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tables/table1.xml" ContentType="application/vnd.openxmlformats-officedocument.spreadsheetml.table+xml"/>
  <Override PartName="/xl/drawings/drawing6.xml" ContentType="application/vnd.openxmlformats-officedocument.drawing+xml"/>
  <Override PartName="/xl/tables/table2.xml" ContentType="application/vnd.openxmlformats-officedocument.spreadsheetml.table+xml"/>
  <Override PartName="/xl/drawings/drawing7.xml" ContentType="application/vnd.openxmlformats-officedocument.drawing+xml"/>
  <Override PartName="/xl/tables/table3.xml" ContentType="application/vnd.openxmlformats-officedocument.spreadsheetml.table+xml"/>
  <Override PartName="/xl/drawings/drawing8.xml" ContentType="application/vnd.openxmlformats-officedocument.drawing+xml"/>
  <Override PartName="/xl/drawings/drawing9.xml" ContentType="application/vnd.openxmlformats-officedocument.drawing+xml"/>
  <Override PartName="/xl/tables/table4.xml" ContentType="application/vnd.openxmlformats-officedocument.spreadsheetml.table+xml"/>
  <Override PartName="/xl/drawings/drawing10.xml" ContentType="application/vnd.openxmlformats-officedocument.drawing+xml"/>
  <Override PartName="/xl/tables/table5.xml" ContentType="application/vnd.openxmlformats-officedocument.spreadsheetml.table+xml"/>
  <Override PartName="/xl/drawings/drawing11.xml" ContentType="application/vnd.openxmlformats-officedocument.drawing+xml"/>
  <Override PartName="/xl/tables/table6.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ee43511bc7d64f11" Type="http://schemas.microsoft.com/office/2007/relationships/ui/extensibility" Target="customUI/customUI14.xml"/><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bf31ec291ad54991" Type="http://schemas.microsoft.com/office/2006/relationships/ui/extensibility" Target="customUI/customUI.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4332"/>
  <workbookPr showInkAnnotation="0" codeName="ThisWorkbook"/>
  <mc:AlternateContent xmlns:mc="http://schemas.openxmlformats.org/markup-compatibility/2006">
    <mc:Choice Requires="x15">
      <x15ac:absPath xmlns:x15ac="http://schemas.microsoft.com/office/spreadsheetml/2010/11/ac" url="C:\Users\cloudconvert\server\files\tasks\f5b27995-2272-43c2-8f65-2c4276850337\"/>
    </mc:Choice>
  </mc:AlternateContent>
  <xr:revisionPtr revIDLastSave="0" documentId="8_{4AAEDCD2-5334-46E0-BF6A-C764E98792FD}" xr6:coauthVersionLast="47" xr6:coauthVersionMax="47" xr10:uidLastSave="{00000000-0000-0000-0000-000000000000}"/>
  <bookViews>
    <workbookView xWindow="2340" yWindow="2340" windowWidth="22620" windowHeight="11460" tabRatio="792" xr2:uid="{00000000-000D-0000-FFFF-FFFF00000000}"/>
  </bookViews>
  <sheets>
    <sheet name="Info" sheetId="21" r:id="rId1"/>
    <sheet name="Trial" sheetId="22" r:id="rId2"/>
    <sheet name="Instructions" sheetId="24" r:id="rId3"/>
    <sheet name="Setup" sheetId="1" r:id="rId4"/>
    <sheet name="Emp" sheetId="7" r:id="rId5"/>
    <sheet name="Payroll" sheetId="6" r:id="rId6"/>
    <sheet name="Override" sheetId="16" r:id="rId7"/>
    <sheet name="PaySlip" sheetId="8" r:id="rId8"/>
    <sheet name="Summary" sheetId="9" r:id="rId9"/>
    <sheet name="MonthEmp" sheetId="11" r:id="rId10"/>
    <sheet name="MonthDept" sheetId="20" r:id="rId11"/>
  </sheets>
  <definedNames>
    <definedName name="CompListAll">OFFSET(Setup!$A$81,1,0,CompListCount,COLUMN(Setup!$I$81))</definedName>
    <definedName name="CompListCount">Setup!$D$81</definedName>
    <definedName name="CompListItem">OFFSET(Setup!$A$81,1,0,CompListCount,1)</definedName>
    <definedName name="DedListAll">OFFSET(Setup!$A$73,1,0,DedListCount,COLUMN(Setup!$H$73))</definedName>
    <definedName name="DedListCount">Setup!$D$73</definedName>
    <definedName name="DedListItem">OFFSET(Setup!$A$73,1,0,DedListCount,1)</definedName>
    <definedName name="DeptAll">OFFSET(Setup!$A$89,1,0,DeptCount,COLUMN(Setup!$E$89))</definedName>
    <definedName name="DeptCount">Setup!$D$89</definedName>
    <definedName name="DeptListItem">OFFSET(Setup!$A$89,1,0,DeptCount,1)</definedName>
    <definedName name="EarnListAll">OFFSET(Setup!$A$64,1,0,EarnListCount,COLUMN(Setup!$G$64))</definedName>
    <definedName name="EarnListCount">Setup!$D$64</definedName>
    <definedName name="EarnListItem">OFFSET(Setup!$A$64,1,0,EarnListCount,1)</definedName>
    <definedName name="EmpAll">Employees[#Data]</definedName>
    <definedName name="EmpBonus">Employees[[#Data],[Annual Bonus Amount]]</definedName>
    <definedName name="EmpCode">Employees[[#Data],[Employee Number]]</definedName>
    <definedName name="EmpCount">MAX(COUNTA(Employees[[#Data],[Employee Number]])+COUNTBLANK(Employees[[#Data],[Employee Number]]),1)</definedName>
    <definedName name="EmpIncrease">Employees[[#Data],[One Increase Amount]]</definedName>
    <definedName name="EmpNo">Employees[[#Data],[Employee Number]]</definedName>
    <definedName name="EmpSalary">Employees[[#Data],[Basic Monthly Salary]]</definedName>
    <definedName name="IgnoreMin">9999999999</definedName>
    <definedName name="MedList">OFFSET(Setup!$A$49,1,0,ROW(Setup!$A$61)-ROW(Setup!$A$49)-1,COLUMN(Setup!$C$49))</definedName>
    <definedName name="MonthCount">COUNTA(MonthlyEmp[[#Data],[Employee Number]])</definedName>
    <definedName name="MonthList">OFFSET(Setup!$B$95,1,0,12,1)</definedName>
    <definedName name="MonthMeasure">Setup!$B$111:$C$117</definedName>
    <definedName name="MonthMeasureList">Setup!$B$111:$B$117</definedName>
    <definedName name="OverComp">Override[[#Data],[Co-Contrib Code]]</definedName>
    <definedName name="OverDate">Override[[#Data],[Override Date]]</definedName>
    <definedName name="OverDeduct">Override[[#Data],[Deduction Code]]</definedName>
    <definedName name="OverEarn">Override[[#Data],[Earnings Code]]</definedName>
    <definedName name="OverEmp">Override[[#Data],[Employee Number]]</definedName>
    <definedName name="OverEnd">Override[[#Data],[End Date]]</definedName>
    <definedName name="OverMed">Override[[#Data],[Medical Tax Credit Code]]</definedName>
    <definedName name="OverTax">Override[[#Data],[Income Tax Code]]</definedName>
    <definedName name="OverValue">Override[[#Data],[Override Value]]</definedName>
    <definedName name="PayCompList">OFFSET(Payroll!$T$5,0,0,1,COLUMN(Payroll!$X$5)-COLUMN(Payroll!$T$5))</definedName>
    <definedName name="PayCompValues">OFFSET(Payroll!$T$6,1,0,PayCount,COLUMN(Payroll!$X$5)-COLUMN(Payroll!$T$5))</definedName>
    <definedName name="PayCount">COUNTA(Payroll[[#Data],[Pay Slip Reference No]])</definedName>
    <definedName name="PayDate">Payroll[[#Data],[Unique Pay Date]]</definedName>
    <definedName name="PayDedList">OFFSET(Payroll!$N$5,0,0,1,COLUMN(Payroll!$R$5)-COLUMN(Payroll!$N$5))</definedName>
    <definedName name="PayDedListAll">OFFSET(Payroll!$M$5,0,0,1,COLUMN(Payroll!$R$5)-COLUMN(Payroll!$M$5))</definedName>
    <definedName name="PayDedTaxBasis">OFFSET(Payroll!$AN$2,0,0,1,COLUMN(Payroll!$AR$6)-COLUMN(Payroll!$AN$6))</definedName>
    <definedName name="PayDedTaxMax">OFFSET(Payroll!$AN$4,0,0,1,COLUMN(Payroll!$AR$6)-COLUMN(Payroll!$AN$6))</definedName>
    <definedName name="PayDedTaxRate">OFFSET(Payroll!$AN$3,0,0,1,COLUMN(Payroll!$AR$6)-COLUMN(Payroll!$AN$6))</definedName>
    <definedName name="PayDedValues">OFFSET(Payroll!$N$6,1,0,PayCount,COLUMN(Payroll!$R$5)-COLUMN(Payroll!$N$5))</definedName>
    <definedName name="PayDept">Payroll[[#Data],[Dept]]</definedName>
    <definedName name="PayEarnCode">OFFSET(Payroll!$G$2,0,0,1,COLUMN(Payroll!$L$2)-COLUMN(Payroll!$G$2)+1)</definedName>
    <definedName name="PayEarnList">OFFSET(Payroll!$G$5,0,0,1,COLUMN(Payroll!$L$4)-COLUMN(Payroll!$G$4)+1)</definedName>
    <definedName name="PayEarnTax">OFFSET(Payroll!$G$3,0,0,1,COLUMN(Payroll!$L$2)-COLUMN(Payroll!$G$2)+1)</definedName>
    <definedName name="PayEarnType">OFFSET(Payroll!$G$4,0,0,1,COLUMN(Payroll!$L$4)-COLUMN(Payroll!$G$4)+1)</definedName>
    <definedName name="PayEarnValues">Payroll[[#Data],[Earnings1]:[Gross Pay]]</definedName>
    <definedName name="PayEmp">Payroll[[#Data],[Employee Number]]</definedName>
    <definedName name="PayID">Payroll[[#Data],[Pay Slip Reference No]]</definedName>
    <definedName name="PayMedDeduct">Payroll[[#Data],[MedTaxCredit Monthly]]</definedName>
    <definedName name="PayPeriod">Payroll[[#Data],[Employee Pay Period]]</definedName>
    <definedName name="PayTaxDeduct">Payroll[[#Data],[Income Tax (PAYE)]]</definedName>
    <definedName name="_xlnm.Print_Area" localSheetId="5">Payroll!$A:$Z</definedName>
    <definedName name="_xlnm.Print_Area" localSheetId="7">PaySlip!$B$2:$G$45</definedName>
    <definedName name="_xlnm.Print_Area" localSheetId="8">Summary!$A$2:$X$17</definedName>
    <definedName name="_xlnm.Print_Titles" localSheetId="4">Emp!$A:$B,Emp!$1:$4</definedName>
    <definedName name="_xlnm.Print_Titles" localSheetId="2">Instructions!$1:$4</definedName>
    <definedName name="_xlnm.Print_Titles" localSheetId="9">MonthEmp!$1:$5</definedName>
    <definedName name="_xlnm.Print_Titles" localSheetId="6">Override!$1:$4</definedName>
    <definedName name="_xlnm.Print_Titles" localSheetId="5">Payroll!$A:$C,Payroll!$2:$6</definedName>
    <definedName name="_xlnm.Print_Titles" localSheetId="3">Setup!$1:$3</definedName>
    <definedName name="_xlnm.Print_Titles" localSheetId="8">Summary!$A:$A</definedName>
    <definedName name="RebateList">OFFSET(Setup!$A$41,1,0,ROW(Setup!$A$46)-ROW(Setup!$A$41)-1,COLUMN(Setup!$D$41))</definedName>
    <definedName name="SlipDeduct">Setup!$D$120:$E$139</definedName>
    <definedName name="SlipDeductValue">Setup!$E$120:$E$139</definedName>
    <definedName name="SlipEarn">Setup!$B$120:$C$139</definedName>
    <definedName name="SlipEarnValue">Setup!$C$120:$C$139</definedName>
    <definedName name="SumCount">COUNTA(Summary[[#Data],[Month]])</definedName>
    <definedName name="SumMonths">Summary[[#Data],[Month]]</definedName>
    <definedName name="TaxAll1">Setup!$C$21:$E$27</definedName>
    <definedName name="TaxAll2">Setup!$C$32:$E$38</definedName>
    <definedName name="TaxBracket1">Setup!$C$21:$C$27</definedName>
    <definedName name="TaxBracket2">Setup!$C$32:$C$38</definedName>
    <definedName name="TaxRate1">Setup!$D$21:$D$27</definedName>
    <definedName name="TaxRate2">Setup!$D$32:$D$38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7" i="6" l="1" a="1"/>
  <c r="C7" i="6" s="1"/>
  <c r="C8" i="6" a="1"/>
  <c r="C8" i="6" s="1"/>
  <c r="C9" i="6" a="1"/>
  <c r="C9" i="6" s="1"/>
  <c r="C10" i="6" a="1"/>
  <c r="C10" i="6" s="1"/>
  <c r="C11" i="6" a="1"/>
  <c r="C11" i="6" s="1"/>
  <c r="C12" i="6" a="1"/>
  <c r="C12" i="6" s="1"/>
  <c r="C13" i="6" a="1"/>
  <c r="C13" i="6" s="1"/>
  <c r="C14" i="6" a="1"/>
  <c r="C14" i="6" s="1"/>
  <c r="C15" i="6" a="1"/>
  <c r="C15" i="6" s="1"/>
  <c r="C16" i="6" a="1"/>
  <c r="C16" i="6" s="1"/>
  <c r="C17" i="6" a="1"/>
  <c r="C17" i="6" s="1"/>
  <c r="C18" i="6" a="1"/>
  <c r="C18" i="6" s="1"/>
  <c r="C19" i="6" a="1"/>
  <c r="C19" i="6" s="1"/>
  <c r="C20" i="6" a="1"/>
  <c r="C20" i="6" s="1"/>
  <c r="C21" i="6" a="1"/>
  <c r="C21" i="6" s="1"/>
  <c r="C22" i="6" a="1"/>
  <c r="C22" i="6" s="1"/>
  <c r="C23" i="6" a="1"/>
  <c r="C23" i="6" s="1"/>
  <c r="C24" i="6" a="1"/>
  <c r="C24" i="6" s="1"/>
  <c r="C25" i="6" a="1"/>
  <c r="C25" i="6" s="1"/>
  <c r="C26" i="6" a="1"/>
  <c r="C26" i="6" s="1"/>
  <c r="C27" i="6" a="1"/>
  <c r="C27" i="6" s="1"/>
  <c r="C28" i="6" a="1"/>
  <c r="C28" i="6" s="1"/>
  <c r="C29" i="6" a="1"/>
  <c r="C29" i="6" s="1"/>
  <c r="C30" i="6" a="1"/>
  <c r="C30" i="6" s="1"/>
  <c r="C31" i="6" a="1"/>
  <c r="C31" i="6" s="1"/>
  <c r="C32" i="6" a="1"/>
  <c r="C32" i="6" s="1"/>
  <c r="C33" i="6" a="1"/>
  <c r="C33" i="6" s="1"/>
  <c r="C34" i="6" a="1"/>
  <c r="C34" i="6" s="1"/>
  <c r="C35" i="6" a="1"/>
  <c r="C35" i="6" s="1"/>
  <c r="C36" i="6" a="1"/>
  <c r="C36" i="6" s="1"/>
  <c r="C37" i="6" a="1"/>
  <c r="C37" i="6" s="1"/>
  <c r="C38" i="6" a="1"/>
  <c r="C38" i="6" s="1"/>
  <c r="C39" i="6" a="1"/>
  <c r="C39" i="6" s="1"/>
  <c r="C40" i="6" a="1"/>
  <c r="C40" i="6" s="1"/>
  <c r="C41" i="6" a="1"/>
  <c r="C41" i="6" s="1"/>
  <c r="C42" i="6" a="1"/>
  <c r="C42" i="6" s="1"/>
  <c r="C43" i="6" a="1"/>
  <c r="C43" i="6" s="1"/>
  <c r="C44" i="6" a="1"/>
  <c r="C44" i="6" s="1"/>
  <c r="C45" i="6" a="1"/>
  <c r="C45" i="6" s="1"/>
  <c r="C46" i="6" a="1"/>
  <c r="C46" i="6" s="1"/>
  <c r="C47" i="6" a="1"/>
  <c r="C47" i="6" s="1"/>
  <c r="C48" i="6" a="1"/>
  <c r="C48" i="6" s="1"/>
  <c r="C49" i="6" a="1"/>
  <c r="C49" i="6" s="1"/>
  <c r="C50" i="6" a="1"/>
  <c r="C50" i="6" s="1"/>
  <c r="C51" i="6" a="1"/>
  <c r="C51" i="6" s="1"/>
  <c r="C52" i="6" a="1"/>
  <c r="C52" i="6" s="1"/>
  <c r="C53" i="6" a="1"/>
  <c r="C53" i="6" s="1"/>
  <c r="C54" i="6" a="1"/>
  <c r="C54" i="6" s="1"/>
  <c r="C55" i="6" a="1"/>
  <c r="C55" i="6" s="1"/>
  <c r="C56" i="6" a="1"/>
  <c r="C56" i="6" s="1"/>
  <c r="C57" i="6" a="1"/>
  <c r="C57" i="6" s="1"/>
  <c r="C58" i="6" a="1"/>
  <c r="C58" i="6" s="1"/>
  <c r="C59" i="6" a="1"/>
  <c r="C59" i="6" s="1"/>
  <c r="C60" i="6" a="1"/>
  <c r="C60" i="6" s="1"/>
  <c r="C61" i="6" a="1"/>
  <c r="C61" i="6" s="1"/>
  <c r="C62" i="6" a="1"/>
  <c r="C62" i="6" s="1"/>
  <c r="C63" i="6" a="1"/>
  <c r="C63" i="6" s="1"/>
  <c r="C64" i="6" a="1"/>
  <c r="C64" i="6" s="1"/>
  <c r="C65" i="6" a="1"/>
  <c r="C65" i="6" s="1"/>
  <c r="C66" i="6" a="1"/>
  <c r="C66" i="6" s="1"/>
  <c r="C67" i="6" a="1"/>
  <c r="C67" i="6" s="1"/>
  <c r="C68" i="6" a="1"/>
  <c r="C68" i="6" s="1"/>
  <c r="C69" i="6" a="1"/>
  <c r="C69" i="6" s="1"/>
  <c r="C70" i="6" a="1"/>
  <c r="C70" i="6" s="1"/>
  <c r="C71" i="6" a="1"/>
  <c r="C71" i="6" s="1"/>
  <c r="C72" i="6" a="1"/>
  <c r="C72" i="6" s="1"/>
  <c r="C73" i="6" a="1"/>
  <c r="C73" i="6" s="1"/>
  <c r="C74" i="6" a="1"/>
  <c r="C74" i="6" s="1"/>
  <c r="C75" i="6" a="1"/>
  <c r="C75" i="6" s="1"/>
  <c r="C76" i="6" a="1"/>
  <c r="C76" i="6" s="1"/>
  <c r="C77" i="6" a="1"/>
  <c r="C77" i="6" s="1"/>
  <c r="C78" i="6" a="1"/>
  <c r="C78" i="6" s="1"/>
  <c r="C79" i="6" a="1"/>
  <c r="C79" i="6" s="1"/>
  <c r="C80" i="6" a="1"/>
  <c r="C80" i="6" s="1"/>
  <c r="C81" i="6" a="1"/>
  <c r="C81" i="6" s="1"/>
  <c r="C82" i="6" a="1"/>
  <c r="C82" i="6" s="1"/>
  <c r="C83" i="6" a="1"/>
  <c r="C83" i="6" s="1"/>
  <c r="C84" i="6" a="1"/>
  <c r="C84" i="6" s="1"/>
  <c r="C85" i="6" a="1"/>
  <c r="C85" i="6" s="1"/>
  <c r="C86" i="6" a="1"/>
  <c r="C86" i="6" s="1"/>
  <c r="C87" i="6" a="1"/>
  <c r="C87" i="6" s="1"/>
  <c r="C88" i="6" a="1"/>
  <c r="C88" i="6" s="1"/>
  <c r="C89" i="6" a="1"/>
  <c r="C89" i="6" s="1"/>
  <c r="C90" i="6" a="1"/>
  <c r="C90" i="6" s="1"/>
  <c r="C91" i="6" a="1"/>
  <c r="C91" i="6" s="1"/>
  <c r="C92" i="6" a="1"/>
  <c r="C92" i="6" s="1"/>
  <c r="C93" i="6" a="1"/>
  <c r="C93" i="6" s="1"/>
  <c r="C94" i="6" a="1"/>
  <c r="C94" i="6" s="1"/>
  <c r="C95" i="6" a="1"/>
  <c r="C95" i="6" s="1"/>
  <c r="C96" i="6" a="1"/>
  <c r="C96" i="6" s="1"/>
  <c r="C97" i="6" a="1"/>
  <c r="C97" i="6" s="1"/>
  <c r="C98" i="6" a="1"/>
  <c r="C98" i="6" s="1"/>
  <c r="C99" i="6" a="1"/>
  <c r="C99" i="6" s="1"/>
  <c r="C100" i="6" a="1"/>
  <c r="C100" i="6" s="1"/>
  <c r="C101" i="6" a="1"/>
  <c r="C101" i="6" s="1"/>
  <c r="C102" i="6" a="1"/>
  <c r="C102" i="6" s="1"/>
  <c r="C103" i="6" a="1"/>
  <c r="C103" i="6" s="1"/>
  <c r="C104" i="6" a="1"/>
  <c r="C104" i="6" s="1"/>
  <c r="C105" i="6" a="1"/>
  <c r="C105" i="6" s="1"/>
  <c r="C106" i="6" a="1"/>
  <c r="C106" i="6" s="1"/>
  <c r="C107" i="6" a="1"/>
  <c r="C107" i="6" s="1"/>
  <c r="C108" i="6" a="1"/>
  <c r="C108" i="6" s="1"/>
  <c r="C109" i="6" a="1"/>
  <c r="C109" i="6" s="1"/>
  <c r="C110" i="6" a="1"/>
  <c r="C110" i="6" s="1"/>
  <c r="C111" i="6" a="1"/>
  <c r="C111" i="6" s="1"/>
  <c r="C112" i="6" a="1"/>
  <c r="C112" i="6" s="1"/>
  <c r="C113" i="6" a="1"/>
  <c r="C113" i="6" s="1"/>
  <c r="C114" i="6" a="1"/>
  <c r="C114" i="6" s="1"/>
  <c r="C115" i="6" a="1"/>
  <c r="C115" i="6" s="1"/>
  <c r="C116" i="6" a="1"/>
  <c r="C116" i="6" s="1"/>
  <c r="C117" i="6" a="1"/>
  <c r="C117" i="6" s="1"/>
  <c r="C118" i="6" a="1"/>
  <c r="C118" i="6" s="1"/>
  <c r="C119" i="6" a="1"/>
  <c r="C119" i="6" s="1"/>
  <c r="C120" i="6" a="1"/>
  <c r="C120" i="6" s="1"/>
  <c r="C121" i="6" a="1"/>
  <c r="C121" i="6" s="1"/>
  <c r="C122" i="6" a="1"/>
  <c r="C122" i="6" s="1"/>
  <c r="C123" i="6" a="1"/>
  <c r="C123" i="6" s="1"/>
  <c r="C124" i="6" a="1"/>
  <c r="C124" i="6" s="1"/>
  <c r="C125" i="6" a="1"/>
  <c r="C125" i="6" s="1"/>
  <c r="C126" i="6" a="1"/>
  <c r="C126" i="6" s="1"/>
  <c r="C127" i="6" a="1"/>
  <c r="C127" i="6" s="1"/>
  <c r="C128" i="6" a="1"/>
  <c r="C128" i="6" s="1"/>
  <c r="C129" i="6" a="1"/>
  <c r="C129" i="6" s="1"/>
  <c r="C130" i="6" a="1"/>
  <c r="C130" i="6" s="1"/>
  <c r="C131" i="6" a="1"/>
  <c r="C131" i="6" s="1"/>
  <c r="C132" i="6" a="1"/>
  <c r="C132" i="6" s="1"/>
  <c r="C133" i="6" a="1"/>
  <c r="C133" i="6" s="1"/>
  <c r="C134" i="6" a="1"/>
  <c r="C134" i="6" s="1"/>
  <c r="C135" i="6" a="1"/>
  <c r="C135" i="6" s="1"/>
  <c r="C136" i="6" a="1"/>
  <c r="C136" i="6" s="1"/>
  <c r="C137" i="6" a="1"/>
  <c r="C137" i="6" s="1"/>
  <c r="C138" i="6" a="1"/>
  <c r="C138" i="6" s="1"/>
  <c r="C139" i="6" a="1"/>
  <c r="C139" i="6" s="1"/>
  <c r="C140" i="6" a="1"/>
  <c r="C140" i="6" s="1"/>
  <c r="C141" i="6" a="1"/>
  <c r="C141" i="6" s="1"/>
  <c r="C142" i="6" a="1"/>
  <c r="C142" i="6" s="1"/>
  <c r="C143" i="6" a="1"/>
  <c r="C143" i="6" s="1"/>
  <c r="C144" i="6" a="1"/>
  <c r="C144" i="6" s="1"/>
  <c r="C145" i="6" a="1"/>
  <c r="C145" i="6" s="1"/>
  <c r="C146" i="6" a="1"/>
  <c r="C146" i="6" s="1"/>
  <c r="C147" i="6" a="1"/>
  <c r="C147" i="6" s="1"/>
  <c r="C148" i="6" a="1"/>
  <c r="C148" i="6" s="1"/>
  <c r="C149" i="6" a="1"/>
  <c r="C149" i="6" s="1"/>
  <c r="C150" i="6" a="1"/>
  <c r="C150" i="6" s="1"/>
  <c r="C151" i="6" a="1"/>
  <c r="C151" i="6" s="1"/>
  <c r="C152" i="6" a="1"/>
  <c r="C152" i="6" s="1"/>
  <c r="C153" i="6" a="1"/>
  <c r="C153" i="6" s="1"/>
  <c r="C154" i="6" a="1"/>
  <c r="C154" i="6" s="1"/>
  <c r="C155" i="6" a="1"/>
  <c r="C155" i="6" s="1"/>
  <c r="C156" i="6" a="1"/>
  <c r="C156" i="6" s="1"/>
  <c r="C157" i="6" a="1"/>
  <c r="C157" i="6" s="1"/>
  <c r="C158" i="6" a="1"/>
  <c r="C158" i="6" s="1"/>
  <c r="C159" i="6" a="1"/>
  <c r="C159" i="6" s="1"/>
  <c r="C160" i="6" a="1"/>
  <c r="C160" i="6" s="1"/>
  <c r="C161" i="6" a="1"/>
  <c r="C161" i="6" s="1"/>
  <c r="C162" i="6" a="1"/>
  <c r="C162" i="6" s="1"/>
  <c r="C163" i="6" a="1"/>
  <c r="C163" i="6" s="1"/>
  <c r="C164" i="6" a="1"/>
  <c r="C164" i="6" s="1"/>
  <c r="C165" i="6" a="1"/>
  <c r="C165" i="6" s="1"/>
  <c r="C166" i="6" a="1"/>
  <c r="C166" i="6" s="1"/>
  <c r="C167" i="6" a="1"/>
  <c r="C167" i="6" s="1"/>
  <c r="C168" i="6" a="1"/>
  <c r="C168" i="6" s="1"/>
  <c r="C169" i="6" a="1"/>
  <c r="C169" i="6" s="1"/>
  <c r="C170" i="6" a="1"/>
  <c r="C170" i="6" s="1"/>
  <c r="C171" i="6" a="1"/>
  <c r="C171" i="6" s="1"/>
  <c r="C172" i="6" a="1"/>
  <c r="C172" i="6" s="1"/>
  <c r="C173" i="6" a="1"/>
  <c r="C173" i="6" s="1"/>
  <c r="C174" i="6" a="1"/>
  <c r="C174" i="6" s="1"/>
  <c r="C175" i="6" a="1"/>
  <c r="C175" i="6" s="1"/>
  <c r="C176" i="6" a="1"/>
  <c r="C176" i="6" s="1"/>
  <c r="C177" i="6" a="1"/>
  <c r="C177" i="6" s="1"/>
  <c r="C178" i="6" a="1"/>
  <c r="C178" i="6" s="1"/>
  <c r="C179" i="6" a="1"/>
  <c r="C179" i="6" s="1"/>
  <c r="C180" i="6" a="1"/>
  <c r="C180" i="6" s="1"/>
  <c r="C181" i="6" a="1"/>
  <c r="C181" i="6" s="1"/>
  <c r="C182" i="6" a="1"/>
  <c r="C182" i="6" s="1"/>
  <c r="C183" i="6" a="1"/>
  <c r="C183" i="6" s="1"/>
  <c r="C184" i="6" a="1"/>
  <c r="C184" i="6" s="1"/>
  <c r="C185" i="6" a="1"/>
  <c r="C185" i="6" s="1"/>
  <c r="C186" i="6" a="1"/>
  <c r="C186" i="6" s="1"/>
  <c r="C187" i="6" a="1"/>
  <c r="C187" i="6" s="1"/>
  <c r="C188" i="6" a="1"/>
  <c r="C188" i="6" s="1"/>
  <c r="C189" i="6" a="1"/>
  <c r="C189" i="6" s="1"/>
  <c r="C190" i="6" a="1"/>
  <c r="C190" i="6" s="1"/>
  <c r="C191" i="6" a="1"/>
  <c r="C191" i="6" s="1"/>
  <c r="C192" i="6" a="1"/>
  <c r="C192" i="6" s="1"/>
  <c r="C193" i="6" a="1"/>
  <c r="C193" i="6" s="1"/>
  <c r="C194" i="6" a="1"/>
  <c r="C194" i="6" s="1"/>
  <c r="C195" i="6" a="1"/>
  <c r="C195" i="6" s="1"/>
  <c r="C196" i="6" a="1"/>
  <c r="C196" i="6" s="1"/>
  <c r="C197" i="6" a="1"/>
  <c r="C197" i="6" s="1"/>
  <c r="C198" i="6" a="1"/>
  <c r="C198" i="6" s="1"/>
  <c r="C199" i="6" a="1"/>
  <c r="C199" i="6" s="1"/>
  <c r="C200" i="6" a="1"/>
  <c r="C200" i="6" s="1"/>
  <c r="C201" i="6" a="1"/>
  <c r="C201" i="6" s="1"/>
  <c r="C202" i="6" a="1"/>
  <c r="C202" i="6" s="1"/>
  <c r="C203" i="6" a="1"/>
  <c r="C203" i="6" s="1"/>
  <c r="C204" i="6" a="1"/>
  <c r="C204" i="6" s="1"/>
  <c r="C205" i="6" a="1"/>
  <c r="C205" i="6" s="1"/>
  <c r="C206" i="6" a="1"/>
  <c r="C206" i="6" s="1"/>
  <c r="C207" i="6" a="1"/>
  <c r="C207" i="6" s="1"/>
  <c r="C208" i="6" a="1"/>
  <c r="C208" i="6" s="1"/>
  <c r="C209" i="6" a="1"/>
  <c r="C209" i="6" s="1"/>
  <c r="C210" i="6" a="1"/>
  <c r="C210" i="6" s="1"/>
  <c r="C211" i="6" a="1"/>
  <c r="C211" i="6" s="1"/>
  <c r="C212" i="6" a="1"/>
  <c r="C212" i="6" s="1"/>
  <c r="C213" i="6" a="1"/>
  <c r="C213" i="6" s="1"/>
  <c r="C214" i="6" a="1"/>
  <c r="C214" i="6" s="1"/>
  <c r="C215" i="6" a="1"/>
  <c r="C215" i="6" s="1"/>
  <c r="C216" i="6" a="1"/>
  <c r="C216" i="6" s="1"/>
  <c r="C217" i="6" a="1"/>
  <c r="C217" i="6" s="1"/>
  <c r="C218" i="6" a="1"/>
  <c r="C218" i="6" s="1"/>
  <c r="C219" i="6" a="1"/>
  <c r="C219" i="6" s="1"/>
  <c r="C220" i="6" a="1"/>
  <c r="C220" i="6" s="1"/>
  <c r="C221" i="6" a="1"/>
  <c r="C221" i="6" s="1"/>
  <c r="C222" i="6" a="1"/>
  <c r="C222" i="6" s="1"/>
  <c r="C223" i="6" a="1"/>
  <c r="C223" i="6" s="1"/>
  <c r="C224" i="6" a="1"/>
  <c r="C224" i="6" s="1"/>
  <c r="C225" i="6" a="1"/>
  <c r="C225" i="6" s="1"/>
  <c r="C226" i="6" a="1"/>
  <c r="C226" i="6" s="1"/>
  <c r="C227" i="6" a="1"/>
  <c r="C227" i="6" s="1"/>
  <c r="C228" i="6" a="1"/>
  <c r="C228" i="6" s="1"/>
  <c r="C229" i="6" a="1"/>
  <c r="C229" i="6" s="1"/>
  <c r="C230" i="6" a="1"/>
  <c r="C230" i="6" s="1"/>
  <c r="C231" i="6" a="1"/>
  <c r="C231" i="6" s="1"/>
  <c r="C232" i="6" a="1"/>
  <c r="C232" i="6" s="1"/>
  <c r="C233" i="6" a="1"/>
  <c r="C233" i="6" s="1"/>
  <c r="C234" i="6" a="1"/>
  <c r="C234" i="6" s="1"/>
  <c r="C235" i="6" a="1"/>
  <c r="C235" i="6" s="1"/>
  <c r="C236" i="6" a="1"/>
  <c r="C236" i="6" s="1"/>
  <c r="C237" i="6" a="1"/>
  <c r="C237" i="6" s="1"/>
  <c r="C238" i="6" a="1"/>
  <c r="C238" i="6" s="1"/>
  <c r="C239" i="6" a="1"/>
  <c r="C239" i="6" s="1"/>
  <c r="C240" i="6" a="1"/>
  <c r="C240" i="6" s="1"/>
  <c r="C241" i="6" a="1"/>
  <c r="C241" i="6" s="1"/>
  <c r="C242" i="6" a="1"/>
  <c r="C242" i="6" s="1"/>
  <c r="C243" i="6" a="1"/>
  <c r="C243" i="6" s="1"/>
  <c r="C244" i="6" a="1"/>
  <c r="C244" i="6" s="1"/>
  <c r="C245" i="6" a="1"/>
  <c r="C245" i="6" s="1"/>
  <c r="C246" i="6" a="1"/>
  <c r="C246" i="6" s="1"/>
  <c r="A187" i="6" a="1"/>
  <c r="A187" i="6" s="1"/>
  <c r="A188" i="6" a="1"/>
  <c r="A188" i="6" s="1"/>
  <c r="A189" i="6" a="1"/>
  <c r="A189" i="6" s="1"/>
  <c r="A190" i="6" a="1"/>
  <c r="A190" i="6" s="1"/>
  <c r="A191" i="6" a="1"/>
  <c r="A191" i="6" s="1"/>
  <c r="A192" i="6" a="1"/>
  <c r="A192" i="6" s="1"/>
  <c r="A193" i="6" a="1"/>
  <c r="A193" i="6" s="1"/>
  <c r="A194" i="6" a="1"/>
  <c r="A194" i="6" s="1"/>
  <c r="A195" i="6" a="1"/>
  <c r="A195" i="6" s="1"/>
  <c r="A196" i="6" a="1"/>
  <c r="A196" i="6" s="1"/>
  <c r="A197" i="6" a="1"/>
  <c r="A197" i="6" s="1"/>
  <c r="A198" i="6" a="1"/>
  <c r="A198" i="6" s="1"/>
  <c r="A199" i="6" a="1"/>
  <c r="A199" i="6" s="1"/>
  <c r="A200" i="6" a="1"/>
  <c r="A200" i="6" s="1"/>
  <c r="A201" i="6" a="1"/>
  <c r="A201" i="6" s="1"/>
  <c r="A202" i="6" a="1"/>
  <c r="A202" i="6" s="1"/>
  <c r="A203" i="6" a="1"/>
  <c r="A203" i="6" s="1"/>
  <c r="A204" i="6" a="1"/>
  <c r="A204" i="6" s="1"/>
  <c r="A205" i="6" a="1"/>
  <c r="A205" i="6" s="1"/>
  <c r="A206" i="6" a="1"/>
  <c r="A206" i="6" s="1"/>
  <c r="A207" i="6" a="1"/>
  <c r="A207" i="6" s="1"/>
  <c r="A208" i="6" a="1"/>
  <c r="A208" i="6" s="1"/>
  <c r="A209" i="6" a="1"/>
  <c r="A209" i="6" s="1"/>
  <c r="A210" i="6" a="1"/>
  <c r="A210" i="6" s="1"/>
  <c r="A211" i="6" a="1"/>
  <c r="A211" i="6" s="1"/>
  <c r="A212" i="6" a="1"/>
  <c r="A212" i="6" s="1"/>
  <c r="A213" i="6" a="1"/>
  <c r="A213" i="6" s="1"/>
  <c r="A214" i="6" a="1"/>
  <c r="A214" i="6" s="1"/>
  <c r="A215" i="6" a="1"/>
  <c r="A215" i="6" s="1"/>
  <c r="A216" i="6" a="1"/>
  <c r="A216" i="6" s="1"/>
  <c r="A217" i="6" a="1"/>
  <c r="A217" i="6" s="1"/>
  <c r="A218" i="6" a="1"/>
  <c r="A218" i="6" s="1"/>
  <c r="A219" i="6" a="1"/>
  <c r="A219" i="6" s="1"/>
  <c r="A220" i="6" a="1"/>
  <c r="A220" i="6" s="1"/>
  <c r="A221" i="6" a="1"/>
  <c r="A221" i="6" s="1"/>
  <c r="A222" i="6" a="1"/>
  <c r="A222" i="6" s="1"/>
  <c r="A223" i="6" a="1"/>
  <c r="A223" i="6" s="1"/>
  <c r="A224" i="6" a="1"/>
  <c r="A224" i="6" s="1"/>
  <c r="A225" i="6" a="1"/>
  <c r="A225" i="6" s="1"/>
  <c r="A226" i="6" a="1"/>
  <c r="A226" i="6" s="1"/>
  <c r="A227" i="6" a="1"/>
  <c r="A227" i="6" s="1"/>
  <c r="A228" i="6" a="1"/>
  <c r="A228" i="6" s="1"/>
  <c r="A229" i="6" a="1"/>
  <c r="A229" i="6" s="1"/>
  <c r="A230" i="6" a="1"/>
  <c r="A230" i="6" s="1"/>
  <c r="A231" i="6" a="1"/>
  <c r="A231" i="6" s="1"/>
  <c r="A232" i="6" a="1"/>
  <c r="A232" i="6" s="1"/>
  <c r="A233" i="6" a="1"/>
  <c r="A233" i="6" s="1"/>
  <c r="A234" i="6" a="1"/>
  <c r="A234" i="6" s="1"/>
  <c r="A235" i="6" a="1"/>
  <c r="A235" i="6" s="1"/>
  <c r="A236" i="6" a="1"/>
  <c r="A236" i="6" s="1"/>
  <c r="A237" i="6" a="1"/>
  <c r="A237" i="6" s="1"/>
  <c r="A238" i="6" a="1"/>
  <c r="A238" i="6" s="1"/>
  <c r="A239" i="6" a="1"/>
  <c r="A239" i="6" s="1"/>
  <c r="A240" i="6" a="1"/>
  <c r="A240" i="6" s="1"/>
  <c r="A241" i="6" a="1"/>
  <c r="A241" i="6" s="1"/>
  <c r="A242" i="6" a="1"/>
  <c r="A242" i="6" s="1"/>
  <c r="A243" i="6" a="1"/>
  <c r="A243" i="6" s="1"/>
  <c r="A244" i="6" a="1"/>
  <c r="A244" i="6" s="1"/>
  <c r="A245" i="6" a="1"/>
  <c r="A245" i="6" s="1"/>
  <c r="A246" i="6" a="1"/>
  <c r="A246" i="6" s="1"/>
  <c r="F155" i="1" a="1"/>
  <c r="F155" i="1" s="1"/>
  <c r="F149" i="1" a="1"/>
  <c r="F149" i="1" s="1"/>
  <c r="AF244" i="6" l="1"/>
  <c r="AF245" i="6"/>
  <c r="AF246" i="6"/>
  <c r="AF198" i="6"/>
  <c r="AF199" i="6"/>
  <c r="AF200" i="6"/>
  <c r="AF201" i="6"/>
  <c r="AF195" i="6"/>
  <c r="AF196" i="6"/>
  <c r="AF197" i="6"/>
  <c r="AF202" i="6"/>
  <c r="AF203" i="6"/>
  <c r="AF204" i="6"/>
  <c r="AF205" i="6"/>
  <c r="AF206" i="6"/>
  <c r="AF207" i="6"/>
  <c r="AF208" i="6"/>
  <c r="AF209" i="6"/>
  <c r="AF210" i="6"/>
  <c r="AF211" i="6"/>
  <c r="AF212" i="6"/>
  <c r="AF213" i="6"/>
  <c r="AF214" i="6"/>
  <c r="AF215" i="6"/>
  <c r="AF216" i="6"/>
  <c r="AF217" i="6"/>
  <c r="AF218" i="6"/>
  <c r="AF219" i="6"/>
  <c r="AF220" i="6"/>
  <c r="AF221" i="6"/>
  <c r="AF222" i="6"/>
  <c r="AF223" i="6"/>
  <c r="AF224" i="6"/>
  <c r="AF225" i="6"/>
  <c r="AF226" i="6"/>
  <c r="AF227" i="6"/>
  <c r="AF228" i="6"/>
  <c r="AF229" i="6"/>
  <c r="AF230" i="6"/>
  <c r="AF231" i="6"/>
  <c r="AF232" i="6"/>
  <c r="AF233" i="6"/>
  <c r="AF234" i="6"/>
  <c r="D149" i="1"/>
  <c r="D219" i="6" l="1"/>
  <c r="AE246" i="6"/>
  <c r="F211" i="6"/>
  <c r="AL204" i="6"/>
  <c r="D245" i="6"/>
  <c r="E212" i="6"/>
  <c r="D201" i="6"/>
  <c r="AJ218" i="6"/>
  <c r="AK218" i="6" s="1"/>
  <c r="D217" i="6"/>
  <c r="D244" i="6"/>
  <c r="AL221" i="6"/>
  <c r="E205" i="6"/>
  <c r="AJ232" i="6"/>
  <c r="AK232" i="6" s="1"/>
  <c r="AE225" i="6"/>
  <c r="D210" i="6"/>
  <c r="E203" i="6"/>
  <c r="D200" i="6"/>
  <c r="AJ231" i="6"/>
  <c r="AK231" i="6" s="1"/>
  <c r="E224" i="6"/>
  <c r="AJ209" i="6"/>
  <c r="AK209" i="6" s="1"/>
  <c r="AL202" i="6"/>
  <c r="D234" i="6"/>
  <c r="F216" i="6"/>
  <c r="D208" i="6"/>
  <c r="F197" i="6"/>
  <c r="D199" i="6"/>
  <c r="D226" i="6"/>
  <c r="F230" i="6"/>
  <c r="E229" i="6"/>
  <c r="AJ222" i="6"/>
  <c r="AK222" i="6" s="1"/>
  <c r="F215" i="6"/>
  <c r="AJ196" i="6"/>
  <c r="AK196" i="6" s="1"/>
  <c r="AJ207" i="6"/>
  <c r="AK207" i="6" s="1"/>
  <c r="AE195" i="6"/>
  <c r="E198" i="6"/>
  <c r="AJ227" i="6"/>
  <c r="AK227" i="6" s="1"/>
  <c r="D220" i="6"/>
  <c r="AJ213" i="6"/>
  <c r="AK213" i="6" s="1"/>
  <c r="F206" i="6"/>
  <c r="E15" i="6"/>
  <c r="AJ244" i="6"/>
  <c r="AK244" i="6" s="1"/>
  <c r="F244" i="6"/>
  <c r="AL244" i="6"/>
  <c r="E244" i="6"/>
  <c r="E245" i="6"/>
  <c r="AL245" i="6"/>
  <c r="AE244" i="6"/>
  <c r="AJ245" i="6"/>
  <c r="AK245" i="6" s="1"/>
  <c r="AE245" i="6"/>
  <c r="F245" i="6"/>
  <c r="AL15" i="6"/>
  <c r="AL246" i="6"/>
  <c r="AJ246" i="6"/>
  <c r="AK246" i="6" s="1"/>
  <c r="AJ15" i="6"/>
  <c r="D202" i="6"/>
  <c r="D15" i="6"/>
  <c r="E16" i="6"/>
  <c r="D16" i="6"/>
  <c r="AL16" i="6"/>
  <c r="AE15" i="6"/>
  <c r="D197" i="6"/>
  <c r="D246" i="6"/>
  <c r="E246" i="6"/>
  <c r="F246" i="6"/>
  <c r="AJ16" i="6"/>
  <c r="AE16" i="6"/>
  <c r="AE203" i="6"/>
  <c r="D203" i="6"/>
  <c r="AL199" i="6"/>
  <c r="AL198" i="6"/>
  <c r="AL196" i="6"/>
  <c r="AE211" i="6"/>
  <c r="AE199" i="6"/>
  <c r="AE201" i="6"/>
  <c r="F203" i="6"/>
  <c r="AL200" i="6"/>
  <c r="F199" i="6"/>
  <c r="F195" i="6"/>
  <c r="AE200" i="6"/>
  <c r="AL195" i="6"/>
  <c r="AE207" i="6"/>
  <c r="D207" i="6"/>
  <c r="D195" i="6"/>
  <c r="F200" i="6"/>
  <c r="AL201" i="6"/>
  <c r="F201" i="6"/>
  <c r="E200" i="6"/>
  <c r="AJ199" i="6"/>
  <c r="AK199" i="6" s="1"/>
  <c r="E199" i="6"/>
  <c r="AJ211" i="6"/>
  <c r="AK211" i="6" s="1"/>
  <c r="E211" i="6"/>
  <c r="E201" i="6"/>
  <c r="D198" i="6"/>
  <c r="AJ201" i="6"/>
  <c r="AK201" i="6" s="1"/>
  <c r="D221" i="6"/>
  <c r="AL216" i="6"/>
  <c r="AJ204" i="6"/>
  <c r="AK204" i="6" s="1"/>
  <c r="E207" i="6"/>
  <c r="AJ200" i="6"/>
  <c r="AK200" i="6" s="1"/>
  <c r="AJ198" i="6"/>
  <c r="AK198" i="6" s="1"/>
  <c r="F198" i="6"/>
  <c r="AJ212" i="6"/>
  <c r="AK212" i="6" s="1"/>
  <c r="AL207" i="6"/>
  <c r="AJ203" i="6"/>
  <c r="AK203" i="6" s="1"/>
  <c r="F207" i="6"/>
  <c r="E195" i="6"/>
  <c r="AE198" i="6"/>
  <c r="AL227" i="6"/>
  <c r="AL205" i="6"/>
  <c r="AL225" i="6"/>
  <c r="AE210" i="6"/>
  <c r="AL217" i="6"/>
  <c r="AE221" i="6"/>
  <c r="AE217" i="6"/>
  <c r="AL208" i="6"/>
  <c r="F212" i="6"/>
  <c r="AL203" i="6"/>
  <c r="AJ195" i="6"/>
  <c r="AK195" i="6" s="1"/>
  <c r="F205" i="6"/>
  <c r="AL230" i="6"/>
  <c r="AL213" i="6"/>
  <c r="E230" i="6"/>
  <c r="AL209" i="6"/>
  <c r="D211" i="6"/>
  <c r="AL197" i="6"/>
  <c r="F234" i="6"/>
  <c r="AE202" i="6"/>
  <c r="E202" i="6"/>
  <c r="D206" i="6"/>
  <c r="D212" i="6"/>
  <c r="AE216" i="6"/>
  <c r="F208" i="6"/>
  <c r="E208" i="6"/>
  <c r="AL212" i="6"/>
  <c r="AJ216" i="6"/>
  <c r="AK216" i="6" s="1"/>
  <c r="AJ208" i="6"/>
  <c r="AK208" i="6" s="1"/>
  <c r="AE215" i="6"/>
  <c r="AE208" i="6"/>
  <c r="E216" i="6"/>
  <c r="D216" i="6"/>
  <c r="AJ206" i="6"/>
  <c r="AK206" i="6" s="1"/>
  <c r="AJ202" i="6"/>
  <c r="AK202" i="6" s="1"/>
  <c r="AE206" i="6"/>
  <c r="AE197" i="6"/>
  <c r="F202" i="6"/>
  <c r="E206" i="6"/>
  <c r="E197" i="6"/>
  <c r="D205" i="6"/>
  <c r="AL226" i="6"/>
  <c r="F226" i="6"/>
  <c r="E226" i="6"/>
  <c r="AL234" i="6"/>
  <c r="AE230" i="6"/>
  <c r="E234" i="6"/>
  <c r="D230" i="6"/>
  <c r="AL222" i="6"/>
  <c r="AJ215" i="6"/>
  <c r="AK215" i="6" s="1"/>
  <c r="AE212" i="6"/>
  <c r="D215" i="6"/>
  <c r="AL206" i="6"/>
  <c r="AJ205" i="6"/>
  <c r="AK205" i="6" s="1"/>
  <c r="AJ197" i="6"/>
  <c r="AK197" i="6" s="1"/>
  <c r="AE205" i="6"/>
  <c r="AL231" i="6"/>
  <c r="AE224" i="6"/>
  <c r="D224" i="6"/>
  <c r="E220" i="6"/>
  <c r="AJ220" i="6"/>
  <c r="AK220" i="6" s="1"/>
  <c r="AE220" i="6"/>
  <c r="F228" i="6"/>
  <c r="AL228" i="6"/>
  <c r="F224" i="6"/>
  <c r="F214" i="6"/>
  <c r="E214" i="6"/>
  <c r="AL214" i="6"/>
  <c r="D214" i="6"/>
  <c r="AE214" i="6"/>
  <c r="AJ214" i="6"/>
  <c r="AK214" i="6" s="1"/>
  <c r="F210" i="6"/>
  <c r="AL210" i="6"/>
  <c r="E210" i="6"/>
  <c r="AJ210" i="6"/>
  <c r="AK210" i="6" s="1"/>
  <c r="AL215" i="6"/>
  <c r="AL211" i="6"/>
  <c r="E215" i="6"/>
  <c r="AE234" i="6"/>
  <c r="AL218" i="6"/>
  <c r="D204" i="6"/>
  <c r="E204" i="6"/>
  <c r="AE204" i="6"/>
  <c r="F204" i="6"/>
  <c r="D196" i="6"/>
  <c r="E196" i="6"/>
  <c r="AE196" i="6"/>
  <c r="F196" i="6"/>
  <c r="F229" i="6"/>
  <c r="AL229" i="6"/>
  <c r="AE229" i="6"/>
  <c r="E228" i="6"/>
  <c r="AE228" i="6"/>
  <c r="AJ228" i="6"/>
  <c r="AK228" i="6" s="1"/>
  <c r="AE223" i="6"/>
  <c r="AJ223" i="6"/>
  <c r="AK223" i="6" s="1"/>
  <c r="AL223" i="6"/>
  <c r="D223" i="6"/>
  <c r="E223" i="6"/>
  <c r="F223" i="6"/>
  <c r="E233" i="6"/>
  <c r="AL233" i="6"/>
  <c r="F233" i="6"/>
  <c r="D232" i="6"/>
  <c r="F232" i="6"/>
  <c r="E219" i="6"/>
  <c r="F219" i="6"/>
  <c r="AL219" i="6"/>
  <c r="AE219" i="6"/>
  <c r="AJ219" i="6"/>
  <c r="AK219" i="6" s="1"/>
  <c r="AL232" i="6"/>
  <c r="AL224" i="6"/>
  <c r="AL220" i="6"/>
  <c r="AJ224" i="6"/>
  <c r="AK224" i="6" s="1"/>
  <c r="F220" i="6"/>
  <c r="D213" i="6"/>
  <c r="E213" i="6"/>
  <c r="AE213" i="6"/>
  <c r="F213" i="6"/>
  <c r="D209" i="6"/>
  <c r="E209" i="6"/>
  <c r="AE209" i="6"/>
  <c r="F209" i="6"/>
  <c r="AE233" i="6"/>
  <c r="D229" i="6"/>
  <c r="AJ234" i="6"/>
  <c r="AK234" i="6" s="1"/>
  <c r="AJ230" i="6"/>
  <c r="AK230" i="6" s="1"/>
  <c r="AJ226" i="6"/>
  <c r="AK226" i="6" s="1"/>
  <c r="AE232" i="6"/>
  <c r="AE226" i="6"/>
  <c r="E232" i="6"/>
  <c r="D228" i="6"/>
  <c r="AJ233" i="6"/>
  <c r="AK233" i="6" s="1"/>
  <c r="AJ229" i="6"/>
  <c r="AK229" i="6" s="1"/>
  <c r="D233" i="6"/>
  <c r="D222" i="6"/>
  <c r="E222" i="6"/>
  <c r="AE222" i="6"/>
  <c r="F222" i="6"/>
  <c r="D218" i="6"/>
  <c r="E218" i="6"/>
  <c r="AE218" i="6"/>
  <c r="F218" i="6"/>
  <c r="E225" i="6"/>
  <c r="F225" i="6"/>
  <c r="AJ225" i="6"/>
  <c r="AK225" i="6" s="1"/>
  <c r="E221" i="6"/>
  <c r="F221" i="6"/>
  <c r="AJ221" i="6"/>
  <c r="AK221" i="6" s="1"/>
  <c r="E217" i="6"/>
  <c r="F217" i="6"/>
  <c r="AJ217" i="6"/>
  <c r="AK217" i="6" s="1"/>
  <c r="D225" i="6"/>
  <c r="D231" i="6"/>
  <c r="E231" i="6"/>
  <c r="AE231" i="6"/>
  <c r="F231" i="6"/>
  <c r="D227" i="6"/>
  <c r="E227" i="6"/>
  <c r="AE227" i="6"/>
  <c r="F227" i="6"/>
  <c r="J9" i="16"/>
  <c r="J10" i="16"/>
  <c r="J11" i="16"/>
  <c r="G221" i="6" l="1" a="1"/>
  <c r="G221" i="6" s="1"/>
  <c r="J221" i="6" a="1"/>
  <c r="J221" i="6" s="1"/>
  <c r="I221" i="6" a="1"/>
  <c r="I221" i="6" s="1"/>
  <c r="H221" i="6" a="1"/>
  <c r="H221" i="6" s="1"/>
  <c r="K221" i="6" a="1"/>
  <c r="K221" i="6" s="1"/>
  <c r="G223" i="6" a="1"/>
  <c r="G223" i="6" s="1"/>
  <c r="J223" i="6" a="1"/>
  <c r="J223" i="6" s="1"/>
  <c r="I223" i="6" a="1"/>
  <c r="I223" i="6" s="1"/>
  <c r="K223" i="6" a="1"/>
  <c r="K223" i="6" s="1"/>
  <c r="H223" i="6" a="1"/>
  <c r="H223" i="6" s="1"/>
  <c r="G204" i="6" a="1"/>
  <c r="G204" i="6" s="1"/>
  <c r="J204" i="6" a="1"/>
  <c r="J204" i="6" s="1"/>
  <c r="K204" i="6" a="1"/>
  <c r="K204" i="6" s="1"/>
  <c r="I204" i="6" a="1"/>
  <c r="I204" i="6" s="1"/>
  <c r="H204" i="6" a="1"/>
  <c r="H204" i="6" s="1"/>
  <c r="G205" i="6" a="1"/>
  <c r="G205" i="6" s="1"/>
  <c r="J205" i="6" a="1"/>
  <c r="J205" i="6" s="1"/>
  <c r="I205" i="6" a="1"/>
  <c r="I205" i="6" s="1"/>
  <c r="H205" i="6" a="1"/>
  <c r="H205" i="6" s="1"/>
  <c r="K205" i="6" a="1"/>
  <c r="K205" i="6" s="1"/>
  <c r="G206" i="6" a="1"/>
  <c r="G206" i="6" s="1"/>
  <c r="J206" i="6" a="1"/>
  <c r="J206" i="6" s="1"/>
  <c r="K206" i="6" a="1"/>
  <c r="K206" i="6" s="1"/>
  <c r="I206" i="6" a="1"/>
  <c r="I206" i="6" s="1"/>
  <c r="H206" i="6" a="1"/>
  <c r="H206" i="6" s="1"/>
  <c r="G215" i="6" a="1"/>
  <c r="G215" i="6" s="1"/>
  <c r="J215" i="6" a="1"/>
  <c r="J215" i="6" s="1"/>
  <c r="I215" i="6" a="1"/>
  <c r="I215" i="6" s="1"/>
  <c r="K215" i="6" a="1"/>
  <c r="K215" i="6" s="1"/>
  <c r="H215" i="6" a="1"/>
  <c r="H215" i="6" s="1"/>
  <c r="G216" i="6" a="1"/>
  <c r="G216" i="6" s="1"/>
  <c r="J216" i="6" a="1"/>
  <c r="J216" i="6" s="1"/>
  <c r="K216" i="6" a="1"/>
  <c r="K216" i="6" s="1"/>
  <c r="I216" i="6" a="1"/>
  <c r="I216" i="6" s="1"/>
  <c r="H216" i="6" a="1"/>
  <c r="H216" i="6" s="1"/>
  <c r="G219" i="6" a="1"/>
  <c r="G219" i="6" s="1"/>
  <c r="J219" i="6" a="1"/>
  <c r="J219" i="6" s="1"/>
  <c r="I219" i="6" a="1"/>
  <c r="I219" i="6" s="1"/>
  <c r="K219" i="6" a="1"/>
  <c r="K219" i="6" s="1"/>
  <c r="H219" i="6" a="1"/>
  <c r="H219" i="6" s="1"/>
  <c r="G234" i="6" a="1"/>
  <c r="G234" i="6" s="1"/>
  <c r="J234" i="6" a="1"/>
  <c r="J234" i="6" s="1"/>
  <c r="K234" i="6" a="1"/>
  <c r="K234" i="6" s="1"/>
  <c r="I234" i="6" a="1"/>
  <c r="I234" i="6" s="1"/>
  <c r="H234" i="6" a="1"/>
  <c r="H234" i="6" s="1"/>
  <c r="G201" i="6" a="1"/>
  <c r="G201" i="6" s="1"/>
  <c r="J201" i="6" a="1"/>
  <c r="J201" i="6" s="1"/>
  <c r="I201" i="6" a="1"/>
  <c r="I201" i="6" s="1"/>
  <c r="K201" i="6" a="1"/>
  <c r="K201" i="6" s="1"/>
  <c r="H201" i="6" a="1"/>
  <c r="H201" i="6" s="1"/>
  <c r="G195" i="6" a="1"/>
  <c r="G195" i="6" s="1"/>
  <c r="J195" i="6" a="1"/>
  <c r="J195" i="6" s="1"/>
  <c r="I195" i="6" a="1"/>
  <c r="I195" i="6" s="1"/>
  <c r="H195" i="6" a="1"/>
  <c r="H195" i="6" s="1"/>
  <c r="K195" i="6" a="1"/>
  <c r="K195" i="6" s="1"/>
  <c r="G226" i="6" a="1"/>
  <c r="G226" i="6" s="1"/>
  <c r="J226" i="6" a="1"/>
  <c r="J226" i="6" s="1"/>
  <c r="K226" i="6" a="1"/>
  <c r="K226" i="6" s="1"/>
  <c r="I226" i="6" a="1"/>
  <c r="I226" i="6" s="1"/>
  <c r="H226" i="6" a="1"/>
  <c r="H226" i="6" s="1"/>
  <c r="G214" i="6" a="1"/>
  <c r="G214" i="6" s="1"/>
  <c r="J214" i="6" a="1"/>
  <c r="J214" i="6" s="1"/>
  <c r="K214" i="6" a="1"/>
  <c r="K214" i="6" s="1"/>
  <c r="I214" i="6" a="1"/>
  <c r="I214" i="6" s="1"/>
  <c r="H214" i="6" a="1"/>
  <c r="H214" i="6" s="1"/>
  <c r="G198" i="6" a="1"/>
  <c r="G198" i="6" s="1"/>
  <c r="K198" i="6" a="1"/>
  <c r="K198" i="6" s="1"/>
  <c r="J198" i="6" a="1"/>
  <c r="J198" i="6" s="1"/>
  <c r="I198" i="6" a="1"/>
  <c r="I198" i="6" s="1"/>
  <c r="H198" i="6" a="1"/>
  <c r="H198" i="6" s="1"/>
  <c r="G199" i="6" a="1"/>
  <c r="G199" i="6" s="1"/>
  <c r="J199" i="6" a="1"/>
  <c r="J199" i="6" s="1"/>
  <c r="I199" i="6" a="1"/>
  <c r="I199" i="6" s="1"/>
  <c r="H199" i="6" a="1"/>
  <c r="H199" i="6" s="1"/>
  <c r="K199" i="6" a="1"/>
  <c r="K199" i="6" s="1"/>
  <c r="G209" i="6" a="1"/>
  <c r="G209" i="6" s="1"/>
  <c r="J209" i="6" a="1"/>
  <c r="J209" i="6" s="1"/>
  <c r="I209" i="6" a="1"/>
  <c r="I209" i="6" s="1"/>
  <c r="K209" i="6" a="1"/>
  <c r="K209" i="6" s="1"/>
  <c r="H209" i="6" a="1"/>
  <c r="H209" i="6" s="1"/>
  <c r="G227" i="6" a="1"/>
  <c r="G227" i="6" s="1"/>
  <c r="J227" i="6" a="1"/>
  <c r="J227" i="6" s="1"/>
  <c r="K227" i="6" a="1"/>
  <c r="K227" i="6" s="1"/>
  <c r="I227" i="6" a="1"/>
  <c r="I227" i="6" s="1"/>
  <c r="H227" i="6" a="1"/>
  <c r="H227" i="6" s="1"/>
  <c r="G225" i="6" a="1"/>
  <c r="G225" i="6" s="1"/>
  <c r="J225" i="6" a="1"/>
  <c r="J225" i="6" s="1"/>
  <c r="K225" i="6" a="1"/>
  <c r="K225" i="6" s="1"/>
  <c r="I225" i="6" a="1"/>
  <c r="I225" i="6" s="1"/>
  <c r="H225" i="6" a="1"/>
  <c r="H225" i="6" s="1"/>
  <c r="G232" i="6" a="1"/>
  <c r="G232" i="6" s="1"/>
  <c r="J232" i="6" a="1"/>
  <c r="J232" i="6" s="1"/>
  <c r="K232" i="6" a="1"/>
  <c r="K232" i="6" s="1"/>
  <c r="I232" i="6" a="1"/>
  <c r="I232" i="6" s="1"/>
  <c r="H232" i="6" a="1"/>
  <c r="H232" i="6" s="1"/>
  <c r="G229" i="6" a="1"/>
  <c r="G229" i="6" s="1"/>
  <c r="J229" i="6" a="1"/>
  <c r="J229" i="6" s="1"/>
  <c r="K229" i="6" a="1"/>
  <c r="K229" i="6" s="1"/>
  <c r="I229" i="6" a="1"/>
  <c r="I229" i="6" s="1"/>
  <c r="H229" i="6" a="1"/>
  <c r="H229" i="6" s="1"/>
  <c r="G224" i="6" a="1"/>
  <c r="G224" i="6" s="1"/>
  <c r="J224" i="6" a="1"/>
  <c r="J224" i="6" s="1"/>
  <c r="K224" i="6" a="1"/>
  <c r="K224" i="6" s="1"/>
  <c r="I224" i="6" a="1"/>
  <c r="I224" i="6" s="1"/>
  <c r="H224" i="6" a="1"/>
  <c r="H224" i="6" s="1"/>
  <c r="G208" i="6" a="1"/>
  <c r="G208" i="6" s="1"/>
  <c r="J208" i="6" a="1"/>
  <c r="J208" i="6" s="1"/>
  <c r="K208" i="6" a="1"/>
  <c r="K208" i="6" s="1"/>
  <c r="I208" i="6" a="1"/>
  <c r="I208" i="6" s="1"/>
  <c r="H208" i="6" a="1"/>
  <c r="H208" i="6" s="1"/>
  <c r="G212" i="6" a="1"/>
  <c r="G212" i="6" s="1"/>
  <c r="J212" i="6" a="1"/>
  <c r="J212" i="6" s="1"/>
  <c r="K212" i="6" a="1"/>
  <c r="K212" i="6" s="1"/>
  <c r="I212" i="6" a="1"/>
  <c r="I212" i="6" s="1"/>
  <c r="H212" i="6" a="1"/>
  <c r="H212" i="6" s="1"/>
  <c r="G200" i="6" a="1"/>
  <c r="G200" i="6" s="1"/>
  <c r="J200" i="6" a="1"/>
  <c r="J200" i="6" s="1"/>
  <c r="K200" i="6" a="1"/>
  <c r="K200" i="6" s="1"/>
  <c r="I200" i="6" a="1"/>
  <c r="I200" i="6" s="1"/>
  <c r="H200" i="6" a="1"/>
  <c r="H200" i="6" s="1"/>
  <c r="G230" i="6" a="1"/>
  <c r="G230" i="6" s="1"/>
  <c r="J230" i="6" a="1"/>
  <c r="J230" i="6" s="1"/>
  <c r="K230" i="6" a="1"/>
  <c r="K230" i="6" s="1"/>
  <c r="I230" i="6" a="1"/>
  <c r="I230" i="6" s="1"/>
  <c r="H230" i="6" a="1"/>
  <c r="H230" i="6" s="1"/>
  <c r="G196" i="6" a="1"/>
  <c r="G196" i="6" s="1"/>
  <c r="K196" i="6" a="1"/>
  <c r="K196" i="6" s="1"/>
  <c r="J196" i="6" a="1"/>
  <c r="J196" i="6" s="1"/>
  <c r="H196" i="6" a="1"/>
  <c r="H196" i="6" s="1"/>
  <c r="I196" i="6" a="1"/>
  <c r="I196" i="6" s="1"/>
  <c r="G210" i="6" a="1"/>
  <c r="G210" i="6" s="1"/>
  <c r="J210" i="6" a="1"/>
  <c r="J210" i="6" s="1"/>
  <c r="K210" i="6" a="1"/>
  <c r="K210" i="6" s="1"/>
  <c r="I210" i="6" a="1"/>
  <c r="I210" i="6" s="1"/>
  <c r="H210" i="6" a="1"/>
  <c r="H210" i="6" s="1"/>
  <c r="G203" i="6" a="1"/>
  <c r="G203" i="6" s="1"/>
  <c r="J203" i="6" a="1"/>
  <c r="J203" i="6" s="1"/>
  <c r="I203" i="6" a="1"/>
  <c r="I203" i="6" s="1"/>
  <c r="K203" i="6" a="1"/>
  <c r="K203" i="6" s="1"/>
  <c r="H203" i="6" a="1"/>
  <c r="H203" i="6" s="1"/>
  <c r="G211" i="6" a="1"/>
  <c r="G211" i="6" s="1"/>
  <c r="J211" i="6" a="1"/>
  <c r="J211" i="6" s="1"/>
  <c r="I211" i="6" a="1"/>
  <c r="I211" i="6" s="1"/>
  <c r="K211" i="6" a="1"/>
  <c r="K211" i="6" s="1"/>
  <c r="H211" i="6" a="1"/>
  <c r="H211" i="6" s="1"/>
  <c r="G231" i="6" a="1"/>
  <c r="G231" i="6" s="1"/>
  <c r="J231" i="6" a="1"/>
  <c r="J231" i="6" s="1"/>
  <c r="K231" i="6" a="1"/>
  <c r="K231" i="6" s="1"/>
  <c r="I231" i="6" a="1"/>
  <c r="I231" i="6" s="1"/>
  <c r="H231" i="6" a="1"/>
  <c r="H231" i="6" s="1"/>
  <c r="G246" i="6" a="1"/>
  <c r="G246" i="6" s="1"/>
  <c r="J246" i="6" a="1"/>
  <c r="J246" i="6" s="1"/>
  <c r="K246" i="6" a="1"/>
  <c r="K246" i="6" s="1"/>
  <c r="I246" i="6" a="1"/>
  <c r="I246" i="6" s="1"/>
  <c r="H246" i="6" a="1"/>
  <c r="H246" i="6" s="1"/>
  <c r="G222" i="6" a="1"/>
  <c r="G222" i="6" s="1"/>
  <c r="J222" i="6" a="1"/>
  <c r="J222" i="6" s="1"/>
  <c r="K222" i="6" a="1"/>
  <c r="K222" i="6" s="1"/>
  <c r="I222" i="6" a="1"/>
  <c r="I222" i="6" s="1"/>
  <c r="H222" i="6" a="1"/>
  <c r="H222" i="6" s="1"/>
  <c r="G220" i="6" a="1"/>
  <c r="G220" i="6" s="1"/>
  <c r="J220" i="6" a="1"/>
  <c r="J220" i="6" s="1"/>
  <c r="K220" i="6" a="1"/>
  <c r="K220" i="6" s="1"/>
  <c r="I220" i="6" a="1"/>
  <c r="I220" i="6" s="1"/>
  <c r="H220" i="6" a="1"/>
  <c r="H220" i="6" s="1"/>
  <c r="G217" i="6" a="1"/>
  <c r="G217" i="6" s="1"/>
  <c r="J217" i="6" a="1"/>
  <c r="J217" i="6" s="1"/>
  <c r="I217" i="6" a="1"/>
  <c r="I217" i="6" s="1"/>
  <c r="K217" i="6" a="1"/>
  <c r="K217" i="6" s="1"/>
  <c r="H217" i="6" a="1"/>
  <c r="H217" i="6" s="1"/>
  <c r="G218" i="6" a="1"/>
  <c r="G218" i="6" s="1"/>
  <c r="J218" i="6" a="1"/>
  <c r="J218" i="6" s="1"/>
  <c r="K218" i="6" a="1"/>
  <c r="K218" i="6" s="1"/>
  <c r="I218" i="6" a="1"/>
  <c r="I218" i="6" s="1"/>
  <c r="H218" i="6" a="1"/>
  <c r="H218" i="6" s="1"/>
  <c r="G213" i="6" a="1"/>
  <c r="G213" i="6" s="1"/>
  <c r="J213" i="6" a="1"/>
  <c r="J213" i="6" s="1"/>
  <c r="I213" i="6" a="1"/>
  <c r="I213" i="6" s="1"/>
  <c r="H213" i="6" a="1"/>
  <c r="H213" i="6" s="1"/>
  <c r="K213" i="6" a="1"/>
  <c r="K213" i="6" s="1"/>
  <c r="G233" i="6" a="1"/>
  <c r="G233" i="6" s="1"/>
  <c r="J233" i="6" a="1"/>
  <c r="J233" i="6" s="1"/>
  <c r="K233" i="6" a="1"/>
  <c r="K233" i="6" s="1"/>
  <c r="I233" i="6" a="1"/>
  <c r="I233" i="6" s="1"/>
  <c r="H233" i="6" a="1"/>
  <c r="H233" i="6" s="1"/>
  <c r="G228" i="6" a="1"/>
  <c r="G228" i="6" s="1"/>
  <c r="J228" i="6" a="1"/>
  <c r="J228" i="6" s="1"/>
  <c r="K228" i="6" a="1"/>
  <c r="K228" i="6" s="1"/>
  <c r="I228" i="6" a="1"/>
  <c r="I228" i="6" s="1"/>
  <c r="H228" i="6" a="1"/>
  <c r="H228" i="6" s="1"/>
  <c r="G245" i="6" a="1"/>
  <c r="G245" i="6" s="1"/>
  <c r="J245" i="6" a="1"/>
  <c r="J245" i="6" s="1"/>
  <c r="K245" i="6" a="1"/>
  <c r="K245" i="6" s="1"/>
  <c r="I245" i="6" a="1"/>
  <c r="I245" i="6" s="1"/>
  <c r="H245" i="6" a="1"/>
  <c r="H245" i="6" s="1"/>
  <c r="G244" i="6" a="1"/>
  <c r="G244" i="6" s="1"/>
  <c r="J244" i="6" a="1"/>
  <c r="J244" i="6" s="1"/>
  <c r="K244" i="6" a="1"/>
  <c r="K244" i="6" s="1"/>
  <c r="I244" i="6" a="1"/>
  <c r="I244" i="6" s="1"/>
  <c r="H244" i="6" a="1"/>
  <c r="H244" i="6" s="1"/>
  <c r="G202" i="6" a="1"/>
  <c r="G202" i="6" s="1"/>
  <c r="J202" i="6" a="1"/>
  <c r="J202" i="6" s="1"/>
  <c r="K202" i="6" a="1"/>
  <c r="K202" i="6" s="1"/>
  <c r="I202" i="6" a="1"/>
  <c r="I202" i="6" s="1"/>
  <c r="H202" i="6" a="1"/>
  <c r="H202" i="6" s="1"/>
  <c r="G207" i="6" a="1"/>
  <c r="G207" i="6" s="1"/>
  <c r="J207" i="6" a="1"/>
  <c r="J207" i="6" s="1"/>
  <c r="I207" i="6" a="1"/>
  <c r="I207" i="6" s="1"/>
  <c r="K207" i="6" a="1"/>
  <c r="K207" i="6" s="1"/>
  <c r="H207" i="6" a="1"/>
  <c r="H207" i="6" s="1"/>
  <c r="G197" i="6" a="1"/>
  <c r="G197" i="6" s="1"/>
  <c r="H197" i="6" a="1"/>
  <c r="H197" i="6" s="1"/>
  <c r="K197" i="6" a="1"/>
  <c r="K197" i="6" s="1"/>
  <c r="J197" i="6" a="1"/>
  <c r="J197" i="6" s="1"/>
  <c r="I197" i="6" a="1"/>
  <c r="I197" i="6" s="1"/>
  <c r="F10" i="1"/>
  <c r="E143" i="1" l="1"/>
  <c r="D18" i="6" l="1"/>
  <c r="D7" i="6"/>
  <c r="V5" i="7"/>
  <c r="V9" i="7"/>
  <c r="V13" i="7"/>
  <c r="V17" i="7"/>
  <c r="V6" i="7"/>
  <c r="V10" i="7"/>
  <c r="V14" i="7"/>
  <c r="V18" i="7"/>
  <c r="V7" i="7"/>
  <c r="V11" i="7"/>
  <c r="V15" i="7"/>
  <c r="V19" i="7"/>
  <c r="V8" i="7"/>
  <c r="V12" i="7"/>
  <c r="V16" i="7"/>
  <c r="D19" i="6"/>
  <c r="AE240" i="6"/>
  <c r="AE184" i="6"/>
  <c r="AE176" i="6"/>
  <c r="AE164" i="6"/>
  <c r="D160" i="6"/>
  <c r="D148" i="6"/>
  <c r="D140" i="6"/>
  <c r="D132" i="6"/>
  <c r="D128" i="6"/>
  <c r="D116" i="6"/>
  <c r="D108" i="6"/>
  <c r="D100" i="6"/>
  <c r="D96" i="6"/>
  <c r="D88" i="6"/>
  <c r="D80" i="6"/>
  <c r="D72" i="6"/>
  <c r="D64" i="6"/>
  <c r="D56" i="6"/>
  <c r="D48" i="6"/>
  <c r="D40" i="6"/>
  <c r="D32" i="6"/>
  <c r="D24" i="6"/>
  <c r="D14" i="6"/>
  <c r="D10" i="6"/>
  <c r="E193" i="6"/>
  <c r="D243" i="6"/>
  <c r="D239" i="6"/>
  <c r="D179" i="6"/>
  <c r="D171" i="6"/>
  <c r="D163" i="6"/>
  <c r="D155" i="6"/>
  <c r="D147" i="6"/>
  <c r="D143" i="6"/>
  <c r="D139" i="6"/>
  <c r="D131" i="6"/>
  <c r="D127" i="6"/>
  <c r="D123" i="6"/>
  <c r="D115" i="6"/>
  <c r="D111" i="6"/>
  <c r="D103" i="6"/>
  <c r="D95" i="6"/>
  <c r="D87" i="6"/>
  <c r="D83" i="6"/>
  <c r="D79" i="6"/>
  <c r="D71" i="6"/>
  <c r="D67" i="6"/>
  <c r="D59" i="6"/>
  <c r="D55" i="6"/>
  <c r="D51" i="6"/>
  <c r="D43" i="6"/>
  <c r="D35" i="6"/>
  <c r="D27" i="6"/>
  <c r="D13" i="6"/>
  <c r="D186" i="6"/>
  <c r="D178" i="6"/>
  <c r="D174" i="6"/>
  <c r="D170" i="6"/>
  <c r="D166" i="6"/>
  <c r="D162" i="6"/>
  <c r="D158" i="6"/>
  <c r="D154" i="6"/>
  <c r="D150" i="6"/>
  <c r="D146" i="6"/>
  <c r="D142" i="6"/>
  <c r="D138" i="6"/>
  <c r="D134" i="6"/>
  <c r="D130" i="6"/>
  <c r="D126" i="6"/>
  <c r="D122" i="6"/>
  <c r="D118" i="6"/>
  <c r="D114" i="6"/>
  <c r="D110" i="6"/>
  <c r="D106" i="6"/>
  <c r="D102" i="6"/>
  <c r="D98" i="6"/>
  <c r="D94" i="6"/>
  <c r="D90" i="6"/>
  <c r="D86" i="6"/>
  <c r="D82" i="6"/>
  <c r="D78" i="6"/>
  <c r="D74" i="6"/>
  <c r="D70" i="6"/>
  <c r="D66" i="6"/>
  <c r="D62" i="6"/>
  <c r="D58" i="6"/>
  <c r="D54" i="6"/>
  <c r="D50" i="6"/>
  <c r="D46" i="6"/>
  <c r="D42" i="6"/>
  <c r="D38" i="6"/>
  <c r="D34" i="6"/>
  <c r="D30" i="6"/>
  <c r="D26" i="6"/>
  <c r="D22" i="6"/>
  <c r="D12" i="6"/>
  <c r="D8" i="6"/>
  <c r="E236" i="6"/>
  <c r="E194" i="6"/>
  <c r="F192" i="6"/>
  <c r="E190" i="6"/>
  <c r="E188" i="6"/>
  <c r="AE180" i="6"/>
  <c r="AE172" i="6"/>
  <c r="AE168" i="6"/>
  <c r="D156" i="6"/>
  <c r="D152" i="6"/>
  <c r="D144" i="6"/>
  <c r="D136" i="6"/>
  <c r="D124" i="6"/>
  <c r="D120" i="6"/>
  <c r="D112" i="6"/>
  <c r="D104" i="6"/>
  <c r="D92" i="6"/>
  <c r="D84" i="6"/>
  <c r="D76" i="6"/>
  <c r="D68" i="6"/>
  <c r="D60" i="6"/>
  <c r="D52" i="6"/>
  <c r="D44" i="6"/>
  <c r="D36" i="6"/>
  <c r="D28" i="6"/>
  <c r="D20" i="6"/>
  <c r="E238" i="6"/>
  <c r="E235" i="6"/>
  <c r="D191" i="6"/>
  <c r="E189" i="6"/>
  <c r="D183" i="6"/>
  <c r="D175" i="6"/>
  <c r="D167" i="6"/>
  <c r="D159" i="6"/>
  <c r="D151" i="6"/>
  <c r="D135" i="6"/>
  <c r="D119" i="6"/>
  <c r="D107" i="6"/>
  <c r="D99" i="6"/>
  <c r="D91" i="6"/>
  <c r="D75" i="6"/>
  <c r="D63" i="6"/>
  <c r="D47" i="6"/>
  <c r="D39" i="6"/>
  <c r="D31" i="6"/>
  <c r="D23" i="6"/>
  <c r="D9" i="6"/>
  <c r="E237" i="6"/>
  <c r="D242" i="6"/>
  <c r="D182" i="6"/>
  <c r="D241" i="6"/>
  <c r="D185" i="6"/>
  <c r="E181" i="6"/>
  <c r="D177" i="6"/>
  <c r="AL173" i="6"/>
  <c r="D169" i="6"/>
  <c r="D165" i="6"/>
  <c r="D161" i="6"/>
  <c r="D157" i="6"/>
  <c r="D153" i="6"/>
  <c r="D149" i="6"/>
  <c r="D145" i="6"/>
  <c r="D141" i="6"/>
  <c r="D137" i="6"/>
  <c r="D133" i="6"/>
  <c r="D129" i="6"/>
  <c r="D125" i="6"/>
  <c r="D121" i="6"/>
  <c r="D117" i="6"/>
  <c r="D113" i="6"/>
  <c r="D109" i="6"/>
  <c r="D105" i="6"/>
  <c r="D101" i="6"/>
  <c r="D97" i="6"/>
  <c r="D93" i="6"/>
  <c r="D89" i="6"/>
  <c r="D85" i="6"/>
  <c r="D81" i="6"/>
  <c r="D77" i="6"/>
  <c r="D73" i="6"/>
  <c r="D69" i="6"/>
  <c r="D65" i="6"/>
  <c r="D61" i="6"/>
  <c r="D57" i="6"/>
  <c r="D53" i="6"/>
  <c r="D49" i="6"/>
  <c r="D45" i="6"/>
  <c r="D41" i="6"/>
  <c r="D37" i="6"/>
  <c r="D33" i="6"/>
  <c r="D29" i="6"/>
  <c r="D25" i="6"/>
  <c r="D21" i="6"/>
  <c r="D17" i="6"/>
  <c r="D11" i="6"/>
  <c r="E187" i="6"/>
  <c r="AL188" i="6"/>
  <c r="D188" i="6"/>
  <c r="AL189" i="6"/>
  <c r="AJ188" i="6"/>
  <c r="AK188" i="6" s="1"/>
  <c r="D189" i="6"/>
  <c r="AE188" i="6"/>
  <c r="AL191" i="6"/>
  <c r="AJ189" i="6"/>
  <c r="AK189" i="6" s="1"/>
  <c r="F189" i="6"/>
  <c r="AL190" i="6"/>
  <c r="D190" i="6"/>
  <c r="AE189" i="6"/>
  <c r="AE191" i="6"/>
  <c r="AJ191" i="6"/>
  <c r="AK191" i="6" s="1"/>
  <c r="E191" i="6"/>
  <c r="AJ190" i="6"/>
  <c r="AK190" i="6" s="1"/>
  <c r="F190" i="6"/>
  <c r="F191" i="6"/>
  <c r="AE190" i="6"/>
  <c r="AL192" i="6"/>
  <c r="AE192" i="6"/>
  <c r="E192" i="6"/>
  <c r="AJ192" i="6"/>
  <c r="AK192" i="6" s="1"/>
  <c r="D192" i="6"/>
  <c r="AL193" i="6"/>
  <c r="D193" i="6"/>
  <c r="AL194" i="6"/>
  <c r="AJ193" i="6"/>
  <c r="AK193" i="6" s="1"/>
  <c r="F193" i="6"/>
  <c r="D194" i="6"/>
  <c r="AE193" i="6"/>
  <c r="AL235" i="6"/>
  <c r="AJ194" i="6"/>
  <c r="AK194" i="6" s="1"/>
  <c r="D235" i="6"/>
  <c r="AE194" i="6"/>
  <c r="AJ235" i="6"/>
  <c r="AK235" i="6" s="1"/>
  <c r="AE235" i="6"/>
  <c r="D237" i="6"/>
  <c r="AL187" i="6"/>
  <c r="D187" i="6"/>
  <c r="D236" i="6"/>
  <c r="AJ187" i="6"/>
  <c r="AK187" i="6" s="1"/>
  <c r="D238" i="6"/>
  <c r="AL236" i="6"/>
  <c r="AE187" i="6"/>
  <c r="AJ236" i="6"/>
  <c r="AK236" i="6" s="1"/>
  <c r="D173" i="6"/>
  <c r="AL237" i="6"/>
  <c r="AE236" i="6"/>
  <c r="AJ237" i="6"/>
  <c r="AK237" i="6" s="1"/>
  <c r="AL238" i="6"/>
  <c r="AE237" i="6"/>
  <c r="AJ238" i="6"/>
  <c r="AK238" i="6" s="1"/>
  <c r="AE238" i="6"/>
  <c r="AE177" i="6"/>
  <c r="AE161" i="6"/>
  <c r="AE239" i="6"/>
  <c r="AE163" i="6"/>
  <c r="AE242" i="6"/>
  <c r="AE171" i="6"/>
  <c r="AJ162" i="6"/>
  <c r="AE182" i="6"/>
  <c r="AE162" i="6"/>
  <c r="AJ243" i="6"/>
  <c r="AK243" i="6" s="1"/>
  <c r="AJ178" i="6"/>
  <c r="AL174" i="6"/>
  <c r="AJ174" i="6"/>
  <c r="AE178" i="6"/>
  <c r="AE170" i="6"/>
  <c r="AL186" i="6"/>
  <c r="AL170" i="6"/>
  <c r="AJ186" i="6"/>
  <c r="AJ170" i="6"/>
  <c r="AE166" i="6"/>
  <c r="AL182" i="6"/>
  <c r="AL166" i="6"/>
  <c r="AJ182" i="6"/>
  <c r="AJ166" i="6"/>
  <c r="AE243" i="6"/>
  <c r="AE186" i="6"/>
  <c r="AE174" i="6"/>
  <c r="AL243" i="6"/>
  <c r="AL178" i="6"/>
  <c r="AL162" i="6"/>
  <c r="AE175" i="6"/>
  <c r="AE167" i="6"/>
  <c r="AE179" i="6"/>
  <c r="AL181" i="6"/>
  <c r="AL165" i="6"/>
  <c r="AL242" i="6"/>
  <c r="AL177" i="6"/>
  <c r="AL161" i="6"/>
  <c r="AJ242" i="6"/>
  <c r="AK242" i="6" s="1"/>
  <c r="AJ185" i="6"/>
  <c r="AJ177" i="6"/>
  <c r="AJ169" i="6"/>
  <c r="AJ161" i="6"/>
  <c r="AE183" i="6"/>
  <c r="AE173" i="6"/>
  <c r="AL185" i="6"/>
  <c r="AL169" i="6"/>
  <c r="AJ181" i="6"/>
  <c r="AJ173" i="6"/>
  <c r="AJ165" i="6"/>
  <c r="AE181" i="6"/>
  <c r="AE165" i="6"/>
  <c r="AE185" i="6"/>
  <c r="AE169" i="6"/>
  <c r="E241" i="6"/>
  <c r="E240" i="6"/>
  <c r="E184" i="6"/>
  <c r="E180" i="6"/>
  <c r="E176" i="6"/>
  <c r="E172" i="6"/>
  <c r="E168" i="6"/>
  <c r="E164" i="6"/>
  <c r="E160" i="6"/>
  <c r="E156" i="6"/>
  <c r="E152" i="6"/>
  <c r="E148" i="6"/>
  <c r="E144" i="6"/>
  <c r="E140" i="6"/>
  <c r="E136" i="6"/>
  <c r="E132" i="6"/>
  <c r="E128" i="6"/>
  <c r="E124" i="6"/>
  <c r="E120" i="6"/>
  <c r="E116" i="6"/>
  <c r="E112" i="6"/>
  <c r="E108" i="6"/>
  <c r="E104" i="6"/>
  <c r="E100" i="6"/>
  <c r="E96" i="6"/>
  <c r="E92" i="6"/>
  <c r="E88" i="6"/>
  <c r="E84" i="6"/>
  <c r="E80" i="6"/>
  <c r="E76" i="6"/>
  <c r="E72" i="6"/>
  <c r="E68" i="6"/>
  <c r="E64" i="6"/>
  <c r="E60" i="6"/>
  <c r="E56" i="6"/>
  <c r="E52" i="6"/>
  <c r="E48" i="6"/>
  <c r="E44" i="6"/>
  <c r="E40" i="6"/>
  <c r="E36" i="6"/>
  <c r="E32" i="6"/>
  <c r="E28" i="6"/>
  <c r="E24" i="6"/>
  <c r="E20" i="6"/>
  <c r="E14" i="6"/>
  <c r="E10" i="6"/>
  <c r="E239" i="6"/>
  <c r="E183" i="6"/>
  <c r="E179" i="6"/>
  <c r="E175" i="6"/>
  <c r="E171" i="6"/>
  <c r="E167" i="6"/>
  <c r="E163" i="6"/>
  <c r="E159" i="6"/>
  <c r="E155" i="6"/>
  <c r="E151" i="6"/>
  <c r="E147" i="6"/>
  <c r="E143" i="6"/>
  <c r="E139" i="6"/>
  <c r="E135" i="6"/>
  <c r="E131" i="6"/>
  <c r="E127" i="6"/>
  <c r="E123" i="6"/>
  <c r="E119" i="6"/>
  <c r="E115" i="6"/>
  <c r="E111" i="6"/>
  <c r="E107" i="6"/>
  <c r="E103" i="6"/>
  <c r="E99" i="6"/>
  <c r="E95" i="6"/>
  <c r="E91" i="6"/>
  <c r="E87" i="6"/>
  <c r="E83" i="6"/>
  <c r="E79" i="6"/>
  <c r="E75" i="6"/>
  <c r="E71" i="6"/>
  <c r="E67" i="6"/>
  <c r="E63" i="6"/>
  <c r="E59" i="6"/>
  <c r="E55" i="6"/>
  <c r="E51" i="6"/>
  <c r="E47" i="6"/>
  <c r="E43" i="6"/>
  <c r="E39" i="6"/>
  <c r="E35" i="6"/>
  <c r="E31" i="6"/>
  <c r="E27" i="6"/>
  <c r="E23" i="6"/>
  <c r="E19" i="6"/>
  <c r="E13" i="6"/>
  <c r="E9" i="6"/>
  <c r="E243" i="6"/>
  <c r="E186" i="6"/>
  <c r="E182" i="6"/>
  <c r="E178" i="6"/>
  <c r="E174" i="6"/>
  <c r="E170" i="6"/>
  <c r="E166" i="6"/>
  <c r="E162" i="6"/>
  <c r="E158" i="6"/>
  <c r="E154" i="6"/>
  <c r="E150" i="6"/>
  <c r="E146" i="6"/>
  <c r="E142" i="6"/>
  <c r="E138" i="6"/>
  <c r="E134" i="6"/>
  <c r="E130" i="6"/>
  <c r="E126" i="6"/>
  <c r="E122" i="6"/>
  <c r="E118" i="6"/>
  <c r="E114" i="6"/>
  <c r="E110" i="6"/>
  <c r="E106" i="6"/>
  <c r="E102" i="6"/>
  <c r="E98" i="6"/>
  <c r="E94" i="6"/>
  <c r="E90" i="6"/>
  <c r="E86" i="6"/>
  <c r="E82" i="6"/>
  <c r="E78" i="6"/>
  <c r="E74" i="6"/>
  <c r="E70" i="6"/>
  <c r="E66" i="6"/>
  <c r="E62" i="6"/>
  <c r="E58" i="6"/>
  <c r="E54" i="6"/>
  <c r="E50" i="6"/>
  <c r="E46" i="6"/>
  <c r="E42" i="6"/>
  <c r="E38" i="6"/>
  <c r="E34" i="6"/>
  <c r="E30" i="6"/>
  <c r="E26" i="6"/>
  <c r="E22" i="6"/>
  <c r="E18" i="6"/>
  <c r="E12" i="6"/>
  <c r="E8" i="6"/>
  <c r="AE241" i="6"/>
  <c r="E242" i="6"/>
  <c r="E185" i="6"/>
  <c r="E177" i="6"/>
  <c r="E173" i="6"/>
  <c r="E169" i="6"/>
  <c r="E165" i="6"/>
  <c r="E161" i="6"/>
  <c r="E157" i="6"/>
  <c r="E153" i="6"/>
  <c r="E149" i="6"/>
  <c r="E145" i="6"/>
  <c r="E141" i="6"/>
  <c r="E137" i="6"/>
  <c r="E133" i="6"/>
  <c r="E129" i="6"/>
  <c r="E125" i="6"/>
  <c r="E121" i="6"/>
  <c r="E117" i="6"/>
  <c r="E113" i="6"/>
  <c r="E109" i="6"/>
  <c r="E105" i="6"/>
  <c r="E101" i="6"/>
  <c r="E97" i="6"/>
  <c r="E93" i="6"/>
  <c r="E89" i="6"/>
  <c r="E85" i="6"/>
  <c r="E81" i="6"/>
  <c r="E77" i="6"/>
  <c r="E73" i="6"/>
  <c r="E69" i="6"/>
  <c r="E65" i="6"/>
  <c r="E61" i="6"/>
  <c r="E57" i="6"/>
  <c r="E53" i="6"/>
  <c r="E49" i="6"/>
  <c r="E45" i="6"/>
  <c r="E41" i="6"/>
  <c r="E37" i="6"/>
  <c r="E33" i="6"/>
  <c r="E29" i="6"/>
  <c r="E25" i="6"/>
  <c r="E21" i="6"/>
  <c r="E17" i="6"/>
  <c r="E11" i="6"/>
  <c r="E7" i="6"/>
  <c r="D240" i="6"/>
  <c r="D184" i="6"/>
  <c r="D180" i="6"/>
  <c r="D176" i="6"/>
  <c r="D172" i="6"/>
  <c r="D168" i="6"/>
  <c r="D164" i="6"/>
  <c r="D181" i="6"/>
  <c r="AJ184" i="6"/>
  <c r="AJ176" i="6"/>
  <c r="AJ168" i="6"/>
  <c r="AJ241" i="6"/>
  <c r="AK241" i="6" s="1"/>
  <c r="AJ240" i="6"/>
  <c r="AK240" i="6" s="1"/>
  <c r="AJ180" i="6"/>
  <c r="AJ172" i="6"/>
  <c r="AJ164" i="6"/>
  <c r="AL240" i="6"/>
  <c r="AL180" i="6"/>
  <c r="AL172" i="6"/>
  <c r="AL164" i="6"/>
  <c r="AL241" i="6"/>
  <c r="AL184" i="6"/>
  <c r="AL176" i="6"/>
  <c r="AL168" i="6"/>
  <c r="AL239" i="6"/>
  <c r="AL183" i="6"/>
  <c r="AL179" i="6"/>
  <c r="AL175" i="6"/>
  <c r="AL171" i="6"/>
  <c r="AL167" i="6"/>
  <c r="AL163" i="6"/>
  <c r="AJ239" i="6"/>
  <c r="AK239" i="6" s="1"/>
  <c r="AJ183" i="6"/>
  <c r="AJ179" i="6"/>
  <c r="AJ175" i="6"/>
  <c r="AJ171" i="6"/>
  <c r="AJ167" i="6"/>
  <c r="AJ163" i="6"/>
  <c r="D156" i="1"/>
  <c r="G193" i="6" l="1" a="1"/>
  <c r="G193" i="6" s="1"/>
  <c r="K193" i="6" a="1"/>
  <c r="K193" i="6" s="1"/>
  <c r="J193" i="6" a="1"/>
  <c r="J193" i="6" s="1"/>
  <c r="I193" i="6" a="1"/>
  <c r="I193" i="6" s="1"/>
  <c r="H193" i="6" a="1"/>
  <c r="H193" i="6" s="1"/>
  <c r="G192" i="6" a="1"/>
  <c r="G192" i="6" s="1"/>
  <c r="I192" i="6" a="1"/>
  <c r="I192" i="6" s="1"/>
  <c r="H192" i="6" a="1"/>
  <c r="H192" i="6" s="1"/>
  <c r="K192" i="6" a="1"/>
  <c r="K192" i="6" s="1"/>
  <c r="J192" i="6" a="1"/>
  <c r="J192" i="6" s="1"/>
  <c r="G191" i="6" a="1"/>
  <c r="G191" i="6" s="1"/>
  <c r="K191" i="6" a="1"/>
  <c r="K191" i="6" s="1"/>
  <c r="I191" i="6" a="1"/>
  <c r="I191" i="6" s="1"/>
  <c r="J191" i="6" a="1"/>
  <c r="J191" i="6" s="1"/>
  <c r="H191" i="6" a="1"/>
  <c r="H191" i="6" s="1"/>
  <c r="G190" i="6" a="1"/>
  <c r="G190" i="6" s="1"/>
  <c r="K190" i="6" a="1"/>
  <c r="K190" i="6" s="1"/>
  <c r="J190" i="6" a="1"/>
  <c r="J190" i="6" s="1"/>
  <c r="I190" i="6" a="1"/>
  <c r="I190" i="6" s="1"/>
  <c r="H190" i="6" a="1"/>
  <c r="H190" i="6" s="1"/>
  <c r="G189" i="6" a="1"/>
  <c r="G189" i="6" s="1"/>
  <c r="H189" i="6" a="1"/>
  <c r="H189" i="6" s="1"/>
  <c r="K189" i="6" a="1"/>
  <c r="K189" i="6" s="1"/>
  <c r="I189" i="6" a="1"/>
  <c r="I189" i="6" s="1"/>
  <c r="J189" i="6" a="1"/>
  <c r="J189" i="6" s="1"/>
  <c r="F2" i="20"/>
  <c r="E2" i="11"/>
  <c r="E147" i="1" l="1"/>
  <c r="D147" i="1"/>
  <c r="K5" i="16" l="1"/>
  <c r="AE158" i="6" l="1"/>
  <c r="AJ158" i="6"/>
  <c r="AL158" i="6"/>
  <c r="AE159" i="6" l="1"/>
  <c r="AE160" i="6"/>
  <c r="AJ159" i="6"/>
  <c r="AJ160" i="6"/>
  <c r="AL159" i="6"/>
  <c r="AL160" i="6"/>
  <c r="C112" i="1"/>
  <c r="AE32" i="6" l="1"/>
  <c r="AJ32" i="6"/>
  <c r="AL32" i="6"/>
  <c r="AE7" i="6"/>
  <c r="AE8" i="6"/>
  <c r="AE9" i="6"/>
  <c r="AE10" i="6"/>
  <c r="AE11" i="6"/>
  <c r="AE12" i="6"/>
  <c r="AE13" i="6"/>
  <c r="AE14" i="6"/>
  <c r="AE17" i="6"/>
  <c r="AE18" i="6"/>
  <c r="AE19" i="6"/>
  <c r="AE20" i="6"/>
  <c r="AE21" i="6"/>
  <c r="AE22" i="6"/>
  <c r="AE23" i="6"/>
  <c r="AE24" i="6"/>
  <c r="AE25" i="6"/>
  <c r="AE26" i="6"/>
  <c r="AE27" i="6"/>
  <c r="AE28" i="6"/>
  <c r="AE29" i="6"/>
  <c r="AE30" i="6"/>
  <c r="AE31" i="6"/>
  <c r="AE33" i="6"/>
  <c r="AE34" i="6"/>
  <c r="AE35" i="6"/>
  <c r="AE36" i="6"/>
  <c r="AE37" i="6"/>
  <c r="AE38" i="6"/>
  <c r="AE39" i="6"/>
  <c r="AE40" i="6"/>
  <c r="AE41" i="6"/>
  <c r="AE42" i="6"/>
  <c r="AE43" i="6"/>
  <c r="AE44" i="6"/>
  <c r="AE45" i="6"/>
  <c r="AE46" i="6"/>
  <c r="AE47" i="6"/>
  <c r="AE48" i="6"/>
  <c r="AE49" i="6"/>
  <c r="AE50" i="6"/>
  <c r="AE51" i="6"/>
  <c r="AE52" i="6"/>
  <c r="AE53" i="6"/>
  <c r="AE54" i="6"/>
  <c r="AE55" i="6"/>
  <c r="AE56" i="6"/>
  <c r="AE57" i="6"/>
  <c r="AE58" i="6"/>
  <c r="AE59" i="6"/>
  <c r="AE60" i="6"/>
  <c r="AE61" i="6"/>
  <c r="AE62" i="6"/>
  <c r="AE63" i="6"/>
  <c r="AE64" i="6"/>
  <c r="AE65" i="6"/>
  <c r="AE66" i="6"/>
  <c r="AE67" i="6"/>
  <c r="AE68" i="6"/>
  <c r="AE69" i="6"/>
  <c r="AE70" i="6"/>
  <c r="AE71" i="6"/>
  <c r="AE72" i="6"/>
  <c r="AE73" i="6"/>
  <c r="AE74" i="6"/>
  <c r="AE75" i="6"/>
  <c r="AE76" i="6"/>
  <c r="AE77" i="6"/>
  <c r="AE78" i="6"/>
  <c r="AE79" i="6"/>
  <c r="AE80" i="6"/>
  <c r="AE81" i="6"/>
  <c r="AE82" i="6"/>
  <c r="AE83" i="6"/>
  <c r="AE84" i="6"/>
  <c r="AE85" i="6"/>
  <c r="AE86" i="6"/>
  <c r="AE87" i="6"/>
  <c r="AE88" i="6"/>
  <c r="AE89" i="6"/>
  <c r="AE90" i="6"/>
  <c r="AE91" i="6"/>
  <c r="AE92" i="6"/>
  <c r="AE93" i="6"/>
  <c r="AE94" i="6"/>
  <c r="AE95" i="6"/>
  <c r="AE96" i="6"/>
  <c r="AE97" i="6"/>
  <c r="AE98" i="6"/>
  <c r="AE99" i="6"/>
  <c r="AE100" i="6"/>
  <c r="AE101" i="6"/>
  <c r="AE102" i="6"/>
  <c r="AE103" i="6"/>
  <c r="AE104" i="6"/>
  <c r="AE105" i="6"/>
  <c r="AE106" i="6"/>
  <c r="AE107" i="6"/>
  <c r="AE108" i="6"/>
  <c r="AE109" i="6"/>
  <c r="AE110" i="6"/>
  <c r="AE111" i="6"/>
  <c r="AE112" i="6"/>
  <c r="AE113" i="6"/>
  <c r="AE114" i="6"/>
  <c r="AE115" i="6"/>
  <c r="AE116" i="6"/>
  <c r="AE117" i="6"/>
  <c r="AE118" i="6"/>
  <c r="AE119" i="6"/>
  <c r="AE120" i="6"/>
  <c r="AE121" i="6"/>
  <c r="AE122" i="6"/>
  <c r="AE123" i="6"/>
  <c r="AE124" i="6"/>
  <c r="AE125" i="6"/>
  <c r="AE126" i="6"/>
  <c r="AE127" i="6"/>
  <c r="AE128" i="6"/>
  <c r="AE129" i="6"/>
  <c r="AE130" i="6"/>
  <c r="AE131" i="6"/>
  <c r="AE132" i="6"/>
  <c r="AE133" i="6"/>
  <c r="AE134" i="6"/>
  <c r="AE135" i="6"/>
  <c r="AE136" i="6"/>
  <c r="AE137" i="6"/>
  <c r="AE138" i="6"/>
  <c r="AE139" i="6"/>
  <c r="AE140" i="6"/>
  <c r="AE141" i="6"/>
  <c r="AE142" i="6"/>
  <c r="AE143" i="6"/>
  <c r="AE144" i="6"/>
  <c r="AE145" i="6"/>
  <c r="AE146" i="6"/>
  <c r="AE147" i="6"/>
  <c r="AE148" i="6"/>
  <c r="AE149" i="6"/>
  <c r="AE150" i="6"/>
  <c r="AE151" i="6"/>
  <c r="AE152" i="6"/>
  <c r="AE153" i="6"/>
  <c r="AE154" i="6"/>
  <c r="AE155" i="6"/>
  <c r="AE156" i="6"/>
  <c r="AE157" i="6"/>
  <c r="AJ133" i="6" l="1"/>
  <c r="AJ134" i="6"/>
  <c r="AJ135" i="6"/>
  <c r="AJ136" i="6"/>
  <c r="AJ137" i="6"/>
  <c r="AJ138" i="6"/>
  <c r="AJ139" i="6"/>
  <c r="AJ140" i="6"/>
  <c r="AJ141" i="6"/>
  <c r="AJ142" i="6"/>
  <c r="AJ143" i="6"/>
  <c r="AJ144" i="6"/>
  <c r="AJ145" i="6"/>
  <c r="AJ146" i="6"/>
  <c r="AJ147" i="6"/>
  <c r="AJ148" i="6"/>
  <c r="AJ149" i="6"/>
  <c r="AJ150" i="6"/>
  <c r="AJ151" i="6"/>
  <c r="AJ152" i="6"/>
  <c r="AJ153" i="6"/>
  <c r="AJ154" i="6"/>
  <c r="AJ155" i="6"/>
  <c r="AJ156" i="6"/>
  <c r="AJ157" i="6"/>
  <c r="AL133" i="6"/>
  <c r="AL134" i="6"/>
  <c r="AL135" i="6"/>
  <c r="AL136" i="6"/>
  <c r="AL137" i="6"/>
  <c r="AL138" i="6"/>
  <c r="AL139" i="6"/>
  <c r="AL140" i="6"/>
  <c r="AL141" i="6"/>
  <c r="AL142" i="6"/>
  <c r="AL143" i="6"/>
  <c r="AL144" i="6"/>
  <c r="AL145" i="6"/>
  <c r="AL146" i="6"/>
  <c r="AL147" i="6"/>
  <c r="AL148" i="6"/>
  <c r="AL149" i="6"/>
  <c r="AL150" i="6"/>
  <c r="AL151" i="6"/>
  <c r="AL152" i="6"/>
  <c r="AL153" i="6"/>
  <c r="AL154" i="6"/>
  <c r="AL155" i="6"/>
  <c r="AL156" i="6"/>
  <c r="AL157" i="6"/>
  <c r="F2" i="9" l="1"/>
  <c r="D155" i="1"/>
  <c r="D151" i="1"/>
  <c r="D150" i="1"/>
  <c r="E154" i="1"/>
  <c r="E153" i="1"/>
  <c r="E152" i="1"/>
  <c r="D154" i="1"/>
  <c r="D153" i="1"/>
  <c r="D152" i="1"/>
  <c r="AJ132" i="6"/>
  <c r="AL132" i="6"/>
  <c r="E148" i="1"/>
  <c r="E146" i="1"/>
  <c r="E145" i="1"/>
  <c r="D148" i="1"/>
  <c r="D146" i="1"/>
  <c r="D145" i="1"/>
  <c r="D144" i="1"/>
  <c r="D143" i="1"/>
  <c r="E144" i="1"/>
  <c r="C116" i="1" l="1"/>
  <c r="A1" i="20"/>
  <c r="AJ17" i="6" l="1"/>
  <c r="AJ18" i="6"/>
  <c r="AJ19" i="6"/>
  <c r="AJ20" i="6"/>
  <c r="AJ21" i="6"/>
  <c r="AJ22" i="6"/>
  <c r="AJ23" i="6"/>
  <c r="AJ24" i="6"/>
  <c r="AJ25" i="6"/>
  <c r="AJ26" i="6"/>
  <c r="AJ27" i="6"/>
  <c r="AJ28" i="6"/>
  <c r="AJ29" i="6"/>
  <c r="AJ30" i="6"/>
  <c r="AJ31" i="6"/>
  <c r="AJ33" i="6"/>
  <c r="AJ34" i="6"/>
  <c r="AJ35" i="6"/>
  <c r="AJ36" i="6"/>
  <c r="AJ37" i="6"/>
  <c r="AJ38" i="6"/>
  <c r="AJ39" i="6"/>
  <c r="AJ40" i="6"/>
  <c r="AJ41" i="6"/>
  <c r="AJ42" i="6"/>
  <c r="AJ43" i="6"/>
  <c r="AJ44" i="6"/>
  <c r="AJ45" i="6"/>
  <c r="AJ46" i="6"/>
  <c r="AJ47" i="6"/>
  <c r="AJ48" i="6"/>
  <c r="AJ49" i="6"/>
  <c r="AJ50" i="6"/>
  <c r="AJ51" i="6"/>
  <c r="AJ52" i="6"/>
  <c r="AJ53" i="6"/>
  <c r="AJ54" i="6"/>
  <c r="AJ55" i="6"/>
  <c r="AJ56" i="6"/>
  <c r="AJ57" i="6"/>
  <c r="AJ58" i="6"/>
  <c r="AJ59" i="6"/>
  <c r="AJ60" i="6"/>
  <c r="AJ61" i="6"/>
  <c r="AJ62" i="6"/>
  <c r="AJ63" i="6"/>
  <c r="AJ64" i="6"/>
  <c r="AJ65" i="6"/>
  <c r="AJ66" i="6"/>
  <c r="AJ67" i="6"/>
  <c r="AJ68" i="6"/>
  <c r="AJ69" i="6"/>
  <c r="AJ70" i="6"/>
  <c r="AJ71" i="6"/>
  <c r="AJ72" i="6"/>
  <c r="AJ73" i="6"/>
  <c r="AJ74" i="6"/>
  <c r="AJ75" i="6"/>
  <c r="AJ76" i="6"/>
  <c r="AJ77" i="6"/>
  <c r="AJ78" i="6"/>
  <c r="AJ79" i="6"/>
  <c r="AJ80" i="6"/>
  <c r="AJ81" i="6"/>
  <c r="AJ82" i="6"/>
  <c r="AJ83" i="6"/>
  <c r="AJ84" i="6"/>
  <c r="AJ85" i="6"/>
  <c r="AJ86" i="6"/>
  <c r="AJ87" i="6"/>
  <c r="AJ88" i="6"/>
  <c r="AJ89" i="6"/>
  <c r="AJ90" i="6"/>
  <c r="AJ91" i="6"/>
  <c r="AJ92" i="6"/>
  <c r="AJ93" i="6"/>
  <c r="AJ94" i="6"/>
  <c r="AJ95" i="6"/>
  <c r="AJ96" i="6"/>
  <c r="AJ97" i="6"/>
  <c r="AJ98" i="6"/>
  <c r="AJ99" i="6"/>
  <c r="AJ100" i="6"/>
  <c r="AJ101" i="6"/>
  <c r="AJ102" i="6"/>
  <c r="AJ103" i="6"/>
  <c r="AJ104" i="6"/>
  <c r="AJ105" i="6"/>
  <c r="AJ106" i="6"/>
  <c r="AJ107" i="6"/>
  <c r="AJ108" i="6"/>
  <c r="AJ109" i="6"/>
  <c r="AJ110" i="6"/>
  <c r="AJ111" i="6"/>
  <c r="AJ112" i="6"/>
  <c r="AJ113" i="6"/>
  <c r="AJ114" i="6"/>
  <c r="AJ115" i="6"/>
  <c r="AJ116" i="6"/>
  <c r="AJ117" i="6"/>
  <c r="AJ118" i="6"/>
  <c r="AJ119" i="6"/>
  <c r="AJ120" i="6"/>
  <c r="AJ121" i="6"/>
  <c r="AJ122" i="6"/>
  <c r="AJ123" i="6"/>
  <c r="AJ124" i="6"/>
  <c r="AJ125" i="6"/>
  <c r="AJ126" i="6"/>
  <c r="AJ127" i="6"/>
  <c r="AJ128" i="6"/>
  <c r="AJ129" i="6"/>
  <c r="AJ130" i="6"/>
  <c r="AJ131" i="6"/>
  <c r="AL17" i="6"/>
  <c r="AL18" i="6"/>
  <c r="AL19" i="6"/>
  <c r="AL20" i="6"/>
  <c r="AL21" i="6"/>
  <c r="AL22" i="6"/>
  <c r="AL23" i="6"/>
  <c r="AL24" i="6"/>
  <c r="AL25" i="6"/>
  <c r="AL26" i="6"/>
  <c r="AL27" i="6"/>
  <c r="AL28" i="6"/>
  <c r="AL29" i="6"/>
  <c r="AL30" i="6"/>
  <c r="AL31" i="6"/>
  <c r="AL33" i="6"/>
  <c r="AL34" i="6"/>
  <c r="AL35" i="6"/>
  <c r="AL36" i="6"/>
  <c r="AL37" i="6"/>
  <c r="AL38" i="6"/>
  <c r="AL39" i="6"/>
  <c r="AL40" i="6"/>
  <c r="AL41" i="6"/>
  <c r="AL42" i="6"/>
  <c r="AL43" i="6"/>
  <c r="AL44" i="6"/>
  <c r="AL45" i="6"/>
  <c r="AL46" i="6"/>
  <c r="AL47" i="6"/>
  <c r="AL48" i="6"/>
  <c r="AL49" i="6"/>
  <c r="AL50" i="6"/>
  <c r="AL51" i="6"/>
  <c r="AL52" i="6"/>
  <c r="AL53" i="6"/>
  <c r="AL54" i="6"/>
  <c r="AL55" i="6"/>
  <c r="AL56" i="6"/>
  <c r="AL57" i="6"/>
  <c r="AL58" i="6"/>
  <c r="AL59" i="6"/>
  <c r="AL60" i="6"/>
  <c r="AL61" i="6"/>
  <c r="AL62" i="6"/>
  <c r="AL63" i="6"/>
  <c r="AL64" i="6"/>
  <c r="AL65" i="6"/>
  <c r="AL66" i="6"/>
  <c r="AL67" i="6"/>
  <c r="AL68" i="6"/>
  <c r="AL69" i="6"/>
  <c r="AL70" i="6"/>
  <c r="AL71" i="6"/>
  <c r="AL72" i="6"/>
  <c r="AL73" i="6"/>
  <c r="AL74" i="6"/>
  <c r="AL75" i="6"/>
  <c r="AL76" i="6"/>
  <c r="AL77" i="6"/>
  <c r="AL78" i="6"/>
  <c r="AL79" i="6"/>
  <c r="AL80" i="6"/>
  <c r="AL81" i="6"/>
  <c r="AL82" i="6"/>
  <c r="AL83" i="6"/>
  <c r="AL84" i="6"/>
  <c r="AL85" i="6"/>
  <c r="AL86" i="6"/>
  <c r="AL87" i="6"/>
  <c r="AL88" i="6"/>
  <c r="AL89" i="6"/>
  <c r="AL90" i="6"/>
  <c r="AL91" i="6"/>
  <c r="AL92" i="6"/>
  <c r="AL93" i="6"/>
  <c r="AL94" i="6"/>
  <c r="AL95" i="6"/>
  <c r="AL96" i="6"/>
  <c r="AL97" i="6"/>
  <c r="AL98" i="6"/>
  <c r="AL99" i="6"/>
  <c r="AL100" i="6"/>
  <c r="AL101" i="6"/>
  <c r="AL102" i="6"/>
  <c r="AL103" i="6"/>
  <c r="AL104" i="6"/>
  <c r="AL105" i="6"/>
  <c r="AL106" i="6"/>
  <c r="AL107" i="6"/>
  <c r="AL108" i="6"/>
  <c r="AL109" i="6"/>
  <c r="AL110" i="6"/>
  <c r="AL111" i="6"/>
  <c r="AL112" i="6"/>
  <c r="AL113" i="6"/>
  <c r="AL114" i="6"/>
  <c r="AL115" i="6"/>
  <c r="AL116" i="6"/>
  <c r="AL117" i="6"/>
  <c r="AL118" i="6"/>
  <c r="AL119" i="6"/>
  <c r="AL120" i="6"/>
  <c r="AL121" i="6"/>
  <c r="AL122" i="6"/>
  <c r="AL123" i="6"/>
  <c r="AL124" i="6"/>
  <c r="AL125" i="6"/>
  <c r="AL126" i="6"/>
  <c r="AL127" i="6"/>
  <c r="AL128" i="6"/>
  <c r="AL129" i="6"/>
  <c r="AL130" i="6"/>
  <c r="AL131" i="6"/>
  <c r="D120" i="1" l="1"/>
  <c r="B4" i="8" l="1"/>
  <c r="B6" i="8"/>
  <c r="B5" i="8"/>
  <c r="B3" i="8"/>
  <c r="B2" i="8" l="1"/>
  <c r="C117" i="1" l="1"/>
  <c r="C115" i="1"/>
  <c r="C114" i="1"/>
  <c r="C113" i="1"/>
  <c r="C111" i="1"/>
  <c r="A36" i="11"/>
  <c r="A37" i="11"/>
  <c r="A38" i="11"/>
  <c r="A39" i="11"/>
  <c r="A40" i="11"/>
  <c r="A41" i="11"/>
  <c r="A42" i="11"/>
  <c r="A43" i="11"/>
  <c r="A44" i="11"/>
  <c r="A45" i="11"/>
  <c r="A46" i="11"/>
  <c r="A47" i="11"/>
  <c r="A48" i="11"/>
  <c r="A49" i="11"/>
  <c r="A50" i="11"/>
  <c r="A51" i="11"/>
  <c r="A52" i="11"/>
  <c r="A53" i="11"/>
  <c r="A54" i="11"/>
  <c r="A55" i="11"/>
  <c r="A6" i="11"/>
  <c r="A7" i="11"/>
  <c r="A8" i="11"/>
  <c r="A9" i="11"/>
  <c r="A10" i="11"/>
  <c r="A11" i="11"/>
  <c r="A12" i="11"/>
  <c r="A13" i="11"/>
  <c r="A14" i="11"/>
  <c r="A15" i="11"/>
  <c r="A16" i="11"/>
  <c r="A17" i="11"/>
  <c r="A18" i="11"/>
  <c r="A19" i="11"/>
  <c r="A20" i="11"/>
  <c r="A21" i="11"/>
  <c r="A22" i="11"/>
  <c r="A23" i="11"/>
  <c r="A24" i="11"/>
  <c r="A25" i="11"/>
  <c r="A26" i="11"/>
  <c r="A27" i="11"/>
  <c r="A28" i="11"/>
  <c r="A29" i="11"/>
  <c r="A30" i="11"/>
  <c r="A31" i="11"/>
  <c r="A32" i="11"/>
  <c r="A33" i="11"/>
  <c r="A34" i="11"/>
  <c r="A35" i="11"/>
  <c r="A1" i="11"/>
  <c r="G2" i="20" l="1"/>
  <c r="B10" i="11"/>
  <c r="B40" i="11"/>
  <c r="B36" i="11"/>
  <c r="B9" i="11"/>
  <c r="B51" i="11"/>
  <c r="B39" i="11"/>
  <c r="B12" i="11"/>
  <c r="B8" i="11"/>
  <c r="B50" i="11"/>
  <c r="B46" i="11"/>
  <c r="B42" i="11"/>
  <c r="B38" i="11"/>
  <c r="B11" i="11"/>
  <c r="B7" i="11"/>
  <c r="B53" i="11"/>
  <c r="B49" i="11"/>
  <c r="B45" i="11"/>
  <c r="B41" i="11"/>
  <c r="B37" i="11"/>
  <c r="E155" i="1"/>
  <c r="G155" i="1" s="1"/>
  <c r="B6" i="11"/>
  <c r="F2" i="11"/>
  <c r="B29" i="11"/>
  <c r="B21" i="11"/>
  <c r="B44" i="11"/>
  <c r="B34" i="11"/>
  <c r="B30" i="11"/>
  <c r="B26" i="11"/>
  <c r="B22" i="11"/>
  <c r="B18" i="11"/>
  <c r="B14" i="11"/>
  <c r="B33" i="11"/>
  <c r="B25" i="11"/>
  <c r="B17" i="11"/>
  <c r="B13" i="11"/>
  <c r="B52" i="11"/>
  <c r="B32" i="11"/>
  <c r="B28" i="11"/>
  <c r="B24" i="11"/>
  <c r="B20" i="11"/>
  <c r="B16" i="11"/>
  <c r="B47" i="11"/>
  <c r="B43" i="11"/>
  <c r="B48" i="11"/>
  <c r="B35" i="11"/>
  <c r="B31" i="11"/>
  <c r="B27" i="11"/>
  <c r="B23" i="11"/>
  <c r="B19" i="11"/>
  <c r="B15" i="11"/>
  <c r="B54" i="11"/>
  <c r="B55" i="11"/>
  <c r="C2" i="9"/>
  <c r="C1" i="9"/>
  <c r="D89" i="1"/>
  <c r="F156" i="1" s="1"/>
  <c r="A6" i="20" l="1"/>
  <c r="A10" i="20"/>
  <c r="A14" i="20"/>
  <c r="A18" i="20"/>
  <c r="A7" i="20"/>
  <c r="A11" i="20"/>
  <c r="A15" i="20"/>
  <c r="A19" i="20"/>
  <c r="A8" i="20"/>
  <c r="A12" i="20"/>
  <c r="A16" i="20"/>
  <c r="A20" i="20"/>
  <c r="A9" i="20"/>
  <c r="A13" i="20"/>
  <c r="A17" i="20"/>
  <c r="A1" i="9"/>
  <c r="C9" i="20" l="1"/>
  <c r="C8" i="20"/>
  <c r="C7" i="20"/>
  <c r="C20" i="20"/>
  <c r="C19" i="20"/>
  <c r="C18" i="20"/>
  <c r="C14" i="20"/>
  <c r="C17" i="20"/>
  <c r="C16" i="20"/>
  <c r="C15" i="20"/>
  <c r="C13" i="20"/>
  <c r="C12" i="20"/>
  <c r="C11" i="20"/>
  <c r="C10" i="20"/>
  <c r="C6" i="20"/>
  <c r="E156" i="1"/>
  <c r="G156" i="1" s="1"/>
  <c r="B17" i="20"/>
  <c r="B13" i="20"/>
  <c r="B12" i="20"/>
  <c r="B15" i="20"/>
  <c r="B18" i="20"/>
  <c r="B9" i="20"/>
  <c r="B8" i="20"/>
  <c r="B11" i="20"/>
  <c r="B14" i="20"/>
  <c r="B20" i="20"/>
  <c r="B7" i="20"/>
  <c r="B10" i="20"/>
  <c r="B16" i="20"/>
  <c r="B19" i="20"/>
  <c r="B6" i="20"/>
  <c r="D45" i="1"/>
  <c r="J5" i="16" l="1"/>
  <c r="J6" i="16"/>
  <c r="J7" i="16"/>
  <c r="J8" i="16"/>
  <c r="A1" i="16"/>
  <c r="AL7" i="6" l="1"/>
  <c r="AL8" i="6"/>
  <c r="AL9" i="6"/>
  <c r="AL10" i="6"/>
  <c r="AL11" i="6"/>
  <c r="AL12" i="6"/>
  <c r="AL13" i="6"/>
  <c r="AL14" i="6"/>
  <c r="AJ7" i="6" l="1"/>
  <c r="AJ8" i="6"/>
  <c r="AJ9" i="6"/>
  <c r="AJ10" i="6"/>
  <c r="AJ11" i="6"/>
  <c r="AJ12" i="6"/>
  <c r="AJ13" i="6"/>
  <c r="AJ14" i="6"/>
  <c r="A1" i="6"/>
  <c r="A1" i="7" l="1"/>
  <c r="D81" i="1"/>
  <c r="D73" i="1"/>
  <c r="D64" i="1"/>
  <c r="T1" i="6" l="1"/>
  <c r="W1" i="6"/>
  <c r="V1" i="6"/>
  <c r="U1" i="6"/>
  <c r="N1" i="6"/>
  <c r="Q1" i="6"/>
  <c r="O1" i="6"/>
  <c r="P1" i="6"/>
  <c r="U3" i="7"/>
  <c r="K5" i="6"/>
  <c r="K4" i="6"/>
  <c r="K2" i="6"/>
  <c r="B124" i="1" s="1"/>
  <c r="K3" i="6"/>
  <c r="AQ5" i="6"/>
  <c r="AQ1" i="6"/>
  <c r="AQ4" i="6"/>
  <c r="AQ2" i="6"/>
  <c r="AQ3" i="6"/>
  <c r="W5" i="6"/>
  <c r="W4" i="6"/>
  <c r="W3" i="6"/>
  <c r="W2" i="6"/>
  <c r="V5" i="6"/>
  <c r="V4" i="6"/>
  <c r="V2" i="6"/>
  <c r="V3" i="6"/>
  <c r="Q5" i="6"/>
  <c r="Q2" i="6"/>
  <c r="Q4" i="6"/>
  <c r="Q3" i="6"/>
  <c r="N2" i="6"/>
  <c r="O2" i="6"/>
  <c r="P2" i="6"/>
  <c r="N3" i="6"/>
  <c r="O3" i="6"/>
  <c r="P3" i="6"/>
  <c r="N4" i="6"/>
  <c r="O4" i="6"/>
  <c r="P4" i="6"/>
  <c r="O5" i="6"/>
  <c r="P5" i="6"/>
  <c r="N5" i="6"/>
  <c r="AT1" i="6"/>
  <c r="AU1" i="6"/>
  <c r="AW1" i="6"/>
  <c r="AV1" i="6"/>
  <c r="AN1" i="6"/>
  <c r="AO1" i="6"/>
  <c r="AP1" i="6"/>
  <c r="AO3" i="6"/>
  <c r="AP3" i="6"/>
  <c r="F147" i="1"/>
  <c r="G147" i="1" s="1"/>
  <c r="AN3" i="6"/>
  <c r="AT2" i="6"/>
  <c r="AU2" i="6"/>
  <c r="AV2" i="6"/>
  <c r="AW2" i="6"/>
  <c r="AT3" i="6"/>
  <c r="AU3" i="6"/>
  <c r="AW3" i="6"/>
  <c r="AV3" i="6"/>
  <c r="AT4" i="6"/>
  <c r="AU4" i="6"/>
  <c r="AV4" i="6"/>
  <c r="AW4" i="6"/>
  <c r="AN2" i="6"/>
  <c r="AP2" i="6"/>
  <c r="AO2" i="6"/>
  <c r="AT5" i="6"/>
  <c r="AU5" i="6"/>
  <c r="AV5" i="6"/>
  <c r="AW5" i="6"/>
  <c r="B128" i="1"/>
  <c r="C128" i="1" s="1" a="1"/>
  <c r="C128" i="1" s="1"/>
  <c r="B126" i="1"/>
  <c r="C126" i="1" s="1" a="1"/>
  <c r="C126" i="1" s="1"/>
  <c r="D136" i="1"/>
  <c r="E136" i="1" s="1" a="1"/>
  <c r="E136" i="1" s="1"/>
  <c r="D139" i="1"/>
  <c r="E139" i="1" s="1" a="1"/>
  <c r="E139" i="1" s="1"/>
  <c r="D137" i="1"/>
  <c r="E137" i="1" s="1" a="1"/>
  <c r="E137" i="1" s="1"/>
  <c r="D135" i="1"/>
  <c r="E135" i="1" s="1" a="1"/>
  <c r="E135" i="1" s="1"/>
  <c r="D133" i="1"/>
  <c r="E133" i="1" s="1" a="1"/>
  <c r="E133" i="1" s="1"/>
  <c r="D131" i="1"/>
  <c r="E131" i="1" s="1" a="1"/>
  <c r="E131" i="1" s="1"/>
  <c r="D134" i="1"/>
  <c r="E134" i="1" s="1" a="1"/>
  <c r="E134" i="1" s="1"/>
  <c r="D138" i="1"/>
  <c r="E138" i="1" s="1" a="1"/>
  <c r="E138" i="1" s="1"/>
  <c r="D132" i="1"/>
  <c r="E132" i="1" s="1" a="1"/>
  <c r="E132" i="1" s="1"/>
  <c r="U2" i="6"/>
  <c r="U3" i="6"/>
  <c r="U4" i="6"/>
  <c r="U5" i="6"/>
  <c r="F154" i="1"/>
  <c r="G154" i="1" s="1"/>
  <c r="B130" i="1"/>
  <c r="C130" i="1" s="1" a="1"/>
  <c r="C130" i="1" s="1"/>
  <c r="B131" i="1"/>
  <c r="C131" i="1" s="1" a="1"/>
  <c r="C131" i="1" s="1"/>
  <c r="F153" i="1"/>
  <c r="G153" i="1" s="1"/>
  <c r="F152" i="1"/>
  <c r="G152" i="1" s="1"/>
  <c r="F148" i="1"/>
  <c r="G148" i="1" s="1"/>
  <c r="F143" i="1"/>
  <c r="G143" i="1" s="1"/>
  <c r="F146" i="1"/>
  <c r="G146" i="1" s="1"/>
  <c r="F145" i="1"/>
  <c r="G145" i="1" s="1"/>
  <c r="F144" i="1"/>
  <c r="G144" i="1" s="1"/>
  <c r="B137" i="1"/>
  <c r="C137" i="1" s="1" a="1"/>
  <c r="C137" i="1" s="1"/>
  <c r="B133" i="1"/>
  <c r="C133" i="1" s="1" a="1"/>
  <c r="C133" i="1" s="1"/>
  <c r="B136" i="1"/>
  <c r="C136" i="1" s="1" a="1"/>
  <c r="C136" i="1" s="1"/>
  <c r="B132" i="1"/>
  <c r="C132" i="1" s="1" a="1"/>
  <c r="C132" i="1" s="1"/>
  <c r="B139" i="1"/>
  <c r="C139" i="1" s="1" a="1"/>
  <c r="C139" i="1" s="1"/>
  <c r="B135" i="1"/>
  <c r="C135" i="1" s="1" a="1"/>
  <c r="C135" i="1" s="1"/>
  <c r="B138" i="1"/>
  <c r="C138" i="1" s="1" a="1"/>
  <c r="C138" i="1" s="1"/>
  <c r="B134" i="1"/>
  <c r="C134" i="1" s="1" a="1"/>
  <c r="C134" i="1" s="1"/>
  <c r="O4" i="9"/>
  <c r="Q4" i="9"/>
  <c r="R4" i="9"/>
  <c r="P4" i="9"/>
  <c r="I4" i="9"/>
  <c r="L4" i="9"/>
  <c r="K4" i="9"/>
  <c r="J4" i="9"/>
  <c r="B4" i="9"/>
  <c r="E4" i="9"/>
  <c r="D4" i="9"/>
  <c r="C4" i="9"/>
  <c r="F4" i="9"/>
  <c r="T2" i="6"/>
  <c r="T3" i="6"/>
  <c r="T4" i="6"/>
  <c r="T5" i="6"/>
  <c r="R3" i="7"/>
  <c r="S3" i="7"/>
  <c r="T3" i="7"/>
  <c r="AO5" i="6"/>
  <c r="AP4" i="6"/>
  <c r="AO4" i="6"/>
  <c r="AP5" i="6"/>
  <c r="AN5" i="6"/>
  <c r="AN4" i="6"/>
  <c r="G3" i="6"/>
  <c r="J3" i="6"/>
  <c r="H3" i="6"/>
  <c r="I3" i="6"/>
  <c r="G2" i="6"/>
  <c r="J2" i="6"/>
  <c r="B123" i="1" s="1"/>
  <c r="I2" i="6"/>
  <c r="B122" i="1" s="1"/>
  <c r="B125" i="1"/>
  <c r="C125" i="1" s="1" a="1"/>
  <c r="C125" i="1" s="1"/>
  <c r="H2" i="6"/>
  <c r="B121" i="1" s="1"/>
  <c r="G4" i="6"/>
  <c r="J4" i="6"/>
  <c r="I4" i="6"/>
  <c r="H4" i="6"/>
  <c r="J5" i="6"/>
  <c r="I5" i="6"/>
  <c r="H5" i="6"/>
  <c r="G5" i="6"/>
  <c r="N1" i="7"/>
  <c r="A52" i="1"/>
  <c r="A53" i="1" s="1"/>
  <c r="A54" i="1" s="1"/>
  <c r="A55" i="1" s="1"/>
  <c r="C50" i="1"/>
  <c r="D44" i="1"/>
  <c r="D43" i="1"/>
  <c r="D42" i="1"/>
  <c r="A38" i="1"/>
  <c r="A37" i="1"/>
  <c r="A36" i="1"/>
  <c r="A35" i="1"/>
  <c r="A34" i="1"/>
  <c r="A33" i="1"/>
  <c r="E32" i="1"/>
  <c r="E33" i="1" s="1"/>
  <c r="F33" i="1" s="1"/>
  <c r="A32" i="1"/>
  <c r="A27" i="1"/>
  <c r="A26" i="1"/>
  <c r="A25" i="1"/>
  <c r="A24" i="1"/>
  <c r="A23" i="1"/>
  <c r="A22" i="1"/>
  <c r="D12" i="1"/>
  <c r="B107" i="1"/>
  <c r="B106" i="1"/>
  <c r="B105" i="1"/>
  <c r="B104" i="1"/>
  <c r="B103" i="1"/>
  <c r="B102" i="1"/>
  <c r="B101" i="1"/>
  <c r="B100" i="1"/>
  <c r="B99" i="1"/>
  <c r="B98" i="1"/>
  <c r="B97" i="1"/>
  <c r="B96" i="1"/>
  <c r="A1" i="1"/>
  <c r="F17" i="9" l="1" a="1"/>
  <c r="F17" i="9" s="1"/>
  <c r="F13" i="9" a="1"/>
  <c r="F13" i="9" s="1"/>
  <c r="F9" i="9" a="1"/>
  <c r="F9" i="9" s="1"/>
  <c r="F16" i="9" a="1"/>
  <c r="F16" i="9" s="1"/>
  <c r="F12" i="9" a="1"/>
  <c r="F12" i="9" s="1"/>
  <c r="F8" i="9" a="1"/>
  <c r="F8" i="9" s="1"/>
  <c r="F15" i="9" a="1"/>
  <c r="F15" i="9" s="1"/>
  <c r="F11" i="9" a="1"/>
  <c r="F11" i="9" s="1"/>
  <c r="F7" i="9" a="1"/>
  <c r="F7" i="9" s="1"/>
  <c r="F14" i="9" a="1"/>
  <c r="F14" i="9" s="1"/>
  <c r="F10" i="9" a="1"/>
  <c r="F10" i="9" s="1"/>
  <c r="G25" i="8" a="1"/>
  <c r="G25" i="8" s="1"/>
  <c r="D25" i="8" a="1"/>
  <c r="D25" i="8" s="1"/>
  <c r="F6" i="9" a="1"/>
  <c r="F6" i="9" s="1"/>
  <c r="B187" i="6" a="1"/>
  <c r="B187" i="6" s="1"/>
  <c r="B195" i="6" a="1"/>
  <c r="B195" i="6" s="1"/>
  <c r="B203" i="6" a="1"/>
  <c r="B203" i="6" s="1"/>
  <c r="B211" i="6" a="1"/>
  <c r="B211" i="6" s="1"/>
  <c r="B223" i="6" a="1"/>
  <c r="B223" i="6" s="1"/>
  <c r="B231" i="6" a="1"/>
  <c r="B231" i="6" s="1"/>
  <c r="B239" i="6" a="1"/>
  <c r="B239" i="6" s="1"/>
  <c r="B193" i="6" a="1"/>
  <c r="B193" i="6" s="1"/>
  <c r="B201" i="6" a="1"/>
  <c r="B201" i="6" s="1"/>
  <c r="AC201" i="6" s="1"/>
  <c r="B209" i="6" a="1"/>
  <c r="B209" i="6" s="1"/>
  <c r="B217" i="6" a="1"/>
  <c r="B217" i="6" s="1"/>
  <c r="B225" i="6" a="1"/>
  <c r="B225" i="6" s="1"/>
  <c r="B233" i="6" a="1"/>
  <c r="B233" i="6" s="1"/>
  <c r="B241" i="6" a="1"/>
  <c r="B241" i="6" s="1"/>
  <c r="B189" i="6" a="1"/>
  <c r="B189" i="6" s="1"/>
  <c r="B197" i="6" a="1"/>
  <c r="B197" i="6" s="1"/>
  <c r="B205" i="6" a="1"/>
  <c r="B205" i="6" s="1"/>
  <c r="B213" i="6" a="1"/>
  <c r="B213" i="6" s="1"/>
  <c r="B221" i="6" a="1"/>
  <c r="B221" i="6" s="1"/>
  <c r="B229" i="6" a="1"/>
  <c r="B229" i="6" s="1"/>
  <c r="B237" i="6" a="1"/>
  <c r="B237" i="6" s="1"/>
  <c r="B245" i="6" a="1"/>
  <c r="B245" i="6" s="1"/>
  <c r="B191" i="6" a="1"/>
  <c r="B191" i="6" s="1"/>
  <c r="B199" i="6" a="1"/>
  <c r="B199" i="6" s="1"/>
  <c r="AC199" i="6" s="1"/>
  <c r="B207" i="6" a="1"/>
  <c r="B207" i="6" s="1"/>
  <c r="B215" i="6" a="1"/>
  <c r="B215" i="6" s="1"/>
  <c r="B219" i="6" a="1"/>
  <c r="B219" i="6" s="1"/>
  <c r="B227" i="6" a="1"/>
  <c r="B227" i="6" s="1"/>
  <c r="B235" i="6" a="1"/>
  <c r="B235" i="6" s="1"/>
  <c r="B243" i="6" a="1"/>
  <c r="B243" i="6" s="1"/>
  <c r="B192" i="6" a="1"/>
  <c r="B192" i="6" s="1"/>
  <c r="B208" i="6" a="1"/>
  <c r="B208" i="6" s="1"/>
  <c r="B224" i="6" a="1"/>
  <c r="B224" i="6" s="1"/>
  <c r="B240" i="6" a="1"/>
  <c r="B240" i="6" s="1"/>
  <c r="B194" i="6" a="1"/>
  <c r="B194" i="6" s="1"/>
  <c r="B212" i="6" a="1"/>
  <c r="B212" i="6" s="1"/>
  <c r="B198" i="6" a="1"/>
  <c r="B198" i="6" s="1"/>
  <c r="B214" i="6" a="1"/>
  <c r="B214" i="6" s="1"/>
  <c r="B230" i="6" a="1"/>
  <c r="B230" i="6" s="1"/>
  <c r="B246" i="6" a="1"/>
  <c r="B246" i="6" s="1"/>
  <c r="B200" i="6" a="1"/>
  <c r="B200" i="6" s="1"/>
  <c r="B216" i="6" a="1"/>
  <c r="B216" i="6" s="1"/>
  <c r="B232" i="6" a="1"/>
  <c r="B232" i="6" s="1"/>
  <c r="B210" i="6" a="1"/>
  <c r="B210" i="6" s="1"/>
  <c r="B228" i="6" a="1"/>
  <c r="B228" i="6" s="1"/>
  <c r="B242" i="6" a="1"/>
  <c r="B242" i="6" s="1"/>
  <c r="B202" i="6" a="1"/>
  <c r="B202" i="6" s="1"/>
  <c r="B218" i="6" a="1"/>
  <c r="B218" i="6" s="1"/>
  <c r="B234" i="6" a="1"/>
  <c r="B234" i="6" s="1"/>
  <c r="B190" i="6" a="1"/>
  <c r="B190" i="6" s="1"/>
  <c r="B222" i="6" a="1"/>
  <c r="B222" i="6" s="1"/>
  <c r="B196" i="6" a="1"/>
  <c r="B196" i="6" s="1"/>
  <c r="B188" i="6" a="1"/>
  <c r="B188" i="6" s="1"/>
  <c r="B204" i="6" a="1"/>
  <c r="B204" i="6" s="1"/>
  <c r="B220" i="6" a="1"/>
  <c r="B220" i="6" s="1"/>
  <c r="B236" i="6" a="1"/>
  <c r="B236" i="6" s="1"/>
  <c r="B206" i="6" a="1"/>
  <c r="B206" i="6" s="1"/>
  <c r="B238" i="6" a="1"/>
  <c r="B238" i="6" s="1"/>
  <c r="B226" i="6" a="1"/>
  <c r="B226" i="6" s="1"/>
  <c r="B244" i="6" a="1"/>
  <c r="B244" i="6" s="1"/>
  <c r="AK15" i="6"/>
  <c r="AK16" i="6"/>
  <c r="AK186" i="6"/>
  <c r="AK185" i="6"/>
  <c r="AK158" i="6"/>
  <c r="AK171" i="6"/>
  <c r="AK184" i="6"/>
  <c r="AK178" i="6"/>
  <c r="AK165" i="6"/>
  <c r="AK179" i="6"/>
  <c r="AK168" i="6"/>
  <c r="AK164" i="6"/>
  <c r="AK172" i="6"/>
  <c r="AK180" i="6"/>
  <c r="AK161" i="6"/>
  <c r="AK162" i="6"/>
  <c r="AK169" i="6"/>
  <c r="AK167" i="6"/>
  <c r="AK173" i="6"/>
  <c r="AK170" i="6"/>
  <c r="AK181" i="6"/>
  <c r="AK182" i="6"/>
  <c r="AK163" i="6"/>
  <c r="AK176" i="6"/>
  <c r="AK183" i="6"/>
  <c r="AK177" i="6"/>
  <c r="AK175" i="6"/>
  <c r="AK166" i="6"/>
  <c r="AK174" i="6"/>
  <c r="K10" i="16"/>
  <c r="K11" i="16"/>
  <c r="K9" i="16"/>
  <c r="B120" i="1"/>
  <c r="O4" i="20"/>
  <c r="K6" i="16"/>
  <c r="K7" i="16"/>
  <c r="K8" i="16"/>
  <c r="D130" i="1"/>
  <c r="E130" i="1" s="1" a="1"/>
  <c r="E130" i="1" s="1"/>
  <c r="D126" i="1"/>
  <c r="E126" i="1" s="1" a="1"/>
  <c r="E126" i="1" s="1"/>
  <c r="D128" i="1"/>
  <c r="E128" i="1" s="1" a="1"/>
  <c r="E128" i="1" s="1"/>
  <c r="D127" i="1"/>
  <c r="E127" i="1" s="1" a="1"/>
  <c r="E127" i="1" s="1"/>
  <c r="D129" i="1"/>
  <c r="E129" i="1" s="1" a="1"/>
  <c r="E129" i="1" s="1"/>
  <c r="D125" i="1"/>
  <c r="E125" i="1" s="1" a="1"/>
  <c r="E125" i="1" s="1"/>
  <c r="AK160" i="6"/>
  <c r="AK159" i="6"/>
  <c r="D122" i="1"/>
  <c r="D124" i="1"/>
  <c r="D123" i="1"/>
  <c r="AK132" i="6"/>
  <c r="AK32" i="6"/>
  <c r="AK155" i="6"/>
  <c r="AK146" i="6"/>
  <c r="AK151" i="6"/>
  <c r="AK149" i="6"/>
  <c r="AK134" i="6"/>
  <c r="AK152" i="6"/>
  <c r="AK137" i="6"/>
  <c r="AK135" i="6"/>
  <c r="AK140" i="6"/>
  <c r="AK143" i="6"/>
  <c r="AK142" i="6"/>
  <c r="AK139" i="6"/>
  <c r="AK145" i="6"/>
  <c r="AK147" i="6"/>
  <c r="AK148" i="6"/>
  <c r="AK133" i="6"/>
  <c r="AK150" i="6"/>
  <c r="AK138" i="6"/>
  <c r="AK154" i="6"/>
  <c r="AK157" i="6"/>
  <c r="AK141" i="6"/>
  <c r="AK136" i="6"/>
  <c r="AK144" i="6"/>
  <c r="AK153" i="6"/>
  <c r="AK156" i="6"/>
  <c r="B129" i="1"/>
  <c r="C129" i="1" s="1" a="1"/>
  <c r="C129" i="1" s="1"/>
  <c r="B127" i="1"/>
  <c r="C127" i="1" s="1" a="1"/>
  <c r="C127" i="1" s="1"/>
  <c r="AK17" i="6"/>
  <c r="AK21" i="6"/>
  <c r="AK25" i="6"/>
  <c r="AK29" i="6"/>
  <c r="AK33" i="6"/>
  <c r="AK37" i="6"/>
  <c r="AK41" i="6"/>
  <c r="AK45" i="6"/>
  <c r="AK49" i="6"/>
  <c r="AK52" i="6"/>
  <c r="AK56" i="6"/>
  <c r="AK60" i="6"/>
  <c r="AK64" i="6"/>
  <c r="AK68" i="6"/>
  <c r="AK72" i="6"/>
  <c r="AK76" i="6"/>
  <c r="AK80" i="6"/>
  <c r="AK84" i="6"/>
  <c r="AK88" i="6"/>
  <c r="AK92" i="6"/>
  <c r="AK96" i="6"/>
  <c r="AK100" i="6"/>
  <c r="AK104" i="6"/>
  <c r="AK108" i="6"/>
  <c r="AK112" i="6"/>
  <c r="AK116" i="6"/>
  <c r="AK120" i="6"/>
  <c r="AK124" i="6"/>
  <c r="AK128" i="6"/>
  <c r="AK20" i="6"/>
  <c r="AK40" i="6"/>
  <c r="AK51" i="6"/>
  <c r="AK63" i="6"/>
  <c r="AK75" i="6"/>
  <c r="AK87" i="6"/>
  <c r="AK99" i="6"/>
  <c r="AK111" i="6"/>
  <c r="AK123" i="6"/>
  <c r="AK18" i="6"/>
  <c r="AK22" i="6"/>
  <c r="AK26" i="6"/>
  <c r="AK30" i="6"/>
  <c r="AK34" i="6"/>
  <c r="AK38" i="6"/>
  <c r="AK42" i="6"/>
  <c r="AK46" i="6"/>
  <c r="AK53" i="6"/>
  <c r="AK57" i="6"/>
  <c r="AK61" i="6"/>
  <c r="AK65" i="6"/>
  <c r="AK69" i="6"/>
  <c r="AK73" i="6"/>
  <c r="AK77" i="6"/>
  <c r="AK81" i="6"/>
  <c r="AK85" i="6"/>
  <c r="AK89" i="6"/>
  <c r="AK93" i="6"/>
  <c r="AK97" i="6"/>
  <c r="AK101" i="6"/>
  <c r="AK105" i="6"/>
  <c r="AK109" i="6"/>
  <c r="AK113" i="6"/>
  <c r="AK117" i="6"/>
  <c r="AK121" i="6"/>
  <c r="AK125" i="6"/>
  <c r="AK129" i="6"/>
  <c r="AK24" i="6"/>
  <c r="AK48" i="6"/>
  <c r="AK59" i="6"/>
  <c r="AK71" i="6"/>
  <c r="AK83" i="6"/>
  <c r="AK95" i="6"/>
  <c r="AK107" i="6"/>
  <c r="AK119" i="6"/>
  <c r="AK131" i="6"/>
  <c r="AK19" i="6"/>
  <c r="AK23" i="6"/>
  <c r="AK27" i="6"/>
  <c r="AK31" i="6"/>
  <c r="AK35" i="6"/>
  <c r="AK39" i="6"/>
  <c r="AK43" i="6"/>
  <c r="AK47" i="6"/>
  <c r="AK50" i="6"/>
  <c r="AK54" i="6"/>
  <c r="AK58" i="6"/>
  <c r="AK62" i="6"/>
  <c r="AK66" i="6"/>
  <c r="AK70" i="6"/>
  <c r="AK74" i="6"/>
  <c r="AK78" i="6"/>
  <c r="AK82" i="6"/>
  <c r="AK86" i="6"/>
  <c r="AK90" i="6"/>
  <c r="AK94" i="6"/>
  <c r="AK98" i="6"/>
  <c r="AK102" i="6"/>
  <c r="AK106" i="6"/>
  <c r="AK110" i="6"/>
  <c r="AK114" i="6"/>
  <c r="AK118" i="6"/>
  <c r="AK122" i="6"/>
  <c r="AK126" i="6"/>
  <c r="AK130" i="6"/>
  <c r="AK28" i="6"/>
  <c r="AK36" i="6"/>
  <c r="AK44" i="6"/>
  <c r="AK55" i="6"/>
  <c r="AK67" i="6"/>
  <c r="AK79" i="6"/>
  <c r="AK91" i="6"/>
  <c r="AK103" i="6"/>
  <c r="AK115" i="6"/>
  <c r="AK127" i="6"/>
  <c r="D121" i="1"/>
  <c r="E12" i="1"/>
  <c r="N4" i="11"/>
  <c r="AK8" i="6"/>
  <c r="AK13" i="6"/>
  <c r="AK11" i="6"/>
  <c r="AK14" i="6"/>
  <c r="AK7" i="6"/>
  <c r="AK12" i="6"/>
  <c r="AK10" i="6"/>
  <c r="AK9" i="6"/>
  <c r="C51" i="1"/>
  <c r="C52" i="1" s="1"/>
  <c r="C53" i="1" s="1"/>
  <c r="C54" i="1" s="1"/>
  <c r="C55" i="1" s="1"/>
  <c r="A56" i="1"/>
  <c r="A57" i="1" s="1"/>
  <c r="A58" i="1" s="1"/>
  <c r="A59" i="1" s="1"/>
  <c r="A60" i="1" s="1"/>
  <c r="F32" i="1"/>
  <c r="E34" i="1"/>
  <c r="E35" i="1" s="1"/>
  <c r="F35" i="1" s="1"/>
  <c r="AG201" i="6" l="1" a="1"/>
  <c r="AG201" i="6" s="1"/>
  <c r="AH201" i="6" s="1"/>
  <c r="AG199" i="6" a="1"/>
  <c r="AG199" i="6" s="1"/>
  <c r="AH199" i="6" s="1"/>
  <c r="AD16" i="6"/>
  <c r="AD15" i="6"/>
  <c r="AA245" i="6"/>
  <c r="AC245" i="6"/>
  <c r="AA244" i="6"/>
  <c r="AC244" i="6"/>
  <c r="AC246" i="6"/>
  <c r="AA246" i="6"/>
  <c r="AC198" i="6"/>
  <c r="AA198" i="6"/>
  <c r="AA201" i="6"/>
  <c r="AB199" i="6"/>
  <c r="AA199" i="6"/>
  <c r="AD199" i="6"/>
  <c r="AC200" i="6"/>
  <c r="AA200" i="6"/>
  <c r="AB201" i="6"/>
  <c r="AD201" i="6"/>
  <c r="AA197" i="6"/>
  <c r="AC197" i="6"/>
  <c r="AC203" i="6"/>
  <c r="AA203" i="6"/>
  <c r="AC204" i="6"/>
  <c r="AA204" i="6"/>
  <c r="AC195" i="6"/>
  <c r="AA195" i="6"/>
  <c r="AC196" i="6"/>
  <c r="AA196" i="6"/>
  <c r="AA206" i="6"/>
  <c r="AC206" i="6"/>
  <c r="AA205" i="6"/>
  <c r="AC205" i="6"/>
  <c r="AC207" i="6"/>
  <c r="AA207" i="6"/>
  <c r="AA202" i="6"/>
  <c r="AC202" i="6"/>
  <c r="AA210" i="6"/>
  <c r="AC210" i="6"/>
  <c r="AC213" i="6"/>
  <c r="AA213" i="6"/>
  <c r="AC208" i="6"/>
  <c r="AA208" i="6"/>
  <c r="AC209" i="6"/>
  <c r="AA209" i="6"/>
  <c r="AA215" i="6"/>
  <c r="AC215" i="6"/>
  <c r="AC212" i="6"/>
  <c r="AA212" i="6"/>
  <c r="AA214" i="6"/>
  <c r="AC214" i="6"/>
  <c r="AC216" i="6"/>
  <c r="AA216" i="6"/>
  <c r="AA211" i="6"/>
  <c r="AC211" i="6"/>
  <c r="AA219" i="6"/>
  <c r="AC219" i="6"/>
  <c r="AC221" i="6"/>
  <c r="AA221" i="6"/>
  <c r="AC218" i="6"/>
  <c r="AA218" i="6"/>
  <c r="AC217" i="6"/>
  <c r="AA217" i="6"/>
  <c r="AA223" i="6"/>
  <c r="AC223" i="6"/>
  <c r="AA224" i="6"/>
  <c r="AC224" i="6"/>
  <c r="AC222" i="6"/>
  <c r="AA222" i="6"/>
  <c r="AC225" i="6"/>
  <c r="AA225" i="6"/>
  <c r="AA220" i="6"/>
  <c r="AC220" i="6"/>
  <c r="AA232" i="6"/>
  <c r="AC232" i="6"/>
  <c r="AC230" i="6"/>
  <c r="AA230" i="6"/>
  <c r="AC231" i="6"/>
  <c r="AA231" i="6"/>
  <c r="AC226" i="6"/>
  <c r="AA226" i="6"/>
  <c r="AC227" i="6"/>
  <c r="AA227" i="6"/>
  <c r="AA233" i="6"/>
  <c r="AC233" i="6"/>
  <c r="AA228" i="6"/>
  <c r="AC228" i="6"/>
  <c r="AC234" i="6"/>
  <c r="AA234" i="6"/>
  <c r="AA229" i="6"/>
  <c r="AC229" i="6"/>
  <c r="N4" i="20"/>
  <c r="M4" i="20" s="1"/>
  <c r="M4" i="11"/>
  <c r="F12" i="1"/>
  <c r="C56" i="1"/>
  <c r="E36" i="1"/>
  <c r="F36" i="1" s="1"/>
  <c r="F34" i="1"/>
  <c r="AV223" i="6" l="1" a="1"/>
  <c r="AV223" i="6" s="1"/>
  <c r="AW223" i="6" a="1"/>
  <c r="AW223" i="6" s="1"/>
  <c r="AU223" i="6" a="1"/>
  <c r="AU223" i="6" s="1"/>
  <c r="AT223" i="6" a="1"/>
  <c r="AT223" i="6" s="1"/>
  <c r="AW217" i="6" a="1"/>
  <c r="AW217" i="6" s="1"/>
  <c r="AV217" i="6" a="1"/>
  <c r="AV217" i="6" s="1"/>
  <c r="AU217" i="6" a="1"/>
  <c r="AU217" i="6" s="1"/>
  <c r="AT217" i="6" a="1"/>
  <c r="AT217" i="6" s="1"/>
  <c r="AW228" i="6" a="1"/>
  <c r="AW228" i="6" s="1"/>
  <c r="AV228" i="6" a="1"/>
  <c r="AV228" i="6" s="1"/>
  <c r="AT228" i="6" a="1"/>
  <c r="AT228" i="6" s="1"/>
  <c r="AU228" i="6" a="1"/>
  <c r="AU228" i="6" s="1"/>
  <c r="AV210" i="6" a="1"/>
  <c r="AV210" i="6" s="1"/>
  <c r="AW210" i="6" a="1"/>
  <c r="AW210" i="6" s="1"/>
  <c r="AU210" i="6" a="1"/>
  <c r="AU210" i="6" s="1"/>
  <c r="AT210" i="6" a="1"/>
  <c r="AT210" i="6" s="1"/>
  <c r="AU199" i="6" a="1"/>
  <c r="AU199" i="6" s="1"/>
  <c r="AW199" i="6" a="1"/>
  <c r="AW199" i="6" s="1"/>
  <c r="AV199" i="6" a="1"/>
  <c r="AV199" i="6" s="1"/>
  <c r="AT199" i="6" a="1"/>
  <c r="AT199" i="6" s="1"/>
  <c r="AV230" i="6" a="1"/>
  <c r="AV230" i="6" s="1"/>
  <c r="AW230" i="6" a="1"/>
  <c r="AW230" i="6" s="1"/>
  <c r="AT230" i="6" a="1"/>
  <c r="AT230" i="6" s="1"/>
  <c r="AU230" i="6" a="1"/>
  <c r="AU230" i="6" s="1"/>
  <c r="AW222" i="6" a="1"/>
  <c r="AW222" i="6" s="1"/>
  <c r="AV222" i="6" a="1"/>
  <c r="AV222" i="6" s="1"/>
  <c r="AT222" i="6" a="1"/>
  <c r="AT222" i="6" s="1"/>
  <c r="AU222" i="6" a="1"/>
  <c r="AU222" i="6" s="1"/>
  <c r="AW218" i="6" a="1"/>
  <c r="AW218" i="6" s="1"/>
  <c r="AV218" i="6" a="1"/>
  <c r="AV218" i="6" s="1"/>
  <c r="AU218" i="6" a="1"/>
  <c r="AU218" i="6" s="1"/>
  <c r="AT218" i="6" a="1"/>
  <c r="AT218" i="6" s="1"/>
  <c r="AW216" i="6" a="1"/>
  <c r="AW216" i="6" s="1"/>
  <c r="AT216" i="6" a="1"/>
  <c r="AT216" i="6" s="1"/>
  <c r="AV216" i="6" a="1"/>
  <c r="AV216" i="6" s="1"/>
  <c r="AU216" i="6" a="1"/>
  <c r="AU216" i="6" s="1"/>
  <c r="AW209" i="6" a="1"/>
  <c r="AW209" i="6" s="1"/>
  <c r="AV209" i="6" a="1"/>
  <c r="AV209" i="6" s="1"/>
  <c r="AT209" i="6" a="1"/>
  <c r="AT209" i="6" s="1"/>
  <c r="AU209" i="6" a="1"/>
  <c r="AU209" i="6" s="1"/>
  <c r="AW196" i="6" a="1"/>
  <c r="AW196" i="6" s="1"/>
  <c r="AT196" i="6" a="1"/>
  <c r="AT196" i="6" s="1"/>
  <c r="AU196" i="6" a="1"/>
  <c r="AU196" i="6" s="1"/>
  <c r="AV196" i="6" a="1"/>
  <c r="AV196" i="6" s="1"/>
  <c r="AW229" i="6" a="1"/>
  <c r="AW229" i="6" s="1"/>
  <c r="AV229" i="6" a="1"/>
  <c r="AV229" i="6" s="1"/>
  <c r="AU229" i="6" a="1"/>
  <c r="AU229" i="6" s="1"/>
  <c r="AT229" i="6" a="1"/>
  <c r="AT229" i="6" s="1"/>
  <c r="AV214" i="6" a="1"/>
  <c r="AV214" i="6" s="1"/>
  <c r="AU214" i="6" a="1"/>
  <c r="AU214" i="6" s="1"/>
  <c r="AT214" i="6" a="1"/>
  <c r="AT214" i="6" s="1"/>
  <c r="AW214" i="6" a="1"/>
  <c r="AW214" i="6" s="1"/>
  <c r="AW219" i="6" a="1"/>
  <c r="AW219" i="6" s="1"/>
  <c r="AV219" i="6" a="1"/>
  <c r="AV219" i="6" s="1"/>
  <c r="AU219" i="6" a="1"/>
  <c r="AU219" i="6" s="1"/>
  <c r="AT219" i="6" a="1"/>
  <c r="AT219" i="6" s="1"/>
  <c r="AV205" i="6" a="1"/>
  <c r="AV205" i="6" s="1"/>
  <c r="AW205" i="6" a="1"/>
  <c r="AW205" i="6" s="1"/>
  <c r="AU205" i="6" a="1"/>
  <c r="AU205" i="6" s="1"/>
  <c r="AT205" i="6" a="1"/>
  <c r="AT205" i="6" s="1"/>
  <c r="AW225" i="6" a="1"/>
  <c r="AW225" i="6" s="1"/>
  <c r="AV225" i="6" a="1"/>
  <c r="AV225" i="6" s="1"/>
  <c r="AU225" i="6" a="1"/>
  <c r="AU225" i="6" s="1"/>
  <c r="AT225" i="6" a="1"/>
  <c r="AT225" i="6" s="1"/>
  <c r="AU215" i="6" a="1"/>
  <c r="AU215" i="6" s="1"/>
  <c r="AW215" i="6" a="1"/>
  <c r="AW215" i="6" s="1"/>
  <c r="AV215" i="6" a="1"/>
  <c r="AV215" i="6" s="1"/>
  <c r="AT215" i="6" a="1"/>
  <c r="AT215" i="6" s="1"/>
  <c r="AV233" i="6" a="1"/>
  <c r="AV233" i="6" s="1"/>
  <c r="AW233" i="6" a="1"/>
  <c r="AW233" i="6" s="1"/>
  <c r="AU233" i="6" a="1"/>
  <c r="AU233" i="6" s="1"/>
  <c r="AT233" i="6" a="1"/>
  <c r="AT233" i="6" s="1"/>
  <c r="AV202" i="6" a="1"/>
  <c r="AV202" i="6" s="1"/>
  <c r="AW202" i="6" a="1"/>
  <c r="AW202" i="6" s="1"/>
  <c r="AU202" i="6" a="1"/>
  <c r="AU202" i="6" s="1"/>
  <c r="AT202" i="6" a="1"/>
  <c r="AT202" i="6" s="1"/>
  <c r="AW197" i="6" a="1"/>
  <c r="AW197" i="6" s="1"/>
  <c r="AV197" i="6" a="1"/>
  <c r="AV197" i="6" s="1"/>
  <c r="AU197" i="6" a="1"/>
  <c r="AU197" i="6" s="1"/>
  <c r="AT197" i="6" a="1"/>
  <c r="AT197" i="6" s="1"/>
  <c r="AW201" i="6" a="1"/>
  <c r="AW201" i="6" s="1"/>
  <c r="AV201" i="6" a="1"/>
  <c r="AV201" i="6" s="1"/>
  <c r="AU201" i="6" a="1"/>
  <c r="AU201" i="6" s="1"/>
  <c r="AT201" i="6" a="1"/>
  <c r="AT201" i="6" s="1"/>
  <c r="AV245" i="6" a="1"/>
  <c r="AV245" i="6" s="1"/>
  <c r="AW245" i="6" a="1"/>
  <c r="AW245" i="6" s="1"/>
  <c r="AU245" i="6" a="1"/>
  <c r="AU245" i="6" s="1"/>
  <c r="AT245" i="6" a="1"/>
  <c r="AT245" i="6" s="1"/>
  <c r="AW231" i="6" a="1"/>
  <c r="AW231" i="6" s="1"/>
  <c r="AV231" i="6" a="1"/>
  <c r="AV231" i="6" s="1"/>
  <c r="AU231" i="6" a="1"/>
  <c r="AU231" i="6" s="1"/>
  <c r="AT231" i="6" a="1"/>
  <c r="AT231" i="6" s="1"/>
  <c r="AT203" i="6" a="1"/>
  <c r="AT203" i="6" s="1"/>
  <c r="AU203" i="6" a="1"/>
  <c r="AU203" i="6" s="1"/>
  <c r="AW203" i="6" a="1"/>
  <c r="AW203" i="6" s="1"/>
  <c r="AV203" i="6" a="1"/>
  <c r="AV203" i="6" s="1"/>
  <c r="AU211" i="6" a="1"/>
  <c r="AU211" i="6" s="1"/>
  <c r="AT211" i="6" a="1"/>
  <c r="AT211" i="6" s="1"/>
  <c r="AW211" i="6" a="1"/>
  <c r="AW211" i="6" s="1"/>
  <c r="AV211" i="6" a="1"/>
  <c r="AV211" i="6" s="1"/>
  <c r="AV206" i="6" a="1"/>
  <c r="AV206" i="6" s="1"/>
  <c r="AU206" i="6" a="1"/>
  <c r="AU206" i="6" s="1"/>
  <c r="AW206" i="6" a="1"/>
  <c r="AW206" i="6" s="1"/>
  <c r="AT206" i="6" a="1"/>
  <c r="AT206" i="6" s="1"/>
  <c r="AW244" i="6" a="1"/>
  <c r="AW244" i="6" s="1"/>
  <c r="AV244" i="6" a="1"/>
  <c r="AV244" i="6" s="1"/>
  <c r="AT244" i="6" a="1"/>
  <c r="AT244" i="6" s="1"/>
  <c r="AU244" i="6" a="1"/>
  <c r="AU244" i="6" s="1"/>
  <c r="AV227" i="6" a="1"/>
  <c r="AV227" i="6" s="1"/>
  <c r="AW227" i="6" a="1"/>
  <c r="AW227" i="6" s="1"/>
  <c r="AU227" i="6" a="1"/>
  <c r="AU227" i="6" s="1"/>
  <c r="AT227" i="6" a="1"/>
  <c r="AT227" i="6" s="1"/>
  <c r="AW221" i="6" a="1"/>
  <c r="AW221" i="6" s="1"/>
  <c r="AV221" i="6" a="1"/>
  <c r="AV221" i="6" s="1"/>
  <c r="AU221" i="6" a="1"/>
  <c r="AU221" i="6" s="1"/>
  <c r="AT221" i="6" a="1"/>
  <c r="AT221" i="6" s="1"/>
  <c r="AT208" i="6" a="1"/>
  <c r="AT208" i="6" s="1"/>
  <c r="AW208" i="6" a="1"/>
  <c r="AW208" i="6" s="1"/>
  <c r="AV208" i="6" a="1"/>
  <c r="AV208" i="6" s="1"/>
  <c r="AU208" i="6" a="1"/>
  <c r="AU208" i="6" s="1"/>
  <c r="AW207" i="6" a="1"/>
  <c r="AW207" i="6" s="1"/>
  <c r="AU207" i="6" a="1"/>
  <c r="AU207" i="6" s="1"/>
  <c r="AV207" i="6" a="1"/>
  <c r="AV207" i="6" s="1"/>
  <c r="AT207" i="6" a="1"/>
  <c r="AT207" i="6" s="1"/>
  <c r="AU195" i="6" a="1"/>
  <c r="AU195" i="6" s="1"/>
  <c r="AT195" i="6" a="1"/>
  <c r="AT195" i="6" s="1"/>
  <c r="AW195" i="6" a="1"/>
  <c r="AW195" i="6" s="1"/>
  <c r="AV195" i="6" a="1"/>
  <c r="AV195" i="6" s="1"/>
  <c r="AV198" i="6" a="1"/>
  <c r="AV198" i="6" s="1"/>
  <c r="AU198" i="6" a="1"/>
  <c r="AU198" i="6" s="1"/>
  <c r="AW198" i="6" a="1"/>
  <c r="AW198" i="6" s="1"/>
  <c r="AT198" i="6" a="1"/>
  <c r="AT198" i="6" s="1"/>
  <c r="AV224" i="6" a="1"/>
  <c r="AV224" i="6" s="1"/>
  <c r="AW224" i="6" a="1"/>
  <c r="AW224" i="6" s="1"/>
  <c r="AU224" i="6" a="1"/>
  <c r="AU224" i="6" s="1"/>
  <c r="AT224" i="6" a="1"/>
  <c r="AT224" i="6" s="1"/>
  <c r="AV232" i="6" a="1"/>
  <c r="AV232" i="6" s="1"/>
  <c r="AW232" i="6" a="1"/>
  <c r="AW232" i="6" s="1"/>
  <c r="AU232" i="6" a="1"/>
  <c r="AU232" i="6" s="1"/>
  <c r="AT232" i="6" a="1"/>
  <c r="AT232" i="6" s="1"/>
  <c r="AV234" i="6" a="1"/>
  <c r="AV234" i="6" s="1"/>
  <c r="AW234" i="6" a="1"/>
  <c r="AW234" i="6" s="1"/>
  <c r="AT234" i="6" a="1"/>
  <c r="AT234" i="6" s="1"/>
  <c r="AU234" i="6" a="1"/>
  <c r="AU234" i="6" s="1"/>
  <c r="AW226" i="6" a="1"/>
  <c r="AW226" i="6" s="1"/>
  <c r="AV226" i="6" a="1"/>
  <c r="AV226" i="6" s="1"/>
  <c r="AT226" i="6" a="1"/>
  <c r="AT226" i="6" s="1"/>
  <c r="AU226" i="6" a="1"/>
  <c r="AU226" i="6" s="1"/>
  <c r="AW212" i="6" a="1"/>
  <c r="AW212" i="6" s="1"/>
  <c r="AT212" i="6" a="1"/>
  <c r="AT212" i="6" s="1"/>
  <c r="AV212" i="6" a="1"/>
  <c r="AV212" i="6" s="1"/>
  <c r="AU212" i="6" a="1"/>
  <c r="AU212" i="6" s="1"/>
  <c r="AW213" i="6" a="1"/>
  <c r="AW213" i="6" s="1"/>
  <c r="AV213" i="6" a="1"/>
  <c r="AV213" i="6" s="1"/>
  <c r="AU213" i="6" a="1"/>
  <c r="AU213" i="6" s="1"/>
  <c r="AT213" i="6" a="1"/>
  <c r="AT213" i="6" s="1"/>
  <c r="AW204" i="6" a="1"/>
  <c r="AW204" i="6" s="1"/>
  <c r="AT204" i="6" a="1"/>
  <c r="AT204" i="6" s="1"/>
  <c r="AV204" i="6" a="1"/>
  <c r="AV204" i="6" s="1"/>
  <c r="AU204" i="6" a="1"/>
  <c r="AU204" i="6" s="1"/>
  <c r="AT200" i="6" a="1"/>
  <c r="AT200" i="6" s="1"/>
  <c r="AW200" i="6" a="1"/>
  <c r="AW200" i="6" s="1"/>
  <c r="AV200" i="6" a="1"/>
  <c r="AV200" i="6" s="1"/>
  <c r="AU200" i="6" a="1"/>
  <c r="AU200" i="6" s="1"/>
  <c r="AW246" i="6" a="1"/>
  <c r="AW246" i="6" s="1"/>
  <c r="AV246" i="6" a="1"/>
  <c r="AV246" i="6" s="1"/>
  <c r="AT246" i="6" a="1"/>
  <c r="AT246" i="6" s="1"/>
  <c r="AU246" i="6" a="1"/>
  <c r="AU246" i="6" s="1"/>
  <c r="AV220" i="6" a="1"/>
  <c r="AV220" i="6" s="1"/>
  <c r="AW220" i="6" a="1"/>
  <c r="AW220" i="6" s="1"/>
  <c r="AU220" i="6" a="1"/>
  <c r="AU220" i="6" s="1"/>
  <c r="AT220" i="6" a="1"/>
  <c r="AT220" i="6" s="1"/>
  <c r="AQ212" i="6" a="1"/>
  <c r="AQ212" i="6" s="1"/>
  <c r="AP212" i="6" a="1"/>
  <c r="AP212" i="6" s="1"/>
  <c r="AO212" i="6" a="1"/>
  <c r="AO212" i="6" s="1"/>
  <c r="AN212" i="6" a="1"/>
  <c r="AN212" i="6" s="1"/>
  <c r="AQ217" i="6" a="1"/>
  <c r="AQ217" i="6" s="1"/>
  <c r="AP217" i="6" a="1"/>
  <c r="AP217" i="6" s="1"/>
  <c r="AN217" i="6" a="1"/>
  <c r="AN217" i="6" s="1"/>
  <c r="AO217" i="6" a="1"/>
  <c r="AO217" i="6" s="1"/>
  <c r="AQ228" i="6" a="1"/>
  <c r="AQ228" i="6" s="1"/>
  <c r="AP228" i="6" a="1"/>
  <c r="AP228" i="6" s="1"/>
  <c r="AO228" i="6" a="1"/>
  <c r="AO228" i="6" s="1"/>
  <c r="AN228" i="6" a="1"/>
  <c r="AN228" i="6" s="1"/>
  <c r="AQ211" i="6" a="1"/>
  <c r="AQ211" i="6" s="1"/>
  <c r="AN211" i="6" a="1"/>
  <c r="AN211" i="6" s="1"/>
  <c r="AP211" i="6" a="1"/>
  <c r="AP211" i="6" s="1"/>
  <c r="AO211" i="6" a="1"/>
  <c r="AO211" i="6" s="1"/>
  <c r="AQ215" i="6" a="1"/>
  <c r="AQ215" i="6" s="1"/>
  <c r="AP215" i="6" a="1"/>
  <c r="AP215" i="6" s="1"/>
  <c r="AO215" i="6" a="1"/>
  <c r="AO215" i="6" s="1"/>
  <c r="AN215" i="6" a="1"/>
  <c r="AN215" i="6" s="1"/>
  <c r="AQ210" i="6" a="1"/>
  <c r="AQ210" i="6" s="1"/>
  <c r="AP210" i="6" a="1"/>
  <c r="AP210" i="6" s="1"/>
  <c r="AO210" i="6" a="1"/>
  <c r="AO210" i="6" s="1"/>
  <c r="AN210" i="6" a="1"/>
  <c r="AN210" i="6" s="1"/>
  <c r="AQ206" i="6" a="1"/>
  <c r="AQ206" i="6" s="1"/>
  <c r="AO206" i="6" a="1"/>
  <c r="AO206" i="6" s="1"/>
  <c r="AP206" i="6" a="1"/>
  <c r="AP206" i="6" s="1"/>
  <c r="AN206" i="6" a="1"/>
  <c r="AN206" i="6" s="1"/>
  <c r="AO199" i="6" a="1"/>
  <c r="AO199" i="6" s="1"/>
  <c r="AP199" i="6" a="1"/>
  <c r="AP199" i="6" s="1"/>
  <c r="AN199" i="6" a="1"/>
  <c r="AN199" i="6" s="1"/>
  <c r="AQ199" i="6" a="1"/>
  <c r="AQ199" i="6" s="1"/>
  <c r="AN244" i="6" a="1"/>
  <c r="AN244" i="6" s="1"/>
  <c r="AQ244" i="6" a="1"/>
  <c r="AQ244" i="6" s="1"/>
  <c r="AP244" i="6" a="1"/>
  <c r="AP244" i="6" s="1"/>
  <c r="AO244" i="6" a="1"/>
  <c r="AO244" i="6" s="1"/>
  <c r="AQ220" i="6" a="1"/>
  <c r="AQ220" i="6" s="1"/>
  <c r="AP220" i="6" a="1"/>
  <c r="AP220" i="6" s="1"/>
  <c r="AO220" i="6" a="1"/>
  <c r="AO220" i="6" s="1"/>
  <c r="AN220" i="6" a="1"/>
  <c r="AN220" i="6" s="1"/>
  <c r="AQ230" i="6" a="1"/>
  <c r="AQ230" i="6" s="1"/>
  <c r="AP230" i="6" a="1"/>
  <c r="AP230" i="6" s="1"/>
  <c r="AO230" i="6" a="1"/>
  <c r="AO230" i="6" s="1"/>
  <c r="AN230" i="6" a="1"/>
  <c r="AN230" i="6" s="1"/>
  <c r="AQ222" i="6" a="1"/>
  <c r="AQ222" i="6" s="1"/>
  <c r="AP222" i="6" a="1"/>
  <c r="AP222" i="6" s="1"/>
  <c r="AO222" i="6" a="1"/>
  <c r="AO222" i="6" s="1"/>
  <c r="AN222" i="6" a="1"/>
  <c r="AN222" i="6" s="1"/>
  <c r="AQ218" i="6" a="1"/>
  <c r="AQ218" i="6" s="1"/>
  <c r="AP218" i="6" a="1"/>
  <c r="AP218" i="6" s="1"/>
  <c r="AO218" i="6" a="1"/>
  <c r="AO218" i="6" s="1"/>
  <c r="AN218" i="6" a="1"/>
  <c r="AN218" i="6" s="1"/>
  <c r="AQ216" i="6" a="1"/>
  <c r="AQ216" i="6" s="1"/>
  <c r="AP216" i="6" a="1"/>
  <c r="AP216" i="6" s="1"/>
  <c r="AO216" i="6" a="1"/>
  <c r="AO216" i="6" s="1"/>
  <c r="AN216" i="6" a="1"/>
  <c r="AN216" i="6" s="1"/>
  <c r="AQ209" i="6" a="1"/>
  <c r="AQ209" i="6" s="1"/>
  <c r="AP209" i="6" a="1"/>
  <c r="AP209" i="6" s="1"/>
  <c r="AO209" i="6" a="1"/>
  <c r="AO209" i="6" s="1"/>
  <c r="AN209" i="6" a="1"/>
  <c r="AN209" i="6" s="1"/>
  <c r="AN196" i="6" a="1"/>
  <c r="AN196" i="6" s="1"/>
  <c r="AQ196" i="6" a="1"/>
  <c r="AQ196" i="6" s="1"/>
  <c r="AO196" i="6" a="1"/>
  <c r="AO196" i="6" s="1"/>
  <c r="AP196" i="6" a="1"/>
  <c r="AP196" i="6" s="1"/>
  <c r="AQ234" i="6" a="1"/>
  <c r="AQ234" i="6" s="1"/>
  <c r="AP234" i="6" a="1"/>
  <c r="AP234" i="6" s="1"/>
  <c r="AN234" i="6" a="1"/>
  <c r="AN234" i="6" s="1"/>
  <c r="AO234" i="6" a="1"/>
  <c r="AO234" i="6" s="1"/>
  <c r="AQ225" i="6" a="1"/>
  <c r="AQ225" i="6" s="1"/>
  <c r="AP225" i="6" a="1"/>
  <c r="AP225" i="6" s="1"/>
  <c r="AN225" i="6" a="1"/>
  <c r="AN225" i="6" s="1"/>
  <c r="AO225" i="6" a="1"/>
  <c r="AO225" i="6" s="1"/>
  <c r="AO203" i="6" a="1"/>
  <c r="AO203" i="6" s="1"/>
  <c r="AQ203" i="6" a="1"/>
  <c r="AQ203" i="6" s="1"/>
  <c r="AN203" i="6" a="1"/>
  <c r="AN203" i="6" s="1"/>
  <c r="AP203" i="6" a="1"/>
  <c r="AP203" i="6" s="1"/>
  <c r="AQ233" i="6" a="1"/>
  <c r="AQ233" i="6" s="1"/>
  <c r="AP233" i="6" a="1"/>
  <c r="AP233" i="6" s="1"/>
  <c r="AO233" i="6" a="1"/>
  <c r="AO233" i="6" s="1"/>
  <c r="AN233" i="6" a="1"/>
  <c r="AN233" i="6" s="1"/>
  <c r="AQ202" i="6" a="1"/>
  <c r="AQ202" i="6" s="1"/>
  <c r="AO202" i="6" a="1"/>
  <c r="AO202" i="6" s="1"/>
  <c r="AN202" i="6" a="1"/>
  <c r="AN202" i="6" s="1"/>
  <c r="AP202" i="6" a="1"/>
  <c r="AP202" i="6" s="1"/>
  <c r="AP197" i="6" a="1"/>
  <c r="AP197" i="6" s="1"/>
  <c r="AO197" i="6" a="1"/>
  <c r="AO197" i="6" s="1"/>
  <c r="AQ197" i="6" a="1"/>
  <c r="AQ197" i="6" s="1"/>
  <c r="AN197" i="6" a="1"/>
  <c r="AN197" i="6" s="1"/>
  <c r="AP201" i="6" a="1"/>
  <c r="AP201" i="6" s="1"/>
  <c r="AO201" i="6" a="1"/>
  <c r="AO201" i="6" s="1"/>
  <c r="AN201" i="6" a="1"/>
  <c r="AN201" i="6" s="1"/>
  <c r="AQ201" i="6" a="1"/>
  <c r="AQ201" i="6" s="1"/>
  <c r="AQ245" i="6" a="1"/>
  <c r="AQ245" i="6" s="1"/>
  <c r="AP245" i="6" a="1"/>
  <c r="AP245" i="6" s="1"/>
  <c r="AO245" i="6" a="1"/>
  <c r="AO245" i="6" s="1"/>
  <c r="AN245" i="6" a="1"/>
  <c r="AN245" i="6" s="1"/>
  <c r="AQ227" i="6" a="1"/>
  <c r="AQ227" i="6" s="1"/>
  <c r="AP227" i="6" a="1"/>
  <c r="AP227" i="6" s="1"/>
  <c r="AO227" i="6" a="1"/>
  <c r="AO227" i="6" s="1"/>
  <c r="AN227" i="6" a="1"/>
  <c r="AN227" i="6" s="1"/>
  <c r="AQ221" i="6" a="1"/>
  <c r="AQ221" i="6" s="1"/>
  <c r="AP221" i="6" a="1"/>
  <c r="AP221" i="6" s="1"/>
  <c r="AO221" i="6" a="1"/>
  <c r="AO221" i="6" s="1"/>
  <c r="AN221" i="6" a="1"/>
  <c r="AN221" i="6" s="1"/>
  <c r="AQ208" i="6" a="1"/>
  <c r="AQ208" i="6" s="1"/>
  <c r="AP208" i="6" a="1"/>
  <c r="AP208" i="6" s="1"/>
  <c r="AO208" i="6" a="1"/>
  <c r="AO208" i="6" s="1"/>
  <c r="AN208" i="6" a="1"/>
  <c r="AN208" i="6" s="1"/>
  <c r="AQ207" i="6" a="1"/>
  <c r="AQ207" i="6" s="1"/>
  <c r="AP207" i="6" a="1"/>
  <c r="AP207" i="6" s="1"/>
  <c r="AO207" i="6" a="1"/>
  <c r="AO207" i="6" s="1"/>
  <c r="AN207" i="6" a="1"/>
  <c r="AN207" i="6" s="1"/>
  <c r="AO195" i="6" a="1"/>
  <c r="AO195" i="6" s="1"/>
  <c r="AQ195" i="6" a="1"/>
  <c r="AQ195" i="6" s="1"/>
  <c r="AN195" i="6" a="1"/>
  <c r="AN195" i="6" s="1"/>
  <c r="AP195" i="6" a="1"/>
  <c r="AP195" i="6" s="1"/>
  <c r="AQ198" i="6" a="1"/>
  <c r="AQ198" i="6" s="1"/>
  <c r="AO198" i="6" a="1"/>
  <c r="AO198" i="6" s="1"/>
  <c r="AP198" i="6" a="1"/>
  <c r="AP198" i="6" s="1"/>
  <c r="AN198" i="6" a="1"/>
  <c r="AN198" i="6" s="1"/>
  <c r="AN219" i="6" a="1"/>
  <c r="AN219" i="6" s="1"/>
  <c r="AQ219" i="6" a="1"/>
  <c r="AQ219" i="6" s="1"/>
  <c r="AP219" i="6" a="1"/>
  <c r="AP219" i="6" s="1"/>
  <c r="AO219" i="6" a="1"/>
  <c r="AO219" i="6" s="1"/>
  <c r="AQ231" i="6" a="1"/>
  <c r="AQ231" i="6" s="1"/>
  <c r="AP231" i="6" a="1"/>
  <c r="AP231" i="6" s="1"/>
  <c r="AO231" i="6" a="1"/>
  <c r="AO231" i="6" s="1"/>
  <c r="AN231" i="6" a="1"/>
  <c r="AN231" i="6" s="1"/>
  <c r="AN229" i="6" a="1"/>
  <c r="AN229" i="6" s="1"/>
  <c r="AQ229" i="6" a="1"/>
  <c r="AQ229" i="6" s="1"/>
  <c r="AP229" i="6" a="1"/>
  <c r="AP229" i="6" s="1"/>
  <c r="AO229" i="6" a="1"/>
  <c r="AO229" i="6" s="1"/>
  <c r="AQ232" i="6" a="1"/>
  <c r="AQ232" i="6" s="1"/>
  <c r="AP232" i="6" a="1"/>
  <c r="AP232" i="6" s="1"/>
  <c r="AO232" i="6" a="1"/>
  <c r="AO232" i="6" s="1"/>
  <c r="AN232" i="6" a="1"/>
  <c r="AN232" i="6" s="1"/>
  <c r="AQ224" i="6" a="1"/>
  <c r="AQ224" i="6" s="1"/>
  <c r="AP224" i="6" a="1"/>
  <c r="AP224" i="6" s="1"/>
  <c r="AO224" i="6" a="1"/>
  <c r="AO224" i="6" s="1"/>
  <c r="AN224" i="6" a="1"/>
  <c r="AN224" i="6" s="1"/>
  <c r="AQ214" i="6" a="1"/>
  <c r="AQ214" i="6" s="1"/>
  <c r="AN214" i="6" a="1"/>
  <c r="AN214" i="6" s="1"/>
  <c r="AP214" i="6" a="1"/>
  <c r="AP214" i="6" s="1"/>
  <c r="AO214" i="6" a="1"/>
  <c r="AO214" i="6" s="1"/>
  <c r="AQ226" i="6" a="1"/>
  <c r="AQ226" i="6" s="1"/>
  <c r="AP226" i="6" a="1"/>
  <c r="AP226" i="6" s="1"/>
  <c r="AO226" i="6" a="1"/>
  <c r="AO226" i="6" s="1"/>
  <c r="AN226" i="6" a="1"/>
  <c r="AN226" i="6" s="1"/>
  <c r="AN213" i="6" a="1"/>
  <c r="AN213" i="6" s="1"/>
  <c r="AQ213" i="6" a="1"/>
  <c r="AQ213" i="6" s="1"/>
  <c r="AP213" i="6" a="1"/>
  <c r="AP213" i="6" s="1"/>
  <c r="AO213" i="6" a="1"/>
  <c r="AO213" i="6" s="1"/>
  <c r="AN204" i="6" a="1"/>
  <c r="AN204" i="6" s="1"/>
  <c r="AQ204" i="6" a="1"/>
  <c r="AQ204" i="6" s="1"/>
  <c r="AP204" i="6" a="1"/>
  <c r="AP204" i="6" s="1"/>
  <c r="AO204" i="6" a="1"/>
  <c r="AO204" i="6" s="1"/>
  <c r="AN200" i="6" a="1"/>
  <c r="AN200" i="6" s="1"/>
  <c r="AP200" i="6" a="1"/>
  <c r="AP200" i="6" s="1"/>
  <c r="AO200" i="6" a="1"/>
  <c r="AO200" i="6" s="1"/>
  <c r="AQ200" i="6" a="1"/>
  <c r="AQ200" i="6" s="1"/>
  <c r="AQ246" i="6" a="1"/>
  <c r="AQ246" i="6" s="1"/>
  <c r="AP246" i="6" a="1"/>
  <c r="AP246" i="6" s="1"/>
  <c r="AN246" i="6" a="1"/>
  <c r="AN246" i="6" s="1"/>
  <c r="AO246" i="6" a="1"/>
  <c r="AO246" i="6" s="1"/>
  <c r="AQ223" i="6" a="1"/>
  <c r="AQ223" i="6" s="1"/>
  <c r="AP223" i="6" a="1"/>
  <c r="AP223" i="6" s="1"/>
  <c r="AO223" i="6" a="1"/>
  <c r="AO223" i="6" s="1"/>
  <c r="AN223" i="6" a="1"/>
  <c r="AN223" i="6" s="1"/>
  <c r="AP205" i="6" a="1"/>
  <c r="AP205" i="6" s="1"/>
  <c r="AO205" i="6" a="1"/>
  <c r="AO205" i="6" s="1"/>
  <c r="AQ205" i="6" a="1"/>
  <c r="AQ205" i="6" s="1"/>
  <c r="AN205" i="6" a="1"/>
  <c r="AN205" i="6" s="1"/>
  <c r="V234" i="6" a="1"/>
  <c r="V234" i="6" s="1"/>
  <c r="W234" i="6" a="1"/>
  <c r="W234" i="6" s="1"/>
  <c r="U234" i="6" a="1"/>
  <c r="U234" i="6" s="1"/>
  <c r="T234" i="6" a="1"/>
  <c r="T234" i="6" s="1"/>
  <c r="V219" i="6" a="1"/>
  <c r="V219" i="6" s="1"/>
  <c r="U219" i="6" a="1"/>
  <c r="U219" i="6" s="1"/>
  <c r="T219" i="6" a="1"/>
  <c r="T219" i="6" s="1"/>
  <c r="W219" i="6" a="1"/>
  <c r="W219" i="6" s="1"/>
  <c r="V231" i="6" a="1"/>
  <c r="V231" i="6" s="1"/>
  <c r="W231" i="6" a="1"/>
  <c r="W231" i="6" s="1"/>
  <c r="U231" i="6" a="1"/>
  <c r="U231" i="6" s="1"/>
  <c r="T231" i="6" a="1"/>
  <c r="T231" i="6" s="1"/>
  <c r="V228" i="6" a="1"/>
  <c r="V228" i="6" s="1"/>
  <c r="T228" i="6" a="1"/>
  <c r="T228" i="6" s="1"/>
  <c r="W228" i="6" a="1"/>
  <c r="W228" i="6" s="1"/>
  <c r="U228" i="6" a="1"/>
  <c r="U228" i="6" s="1"/>
  <c r="V211" i="6" a="1"/>
  <c r="V211" i="6" s="1"/>
  <c r="W211" i="6" a="1"/>
  <c r="W211" i="6" s="1"/>
  <c r="T211" i="6" a="1"/>
  <c r="T211" i="6" s="1"/>
  <c r="U211" i="6" a="1"/>
  <c r="U211" i="6" s="1"/>
  <c r="V215" i="6" a="1"/>
  <c r="V215" i="6" s="1"/>
  <c r="T215" i="6" a="1"/>
  <c r="T215" i="6" s="1"/>
  <c r="W215" i="6" a="1"/>
  <c r="W215" i="6" s="1"/>
  <c r="U215" i="6" a="1"/>
  <c r="U215" i="6" s="1"/>
  <c r="T210" i="6" a="1"/>
  <c r="T210" i="6" s="1"/>
  <c r="V210" i="6" a="1"/>
  <c r="V210" i="6" s="1"/>
  <c r="W210" i="6" a="1"/>
  <c r="W210" i="6" s="1"/>
  <c r="U210" i="6" a="1"/>
  <c r="U210" i="6" s="1"/>
  <c r="V206" i="6" a="1"/>
  <c r="V206" i="6" s="1"/>
  <c r="U206" i="6" a="1"/>
  <c r="U206" i="6" s="1"/>
  <c r="T206" i="6" a="1"/>
  <c r="T206" i="6" s="1"/>
  <c r="W206" i="6" a="1"/>
  <c r="W206" i="6" s="1"/>
  <c r="W199" i="6" a="1"/>
  <c r="W199" i="6" s="1"/>
  <c r="V199" i="6" a="1"/>
  <c r="V199" i="6" s="1"/>
  <c r="T199" i="6" a="1"/>
  <c r="T199" i="6" s="1"/>
  <c r="U199" i="6" a="1"/>
  <c r="U199" i="6" s="1"/>
  <c r="T244" i="6" a="1"/>
  <c r="T244" i="6" s="1"/>
  <c r="V244" i="6" a="1"/>
  <c r="V244" i="6" s="1"/>
  <c r="W244" i="6" a="1"/>
  <c r="W244" i="6" s="1"/>
  <c r="U244" i="6" a="1"/>
  <c r="U244" i="6" s="1"/>
  <c r="V217" i="6" a="1"/>
  <c r="V217" i="6" s="1"/>
  <c r="U217" i="6" a="1"/>
  <c r="U217" i="6" s="1"/>
  <c r="T217" i="6" a="1"/>
  <c r="T217" i="6" s="1"/>
  <c r="W217" i="6" a="1"/>
  <c r="W217" i="6" s="1"/>
  <c r="W203" i="6" a="1"/>
  <c r="W203" i="6" s="1"/>
  <c r="V203" i="6" a="1"/>
  <c r="V203" i="6" s="1"/>
  <c r="U203" i="6" a="1"/>
  <c r="U203" i="6" s="1"/>
  <c r="T203" i="6" a="1"/>
  <c r="T203" i="6" s="1"/>
  <c r="V230" i="6" a="1"/>
  <c r="V230" i="6" s="1"/>
  <c r="T230" i="6" a="1"/>
  <c r="T230" i="6" s="1"/>
  <c r="W230" i="6" a="1"/>
  <c r="W230" i="6" s="1"/>
  <c r="U230" i="6" a="1"/>
  <c r="U230" i="6" s="1"/>
  <c r="V222" i="6" a="1"/>
  <c r="V222" i="6" s="1"/>
  <c r="T222" i="6" a="1"/>
  <c r="T222" i="6" s="1"/>
  <c r="U222" i="6" a="1"/>
  <c r="U222" i="6" s="1"/>
  <c r="W222" i="6" a="1"/>
  <c r="W222" i="6" s="1"/>
  <c r="V218" i="6" a="1"/>
  <c r="V218" i="6" s="1"/>
  <c r="W218" i="6" a="1"/>
  <c r="W218" i="6" s="1"/>
  <c r="U218" i="6" a="1"/>
  <c r="U218" i="6" s="1"/>
  <c r="T218" i="6" a="1"/>
  <c r="T218" i="6" s="1"/>
  <c r="V216" i="6" a="1"/>
  <c r="V216" i="6" s="1"/>
  <c r="W216" i="6" a="1"/>
  <c r="W216" i="6" s="1"/>
  <c r="T216" i="6" a="1"/>
  <c r="T216" i="6" s="1"/>
  <c r="U216" i="6" a="1"/>
  <c r="U216" i="6" s="1"/>
  <c r="V209" i="6" a="1"/>
  <c r="V209" i="6" s="1"/>
  <c r="W209" i="6" a="1"/>
  <c r="W209" i="6" s="1"/>
  <c r="U209" i="6" a="1"/>
  <c r="U209" i="6" s="1"/>
  <c r="T209" i="6" a="1"/>
  <c r="T209" i="6" s="1"/>
  <c r="W196" i="6" a="1"/>
  <c r="W196" i="6" s="1"/>
  <c r="U196" i="6" a="1"/>
  <c r="U196" i="6" s="1"/>
  <c r="T196" i="6" a="1"/>
  <c r="T196" i="6" s="1"/>
  <c r="V196" i="6" a="1"/>
  <c r="V196" i="6" s="1"/>
  <c r="V226" i="6" a="1"/>
  <c r="V226" i="6" s="1"/>
  <c r="W226" i="6" a="1"/>
  <c r="W226" i="6" s="1"/>
  <c r="T226" i="6" a="1"/>
  <c r="T226" i="6" s="1"/>
  <c r="U226" i="6" a="1"/>
  <c r="U226" i="6" s="1"/>
  <c r="V220" i="6" a="1"/>
  <c r="V220" i="6" s="1"/>
  <c r="U220" i="6" a="1"/>
  <c r="U220" i="6" s="1"/>
  <c r="T220" i="6" a="1"/>
  <c r="T220" i="6" s="1"/>
  <c r="W220" i="6" a="1"/>
  <c r="W220" i="6" s="1"/>
  <c r="V233" i="6" a="1"/>
  <c r="V233" i="6" s="1"/>
  <c r="U233" i="6" a="1"/>
  <c r="U233" i="6" s="1"/>
  <c r="T233" i="6" a="1"/>
  <c r="T233" i="6" s="1"/>
  <c r="W233" i="6" a="1"/>
  <c r="W233" i="6" s="1"/>
  <c r="V202" i="6" a="1"/>
  <c r="V202" i="6" s="1"/>
  <c r="U202" i="6" a="1"/>
  <c r="U202" i="6" s="1"/>
  <c r="T202" i="6" a="1"/>
  <c r="T202" i="6" s="1"/>
  <c r="W202" i="6" a="1"/>
  <c r="W202" i="6" s="1"/>
  <c r="T197" i="6" a="1"/>
  <c r="T197" i="6" s="1"/>
  <c r="W197" i="6" a="1"/>
  <c r="W197" i="6" s="1"/>
  <c r="V197" i="6" a="1"/>
  <c r="V197" i="6" s="1"/>
  <c r="U197" i="6" a="1"/>
  <c r="U197" i="6" s="1"/>
  <c r="U201" i="6" a="1"/>
  <c r="U201" i="6" s="1"/>
  <c r="T201" i="6" a="1"/>
  <c r="T201" i="6" s="1"/>
  <c r="W201" i="6" a="1"/>
  <c r="W201" i="6" s="1"/>
  <c r="V201" i="6" a="1"/>
  <c r="V201" i="6" s="1"/>
  <c r="V245" i="6" a="1"/>
  <c r="V245" i="6" s="1"/>
  <c r="T245" i="6" a="1"/>
  <c r="T245" i="6" s="1"/>
  <c r="W245" i="6" a="1"/>
  <c r="W245" i="6" s="1"/>
  <c r="U245" i="6" a="1"/>
  <c r="U245" i="6" s="1"/>
  <c r="V225" i="6" a="1"/>
  <c r="V225" i="6" s="1"/>
  <c r="U225" i="6" a="1"/>
  <c r="U225" i="6" s="1"/>
  <c r="T225" i="6" a="1"/>
  <c r="T225" i="6" s="1"/>
  <c r="W225" i="6" a="1"/>
  <c r="W225" i="6" s="1"/>
  <c r="U227" i="6" a="1"/>
  <c r="U227" i="6" s="1"/>
  <c r="V227" i="6" a="1"/>
  <c r="V227" i="6" s="1"/>
  <c r="T227" i="6" a="1"/>
  <c r="T227" i="6" s="1"/>
  <c r="W227" i="6" a="1"/>
  <c r="W227" i="6" s="1"/>
  <c r="V221" i="6" a="1"/>
  <c r="V221" i="6" s="1"/>
  <c r="W221" i="6" a="1"/>
  <c r="W221" i="6" s="1"/>
  <c r="T221" i="6" a="1"/>
  <c r="T221" i="6" s="1"/>
  <c r="U221" i="6" a="1"/>
  <c r="U221" i="6" s="1"/>
  <c r="V208" i="6" a="1"/>
  <c r="V208" i="6" s="1"/>
  <c r="W208" i="6" a="1"/>
  <c r="W208" i="6" s="1"/>
  <c r="U208" i="6" a="1"/>
  <c r="U208" i="6" s="1"/>
  <c r="T208" i="6" a="1"/>
  <c r="T208" i="6" s="1"/>
  <c r="W207" i="6" a="1"/>
  <c r="W207" i="6" s="1"/>
  <c r="V207" i="6" a="1"/>
  <c r="V207" i="6" s="1"/>
  <c r="T207" i="6" a="1"/>
  <c r="T207" i="6" s="1"/>
  <c r="U207" i="6" a="1"/>
  <c r="U207" i="6" s="1"/>
  <c r="W195" i="6" a="1"/>
  <c r="W195" i="6" s="1"/>
  <c r="V195" i="6" a="1"/>
  <c r="V195" i="6" s="1"/>
  <c r="U195" i="6" a="1"/>
  <c r="U195" i="6" s="1"/>
  <c r="T195" i="6" a="1"/>
  <c r="T195" i="6" s="1"/>
  <c r="V198" i="6" a="1"/>
  <c r="V198" i="6" s="1"/>
  <c r="U198" i="6" a="1"/>
  <c r="U198" i="6" s="1"/>
  <c r="T198" i="6" a="1"/>
  <c r="T198" i="6" s="1"/>
  <c r="W198" i="6" a="1"/>
  <c r="W198" i="6" s="1"/>
  <c r="V212" i="6" a="1"/>
  <c r="V212" i="6" s="1"/>
  <c r="U212" i="6" a="1"/>
  <c r="U212" i="6" s="1"/>
  <c r="W212" i="6" a="1"/>
  <c r="W212" i="6" s="1"/>
  <c r="T212" i="6" a="1"/>
  <c r="T212" i="6" s="1"/>
  <c r="V223" i="6" a="1"/>
  <c r="V223" i="6" s="1"/>
  <c r="W223" i="6" a="1"/>
  <c r="W223" i="6" s="1"/>
  <c r="T223" i="6" a="1"/>
  <c r="T223" i="6" s="1"/>
  <c r="U223" i="6" a="1"/>
  <c r="U223" i="6" s="1"/>
  <c r="V229" i="6" a="1"/>
  <c r="V229" i="6" s="1"/>
  <c r="T229" i="6" a="1"/>
  <c r="T229" i="6" s="1"/>
  <c r="W229" i="6" a="1"/>
  <c r="W229" i="6" s="1"/>
  <c r="U229" i="6" a="1"/>
  <c r="U229" i="6" s="1"/>
  <c r="V232" i="6" a="1"/>
  <c r="V232" i="6" s="1"/>
  <c r="W232" i="6" a="1"/>
  <c r="W232" i="6" s="1"/>
  <c r="U232" i="6" a="1"/>
  <c r="U232" i="6" s="1"/>
  <c r="T232" i="6" a="1"/>
  <c r="T232" i="6" s="1"/>
  <c r="V224" i="6" a="1"/>
  <c r="V224" i="6" s="1"/>
  <c r="U224" i="6" a="1"/>
  <c r="U224" i="6" s="1"/>
  <c r="W224" i="6" a="1"/>
  <c r="W224" i="6" s="1"/>
  <c r="T224" i="6" a="1"/>
  <c r="T224" i="6" s="1"/>
  <c r="V214" i="6" a="1"/>
  <c r="V214" i="6" s="1"/>
  <c r="T214" i="6" a="1"/>
  <c r="T214" i="6" s="1"/>
  <c r="W214" i="6" a="1"/>
  <c r="W214" i="6" s="1"/>
  <c r="U214" i="6" a="1"/>
  <c r="U214" i="6" s="1"/>
  <c r="V213" i="6" a="1"/>
  <c r="V213" i="6" s="1"/>
  <c r="W213" i="6" a="1"/>
  <c r="W213" i="6" s="1"/>
  <c r="T213" i="6" a="1"/>
  <c r="T213" i="6" s="1"/>
  <c r="U213" i="6" a="1"/>
  <c r="U213" i="6" s="1"/>
  <c r="W204" i="6" a="1"/>
  <c r="W204" i="6" s="1"/>
  <c r="V204" i="6" a="1"/>
  <c r="V204" i="6" s="1"/>
  <c r="T204" i="6" a="1"/>
  <c r="T204" i="6" s="1"/>
  <c r="U204" i="6" a="1"/>
  <c r="U204" i="6" s="1"/>
  <c r="W200" i="6" a="1"/>
  <c r="W200" i="6" s="1"/>
  <c r="V200" i="6" a="1"/>
  <c r="V200" i="6" s="1"/>
  <c r="U200" i="6" a="1"/>
  <c r="U200" i="6" s="1"/>
  <c r="T200" i="6" a="1"/>
  <c r="T200" i="6" s="1"/>
  <c r="V246" i="6" a="1"/>
  <c r="V246" i="6" s="1"/>
  <c r="W246" i="6" a="1"/>
  <c r="W246" i="6" s="1"/>
  <c r="U246" i="6" a="1"/>
  <c r="U246" i="6" s="1"/>
  <c r="T246" i="6" a="1"/>
  <c r="T246" i="6" s="1"/>
  <c r="W205" i="6" a="1"/>
  <c r="W205" i="6" s="1"/>
  <c r="T205" i="6" a="1"/>
  <c r="T205" i="6" s="1"/>
  <c r="V205" i="6" a="1"/>
  <c r="V205" i="6" s="1"/>
  <c r="U205" i="6" a="1"/>
  <c r="U205" i="6" s="1"/>
  <c r="P219" i="6" a="1"/>
  <c r="P219" i="6" s="1"/>
  <c r="O219" i="6" a="1"/>
  <c r="O219" i="6" s="1"/>
  <c r="N219" i="6" a="1"/>
  <c r="N219" i="6" s="1"/>
  <c r="Q219" i="6" a="1"/>
  <c r="Q219" i="6" s="1"/>
  <c r="P228" i="6" a="1"/>
  <c r="P228" i="6" s="1"/>
  <c r="O228" i="6" a="1"/>
  <c r="O228" i="6" s="1"/>
  <c r="N228" i="6" a="1"/>
  <c r="N228" i="6" s="1"/>
  <c r="Q228" i="6" a="1"/>
  <c r="Q228" i="6" s="1"/>
  <c r="O211" i="6" a="1"/>
  <c r="O211" i="6" s="1"/>
  <c r="N211" i="6" a="1"/>
  <c r="N211" i="6" s="1"/>
  <c r="Q211" i="6" a="1"/>
  <c r="Q211" i="6" s="1"/>
  <c r="P211" i="6" a="1"/>
  <c r="P211" i="6" s="1"/>
  <c r="P215" i="6" a="1"/>
  <c r="P215" i="6" s="1"/>
  <c r="Q215" i="6" a="1"/>
  <c r="Q215" i="6" s="1"/>
  <c r="N215" i="6" a="1"/>
  <c r="N215" i="6" s="1"/>
  <c r="O215" i="6" a="1"/>
  <c r="O215" i="6" s="1"/>
  <c r="P210" i="6" a="1"/>
  <c r="P210" i="6" s="1"/>
  <c r="O210" i="6" a="1"/>
  <c r="O210" i="6" s="1"/>
  <c r="N210" i="6" a="1"/>
  <c r="N210" i="6" s="1"/>
  <c r="Q210" i="6" a="1"/>
  <c r="Q210" i="6" s="1"/>
  <c r="P206" i="6" a="1"/>
  <c r="P206" i="6" s="1"/>
  <c r="O206" i="6" a="1"/>
  <c r="O206" i="6" s="1"/>
  <c r="Q206" i="6" a="1"/>
  <c r="Q206" i="6" s="1"/>
  <c r="N206" i="6" a="1"/>
  <c r="N206" i="6" s="1"/>
  <c r="Q199" i="6" a="1"/>
  <c r="Q199" i="6" s="1"/>
  <c r="O199" i="6" a="1"/>
  <c r="O199" i="6" s="1"/>
  <c r="N199" i="6" a="1"/>
  <c r="N199" i="6" s="1"/>
  <c r="P199" i="6" a="1"/>
  <c r="P199" i="6" s="1"/>
  <c r="P244" i="6" a="1"/>
  <c r="P244" i="6" s="1"/>
  <c r="N244" i="6" a="1"/>
  <c r="N244" i="6" s="1"/>
  <c r="O244" i="6" a="1"/>
  <c r="O244" i="6" s="1"/>
  <c r="Q244" i="6" a="1"/>
  <c r="Q244" i="6" s="1"/>
  <c r="P220" i="6" a="1"/>
  <c r="P220" i="6" s="1"/>
  <c r="O220" i="6" a="1"/>
  <c r="O220" i="6" s="1"/>
  <c r="Q220" i="6" a="1"/>
  <c r="Q220" i="6" s="1"/>
  <c r="N220" i="6" a="1"/>
  <c r="N220" i="6" s="1"/>
  <c r="P230" i="6" a="1"/>
  <c r="P230" i="6" s="1"/>
  <c r="O230" i="6" a="1"/>
  <c r="O230" i="6" s="1"/>
  <c r="Q230" i="6" a="1"/>
  <c r="Q230" i="6" s="1"/>
  <c r="N230" i="6" a="1"/>
  <c r="N230" i="6" s="1"/>
  <c r="Q222" i="6" a="1"/>
  <c r="Q222" i="6" s="1"/>
  <c r="P222" i="6" a="1"/>
  <c r="P222" i="6" s="1"/>
  <c r="O222" i="6" a="1"/>
  <c r="O222" i="6" s="1"/>
  <c r="N222" i="6" a="1"/>
  <c r="N222" i="6" s="1"/>
  <c r="P218" i="6" a="1"/>
  <c r="P218" i="6" s="1"/>
  <c r="O218" i="6" a="1"/>
  <c r="O218" i="6" s="1"/>
  <c r="Q218" i="6" a="1"/>
  <c r="Q218" i="6" s="1"/>
  <c r="N218" i="6" a="1"/>
  <c r="N218" i="6" s="1"/>
  <c r="P216" i="6" a="1"/>
  <c r="P216" i="6" s="1"/>
  <c r="O216" i="6" a="1"/>
  <c r="O216" i="6" s="1"/>
  <c r="Q216" i="6" a="1"/>
  <c r="Q216" i="6" s="1"/>
  <c r="N216" i="6" a="1"/>
  <c r="N216" i="6" s="1"/>
  <c r="P209" i="6" a="1"/>
  <c r="P209" i="6" s="1"/>
  <c r="O209" i="6" a="1"/>
  <c r="O209" i="6" s="1"/>
  <c r="Q209" i="6" a="1"/>
  <c r="Q209" i="6" s="1"/>
  <c r="N209" i="6" a="1"/>
  <c r="N209" i="6" s="1"/>
  <c r="O196" i="6" a="1"/>
  <c r="O196" i="6" s="1"/>
  <c r="Q196" i="6" a="1"/>
  <c r="Q196" i="6" s="1"/>
  <c r="N196" i="6" a="1"/>
  <c r="N196" i="6" s="1"/>
  <c r="P196" i="6" a="1"/>
  <c r="P196" i="6" s="1"/>
  <c r="P217" i="6" a="1"/>
  <c r="P217" i="6" s="1"/>
  <c r="Q217" i="6" a="1"/>
  <c r="Q217" i="6" s="1"/>
  <c r="N217" i="6" a="1"/>
  <c r="N217" i="6" s="1"/>
  <c r="O217" i="6" a="1"/>
  <c r="O217" i="6" s="1"/>
  <c r="O203" i="6" a="1"/>
  <c r="O203" i="6" s="1"/>
  <c r="N203" i="6" a="1"/>
  <c r="N203" i="6" s="1"/>
  <c r="P203" i="6" a="1"/>
  <c r="P203" i="6" s="1"/>
  <c r="Q203" i="6" a="1"/>
  <c r="Q203" i="6" s="1"/>
  <c r="P233" i="6" a="1"/>
  <c r="P233" i="6" s="1"/>
  <c r="Q233" i="6" a="1"/>
  <c r="Q233" i="6" s="1"/>
  <c r="N233" i="6" a="1"/>
  <c r="N233" i="6" s="1"/>
  <c r="O233" i="6" a="1"/>
  <c r="O233" i="6" s="1"/>
  <c r="P202" i="6" a="1"/>
  <c r="P202" i="6" s="1"/>
  <c r="Q202" i="6" a="1"/>
  <c r="Q202" i="6" s="1"/>
  <c r="O202" i="6" a="1"/>
  <c r="O202" i="6" s="1"/>
  <c r="N202" i="6" a="1"/>
  <c r="N202" i="6" s="1"/>
  <c r="P197" i="6" a="1"/>
  <c r="P197" i="6" s="1"/>
  <c r="O197" i="6" a="1"/>
  <c r="O197" i="6" s="1"/>
  <c r="Q197" i="6" a="1"/>
  <c r="Q197" i="6" s="1"/>
  <c r="N197" i="6" a="1"/>
  <c r="N197" i="6" s="1"/>
  <c r="P201" i="6" a="1"/>
  <c r="P201" i="6" s="1"/>
  <c r="Q201" i="6" a="1"/>
  <c r="Q201" i="6" s="1"/>
  <c r="N201" i="6" a="1"/>
  <c r="N201" i="6" s="1"/>
  <c r="O201" i="6" a="1"/>
  <c r="O201" i="6" s="1"/>
  <c r="P245" i="6" a="1"/>
  <c r="P245" i="6" s="1"/>
  <c r="Q245" i="6" a="1"/>
  <c r="Q245" i="6" s="1"/>
  <c r="N245" i="6" a="1"/>
  <c r="N245" i="6" s="1"/>
  <c r="O245" i="6" a="1"/>
  <c r="O245" i="6" s="1"/>
  <c r="Q212" i="6" a="1"/>
  <c r="Q212" i="6" s="1"/>
  <c r="N212" i="6" a="1"/>
  <c r="N212" i="6" s="1"/>
  <c r="P212" i="6" a="1"/>
  <c r="P212" i="6" s="1"/>
  <c r="O212" i="6" a="1"/>
  <c r="O212" i="6" s="1"/>
  <c r="P223" i="6" a="1"/>
  <c r="P223" i="6" s="1"/>
  <c r="O223" i="6" a="1"/>
  <c r="O223" i="6" s="1"/>
  <c r="N223" i="6" a="1"/>
  <c r="N223" i="6" s="1"/>
  <c r="Q223" i="6" a="1"/>
  <c r="Q223" i="6" s="1"/>
  <c r="P231" i="6" a="1"/>
  <c r="P231" i="6" s="1"/>
  <c r="O231" i="6" a="1"/>
  <c r="O231" i="6" s="1"/>
  <c r="N231" i="6" a="1"/>
  <c r="N231" i="6" s="1"/>
  <c r="Q231" i="6" a="1"/>
  <c r="Q231" i="6" s="1"/>
  <c r="P227" i="6" a="1"/>
  <c r="P227" i="6" s="1"/>
  <c r="O227" i="6" a="1"/>
  <c r="O227" i="6" s="1"/>
  <c r="N227" i="6" a="1"/>
  <c r="N227" i="6" s="1"/>
  <c r="Q227" i="6" a="1"/>
  <c r="Q227" i="6" s="1"/>
  <c r="P221" i="6" a="1"/>
  <c r="P221" i="6" s="1"/>
  <c r="O221" i="6" a="1"/>
  <c r="O221" i="6" s="1"/>
  <c r="Q221" i="6" a="1"/>
  <c r="Q221" i="6" s="1"/>
  <c r="N221" i="6" a="1"/>
  <c r="N221" i="6" s="1"/>
  <c r="N208" i="6" a="1"/>
  <c r="N208" i="6" s="1"/>
  <c r="Q208" i="6" a="1"/>
  <c r="Q208" i="6" s="1"/>
  <c r="O208" i="6" a="1"/>
  <c r="O208" i="6" s="1"/>
  <c r="P208" i="6" a="1"/>
  <c r="P208" i="6" s="1"/>
  <c r="Q207" i="6" a="1"/>
  <c r="Q207" i="6" s="1"/>
  <c r="O207" i="6" a="1"/>
  <c r="O207" i="6" s="1"/>
  <c r="N207" i="6" a="1"/>
  <c r="N207" i="6" s="1"/>
  <c r="P207" i="6" a="1"/>
  <c r="P207" i="6" s="1"/>
  <c r="O195" i="6" a="1"/>
  <c r="O195" i="6" s="1"/>
  <c r="N195" i="6" a="1"/>
  <c r="N195" i="6" s="1"/>
  <c r="P195" i="6" a="1"/>
  <c r="P195" i="6" s="1"/>
  <c r="Q195" i="6" a="1"/>
  <c r="Q195" i="6" s="1"/>
  <c r="N198" i="6" a="1"/>
  <c r="N198" i="6" s="1"/>
  <c r="P198" i="6" a="1"/>
  <c r="P198" i="6" s="1"/>
  <c r="O198" i="6" a="1"/>
  <c r="O198" i="6" s="1"/>
  <c r="Q198" i="6" a="1"/>
  <c r="Q198" i="6" s="1"/>
  <c r="N225" i="6" a="1"/>
  <c r="N225" i="6" s="1"/>
  <c r="P225" i="6" a="1"/>
  <c r="P225" i="6" s="1"/>
  <c r="O225" i="6" a="1"/>
  <c r="O225" i="6" s="1"/>
  <c r="Q225" i="6" a="1"/>
  <c r="Q225" i="6" s="1"/>
  <c r="P229" i="6" a="1"/>
  <c r="P229" i="6" s="1"/>
  <c r="O229" i="6" a="1"/>
  <c r="O229" i="6" s="1"/>
  <c r="Q229" i="6" a="1"/>
  <c r="Q229" i="6" s="1"/>
  <c r="N229" i="6" a="1"/>
  <c r="N229" i="6" s="1"/>
  <c r="P232" i="6" a="1"/>
  <c r="P232" i="6" s="1"/>
  <c r="O232" i="6" a="1"/>
  <c r="O232" i="6" s="1"/>
  <c r="N232" i="6" a="1"/>
  <c r="N232" i="6" s="1"/>
  <c r="Q232" i="6" a="1"/>
  <c r="Q232" i="6" s="1"/>
  <c r="P224" i="6" a="1"/>
  <c r="P224" i="6" s="1"/>
  <c r="O224" i="6" a="1"/>
  <c r="O224" i="6" s="1"/>
  <c r="N224" i="6" a="1"/>
  <c r="N224" i="6" s="1"/>
  <c r="Q224" i="6" a="1"/>
  <c r="Q224" i="6" s="1"/>
  <c r="P214" i="6" a="1"/>
  <c r="P214" i="6" s="1"/>
  <c r="Q214" i="6" a="1"/>
  <c r="Q214" i="6" s="1"/>
  <c r="O214" i="6" a="1"/>
  <c r="O214" i="6" s="1"/>
  <c r="N214" i="6" a="1"/>
  <c r="N214" i="6" s="1"/>
  <c r="P234" i="6" a="1"/>
  <c r="P234" i="6" s="1"/>
  <c r="O234" i="6" a="1"/>
  <c r="O234" i="6" s="1"/>
  <c r="Q234" i="6" a="1"/>
  <c r="Q234" i="6" s="1"/>
  <c r="N234" i="6" a="1"/>
  <c r="N234" i="6" s="1"/>
  <c r="O213" i="6" a="1"/>
  <c r="O213" i="6" s="1"/>
  <c r="P213" i="6" a="1"/>
  <c r="P213" i="6" s="1"/>
  <c r="Q213" i="6" a="1"/>
  <c r="Q213" i="6" s="1"/>
  <c r="N213" i="6" a="1"/>
  <c r="N213" i="6" s="1"/>
  <c r="Q204" i="6" a="1"/>
  <c r="Q204" i="6" s="1"/>
  <c r="N204" i="6" a="1"/>
  <c r="N204" i="6" s="1"/>
  <c r="O204" i="6" a="1"/>
  <c r="O204" i="6" s="1"/>
  <c r="P204" i="6" a="1"/>
  <c r="P204" i="6" s="1"/>
  <c r="N200" i="6" a="1"/>
  <c r="N200" i="6" s="1"/>
  <c r="P200" i="6" a="1"/>
  <c r="P200" i="6" s="1"/>
  <c r="Q200" i="6" a="1"/>
  <c r="Q200" i="6" s="1"/>
  <c r="O200" i="6" a="1"/>
  <c r="O200" i="6" s="1"/>
  <c r="P246" i="6" a="1"/>
  <c r="P246" i="6" s="1"/>
  <c r="O246" i="6" a="1"/>
  <c r="O246" i="6" s="1"/>
  <c r="Q246" i="6" a="1"/>
  <c r="Q246" i="6" s="1"/>
  <c r="N246" i="6" a="1"/>
  <c r="N246" i="6" s="1"/>
  <c r="P226" i="6" a="1"/>
  <c r="P226" i="6" s="1"/>
  <c r="O226" i="6" a="1"/>
  <c r="O226" i="6" s="1"/>
  <c r="Q226" i="6" a="1"/>
  <c r="Q226" i="6" s="1"/>
  <c r="N226" i="6" a="1"/>
  <c r="N226" i="6" s="1"/>
  <c r="O205" i="6" a="1"/>
  <c r="O205" i="6" s="1"/>
  <c r="N205" i="6" a="1"/>
  <c r="N205" i="6" s="1"/>
  <c r="Q205" i="6" a="1"/>
  <c r="Q205" i="6" s="1"/>
  <c r="P205" i="6" a="1"/>
  <c r="P205" i="6" s="1"/>
  <c r="B7" i="6" a="1"/>
  <c r="B7" i="6" s="1"/>
  <c r="A7" i="6" s="1" a="1"/>
  <c r="A7" i="6" s="1"/>
  <c r="B11" i="6" a="1"/>
  <c r="B11" i="6" s="1"/>
  <c r="A11" i="6" s="1" a="1"/>
  <c r="A11" i="6" s="1"/>
  <c r="B15" i="6" a="1"/>
  <c r="B15" i="6" s="1"/>
  <c r="B19" i="6" a="1"/>
  <c r="B19" i="6" s="1"/>
  <c r="B23" i="6" a="1"/>
  <c r="B23" i="6" s="1"/>
  <c r="A23" i="6" s="1" a="1"/>
  <c r="A23" i="6" s="1"/>
  <c r="B27" i="6" a="1"/>
  <c r="B27" i="6" s="1"/>
  <c r="A27" i="6" s="1" a="1"/>
  <c r="A27" i="6" s="1"/>
  <c r="B31" i="6" a="1"/>
  <c r="B31" i="6" s="1"/>
  <c r="A31" i="6" s="1" a="1"/>
  <c r="A31" i="6" s="1"/>
  <c r="B35" i="6" a="1"/>
  <c r="B35" i="6" s="1"/>
  <c r="A35" i="6" s="1" a="1"/>
  <c r="A35" i="6" s="1"/>
  <c r="B39" i="6" a="1"/>
  <c r="B39" i="6" s="1"/>
  <c r="A39" i="6" s="1" a="1"/>
  <c r="A39" i="6" s="1"/>
  <c r="B43" i="6" a="1"/>
  <c r="B43" i="6" s="1"/>
  <c r="A43" i="6" s="1" a="1"/>
  <c r="A43" i="6" s="1"/>
  <c r="B47" i="6" a="1"/>
  <c r="B47" i="6" s="1"/>
  <c r="B51" i="6" a="1"/>
  <c r="B51" i="6" s="1"/>
  <c r="B55" i="6" a="1"/>
  <c r="B55" i="6" s="1"/>
  <c r="A55" i="6" s="1" a="1"/>
  <c r="A55" i="6" s="1"/>
  <c r="B59" i="6" a="1"/>
  <c r="B59" i="6" s="1"/>
  <c r="A59" i="6" s="1" a="1"/>
  <c r="A59" i="6" s="1"/>
  <c r="B67" i="6" a="1"/>
  <c r="B67" i="6" s="1"/>
  <c r="A67" i="6" s="1" a="1"/>
  <c r="A67" i="6" s="1"/>
  <c r="B71" i="6" a="1"/>
  <c r="B71" i="6" s="1"/>
  <c r="A71" i="6" s="1" a="1"/>
  <c r="A71" i="6" s="1"/>
  <c r="B75" i="6" a="1"/>
  <c r="B75" i="6" s="1"/>
  <c r="A75" i="6" s="1" a="1"/>
  <c r="A75" i="6" s="1"/>
  <c r="B83" i="6" a="1"/>
  <c r="B83" i="6" s="1"/>
  <c r="A83" i="6" s="1" a="1"/>
  <c r="A83" i="6" s="1"/>
  <c r="B91" i="6" a="1"/>
  <c r="B91" i="6" s="1"/>
  <c r="B99" i="6" a="1"/>
  <c r="B99" i="6" s="1"/>
  <c r="B107" i="6" a="1"/>
  <c r="B107" i="6" s="1"/>
  <c r="A107" i="6" s="1" a="1"/>
  <c r="A107" i="6" s="1"/>
  <c r="B115" i="6" a="1"/>
  <c r="B115" i="6" s="1"/>
  <c r="A115" i="6" s="1" a="1"/>
  <c r="A115" i="6" s="1"/>
  <c r="B123" i="6" a="1"/>
  <c r="B123" i="6" s="1"/>
  <c r="A123" i="6" s="1" a="1"/>
  <c r="A123" i="6" s="1"/>
  <c r="B131" i="6" a="1"/>
  <c r="B131" i="6" s="1"/>
  <c r="A131" i="6" s="1" a="1"/>
  <c r="A131" i="6" s="1"/>
  <c r="B139" i="6" a="1"/>
  <c r="B139" i="6" s="1"/>
  <c r="A139" i="6" s="1" a="1"/>
  <c r="A139" i="6" s="1"/>
  <c r="B147" i="6" a="1"/>
  <c r="B147" i="6" s="1"/>
  <c r="A147" i="6" s="1" a="1"/>
  <c r="A147" i="6" s="1"/>
  <c r="B155" i="6" a="1"/>
  <c r="B155" i="6" s="1"/>
  <c r="B163" i="6" a="1"/>
  <c r="B163" i="6" s="1"/>
  <c r="B171" i="6" a="1"/>
  <c r="B171" i="6" s="1"/>
  <c r="A171" i="6" s="1" a="1"/>
  <c r="A171" i="6" s="1"/>
  <c r="B179" i="6" a="1"/>
  <c r="B179" i="6" s="1"/>
  <c r="A179" i="6" s="1" a="1"/>
  <c r="A179" i="6" s="1"/>
  <c r="B8" i="6" a="1"/>
  <c r="B8" i="6" s="1"/>
  <c r="A8" i="6" s="1" a="1"/>
  <c r="A8" i="6" s="1"/>
  <c r="B12" i="6" a="1"/>
  <c r="B12" i="6" s="1"/>
  <c r="A12" i="6" s="1" a="1"/>
  <c r="A12" i="6" s="1"/>
  <c r="B16" i="6" a="1"/>
  <c r="B16" i="6" s="1"/>
  <c r="B20" i="6" a="1"/>
  <c r="B20" i="6" s="1"/>
  <c r="A20" i="6" s="1" a="1"/>
  <c r="A20" i="6" s="1"/>
  <c r="B28" i="6" a="1"/>
  <c r="B28" i="6" s="1"/>
  <c r="B32" i="6" a="1"/>
  <c r="B32" i="6" s="1"/>
  <c r="B36" i="6" a="1"/>
  <c r="B36" i="6" s="1"/>
  <c r="A36" i="6" s="1" a="1"/>
  <c r="A36" i="6" s="1"/>
  <c r="B40" i="6" a="1"/>
  <c r="B40" i="6" s="1"/>
  <c r="A40" i="6" s="1" a="1"/>
  <c r="A40" i="6" s="1"/>
  <c r="B44" i="6" a="1"/>
  <c r="B44" i="6" s="1"/>
  <c r="A44" i="6" s="1" a="1"/>
  <c r="A44" i="6" s="1"/>
  <c r="B52" i="6" a="1"/>
  <c r="B52" i="6" s="1"/>
  <c r="A52" i="6" s="1" a="1"/>
  <c r="A52" i="6" s="1"/>
  <c r="B60" i="6" a="1"/>
  <c r="B60" i="6" s="1"/>
  <c r="A60" i="6" s="1" a="1"/>
  <c r="A60" i="6" s="1"/>
  <c r="B64" i="6" a="1"/>
  <c r="B64" i="6" s="1"/>
  <c r="A64" i="6" s="1" a="1"/>
  <c r="A64" i="6" s="1"/>
  <c r="B72" i="6" a="1"/>
  <c r="B72" i="6" s="1"/>
  <c r="B80" i="6" a="1"/>
  <c r="B80" i="6" s="1"/>
  <c r="B88" i="6" a="1"/>
  <c r="B88" i="6" s="1"/>
  <c r="A88" i="6" s="1" a="1"/>
  <c r="A88" i="6" s="1"/>
  <c r="B96" i="6" a="1"/>
  <c r="B96" i="6" s="1"/>
  <c r="A96" i="6" s="1" a="1"/>
  <c r="A96" i="6" s="1"/>
  <c r="B104" i="6" a="1"/>
  <c r="B104" i="6" s="1"/>
  <c r="A104" i="6" s="1" a="1"/>
  <c r="A104" i="6" s="1"/>
  <c r="B112" i="6" a="1"/>
  <c r="B112" i="6" s="1"/>
  <c r="A112" i="6" s="1" a="1"/>
  <c r="A112" i="6" s="1"/>
  <c r="B120" i="6" a="1"/>
  <c r="B120" i="6" s="1"/>
  <c r="A120" i="6" s="1" a="1"/>
  <c r="A120" i="6" s="1"/>
  <c r="B128" i="6" a="1"/>
  <c r="B128" i="6" s="1"/>
  <c r="A128" i="6" s="1" a="1"/>
  <c r="A128" i="6" s="1"/>
  <c r="B136" i="6" a="1"/>
  <c r="B136" i="6" s="1"/>
  <c r="B144" i="6" a="1"/>
  <c r="B144" i="6" s="1"/>
  <c r="B152" i="6" a="1"/>
  <c r="B152" i="6" s="1"/>
  <c r="A152" i="6" s="1" a="1"/>
  <c r="A152" i="6" s="1"/>
  <c r="B160" i="6" a="1"/>
  <c r="B160" i="6" s="1"/>
  <c r="A160" i="6" s="1" a="1"/>
  <c r="A160" i="6" s="1"/>
  <c r="B168" i="6" a="1"/>
  <c r="B168" i="6" s="1"/>
  <c r="A168" i="6" s="1" a="1"/>
  <c r="A168" i="6" s="1"/>
  <c r="B24" i="6" a="1"/>
  <c r="B24" i="6" s="1"/>
  <c r="A24" i="6" s="1" a="1"/>
  <c r="A24" i="6" s="1"/>
  <c r="B48" i="6" a="1"/>
  <c r="B48" i="6" s="1"/>
  <c r="A48" i="6" s="1" a="1"/>
  <c r="A48" i="6" s="1"/>
  <c r="B56" i="6" a="1"/>
  <c r="B56" i="6" s="1"/>
  <c r="A56" i="6" s="1" a="1"/>
  <c r="A56" i="6" s="1"/>
  <c r="B68" i="6" a="1"/>
  <c r="B68" i="6" s="1"/>
  <c r="B76" i="6" a="1"/>
  <c r="B76" i="6" s="1"/>
  <c r="B84" i="6" a="1"/>
  <c r="B84" i="6" s="1"/>
  <c r="A84" i="6" s="1" a="1"/>
  <c r="A84" i="6" s="1"/>
  <c r="B92" i="6" a="1"/>
  <c r="B92" i="6" s="1"/>
  <c r="A92" i="6" s="1" a="1"/>
  <c r="A92" i="6" s="1"/>
  <c r="B100" i="6" a="1"/>
  <c r="B100" i="6" s="1"/>
  <c r="A100" i="6" s="1" a="1"/>
  <c r="A100" i="6" s="1"/>
  <c r="B108" i="6" a="1"/>
  <c r="B108" i="6" s="1"/>
  <c r="A108" i="6" s="1" a="1"/>
  <c r="A108" i="6" s="1"/>
  <c r="B116" i="6" a="1"/>
  <c r="B116" i="6" s="1"/>
  <c r="A116" i="6" s="1" a="1"/>
  <c r="A116" i="6" s="1"/>
  <c r="B124" i="6" a="1"/>
  <c r="B124" i="6" s="1"/>
  <c r="A124" i="6" s="1" a="1"/>
  <c r="A124" i="6" s="1"/>
  <c r="B132" i="6" a="1"/>
  <c r="B132" i="6" s="1"/>
  <c r="B140" i="6" a="1"/>
  <c r="B140" i="6" s="1"/>
  <c r="B148" i="6" a="1"/>
  <c r="B148" i="6" s="1"/>
  <c r="A148" i="6" s="1" a="1"/>
  <c r="A148" i="6" s="1"/>
  <c r="B156" i="6" a="1"/>
  <c r="B156" i="6" s="1"/>
  <c r="A156" i="6" s="1" a="1"/>
  <c r="A156" i="6" s="1"/>
  <c r="B164" i="6" a="1"/>
  <c r="B164" i="6" s="1"/>
  <c r="A164" i="6" s="1" a="1"/>
  <c r="A164" i="6" s="1"/>
  <c r="B172" i="6" a="1"/>
  <c r="B172" i="6" s="1"/>
  <c r="A172" i="6" s="1" a="1"/>
  <c r="A172" i="6" s="1"/>
  <c r="B73" i="6" a="1"/>
  <c r="B73" i="6" s="1"/>
  <c r="A73" i="6" s="1" a="1"/>
  <c r="A73" i="6" s="1"/>
  <c r="B81" i="6" a="1"/>
  <c r="B81" i="6" s="1"/>
  <c r="A81" i="6" s="1" a="1"/>
  <c r="A81" i="6" s="1"/>
  <c r="B89" i="6" a="1"/>
  <c r="B89" i="6" s="1"/>
  <c r="B97" i="6" a="1"/>
  <c r="B97" i="6" s="1"/>
  <c r="B105" i="6" a="1"/>
  <c r="B105" i="6" s="1"/>
  <c r="A105" i="6" s="1" a="1"/>
  <c r="A105" i="6" s="1"/>
  <c r="B113" i="6" a="1"/>
  <c r="B113" i="6" s="1"/>
  <c r="A113" i="6" s="1" a="1"/>
  <c r="A113" i="6" s="1"/>
  <c r="B121" i="6" a="1"/>
  <c r="B121" i="6" s="1"/>
  <c r="A121" i="6" s="1" a="1"/>
  <c r="A121" i="6" s="1"/>
  <c r="B129" i="6" a="1"/>
  <c r="B129" i="6" s="1"/>
  <c r="A129" i="6" s="1" a="1"/>
  <c r="A129" i="6" s="1"/>
  <c r="B137" i="6" a="1"/>
  <c r="B137" i="6" s="1"/>
  <c r="A137" i="6" s="1" a="1"/>
  <c r="A137" i="6" s="1"/>
  <c r="B145" i="6" a="1"/>
  <c r="B145" i="6" s="1"/>
  <c r="A145" i="6" s="1" a="1"/>
  <c r="A145" i="6" s="1"/>
  <c r="B153" i="6" a="1"/>
  <c r="B153" i="6" s="1"/>
  <c r="B161" i="6" a="1"/>
  <c r="B161" i="6" s="1"/>
  <c r="B169" i="6" a="1"/>
  <c r="B169" i="6" s="1"/>
  <c r="A169" i="6" s="1" a="1"/>
  <c r="A169" i="6" s="1"/>
  <c r="B177" i="6" a="1"/>
  <c r="B177" i="6" s="1"/>
  <c r="A177" i="6" s="1" a="1"/>
  <c r="A177" i="6" s="1"/>
  <c r="B185" i="6" a="1"/>
  <c r="B185" i="6" s="1"/>
  <c r="A185" i="6" s="1" a="1"/>
  <c r="A185" i="6" s="1"/>
  <c r="B9" i="6" a="1"/>
  <c r="B9" i="6" s="1"/>
  <c r="A9" i="6" s="1" a="1"/>
  <c r="A9" i="6" s="1"/>
  <c r="B13" i="6" a="1"/>
  <c r="B13" i="6" s="1"/>
  <c r="A13" i="6" s="1" a="1"/>
  <c r="A13" i="6" s="1"/>
  <c r="B17" i="6" a="1"/>
  <c r="B17" i="6" s="1"/>
  <c r="A17" i="6" s="1" a="1"/>
  <c r="A17" i="6" s="1"/>
  <c r="B21" i="6" a="1"/>
  <c r="B21" i="6" s="1"/>
  <c r="B25" i="6" a="1"/>
  <c r="B25" i="6" s="1"/>
  <c r="B29" i="6" a="1"/>
  <c r="B29" i="6" s="1"/>
  <c r="A29" i="6" s="1" a="1"/>
  <c r="A29" i="6" s="1"/>
  <c r="B33" i="6" a="1"/>
  <c r="B33" i="6" s="1"/>
  <c r="A33" i="6" s="1" a="1"/>
  <c r="A33" i="6" s="1"/>
  <c r="B37" i="6" a="1"/>
  <c r="B37" i="6" s="1"/>
  <c r="A37" i="6" s="1" a="1"/>
  <c r="A37" i="6" s="1"/>
  <c r="B41" i="6" a="1"/>
  <c r="B41" i="6" s="1"/>
  <c r="A41" i="6" s="1" a="1"/>
  <c r="A41" i="6" s="1"/>
  <c r="B45" i="6" a="1"/>
  <c r="B45" i="6" s="1"/>
  <c r="A45" i="6" s="1" a="1"/>
  <c r="A45" i="6" s="1"/>
  <c r="B49" i="6" a="1"/>
  <c r="B49" i="6" s="1"/>
  <c r="A49" i="6" s="1" a="1"/>
  <c r="A49" i="6" s="1"/>
  <c r="B53" i="6" a="1"/>
  <c r="B53" i="6" s="1"/>
  <c r="B57" i="6" a="1"/>
  <c r="B57" i="6" s="1"/>
  <c r="B61" i="6" a="1"/>
  <c r="B61" i="6" s="1"/>
  <c r="A61" i="6" s="1" a="1"/>
  <c r="A61" i="6" s="1"/>
  <c r="B65" i="6" a="1"/>
  <c r="B65" i="6" s="1"/>
  <c r="A65" i="6" s="1" a="1"/>
  <c r="A65" i="6" s="1"/>
  <c r="B69" i="6" a="1"/>
  <c r="B69" i="6" s="1"/>
  <c r="A69" i="6" s="1" a="1"/>
  <c r="A69" i="6" s="1"/>
  <c r="B77" i="6" a="1"/>
  <c r="B77" i="6" s="1"/>
  <c r="A77" i="6" s="1" a="1"/>
  <c r="A77" i="6" s="1"/>
  <c r="B85" i="6" a="1"/>
  <c r="B85" i="6" s="1"/>
  <c r="A85" i="6" s="1" a="1"/>
  <c r="A85" i="6" s="1"/>
  <c r="B93" i="6" a="1"/>
  <c r="B93" i="6" s="1"/>
  <c r="A93" i="6" s="1" a="1"/>
  <c r="A93" i="6" s="1"/>
  <c r="B101" i="6" a="1"/>
  <c r="B101" i="6" s="1"/>
  <c r="B109" i="6" a="1"/>
  <c r="B109" i="6" s="1"/>
  <c r="B117" i="6" a="1"/>
  <c r="B117" i="6" s="1"/>
  <c r="A117" i="6" s="1" a="1"/>
  <c r="A117" i="6" s="1"/>
  <c r="B125" i="6" a="1"/>
  <c r="B125" i="6" s="1"/>
  <c r="A125" i="6" s="1" a="1"/>
  <c r="A125" i="6" s="1"/>
  <c r="B133" i="6" a="1"/>
  <c r="B133" i="6" s="1"/>
  <c r="A133" i="6" s="1" a="1"/>
  <c r="A133" i="6" s="1"/>
  <c r="B141" i="6" a="1"/>
  <c r="B141" i="6" s="1"/>
  <c r="A141" i="6" s="1" a="1"/>
  <c r="A141" i="6" s="1"/>
  <c r="B149" i="6" a="1"/>
  <c r="B149" i="6" s="1"/>
  <c r="A149" i="6" s="1" a="1"/>
  <c r="A149" i="6" s="1"/>
  <c r="B157" i="6" a="1"/>
  <c r="B157" i="6" s="1"/>
  <c r="A157" i="6" s="1" a="1"/>
  <c r="A157" i="6" s="1"/>
  <c r="B165" i="6" a="1"/>
  <c r="B165" i="6" s="1"/>
  <c r="B173" i="6" a="1"/>
  <c r="B173" i="6" s="1"/>
  <c r="B181" i="6" a="1"/>
  <c r="B181" i="6" s="1"/>
  <c r="A181" i="6" s="1" a="1"/>
  <c r="A181" i="6" s="1"/>
  <c r="B10" i="6" a="1"/>
  <c r="B10" i="6" s="1"/>
  <c r="A10" i="6" s="1" a="1"/>
  <c r="A10" i="6" s="1"/>
  <c r="B14" i="6" a="1"/>
  <c r="B14" i="6" s="1"/>
  <c r="A14" i="6" s="1" a="1"/>
  <c r="A14" i="6" s="1"/>
  <c r="B18" i="6" a="1"/>
  <c r="B18" i="6" s="1"/>
  <c r="A18" i="6" s="1" a="1"/>
  <c r="A18" i="6" s="1"/>
  <c r="B22" i="6" a="1"/>
  <c r="B22" i="6" s="1"/>
  <c r="A22" i="6" s="1" a="1"/>
  <c r="A22" i="6" s="1"/>
  <c r="B30" i="6" a="1"/>
  <c r="B30" i="6" s="1"/>
  <c r="A30" i="6" s="1" a="1"/>
  <c r="A30" i="6" s="1"/>
  <c r="B34" i="6" a="1"/>
  <c r="B34" i="6" s="1"/>
  <c r="B38" i="6" a="1"/>
  <c r="B38" i="6" s="1"/>
  <c r="B42" i="6" a="1"/>
  <c r="B42" i="6" s="1"/>
  <c r="A42" i="6" s="1" a="1"/>
  <c r="A42" i="6" s="1"/>
  <c r="B46" i="6" a="1"/>
  <c r="B46" i="6" s="1"/>
  <c r="A46" i="6" s="1" a="1"/>
  <c r="A46" i="6" s="1"/>
  <c r="B54" i="6" a="1"/>
  <c r="B54" i="6" s="1"/>
  <c r="A54" i="6" s="1" a="1"/>
  <c r="A54" i="6" s="1"/>
  <c r="B62" i="6" a="1"/>
  <c r="B62" i="6" s="1"/>
  <c r="A62" i="6" s="1" a="1"/>
  <c r="A62" i="6" s="1"/>
  <c r="B66" i="6" a="1"/>
  <c r="B66" i="6" s="1"/>
  <c r="A66" i="6" s="1" a="1"/>
  <c r="A66" i="6" s="1"/>
  <c r="B74" i="6" a="1"/>
  <c r="B74" i="6" s="1"/>
  <c r="A74" i="6" s="1" a="1"/>
  <c r="A74" i="6" s="1"/>
  <c r="B82" i="6" a="1"/>
  <c r="B82" i="6" s="1"/>
  <c r="B90" i="6" a="1"/>
  <c r="B90" i="6" s="1"/>
  <c r="B98" i="6" a="1"/>
  <c r="B98" i="6" s="1"/>
  <c r="A98" i="6" s="1" a="1"/>
  <c r="A98" i="6" s="1"/>
  <c r="B106" i="6" a="1"/>
  <c r="B106" i="6" s="1"/>
  <c r="A106" i="6" s="1" a="1"/>
  <c r="A106" i="6" s="1"/>
  <c r="B114" i="6" a="1"/>
  <c r="B114" i="6" s="1"/>
  <c r="A114" i="6" s="1" a="1"/>
  <c r="A114" i="6" s="1"/>
  <c r="B122" i="6" a="1"/>
  <c r="B122" i="6" s="1"/>
  <c r="A122" i="6" s="1" a="1"/>
  <c r="A122" i="6" s="1"/>
  <c r="B130" i="6" a="1"/>
  <c r="B130" i="6" s="1"/>
  <c r="A130" i="6" s="1" a="1"/>
  <c r="A130" i="6" s="1"/>
  <c r="B138" i="6" a="1"/>
  <c r="B138" i="6" s="1"/>
  <c r="A138" i="6" s="1" a="1"/>
  <c r="A138" i="6" s="1"/>
  <c r="B146" i="6" a="1"/>
  <c r="B146" i="6" s="1"/>
  <c r="B154" i="6" a="1"/>
  <c r="B154" i="6" s="1"/>
  <c r="A154" i="6" s="1" a="1"/>
  <c r="A154" i="6" s="1"/>
  <c r="B162" i="6" a="1"/>
  <c r="B162" i="6" s="1"/>
  <c r="A162" i="6" s="1" a="1"/>
  <c r="A162" i="6" s="1"/>
  <c r="B170" i="6" a="1"/>
  <c r="B170" i="6" s="1"/>
  <c r="A170" i="6" s="1" a="1"/>
  <c r="A170" i="6" s="1"/>
  <c r="B26" i="6" a="1"/>
  <c r="B26" i="6" s="1"/>
  <c r="A26" i="6" s="1" a="1"/>
  <c r="A26" i="6" s="1"/>
  <c r="B50" i="6" a="1"/>
  <c r="B50" i="6" s="1"/>
  <c r="A50" i="6" s="1" a="1"/>
  <c r="A50" i="6" s="1"/>
  <c r="B58" i="6" a="1"/>
  <c r="B58" i="6" s="1"/>
  <c r="A58" i="6" s="1" a="1"/>
  <c r="A58" i="6" s="1"/>
  <c r="B70" i="6" a="1"/>
  <c r="B70" i="6" s="1"/>
  <c r="A70" i="6" s="1" a="1"/>
  <c r="A70" i="6" s="1"/>
  <c r="B78" i="6" a="1"/>
  <c r="B78" i="6" s="1"/>
  <c r="B86" i="6" a="1"/>
  <c r="B86" i="6" s="1"/>
  <c r="B94" i="6" a="1"/>
  <c r="B94" i="6" s="1"/>
  <c r="A94" i="6" s="1" a="1"/>
  <c r="A94" i="6" s="1"/>
  <c r="B102" i="6" a="1"/>
  <c r="B102" i="6" s="1"/>
  <c r="A102" i="6" s="1" a="1"/>
  <c r="A102" i="6" s="1"/>
  <c r="B110" i="6" a="1"/>
  <c r="B110" i="6" s="1"/>
  <c r="A110" i="6" s="1" a="1"/>
  <c r="A110" i="6" s="1"/>
  <c r="B118" i="6" a="1"/>
  <c r="B118" i="6" s="1"/>
  <c r="A118" i="6" s="1" a="1"/>
  <c r="A118" i="6" s="1"/>
  <c r="B126" i="6" a="1"/>
  <c r="B126" i="6" s="1"/>
  <c r="A126" i="6" s="1" a="1"/>
  <c r="A126" i="6" s="1"/>
  <c r="B134" i="6" a="1"/>
  <c r="B134" i="6" s="1"/>
  <c r="A134" i="6" s="1" a="1"/>
  <c r="A134" i="6" s="1"/>
  <c r="B142" i="6" a="1"/>
  <c r="B142" i="6" s="1"/>
  <c r="B150" i="6" a="1"/>
  <c r="B150" i="6" s="1"/>
  <c r="B158" i="6" a="1"/>
  <c r="B158" i="6" s="1"/>
  <c r="A158" i="6" s="1" a="1"/>
  <c r="A158" i="6" s="1"/>
  <c r="B166" i="6" a="1"/>
  <c r="B166" i="6" s="1"/>
  <c r="A166" i="6" s="1" a="1"/>
  <c r="A166" i="6" s="1"/>
  <c r="B174" i="6" a="1"/>
  <c r="B174" i="6" s="1"/>
  <c r="A174" i="6" s="1" a="1"/>
  <c r="A174" i="6" s="1"/>
  <c r="B63" i="6" a="1"/>
  <c r="B63" i="6" s="1"/>
  <c r="A63" i="6" s="1" a="1"/>
  <c r="A63" i="6" s="1"/>
  <c r="B79" i="6" a="1"/>
  <c r="B79" i="6" s="1"/>
  <c r="A79" i="6" s="1" a="1"/>
  <c r="A79" i="6" s="1"/>
  <c r="B87" i="6" a="1"/>
  <c r="B87" i="6" s="1"/>
  <c r="A87" i="6" s="1" a="1"/>
  <c r="A87" i="6" s="1"/>
  <c r="B95" i="6" a="1"/>
  <c r="B95" i="6" s="1"/>
  <c r="B103" i="6" a="1"/>
  <c r="B103" i="6" s="1"/>
  <c r="B111" i="6" a="1"/>
  <c r="B111" i="6" s="1"/>
  <c r="A111" i="6" s="1" a="1"/>
  <c r="A111" i="6" s="1"/>
  <c r="B119" i="6" a="1"/>
  <c r="B119" i="6" s="1"/>
  <c r="A119" i="6" s="1" a="1"/>
  <c r="A119" i="6" s="1"/>
  <c r="B127" i="6" a="1"/>
  <c r="B127" i="6" s="1"/>
  <c r="A127" i="6" s="1" a="1"/>
  <c r="A127" i="6" s="1"/>
  <c r="B135" i="6" a="1"/>
  <c r="B135" i="6" s="1"/>
  <c r="A135" i="6" s="1" a="1"/>
  <c r="A135" i="6" s="1"/>
  <c r="B143" i="6" a="1"/>
  <c r="B143" i="6" s="1"/>
  <c r="A143" i="6" s="1" a="1"/>
  <c r="A143" i="6" s="1"/>
  <c r="B151" i="6" a="1"/>
  <c r="B151" i="6" s="1"/>
  <c r="A151" i="6" s="1" a="1"/>
  <c r="A151" i="6" s="1"/>
  <c r="B159" i="6" a="1"/>
  <c r="B159" i="6" s="1"/>
  <c r="B167" i="6" a="1"/>
  <c r="B167" i="6" s="1"/>
  <c r="B175" i="6" a="1"/>
  <c r="B175" i="6" s="1"/>
  <c r="A175" i="6" s="1" a="1"/>
  <c r="A175" i="6" s="1"/>
  <c r="B183" i="6" a="1"/>
  <c r="B183" i="6" s="1"/>
  <c r="A183" i="6" s="1" a="1"/>
  <c r="A183" i="6" s="1"/>
  <c r="B176" i="6" a="1"/>
  <c r="B176" i="6" s="1"/>
  <c r="A176" i="6" s="1" a="1"/>
  <c r="A176" i="6" s="1"/>
  <c r="B180" i="6" a="1"/>
  <c r="B180" i="6" s="1"/>
  <c r="A180" i="6" s="1" a="1"/>
  <c r="A180" i="6" s="1"/>
  <c r="B182" i="6" a="1"/>
  <c r="B182" i="6" s="1"/>
  <c r="A182" i="6" s="1" a="1"/>
  <c r="A182" i="6" s="1"/>
  <c r="B184" i="6" a="1"/>
  <c r="B184" i="6" s="1"/>
  <c r="A184" i="6" s="1" a="1"/>
  <c r="A184" i="6" s="1"/>
  <c r="B186" i="6" a="1"/>
  <c r="B186" i="6" s="1"/>
  <c r="B178" i="6" a="1"/>
  <c r="B178" i="6" s="1"/>
  <c r="A109" i="6" a="1"/>
  <c r="A109" i="6" s="1"/>
  <c r="A173" i="6" a="1"/>
  <c r="A173" i="6" s="1"/>
  <c r="A90" i="6" a="1"/>
  <c r="A90" i="6" s="1"/>
  <c r="AG229" i="6" a="1"/>
  <c r="AG229" i="6" s="1"/>
  <c r="AH229" i="6" s="1"/>
  <c r="AG224" i="6" a="1"/>
  <c r="AG224" i="6" s="1"/>
  <c r="AH224" i="6" s="1"/>
  <c r="AG214" i="6" a="1"/>
  <c r="AG214" i="6" s="1"/>
  <c r="AH214" i="6" s="1"/>
  <c r="AG221" i="6" a="1"/>
  <c r="AG221" i="6" s="1"/>
  <c r="AH221" i="6" s="1"/>
  <c r="AG208" i="6" a="1"/>
  <c r="AG208" i="6" s="1"/>
  <c r="AH208" i="6" s="1"/>
  <c r="AG207" i="6" a="1"/>
  <c r="AG207" i="6" s="1"/>
  <c r="AH207" i="6" s="1"/>
  <c r="AG195" i="6" a="1"/>
  <c r="AG195" i="6" s="1"/>
  <c r="AH195" i="6" s="1"/>
  <c r="AG198" i="6" a="1"/>
  <c r="AG198" i="6" s="1"/>
  <c r="AH198" i="6" s="1"/>
  <c r="AG232" i="6" a="1"/>
  <c r="AG232" i="6" s="1"/>
  <c r="AH232" i="6" s="1"/>
  <c r="AG227" i="6" a="1"/>
  <c r="AG227" i="6" s="1"/>
  <c r="AH227" i="6" s="1"/>
  <c r="AG220" i="6" a="1"/>
  <c r="AG220" i="6" s="1"/>
  <c r="AH220" i="6" s="1"/>
  <c r="AG223" i="6" a="1"/>
  <c r="AG223" i="6" s="1"/>
  <c r="AH223" i="6" s="1"/>
  <c r="AG219" i="6" a="1"/>
  <c r="AG219" i="6" s="1"/>
  <c r="AH219" i="6" s="1"/>
  <c r="AG205" i="6" a="1"/>
  <c r="AG205" i="6" s="1"/>
  <c r="AH205" i="6" s="1"/>
  <c r="AG230" i="6" a="1"/>
  <c r="AG230" i="6" s="1"/>
  <c r="AH230" i="6" s="1"/>
  <c r="AG234" i="6" a="1"/>
  <c r="AG234" i="6" s="1"/>
  <c r="AH234" i="6" s="1"/>
  <c r="AG226" i="6" a="1"/>
  <c r="AG226" i="6" s="1"/>
  <c r="AH226" i="6" s="1"/>
  <c r="AG212" i="6" a="1"/>
  <c r="AG212" i="6" s="1"/>
  <c r="AH212" i="6" s="1"/>
  <c r="AG213" i="6" a="1"/>
  <c r="AG213" i="6" s="1"/>
  <c r="AH213" i="6" s="1"/>
  <c r="AG204" i="6" a="1"/>
  <c r="AG204" i="6" s="1"/>
  <c r="AH204" i="6" s="1"/>
  <c r="AG200" i="6" a="1"/>
  <c r="AG200" i="6" s="1"/>
  <c r="AH200" i="6" s="1"/>
  <c r="AG246" i="6" a="1"/>
  <c r="AG246" i="6" s="1"/>
  <c r="AH246" i="6" s="1"/>
  <c r="AG228" i="6" a="1"/>
  <c r="AG228" i="6" s="1"/>
  <c r="AH228" i="6" s="1"/>
  <c r="AG211" i="6" a="1"/>
  <c r="AG211" i="6" s="1"/>
  <c r="AH211" i="6" s="1"/>
  <c r="AG215" i="6" a="1"/>
  <c r="AG215" i="6" s="1"/>
  <c r="AH215" i="6" s="1"/>
  <c r="AG210" i="6" a="1"/>
  <c r="AG210" i="6" s="1"/>
  <c r="AH210" i="6" s="1"/>
  <c r="AG206" i="6" a="1"/>
  <c r="AG206" i="6" s="1"/>
  <c r="AH206" i="6" s="1"/>
  <c r="AG244" i="6" a="1"/>
  <c r="AG244" i="6" s="1"/>
  <c r="AH244" i="6" s="1"/>
  <c r="AG231" i="6" a="1"/>
  <c r="AG231" i="6" s="1"/>
  <c r="AH231" i="6" s="1"/>
  <c r="AG225" i="6" a="1"/>
  <c r="AG225" i="6" s="1"/>
  <c r="AH225" i="6" s="1"/>
  <c r="AG217" i="6" a="1"/>
  <c r="AG217" i="6" s="1"/>
  <c r="AH217" i="6" s="1"/>
  <c r="AG203" i="6" a="1"/>
  <c r="AG203" i="6" s="1"/>
  <c r="AH203" i="6" s="1"/>
  <c r="AG233" i="6" a="1"/>
  <c r="AG233" i="6" s="1"/>
  <c r="AH233" i="6" s="1"/>
  <c r="AG202" i="6" a="1"/>
  <c r="AG202" i="6" s="1"/>
  <c r="AH202" i="6" s="1"/>
  <c r="AG197" i="6" a="1"/>
  <c r="AG197" i="6" s="1"/>
  <c r="AH197" i="6" s="1"/>
  <c r="AG245" i="6" a="1"/>
  <c r="AG245" i="6" s="1"/>
  <c r="AH245" i="6" s="1"/>
  <c r="AG222" i="6" a="1"/>
  <c r="AG222" i="6" s="1"/>
  <c r="AH222" i="6" s="1"/>
  <c r="AG218" i="6" a="1"/>
  <c r="AG218" i="6" s="1"/>
  <c r="AH218" i="6" s="1"/>
  <c r="AG216" i="6" a="1"/>
  <c r="AG216" i="6" s="1"/>
  <c r="AH216" i="6" s="1"/>
  <c r="AG209" i="6" a="1"/>
  <c r="AG209" i="6" s="1"/>
  <c r="AH209" i="6" s="1"/>
  <c r="AG196" i="6" a="1"/>
  <c r="AG196" i="6" s="1"/>
  <c r="AH196" i="6" s="1"/>
  <c r="AB246" i="6"/>
  <c r="AB217" i="6"/>
  <c r="AB216" i="6"/>
  <c r="AB209" i="6"/>
  <c r="AB196" i="6"/>
  <c r="AB224" i="6"/>
  <c r="AB214" i="6"/>
  <c r="AB245" i="6"/>
  <c r="AB220" i="6"/>
  <c r="AB225" i="6"/>
  <c r="AB233" i="6"/>
  <c r="AB227" i="6"/>
  <c r="AB221" i="6"/>
  <c r="AB208" i="6"/>
  <c r="AB207" i="6"/>
  <c r="AB195" i="6"/>
  <c r="AB223" i="6"/>
  <c r="AB205" i="6"/>
  <c r="AB234" i="6"/>
  <c r="AB213" i="6"/>
  <c r="AB198" i="6"/>
  <c r="AB226" i="6"/>
  <c r="AB228" i="6"/>
  <c r="AB211" i="6"/>
  <c r="AB215" i="6"/>
  <c r="AB206" i="6"/>
  <c r="AB200" i="6"/>
  <c r="A15" i="6" a="1"/>
  <c r="A15" i="6" s="1"/>
  <c r="AD244" i="6"/>
  <c r="L244" i="6"/>
  <c r="AM244" i="6"/>
  <c r="AS244" i="6"/>
  <c r="BC244" i="6"/>
  <c r="BE244" i="6"/>
  <c r="BD244" i="6" s="1"/>
  <c r="AD245" i="6"/>
  <c r="AD246" i="6"/>
  <c r="L246" i="6"/>
  <c r="AM246" i="6"/>
  <c r="AS246" i="6"/>
  <c r="BC246" i="6"/>
  <c r="BE246" i="6"/>
  <c r="BD246" i="6" s="1"/>
  <c r="AB244" i="6"/>
  <c r="L245" i="6"/>
  <c r="AM245" i="6"/>
  <c r="AS245" i="6"/>
  <c r="BC245" i="6"/>
  <c r="BE245" i="6"/>
  <c r="BD245" i="6" s="1"/>
  <c r="AS201" i="6"/>
  <c r="AM201" i="6"/>
  <c r="L201" i="6"/>
  <c r="BC201" i="6"/>
  <c r="AM198" i="6"/>
  <c r="BC198" i="6"/>
  <c r="AS198" i="6"/>
  <c r="BE198" i="6"/>
  <c r="BD198" i="6" s="1"/>
  <c r="L198" i="6"/>
  <c r="BE201" i="6"/>
  <c r="BD201" i="6" s="1"/>
  <c r="AD198" i="6"/>
  <c r="AM199" i="6"/>
  <c r="BC199" i="6"/>
  <c r="AS199" i="6"/>
  <c r="BE199" i="6"/>
  <c r="BD199" i="6" s="1"/>
  <c r="L199" i="6"/>
  <c r="AM200" i="6"/>
  <c r="BC200" i="6"/>
  <c r="AS200" i="6"/>
  <c r="BE200" i="6"/>
  <c r="BD200" i="6" s="1"/>
  <c r="L200" i="6"/>
  <c r="AD200" i="6"/>
  <c r="AS206" i="6"/>
  <c r="L206" i="6"/>
  <c r="BC206" i="6"/>
  <c r="AM206" i="6"/>
  <c r="BE206" i="6"/>
  <c r="BD206" i="6" s="1"/>
  <c r="AD204" i="6"/>
  <c r="AD203" i="6"/>
  <c r="AD202" i="6"/>
  <c r="BC207" i="6"/>
  <c r="L207" i="6"/>
  <c r="AM207" i="6"/>
  <c r="AS207" i="6"/>
  <c r="BE207" i="6"/>
  <c r="BD207" i="6" s="1"/>
  <c r="L205" i="6"/>
  <c r="AM205" i="6"/>
  <c r="AS205" i="6"/>
  <c r="BE205" i="6"/>
  <c r="BD205" i="6" s="1"/>
  <c r="BC205" i="6"/>
  <c r="L196" i="6"/>
  <c r="AM196" i="6"/>
  <c r="BE196" i="6"/>
  <c r="BD196" i="6" s="1"/>
  <c r="AS196" i="6"/>
  <c r="BC196" i="6"/>
  <c r="L195" i="6"/>
  <c r="AM195" i="6"/>
  <c r="AS195" i="6"/>
  <c r="BC195" i="6"/>
  <c r="BE195" i="6"/>
  <c r="BD195" i="6" s="1"/>
  <c r="AB204" i="6"/>
  <c r="AD197" i="6"/>
  <c r="AB202" i="6"/>
  <c r="AD207" i="6"/>
  <c r="AD206" i="6"/>
  <c r="AD196" i="6"/>
  <c r="AD195" i="6"/>
  <c r="AB203" i="6"/>
  <c r="AB197" i="6"/>
  <c r="AS202" i="6"/>
  <c r="L202" i="6"/>
  <c r="BC202" i="6"/>
  <c r="AM202" i="6"/>
  <c r="BE202" i="6"/>
  <c r="BD202" i="6" s="1"/>
  <c r="AD205" i="6"/>
  <c r="L204" i="6"/>
  <c r="AM204" i="6"/>
  <c r="AS204" i="6"/>
  <c r="BE204" i="6"/>
  <c r="BD204" i="6" s="1"/>
  <c r="BC204" i="6"/>
  <c r="L203" i="6"/>
  <c r="BC203" i="6"/>
  <c r="AS203" i="6"/>
  <c r="AM203" i="6"/>
  <c r="BE203" i="6"/>
  <c r="BD203" i="6" s="1"/>
  <c r="L197" i="6"/>
  <c r="AM197" i="6"/>
  <c r="BE197" i="6"/>
  <c r="BD197" i="6" s="1"/>
  <c r="AS197" i="6"/>
  <c r="BC197" i="6"/>
  <c r="AD212" i="6"/>
  <c r="L209" i="6"/>
  <c r="AM209" i="6"/>
  <c r="BE209" i="6"/>
  <c r="BD209" i="6" s="1"/>
  <c r="AS209" i="6"/>
  <c r="BC209" i="6"/>
  <c r="L208" i="6"/>
  <c r="AM208" i="6"/>
  <c r="AS208" i="6"/>
  <c r="BC208" i="6"/>
  <c r="BE208" i="6"/>
  <c r="BD208" i="6" s="1"/>
  <c r="AD211" i="6"/>
  <c r="BC216" i="6"/>
  <c r="L216" i="6"/>
  <c r="AM216" i="6"/>
  <c r="AS216" i="6"/>
  <c r="BE216" i="6"/>
  <c r="BD216" i="6" s="1"/>
  <c r="L214" i="6"/>
  <c r="AM214" i="6"/>
  <c r="AS214" i="6"/>
  <c r="BE214" i="6"/>
  <c r="BD214" i="6" s="1"/>
  <c r="BC214" i="6"/>
  <c r="AD215" i="6"/>
  <c r="AD209" i="6"/>
  <c r="AD208" i="6"/>
  <c r="AD210" i="6"/>
  <c r="AD216" i="6"/>
  <c r="AB212" i="6"/>
  <c r="L213" i="6"/>
  <c r="AM213" i="6"/>
  <c r="AS213" i="6"/>
  <c r="BE213" i="6"/>
  <c r="BD213" i="6" s="1"/>
  <c r="BC213" i="6"/>
  <c r="AB210" i="6"/>
  <c r="AS211" i="6"/>
  <c r="L211" i="6"/>
  <c r="BC211" i="6"/>
  <c r="AM211" i="6"/>
  <c r="BE211" i="6"/>
  <c r="BD211" i="6" s="1"/>
  <c r="AD214" i="6"/>
  <c r="L212" i="6"/>
  <c r="BC212" i="6"/>
  <c r="AS212" i="6"/>
  <c r="AM212" i="6"/>
  <c r="BE212" i="6"/>
  <c r="BD212" i="6" s="1"/>
  <c r="AS215" i="6"/>
  <c r="L215" i="6"/>
  <c r="BC215" i="6"/>
  <c r="AM215" i="6"/>
  <c r="BE215" i="6"/>
  <c r="BD215" i="6" s="1"/>
  <c r="AD213" i="6"/>
  <c r="L210" i="6"/>
  <c r="AM210" i="6"/>
  <c r="BE210" i="6"/>
  <c r="BD210" i="6" s="1"/>
  <c r="AS210" i="6"/>
  <c r="BC210" i="6"/>
  <c r="AD222" i="6"/>
  <c r="AD218" i="6"/>
  <c r="AD220" i="6"/>
  <c r="AB222" i="6"/>
  <c r="AD223" i="6"/>
  <c r="AB218" i="6"/>
  <c r="AD219" i="6"/>
  <c r="AS224" i="6"/>
  <c r="BE224" i="6"/>
  <c r="BD224" i="6" s="1"/>
  <c r="BC224" i="6"/>
  <c r="L224" i="6"/>
  <c r="AM224" i="6"/>
  <c r="AD225" i="6"/>
  <c r="AD217" i="6"/>
  <c r="AB219" i="6"/>
  <c r="L225" i="6"/>
  <c r="AS225" i="6"/>
  <c r="BC225" i="6"/>
  <c r="BE225" i="6"/>
  <c r="BD225" i="6" s="1"/>
  <c r="AM225" i="6"/>
  <c r="L217" i="6"/>
  <c r="BE217" i="6"/>
  <c r="BD217" i="6" s="1"/>
  <c r="AM217" i="6"/>
  <c r="AS217" i="6"/>
  <c r="BC217" i="6"/>
  <c r="AD221" i="6"/>
  <c r="AS220" i="6"/>
  <c r="BE220" i="6"/>
  <c r="BD220" i="6" s="1"/>
  <c r="L220" i="6"/>
  <c r="AM220" i="6"/>
  <c r="BC220" i="6"/>
  <c r="L222" i="6"/>
  <c r="AM222" i="6"/>
  <c r="BC222" i="6"/>
  <c r="BE222" i="6"/>
  <c r="BD222" i="6" s="1"/>
  <c r="AS222" i="6"/>
  <c r="AD224" i="6"/>
  <c r="L223" i="6"/>
  <c r="AS223" i="6"/>
  <c r="AM223" i="6"/>
  <c r="BE223" i="6"/>
  <c r="BD223" i="6" s="1"/>
  <c r="BC223" i="6"/>
  <c r="L218" i="6"/>
  <c r="AM218" i="6"/>
  <c r="BC218" i="6"/>
  <c r="AS218" i="6"/>
  <c r="BE218" i="6"/>
  <c r="BD218" i="6" s="1"/>
  <c r="AM221" i="6"/>
  <c r="L221" i="6"/>
  <c r="AS221" i="6"/>
  <c r="BC221" i="6"/>
  <c r="BE221" i="6"/>
  <c r="BD221" i="6" s="1"/>
  <c r="L219" i="6"/>
  <c r="BC219" i="6"/>
  <c r="AS219" i="6"/>
  <c r="BE219" i="6"/>
  <c r="BD219" i="6" s="1"/>
  <c r="AM219" i="6"/>
  <c r="AS233" i="6"/>
  <c r="L233" i="6"/>
  <c r="AM233" i="6"/>
  <c r="BE233" i="6"/>
  <c r="BD233" i="6" s="1"/>
  <c r="BC233" i="6"/>
  <c r="AD231" i="6"/>
  <c r="BC234" i="6"/>
  <c r="AS234" i="6"/>
  <c r="L234" i="6"/>
  <c r="AM234" i="6"/>
  <c r="BE234" i="6"/>
  <c r="BD234" i="6" s="1"/>
  <c r="L228" i="6"/>
  <c r="AM228" i="6"/>
  <c r="BE228" i="6"/>
  <c r="BD228" i="6" s="1"/>
  <c r="AS228" i="6"/>
  <c r="BC228" i="6"/>
  <c r="L227" i="6"/>
  <c r="AM227" i="6"/>
  <c r="AS227" i="6"/>
  <c r="BC227" i="6"/>
  <c r="BE227" i="6"/>
  <c r="BD227" i="6" s="1"/>
  <c r="BC226" i="6"/>
  <c r="AM226" i="6"/>
  <c r="AS226" i="6"/>
  <c r="L226" i="6"/>
  <c r="BE226" i="6"/>
  <c r="BD226" i="6" s="1"/>
  <c r="AB231" i="6"/>
  <c r="AD232" i="6"/>
  <c r="AD230" i="6"/>
  <c r="AD229" i="6"/>
  <c r="AB229" i="6"/>
  <c r="AD234" i="6"/>
  <c r="AD233" i="6"/>
  <c r="AD227" i="6"/>
  <c r="AD226" i="6"/>
  <c r="AB230" i="6"/>
  <c r="AB232" i="6"/>
  <c r="AS229" i="6"/>
  <c r="L229" i="6"/>
  <c r="BE229" i="6"/>
  <c r="BD229" i="6" s="1"/>
  <c r="AM229" i="6"/>
  <c r="BC229" i="6"/>
  <c r="AD228" i="6"/>
  <c r="L231" i="6"/>
  <c r="AM231" i="6"/>
  <c r="BC231" i="6"/>
  <c r="AS231" i="6"/>
  <c r="BE231" i="6"/>
  <c r="BD231" i="6" s="1"/>
  <c r="L230" i="6"/>
  <c r="BC230" i="6"/>
  <c r="AM230" i="6"/>
  <c r="AS230" i="6"/>
  <c r="BE230" i="6"/>
  <c r="BD230" i="6" s="1"/>
  <c r="L232" i="6"/>
  <c r="AS232" i="6"/>
  <c r="BE232" i="6"/>
  <c r="BD232" i="6" s="1"/>
  <c r="AM232" i="6"/>
  <c r="BC232" i="6"/>
  <c r="E10" i="1"/>
  <c r="A186" i="6" a="1"/>
  <c r="A186" i="6" s="1"/>
  <c r="A21" i="6" a="1"/>
  <c r="A21" i="6" s="1"/>
  <c r="A25" i="6" a="1"/>
  <c r="A25" i="6" s="1"/>
  <c r="A53" i="6" a="1"/>
  <c r="A53" i="6" s="1"/>
  <c r="A57" i="6" a="1"/>
  <c r="A57" i="6" s="1"/>
  <c r="A89" i="6" a="1"/>
  <c r="A89" i="6" s="1"/>
  <c r="A97" i="6" a="1"/>
  <c r="A97" i="6" s="1"/>
  <c r="A101" i="6" a="1"/>
  <c r="A101" i="6" s="1"/>
  <c r="A153" i="6" a="1"/>
  <c r="A153" i="6" s="1"/>
  <c r="A161" i="6" a="1"/>
  <c r="A161" i="6" s="1"/>
  <c r="A165" i="6" a="1"/>
  <c r="A165" i="6" s="1"/>
  <c r="A34" i="6" a="1"/>
  <c r="A34" i="6" s="1"/>
  <c r="A38" i="6" a="1"/>
  <c r="A38" i="6" s="1"/>
  <c r="A78" i="6" a="1"/>
  <c r="A78" i="6" s="1"/>
  <c r="A82" i="6" a="1"/>
  <c r="A82" i="6" s="1"/>
  <c r="A86" i="6" a="1"/>
  <c r="A86" i="6" s="1"/>
  <c r="A142" i="6" a="1"/>
  <c r="A142" i="6" s="1"/>
  <c r="A146" i="6" a="1"/>
  <c r="A146" i="6" s="1"/>
  <c r="A150" i="6" a="1"/>
  <c r="A150" i="6" s="1"/>
  <c r="A178" i="6" a="1"/>
  <c r="A178" i="6" s="1"/>
  <c r="A19" i="6" a="1"/>
  <c r="A19" i="6" s="1"/>
  <c r="A47" i="6" a="1"/>
  <c r="A47" i="6" s="1"/>
  <c r="A51" i="6" a="1"/>
  <c r="A51" i="6" s="1"/>
  <c r="A91" i="6" a="1"/>
  <c r="A91" i="6" s="1"/>
  <c r="A95" i="6" a="1"/>
  <c r="A95" i="6" s="1"/>
  <c r="A99" i="6" a="1"/>
  <c r="A99" i="6" s="1"/>
  <c r="A103" i="6" a="1"/>
  <c r="A103" i="6" s="1"/>
  <c r="A155" i="6" a="1"/>
  <c r="A155" i="6" s="1"/>
  <c r="A159" i="6" a="1"/>
  <c r="A159" i="6" s="1"/>
  <c r="A163" i="6" a="1"/>
  <c r="A163" i="6" s="1"/>
  <c r="A167" i="6" a="1"/>
  <c r="A167" i="6" s="1"/>
  <c r="A28" i="6" a="1"/>
  <c r="A28" i="6" s="1"/>
  <c r="A32" i="6" a="1"/>
  <c r="A32" i="6" s="1"/>
  <c r="A68" i="6" a="1"/>
  <c r="A68" i="6" s="1"/>
  <c r="A72" i="6" a="1"/>
  <c r="A72" i="6" s="1"/>
  <c r="A76" i="6" a="1"/>
  <c r="A76" i="6" s="1"/>
  <c r="A80" i="6" a="1"/>
  <c r="A80" i="6" s="1"/>
  <c r="A132" i="6" a="1"/>
  <c r="A132" i="6" s="1"/>
  <c r="A136" i="6" a="1"/>
  <c r="A136" i="6" s="1"/>
  <c r="A140" i="6" a="1"/>
  <c r="A140" i="6" s="1"/>
  <c r="A144" i="6" a="1"/>
  <c r="A144" i="6" s="1"/>
  <c r="AF236" i="6"/>
  <c r="AF238" i="6"/>
  <c r="L4" i="20"/>
  <c r="L4" i="11"/>
  <c r="C57" i="1"/>
  <c r="C58" i="1" s="1"/>
  <c r="E37" i="1"/>
  <c r="F37" i="1" s="1"/>
  <c r="A16" i="6" l="1" a="1"/>
  <c r="A16" i="6" s="1"/>
  <c r="AF16" i="6" s="1"/>
  <c r="X201" i="6"/>
  <c r="Y201" i="6" s="1"/>
  <c r="AC16" i="6"/>
  <c r="AF15" i="6"/>
  <c r="AC15" i="6"/>
  <c r="AX201" i="6"/>
  <c r="AR244" i="6"/>
  <c r="AX245" i="6"/>
  <c r="AR245" i="6"/>
  <c r="AR246" i="6"/>
  <c r="X246" i="6"/>
  <c r="Y246" i="6" s="1"/>
  <c r="X245" i="6"/>
  <c r="Y245" i="6" s="1"/>
  <c r="AX246" i="6"/>
  <c r="AX244" i="6"/>
  <c r="X244" i="6"/>
  <c r="Y244" i="6" s="1"/>
  <c r="AR198" i="6"/>
  <c r="AR201" i="6"/>
  <c r="AR206" i="6"/>
  <c r="X198" i="6"/>
  <c r="Y198" i="6" s="1"/>
  <c r="AX198" i="6"/>
  <c r="X199" i="6"/>
  <c r="Y199" i="6" s="1"/>
  <c r="AR199" i="6"/>
  <c r="AX199" i="6"/>
  <c r="X200" i="6"/>
  <c r="Y200" i="6" s="1"/>
  <c r="AR200" i="6"/>
  <c r="AX200" i="6"/>
  <c r="AX203" i="6"/>
  <c r="AX197" i="6"/>
  <c r="X196" i="6"/>
  <c r="Y196" i="6" s="1"/>
  <c r="X197" i="6"/>
  <c r="Y197" i="6" s="1"/>
  <c r="X225" i="6"/>
  <c r="Y225" i="6" s="1"/>
  <c r="AX212" i="6"/>
  <c r="AX213" i="6"/>
  <c r="X208" i="6"/>
  <c r="Y208" i="6" s="1"/>
  <c r="AX208" i="6"/>
  <c r="AR203" i="6"/>
  <c r="X203" i="6"/>
  <c r="Y203" i="6" s="1"/>
  <c r="X204" i="6"/>
  <c r="Y204" i="6" s="1"/>
  <c r="AR202" i="6"/>
  <c r="AX202" i="6"/>
  <c r="X195" i="6"/>
  <c r="Y195" i="6" s="1"/>
  <c r="AX195" i="6"/>
  <c r="AX196" i="6"/>
  <c r="X205" i="6"/>
  <c r="Y205" i="6" s="1"/>
  <c r="AX205" i="6"/>
  <c r="AR207" i="6"/>
  <c r="AR204" i="6"/>
  <c r="AR197" i="6"/>
  <c r="X202" i="6"/>
  <c r="Y202" i="6" s="1"/>
  <c r="AX206" i="6"/>
  <c r="X212" i="6"/>
  <c r="Y212" i="6" s="1"/>
  <c r="AX214" i="6"/>
  <c r="AR216" i="6"/>
  <c r="AX204" i="6"/>
  <c r="AR195" i="6"/>
  <c r="AR196" i="6"/>
  <c r="AR205" i="6"/>
  <c r="AX207" i="6"/>
  <c r="X207" i="6"/>
  <c r="Y207" i="6" s="1"/>
  <c r="X206" i="6"/>
  <c r="Y206" i="6" s="1"/>
  <c r="AR210" i="6"/>
  <c r="X211" i="6"/>
  <c r="Y211" i="6" s="1"/>
  <c r="AX209" i="6"/>
  <c r="X221" i="6"/>
  <c r="Y221" i="6" s="1"/>
  <c r="AX215" i="6"/>
  <c r="AR212" i="6"/>
  <c r="X213" i="6"/>
  <c r="Y213" i="6" s="1"/>
  <c r="AR213" i="6"/>
  <c r="X214" i="6"/>
  <c r="Y214" i="6" s="1"/>
  <c r="X210" i="6"/>
  <c r="Y210" i="6" s="1"/>
  <c r="AX210" i="6"/>
  <c r="X215" i="6"/>
  <c r="Y215" i="6" s="1"/>
  <c r="AR214" i="6"/>
  <c r="AX216" i="6"/>
  <c r="X216" i="6"/>
  <c r="Y216" i="6" s="1"/>
  <c r="AR208" i="6"/>
  <c r="X209" i="6"/>
  <c r="Y209" i="6" s="1"/>
  <c r="AR209" i="6"/>
  <c r="X219" i="6"/>
  <c r="Y219" i="6" s="1"/>
  <c r="AR215" i="6"/>
  <c r="AR211" i="6"/>
  <c r="AX211" i="6"/>
  <c r="AX222" i="6"/>
  <c r="AR217" i="6"/>
  <c r="AR221" i="6"/>
  <c r="X218" i="6"/>
  <c r="Y218" i="6" s="1"/>
  <c r="AR218" i="6"/>
  <c r="AR220" i="6"/>
  <c r="AR224" i="6"/>
  <c r="X224" i="6"/>
  <c r="Y224" i="6" s="1"/>
  <c r="AR232" i="6"/>
  <c r="X231" i="6"/>
  <c r="Y231" i="6" s="1"/>
  <c r="AR228" i="6"/>
  <c r="AR234" i="6"/>
  <c r="X223" i="6"/>
  <c r="Y223" i="6" s="1"/>
  <c r="AX223" i="6"/>
  <c r="X217" i="6"/>
  <c r="Y217" i="6" s="1"/>
  <c r="AX225" i="6"/>
  <c r="AR219" i="6"/>
  <c r="AX219" i="6"/>
  <c r="AX221" i="6"/>
  <c r="AX218" i="6"/>
  <c r="AR223" i="6"/>
  <c r="X222" i="6"/>
  <c r="Y222" i="6" s="1"/>
  <c r="AR222" i="6"/>
  <c r="X220" i="6"/>
  <c r="Y220" i="6" s="1"/>
  <c r="AX220" i="6"/>
  <c r="AX217" i="6"/>
  <c r="AR225" i="6"/>
  <c r="AX224" i="6"/>
  <c r="AR230" i="6"/>
  <c r="AR231" i="6"/>
  <c r="AX229" i="6"/>
  <c r="AX226" i="6"/>
  <c r="X227" i="6"/>
  <c r="Y227" i="6" s="1"/>
  <c r="X234" i="6"/>
  <c r="Y234" i="6" s="1"/>
  <c r="AR233" i="6"/>
  <c r="AX232" i="6"/>
  <c r="X230" i="6"/>
  <c r="Y230" i="6" s="1"/>
  <c r="AX231" i="6"/>
  <c r="AR229" i="6"/>
  <c r="X229" i="6"/>
  <c r="Y229" i="6" s="1"/>
  <c r="AR226" i="6"/>
  <c r="AX227" i="6"/>
  <c r="X228" i="6"/>
  <c r="Y228" i="6" s="1"/>
  <c r="AX228" i="6"/>
  <c r="AX234" i="6"/>
  <c r="AX233" i="6"/>
  <c r="X232" i="6"/>
  <c r="Y232" i="6" s="1"/>
  <c r="AX230" i="6"/>
  <c r="X226" i="6"/>
  <c r="Y226" i="6" s="1"/>
  <c r="AR227" i="6"/>
  <c r="X233" i="6"/>
  <c r="Y233" i="6" s="1"/>
  <c r="AF193" i="6"/>
  <c r="AA193" i="6"/>
  <c r="AC193" i="6"/>
  <c r="AF188" i="6"/>
  <c r="AC188" i="6"/>
  <c r="AF194" i="6"/>
  <c r="AC194" i="6"/>
  <c r="AF191" i="6"/>
  <c r="AC191" i="6"/>
  <c r="AA191" i="6"/>
  <c r="AF192" i="6"/>
  <c r="AA192" i="6"/>
  <c r="AC192" i="6"/>
  <c r="AF190" i="6"/>
  <c r="AA190" i="6"/>
  <c r="AC190" i="6"/>
  <c r="AF189" i="6"/>
  <c r="AA189" i="6"/>
  <c r="AC189" i="6"/>
  <c r="AF235" i="6"/>
  <c r="AC235" i="6"/>
  <c r="AC236" i="6"/>
  <c r="AF187" i="6"/>
  <c r="AC187" i="6"/>
  <c r="AC238" i="6"/>
  <c r="F236" i="6"/>
  <c r="AF237" i="6"/>
  <c r="AC237" i="6"/>
  <c r="F238" i="6"/>
  <c r="AC242" i="6"/>
  <c r="AC240" i="6"/>
  <c r="AC243" i="6"/>
  <c r="AC239" i="6"/>
  <c r="AC186" i="6"/>
  <c r="AC241" i="6"/>
  <c r="AC185" i="6"/>
  <c r="AC140" i="6"/>
  <c r="AC100" i="6"/>
  <c r="AC171" i="6"/>
  <c r="AC155" i="6"/>
  <c r="AC107" i="6"/>
  <c r="AC91" i="6"/>
  <c r="AC43" i="6"/>
  <c r="AC27" i="6"/>
  <c r="AC104" i="6"/>
  <c r="AC146" i="6"/>
  <c r="AC114" i="6"/>
  <c r="AC66" i="6"/>
  <c r="AC34" i="6"/>
  <c r="AC128" i="6"/>
  <c r="AC84" i="6"/>
  <c r="AC165" i="6"/>
  <c r="AC133" i="6"/>
  <c r="AC101" i="6"/>
  <c r="AC85" i="6"/>
  <c r="AC69" i="6"/>
  <c r="AC53" i="6"/>
  <c r="AC37" i="6"/>
  <c r="AC21" i="6"/>
  <c r="AC7" i="6"/>
  <c r="AC176" i="6"/>
  <c r="AC132" i="6"/>
  <c r="AC88" i="6"/>
  <c r="AC40" i="6"/>
  <c r="AC183" i="6"/>
  <c r="AC167" i="6"/>
  <c r="AC151" i="6"/>
  <c r="AC135" i="6"/>
  <c r="AC119" i="6"/>
  <c r="AC103" i="6"/>
  <c r="AC87" i="6"/>
  <c r="AC71" i="6"/>
  <c r="AC55" i="6"/>
  <c r="AC39" i="6"/>
  <c r="AC23" i="6"/>
  <c r="AC9" i="6"/>
  <c r="AC148" i="6"/>
  <c r="AC92" i="6"/>
  <c r="AC36" i="6"/>
  <c r="AC174" i="6"/>
  <c r="AC158" i="6"/>
  <c r="AC142" i="6"/>
  <c r="AC126" i="6"/>
  <c r="AC110" i="6"/>
  <c r="AC94" i="6"/>
  <c r="AC78" i="6"/>
  <c r="AC62" i="6"/>
  <c r="AC46" i="6"/>
  <c r="AC30" i="6"/>
  <c r="AC164" i="6"/>
  <c r="AC120" i="6"/>
  <c r="AC76" i="6"/>
  <c r="AC32" i="6"/>
  <c r="AC177" i="6"/>
  <c r="AC161" i="6"/>
  <c r="AC145" i="6"/>
  <c r="AC129" i="6"/>
  <c r="AC113" i="6"/>
  <c r="AC97" i="6"/>
  <c r="AC81" i="6"/>
  <c r="AC65" i="6"/>
  <c r="AC49" i="6"/>
  <c r="AC33" i="6"/>
  <c r="AC17" i="6"/>
  <c r="AC160" i="6"/>
  <c r="AC178" i="6"/>
  <c r="AC98" i="6"/>
  <c r="AC50" i="6"/>
  <c r="AC116" i="6"/>
  <c r="AC28" i="6"/>
  <c r="AC179" i="6"/>
  <c r="AC163" i="6"/>
  <c r="AC147" i="6"/>
  <c r="AC131" i="6"/>
  <c r="AC115" i="6"/>
  <c r="AC99" i="6"/>
  <c r="AC83" i="6"/>
  <c r="AC67" i="6"/>
  <c r="AC51" i="6"/>
  <c r="AC35" i="6"/>
  <c r="AC19" i="6"/>
  <c r="AC184" i="6"/>
  <c r="AC136" i="6"/>
  <c r="AC80" i="6"/>
  <c r="AC14" i="6"/>
  <c r="AC170" i="6"/>
  <c r="AC154" i="6"/>
  <c r="AC138" i="6"/>
  <c r="AC122" i="6"/>
  <c r="AC106" i="6"/>
  <c r="AC90" i="6"/>
  <c r="AC74" i="6"/>
  <c r="AC58" i="6"/>
  <c r="AC42" i="6"/>
  <c r="AC26" i="6"/>
  <c r="AC12" i="6"/>
  <c r="AC152" i="6"/>
  <c r="AC112" i="6"/>
  <c r="AC64" i="6"/>
  <c r="AC20" i="6"/>
  <c r="AC173" i="6"/>
  <c r="AC157" i="6"/>
  <c r="AC141" i="6"/>
  <c r="AC125" i="6"/>
  <c r="AC109" i="6"/>
  <c r="AC93" i="6"/>
  <c r="AC77" i="6"/>
  <c r="AC61" i="6"/>
  <c r="AC45" i="6"/>
  <c r="AC29" i="6"/>
  <c r="AC48" i="6"/>
  <c r="AC139" i="6"/>
  <c r="AC123" i="6"/>
  <c r="AC75" i="6"/>
  <c r="AC59" i="6"/>
  <c r="AC13" i="6"/>
  <c r="AC56" i="6"/>
  <c r="AC162" i="6"/>
  <c r="AC130" i="6"/>
  <c r="AC82" i="6"/>
  <c r="AC18" i="6"/>
  <c r="AC180" i="6"/>
  <c r="AC44" i="6"/>
  <c r="AC181" i="6"/>
  <c r="AC149" i="6"/>
  <c r="AC117" i="6"/>
  <c r="AC168" i="6"/>
  <c r="AC72" i="6"/>
  <c r="AC156" i="6"/>
  <c r="AC108" i="6"/>
  <c r="AC60" i="6"/>
  <c r="AC24" i="6"/>
  <c r="AC175" i="6"/>
  <c r="AC159" i="6"/>
  <c r="AC143" i="6"/>
  <c r="AC127" i="6"/>
  <c r="AC111" i="6"/>
  <c r="AC95" i="6"/>
  <c r="AC79" i="6"/>
  <c r="AC63" i="6"/>
  <c r="AC47" i="6"/>
  <c r="AC31" i="6"/>
  <c r="AC172" i="6"/>
  <c r="AC124" i="6"/>
  <c r="AC68" i="6"/>
  <c r="AC182" i="6"/>
  <c r="AC166" i="6"/>
  <c r="AC150" i="6"/>
  <c r="AC134" i="6"/>
  <c r="AC118" i="6"/>
  <c r="AC102" i="6"/>
  <c r="AC86" i="6"/>
  <c r="AC70" i="6"/>
  <c r="AC54" i="6"/>
  <c r="AC38" i="6"/>
  <c r="AC22" i="6"/>
  <c r="AC8" i="6"/>
  <c r="AC144" i="6"/>
  <c r="AC96" i="6"/>
  <c r="AC52" i="6"/>
  <c r="AC10" i="6"/>
  <c r="AC169" i="6"/>
  <c r="AC153" i="6"/>
  <c r="AC137" i="6"/>
  <c r="AC121" i="6"/>
  <c r="AC105" i="6"/>
  <c r="AC89" i="6"/>
  <c r="AC73" i="6"/>
  <c r="AC57" i="6"/>
  <c r="AC41" i="6"/>
  <c r="AC25" i="6"/>
  <c r="AC11" i="6"/>
  <c r="K4" i="20"/>
  <c r="K4" i="11"/>
  <c r="C59" i="1"/>
  <c r="C60" i="1" s="1"/>
  <c r="AW189" i="6" l="1" a="1"/>
  <c r="AW189" i="6" s="1"/>
  <c r="AV189" i="6" a="1"/>
  <c r="AV189" i="6" s="1"/>
  <c r="AU189" i="6" a="1"/>
  <c r="AU189" i="6" s="1"/>
  <c r="AT189" i="6" a="1"/>
  <c r="AT189" i="6" s="1"/>
  <c r="AU191" i="6" a="1"/>
  <c r="AU191" i="6" s="1"/>
  <c r="AT191" i="6" a="1"/>
  <c r="AT191" i="6" s="1"/>
  <c r="AW191" i="6" a="1"/>
  <c r="AW191" i="6" s="1"/>
  <c r="AV191" i="6" a="1"/>
  <c r="AV191" i="6" s="1"/>
  <c r="AW193" i="6" a="1"/>
  <c r="AW193" i="6" s="1"/>
  <c r="AV193" i="6" a="1"/>
  <c r="AV193" i="6" s="1"/>
  <c r="AU193" i="6" a="1"/>
  <c r="AU193" i="6" s="1"/>
  <c r="AT193" i="6" a="1"/>
  <c r="AT193" i="6" s="1"/>
  <c r="AV190" i="6" a="1"/>
  <c r="AV190" i="6" s="1"/>
  <c r="AU190" i="6" a="1"/>
  <c r="AU190" i="6" s="1"/>
  <c r="AW190" i="6" a="1"/>
  <c r="AW190" i="6" s="1"/>
  <c r="AT190" i="6" a="1"/>
  <c r="AT190" i="6" s="1"/>
  <c r="AT192" i="6" a="1"/>
  <c r="AT192" i="6" s="1"/>
  <c r="AW192" i="6" a="1"/>
  <c r="AW192" i="6" s="1"/>
  <c r="AV192" i="6" a="1"/>
  <c r="AV192" i="6" s="1"/>
  <c r="AU192" i="6" a="1"/>
  <c r="AU192" i="6" s="1"/>
  <c r="AN189" i="6" a="1"/>
  <c r="AN189" i="6" s="1"/>
  <c r="AO189" i="6" a="1"/>
  <c r="AO189" i="6" s="1"/>
  <c r="AQ189" i="6" a="1"/>
  <c r="AQ189" i="6" s="1"/>
  <c r="AP189" i="6" a="1"/>
  <c r="AP189" i="6" s="1"/>
  <c r="AN191" i="6" a="1"/>
  <c r="AN191" i="6" s="1"/>
  <c r="AO191" i="6" a="1"/>
  <c r="AO191" i="6" s="1"/>
  <c r="AP191" i="6" a="1"/>
  <c r="AP191" i="6" s="1"/>
  <c r="AQ191" i="6" a="1"/>
  <c r="AQ191" i="6" s="1"/>
  <c r="AQ193" i="6" a="1"/>
  <c r="AQ193" i="6" s="1"/>
  <c r="AP193" i="6" a="1"/>
  <c r="AP193" i="6" s="1"/>
  <c r="AO193" i="6" a="1"/>
  <c r="AO193" i="6" s="1"/>
  <c r="AN193" i="6" a="1"/>
  <c r="AN193" i="6" s="1"/>
  <c r="AO190" i="6" a="1"/>
  <c r="AO190" i="6" s="1"/>
  <c r="AQ190" i="6" a="1"/>
  <c r="AQ190" i="6" s="1"/>
  <c r="AP190" i="6" a="1"/>
  <c r="AP190" i="6" s="1"/>
  <c r="AN190" i="6" a="1"/>
  <c r="AN190" i="6" s="1"/>
  <c r="AN192" i="6" a="1"/>
  <c r="AN192" i="6" s="1"/>
  <c r="AP192" i="6" a="1"/>
  <c r="AP192" i="6" s="1"/>
  <c r="AO192" i="6" a="1"/>
  <c r="AO192" i="6" s="1"/>
  <c r="AQ192" i="6" a="1"/>
  <c r="AQ192" i="6" s="1"/>
  <c r="W189" i="6" a="1"/>
  <c r="W189" i="6" s="1"/>
  <c r="U189" i="6" a="1"/>
  <c r="U189" i="6" s="1"/>
  <c r="V189" i="6" a="1"/>
  <c r="V189" i="6" s="1"/>
  <c r="T189" i="6" a="1"/>
  <c r="T189" i="6" s="1"/>
  <c r="V191" i="6" a="1"/>
  <c r="V191" i="6" s="1"/>
  <c r="T191" i="6" a="1"/>
  <c r="T191" i="6" s="1"/>
  <c r="U191" i="6" a="1"/>
  <c r="U191" i="6" s="1"/>
  <c r="W191" i="6" a="1"/>
  <c r="W191" i="6" s="1"/>
  <c r="W193" i="6" a="1"/>
  <c r="W193" i="6" s="1"/>
  <c r="V193" i="6" a="1"/>
  <c r="V193" i="6" s="1"/>
  <c r="U193" i="6" a="1"/>
  <c r="U193" i="6" s="1"/>
  <c r="T193" i="6" a="1"/>
  <c r="T193" i="6" s="1"/>
  <c r="V190" i="6" a="1"/>
  <c r="V190" i="6" s="1"/>
  <c r="U190" i="6" a="1"/>
  <c r="U190" i="6" s="1"/>
  <c r="T190" i="6" a="1"/>
  <c r="T190" i="6" s="1"/>
  <c r="W190" i="6" a="1"/>
  <c r="W190" i="6" s="1"/>
  <c r="T192" i="6" a="1"/>
  <c r="T192" i="6" s="1"/>
  <c r="W192" i="6" a="1"/>
  <c r="W192" i="6" s="1"/>
  <c r="U192" i="6" a="1"/>
  <c r="U192" i="6" s="1"/>
  <c r="V192" i="6" a="1"/>
  <c r="V192" i="6" s="1"/>
  <c r="P189" i="6" a="1"/>
  <c r="P189" i="6" s="1"/>
  <c r="N189" i="6" a="1"/>
  <c r="N189" i="6" s="1"/>
  <c r="O189" i="6" a="1"/>
  <c r="O189" i="6" s="1"/>
  <c r="Q189" i="6" a="1"/>
  <c r="Q189" i="6" s="1"/>
  <c r="O191" i="6" a="1"/>
  <c r="O191" i="6" s="1"/>
  <c r="P191" i="6" a="1"/>
  <c r="P191" i="6" s="1"/>
  <c r="N191" i="6" a="1"/>
  <c r="N191" i="6" s="1"/>
  <c r="Q191" i="6" a="1"/>
  <c r="Q191" i="6" s="1"/>
  <c r="Q193" i="6" a="1"/>
  <c r="Q193" i="6" s="1"/>
  <c r="O193" i="6" a="1"/>
  <c r="O193" i="6" s="1"/>
  <c r="N193" i="6" a="1"/>
  <c r="N193" i="6" s="1"/>
  <c r="P193" i="6" a="1"/>
  <c r="P193" i="6" s="1"/>
  <c r="P190" i="6" a="1"/>
  <c r="P190" i="6" s="1"/>
  <c r="Q190" i="6" a="1"/>
  <c r="Q190" i="6" s="1"/>
  <c r="O190" i="6" a="1"/>
  <c r="O190" i="6" s="1"/>
  <c r="N190" i="6" a="1"/>
  <c r="N190" i="6" s="1"/>
  <c r="O192" i="6" a="1"/>
  <c r="O192" i="6" s="1"/>
  <c r="N192" i="6" a="1"/>
  <c r="N192" i="6" s="1"/>
  <c r="Q192" i="6" a="1"/>
  <c r="Q192" i="6" s="1"/>
  <c r="P192" i="6" a="1"/>
  <c r="P192" i="6" s="1"/>
  <c r="L15" i="20" a="1"/>
  <c r="L15" i="20" s="1"/>
  <c r="M14" i="20" a="1"/>
  <c r="M14" i="20" s="1"/>
  <c r="M16" i="20" a="1"/>
  <c r="M16" i="20" s="1"/>
  <c r="N16" i="20" a="1"/>
  <c r="N16" i="20" s="1"/>
  <c r="N19" i="20" a="1"/>
  <c r="N19" i="20" s="1"/>
  <c r="K10" i="20" a="1"/>
  <c r="K10" i="20" s="1"/>
  <c r="M13" i="20" a="1"/>
  <c r="M13" i="20" s="1"/>
  <c r="K13" i="20" a="1"/>
  <c r="K13" i="20" s="1"/>
  <c r="L9" i="20" a="1"/>
  <c r="L9" i="20" s="1"/>
  <c r="L17" i="20" a="1"/>
  <c r="L17" i="20" s="1"/>
  <c r="N10" i="20" a="1"/>
  <c r="N10" i="20" s="1"/>
  <c r="N18" i="20" a="1"/>
  <c r="N18" i="20" s="1"/>
  <c r="K12" i="20" a="1"/>
  <c r="K12" i="20" s="1"/>
  <c r="K20" i="20" a="1"/>
  <c r="K20" i="20" s="1"/>
  <c r="L10" i="20" a="1"/>
  <c r="L10" i="20" s="1"/>
  <c r="N11" i="20" a="1"/>
  <c r="N11" i="20" s="1"/>
  <c r="L12" i="20" a="1"/>
  <c r="L12" i="20" s="1"/>
  <c r="L20" i="20" a="1"/>
  <c r="L20" i="20" s="1"/>
  <c r="N13" i="20" a="1"/>
  <c r="N13" i="20" s="1"/>
  <c r="M11" i="20" a="1"/>
  <c r="M11" i="20" s="1"/>
  <c r="K15" i="20" a="1"/>
  <c r="K15" i="20" s="1"/>
  <c r="M15" i="20" a="1"/>
  <c r="M15" i="20" s="1"/>
  <c r="L13" i="20" a="1"/>
  <c r="L13" i="20" s="1"/>
  <c r="M19" i="20" a="1"/>
  <c r="M19" i="20" s="1"/>
  <c r="N14" i="20" a="1"/>
  <c r="N14" i="20" s="1"/>
  <c r="K16" i="20" a="1"/>
  <c r="K16" i="20" s="1"/>
  <c r="K18" i="20" a="1"/>
  <c r="K18" i="20" s="1"/>
  <c r="M10" i="20" a="1"/>
  <c r="M10" i="20" s="1"/>
  <c r="M17" i="20" a="1"/>
  <c r="M17" i="20" s="1"/>
  <c r="L16" i="20" a="1"/>
  <c r="L16" i="20" s="1"/>
  <c r="N9" i="20" a="1"/>
  <c r="N9" i="20" s="1"/>
  <c r="N17" i="20" a="1"/>
  <c r="N17" i="20" s="1"/>
  <c r="K11" i="20" a="1"/>
  <c r="K11" i="20" s="1"/>
  <c r="K19" i="20" a="1"/>
  <c r="K19" i="20" s="1"/>
  <c r="L18" i="20" a="1"/>
  <c r="L18" i="20" s="1"/>
  <c r="L11" i="20" a="1"/>
  <c r="L11" i="20" s="1"/>
  <c r="L19" i="20" a="1"/>
  <c r="L19" i="20" s="1"/>
  <c r="M9" i="20" a="1"/>
  <c r="M9" i="20" s="1"/>
  <c r="N12" i="20" a="1"/>
  <c r="N12" i="20" s="1"/>
  <c r="N20" i="20" a="1"/>
  <c r="N20" i="20" s="1"/>
  <c r="M12" i="20" a="1"/>
  <c r="M12" i="20" s="1"/>
  <c r="K14" i="20" a="1"/>
  <c r="K14" i="20" s="1"/>
  <c r="M20" i="20" a="1"/>
  <c r="M20" i="20" s="1"/>
  <c r="L14" i="20" a="1"/>
  <c r="L14" i="20" s="1"/>
  <c r="N15" i="20" a="1"/>
  <c r="N15" i="20" s="1"/>
  <c r="M18" i="20" a="1"/>
  <c r="M18" i="20" s="1"/>
  <c r="K9" i="20" a="1"/>
  <c r="K9" i="20" s="1"/>
  <c r="K17" i="20" a="1"/>
  <c r="K17" i="20" s="1"/>
  <c r="M24" i="11" a="1"/>
  <c r="M24" i="11" s="1"/>
  <c r="M38" i="11" a="1"/>
  <c r="M38" i="11" s="1"/>
  <c r="L36" i="11" a="1"/>
  <c r="L36" i="11" s="1"/>
  <c r="L27" i="11" a="1"/>
  <c r="L27" i="11" s="1"/>
  <c r="L34" i="11" a="1"/>
  <c r="L34" i="11" s="1"/>
  <c r="M33" i="11" a="1"/>
  <c r="M33" i="11" s="1"/>
  <c r="L37" i="11" a="1"/>
  <c r="L37" i="11" s="1"/>
  <c r="L43" i="11" a="1"/>
  <c r="L43" i="11" s="1"/>
  <c r="M43" i="11" a="1"/>
  <c r="M43" i="11" s="1"/>
  <c r="K31" i="11" a="1"/>
  <c r="K31" i="11" s="1"/>
  <c r="K22" i="11" a="1"/>
  <c r="K22" i="11" s="1"/>
  <c r="L44" i="11" a="1"/>
  <c r="L44" i="11" s="1"/>
  <c r="L40" i="11" a="1"/>
  <c r="L40" i="11" s="1"/>
  <c r="L25" i="11" a="1"/>
  <c r="L25" i="11" s="1"/>
  <c r="K39" i="11" a="1"/>
  <c r="K39" i="11" s="1"/>
  <c r="L28" i="11" a="1"/>
  <c r="L28" i="11" s="1"/>
  <c r="M25" i="11" a="1"/>
  <c r="M25" i="11" s="1"/>
  <c r="K41" i="11" a="1"/>
  <c r="K41" i="11" s="1"/>
  <c r="K27" i="11" a="1"/>
  <c r="K27" i="11" s="1"/>
  <c r="K37" i="11" a="1"/>
  <c r="K37" i="11" s="1"/>
  <c r="K53" i="11" a="1"/>
  <c r="K53" i="11" s="1"/>
  <c r="L22" i="11" a="1"/>
  <c r="L22" i="11" s="1"/>
  <c r="M30" i="11" a="1"/>
  <c r="M30" i="11" s="1"/>
  <c r="L48" i="11" a="1"/>
  <c r="L48" i="11" s="1"/>
  <c r="K30" i="11" a="1"/>
  <c r="K30" i="11" s="1"/>
  <c r="M37" i="11" a="1"/>
  <c r="M37" i="11" s="1"/>
  <c r="M47" i="11" a="1"/>
  <c r="M47" i="11" s="1"/>
  <c r="K35" i="11" a="1"/>
  <c r="K35" i="11" s="1"/>
  <c r="K54" i="11" a="1"/>
  <c r="K54" i="11" s="1"/>
  <c r="M53" i="11" a="1"/>
  <c r="M53" i="11" s="1"/>
  <c r="L50" i="11" a="1"/>
  <c r="L50" i="11" s="1"/>
  <c r="M50" i="11" a="1"/>
  <c r="M50" i="11" s="1"/>
  <c r="L26" i="11" a="1"/>
  <c r="L26" i="11" s="1"/>
  <c r="M23" i="11" a="1"/>
  <c r="M23" i="11" s="1"/>
  <c r="K49" i="11" a="1"/>
  <c r="K49" i="11" s="1"/>
  <c r="K34" i="11" a="1"/>
  <c r="K34" i="11" s="1"/>
  <c r="L53" i="11" a="1"/>
  <c r="L53" i="11" s="1"/>
  <c r="M45" i="11" a="1"/>
  <c r="M45" i="11" s="1"/>
  <c r="M44" i="11" a="1"/>
  <c r="M44" i="11" s="1"/>
  <c r="K25" i="11" a="1"/>
  <c r="K25" i="11" s="1"/>
  <c r="L21" i="11" a="1"/>
  <c r="L21" i="11" s="1"/>
  <c r="L45" i="11" a="1"/>
  <c r="L45" i="11" s="1"/>
  <c r="M21" i="11" a="1"/>
  <c r="M21" i="11" s="1"/>
  <c r="M46" i="11" a="1"/>
  <c r="M46" i="11" s="1"/>
  <c r="L30" i="11" a="1"/>
  <c r="L30" i="11" s="1"/>
  <c r="L47" i="11" a="1"/>
  <c r="L47" i="11" s="1"/>
  <c r="M42" i="11" a="1"/>
  <c r="M42" i="11" s="1"/>
  <c r="M35" i="11" a="1"/>
  <c r="M35" i="11" s="1"/>
  <c r="L38" i="11" a="1"/>
  <c r="L38" i="11" s="1"/>
  <c r="K51" i="11" a="1"/>
  <c r="K51" i="11" s="1"/>
  <c r="L31" i="11" a="1"/>
  <c r="L31" i="11" s="1"/>
  <c r="K50" i="11" a="1"/>
  <c r="K50" i="11" s="1"/>
  <c r="L29" i="11" a="1"/>
  <c r="L29" i="11" s="1"/>
  <c r="K38" i="11" a="1"/>
  <c r="K38" i="11" s="1"/>
  <c r="L33" i="11" a="1"/>
  <c r="L33" i="11" s="1"/>
  <c r="K23" i="11" a="1"/>
  <c r="K23" i="11" s="1"/>
  <c r="M31" i="11" a="1"/>
  <c r="M31" i="11" s="1"/>
  <c r="L39" i="11" a="1"/>
  <c r="L39" i="11" s="1"/>
  <c r="K47" i="11" a="1"/>
  <c r="K47" i="11" s="1"/>
  <c r="K48" i="11" a="1"/>
  <c r="K48" i="11" s="1"/>
  <c r="K24" i="11" a="1"/>
  <c r="K24" i="11" s="1"/>
  <c r="M32" i="11" a="1"/>
  <c r="M32" i="11" s="1"/>
  <c r="L52" i="11" a="1"/>
  <c r="L52" i="11" s="1"/>
  <c r="L51" i="11" a="1"/>
  <c r="L51" i="11" s="1"/>
  <c r="L54" i="11" a="1"/>
  <c r="L54" i="11" s="1"/>
  <c r="M54" i="11" a="1"/>
  <c r="M54" i="11" s="1"/>
  <c r="M49" i="11" a="1"/>
  <c r="M49" i="11" s="1"/>
  <c r="K40" i="11" a="1"/>
  <c r="K40" i="11" s="1"/>
  <c r="M28" i="11" a="1"/>
  <c r="M28" i="11" s="1"/>
  <c r="M36" i="11" a="1"/>
  <c r="M36" i="11" s="1"/>
  <c r="M40" i="11" a="1"/>
  <c r="M40" i="11" s="1"/>
  <c r="L32" i="11" a="1"/>
  <c r="L32" i="11" s="1"/>
  <c r="M41" i="11" a="1"/>
  <c r="M41" i="11" s="1"/>
  <c r="M48" i="11" a="1"/>
  <c r="M48" i="11" s="1"/>
  <c r="M39" i="11" a="1"/>
  <c r="M39" i="11" s="1"/>
  <c r="K55" i="11" a="1"/>
  <c r="K55" i="11" s="1"/>
  <c r="K21" i="11" a="1"/>
  <c r="K21" i="11" s="1"/>
  <c r="K44" i="11" a="1"/>
  <c r="K44" i="11" s="1"/>
  <c r="K28" i="11" a="1"/>
  <c r="K28" i="11" s="1"/>
  <c r="K36" i="11" a="1"/>
  <c r="K36" i="11" s="1"/>
  <c r="L23" i="11" a="1"/>
  <c r="L23" i="11" s="1"/>
  <c r="K32" i="11" a="1"/>
  <c r="K32" i="11" s="1"/>
  <c r="L41" i="11" a="1"/>
  <c r="L41" i="11" s="1"/>
  <c r="M26" i="11" a="1"/>
  <c r="M26" i="11" s="1"/>
  <c r="L42" i="11" a="1"/>
  <c r="L42" i="11" s="1"/>
  <c r="K29" i="11" a="1"/>
  <c r="K29" i="11" s="1"/>
  <c r="L49" i="11" a="1"/>
  <c r="L49" i="11" s="1"/>
  <c r="K45" i="11" a="1"/>
  <c r="K45" i="11" s="1"/>
  <c r="K52" i="11" a="1"/>
  <c r="K52" i="11" s="1"/>
  <c r="L35" i="11" a="1"/>
  <c r="L35" i="11" s="1"/>
  <c r="M52" i="11" a="1"/>
  <c r="M52" i="11" s="1"/>
  <c r="M22" i="11" a="1"/>
  <c r="M22" i="11" s="1"/>
  <c r="K33" i="11" a="1"/>
  <c r="K33" i="11" s="1"/>
  <c r="K26" i="11" a="1"/>
  <c r="K26" i="11" s="1"/>
  <c r="M51" i="11" a="1"/>
  <c r="M51" i="11" s="1"/>
  <c r="K46" i="11" a="1"/>
  <c r="K46" i="11" s="1"/>
  <c r="M27" i="11" a="1"/>
  <c r="M27" i="11" s="1"/>
  <c r="L24" i="11" a="1"/>
  <c r="L24" i="11" s="1"/>
  <c r="M29" i="11" a="1"/>
  <c r="M29" i="11" s="1"/>
  <c r="L46" i="11" a="1"/>
  <c r="L46" i="11" s="1"/>
  <c r="M34" i="11" a="1"/>
  <c r="M34" i="11" s="1"/>
  <c r="K43" i="11" a="1"/>
  <c r="K43" i="11" s="1"/>
  <c r="K42" i="11" a="1"/>
  <c r="K42" i="11" s="1"/>
  <c r="L55" i="11" a="1"/>
  <c r="L55" i="11" s="1"/>
  <c r="M55" i="11" a="1"/>
  <c r="M55" i="11" s="1"/>
  <c r="B4" i="6" a="1"/>
  <c r="B4" i="6" s="1"/>
  <c r="C4" i="6" s="1" a="1"/>
  <c r="C4" i="6" s="1"/>
  <c r="E149" i="1" a="1"/>
  <c r="E149" i="1" s="1"/>
  <c r="G149" i="1" s="1"/>
  <c r="AG137" i="6" a="1"/>
  <c r="AG137" i="6" s="1"/>
  <c r="AH137" i="6" s="1"/>
  <c r="AG20" i="6" a="1"/>
  <c r="AG20" i="6" s="1"/>
  <c r="AH20" i="6" s="1"/>
  <c r="AG52" i="6" a="1"/>
  <c r="AG52" i="6" s="1"/>
  <c r="AH52" i="6" s="1"/>
  <c r="AG144" i="6" a="1"/>
  <c r="AG144" i="6" s="1"/>
  <c r="AH144" i="6" s="1"/>
  <c r="AG118" i="6" a="1"/>
  <c r="AG118" i="6" s="1"/>
  <c r="AH118" i="6" s="1"/>
  <c r="AG31" i="6" a="1"/>
  <c r="AG31" i="6" s="1"/>
  <c r="AH31" i="6" s="1"/>
  <c r="AG159" i="6" a="1"/>
  <c r="AG159" i="6" s="1"/>
  <c r="AH159" i="6" s="1"/>
  <c r="AG117" i="6" a="1"/>
  <c r="AG117" i="6" s="1"/>
  <c r="AH117" i="6" s="1"/>
  <c r="AG162" i="6" a="1"/>
  <c r="AG162" i="6" s="1"/>
  <c r="AH162" i="6" s="1"/>
  <c r="AG29" i="6" a="1"/>
  <c r="AG29" i="6" s="1"/>
  <c r="AH29" i="6" s="1"/>
  <c r="AG157" i="6" a="1"/>
  <c r="AG157" i="6" s="1"/>
  <c r="AH157" i="6" s="1"/>
  <c r="AG42" i="6" a="1"/>
  <c r="AG42" i="6" s="1"/>
  <c r="AH42" i="6" s="1"/>
  <c r="AG170" i="6" a="1"/>
  <c r="AG170" i="6" s="1"/>
  <c r="AH170" i="6" s="1"/>
  <c r="AG67" i="6" a="1"/>
  <c r="AG67" i="6" s="1"/>
  <c r="AH67" i="6" s="1"/>
  <c r="AG28" i="6" a="1"/>
  <c r="AG28" i="6" s="1"/>
  <c r="AH28" i="6" s="1"/>
  <c r="AG49" i="6" a="1"/>
  <c r="AG49" i="6" s="1"/>
  <c r="AH49" i="6" s="1"/>
  <c r="AG177" i="6" a="1"/>
  <c r="AG177" i="6" s="1"/>
  <c r="AH177" i="6" s="1"/>
  <c r="AG78" i="6" a="1"/>
  <c r="AG78" i="6" s="1"/>
  <c r="AH78" i="6" s="1"/>
  <c r="AG92" i="6" a="1"/>
  <c r="AG92" i="6" s="1"/>
  <c r="AH92" i="6" s="1"/>
  <c r="AG103" i="6" a="1"/>
  <c r="AG103" i="6" s="1"/>
  <c r="AH103" i="6" s="1"/>
  <c r="AG132" i="6" a="1"/>
  <c r="AG132" i="6" s="1"/>
  <c r="AH132" i="6" s="1"/>
  <c r="AG101" i="6" a="1"/>
  <c r="AG101" i="6" s="1"/>
  <c r="AH101" i="6" s="1"/>
  <c r="AG146" i="6" a="1"/>
  <c r="AG146" i="6" s="1"/>
  <c r="AH146" i="6" s="1"/>
  <c r="AG100" i="6" a="1"/>
  <c r="AG100" i="6" s="1"/>
  <c r="AH100" i="6" s="1"/>
  <c r="AG239" i="6" a="1"/>
  <c r="AG239" i="6" s="1"/>
  <c r="AH239" i="6" s="1"/>
  <c r="AG13" i="6" a="1"/>
  <c r="AG13" i="6" s="1"/>
  <c r="AH13" i="6" s="1"/>
  <c r="AG10" i="6" a="1"/>
  <c r="AG10" i="6" s="1"/>
  <c r="AH10" i="6" s="1"/>
  <c r="AG86" i="6" a="1"/>
  <c r="AG86" i="6" s="1"/>
  <c r="AH86" i="6" s="1"/>
  <c r="AG105" i="6" a="1"/>
  <c r="AG105" i="6" s="1"/>
  <c r="AH105" i="6" s="1"/>
  <c r="AG121" i="6" a="1"/>
  <c r="AG121" i="6" s="1"/>
  <c r="AH121" i="6" s="1"/>
  <c r="AG8" i="6" a="1"/>
  <c r="AG8" i="6" s="1"/>
  <c r="AH8" i="6" s="1"/>
  <c r="AG134" i="6" a="1"/>
  <c r="AG134" i="6" s="1"/>
  <c r="AH134" i="6" s="1"/>
  <c r="AG47" i="6" a="1"/>
  <c r="AG47" i="6" s="1"/>
  <c r="AH47" i="6" s="1"/>
  <c r="AG175" i="6" a="1"/>
  <c r="AG175" i="6" s="1"/>
  <c r="AH175" i="6" s="1"/>
  <c r="AG149" i="6" a="1"/>
  <c r="AG149" i="6" s="1"/>
  <c r="AH149" i="6" s="1"/>
  <c r="AG56" i="6" a="1"/>
  <c r="AG56" i="6" s="1"/>
  <c r="AH56" i="6" s="1"/>
  <c r="AG45" i="6" a="1"/>
  <c r="AG45" i="6" s="1"/>
  <c r="AH45" i="6" s="1"/>
  <c r="AG173" i="6" a="1"/>
  <c r="AG173" i="6" s="1"/>
  <c r="AH173" i="6" s="1"/>
  <c r="AG58" i="6" a="1"/>
  <c r="AG58" i="6" s="1"/>
  <c r="AH58" i="6" s="1"/>
  <c r="AG14" i="6" a="1"/>
  <c r="AG14" i="6" s="1"/>
  <c r="AH14" i="6" s="1"/>
  <c r="AG83" i="6" a="1"/>
  <c r="AG83" i="6" s="1"/>
  <c r="AH83" i="6" s="1"/>
  <c r="AG116" i="6" a="1"/>
  <c r="AG116" i="6" s="1"/>
  <c r="AH116" i="6" s="1"/>
  <c r="AG65" i="6" a="1"/>
  <c r="AG65" i="6" s="1"/>
  <c r="AH65" i="6" s="1"/>
  <c r="AG32" i="6" a="1"/>
  <c r="AG32" i="6" s="1"/>
  <c r="AH32" i="6" s="1"/>
  <c r="AG94" i="6" a="1"/>
  <c r="AG94" i="6" s="1"/>
  <c r="AH94" i="6" s="1"/>
  <c r="AG148" i="6" a="1"/>
  <c r="AG148" i="6" s="1"/>
  <c r="AH148" i="6" s="1"/>
  <c r="AG119" i="6" a="1"/>
  <c r="AG119" i="6" s="1"/>
  <c r="AH119" i="6" s="1"/>
  <c r="AG176" i="6" a="1"/>
  <c r="AG176" i="6" s="1"/>
  <c r="AH176" i="6" s="1"/>
  <c r="AG133" i="6" a="1"/>
  <c r="AG133" i="6" s="1"/>
  <c r="AH133" i="6" s="1"/>
  <c r="AG104" i="6" a="1"/>
  <c r="AG104" i="6" s="1"/>
  <c r="AH104" i="6" s="1"/>
  <c r="AG140" i="6" a="1"/>
  <c r="AG140" i="6" s="1"/>
  <c r="AH140" i="6" s="1"/>
  <c r="AG237" i="6" a="1"/>
  <c r="AG237" i="6" s="1"/>
  <c r="AH237" i="6" s="1"/>
  <c r="AG189" i="6" a="1"/>
  <c r="AG189" i="6" s="1"/>
  <c r="AH189" i="6" s="1"/>
  <c r="AG193" i="6" a="1"/>
  <c r="AG193" i="6" s="1"/>
  <c r="AH193" i="6" s="1"/>
  <c r="AG24" i="6" a="1"/>
  <c r="AG24" i="6" s="1"/>
  <c r="AH24" i="6" s="1"/>
  <c r="AG80" i="6" a="1"/>
  <c r="AG80" i="6" s="1"/>
  <c r="AH80" i="6" s="1"/>
  <c r="AG50" i="6" a="1"/>
  <c r="AG50" i="6" s="1"/>
  <c r="AH50" i="6" s="1"/>
  <c r="AG76" i="6" a="1"/>
  <c r="AG76" i="6" s="1"/>
  <c r="AH76" i="6" s="1"/>
  <c r="AG9" i="6" a="1"/>
  <c r="AG9" i="6" s="1"/>
  <c r="AH9" i="6" s="1"/>
  <c r="AG135" i="6" a="1"/>
  <c r="AG135" i="6" s="1"/>
  <c r="AH135" i="6" s="1"/>
  <c r="AG165" i="6" a="1"/>
  <c r="AG165" i="6" s="1"/>
  <c r="AH165" i="6" s="1"/>
  <c r="AG27" i="6" a="1"/>
  <c r="AG27" i="6" s="1"/>
  <c r="AH27" i="6" s="1"/>
  <c r="AG185" i="6" a="1"/>
  <c r="AG185" i="6" s="1"/>
  <c r="AH185" i="6" s="1"/>
  <c r="AG243" i="6" a="1"/>
  <c r="AG243" i="6" s="1"/>
  <c r="AH243" i="6" s="1"/>
  <c r="AG22" i="6" a="1"/>
  <c r="AG22" i="6" s="1"/>
  <c r="AH22" i="6" s="1"/>
  <c r="AG74" i="6" a="1"/>
  <c r="AG74" i="6" s="1"/>
  <c r="AH74" i="6" s="1"/>
  <c r="AG81" i="6" a="1"/>
  <c r="AG81" i="6" s="1"/>
  <c r="AH81" i="6" s="1"/>
  <c r="AG25" i="6" a="1"/>
  <c r="AG25" i="6" s="1"/>
  <c r="AH25" i="6" s="1"/>
  <c r="AG38" i="6" a="1"/>
  <c r="AG38" i="6" s="1"/>
  <c r="AH38" i="6" s="1"/>
  <c r="AG166" i="6" a="1"/>
  <c r="AG166" i="6" s="1"/>
  <c r="AH166" i="6" s="1"/>
  <c r="AG79" i="6" a="1"/>
  <c r="AG79" i="6" s="1"/>
  <c r="AH79" i="6" s="1"/>
  <c r="AG60" i="6" a="1"/>
  <c r="AG60" i="6" s="1"/>
  <c r="AH60" i="6" s="1"/>
  <c r="AG44" i="6" a="1"/>
  <c r="AG44" i="6" s="1"/>
  <c r="AH44" i="6" s="1"/>
  <c r="AG59" i="6" a="1"/>
  <c r="AG59" i="6" s="1"/>
  <c r="AH59" i="6" s="1"/>
  <c r="AG77" i="6" a="1"/>
  <c r="AG77" i="6" s="1"/>
  <c r="AH77" i="6" s="1"/>
  <c r="AG64" i="6" a="1"/>
  <c r="AG64" i="6" s="1"/>
  <c r="AH64" i="6" s="1"/>
  <c r="AG90" i="6" a="1"/>
  <c r="AG90" i="6" s="1"/>
  <c r="AH90" i="6" s="1"/>
  <c r="AG136" i="6" a="1"/>
  <c r="AG136" i="6" s="1"/>
  <c r="AH136" i="6" s="1"/>
  <c r="AG115" i="6" a="1"/>
  <c r="AG115" i="6" s="1"/>
  <c r="AH115" i="6" s="1"/>
  <c r="AG98" i="6" a="1"/>
  <c r="AG98" i="6" s="1"/>
  <c r="AH98" i="6" s="1"/>
  <c r="AG97" i="6" a="1"/>
  <c r="AG97" i="6" s="1"/>
  <c r="AH97" i="6" s="1"/>
  <c r="AG120" i="6" a="1"/>
  <c r="AG120" i="6" s="1"/>
  <c r="AH120" i="6" s="1"/>
  <c r="AG126" i="6" a="1"/>
  <c r="AG126" i="6" s="1"/>
  <c r="AH126" i="6" s="1"/>
  <c r="AG23" i="6" a="1"/>
  <c r="AG23" i="6" s="1"/>
  <c r="AH23" i="6" s="1"/>
  <c r="AG151" i="6" a="1"/>
  <c r="AG151" i="6" s="1"/>
  <c r="AH151" i="6" s="1"/>
  <c r="AG21" i="6" a="1"/>
  <c r="AG21" i="6" s="1"/>
  <c r="AH21" i="6" s="1"/>
  <c r="AG84" i="6" a="1"/>
  <c r="AG84" i="6" s="1"/>
  <c r="AH84" i="6" s="1"/>
  <c r="AG43" i="6" a="1"/>
  <c r="AG43" i="6" s="1"/>
  <c r="AH43" i="6" s="1"/>
  <c r="AG191" i="6" a="1"/>
  <c r="AG191" i="6" s="1"/>
  <c r="AH191" i="6" s="1"/>
  <c r="AG63" i="6" a="1"/>
  <c r="AG63" i="6" s="1"/>
  <c r="AH63" i="6" s="1"/>
  <c r="AG99" i="6" a="1"/>
  <c r="AG99" i="6" s="1"/>
  <c r="AH99" i="6" s="1"/>
  <c r="AG110" i="6" a="1"/>
  <c r="AG110" i="6" s="1"/>
  <c r="AH110" i="6" s="1"/>
  <c r="AG153" i="6" a="1"/>
  <c r="AG153" i="6" s="1"/>
  <c r="AH153" i="6" s="1"/>
  <c r="AG41" i="6" a="1"/>
  <c r="AG41" i="6" s="1"/>
  <c r="AH41" i="6" s="1"/>
  <c r="AG169" i="6" a="1"/>
  <c r="AG169" i="6" s="1"/>
  <c r="AH169" i="6" s="1"/>
  <c r="AG54" i="6" a="1"/>
  <c r="AG54" i="6" s="1"/>
  <c r="AH54" i="6" s="1"/>
  <c r="AG182" i="6" a="1"/>
  <c r="AG182" i="6" s="1"/>
  <c r="AH182" i="6" s="1"/>
  <c r="AG95" i="6" a="1"/>
  <c r="AG95" i="6" s="1"/>
  <c r="AH95" i="6" s="1"/>
  <c r="AG108" i="6" a="1"/>
  <c r="AG108" i="6" s="1"/>
  <c r="AH108" i="6" s="1"/>
  <c r="AG180" i="6" a="1"/>
  <c r="AG180" i="6" s="1"/>
  <c r="AH180" i="6" s="1"/>
  <c r="AG75" i="6" a="1"/>
  <c r="AG75" i="6" s="1"/>
  <c r="AH75" i="6" s="1"/>
  <c r="AG93" i="6" a="1"/>
  <c r="AG93" i="6" s="1"/>
  <c r="AH93" i="6" s="1"/>
  <c r="AG112" i="6" a="1"/>
  <c r="AG112" i="6" s="1"/>
  <c r="AH112" i="6" s="1"/>
  <c r="AG106" i="6" a="1"/>
  <c r="AG106" i="6" s="1"/>
  <c r="AH106" i="6" s="1"/>
  <c r="AG184" i="6" a="1"/>
  <c r="AG184" i="6" s="1"/>
  <c r="AH184" i="6" s="1"/>
  <c r="AG131" i="6" a="1"/>
  <c r="AG131" i="6" s="1"/>
  <c r="AH131" i="6" s="1"/>
  <c r="AG178" i="6" a="1"/>
  <c r="AG178" i="6" s="1"/>
  <c r="AH178" i="6" s="1"/>
  <c r="AG113" i="6" a="1"/>
  <c r="AG113" i="6" s="1"/>
  <c r="AH113" i="6" s="1"/>
  <c r="AG164" i="6" a="1"/>
  <c r="AG164" i="6" s="1"/>
  <c r="AH164" i="6" s="1"/>
  <c r="AG142" i="6" a="1"/>
  <c r="AG142" i="6" s="1"/>
  <c r="AH142" i="6" s="1"/>
  <c r="AG39" i="6" a="1"/>
  <c r="AG39" i="6" s="1"/>
  <c r="AH39" i="6" s="1"/>
  <c r="AG167" i="6" a="1"/>
  <c r="AG167" i="6" s="1"/>
  <c r="AH167" i="6" s="1"/>
  <c r="AG37" i="6" a="1"/>
  <c r="AG37" i="6" s="1"/>
  <c r="AH37" i="6" s="1"/>
  <c r="AG128" i="6" a="1"/>
  <c r="AG128" i="6" s="1"/>
  <c r="AH128" i="6" s="1"/>
  <c r="AG91" i="6" a="1"/>
  <c r="AG91" i="6" s="1"/>
  <c r="AH91" i="6" s="1"/>
  <c r="AG241" i="6" a="1"/>
  <c r="AG241" i="6" s="1"/>
  <c r="AH241" i="6" s="1"/>
  <c r="AG240" i="6" a="1"/>
  <c r="AG240" i="6" s="1"/>
  <c r="AH240" i="6" s="1"/>
  <c r="AG238" i="6" a="1"/>
  <c r="AG238" i="6" s="1"/>
  <c r="AH238" i="6" s="1"/>
  <c r="AG190" i="6" a="1"/>
  <c r="AG190" i="6" s="1"/>
  <c r="AH190" i="6" s="1"/>
  <c r="AG15" i="6" a="1"/>
  <c r="AG15" i="6" s="1"/>
  <c r="AH15" i="6" s="1"/>
  <c r="AG61" i="6" a="1"/>
  <c r="AG61" i="6" s="1"/>
  <c r="AH61" i="6" s="1"/>
  <c r="AG70" i="6" a="1"/>
  <c r="AG70" i="6" s="1"/>
  <c r="AH70" i="6" s="1"/>
  <c r="AG68" i="6" a="1"/>
  <c r="AG68" i="6" s="1"/>
  <c r="AH68" i="6" s="1"/>
  <c r="AG111" i="6" a="1"/>
  <c r="AG111" i="6" s="1"/>
  <c r="AH111" i="6" s="1"/>
  <c r="AG156" i="6" a="1"/>
  <c r="AG156" i="6" s="1"/>
  <c r="AH156" i="6" s="1"/>
  <c r="AG18" i="6" a="1"/>
  <c r="AG18" i="6" s="1"/>
  <c r="AH18" i="6" s="1"/>
  <c r="AG123" i="6" a="1"/>
  <c r="AG123" i="6" s="1"/>
  <c r="AH123" i="6" s="1"/>
  <c r="AG109" i="6" a="1"/>
  <c r="AG109" i="6" s="1"/>
  <c r="AH109" i="6" s="1"/>
  <c r="AG152" i="6" a="1"/>
  <c r="AG152" i="6" s="1"/>
  <c r="AH152" i="6" s="1"/>
  <c r="AG122" i="6" a="1"/>
  <c r="AG122" i="6" s="1"/>
  <c r="AH122" i="6" s="1"/>
  <c r="AG19" i="6" a="1"/>
  <c r="AG19" i="6" s="1"/>
  <c r="AH19" i="6" s="1"/>
  <c r="AG147" i="6" a="1"/>
  <c r="AG147" i="6" s="1"/>
  <c r="AH147" i="6" s="1"/>
  <c r="AG160" i="6" a="1"/>
  <c r="AG160" i="6" s="1"/>
  <c r="AH160" i="6" s="1"/>
  <c r="AG129" i="6" a="1"/>
  <c r="AG129" i="6" s="1"/>
  <c r="AH129" i="6" s="1"/>
  <c r="AG30" i="6" a="1"/>
  <c r="AG30" i="6" s="1"/>
  <c r="AH30" i="6" s="1"/>
  <c r="AG158" i="6" a="1"/>
  <c r="AG158" i="6" s="1"/>
  <c r="AH158" i="6" s="1"/>
  <c r="AG55" i="6" a="1"/>
  <c r="AG55" i="6" s="1"/>
  <c r="AH55" i="6" s="1"/>
  <c r="AG183" i="6" a="1"/>
  <c r="AG183" i="6" s="1"/>
  <c r="AH183" i="6" s="1"/>
  <c r="AG53" i="6" a="1"/>
  <c r="AG53" i="6" s="1"/>
  <c r="AH53" i="6" s="1"/>
  <c r="AG34" i="6" a="1"/>
  <c r="AG34" i="6" s="1"/>
  <c r="AH34" i="6" s="1"/>
  <c r="AG107" i="6" a="1"/>
  <c r="AG107" i="6" s="1"/>
  <c r="AH107" i="6" s="1"/>
  <c r="AG187" i="6" a="1"/>
  <c r="AG187" i="6" s="1"/>
  <c r="AH187" i="6" s="1"/>
  <c r="AG194" i="6" a="1"/>
  <c r="AG194" i="6" s="1"/>
  <c r="AH194" i="6" s="1"/>
  <c r="AG181" i="6" a="1"/>
  <c r="AG181" i="6" s="1"/>
  <c r="AH181" i="6" s="1"/>
  <c r="AG73" i="6" a="1"/>
  <c r="AG73" i="6" s="1"/>
  <c r="AH73" i="6" s="1"/>
  <c r="AG124" i="6" a="1"/>
  <c r="AG124" i="6" s="1"/>
  <c r="AH124" i="6" s="1"/>
  <c r="AG72" i="6" a="1"/>
  <c r="AG72" i="6" s="1"/>
  <c r="AH72" i="6" s="1"/>
  <c r="AG82" i="6" a="1"/>
  <c r="AG82" i="6" s="1"/>
  <c r="AH82" i="6" s="1"/>
  <c r="AG139" i="6" a="1"/>
  <c r="AG139" i="6" s="1"/>
  <c r="AH139" i="6" s="1"/>
  <c r="AG125" i="6" a="1"/>
  <c r="AG125" i="6" s="1"/>
  <c r="AH125" i="6" s="1"/>
  <c r="AG12" i="6" a="1"/>
  <c r="AG12" i="6" s="1"/>
  <c r="AH12" i="6" s="1"/>
  <c r="AG138" i="6" a="1"/>
  <c r="AG138" i="6" s="1"/>
  <c r="AH138" i="6" s="1"/>
  <c r="AG35" i="6" a="1"/>
  <c r="AG35" i="6" s="1"/>
  <c r="AH35" i="6" s="1"/>
  <c r="AG163" i="6" a="1"/>
  <c r="AG163" i="6" s="1"/>
  <c r="AH163" i="6" s="1"/>
  <c r="AG17" i="6" a="1"/>
  <c r="AG17" i="6" s="1"/>
  <c r="AH17" i="6" s="1"/>
  <c r="AG145" i="6" a="1"/>
  <c r="AG145" i="6" s="1"/>
  <c r="AH145" i="6" s="1"/>
  <c r="AG46" i="6" a="1"/>
  <c r="AG46" i="6" s="1"/>
  <c r="AH46" i="6" s="1"/>
  <c r="AG174" i="6" a="1"/>
  <c r="AG174" i="6" s="1"/>
  <c r="AH174" i="6" s="1"/>
  <c r="AG71" i="6" a="1"/>
  <c r="AG71" i="6" s="1"/>
  <c r="AH71" i="6" s="1"/>
  <c r="AG40" i="6" a="1"/>
  <c r="AG40" i="6" s="1"/>
  <c r="AH40" i="6" s="1"/>
  <c r="AG69" i="6" a="1"/>
  <c r="AG69" i="6" s="1"/>
  <c r="AH69" i="6" s="1"/>
  <c r="AG66" i="6" a="1"/>
  <c r="AG66" i="6" s="1"/>
  <c r="AH66" i="6" s="1"/>
  <c r="AG155" i="6" a="1"/>
  <c r="AG155" i="6" s="1"/>
  <c r="AH155" i="6" s="1"/>
  <c r="AG186" i="6" a="1"/>
  <c r="AG186" i="6" s="1"/>
  <c r="AH186" i="6" s="1"/>
  <c r="AG242" i="6" a="1"/>
  <c r="AG242" i="6" s="1"/>
  <c r="AH242" i="6" s="1"/>
  <c r="AG16" i="6" a="1"/>
  <c r="AG16" i="6" s="1"/>
  <c r="AH16" i="6" s="1"/>
  <c r="AG11" i="6" a="1"/>
  <c r="AG11" i="6" s="1"/>
  <c r="AH11" i="6" s="1"/>
  <c r="AG150" i="6" a="1"/>
  <c r="AG150" i="6" s="1"/>
  <c r="AH150" i="6" s="1"/>
  <c r="AG57" i="6" a="1"/>
  <c r="AG57" i="6" s="1"/>
  <c r="AH57" i="6" s="1"/>
  <c r="AG127" i="6" a="1"/>
  <c r="AG127" i="6" s="1"/>
  <c r="AH127" i="6" s="1"/>
  <c r="AG89" i="6" a="1"/>
  <c r="AG89" i="6" s="1"/>
  <c r="AH89" i="6" s="1"/>
  <c r="AG96" i="6" a="1"/>
  <c r="AG96" i="6" s="1"/>
  <c r="AH96" i="6" s="1"/>
  <c r="AG102" i="6" a="1"/>
  <c r="AG102" i="6" s="1"/>
  <c r="AH102" i="6" s="1"/>
  <c r="AG172" i="6" a="1"/>
  <c r="AG172" i="6" s="1"/>
  <c r="AH172" i="6" s="1"/>
  <c r="AG143" i="6" a="1"/>
  <c r="AG143" i="6" s="1"/>
  <c r="AH143" i="6" s="1"/>
  <c r="AG168" i="6" a="1"/>
  <c r="AG168" i="6" s="1"/>
  <c r="AH168" i="6" s="1"/>
  <c r="AG130" i="6" a="1"/>
  <c r="AG130" i="6" s="1"/>
  <c r="AH130" i="6" s="1"/>
  <c r="AG48" i="6" a="1"/>
  <c r="AG48" i="6" s="1"/>
  <c r="AH48" i="6" s="1"/>
  <c r="AG141" i="6" a="1"/>
  <c r="AG141" i="6" s="1"/>
  <c r="AH141" i="6" s="1"/>
  <c r="AG26" i="6" a="1"/>
  <c r="AG26" i="6" s="1"/>
  <c r="AH26" i="6" s="1"/>
  <c r="AG154" i="6" a="1"/>
  <c r="AG154" i="6" s="1"/>
  <c r="AH154" i="6" s="1"/>
  <c r="AG51" i="6" a="1"/>
  <c r="AG51" i="6" s="1"/>
  <c r="AH51" i="6" s="1"/>
  <c r="AG179" i="6" a="1"/>
  <c r="AG179" i="6" s="1"/>
  <c r="AH179" i="6" s="1"/>
  <c r="AG33" i="6" a="1"/>
  <c r="AG33" i="6" s="1"/>
  <c r="AH33" i="6" s="1"/>
  <c r="AG161" i="6" a="1"/>
  <c r="AG161" i="6" s="1"/>
  <c r="AH161" i="6" s="1"/>
  <c r="AG62" i="6" a="1"/>
  <c r="AG62" i="6" s="1"/>
  <c r="AH62" i="6" s="1"/>
  <c r="AG36" i="6" a="1"/>
  <c r="AG36" i="6" s="1"/>
  <c r="AH36" i="6" s="1"/>
  <c r="AG87" i="6" a="1"/>
  <c r="AG87" i="6" s="1"/>
  <c r="AH87" i="6" s="1"/>
  <c r="AG88" i="6" a="1"/>
  <c r="AG88" i="6" s="1"/>
  <c r="AH88" i="6" s="1"/>
  <c r="AG85" i="6" a="1"/>
  <c r="AG85" i="6" s="1"/>
  <c r="AH85" i="6" s="1"/>
  <c r="AG114" i="6" a="1"/>
  <c r="AG114" i="6" s="1"/>
  <c r="AH114" i="6" s="1"/>
  <c r="AG171" i="6" a="1"/>
  <c r="AG171" i="6" s="1"/>
  <c r="AH171" i="6" s="1"/>
  <c r="AG236" i="6" a="1"/>
  <c r="AG236" i="6" s="1"/>
  <c r="AH236" i="6" s="1"/>
  <c r="AG235" i="6" a="1"/>
  <c r="AG235" i="6" s="1"/>
  <c r="AH235" i="6" s="1"/>
  <c r="AG192" i="6" a="1"/>
  <c r="AG192" i="6" s="1"/>
  <c r="AH192" i="6" s="1"/>
  <c r="AG188" i="6" a="1"/>
  <c r="AG188" i="6" s="1"/>
  <c r="AH188" i="6" s="1"/>
  <c r="G236" i="6" a="1"/>
  <c r="G236" i="6" s="1"/>
  <c r="J236" i="6" a="1"/>
  <c r="J236" i="6" s="1"/>
  <c r="K236" i="6" a="1"/>
  <c r="K236" i="6" s="1"/>
  <c r="I236" i="6" a="1"/>
  <c r="I236" i="6" s="1"/>
  <c r="H236" i="6" a="1"/>
  <c r="H236" i="6" s="1"/>
  <c r="G238" i="6" a="1"/>
  <c r="G238" i="6" s="1"/>
  <c r="J238" i="6" a="1"/>
  <c r="J238" i="6" s="1"/>
  <c r="K238" i="6" a="1"/>
  <c r="K238" i="6" s="1"/>
  <c r="I238" i="6" a="1"/>
  <c r="I238" i="6" s="1"/>
  <c r="H238" i="6" a="1"/>
  <c r="H238" i="6" s="1"/>
  <c r="AB193" i="6"/>
  <c r="AG7" i="6" a="1"/>
  <c r="AG7" i="6" s="1"/>
  <c r="AH7" i="6" s="1"/>
  <c r="AB15" i="6"/>
  <c r="L190" i="6"/>
  <c r="AD194" i="6"/>
  <c r="AB16" i="6"/>
  <c r="AD235" i="6"/>
  <c r="AD188" i="6"/>
  <c r="L192" i="6"/>
  <c r="F16" i="6"/>
  <c r="AY201" i="6"/>
  <c r="AY244" i="6"/>
  <c r="F15" i="6"/>
  <c r="AY206" i="6"/>
  <c r="AY246" i="6"/>
  <c r="AY245" i="6"/>
  <c r="AI245" i="6"/>
  <c r="AZ245" i="6" s="1"/>
  <c r="AI246" i="6"/>
  <c r="AZ246" i="6" s="1"/>
  <c r="AI244" i="6"/>
  <c r="AZ244" i="6" s="1"/>
  <c r="AB188" i="6"/>
  <c r="AY198" i="6"/>
  <c r="AI198" i="6"/>
  <c r="AZ198" i="6" s="1"/>
  <c r="AI199" i="6"/>
  <c r="BA199" i="6" s="1"/>
  <c r="AY199" i="6"/>
  <c r="AY216" i="6"/>
  <c r="AI200" i="6"/>
  <c r="BA200" i="6" s="1"/>
  <c r="AY200" i="6"/>
  <c r="AY228" i="6"/>
  <c r="AI197" i="6"/>
  <c r="BA197" i="6" s="1"/>
  <c r="AI201" i="6"/>
  <c r="AY195" i="6"/>
  <c r="AI211" i="6"/>
  <c r="AZ211" i="6" s="1"/>
  <c r="AI207" i="6"/>
  <c r="BA207" i="6" s="1"/>
  <c r="AI202" i="6"/>
  <c r="BA202" i="6" s="1"/>
  <c r="AI196" i="6"/>
  <c r="BA196" i="6" s="1"/>
  <c r="AI205" i="6"/>
  <c r="AZ205" i="6" s="1"/>
  <c r="AY234" i="6"/>
  <c r="AY204" i="6"/>
  <c r="AY207" i="6"/>
  <c r="AY202" i="6"/>
  <c r="AY203" i="6"/>
  <c r="AI204" i="6"/>
  <c r="BA204" i="6" s="1"/>
  <c r="AY205" i="6"/>
  <c r="AY197" i="6"/>
  <c r="AI206" i="6"/>
  <c r="AZ206" i="6" s="1"/>
  <c r="AY196" i="6"/>
  <c r="AI203" i="6"/>
  <c r="BA203" i="6" s="1"/>
  <c r="AI195" i="6"/>
  <c r="AZ195" i="6" s="1"/>
  <c r="AY211" i="6"/>
  <c r="AI214" i="6"/>
  <c r="BA214" i="6" s="1"/>
  <c r="AY232" i="6"/>
  <c r="AY209" i="6"/>
  <c r="AY212" i="6"/>
  <c r="AI219" i="6"/>
  <c r="AZ219" i="6" s="1"/>
  <c r="AI212" i="6"/>
  <c r="BA212" i="6" s="1"/>
  <c r="AI215" i="6"/>
  <c r="BA215" i="6" s="1"/>
  <c r="AI210" i="6"/>
  <c r="AZ210" i="6" s="1"/>
  <c r="AI216" i="6"/>
  <c r="AZ216" i="6" s="1"/>
  <c r="AY215" i="6"/>
  <c r="AY214" i="6"/>
  <c r="AY210" i="6"/>
  <c r="AI209" i="6"/>
  <c r="AZ209" i="6" s="1"/>
  <c r="AY208" i="6"/>
  <c r="AY213" i="6"/>
  <c r="AI208" i="6"/>
  <c r="BA208" i="6" s="1"/>
  <c r="AI213" i="6"/>
  <c r="BA213" i="6" s="1"/>
  <c r="AY223" i="6"/>
  <c r="AY219" i="6"/>
  <c r="AY224" i="6"/>
  <c r="AY221" i="6"/>
  <c r="AI225" i="6"/>
  <c r="AZ225" i="6" s="1"/>
  <c r="AY225" i="6"/>
  <c r="AY222" i="6"/>
  <c r="AY220" i="6"/>
  <c r="AI218" i="6"/>
  <c r="BA218" i="6" s="1"/>
  <c r="AY218" i="6"/>
  <c r="AY217" i="6"/>
  <c r="AI229" i="6"/>
  <c r="AZ229" i="6" s="1"/>
  <c r="AI220" i="6"/>
  <c r="AZ220" i="6" s="1"/>
  <c r="AI217" i="6"/>
  <c r="BA217" i="6" s="1"/>
  <c r="AI221" i="6"/>
  <c r="BA221" i="6" s="1"/>
  <c r="AI224" i="6"/>
  <c r="BA224" i="6" s="1"/>
  <c r="AI222" i="6"/>
  <c r="AZ222" i="6" s="1"/>
  <c r="AI223" i="6"/>
  <c r="BA223" i="6" s="1"/>
  <c r="AI231" i="6"/>
  <c r="AZ231" i="6" s="1"/>
  <c r="AY227" i="6"/>
  <c r="AI228" i="6"/>
  <c r="AZ228" i="6" s="1"/>
  <c r="AI226" i="6"/>
  <c r="BA226" i="6" s="1"/>
  <c r="AI227" i="6"/>
  <c r="AZ227" i="6" s="1"/>
  <c r="AY229" i="6"/>
  <c r="AY231" i="6"/>
  <c r="AI232" i="6"/>
  <c r="AZ232" i="6" s="1"/>
  <c r="AI233" i="6"/>
  <c r="AZ233" i="6" s="1"/>
  <c r="AY226" i="6"/>
  <c r="AY233" i="6"/>
  <c r="AY230" i="6"/>
  <c r="AI234" i="6"/>
  <c r="AZ234" i="6" s="1"/>
  <c r="AI230" i="6"/>
  <c r="BA230" i="6" s="1"/>
  <c r="AB190" i="6"/>
  <c r="AD190" i="6"/>
  <c r="L191" i="6"/>
  <c r="BE191" i="6"/>
  <c r="F194" i="6"/>
  <c r="AB194" i="6"/>
  <c r="AD189" i="6"/>
  <c r="AB189" i="6"/>
  <c r="BE190" i="6"/>
  <c r="AB192" i="6"/>
  <c r="AD192" i="6"/>
  <c r="AD191" i="6"/>
  <c r="AB191" i="6"/>
  <c r="AD193" i="6"/>
  <c r="L189" i="6"/>
  <c r="BE189" i="6"/>
  <c r="BE192" i="6"/>
  <c r="F188" i="6"/>
  <c r="L193" i="6"/>
  <c r="BE193" i="6"/>
  <c r="F235" i="6"/>
  <c r="AB235" i="6"/>
  <c r="F121" i="6"/>
  <c r="F70" i="6"/>
  <c r="F68" i="6"/>
  <c r="F95" i="6"/>
  <c r="F117" i="6"/>
  <c r="F75" i="6"/>
  <c r="F61" i="6"/>
  <c r="F20" i="6"/>
  <c r="F138" i="6"/>
  <c r="F35" i="6"/>
  <c r="F50" i="6"/>
  <c r="F81" i="6"/>
  <c r="F76" i="6"/>
  <c r="F158" i="6"/>
  <c r="F55" i="6"/>
  <c r="F183" i="6"/>
  <c r="F53" i="6"/>
  <c r="F104" i="6"/>
  <c r="F11" i="6"/>
  <c r="F73" i="6"/>
  <c r="F137" i="6"/>
  <c r="F52" i="6"/>
  <c r="F22" i="6"/>
  <c r="F86" i="6"/>
  <c r="F150" i="6"/>
  <c r="F124" i="6"/>
  <c r="F47" i="6"/>
  <c r="F111" i="6"/>
  <c r="F175" i="6"/>
  <c r="F156" i="6"/>
  <c r="F149" i="6"/>
  <c r="F18" i="6"/>
  <c r="F56" i="6"/>
  <c r="F123" i="6"/>
  <c r="F77" i="6"/>
  <c r="F141" i="6"/>
  <c r="F64" i="6"/>
  <c r="F26" i="6"/>
  <c r="F90" i="6"/>
  <c r="F154" i="6"/>
  <c r="F136" i="6"/>
  <c r="F51" i="6"/>
  <c r="F115" i="6"/>
  <c r="F179" i="6"/>
  <c r="F98" i="6"/>
  <c r="F33" i="6"/>
  <c r="F97" i="6"/>
  <c r="F161" i="6"/>
  <c r="F120" i="6"/>
  <c r="F46" i="6"/>
  <c r="F110" i="6"/>
  <c r="F174" i="6"/>
  <c r="F9" i="6"/>
  <c r="F71" i="6"/>
  <c r="F135" i="6"/>
  <c r="F40" i="6"/>
  <c r="F69" i="6"/>
  <c r="F165" i="6"/>
  <c r="F66" i="6"/>
  <c r="F27" i="6"/>
  <c r="F155" i="6"/>
  <c r="F185" i="6"/>
  <c r="F186" i="6"/>
  <c r="AD243" i="6"/>
  <c r="F240" i="6"/>
  <c r="F8" i="6"/>
  <c r="F108" i="6"/>
  <c r="F125" i="6"/>
  <c r="F74" i="6"/>
  <c r="F163" i="6"/>
  <c r="F94" i="6"/>
  <c r="F89" i="6"/>
  <c r="F96" i="6"/>
  <c r="F166" i="6"/>
  <c r="F24" i="6"/>
  <c r="F13" i="6"/>
  <c r="F93" i="6"/>
  <c r="F42" i="6"/>
  <c r="F170" i="6"/>
  <c r="F131" i="6"/>
  <c r="F49" i="6"/>
  <c r="F62" i="6"/>
  <c r="F23" i="6"/>
  <c r="F21" i="6"/>
  <c r="F114" i="6"/>
  <c r="F171" i="6"/>
  <c r="F57" i="6"/>
  <c r="F10" i="6"/>
  <c r="F134" i="6"/>
  <c r="F31" i="6"/>
  <c r="F159" i="6"/>
  <c r="F180" i="6"/>
  <c r="F162" i="6"/>
  <c r="F48" i="6"/>
  <c r="F12" i="6"/>
  <c r="F80" i="6"/>
  <c r="F99" i="6"/>
  <c r="F17" i="6"/>
  <c r="F145" i="6"/>
  <c r="F30" i="6"/>
  <c r="F148" i="6"/>
  <c r="F119" i="6"/>
  <c r="F176" i="6"/>
  <c r="F133" i="6"/>
  <c r="F34" i="6"/>
  <c r="F107" i="6"/>
  <c r="F140" i="6"/>
  <c r="F25" i="6"/>
  <c r="F153" i="6"/>
  <c r="F38" i="6"/>
  <c r="F102" i="6"/>
  <c r="F172" i="6"/>
  <c r="F63" i="6"/>
  <c r="F127" i="6"/>
  <c r="F72" i="6"/>
  <c r="F181" i="6"/>
  <c r="F82" i="6"/>
  <c r="F139" i="6"/>
  <c r="F29" i="6"/>
  <c r="F157" i="6"/>
  <c r="F112" i="6"/>
  <c r="F106" i="6"/>
  <c r="F184" i="6"/>
  <c r="F67" i="6"/>
  <c r="F28" i="6"/>
  <c r="F178" i="6"/>
  <c r="F113" i="6"/>
  <c r="F177" i="6"/>
  <c r="F164" i="6"/>
  <c r="F126" i="6"/>
  <c r="F36" i="6"/>
  <c r="F87" i="6"/>
  <c r="F151" i="6"/>
  <c r="F88" i="6"/>
  <c r="F85" i="6"/>
  <c r="F84" i="6"/>
  <c r="F43" i="6"/>
  <c r="AD187" i="6"/>
  <c r="F41" i="6"/>
  <c r="F105" i="6"/>
  <c r="F169" i="6"/>
  <c r="F144" i="6"/>
  <c r="F54" i="6"/>
  <c r="F118" i="6"/>
  <c r="F182" i="6"/>
  <c r="F79" i="6"/>
  <c r="F143" i="6"/>
  <c r="F60" i="6"/>
  <c r="F168" i="6"/>
  <c r="F44" i="6"/>
  <c r="F130" i="6"/>
  <c r="F59" i="6"/>
  <c r="F45" i="6"/>
  <c r="F109" i="6"/>
  <c r="F173" i="6"/>
  <c r="F152" i="6"/>
  <c r="F58" i="6"/>
  <c r="F122" i="6"/>
  <c r="F14" i="6"/>
  <c r="F19" i="6"/>
  <c r="F83" i="6"/>
  <c r="F147" i="6"/>
  <c r="F116" i="6"/>
  <c r="F160" i="6"/>
  <c r="F65" i="6"/>
  <c r="F129" i="6"/>
  <c r="F32" i="6"/>
  <c r="F78" i="6"/>
  <c r="F142" i="6"/>
  <c r="F92" i="6"/>
  <c r="F39" i="6"/>
  <c r="F103" i="6"/>
  <c r="F167" i="6"/>
  <c r="F132" i="6"/>
  <c r="F37" i="6"/>
  <c r="F101" i="6"/>
  <c r="F128" i="6"/>
  <c r="F146" i="6"/>
  <c r="F91" i="6"/>
  <c r="F100" i="6"/>
  <c r="AD241" i="6"/>
  <c r="F239" i="6"/>
  <c r="AD242" i="6"/>
  <c r="AA236" i="6"/>
  <c r="BE236" i="6" s="1"/>
  <c r="AB187" i="6"/>
  <c r="AB237" i="6"/>
  <c r="AD237" i="6"/>
  <c r="AB238" i="6"/>
  <c r="AD238" i="6"/>
  <c r="AA238" i="6" s="1"/>
  <c r="P238" i="6" s="1" a="1"/>
  <c r="P238" i="6" s="1"/>
  <c r="AB236" i="6"/>
  <c r="AD236" i="6"/>
  <c r="F187" i="6"/>
  <c r="F237" i="6"/>
  <c r="F7" i="6"/>
  <c r="F241" i="6"/>
  <c r="AB241" i="6"/>
  <c r="AD239" i="6"/>
  <c r="AD185" i="6"/>
  <c r="AB185" i="6"/>
  <c r="AB186" i="6"/>
  <c r="AD186" i="6"/>
  <c r="F243" i="6"/>
  <c r="AB243" i="6"/>
  <c r="AD240" i="6"/>
  <c r="AB240" i="6"/>
  <c r="F242" i="6"/>
  <c r="AB242" i="6"/>
  <c r="AB239" i="6"/>
  <c r="AD8" i="6"/>
  <c r="AD7" i="6"/>
  <c r="AD10" i="6"/>
  <c r="AB161" i="6"/>
  <c r="AB174" i="6"/>
  <c r="AB169" i="6"/>
  <c r="AB177" i="6"/>
  <c r="AB171" i="6"/>
  <c r="AB184" i="6"/>
  <c r="AB183" i="6"/>
  <c r="AB179" i="6"/>
  <c r="AB170" i="6"/>
  <c r="AB164" i="6"/>
  <c r="AB173" i="6"/>
  <c r="AB167" i="6"/>
  <c r="AB181" i="6"/>
  <c r="AB180" i="6"/>
  <c r="AB175" i="6"/>
  <c r="AB166" i="6"/>
  <c r="AB102" i="6"/>
  <c r="AD102" i="6"/>
  <c r="AB64" i="6"/>
  <c r="AD64" i="6"/>
  <c r="AB17" i="6"/>
  <c r="AD17" i="6"/>
  <c r="AB11" i="6"/>
  <c r="AD11" i="6"/>
  <c r="AB106" i="6"/>
  <c r="AD106" i="6"/>
  <c r="AB68" i="6"/>
  <c r="AD68" i="6"/>
  <c r="AB49" i="6"/>
  <c r="AD49" i="6"/>
  <c r="AB149" i="6"/>
  <c r="AD149" i="6"/>
  <c r="AB110" i="6"/>
  <c r="AD110" i="6"/>
  <c r="AB143" i="6"/>
  <c r="AD143" i="6"/>
  <c r="AB133" i="6"/>
  <c r="AD133" i="6"/>
  <c r="AB131" i="6"/>
  <c r="AD131" i="6"/>
  <c r="AB27" i="6"/>
  <c r="AD27" i="6"/>
  <c r="AB141" i="6"/>
  <c r="AD141" i="6"/>
  <c r="AB9" i="6"/>
  <c r="AD9" i="6"/>
  <c r="AB132" i="6"/>
  <c r="AD132" i="6"/>
  <c r="AB18" i="6"/>
  <c r="AD18" i="6"/>
  <c r="AB77" i="6"/>
  <c r="AD77" i="6"/>
  <c r="AB46" i="6"/>
  <c r="AD46" i="6"/>
  <c r="AB104" i="6"/>
  <c r="AD104" i="6"/>
  <c r="AB21" i="6"/>
  <c r="AD21" i="6"/>
  <c r="AB85" i="6"/>
  <c r="AD85" i="6"/>
  <c r="AB139" i="6"/>
  <c r="AD139" i="6"/>
  <c r="AB54" i="6"/>
  <c r="AD54" i="6"/>
  <c r="AB118" i="6"/>
  <c r="AD118" i="6"/>
  <c r="AB19" i="6"/>
  <c r="AD19" i="6"/>
  <c r="AB83" i="6"/>
  <c r="AD83" i="6"/>
  <c r="AB14" i="6"/>
  <c r="AD14" i="6"/>
  <c r="AB80" i="6"/>
  <c r="AD80" i="6"/>
  <c r="AB144" i="6"/>
  <c r="AD144" i="6"/>
  <c r="AB75" i="6"/>
  <c r="AD75" i="6"/>
  <c r="AB72" i="6"/>
  <c r="AD72" i="6"/>
  <c r="AB65" i="6"/>
  <c r="AD65" i="6"/>
  <c r="AB66" i="6"/>
  <c r="AD66" i="6"/>
  <c r="AB63" i="6"/>
  <c r="AD63" i="6"/>
  <c r="AB92" i="6"/>
  <c r="AD92" i="6"/>
  <c r="AB25" i="6"/>
  <c r="AD25" i="6"/>
  <c r="AB89" i="6"/>
  <c r="AD89" i="6"/>
  <c r="AB147" i="6"/>
  <c r="AD147" i="6"/>
  <c r="AB58" i="6"/>
  <c r="AD58" i="6"/>
  <c r="AB122" i="6"/>
  <c r="AD122" i="6"/>
  <c r="AB23" i="6"/>
  <c r="AD23" i="6"/>
  <c r="AB87" i="6"/>
  <c r="AD87" i="6"/>
  <c r="AB20" i="6"/>
  <c r="AD20" i="6"/>
  <c r="AB84" i="6"/>
  <c r="AD84" i="6"/>
  <c r="AB148" i="6"/>
  <c r="AD148" i="6"/>
  <c r="AB59" i="6"/>
  <c r="AD59" i="6"/>
  <c r="AB88" i="6"/>
  <c r="AD88" i="6"/>
  <c r="AB81" i="6"/>
  <c r="AD81" i="6"/>
  <c r="AB50" i="6"/>
  <c r="AD50" i="6"/>
  <c r="AB47" i="6"/>
  <c r="AD47" i="6"/>
  <c r="AB76" i="6"/>
  <c r="AD76" i="6"/>
  <c r="AB29" i="6"/>
  <c r="AD29" i="6"/>
  <c r="AB93" i="6"/>
  <c r="AD93" i="6"/>
  <c r="AB151" i="6"/>
  <c r="AD151" i="6"/>
  <c r="AB62" i="6"/>
  <c r="AD62" i="6"/>
  <c r="AB126" i="6"/>
  <c r="AD126" i="6"/>
  <c r="AB33" i="6"/>
  <c r="AD33" i="6"/>
  <c r="AB111" i="6"/>
  <c r="AD111" i="6"/>
  <c r="AB69" i="6"/>
  <c r="AD69" i="6"/>
  <c r="AB155" i="6"/>
  <c r="AD155" i="6"/>
  <c r="AB128" i="6"/>
  <c r="AD128" i="6"/>
  <c r="AB34" i="6"/>
  <c r="AD34" i="6"/>
  <c r="AB73" i="6"/>
  <c r="AD73" i="6"/>
  <c r="AB71" i="6"/>
  <c r="AD71" i="6"/>
  <c r="AB13" i="6"/>
  <c r="AD13" i="6"/>
  <c r="AB31" i="6"/>
  <c r="AD31" i="6"/>
  <c r="AB37" i="6"/>
  <c r="AD37" i="6"/>
  <c r="AB101" i="6"/>
  <c r="AD101" i="6"/>
  <c r="AB70" i="6"/>
  <c r="AD70" i="6"/>
  <c r="AB35" i="6"/>
  <c r="AD35" i="6"/>
  <c r="AB32" i="6"/>
  <c r="AD32" i="6"/>
  <c r="AB160" i="6"/>
  <c r="AD160" i="6"/>
  <c r="AB136" i="6"/>
  <c r="AD136" i="6"/>
  <c r="AB97" i="6"/>
  <c r="AD97" i="6"/>
  <c r="AB98" i="6"/>
  <c r="AD98" i="6"/>
  <c r="AB79" i="6"/>
  <c r="AD79" i="6"/>
  <c r="AB124" i="6"/>
  <c r="AD124" i="6"/>
  <c r="AB41" i="6"/>
  <c r="AD41" i="6"/>
  <c r="AB105" i="6"/>
  <c r="AD105" i="6"/>
  <c r="AB12" i="6"/>
  <c r="AD12" i="6"/>
  <c r="AB74" i="6"/>
  <c r="AD74" i="6"/>
  <c r="AB138" i="6"/>
  <c r="AD138" i="6"/>
  <c r="AB39" i="6"/>
  <c r="AD39" i="6"/>
  <c r="AB103" i="6"/>
  <c r="AD103" i="6"/>
  <c r="AB36" i="6"/>
  <c r="AD36" i="6"/>
  <c r="AB100" i="6"/>
  <c r="AD100" i="6"/>
  <c r="AB137" i="6"/>
  <c r="AD137" i="6"/>
  <c r="AB107" i="6"/>
  <c r="AD107" i="6"/>
  <c r="AB120" i="6"/>
  <c r="AD120" i="6"/>
  <c r="AB113" i="6"/>
  <c r="AD113" i="6"/>
  <c r="AB114" i="6"/>
  <c r="AD114" i="6"/>
  <c r="AB95" i="6"/>
  <c r="AD95" i="6"/>
  <c r="AB108" i="6"/>
  <c r="AD108" i="6"/>
  <c r="AB45" i="6"/>
  <c r="AD45" i="6"/>
  <c r="AB109" i="6"/>
  <c r="AD109" i="6"/>
  <c r="AB78" i="6"/>
  <c r="AD78" i="6"/>
  <c r="AB43" i="6"/>
  <c r="AD43" i="6"/>
  <c r="AB129" i="6"/>
  <c r="AD129" i="6"/>
  <c r="AB60" i="6"/>
  <c r="AD60" i="6"/>
  <c r="AB38" i="6"/>
  <c r="AD38" i="6"/>
  <c r="AB67" i="6"/>
  <c r="AD67" i="6"/>
  <c r="AB56" i="6"/>
  <c r="AD56" i="6"/>
  <c r="AB28" i="6"/>
  <c r="AD28" i="6"/>
  <c r="AB42" i="6"/>
  <c r="AD42" i="6"/>
  <c r="AB135" i="6"/>
  <c r="AD135" i="6"/>
  <c r="AB40" i="6"/>
  <c r="AD40" i="6"/>
  <c r="AB44" i="6"/>
  <c r="AD44" i="6"/>
  <c r="AB134" i="6"/>
  <c r="AD134" i="6"/>
  <c r="AB99" i="6"/>
  <c r="AD99" i="6"/>
  <c r="AB96" i="6"/>
  <c r="AD96" i="6"/>
  <c r="AB91" i="6"/>
  <c r="AD91" i="6"/>
  <c r="AB53" i="6"/>
  <c r="AD53" i="6"/>
  <c r="AB117" i="6"/>
  <c r="AD117" i="6"/>
  <c r="AB22" i="6"/>
  <c r="AD22" i="6"/>
  <c r="AB86" i="6"/>
  <c r="AD86" i="6"/>
  <c r="AB150" i="6"/>
  <c r="AD150" i="6"/>
  <c r="AB51" i="6"/>
  <c r="AD51" i="6"/>
  <c r="AB115" i="6"/>
  <c r="AD115" i="6"/>
  <c r="AB48" i="6"/>
  <c r="AD48" i="6"/>
  <c r="AB112" i="6"/>
  <c r="AD112" i="6"/>
  <c r="AB158" i="6"/>
  <c r="AD158" i="6"/>
  <c r="AB24" i="6"/>
  <c r="AD24" i="6"/>
  <c r="AB152" i="6"/>
  <c r="AD152" i="6"/>
  <c r="AB159" i="6"/>
  <c r="AD159" i="6"/>
  <c r="AB146" i="6"/>
  <c r="AD146" i="6"/>
  <c r="AB156" i="6"/>
  <c r="AD156" i="6"/>
  <c r="AB57" i="6"/>
  <c r="AD57" i="6"/>
  <c r="AB121" i="6"/>
  <c r="AD121" i="6"/>
  <c r="AB26" i="6"/>
  <c r="AD26" i="6"/>
  <c r="AB90" i="6"/>
  <c r="AD90" i="6"/>
  <c r="AB154" i="6"/>
  <c r="AD154" i="6"/>
  <c r="AB55" i="6"/>
  <c r="AD55" i="6"/>
  <c r="AB119" i="6"/>
  <c r="AD119" i="6"/>
  <c r="AB52" i="6"/>
  <c r="AD52" i="6"/>
  <c r="AB116" i="6"/>
  <c r="AD116" i="6"/>
  <c r="AB142" i="6"/>
  <c r="AD142" i="6"/>
  <c r="AB145" i="6"/>
  <c r="AD145" i="6"/>
  <c r="AB157" i="6"/>
  <c r="AD157" i="6"/>
  <c r="AB130" i="6"/>
  <c r="AD130" i="6"/>
  <c r="AB127" i="6"/>
  <c r="AD127" i="6"/>
  <c r="AB140" i="6"/>
  <c r="AD140" i="6"/>
  <c r="AB61" i="6"/>
  <c r="AD61" i="6"/>
  <c r="AB125" i="6"/>
  <c r="AD125" i="6"/>
  <c r="AB30" i="6"/>
  <c r="AD30" i="6"/>
  <c r="AB94" i="6"/>
  <c r="AD94" i="6"/>
  <c r="AB123" i="6"/>
  <c r="AD123" i="6"/>
  <c r="AB82" i="6"/>
  <c r="AD82" i="6"/>
  <c r="AB153" i="6"/>
  <c r="AD153" i="6"/>
  <c r="AD163" i="6"/>
  <c r="AD161" i="6"/>
  <c r="AD167" i="6"/>
  <c r="AD165" i="6"/>
  <c r="AD164" i="6"/>
  <c r="AD178" i="6"/>
  <c r="AD184" i="6"/>
  <c r="AD172" i="6"/>
  <c r="AD176" i="6"/>
  <c r="AD162" i="6"/>
  <c r="AD168" i="6"/>
  <c r="AD182" i="6"/>
  <c r="AB172" i="6"/>
  <c r="AD170" i="6"/>
  <c r="AB176" i="6"/>
  <c r="AB165" i="6"/>
  <c r="AD174" i="6"/>
  <c r="AD171" i="6"/>
  <c r="AD169" i="6"/>
  <c r="AB178" i="6"/>
  <c r="AB168" i="6"/>
  <c r="AD166" i="6"/>
  <c r="AB163" i="6"/>
  <c r="AD179" i="6"/>
  <c r="AD177" i="6"/>
  <c r="AD183" i="6"/>
  <c r="AD181" i="6"/>
  <c r="AD180" i="6"/>
  <c r="AB162" i="6"/>
  <c r="AD175" i="6"/>
  <c r="AD173" i="6"/>
  <c r="AB182" i="6"/>
  <c r="AB7" i="6"/>
  <c r="AB8" i="6"/>
  <c r="AB10" i="6"/>
  <c r="J4" i="20"/>
  <c r="J4" i="11"/>
  <c r="J32" i="11" s="1" a="1"/>
  <c r="J32" i="11" s="1"/>
  <c r="AT176" i="6" l="1" a="1"/>
  <c r="AT176" i="6" s="1"/>
  <c r="AW176" i="6" a="1"/>
  <c r="AW176" i="6" s="1"/>
  <c r="AV176" i="6" a="1"/>
  <c r="AV176" i="6" s="1"/>
  <c r="AU176" i="6" a="1"/>
  <c r="AU176" i="6" s="1"/>
  <c r="AU238" i="6" a="1"/>
  <c r="AU238" i="6" s="1"/>
  <c r="AU88" i="6" a="1"/>
  <c r="AU88" i="6" s="1"/>
  <c r="AT88" i="6" a="1"/>
  <c r="AT88" i="6" s="1"/>
  <c r="AW88" i="6" a="1"/>
  <c r="AW88" i="6" s="1"/>
  <c r="AV88" i="6" a="1"/>
  <c r="AV88" i="6" s="1"/>
  <c r="AV178" i="6" a="1"/>
  <c r="AV178" i="6" s="1"/>
  <c r="AU178" i="6" a="1"/>
  <c r="AU178" i="6" s="1"/>
  <c r="AT178" i="6" a="1"/>
  <c r="AT178" i="6" s="1"/>
  <c r="AW178" i="6" a="1"/>
  <c r="AW178" i="6" s="1"/>
  <c r="AU163" i="6" a="1"/>
  <c r="AU163" i="6" s="1"/>
  <c r="AT163" i="6" a="1"/>
  <c r="AT163" i="6" s="1"/>
  <c r="AW163" i="6" a="1"/>
  <c r="AW163" i="6" s="1"/>
  <c r="AV163" i="6" a="1"/>
  <c r="AV163" i="6" s="1"/>
  <c r="AT238" i="6" a="1"/>
  <c r="AT238" i="6" s="1"/>
  <c r="AW58" i="6" a="1"/>
  <c r="AW58" i="6" s="1"/>
  <c r="AV58" i="6" a="1"/>
  <c r="AV58" i="6" s="1"/>
  <c r="AU58" i="6" a="1"/>
  <c r="AU58" i="6" s="1"/>
  <c r="AT58" i="6" a="1"/>
  <c r="AT58" i="6" s="1"/>
  <c r="AW148" i="6" a="1"/>
  <c r="AW148" i="6" s="1"/>
  <c r="AU148" i="6" a="1"/>
  <c r="AU148" i="6" s="1"/>
  <c r="AT148" i="6" a="1"/>
  <c r="AT148" i="6" s="1"/>
  <c r="AV148" i="6" a="1"/>
  <c r="AV148" i="6" s="1"/>
  <c r="AV238" i="6" a="1"/>
  <c r="AV238" i="6" s="1"/>
  <c r="AT103" i="6" a="1"/>
  <c r="AT103" i="6" s="1"/>
  <c r="AW103" i="6" a="1"/>
  <c r="AW103" i="6" s="1"/>
  <c r="AV103" i="6" a="1"/>
  <c r="AV103" i="6" s="1"/>
  <c r="AU103" i="6" a="1"/>
  <c r="AU103" i="6" s="1"/>
  <c r="AU73" i="6" a="1"/>
  <c r="AU73" i="6" s="1"/>
  <c r="AT73" i="6" a="1"/>
  <c r="AT73" i="6" s="1"/>
  <c r="AW73" i="6" a="1"/>
  <c r="AW73" i="6" s="1"/>
  <c r="AV73" i="6" a="1"/>
  <c r="AV73" i="6" s="1"/>
  <c r="AW238" i="6" a="1"/>
  <c r="AW238" i="6" s="1"/>
  <c r="AT236" i="6" a="1"/>
  <c r="AT236" i="6" s="1"/>
  <c r="AU236" i="6" a="1"/>
  <c r="AU236" i="6" s="1"/>
  <c r="AV236" i="6" a="1"/>
  <c r="AV236" i="6" s="1"/>
  <c r="AT118" i="6" a="1"/>
  <c r="AT118" i="6" s="1"/>
  <c r="AW118" i="6" a="1"/>
  <c r="AW118" i="6" s="1"/>
  <c r="AU118" i="6" a="1"/>
  <c r="AU118" i="6" s="1"/>
  <c r="AV118" i="6" a="1"/>
  <c r="AV118" i="6" s="1"/>
  <c r="AV133" i="6" a="1"/>
  <c r="AV133" i="6" s="1"/>
  <c r="AU133" i="6" a="1"/>
  <c r="AU133" i="6" s="1"/>
  <c r="AT133" i="6" a="1"/>
  <c r="AT133" i="6" s="1"/>
  <c r="AW133" i="6" a="1"/>
  <c r="AW133" i="6" s="1"/>
  <c r="AW161" i="6" a="1"/>
  <c r="AW161" i="6" s="1"/>
  <c r="AU161" i="6" a="1"/>
  <c r="AU161" i="6" s="1"/>
  <c r="AT161" i="6" a="1"/>
  <c r="AT161" i="6" s="1"/>
  <c r="AV161" i="6" a="1"/>
  <c r="AV161" i="6" s="1"/>
  <c r="AW236" i="6" a="1"/>
  <c r="AW236" i="6" s="1"/>
  <c r="AO238" i="6" a="1"/>
  <c r="AO238" i="6" s="1"/>
  <c r="AO163" i="6" a="1"/>
  <c r="AO163" i="6" s="1"/>
  <c r="AQ163" i="6" a="1"/>
  <c r="AQ163" i="6" s="1"/>
  <c r="AN163" i="6" a="1"/>
  <c r="AN163" i="6" s="1"/>
  <c r="AP163" i="6" a="1"/>
  <c r="AP163" i="6" s="1"/>
  <c r="AN238" i="6" a="1"/>
  <c r="AN238" i="6" s="1"/>
  <c r="AQ178" i="6" a="1"/>
  <c r="AQ178" i="6" s="1"/>
  <c r="AO178" i="6" a="1"/>
  <c r="AO178" i="6" s="1"/>
  <c r="AN178" i="6" a="1"/>
  <c r="AN178" i="6" s="1"/>
  <c r="AP178" i="6" a="1"/>
  <c r="AP178" i="6" s="1"/>
  <c r="AP238" i="6" a="1"/>
  <c r="AP238" i="6" s="1"/>
  <c r="AQ88" i="6" a="1"/>
  <c r="AQ88" i="6" s="1"/>
  <c r="AO88" i="6" a="1"/>
  <c r="AO88" i="6" s="1"/>
  <c r="AP88" i="6" a="1"/>
  <c r="AP88" i="6" s="1"/>
  <c r="AN88" i="6" a="1"/>
  <c r="AN88" i="6" s="1"/>
  <c r="AQ58" i="6" a="1"/>
  <c r="AQ58" i="6" s="1"/>
  <c r="AP58" i="6" a="1"/>
  <c r="AP58" i="6" s="1"/>
  <c r="AO58" i="6" a="1"/>
  <c r="AO58" i="6" s="1"/>
  <c r="AN58" i="6" a="1"/>
  <c r="AN58" i="6" s="1"/>
  <c r="AQ148" i="6" a="1"/>
  <c r="AQ148" i="6" s="1"/>
  <c r="AO148" i="6" a="1"/>
  <c r="AO148" i="6" s="1"/>
  <c r="AN148" i="6" a="1"/>
  <c r="AN148" i="6" s="1"/>
  <c r="AP148" i="6" a="1"/>
  <c r="AP148" i="6" s="1"/>
  <c r="AP103" i="6" a="1"/>
  <c r="AP103" i="6" s="1"/>
  <c r="AO103" i="6" a="1"/>
  <c r="AO103" i="6" s="1"/>
  <c r="AQ103" i="6" a="1"/>
  <c r="AQ103" i="6" s="1"/>
  <c r="AN103" i="6" a="1"/>
  <c r="AN103" i="6" s="1"/>
  <c r="AQ73" i="6" a="1"/>
  <c r="AQ73" i="6" s="1"/>
  <c r="AP73" i="6" a="1"/>
  <c r="AP73" i="6" s="1"/>
  <c r="AO73" i="6" a="1"/>
  <c r="AO73" i="6" s="1"/>
  <c r="AN73" i="6" a="1"/>
  <c r="AN73" i="6" s="1"/>
  <c r="AQ238" i="6" a="1"/>
  <c r="AQ238" i="6" s="1"/>
  <c r="AN236" i="6" a="1"/>
  <c r="AN236" i="6" s="1"/>
  <c r="AO236" i="6" a="1"/>
  <c r="AO236" i="6" s="1"/>
  <c r="AN176" i="6" a="1"/>
  <c r="AN176" i="6" s="1"/>
  <c r="AP176" i="6" a="1"/>
  <c r="AP176" i="6" s="1"/>
  <c r="AO176" i="6" a="1"/>
  <c r="AO176" i="6" s="1"/>
  <c r="AQ176" i="6" a="1"/>
  <c r="AQ176" i="6" s="1"/>
  <c r="AP236" i="6" a="1"/>
  <c r="AP236" i="6" s="1"/>
  <c r="AQ118" i="6" a="1"/>
  <c r="AQ118" i="6" s="1"/>
  <c r="AP118" i="6" a="1"/>
  <c r="AP118" i="6" s="1"/>
  <c r="AN118" i="6" a="1"/>
  <c r="AN118" i="6" s="1"/>
  <c r="AO118" i="6" a="1"/>
  <c r="AO118" i="6" s="1"/>
  <c r="AO133" i="6" a="1"/>
  <c r="AO133" i="6" s="1"/>
  <c r="AQ133" i="6" a="1"/>
  <c r="AQ133" i="6" s="1"/>
  <c r="AN133" i="6" a="1"/>
  <c r="AN133" i="6" s="1"/>
  <c r="AP133" i="6" a="1"/>
  <c r="AP133" i="6" s="1"/>
  <c r="AP161" i="6" a="1"/>
  <c r="AP161" i="6" s="1"/>
  <c r="AO161" i="6" a="1"/>
  <c r="AO161" i="6" s="1"/>
  <c r="AQ161" i="6" a="1"/>
  <c r="AQ161" i="6" s="1"/>
  <c r="AN161" i="6" a="1"/>
  <c r="AN161" i="6" s="1"/>
  <c r="AQ236" i="6" a="1"/>
  <c r="AQ236" i="6" s="1"/>
  <c r="T238" i="6" a="1"/>
  <c r="T238" i="6" s="1"/>
  <c r="T88" i="6" a="1"/>
  <c r="T88" i="6" s="1"/>
  <c r="U88" i="6" a="1"/>
  <c r="U88" i="6" s="1"/>
  <c r="W88" i="6" a="1"/>
  <c r="W88" i="6" s="1"/>
  <c r="V88" i="6" a="1"/>
  <c r="V88" i="6" s="1"/>
  <c r="V178" i="6" a="1"/>
  <c r="V178" i="6" s="1"/>
  <c r="U178" i="6" a="1"/>
  <c r="U178" i="6" s="1"/>
  <c r="T178" i="6" a="1"/>
  <c r="T178" i="6" s="1"/>
  <c r="W178" i="6" a="1"/>
  <c r="W178" i="6" s="1"/>
  <c r="V163" i="6" a="1"/>
  <c r="V163" i="6" s="1"/>
  <c r="W163" i="6" a="1"/>
  <c r="W163" i="6" s="1"/>
  <c r="T163" i="6" a="1"/>
  <c r="T163" i="6" s="1"/>
  <c r="U163" i="6" a="1"/>
  <c r="U163" i="6" s="1"/>
  <c r="U238" i="6" a="1"/>
  <c r="U238" i="6" s="1"/>
  <c r="V148" i="6" a="1"/>
  <c r="V148" i="6" s="1"/>
  <c r="U148" i="6" a="1"/>
  <c r="U148" i="6" s="1"/>
  <c r="W148" i="6" a="1"/>
  <c r="W148" i="6" s="1"/>
  <c r="T148" i="6" a="1"/>
  <c r="T148" i="6" s="1"/>
  <c r="W238" i="6" a="1"/>
  <c r="W238" i="6" s="1"/>
  <c r="W58" i="6" a="1"/>
  <c r="W58" i="6" s="1"/>
  <c r="U58" i="6" a="1"/>
  <c r="U58" i="6" s="1"/>
  <c r="T58" i="6" a="1"/>
  <c r="T58" i="6" s="1"/>
  <c r="V58" i="6" a="1"/>
  <c r="V58" i="6" s="1"/>
  <c r="U103" i="6" a="1"/>
  <c r="U103" i="6" s="1"/>
  <c r="T103" i="6" a="1"/>
  <c r="T103" i="6" s="1"/>
  <c r="V103" i="6" a="1"/>
  <c r="V103" i="6" s="1"/>
  <c r="W103" i="6" a="1"/>
  <c r="W103" i="6" s="1"/>
  <c r="W73" i="6" a="1"/>
  <c r="W73" i="6" s="1"/>
  <c r="V73" i="6" a="1"/>
  <c r="V73" i="6" s="1"/>
  <c r="U73" i="6" a="1"/>
  <c r="U73" i="6" s="1"/>
  <c r="T73" i="6" a="1"/>
  <c r="T73" i="6" s="1"/>
  <c r="V238" i="6" a="1"/>
  <c r="V238" i="6" s="1"/>
  <c r="W176" i="6" a="1"/>
  <c r="W176" i="6" s="1"/>
  <c r="U176" i="6" a="1"/>
  <c r="U176" i="6" s="1"/>
  <c r="T176" i="6" a="1"/>
  <c r="T176" i="6" s="1"/>
  <c r="V176" i="6" a="1"/>
  <c r="V176" i="6" s="1"/>
  <c r="T236" i="6" a="1"/>
  <c r="T236" i="6" s="1"/>
  <c r="U236" i="6" a="1"/>
  <c r="U236" i="6" s="1"/>
  <c r="W236" i="6" a="1"/>
  <c r="W236" i="6" s="1"/>
  <c r="T118" i="6" a="1"/>
  <c r="T118" i="6" s="1"/>
  <c r="U118" i="6" a="1"/>
  <c r="U118" i="6" s="1"/>
  <c r="W118" i="6" a="1"/>
  <c r="W118" i="6" s="1"/>
  <c r="V118" i="6" a="1"/>
  <c r="V118" i="6" s="1"/>
  <c r="T133" i="6" a="1"/>
  <c r="T133" i="6" s="1"/>
  <c r="V133" i="6" a="1"/>
  <c r="V133" i="6" s="1"/>
  <c r="W133" i="6" a="1"/>
  <c r="W133" i="6" s="1"/>
  <c r="U133" i="6" a="1"/>
  <c r="U133" i="6" s="1"/>
  <c r="T161" i="6" a="1"/>
  <c r="T161" i="6" s="1"/>
  <c r="W161" i="6" a="1"/>
  <c r="W161" i="6" s="1"/>
  <c r="V161" i="6" a="1"/>
  <c r="V161" i="6" s="1"/>
  <c r="U161" i="6" a="1"/>
  <c r="U161" i="6" s="1"/>
  <c r="V236" i="6" a="1"/>
  <c r="V236" i="6" s="1"/>
  <c r="N238" i="6" a="1"/>
  <c r="N238" i="6" s="1"/>
  <c r="Q238" i="6" a="1"/>
  <c r="Q238" i="6" s="1"/>
  <c r="O88" i="6" a="1"/>
  <c r="O88" i="6" s="1"/>
  <c r="N88" i="6" a="1"/>
  <c r="N88" i="6" s="1"/>
  <c r="Q88" i="6" a="1"/>
  <c r="Q88" i="6" s="1"/>
  <c r="P88" i="6" a="1"/>
  <c r="P88" i="6" s="1"/>
  <c r="Q148" i="6" a="1"/>
  <c r="Q148" i="6" s="1"/>
  <c r="P148" i="6" a="1"/>
  <c r="P148" i="6" s="1"/>
  <c r="O148" i="6" a="1"/>
  <c r="O148" i="6" s="1"/>
  <c r="N148" i="6" a="1"/>
  <c r="N148" i="6" s="1"/>
  <c r="O238" i="6" a="1"/>
  <c r="O238" i="6" s="1"/>
  <c r="P178" i="6" a="1"/>
  <c r="P178" i="6" s="1"/>
  <c r="O178" i="6" a="1"/>
  <c r="O178" i="6" s="1"/>
  <c r="N178" i="6" a="1"/>
  <c r="N178" i="6" s="1"/>
  <c r="Q178" i="6" a="1"/>
  <c r="Q178" i="6" s="1"/>
  <c r="N58" i="6" a="1"/>
  <c r="N58" i="6" s="1"/>
  <c r="O58" i="6" a="1"/>
  <c r="O58" i="6" s="1"/>
  <c r="Q58" i="6" a="1"/>
  <c r="Q58" i="6" s="1"/>
  <c r="P58" i="6" a="1"/>
  <c r="P58" i="6" s="1"/>
  <c r="Q103" i="6" a="1"/>
  <c r="Q103" i="6" s="1"/>
  <c r="P103" i="6" a="1"/>
  <c r="P103" i="6" s="1"/>
  <c r="O103" i="6" a="1"/>
  <c r="O103" i="6" s="1"/>
  <c r="N103" i="6" a="1"/>
  <c r="N103" i="6" s="1"/>
  <c r="O73" i="6" a="1"/>
  <c r="O73" i="6" s="1"/>
  <c r="N73" i="6" a="1"/>
  <c r="N73" i="6" s="1"/>
  <c r="Q73" i="6" a="1"/>
  <c r="Q73" i="6" s="1"/>
  <c r="P73" i="6" a="1"/>
  <c r="P73" i="6" s="1"/>
  <c r="O163" i="6" a="1"/>
  <c r="O163" i="6" s="1"/>
  <c r="N163" i="6" a="1"/>
  <c r="N163" i="6" s="1"/>
  <c r="Q163" i="6" a="1"/>
  <c r="Q163" i="6" s="1"/>
  <c r="P163" i="6" a="1"/>
  <c r="P163" i="6" s="1"/>
  <c r="N236" i="6" a="1"/>
  <c r="N236" i="6" s="1"/>
  <c r="Q236" i="6" a="1"/>
  <c r="Q236" i="6" s="1"/>
  <c r="O236" i="6" a="1"/>
  <c r="O236" i="6" s="1"/>
  <c r="N176" i="6" a="1"/>
  <c r="N176" i="6" s="1"/>
  <c r="Q176" i="6" a="1"/>
  <c r="Q176" i="6" s="1"/>
  <c r="O176" i="6" a="1"/>
  <c r="O176" i="6" s="1"/>
  <c r="P176" i="6" a="1"/>
  <c r="P176" i="6" s="1"/>
  <c r="P118" i="6" a="1"/>
  <c r="P118" i="6" s="1"/>
  <c r="O118" i="6" a="1"/>
  <c r="O118" i="6" s="1"/>
  <c r="N118" i="6" a="1"/>
  <c r="N118" i="6" s="1"/>
  <c r="Q118" i="6" a="1"/>
  <c r="Q118" i="6" s="1"/>
  <c r="O133" i="6" a="1"/>
  <c r="O133" i="6" s="1"/>
  <c r="Q133" i="6" a="1"/>
  <c r="Q133" i="6" s="1"/>
  <c r="P133" i="6" a="1"/>
  <c r="P133" i="6" s="1"/>
  <c r="N133" i="6" a="1"/>
  <c r="N133" i="6" s="1"/>
  <c r="Q161" i="6" a="1"/>
  <c r="Q161" i="6" s="1"/>
  <c r="O161" i="6" a="1"/>
  <c r="O161" i="6" s="1"/>
  <c r="P161" i="6" a="1"/>
  <c r="P161" i="6" s="1"/>
  <c r="N161" i="6" a="1"/>
  <c r="N161" i="6" s="1"/>
  <c r="P236" i="6" a="1"/>
  <c r="P236" i="6" s="1"/>
  <c r="J11" i="20" a="1"/>
  <c r="J11" i="20" s="1"/>
  <c r="J14" i="20" a="1"/>
  <c r="J14" i="20" s="1"/>
  <c r="J19" i="20" a="1"/>
  <c r="J19" i="20" s="1"/>
  <c r="J16" i="20" a="1"/>
  <c r="J16" i="20" s="1"/>
  <c r="J13" i="20" a="1"/>
  <c r="J13" i="20" s="1"/>
  <c r="J10" i="20" a="1"/>
  <c r="J10" i="20" s="1"/>
  <c r="J20" i="20" a="1"/>
  <c r="J20" i="20" s="1"/>
  <c r="J17" i="20" a="1"/>
  <c r="J17" i="20" s="1"/>
  <c r="J15" i="20" a="1"/>
  <c r="J15" i="20" s="1"/>
  <c r="J12" i="20" a="1"/>
  <c r="J12" i="20" s="1"/>
  <c r="J9" i="20" a="1"/>
  <c r="J9" i="20" s="1"/>
  <c r="J18" i="20" a="1"/>
  <c r="J18" i="20" s="1"/>
  <c r="J54" i="11" a="1"/>
  <c r="J54" i="11" s="1"/>
  <c r="J33" i="11" a="1"/>
  <c r="J33" i="11" s="1"/>
  <c r="J48" i="11" a="1"/>
  <c r="J48" i="11" s="1"/>
  <c r="J43" i="11" a="1"/>
  <c r="J43" i="11" s="1"/>
  <c r="J28" i="11" a="1"/>
  <c r="J28" i="11" s="1"/>
  <c r="J34" i="11" a="1"/>
  <c r="J34" i="11" s="1"/>
  <c r="J41" i="11" a="1"/>
  <c r="J41" i="11" s="1"/>
  <c r="J38" i="11" a="1"/>
  <c r="J38" i="11" s="1"/>
  <c r="J25" i="11" a="1"/>
  <c r="J25" i="11" s="1"/>
  <c r="J31" i="11" a="1"/>
  <c r="J31" i="11" s="1"/>
  <c r="J51" i="11" a="1"/>
  <c r="J51" i="11" s="1"/>
  <c r="J50" i="11" a="1"/>
  <c r="J50" i="11" s="1"/>
  <c r="J45" i="11" a="1"/>
  <c r="J45" i="11" s="1"/>
  <c r="J22" i="11" a="1"/>
  <c r="J22" i="11" s="1"/>
  <c r="J36" i="11" a="1"/>
  <c r="J36" i="11" s="1"/>
  <c r="J29" i="11" a="1"/>
  <c r="J29" i="11" s="1"/>
  <c r="J26" i="11" a="1"/>
  <c r="J26" i="11" s="1"/>
  <c r="J46" i="11" a="1"/>
  <c r="J46" i="11" s="1"/>
  <c r="J55" i="11" a="1"/>
  <c r="J55" i="11" s="1"/>
  <c r="J27" i="11" a="1"/>
  <c r="J27" i="11" s="1"/>
  <c r="J40" i="11" a="1"/>
  <c r="J40" i="11" s="1"/>
  <c r="J23" i="11" a="1"/>
  <c r="J23" i="11" s="1"/>
  <c r="J37" i="11" a="1"/>
  <c r="J37" i="11" s="1"/>
  <c r="J44" i="11" a="1"/>
  <c r="J44" i="11" s="1"/>
  <c r="J52" i="11" a="1"/>
  <c r="J52" i="11" s="1"/>
  <c r="J47" i="11" a="1"/>
  <c r="J47" i="11" s="1"/>
  <c r="J53" i="11" a="1"/>
  <c r="J53" i="11" s="1"/>
  <c r="J30" i="11" a="1"/>
  <c r="J30" i="11" s="1"/>
  <c r="J21" i="11" a="1"/>
  <c r="J21" i="11" s="1"/>
  <c r="J42" i="11" a="1"/>
  <c r="J42" i="11" s="1"/>
  <c r="J49" i="11" a="1"/>
  <c r="J49" i="11" s="1"/>
  <c r="J24" i="11" a="1"/>
  <c r="J24" i="11" s="1"/>
  <c r="J39" i="11" a="1"/>
  <c r="J39" i="11" s="1"/>
  <c r="J35" i="11" a="1"/>
  <c r="J35" i="11" s="1"/>
  <c r="AA71" i="6"/>
  <c r="G101" i="6" a="1"/>
  <c r="G101" i="6" s="1"/>
  <c r="K101" i="6" a="1"/>
  <c r="K101" i="6" s="1"/>
  <c r="J101" i="6" a="1"/>
  <c r="J101" i="6" s="1"/>
  <c r="I101" i="6" a="1"/>
  <c r="I101" i="6" s="1"/>
  <c r="H101" i="6" a="1"/>
  <c r="H101" i="6" s="1"/>
  <c r="G118" i="6" a="1"/>
  <c r="G118" i="6" s="1"/>
  <c r="I118" i="6" a="1"/>
  <c r="I118" i="6" s="1"/>
  <c r="H118" i="6" a="1"/>
  <c r="H118" i="6" s="1"/>
  <c r="K118" i="6" a="1"/>
  <c r="K118" i="6" s="1"/>
  <c r="J118" i="6" a="1"/>
  <c r="J118" i="6" s="1"/>
  <c r="G172" i="6" a="1"/>
  <c r="G172" i="6" s="1"/>
  <c r="K172" i="6" a="1"/>
  <c r="K172" i="6" s="1"/>
  <c r="J172" i="6" a="1"/>
  <c r="J172" i="6" s="1"/>
  <c r="H172" i="6" a="1"/>
  <c r="H172" i="6" s="1"/>
  <c r="I172" i="6" a="1"/>
  <c r="I172" i="6" s="1"/>
  <c r="G49" i="6" a="1"/>
  <c r="G49" i="6" s="1"/>
  <c r="I49" i="6" a="1"/>
  <c r="I49" i="6" s="1"/>
  <c r="H49" i="6" a="1"/>
  <c r="H49" i="6" s="1"/>
  <c r="K49" i="6" a="1"/>
  <c r="K49" i="6" s="1"/>
  <c r="J49" i="6" a="1"/>
  <c r="J49" i="6" s="1"/>
  <c r="G124" i="6" a="1"/>
  <c r="G124" i="6" s="1"/>
  <c r="K124" i="6" a="1"/>
  <c r="K124" i="6" s="1"/>
  <c r="J124" i="6" a="1"/>
  <c r="J124" i="6" s="1"/>
  <c r="I124" i="6" a="1"/>
  <c r="I124" i="6" s="1"/>
  <c r="H124" i="6" a="1"/>
  <c r="H124" i="6" s="1"/>
  <c r="G16" i="6" a="1"/>
  <c r="G16" i="6" s="1"/>
  <c r="I16" i="6" a="1"/>
  <c r="I16" i="6" s="1"/>
  <c r="H16" i="6" a="1"/>
  <c r="H16" i="6" s="1"/>
  <c r="K16" i="6" a="1"/>
  <c r="K16" i="6" s="1"/>
  <c r="J16" i="6" a="1"/>
  <c r="J16" i="6" s="1"/>
  <c r="G32" i="6" a="1"/>
  <c r="G32" i="6" s="1"/>
  <c r="I32" i="6" a="1"/>
  <c r="I32" i="6" s="1"/>
  <c r="H32" i="6" a="1"/>
  <c r="H32" i="6" s="1"/>
  <c r="K32" i="6" a="1"/>
  <c r="K32" i="6" s="1"/>
  <c r="J32" i="6" a="1"/>
  <c r="J32" i="6" s="1"/>
  <c r="G14" i="6" a="1"/>
  <c r="G14" i="6" s="1"/>
  <c r="I14" i="6" a="1"/>
  <c r="I14" i="6" s="1"/>
  <c r="H14" i="6" a="1"/>
  <c r="H14" i="6" s="1"/>
  <c r="K14" i="6" a="1"/>
  <c r="K14" i="6" s="1"/>
  <c r="J14" i="6" a="1"/>
  <c r="J14" i="6" s="1"/>
  <c r="G130" i="6" a="1"/>
  <c r="G130" i="6" s="1"/>
  <c r="K130" i="6" a="1"/>
  <c r="K130" i="6" s="1"/>
  <c r="J130" i="6" a="1"/>
  <c r="J130" i="6" s="1"/>
  <c r="I130" i="6" a="1"/>
  <c r="I130" i="6" s="1"/>
  <c r="H130" i="6" a="1"/>
  <c r="H130" i="6" s="1"/>
  <c r="G54" i="6" a="1"/>
  <c r="G54" i="6" s="1"/>
  <c r="K54" i="6" a="1"/>
  <c r="K54" i="6" s="1"/>
  <c r="J54" i="6" a="1"/>
  <c r="J54" i="6" s="1"/>
  <c r="I54" i="6" a="1"/>
  <c r="I54" i="6" s="1"/>
  <c r="H54" i="6" a="1"/>
  <c r="H54" i="6" s="1"/>
  <c r="G85" i="6" a="1"/>
  <c r="G85" i="6" s="1"/>
  <c r="I85" i="6" a="1"/>
  <c r="I85" i="6" s="1"/>
  <c r="H85" i="6" a="1"/>
  <c r="H85" i="6" s="1"/>
  <c r="K85" i="6" a="1"/>
  <c r="K85" i="6" s="1"/>
  <c r="J85" i="6" a="1"/>
  <c r="J85" i="6" s="1"/>
  <c r="G113" i="6" a="1"/>
  <c r="G113" i="6" s="1"/>
  <c r="I113" i="6" a="1"/>
  <c r="I113" i="6" s="1"/>
  <c r="H113" i="6" a="1"/>
  <c r="H113" i="6" s="1"/>
  <c r="K113" i="6" a="1"/>
  <c r="K113" i="6" s="1"/>
  <c r="J113" i="6" a="1"/>
  <c r="J113" i="6" s="1"/>
  <c r="G29" i="6" a="1"/>
  <c r="G29" i="6" s="1"/>
  <c r="I29" i="6" a="1"/>
  <c r="I29" i="6" s="1"/>
  <c r="H29" i="6" a="1"/>
  <c r="H29" i="6" s="1"/>
  <c r="K29" i="6" a="1"/>
  <c r="K29" i="6" s="1"/>
  <c r="J29" i="6" a="1"/>
  <c r="J29" i="6" s="1"/>
  <c r="G102" i="6" a="1"/>
  <c r="G102" i="6" s="1"/>
  <c r="K102" i="6" a="1"/>
  <c r="K102" i="6" s="1"/>
  <c r="H102" i="6" a="1"/>
  <c r="H102" i="6" s="1"/>
  <c r="J102" i="6" a="1"/>
  <c r="J102" i="6" s="1"/>
  <c r="I102" i="6" a="1"/>
  <c r="I102" i="6" s="1"/>
  <c r="G133" i="6" a="1"/>
  <c r="G133" i="6" s="1"/>
  <c r="K133" i="6" a="1"/>
  <c r="K133" i="6" s="1"/>
  <c r="J133" i="6" a="1"/>
  <c r="J133" i="6" s="1"/>
  <c r="I133" i="6" a="1"/>
  <c r="I133" i="6" s="1"/>
  <c r="H133" i="6" a="1"/>
  <c r="H133" i="6" s="1"/>
  <c r="G80" i="6" a="1"/>
  <c r="G80" i="6" s="1"/>
  <c r="K80" i="6" a="1"/>
  <c r="K80" i="6" s="1"/>
  <c r="J80" i="6" a="1"/>
  <c r="J80" i="6" s="1"/>
  <c r="I80" i="6" a="1"/>
  <c r="I80" i="6" s="1"/>
  <c r="H80" i="6" a="1"/>
  <c r="H80" i="6" s="1"/>
  <c r="G10" i="6" a="1"/>
  <c r="G10" i="6" s="1"/>
  <c r="H10" i="6" a="1"/>
  <c r="H10" i="6" s="1"/>
  <c r="K10" i="6" a="1"/>
  <c r="K10" i="6" s="1"/>
  <c r="I10" i="6" a="1"/>
  <c r="I10" i="6" s="1"/>
  <c r="J10" i="6" a="1"/>
  <c r="J10" i="6" s="1"/>
  <c r="G131" i="6" a="1"/>
  <c r="G131" i="6" s="1"/>
  <c r="K131" i="6" a="1"/>
  <c r="K131" i="6" s="1"/>
  <c r="J131" i="6" a="1"/>
  <c r="J131" i="6" s="1"/>
  <c r="I131" i="6" a="1"/>
  <c r="I131" i="6" s="1"/>
  <c r="H131" i="6" a="1"/>
  <c r="H131" i="6" s="1"/>
  <c r="G89" i="6" a="1"/>
  <c r="G89" i="6" s="1"/>
  <c r="I89" i="6" a="1"/>
  <c r="I89" i="6" s="1"/>
  <c r="H89" i="6" a="1"/>
  <c r="H89" i="6" s="1"/>
  <c r="K89" i="6" a="1"/>
  <c r="K89" i="6" s="1"/>
  <c r="J89" i="6" a="1"/>
  <c r="J89" i="6" s="1"/>
  <c r="G240" i="6" a="1"/>
  <c r="G240" i="6" s="1"/>
  <c r="J240" i="6" a="1"/>
  <c r="J240" i="6" s="1"/>
  <c r="K240" i="6" a="1"/>
  <c r="K240" i="6" s="1"/>
  <c r="I240" i="6" a="1"/>
  <c r="I240" i="6" s="1"/>
  <c r="H240" i="6" a="1"/>
  <c r="H240" i="6" s="1"/>
  <c r="G69" i="6" a="1"/>
  <c r="G69" i="6" s="1"/>
  <c r="H69" i="6" a="1"/>
  <c r="H69" i="6" s="1"/>
  <c r="K69" i="6" a="1"/>
  <c r="K69" i="6" s="1"/>
  <c r="J69" i="6" a="1"/>
  <c r="J69" i="6" s="1"/>
  <c r="I69" i="6" a="1"/>
  <c r="I69" i="6" s="1"/>
  <c r="G120" i="6" a="1"/>
  <c r="G120" i="6" s="1"/>
  <c r="I120" i="6" a="1"/>
  <c r="I120" i="6" s="1"/>
  <c r="H120" i="6" a="1"/>
  <c r="H120" i="6" s="1"/>
  <c r="K120" i="6" a="1"/>
  <c r="K120" i="6" s="1"/>
  <c r="J120" i="6" a="1"/>
  <c r="J120" i="6" s="1"/>
  <c r="G136" i="6" a="1"/>
  <c r="G136" i="6" s="1"/>
  <c r="K136" i="6" a="1"/>
  <c r="K136" i="6" s="1"/>
  <c r="J136" i="6" a="1"/>
  <c r="J136" i="6" s="1"/>
  <c r="I136" i="6" a="1"/>
  <c r="I136" i="6" s="1"/>
  <c r="H136" i="6" a="1"/>
  <c r="H136" i="6" s="1"/>
  <c r="G56" i="6" a="1"/>
  <c r="G56" i="6" s="1"/>
  <c r="K56" i="6" a="1"/>
  <c r="K56" i="6" s="1"/>
  <c r="I56" i="6" a="1"/>
  <c r="I56" i="6" s="1"/>
  <c r="H56" i="6" a="1"/>
  <c r="H56" i="6" s="1"/>
  <c r="J56" i="6" a="1"/>
  <c r="J56" i="6" s="1"/>
  <c r="G150" i="6" a="1"/>
  <c r="G150" i="6" s="1"/>
  <c r="K150" i="6" a="1"/>
  <c r="K150" i="6" s="1"/>
  <c r="J150" i="6" a="1"/>
  <c r="J150" i="6" s="1"/>
  <c r="I150" i="6" a="1"/>
  <c r="I150" i="6" s="1"/>
  <c r="H150" i="6" a="1"/>
  <c r="H150" i="6" s="1"/>
  <c r="G53" i="6" a="1"/>
  <c r="G53" i="6" s="1"/>
  <c r="K53" i="6" a="1"/>
  <c r="K53" i="6" s="1"/>
  <c r="J53" i="6" a="1"/>
  <c r="J53" i="6" s="1"/>
  <c r="I53" i="6" a="1"/>
  <c r="I53" i="6" s="1"/>
  <c r="H53" i="6" a="1"/>
  <c r="H53" i="6" s="1"/>
  <c r="G138" i="6" a="1"/>
  <c r="G138" i="6" s="1"/>
  <c r="K138" i="6" a="1"/>
  <c r="K138" i="6" s="1"/>
  <c r="J138" i="6" a="1"/>
  <c r="J138" i="6" s="1"/>
  <c r="I138" i="6" a="1"/>
  <c r="I138" i="6" s="1"/>
  <c r="H138" i="6" a="1"/>
  <c r="H138" i="6" s="1"/>
  <c r="G121" i="6" a="1"/>
  <c r="G121" i="6" s="1"/>
  <c r="I121" i="6" a="1"/>
  <c r="I121" i="6" s="1"/>
  <c r="H121" i="6" a="1"/>
  <c r="H121" i="6" s="1"/>
  <c r="K121" i="6" a="1"/>
  <c r="K121" i="6" s="1"/>
  <c r="J121" i="6" a="1"/>
  <c r="J121" i="6" s="1"/>
  <c r="G78" i="6" a="1"/>
  <c r="G78" i="6" s="1"/>
  <c r="J78" i="6" a="1"/>
  <c r="J78" i="6" s="1"/>
  <c r="H78" i="6" a="1"/>
  <c r="H78" i="6" s="1"/>
  <c r="I78" i="6" a="1"/>
  <c r="I78" i="6" s="1"/>
  <c r="K78" i="6" a="1"/>
  <c r="K78" i="6" s="1"/>
  <c r="G84" i="6" a="1"/>
  <c r="G84" i="6" s="1"/>
  <c r="K84" i="6" a="1"/>
  <c r="K84" i="6" s="1"/>
  <c r="J84" i="6" a="1"/>
  <c r="J84" i="6" s="1"/>
  <c r="I84" i="6" a="1"/>
  <c r="I84" i="6" s="1"/>
  <c r="H84" i="6" a="1"/>
  <c r="H84" i="6" s="1"/>
  <c r="G34" i="6" a="1"/>
  <c r="G34" i="6" s="1"/>
  <c r="I34" i="6" a="1"/>
  <c r="I34" i="6" s="1"/>
  <c r="H34" i="6" a="1"/>
  <c r="H34" i="6" s="1"/>
  <c r="K34" i="6" a="1"/>
  <c r="K34" i="6" s="1"/>
  <c r="J34" i="6" a="1"/>
  <c r="J34" i="6" s="1"/>
  <c r="G96" i="6" a="1"/>
  <c r="G96" i="6" s="1"/>
  <c r="K96" i="6" a="1"/>
  <c r="K96" i="6" s="1"/>
  <c r="J96" i="6" a="1"/>
  <c r="J96" i="6" s="1"/>
  <c r="I96" i="6" a="1"/>
  <c r="I96" i="6" s="1"/>
  <c r="H96" i="6" a="1"/>
  <c r="H96" i="6" s="1"/>
  <c r="G123" i="6" a="1"/>
  <c r="G123" i="6" s="1"/>
  <c r="I123" i="6" a="1"/>
  <c r="I123" i="6" s="1"/>
  <c r="H123" i="6" a="1"/>
  <c r="H123" i="6" s="1"/>
  <c r="K123" i="6" a="1"/>
  <c r="K123" i="6" s="1"/>
  <c r="J123" i="6" a="1"/>
  <c r="J123" i="6" s="1"/>
  <c r="G35" i="6" a="1"/>
  <c r="G35" i="6" s="1"/>
  <c r="J35" i="6" a="1"/>
  <c r="J35" i="6" s="1"/>
  <c r="I35" i="6" a="1"/>
  <c r="I35" i="6" s="1"/>
  <c r="H35" i="6" a="1"/>
  <c r="H35" i="6" s="1"/>
  <c r="K35" i="6" a="1"/>
  <c r="K35" i="6" s="1"/>
  <c r="G242" i="6" a="1"/>
  <c r="G242" i="6" s="1"/>
  <c r="J242" i="6" a="1"/>
  <c r="J242" i="6" s="1"/>
  <c r="K242" i="6" a="1"/>
  <c r="K242" i="6" s="1"/>
  <c r="I242" i="6" a="1"/>
  <c r="I242" i="6" s="1"/>
  <c r="H242" i="6" a="1"/>
  <c r="H242" i="6" s="1"/>
  <c r="G241" i="6" a="1"/>
  <c r="G241" i="6" s="1"/>
  <c r="J241" i="6" a="1"/>
  <c r="J241" i="6" s="1"/>
  <c r="K241" i="6" a="1"/>
  <c r="K241" i="6" s="1"/>
  <c r="I241" i="6" a="1"/>
  <c r="I241" i="6" s="1"/>
  <c r="H241" i="6" a="1"/>
  <c r="H241" i="6" s="1"/>
  <c r="G239" i="6" a="1"/>
  <c r="G239" i="6" s="1"/>
  <c r="J239" i="6" a="1"/>
  <c r="J239" i="6" s="1"/>
  <c r="K239" i="6" a="1"/>
  <c r="K239" i="6" s="1"/>
  <c r="I239" i="6" a="1"/>
  <c r="I239" i="6" s="1"/>
  <c r="H239" i="6" a="1"/>
  <c r="H239" i="6" s="1"/>
  <c r="G132" i="6" a="1"/>
  <c r="G132" i="6" s="1"/>
  <c r="K132" i="6" a="1"/>
  <c r="K132" i="6" s="1"/>
  <c r="J132" i="6" a="1"/>
  <c r="J132" i="6" s="1"/>
  <c r="I132" i="6" a="1"/>
  <c r="I132" i="6" s="1"/>
  <c r="H132" i="6" a="1"/>
  <c r="H132" i="6" s="1"/>
  <c r="G129" i="6" a="1"/>
  <c r="G129" i="6" s="1"/>
  <c r="K129" i="6" a="1"/>
  <c r="K129" i="6" s="1"/>
  <c r="J129" i="6" a="1"/>
  <c r="J129" i="6" s="1"/>
  <c r="I129" i="6" a="1"/>
  <c r="I129" i="6" s="1"/>
  <c r="H129" i="6" a="1"/>
  <c r="H129" i="6" s="1"/>
  <c r="G122" i="6" a="1"/>
  <c r="G122" i="6" s="1"/>
  <c r="I122" i="6" a="1"/>
  <c r="I122" i="6" s="1"/>
  <c r="H122" i="6" a="1"/>
  <c r="H122" i="6" s="1"/>
  <c r="K122" i="6" a="1"/>
  <c r="K122" i="6" s="1"/>
  <c r="J122" i="6" a="1"/>
  <c r="J122" i="6" s="1"/>
  <c r="G44" i="6" a="1"/>
  <c r="G44" i="6" s="1"/>
  <c r="J44" i="6" a="1"/>
  <c r="J44" i="6" s="1"/>
  <c r="I44" i="6" a="1"/>
  <c r="I44" i="6" s="1"/>
  <c r="K44" i="6" a="1"/>
  <c r="K44" i="6" s="1"/>
  <c r="H44" i="6" a="1"/>
  <c r="H44" i="6" s="1"/>
  <c r="G144" i="6" a="1"/>
  <c r="G144" i="6" s="1"/>
  <c r="K144" i="6" a="1"/>
  <c r="K144" i="6" s="1"/>
  <c r="J144" i="6" a="1"/>
  <c r="J144" i="6" s="1"/>
  <c r="I144" i="6" a="1"/>
  <c r="I144" i="6" s="1"/>
  <c r="H144" i="6" a="1"/>
  <c r="H144" i="6" s="1"/>
  <c r="G88" i="6" a="1"/>
  <c r="G88" i="6" s="1"/>
  <c r="K88" i="6" a="1"/>
  <c r="K88" i="6" s="1"/>
  <c r="J88" i="6" a="1"/>
  <c r="J88" i="6" s="1"/>
  <c r="I88" i="6" a="1"/>
  <c r="I88" i="6" s="1"/>
  <c r="H88" i="6" a="1"/>
  <c r="H88" i="6" s="1"/>
  <c r="G178" i="6" a="1"/>
  <c r="G178" i="6" s="1"/>
  <c r="J178" i="6" a="1"/>
  <c r="J178" i="6" s="1"/>
  <c r="K178" i="6" a="1"/>
  <c r="K178" i="6" s="1"/>
  <c r="H178" i="6" a="1"/>
  <c r="H178" i="6" s="1"/>
  <c r="I178" i="6" a="1"/>
  <c r="I178" i="6" s="1"/>
  <c r="G139" i="6" a="1"/>
  <c r="G139" i="6" s="1"/>
  <c r="K139" i="6" a="1"/>
  <c r="K139" i="6" s="1"/>
  <c r="J139" i="6" a="1"/>
  <c r="J139" i="6" s="1"/>
  <c r="I139" i="6" a="1"/>
  <c r="I139" i="6" s="1"/>
  <c r="H139" i="6" a="1"/>
  <c r="H139" i="6" s="1"/>
  <c r="G38" i="6" a="1"/>
  <c r="G38" i="6" s="1"/>
  <c r="K38" i="6" a="1"/>
  <c r="K38" i="6" s="1"/>
  <c r="J38" i="6" a="1"/>
  <c r="J38" i="6" s="1"/>
  <c r="I38" i="6" a="1"/>
  <c r="I38" i="6" s="1"/>
  <c r="H38" i="6" a="1"/>
  <c r="H38" i="6" s="1"/>
  <c r="G176" i="6" a="1"/>
  <c r="G176" i="6" s="1"/>
  <c r="I176" i="6" a="1"/>
  <c r="I176" i="6" s="1"/>
  <c r="H176" i="6" a="1"/>
  <c r="H176" i="6" s="1"/>
  <c r="J176" i="6" a="1"/>
  <c r="J176" i="6" s="1"/>
  <c r="K176" i="6" a="1"/>
  <c r="K176" i="6" s="1"/>
  <c r="G12" i="6" a="1"/>
  <c r="G12" i="6" s="1"/>
  <c r="I12" i="6" a="1"/>
  <c r="I12" i="6" s="1"/>
  <c r="H12" i="6" a="1"/>
  <c r="H12" i="6" s="1"/>
  <c r="K12" i="6" a="1"/>
  <c r="K12" i="6" s="1"/>
  <c r="J12" i="6" a="1"/>
  <c r="J12" i="6" s="1"/>
  <c r="G57" i="6" a="1"/>
  <c r="G57" i="6" s="1"/>
  <c r="K57" i="6" a="1"/>
  <c r="K57" i="6" s="1"/>
  <c r="J57" i="6" a="1"/>
  <c r="J57" i="6" s="1"/>
  <c r="I57" i="6" a="1"/>
  <c r="I57" i="6" s="1"/>
  <c r="H57" i="6" a="1"/>
  <c r="H57" i="6" s="1"/>
  <c r="G170" i="6" a="1"/>
  <c r="G170" i="6" s="1"/>
  <c r="J170" i="6" a="1"/>
  <c r="J170" i="6" s="1"/>
  <c r="K170" i="6" a="1"/>
  <c r="K170" i="6" s="1"/>
  <c r="I170" i="6" a="1"/>
  <c r="I170" i="6" s="1"/>
  <c r="H170" i="6" a="1"/>
  <c r="H170" i="6" s="1"/>
  <c r="G94" i="6" a="1"/>
  <c r="G94" i="6" s="1"/>
  <c r="J94" i="6" a="1"/>
  <c r="J94" i="6" s="1"/>
  <c r="H94" i="6" a="1"/>
  <c r="H94" i="6" s="1"/>
  <c r="K94" i="6" a="1"/>
  <c r="K94" i="6" s="1"/>
  <c r="I94" i="6" a="1"/>
  <c r="I94" i="6" s="1"/>
  <c r="G40" i="6" a="1"/>
  <c r="G40" i="6" s="1"/>
  <c r="H40" i="6" a="1"/>
  <c r="H40" i="6" s="1"/>
  <c r="K40" i="6" a="1"/>
  <c r="K40" i="6" s="1"/>
  <c r="J40" i="6" a="1"/>
  <c r="J40" i="6" s="1"/>
  <c r="I40" i="6" a="1"/>
  <c r="I40" i="6" s="1"/>
  <c r="G161" i="6" a="1"/>
  <c r="G161" i="6" s="1"/>
  <c r="K161" i="6" a="1"/>
  <c r="K161" i="6" s="1"/>
  <c r="J161" i="6" a="1"/>
  <c r="J161" i="6" s="1"/>
  <c r="I161" i="6" a="1"/>
  <c r="I161" i="6" s="1"/>
  <c r="H161" i="6" a="1"/>
  <c r="H161" i="6" s="1"/>
  <c r="G154" i="6" a="1"/>
  <c r="G154" i="6" s="1"/>
  <c r="K154" i="6" a="1"/>
  <c r="K154" i="6" s="1"/>
  <c r="J154" i="6" a="1"/>
  <c r="J154" i="6" s="1"/>
  <c r="I154" i="6" a="1"/>
  <c r="I154" i="6" s="1"/>
  <c r="H154" i="6" a="1"/>
  <c r="H154" i="6" s="1"/>
  <c r="G18" i="6" a="1"/>
  <c r="G18" i="6" s="1"/>
  <c r="I18" i="6" a="1"/>
  <c r="I18" i="6" s="1"/>
  <c r="H18" i="6" a="1"/>
  <c r="H18" i="6" s="1"/>
  <c r="K18" i="6" a="1"/>
  <c r="K18" i="6" s="1"/>
  <c r="J18" i="6" a="1"/>
  <c r="J18" i="6" s="1"/>
  <c r="G86" i="6" a="1"/>
  <c r="G86" i="6" s="1"/>
  <c r="J86" i="6" a="1"/>
  <c r="J86" i="6" s="1"/>
  <c r="H86" i="6" a="1"/>
  <c r="H86" i="6" s="1"/>
  <c r="K86" i="6" a="1"/>
  <c r="K86" i="6" s="1"/>
  <c r="I86" i="6" a="1"/>
  <c r="I86" i="6" s="1"/>
  <c r="G183" i="6" a="1"/>
  <c r="G183" i="6" s="1"/>
  <c r="K183" i="6" a="1"/>
  <c r="K183" i="6" s="1"/>
  <c r="I183" i="6" a="1"/>
  <c r="I183" i="6" s="1"/>
  <c r="J183" i="6" a="1"/>
  <c r="J183" i="6" s="1"/>
  <c r="H183" i="6" a="1"/>
  <c r="H183" i="6" s="1"/>
  <c r="G20" i="6" a="1"/>
  <c r="G20" i="6" s="1"/>
  <c r="I20" i="6" a="1"/>
  <c r="I20" i="6" s="1"/>
  <c r="H20" i="6" a="1"/>
  <c r="H20" i="6" s="1"/>
  <c r="K20" i="6" a="1"/>
  <c r="K20" i="6" s="1"/>
  <c r="J20" i="6" a="1"/>
  <c r="J20" i="6" s="1"/>
  <c r="G188" i="6" a="1"/>
  <c r="G188" i="6" s="1"/>
  <c r="K188" i="6" a="1"/>
  <c r="K188" i="6" s="1"/>
  <c r="J188" i="6" a="1"/>
  <c r="J188" i="6" s="1"/>
  <c r="H188" i="6" a="1"/>
  <c r="H188" i="6" s="1"/>
  <c r="I188" i="6" a="1"/>
  <c r="I188" i="6" s="1"/>
  <c r="G167" i="6" a="1"/>
  <c r="G167" i="6" s="1"/>
  <c r="K167" i="6" a="1"/>
  <c r="K167" i="6" s="1"/>
  <c r="I167" i="6" a="1"/>
  <c r="I167" i="6" s="1"/>
  <c r="J167" i="6" a="1"/>
  <c r="J167" i="6" s="1"/>
  <c r="H167" i="6" a="1"/>
  <c r="H167" i="6" s="1"/>
  <c r="G58" i="6" a="1"/>
  <c r="G58" i="6" s="1"/>
  <c r="K58" i="6" a="1"/>
  <c r="K58" i="6" s="1"/>
  <c r="J58" i="6" a="1"/>
  <c r="J58" i="6" s="1"/>
  <c r="I58" i="6" a="1"/>
  <c r="I58" i="6" s="1"/>
  <c r="H58" i="6" a="1"/>
  <c r="H58" i="6" s="1"/>
  <c r="G169" i="6" a="1"/>
  <c r="G169" i="6" s="1"/>
  <c r="K169" i="6" a="1"/>
  <c r="K169" i="6" s="1"/>
  <c r="J169" i="6" a="1"/>
  <c r="J169" i="6" s="1"/>
  <c r="I169" i="6" a="1"/>
  <c r="I169" i="6" s="1"/>
  <c r="H169" i="6" a="1"/>
  <c r="H169" i="6" s="1"/>
  <c r="G28" i="6" a="1"/>
  <c r="G28" i="6" s="1"/>
  <c r="I28" i="6" a="1"/>
  <c r="I28" i="6" s="1"/>
  <c r="H28" i="6" a="1"/>
  <c r="H28" i="6" s="1"/>
  <c r="K28" i="6" a="1"/>
  <c r="K28" i="6" s="1"/>
  <c r="J28" i="6" a="1"/>
  <c r="J28" i="6" s="1"/>
  <c r="G153" i="6" a="1"/>
  <c r="G153" i="6" s="1"/>
  <c r="K153" i="6" a="1"/>
  <c r="K153" i="6" s="1"/>
  <c r="J153" i="6" a="1"/>
  <c r="J153" i="6" s="1"/>
  <c r="I153" i="6" a="1"/>
  <c r="I153" i="6" s="1"/>
  <c r="H153" i="6" a="1"/>
  <c r="H153" i="6" s="1"/>
  <c r="G119" i="6" a="1"/>
  <c r="G119" i="6" s="1"/>
  <c r="I119" i="6" a="1"/>
  <c r="I119" i="6" s="1"/>
  <c r="H119" i="6" a="1"/>
  <c r="H119" i="6" s="1"/>
  <c r="K119" i="6" a="1"/>
  <c r="K119" i="6" s="1"/>
  <c r="J119" i="6" a="1"/>
  <c r="J119" i="6" s="1"/>
  <c r="G48" i="6" a="1"/>
  <c r="G48" i="6" s="1"/>
  <c r="H48" i="6" a="1"/>
  <c r="H48" i="6" s="1"/>
  <c r="K48" i="6" a="1"/>
  <c r="K48" i="6" s="1"/>
  <c r="I48" i="6" a="1"/>
  <c r="I48" i="6" s="1"/>
  <c r="J48" i="6" a="1"/>
  <c r="J48" i="6" s="1"/>
  <c r="G171" i="6" a="1"/>
  <c r="G171" i="6" s="1"/>
  <c r="J171" i="6" a="1"/>
  <c r="J171" i="6" s="1"/>
  <c r="I171" i="6" a="1"/>
  <c r="I171" i="6" s="1"/>
  <c r="H171" i="6" a="1"/>
  <c r="H171" i="6" s="1"/>
  <c r="K171" i="6" a="1"/>
  <c r="K171" i="6" s="1"/>
  <c r="G42" i="6" a="1"/>
  <c r="G42" i="6" s="1"/>
  <c r="I42" i="6" a="1"/>
  <c r="I42" i="6" s="1"/>
  <c r="H42" i="6" a="1"/>
  <c r="H42" i="6" s="1"/>
  <c r="K42" i="6" a="1"/>
  <c r="K42" i="6" s="1"/>
  <c r="J42" i="6" a="1"/>
  <c r="J42" i="6" s="1"/>
  <c r="G163" i="6" a="1"/>
  <c r="G163" i="6" s="1"/>
  <c r="I163" i="6" a="1"/>
  <c r="I163" i="6" s="1"/>
  <c r="K163" i="6" a="1"/>
  <c r="K163" i="6" s="1"/>
  <c r="J163" i="6" a="1"/>
  <c r="J163" i="6" s="1"/>
  <c r="H163" i="6" a="1"/>
  <c r="H163" i="6" s="1"/>
  <c r="G186" i="6" a="1"/>
  <c r="G186" i="6" s="1"/>
  <c r="J186" i="6" a="1"/>
  <c r="J186" i="6" s="1"/>
  <c r="I186" i="6" a="1"/>
  <c r="I186" i="6" s="1"/>
  <c r="K186" i="6" a="1"/>
  <c r="K186" i="6" s="1"/>
  <c r="H186" i="6" a="1"/>
  <c r="H186" i="6" s="1"/>
  <c r="G135" i="6" a="1"/>
  <c r="G135" i="6" s="1"/>
  <c r="K135" i="6" a="1"/>
  <c r="K135" i="6" s="1"/>
  <c r="J135" i="6" a="1"/>
  <c r="J135" i="6" s="1"/>
  <c r="I135" i="6" a="1"/>
  <c r="I135" i="6" s="1"/>
  <c r="H135" i="6" a="1"/>
  <c r="H135" i="6" s="1"/>
  <c r="G97" i="6" a="1"/>
  <c r="G97" i="6" s="1"/>
  <c r="K97" i="6" a="1"/>
  <c r="K97" i="6" s="1"/>
  <c r="I97" i="6" a="1"/>
  <c r="I97" i="6" s="1"/>
  <c r="H97" i="6" a="1"/>
  <c r="H97" i="6" s="1"/>
  <c r="J97" i="6" a="1"/>
  <c r="J97" i="6" s="1"/>
  <c r="G90" i="6" a="1"/>
  <c r="G90" i="6" s="1"/>
  <c r="J90" i="6" a="1"/>
  <c r="J90" i="6" s="1"/>
  <c r="H90" i="6" a="1"/>
  <c r="H90" i="6" s="1"/>
  <c r="K90" i="6" a="1"/>
  <c r="K90" i="6" s="1"/>
  <c r="I90" i="6" a="1"/>
  <c r="I90" i="6" s="1"/>
  <c r="G149" i="6" a="1"/>
  <c r="G149" i="6" s="1"/>
  <c r="K149" i="6" a="1"/>
  <c r="K149" i="6" s="1"/>
  <c r="J149" i="6" a="1"/>
  <c r="J149" i="6" s="1"/>
  <c r="I149" i="6" a="1"/>
  <c r="I149" i="6" s="1"/>
  <c r="H149" i="6" a="1"/>
  <c r="H149" i="6" s="1"/>
  <c r="G22" i="6" a="1"/>
  <c r="G22" i="6" s="1"/>
  <c r="I22" i="6" a="1"/>
  <c r="I22" i="6" s="1"/>
  <c r="H22" i="6" a="1"/>
  <c r="H22" i="6" s="1"/>
  <c r="K22" i="6" a="1"/>
  <c r="K22" i="6" s="1"/>
  <c r="J22" i="6" a="1"/>
  <c r="J22" i="6" s="1"/>
  <c r="G55" i="6" a="1"/>
  <c r="G55" i="6" s="1"/>
  <c r="K55" i="6" a="1"/>
  <c r="K55" i="6" s="1"/>
  <c r="H55" i="6" a="1"/>
  <c r="H55" i="6" s="1"/>
  <c r="J55" i="6" a="1"/>
  <c r="J55" i="6" s="1"/>
  <c r="I55" i="6" a="1"/>
  <c r="I55" i="6" s="1"/>
  <c r="G61" i="6" a="1"/>
  <c r="G61" i="6" s="1"/>
  <c r="K61" i="6" a="1"/>
  <c r="K61" i="6" s="1"/>
  <c r="J61" i="6" a="1"/>
  <c r="J61" i="6" s="1"/>
  <c r="I61" i="6" a="1"/>
  <c r="I61" i="6" s="1"/>
  <c r="H61" i="6" a="1"/>
  <c r="H61" i="6" s="1"/>
  <c r="G243" i="6" a="1"/>
  <c r="G243" i="6" s="1"/>
  <c r="J243" i="6" a="1"/>
  <c r="J243" i="6" s="1"/>
  <c r="K243" i="6" a="1"/>
  <c r="K243" i="6" s="1"/>
  <c r="I243" i="6" a="1"/>
  <c r="I243" i="6" s="1"/>
  <c r="H243" i="6" a="1"/>
  <c r="H243" i="6" s="1"/>
  <c r="G19" i="6" a="1"/>
  <c r="G19" i="6" s="1"/>
  <c r="I19" i="6" a="1"/>
  <c r="I19" i="6" s="1"/>
  <c r="H19" i="6" a="1"/>
  <c r="H19" i="6" s="1"/>
  <c r="K19" i="6" a="1"/>
  <c r="K19" i="6" s="1"/>
  <c r="J19" i="6" a="1"/>
  <c r="J19" i="6" s="1"/>
  <c r="G177" i="6" a="1"/>
  <c r="G177" i="6" s="1"/>
  <c r="K177" i="6" a="1"/>
  <c r="K177" i="6" s="1"/>
  <c r="J177" i="6" a="1"/>
  <c r="J177" i="6" s="1"/>
  <c r="I177" i="6" a="1"/>
  <c r="I177" i="6" s="1"/>
  <c r="H177" i="6" a="1"/>
  <c r="H177" i="6" s="1"/>
  <c r="G99" i="6" a="1"/>
  <c r="G99" i="6" s="1"/>
  <c r="K99" i="6" a="1"/>
  <c r="K99" i="6" s="1"/>
  <c r="J99" i="6" a="1"/>
  <c r="J99" i="6" s="1"/>
  <c r="I99" i="6" a="1"/>
  <c r="I99" i="6" s="1"/>
  <c r="H99" i="6" a="1"/>
  <c r="H99" i="6" s="1"/>
  <c r="G165" i="6" a="1"/>
  <c r="G165" i="6" s="1"/>
  <c r="H165" i="6" a="1"/>
  <c r="H165" i="6" s="1"/>
  <c r="K165" i="6" a="1"/>
  <c r="K165" i="6" s="1"/>
  <c r="I165" i="6" a="1"/>
  <c r="I165" i="6" s="1"/>
  <c r="J165" i="6" a="1"/>
  <c r="J165" i="6" s="1"/>
  <c r="G51" i="6" a="1"/>
  <c r="G51" i="6" s="1"/>
  <c r="J51" i="6" a="1"/>
  <c r="J51" i="6" s="1"/>
  <c r="I51" i="6" a="1"/>
  <c r="I51" i="6" s="1"/>
  <c r="H51" i="6" a="1"/>
  <c r="H51" i="6" s="1"/>
  <c r="K51" i="6" a="1"/>
  <c r="K51" i="6" s="1"/>
  <c r="G70" i="6" a="1"/>
  <c r="G70" i="6" s="1"/>
  <c r="H70" i="6" a="1"/>
  <c r="H70" i="6" s="1"/>
  <c r="K70" i="6" a="1"/>
  <c r="K70" i="6" s="1"/>
  <c r="J70" i="6" a="1"/>
  <c r="J70" i="6" s="1"/>
  <c r="I70" i="6" a="1"/>
  <c r="I70" i="6" s="1"/>
  <c r="G65" i="6" a="1"/>
  <c r="G65" i="6" s="1"/>
  <c r="K65" i="6" a="1"/>
  <c r="K65" i="6" s="1"/>
  <c r="J65" i="6" a="1"/>
  <c r="J65" i="6" s="1"/>
  <c r="I65" i="6" a="1"/>
  <c r="I65" i="6" s="1"/>
  <c r="H65" i="6" a="1"/>
  <c r="H65" i="6" s="1"/>
  <c r="G168" i="6" a="1"/>
  <c r="G168" i="6" s="1"/>
  <c r="I168" i="6" a="1"/>
  <c r="I168" i="6" s="1"/>
  <c r="H168" i="6" a="1"/>
  <c r="H168" i="6" s="1"/>
  <c r="K168" i="6" a="1"/>
  <c r="K168" i="6" s="1"/>
  <c r="J168" i="6" a="1"/>
  <c r="J168" i="6" s="1"/>
  <c r="G151" i="6" a="1"/>
  <c r="G151" i="6" s="1"/>
  <c r="K151" i="6" a="1"/>
  <c r="K151" i="6" s="1"/>
  <c r="J151" i="6" a="1"/>
  <c r="J151" i="6" s="1"/>
  <c r="I151" i="6" a="1"/>
  <c r="I151" i="6" s="1"/>
  <c r="H151" i="6" a="1"/>
  <c r="H151" i="6" s="1"/>
  <c r="G82" i="6" a="1"/>
  <c r="G82" i="6" s="1"/>
  <c r="J82" i="6" a="1"/>
  <c r="J82" i="6" s="1"/>
  <c r="H82" i="6" a="1"/>
  <c r="H82" i="6" s="1"/>
  <c r="K82" i="6" a="1"/>
  <c r="K82" i="6" s="1"/>
  <c r="I82" i="6" a="1"/>
  <c r="I82" i="6" s="1"/>
  <c r="G100" i="6" a="1"/>
  <c r="G100" i="6" s="1"/>
  <c r="K100" i="6" a="1"/>
  <c r="K100" i="6" s="1"/>
  <c r="J100" i="6" a="1"/>
  <c r="J100" i="6" s="1"/>
  <c r="I100" i="6" a="1"/>
  <c r="I100" i="6" s="1"/>
  <c r="H100" i="6" a="1"/>
  <c r="H100" i="6" s="1"/>
  <c r="G103" i="6" a="1"/>
  <c r="G103" i="6" s="1"/>
  <c r="K103" i="6" a="1"/>
  <c r="K103" i="6" s="1"/>
  <c r="J103" i="6" a="1"/>
  <c r="J103" i="6" s="1"/>
  <c r="H103" i="6" a="1"/>
  <c r="H103" i="6" s="1"/>
  <c r="I103" i="6" a="1"/>
  <c r="I103" i="6" s="1"/>
  <c r="G160" i="6" a="1"/>
  <c r="G160" i="6" s="1"/>
  <c r="K160" i="6" a="1"/>
  <c r="K160" i="6" s="1"/>
  <c r="J160" i="6" a="1"/>
  <c r="J160" i="6" s="1"/>
  <c r="I160" i="6" a="1"/>
  <c r="I160" i="6" s="1"/>
  <c r="H160" i="6" a="1"/>
  <c r="H160" i="6" s="1"/>
  <c r="G152" i="6" a="1"/>
  <c r="G152" i="6" s="1"/>
  <c r="K152" i="6" a="1"/>
  <c r="K152" i="6" s="1"/>
  <c r="J152" i="6" a="1"/>
  <c r="J152" i="6" s="1"/>
  <c r="I152" i="6" a="1"/>
  <c r="I152" i="6" s="1"/>
  <c r="H152" i="6" a="1"/>
  <c r="H152" i="6" s="1"/>
  <c r="G60" i="6" a="1"/>
  <c r="G60" i="6" s="1"/>
  <c r="K60" i="6" a="1"/>
  <c r="K60" i="6" s="1"/>
  <c r="I60" i="6" a="1"/>
  <c r="I60" i="6" s="1"/>
  <c r="H60" i="6" a="1"/>
  <c r="H60" i="6" s="1"/>
  <c r="J60" i="6" a="1"/>
  <c r="J60" i="6" s="1"/>
  <c r="G105" i="6" a="1"/>
  <c r="G105" i="6" s="1"/>
  <c r="H105" i="6" a="1"/>
  <c r="H105" i="6" s="1"/>
  <c r="K105" i="6" a="1"/>
  <c r="K105" i="6" s="1"/>
  <c r="J105" i="6" a="1"/>
  <c r="J105" i="6" s="1"/>
  <c r="I105" i="6" a="1"/>
  <c r="I105" i="6" s="1"/>
  <c r="G87" i="6" a="1"/>
  <c r="G87" i="6" s="1"/>
  <c r="K87" i="6" a="1"/>
  <c r="K87" i="6" s="1"/>
  <c r="J87" i="6" a="1"/>
  <c r="J87" i="6" s="1"/>
  <c r="I87" i="6" a="1"/>
  <c r="I87" i="6" s="1"/>
  <c r="H87" i="6" a="1"/>
  <c r="H87" i="6" s="1"/>
  <c r="G67" i="6" a="1"/>
  <c r="G67" i="6" s="1"/>
  <c r="K67" i="6" a="1"/>
  <c r="K67" i="6" s="1"/>
  <c r="H67" i="6" a="1"/>
  <c r="H67" i="6" s="1"/>
  <c r="J67" i="6" a="1"/>
  <c r="J67" i="6" s="1"/>
  <c r="I67" i="6" a="1"/>
  <c r="I67" i="6" s="1"/>
  <c r="G181" i="6" a="1"/>
  <c r="G181" i="6" s="1"/>
  <c r="H181" i="6" a="1"/>
  <c r="H181" i="6" s="1"/>
  <c r="K181" i="6" a="1"/>
  <c r="K181" i="6" s="1"/>
  <c r="J181" i="6" a="1"/>
  <c r="J181" i="6" s="1"/>
  <c r="I181" i="6" a="1"/>
  <c r="I181" i="6" s="1"/>
  <c r="G25" i="6" a="1"/>
  <c r="G25" i="6" s="1"/>
  <c r="I25" i="6" a="1"/>
  <c r="I25" i="6" s="1"/>
  <c r="H25" i="6" a="1"/>
  <c r="H25" i="6" s="1"/>
  <c r="K25" i="6" a="1"/>
  <c r="K25" i="6" s="1"/>
  <c r="J25" i="6" a="1"/>
  <c r="J25" i="6" s="1"/>
  <c r="G148" i="6" a="1"/>
  <c r="G148" i="6" s="1"/>
  <c r="K148" i="6" a="1"/>
  <c r="K148" i="6" s="1"/>
  <c r="J148" i="6" a="1"/>
  <c r="J148" i="6" s="1"/>
  <c r="I148" i="6" a="1"/>
  <c r="I148" i="6" s="1"/>
  <c r="H148" i="6" a="1"/>
  <c r="H148" i="6" s="1"/>
  <c r="G162" i="6" a="1"/>
  <c r="G162" i="6" s="1"/>
  <c r="J162" i="6" a="1"/>
  <c r="J162" i="6" s="1"/>
  <c r="K162" i="6" a="1"/>
  <c r="K162" i="6" s="1"/>
  <c r="H162" i="6" a="1"/>
  <c r="H162" i="6" s="1"/>
  <c r="I162" i="6" a="1"/>
  <c r="I162" i="6" s="1"/>
  <c r="G114" i="6" a="1"/>
  <c r="G114" i="6" s="1"/>
  <c r="I114" i="6" a="1"/>
  <c r="I114" i="6" s="1"/>
  <c r="H114" i="6" a="1"/>
  <c r="H114" i="6" s="1"/>
  <c r="K114" i="6" a="1"/>
  <c r="K114" i="6" s="1"/>
  <c r="J114" i="6" a="1"/>
  <c r="J114" i="6" s="1"/>
  <c r="G93" i="6" a="1"/>
  <c r="G93" i="6" s="1"/>
  <c r="I93" i="6" a="1"/>
  <c r="I93" i="6" s="1"/>
  <c r="H93" i="6" a="1"/>
  <c r="H93" i="6" s="1"/>
  <c r="J93" i="6" a="1"/>
  <c r="J93" i="6" s="1"/>
  <c r="K93" i="6" a="1"/>
  <c r="K93" i="6" s="1"/>
  <c r="G74" i="6" a="1"/>
  <c r="G74" i="6" s="1"/>
  <c r="H74" i="6" a="1"/>
  <c r="H74" i="6" s="1"/>
  <c r="K74" i="6" a="1"/>
  <c r="K74" i="6" s="1"/>
  <c r="J74" i="6" a="1"/>
  <c r="J74" i="6" s="1"/>
  <c r="I74" i="6" a="1"/>
  <c r="I74" i="6" s="1"/>
  <c r="G185" i="6" a="1"/>
  <c r="G185" i="6" s="1"/>
  <c r="K185" i="6" a="1"/>
  <c r="K185" i="6" s="1"/>
  <c r="J185" i="6" a="1"/>
  <c r="J185" i="6" s="1"/>
  <c r="I185" i="6" a="1"/>
  <c r="I185" i="6" s="1"/>
  <c r="H185" i="6" a="1"/>
  <c r="H185" i="6" s="1"/>
  <c r="G71" i="6" a="1"/>
  <c r="G71" i="6" s="1"/>
  <c r="H71" i="6" a="1"/>
  <c r="H71" i="6" s="1"/>
  <c r="K71" i="6" a="1"/>
  <c r="K71" i="6" s="1"/>
  <c r="J71" i="6" a="1"/>
  <c r="J71" i="6" s="1"/>
  <c r="I71" i="6" a="1"/>
  <c r="I71" i="6" s="1"/>
  <c r="G33" i="6" a="1"/>
  <c r="G33" i="6" s="1"/>
  <c r="I33" i="6" a="1"/>
  <c r="I33" i="6" s="1"/>
  <c r="H33" i="6" a="1"/>
  <c r="H33" i="6" s="1"/>
  <c r="K33" i="6" a="1"/>
  <c r="K33" i="6" s="1"/>
  <c r="J33" i="6" a="1"/>
  <c r="J33" i="6" s="1"/>
  <c r="G26" i="6" a="1"/>
  <c r="G26" i="6" s="1"/>
  <c r="I26" i="6" a="1"/>
  <c r="I26" i="6" s="1"/>
  <c r="H26" i="6" a="1"/>
  <c r="H26" i="6" s="1"/>
  <c r="K26" i="6" a="1"/>
  <c r="K26" i="6" s="1"/>
  <c r="J26" i="6" a="1"/>
  <c r="J26" i="6" s="1"/>
  <c r="G156" i="6" a="1"/>
  <c r="G156" i="6" s="1"/>
  <c r="K156" i="6" a="1"/>
  <c r="K156" i="6" s="1"/>
  <c r="J156" i="6" a="1"/>
  <c r="J156" i="6" s="1"/>
  <c r="I156" i="6" a="1"/>
  <c r="I156" i="6" s="1"/>
  <c r="H156" i="6" a="1"/>
  <c r="H156" i="6" s="1"/>
  <c r="G52" i="6" a="1"/>
  <c r="G52" i="6" s="1"/>
  <c r="J52" i="6" a="1"/>
  <c r="J52" i="6" s="1"/>
  <c r="I52" i="6" a="1"/>
  <c r="I52" i="6" s="1"/>
  <c r="H52" i="6" a="1"/>
  <c r="H52" i="6" s="1"/>
  <c r="K52" i="6" a="1"/>
  <c r="K52" i="6" s="1"/>
  <c r="G158" i="6" a="1"/>
  <c r="G158" i="6" s="1"/>
  <c r="K158" i="6" a="1"/>
  <c r="K158" i="6" s="1"/>
  <c r="J158" i="6" a="1"/>
  <c r="J158" i="6" s="1"/>
  <c r="I158" i="6" a="1"/>
  <c r="I158" i="6" s="1"/>
  <c r="H158" i="6" a="1"/>
  <c r="H158" i="6" s="1"/>
  <c r="G75" i="6" a="1"/>
  <c r="G75" i="6" s="1"/>
  <c r="H75" i="6" a="1"/>
  <c r="H75" i="6" s="1"/>
  <c r="K75" i="6" a="1"/>
  <c r="K75" i="6" s="1"/>
  <c r="J75" i="6" a="1"/>
  <c r="J75" i="6" s="1"/>
  <c r="I75" i="6" a="1"/>
  <c r="I75" i="6" s="1"/>
  <c r="G59" i="6" a="1"/>
  <c r="G59" i="6" s="1"/>
  <c r="K59" i="6" a="1"/>
  <c r="K59" i="6" s="1"/>
  <c r="H59" i="6" a="1"/>
  <c r="H59" i="6" s="1"/>
  <c r="J59" i="6" a="1"/>
  <c r="J59" i="6" s="1"/>
  <c r="I59" i="6" a="1"/>
  <c r="I59" i="6" s="1"/>
  <c r="G157" i="6" a="1"/>
  <c r="G157" i="6" s="1"/>
  <c r="K157" i="6" a="1"/>
  <c r="K157" i="6" s="1"/>
  <c r="J157" i="6" a="1"/>
  <c r="J157" i="6" s="1"/>
  <c r="I157" i="6" a="1"/>
  <c r="I157" i="6" s="1"/>
  <c r="H157" i="6" a="1"/>
  <c r="H157" i="6" s="1"/>
  <c r="G134" i="6" a="1"/>
  <c r="G134" i="6" s="1"/>
  <c r="K134" i="6" a="1"/>
  <c r="K134" i="6" s="1"/>
  <c r="J134" i="6" a="1"/>
  <c r="J134" i="6" s="1"/>
  <c r="I134" i="6" a="1"/>
  <c r="I134" i="6" s="1"/>
  <c r="H134" i="6" a="1"/>
  <c r="H134" i="6" s="1"/>
  <c r="G46" i="6" a="1"/>
  <c r="G46" i="6" s="1"/>
  <c r="K46" i="6" a="1"/>
  <c r="K46" i="6" s="1"/>
  <c r="J46" i="6" a="1"/>
  <c r="J46" i="6" s="1"/>
  <c r="I46" i="6" a="1"/>
  <c r="I46" i="6" s="1"/>
  <c r="H46" i="6" a="1"/>
  <c r="H46" i="6" s="1"/>
  <c r="G104" i="6" a="1"/>
  <c r="G104" i="6" s="1"/>
  <c r="H104" i="6" a="1"/>
  <c r="H104" i="6" s="1"/>
  <c r="K104" i="6" a="1"/>
  <c r="K104" i="6" s="1"/>
  <c r="J104" i="6" a="1"/>
  <c r="J104" i="6" s="1"/>
  <c r="I104" i="6" a="1"/>
  <c r="I104" i="6" s="1"/>
  <c r="G37" i="6" a="1"/>
  <c r="G37" i="6" s="1"/>
  <c r="K37" i="6" a="1"/>
  <c r="K37" i="6" s="1"/>
  <c r="J37" i="6" a="1"/>
  <c r="J37" i="6" s="1"/>
  <c r="H37" i="6" a="1"/>
  <c r="H37" i="6" s="1"/>
  <c r="I37" i="6" a="1"/>
  <c r="I37" i="6" s="1"/>
  <c r="G237" i="6" a="1"/>
  <c r="G237" i="6" s="1"/>
  <c r="J237" i="6" a="1"/>
  <c r="J237" i="6" s="1"/>
  <c r="K237" i="6" a="1"/>
  <c r="K237" i="6" s="1"/>
  <c r="I237" i="6" a="1"/>
  <c r="I237" i="6" s="1"/>
  <c r="H237" i="6" a="1"/>
  <c r="H237" i="6" s="1"/>
  <c r="G91" i="6" a="1"/>
  <c r="G91" i="6" s="1"/>
  <c r="K91" i="6" a="1"/>
  <c r="K91" i="6" s="1"/>
  <c r="J91" i="6" a="1"/>
  <c r="J91" i="6" s="1"/>
  <c r="H91" i="6" a="1"/>
  <c r="H91" i="6" s="1"/>
  <c r="I91" i="6" a="1"/>
  <c r="I91" i="6" s="1"/>
  <c r="G39" i="6" a="1"/>
  <c r="G39" i="6" s="1"/>
  <c r="K39" i="6" a="1"/>
  <c r="K39" i="6" s="1"/>
  <c r="H39" i="6" a="1"/>
  <c r="H39" i="6" s="1"/>
  <c r="J39" i="6" a="1"/>
  <c r="J39" i="6" s="1"/>
  <c r="I39" i="6" a="1"/>
  <c r="I39" i="6" s="1"/>
  <c r="G116" i="6" a="1"/>
  <c r="G116" i="6" s="1"/>
  <c r="I116" i="6" a="1"/>
  <c r="I116" i="6" s="1"/>
  <c r="H116" i="6" a="1"/>
  <c r="H116" i="6" s="1"/>
  <c r="K116" i="6" a="1"/>
  <c r="K116" i="6" s="1"/>
  <c r="J116" i="6" a="1"/>
  <c r="J116" i="6" s="1"/>
  <c r="G173" i="6" a="1"/>
  <c r="G173" i="6" s="1"/>
  <c r="H173" i="6" a="1"/>
  <c r="H173" i="6" s="1"/>
  <c r="K173" i="6" a="1"/>
  <c r="K173" i="6" s="1"/>
  <c r="J173" i="6" a="1"/>
  <c r="J173" i="6" s="1"/>
  <c r="I173" i="6" a="1"/>
  <c r="I173" i="6" s="1"/>
  <c r="G143" i="6" a="1"/>
  <c r="G143" i="6" s="1"/>
  <c r="K143" i="6" a="1"/>
  <c r="K143" i="6" s="1"/>
  <c r="J143" i="6" a="1"/>
  <c r="J143" i="6" s="1"/>
  <c r="I143" i="6" a="1"/>
  <c r="I143" i="6" s="1"/>
  <c r="H143" i="6" a="1"/>
  <c r="H143" i="6" s="1"/>
  <c r="G41" i="6" a="1"/>
  <c r="G41" i="6" s="1"/>
  <c r="I41" i="6" a="1"/>
  <c r="I41" i="6" s="1"/>
  <c r="H41" i="6" a="1"/>
  <c r="H41" i="6" s="1"/>
  <c r="K41" i="6" a="1"/>
  <c r="K41" i="6" s="1"/>
  <c r="J41" i="6" a="1"/>
  <c r="J41" i="6" s="1"/>
  <c r="G36" i="6" a="1"/>
  <c r="G36" i="6" s="1"/>
  <c r="J36" i="6" a="1"/>
  <c r="J36" i="6" s="1"/>
  <c r="I36" i="6" a="1"/>
  <c r="I36" i="6" s="1"/>
  <c r="H36" i="6" a="1"/>
  <c r="H36" i="6" s="1"/>
  <c r="K36" i="6" a="1"/>
  <c r="K36" i="6" s="1"/>
  <c r="G184" i="6" a="1"/>
  <c r="G184" i="6" s="1"/>
  <c r="I184" i="6" a="1"/>
  <c r="I184" i="6" s="1"/>
  <c r="H184" i="6" a="1"/>
  <c r="H184" i="6" s="1"/>
  <c r="K184" i="6" a="1"/>
  <c r="K184" i="6" s="1"/>
  <c r="J184" i="6" a="1"/>
  <c r="J184" i="6" s="1"/>
  <c r="G72" i="6" a="1"/>
  <c r="G72" i="6" s="1"/>
  <c r="H72" i="6" a="1"/>
  <c r="H72" i="6" s="1"/>
  <c r="K72" i="6" a="1"/>
  <c r="K72" i="6" s="1"/>
  <c r="J72" i="6" a="1"/>
  <c r="J72" i="6" s="1"/>
  <c r="I72" i="6" a="1"/>
  <c r="I72" i="6" s="1"/>
  <c r="G30" i="6" a="1"/>
  <c r="G30" i="6" s="1"/>
  <c r="I30" i="6" a="1"/>
  <c r="I30" i="6" s="1"/>
  <c r="H30" i="6" a="1"/>
  <c r="H30" i="6" s="1"/>
  <c r="K30" i="6" a="1"/>
  <c r="K30" i="6" s="1"/>
  <c r="J30" i="6" a="1"/>
  <c r="J30" i="6" s="1"/>
  <c r="G180" i="6" a="1"/>
  <c r="G180" i="6" s="1"/>
  <c r="K180" i="6" a="1"/>
  <c r="K180" i="6" s="1"/>
  <c r="J180" i="6" a="1"/>
  <c r="J180" i="6" s="1"/>
  <c r="H180" i="6" a="1"/>
  <c r="H180" i="6" s="1"/>
  <c r="I180" i="6" a="1"/>
  <c r="I180" i="6" s="1"/>
  <c r="G21" i="6" a="1"/>
  <c r="G21" i="6" s="1"/>
  <c r="I21" i="6" a="1"/>
  <c r="I21" i="6" s="1"/>
  <c r="H21" i="6" a="1"/>
  <c r="H21" i="6" s="1"/>
  <c r="K21" i="6" a="1"/>
  <c r="K21" i="6" s="1"/>
  <c r="J21" i="6" a="1"/>
  <c r="J21" i="6" s="1"/>
  <c r="G13" i="6" a="1"/>
  <c r="G13" i="6" s="1"/>
  <c r="H13" i="6" a="1"/>
  <c r="H13" i="6" s="1"/>
  <c r="I13" i="6" a="1"/>
  <c r="I13" i="6" s="1"/>
  <c r="K13" i="6" a="1"/>
  <c r="K13" i="6" s="1"/>
  <c r="J13" i="6" a="1"/>
  <c r="J13" i="6" s="1"/>
  <c r="G125" i="6" a="1"/>
  <c r="G125" i="6" s="1"/>
  <c r="K125" i="6" a="1"/>
  <c r="K125" i="6" s="1"/>
  <c r="J125" i="6" a="1"/>
  <c r="J125" i="6" s="1"/>
  <c r="I125" i="6" a="1"/>
  <c r="I125" i="6" s="1"/>
  <c r="H125" i="6" a="1"/>
  <c r="H125" i="6" s="1"/>
  <c r="G155" i="6" a="1"/>
  <c r="G155" i="6" s="1"/>
  <c r="K155" i="6" a="1"/>
  <c r="K155" i="6" s="1"/>
  <c r="J155" i="6" a="1"/>
  <c r="J155" i="6" s="1"/>
  <c r="I155" i="6" a="1"/>
  <c r="I155" i="6" s="1"/>
  <c r="H155" i="6" a="1"/>
  <c r="H155" i="6" s="1"/>
  <c r="G9" i="6" a="1"/>
  <c r="G9" i="6" s="1"/>
  <c r="H9" i="6" a="1"/>
  <c r="H9" i="6" s="1"/>
  <c r="K9" i="6" a="1"/>
  <c r="K9" i="6" s="1"/>
  <c r="I9" i="6" a="1"/>
  <c r="I9" i="6" s="1"/>
  <c r="J9" i="6" a="1"/>
  <c r="J9" i="6" s="1"/>
  <c r="G98" i="6" a="1"/>
  <c r="G98" i="6" s="1"/>
  <c r="K98" i="6" a="1"/>
  <c r="K98" i="6" s="1"/>
  <c r="I98" i="6" a="1"/>
  <c r="I98" i="6" s="1"/>
  <c r="J98" i="6" a="1"/>
  <c r="J98" i="6" s="1"/>
  <c r="H98" i="6" a="1"/>
  <c r="H98" i="6" s="1"/>
  <c r="G64" i="6" a="1"/>
  <c r="G64" i="6" s="1"/>
  <c r="K64" i="6" a="1"/>
  <c r="K64" i="6" s="1"/>
  <c r="I64" i="6" a="1"/>
  <c r="I64" i="6" s="1"/>
  <c r="H64" i="6" a="1"/>
  <c r="H64" i="6" s="1"/>
  <c r="J64" i="6" a="1"/>
  <c r="J64" i="6" s="1"/>
  <c r="G175" i="6" a="1"/>
  <c r="G175" i="6" s="1"/>
  <c r="K175" i="6" a="1"/>
  <c r="K175" i="6" s="1"/>
  <c r="I175" i="6" a="1"/>
  <c r="I175" i="6" s="1"/>
  <c r="J175" i="6" a="1"/>
  <c r="J175" i="6" s="1"/>
  <c r="H175" i="6" a="1"/>
  <c r="H175" i="6" s="1"/>
  <c r="G137" i="6" a="1"/>
  <c r="G137" i="6" s="1"/>
  <c r="K137" i="6" a="1"/>
  <c r="K137" i="6" s="1"/>
  <c r="J137" i="6" a="1"/>
  <c r="J137" i="6" s="1"/>
  <c r="I137" i="6" a="1"/>
  <c r="I137" i="6" s="1"/>
  <c r="H137" i="6" a="1"/>
  <c r="H137" i="6" s="1"/>
  <c r="G76" i="6" a="1"/>
  <c r="G76" i="6" s="1"/>
  <c r="H76" i="6" a="1"/>
  <c r="H76" i="6" s="1"/>
  <c r="K76" i="6" a="1"/>
  <c r="K76" i="6" s="1"/>
  <c r="I76" i="6" a="1"/>
  <c r="I76" i="6" s="1"/>
  <c r="J76" i="6" a="1"/>
  <c r="J76" i="6" s="1"/>
  <c r="G117" i="6" a="1"/>
  <c r="G117" i="6" s="1"/>
  <c r="I117" i="6" a="1"/>
  <c r="I117" i="6" s="1"/>
  <c r="H117" i="6" a="1"/>
  <c r="H117" i="6" s="1"/>
  <c r="K117" i="6" a="1"/>
  <c r="K117" i="6" s="1"/>
  <c r="J117" i="6" a="1"/>
  <c r="J117" i="6" s="1"/>
  <c r="G235" i="6" a="1"/>
  <c r="G235" i="6" s="1"/>
  <c r="J235" i="6" a="1"/>
  <c r="J235" i="6" s="1"/>
  <c r="K235" i="6" a="1"/>
  <c r="K235" i="6" s="1"/>
  <c r="I235" i="6" a="1"/>
  <c r="I235" i="6" s="1"/>
  <c r="H235" i="6" a="1"/>
  <c r="H235" i="6" s="1"/>
  <c r="G15" i="6" a="1"/>
  <c r="G15" i="6" s="1"/>
  <c r="I15" i="6" a="1"/>
  <c r="I15" i="6" s="1"/>
  <c r="H15" i="6" a="1"/>
  <c r="H15" i="6" s="1"/>
  <c r="K15" i="6" a="1"/>
  <c r="K15" i="6" s="1"/>
  <c r="J15" i="6" a="1"/>
  <c r="J15" i="6" s="1"/>
  <c r="G146" i="6" a="1"/>
  <c r="G146" i="6" s="1"/>
  <c r="K146" i="6" a="1"/>
  <c r="K146" i="6" s="1"/>
  <c r="J146" i="6" a="1"/>
  <c r="J146" i="6" s="1"/>
  <c r="I146" i="6" a="1"/>
  <c r="I146" i="6" s="1"/>
  <c r="H146" i="6" a="1"/>
  <c r="H146" i="6" s="1"/>
  <c r="G92" i="6" a="1"/>
  <c r="G92" i="6" s="1"/>
  <c r="K92" i="6" a="1"/>
  <c r="K92" i="6" s="1"/>
  <c r="J92" i="6" a="1"/>
  <c r="J92" i="6" s="1"/>
  <c r="I92" i="6" a="1"/>
  <c r="I92" i="6" s="1"/>
  <c r="H92" i="6" a="1"/>
  <c r="H92" i="6" s="1"/>
  <c r="G147" i="6" a="1"/>
  <c r="G147" i="6" s="1"/>
  <c r="K147" i="6" a="1"/>
  <c r="K147" i="6" s="1"/>
  <c r="J147" i="6" a="1"/>
  <c r="J147" i="6" s="1"/>
  <c r="I147" i="6" a="1"/>
  <c r="I147" i="6" s="1"/>
  <c r="H147" i="6" a="1"/>
  <c r="H147" i="6" s="1"/>
  <c r="G109" i="6" a="1"/>
  <c r="G109" i="6" s="1"/>
  <c r="H109" i="6" a="1"/>
  <c r="H109" i="6" s="1"/>
  <c r="K109" i="6" a="1"/>
  <c r="K109" i="6" s="1"/>
  <c r="J109" i="6" a="1"/>
  <c r="J109" i="6" s="1"/>
  <c r="I109" i="6" a="1"/>
  <c r="I109" i="6" s="1"/>
  <c r="G79" i="6" a="1"/>
  <c r="G79" i="6" s="1"/>
  <c r="K79" i="6" a="1"/>
  <c r="K79" i="6" s="1"/>
  <c r="J79" i="6" a="1"/>
  <c r="J79" i="6" s="1"/>
  <c r="I79" i="6" a="1"/>
  <c r="I79" i="6" s="1"/>
  <c r="H79" i="6" a="1"/>
  <c r="H79" i="6" s="1"/>
  <c r="G126" i="6" a="1"/>
  <c r="G126" i="6" s="1"/>
  <c r="K126" i="6" a="1"/>
  <c r="K126" i="6" s="1"/>
  <c r="J126" i="6" a="1"/>
  <c r="J126" i="6" s="1"/>
  <c r="I126" i="6" a="1"/>
  <c r="I126" i="6" s="1"/>
  <c r="H126" i="6" a="1"/>
  <c r="H126" i="6" s="1"/>
  <c r="G106" i="6" a="1"/>
  <c r="G106" i="6" s="1"/>
  <c r="H106" i="6" a="1"/>
  <c r="H106" i="6" s="1"/>
  <c r="K106" i="6" a="1"/>
  <c r="K106" i="6" s="1"/>
  <c r="J106" i="6" a="1"/>
  <c r="J106" i="6" s="1"/>
  <c r="I106" i="6" a="1"/>
  <c r="I106" i="6" s="1"/>
  <c r="G127" i="6" a="1"/>
  <c r="G127" i="6" s="1"/>
  <c r="K127" i="6" a="1"/>
  <c r="K127" i="6" s="1"/>
  <c r="J127" i="6" a="1"/>
  <c r="J127" i="6" s="1"/>
  <c r="I127" i="6" a="1"/>
  <c r="I127" i="6" s="1"/>
  <c r="H127" i="6" a="1"/>
  <c r="H127" i="6" s="1"/>
  <c r="G140" i="6" a="1"/>
  <c r="G140" i="6" s="1"/>
  <c r="K140" i="6" a="1"/>
  <c r="K140" i="6" s="1"/>
  <c r="J140" i="6" a="1"/>
  <c r="J140" i="6" s="1"/>
  <c r="I140" i="6" a="1"/>
  <c r="I140" i="6" s="1"/>
  <c r="H140" i="6" a="1"/>
  <c r="H140" i="6" s="1"/>
  <c r="G145" i="6" a="1"/>
  <c r="G145" i="6" s="1"/>
  <c r="K145" i="6" a="1"/>
  <c r="K145" i="6" s="1"/>
  <c r="J145" i="6" a="1"/>
  <c r="J145" i="6" s="1"/>
  <c r="I145" i="6" a="1"/>
  <c r="I145" i="6" s="1"/>
  <c r="H145" i="6" a="1"/>
  <c r="H145" i="6" s="1"/>
  <c r="G159" i="6" a="1"/>
  <c r="G159" i="6" s="1"/>
  <c r="K159" i="6" a="1"/>
  <c r="K159" i="6" s="1"/>
  <c r="J159" i="6" a="1"/>
  <c r="J159" i="6" s="1"/>
  <c r="I159" i="6" a="1"/>
  <c r="I159" i="6" s="1"/>
  <c r="H159" i="6" a="1"/>
  <c r="H159" i="6" s="1"/>
  <c r="G23" i="6" a="1"/>
  <c r="G23" i="6" s="1"/>
  <c r="I23" i="6" a="1"/>
  <c r="I23" i="6" s="1"/>
  <c r="H23" i="6" a="1"/>
  <c r="H23" i="6" s="1"/>
  <c r="K23" i="6" a="1"/>
  <c r="K23" i="6" s="1"/>
  <c r="J23" i="6" a="1"/>
  <c r="J23" i="6" s="1"/>
  <c r="G24" i="6" a="1"/>
  <c r="G24" i="6" s="1"/>
  <c r="I24" i="6" a="1"/>
  <c r="I24" i="6" s="1"/>
  <c r="H24" i="6" a="1"/>
  <c r="H24" i="6" s="1"/>
  <c r="K24" i="6" a="1"/>
  <c r="K24" i="6" s="1"/>
  <c r="J24" i="6" a="1"/>
  <c r="J24" i="6" s="1"/>
  <c r="G108" i="6" a="1"/>
  <c r="G108" i="6" s="1"/>
  <c r="H108" i="6" a="1"/>
  <c r="H108" i="6" s="1"/>
  <c r="K108" i="6" a="1"/>
  <c r="K108" i="6" s="1"/>
  <c r="J108" i="6" a="1"/>
  <c r="J108" i="6" s="1"/>
  <c r="I108" i="6" a="1"/>
  <c r="I108" i="6" s="1"/>
  <c r="G27" i="6" a="1"/>
  <c r="G27" i="6" s="1"/>
  <c r="I27" i="6" a="1"/>
  <c r="I27" i="6" s="1"/>
  <c r="H27" i="6" a="1"/>
  <c r="H27" i="6" s="1"/>
  <c r="K27" i="6" a="1"/>
  <c r="K27" i="6" s="1"/>
  <c r="J27" i="6" a="1"/>
  <c r="J27" i="6" s="1"/>
  <c r="G174" i="6" a="1"/>
  <c r="G174" i="6" s="1"/>
  <c r="K174" i="6" a="1"/>
  <c r="K174" i="6" s="1"/>
  <c r="J174" i="6" a="1"/>
  <c r="J174" i="6" s="1"/>
  <c r="I174" i="6" a="1"/>
  <c r="I174" i="6" s="1"/>
  <c r="H174" i="6" a="1"/>
  <c r="H174" i="6" s="1"/>
  <c r="G179" i="6" a="1"/>
  <c r="G179" i="6" s="1"/>
  <c r="J179" i="6" a="1"/>
  <c r="J179" i="6" s="1"/>
  <c r="I179" i="6" a="1"/>
  <c r="I179" i="6" s="1"/>
  <c r="H179" i="6" a="1"/>
  <c r="H179" i="6" s="1"/>
  <c r="K179" i="6" a="1"/>
  <c r="K179" i="6" s="1"/>
  <c r="G141" i="6" a="1"/>
  <c r="G141" i="6" s="1"/>
  <c r="K141" i="6" a="1"/>
  <c r="K141" i="6" s="1"/>
  <c r="J141" i="6" a="1"/>
  <c r="J141" i="6" s="1"/>
  <c r="I141" i="6" a="1"/>
  <c r="I141" i="6" s="1"/>
  <c r="H141" i="6" a="1"/>
  <c r="H141" i="6" s="1"/>
  <c r="G111" i="6" a="1"/>
  <c r="G111" i="6" s="1"/>
  <c r="I111" i="6" a="1"/>
  <c r="I111" i="6" s="1"/>
  <c r="H111" i="6" a="1"/>
  <c r="H111" i="6" s="1"/>
  <c r="K111" i="6" a="1"/>
  <c r="K111" i="6" s="1"/>
  <c r="J111" i="6" a="1"/>
  <c r="J111" i="6" s="1"/>
  <c r="G73" i="6" a="1"/>
  <c r="G73" i="6" s="1"/>
  <c r="H73" i="6" a="1"/>
  <c r="H73" i="6" s="1"/>
  <c r="K73" i="6" a="1"/>
  <c r="K73" i="6" s="1"/>
  <c r="I73" i="6" a="1"/>
  <c r="I73" i="6" s="1"/>
  <c r="J73" i="6" a="1"/>
  <c r="J73" i="6" s="1"/>
  <c r="G81" i="6" a="1"/>
  <c r="G81" i="6" s="1"/>
  <c r="I81" i="6" a="1"/>
  <c r="I81" i="6" s="1"/>
  <c r="H81" i="6" a="1"/>
  <c r="H81" i="6" s="1"/>
  <c r="K81" i="6" a="1"/>
  <c r="K81" i="6" s="1"/>
  <c r="J81" i="6" a="1"/>
  <c r="J81" i="6" s="1"/>
  <c r="G95" i="6" a="1"/>
  <c r="G95" i="6" s="1"/>
  <c r="K95" i="6" a="1"/>
  <c r="K95" i="6" s="1"/>
  <c r="J95" i="6" a="1"/>
  <c r="J95" i="6" s="1"/>
  <c r="I95" i="6" a="1"/>
  <c r="I95" i="6" s="1"/>
  <c r="H95" i="6" a="1"/>
  <c r="H95" i="6" s="1"/>
  <c r="G187" i="6" a="1"/>
  <c r="G187" i="6" s="1"/>
  <c r="J187" i="6" a="1"/>
  <c r="J187" i="6" s="1"/>
  <c r="I187" i="6" a="1"/>
  <c r="I187" i="6" s="1"/>
  <c r="H187" i="6" a="1"/>
  <c r="H187" i="6" s="1"/>
  <c r="K187" i="6" a="1"/>
  <c r="K187" i="6" s="1"/>
  <c r="G128" i="6" a="1"/>
  <c r="G128" i="6" s="1"/>
  <c r="K128" i="6" a="1"/>
  <c r="K128" i="6" s="1"/>
  <c r="J128" i="6" a="1"/>
  <c r="J128" i="6" s="1"/>
  <c r="I128" i="6" a="1"/>
  <c r="I128" i="6" s="1"/>
  <c r="H128" i="6" a="1"/>
  <c r="H128" i="6" s="1"/>
  <c r="G142" i="6" a="1"/>
  <c r="G142" i="6" s="1"/>
  <c r="K142" i="6" a="1"/>
  <c r="K142" i="6" s="1"/>
  <c r="J142" i="6" a="1"/>
  <c r="J142" i="6" s="1"/>
  <c r="I142" i="6" a="1"/>
  <c r="I142" i="6" s="1"/>
  <c r="H142" i="6" a="1"/>
  <c r="H142" i="6" s="1"/>
  <c r="G83" i="6" a="1"/>
  <c r="G83" i="6" s="1"/>
  <c r="K83" i="6" a="1"/>
  <c r="K83" i="6" s="1"/>
  <c r="J83" i="6" a="1"/>
  <c r="J83" i="6" s="1"/>
  <c r="I83" i="6" a="1"/>
  <c r="I83" i="6" s="1"/>
  <c r="H83" i="6" a="1"/>
  <c r="H83" i="6" s="1"/>
  <c r="G45" i="6" a="1"/>
  <c r="G45" i="6" s="1"/>
  <c r="K45" i="6" a="1"/>
  <c r="K45" i="6" s="1"/>
  <c r="J45" i="6" a="1"/>
  <c r="J45" i="6" s="1"/>
  <c r="H45" i="6" a="1"/>
  <c r="H45" i="6" s="1"/>
  <c r="I45" i="6" a="1"/>
  <c r="I45" i="6" s="1"/>
  <c r="G182" i="6" a="1"/>
  <c r="G182" i="6" s="1"/>
  <c r="K182" i="6" a="1"/>
  <c r="K182" i="6" s="1"/>
  <c r="J182" i="6" a="1"/>
  <c r="J182" i="6" s="1"/>
  <c r="I182" i="6" a="1"/>
  <c r="I182" i="6" s="1"/>
  <c r="H182" i="6" a="1"/>
  <c r="H182" i="6" s="1"/>
  <c r="G43" i="6" a="1"/>
  <c r="G43" i="6" s="1"/>
  <c r="J43" i="6" a="1"/>
  <c r="J43" i="6" s="1"/>
  <c r="I43" i="6" a="1"/>
  <c r="I43" i="6" s="1"/>
  <c r="H43" i="6" a="1"/>
  <c r="H43" i="6" s="1"/>
  <c r="K43" i="6" a="1"/>
  <c r="K43" i="6" s="1"/>
  <c r="G164" i="6" a="1"/>
  <c r="G164" i="6" s="1"/>
  <c r="K164" i="6" a="1"/>
  <c r="K164" i="6" s="1"/>
  <c r="J164" i="6" a="1"/>
  <c r="J164" i="6" s="1"/>
  <c r="H164" i="6" a="1"/>
  <c r="H164" i="6" s="1"/>
  <c r="I164" i="6" a="1"/>
  <c r="I164" i="6" s="1"/>
  <c r="G112" i="6" a="1"/>
  <c r="G112" i="6" s="1"/>
  <c r="I112" i="6" a="1"/>
  <c r="I112" i="6" s="1"/>
  <c r="H112" i="6" a="1"/>
  <c r="H112" i="6" s="1"/>
  <c r="K112" i="6" a="1"/>
  <c r="K112" i="6" s="1"/>
  <c r="J112" i="6" a="1"/>
  <c r="J112" i="6" s="1"/>
  <c r="G63" i="6" a="1"/>
  <c r="G63" i="6" s="1"/>
  <c r="K63" i="6" a="1"/>
  <c r="K63" i="6" s="1"/>
  <c r="H63" i="6" a="1"/>
  <c r="H63" i="6" s="1"/>
  <c r="J63" i="6" a="1"/>
  <c r="J63" i="6" s="1"/>
  <c r="I63" i="6" a="1"/>
  <c r="I63" i="6" s="1"/>
  <c r="G107" i="6" a="1"/>
  <c r="G107" i="6" s="1"/>
  <c r="H107" i="6" a="1"/>
  <c r="H107" i="6" s="1"/>
  <c r="K107" i="6" a="1"/>
  <c r="K107" i="6" s="1"/>
  <c r="J107" i="6" a="1"/>
  <c r="J107" i="6" s="1"/>
  <c r="I107" i="6" a="1"/>
  <c r="I107" i="6" s="1"/>
  <c r="G17" i="6" a="1"/>
  <c r="G17" i="6" s="1"/>
  <c r="I17" i="6" a="1"/>
  <c r="I17" i="6" s="1"/>
  <c r="H17" i="6" a="1"/>
  <c r="H17" i="6" s="1"/>
  <c r="K17" i="6" a="1"/>
  <c r="K17" i="6" s="1"/>
  <c r="J17" i="6" a="1"/>
  <c r="J17" i="6" s="1"/>
  <c r="G31" i="6" a="1"/>
  <c r="G31" i="6" s="1"/>
  <c r="I31" i="6" a="1"/>
  <c r="I31" i="6" s="1"/>
  <c r="H31" i="6" a="1"/>
  <c r="H31" i="6" s="1"/>
  <c r="K31" i="6" a="1"/>
  <c r="K31" i="6" s="1"/>
  <c r="J31" i="6" a="1"/>
  <c r="J31" i="6" s="1"/>
  <c r="G62" i="6" a="1"/>
  <c r="G62" i="6" s="1"/>
  <c r="K62" i="6" a="1"/>
  <c r="K62" i="6" s="1"/>
  <c r="J62" i="6" a="1"/>
  <c r="J62" i="6" s="1"/>
  <c r="I62" i="6" a="1"/>
  <c r="I62" i="6" s="1"/>
  <c r="H62" i="6" a="1"/>
  <c r="H62" i="6" s="1"/>
  <c r="G166" i="6" a="1"/>
  <c r="G166" i="6" s="1"/>
  <c r="K166" i="6" a="1"/>
  <c r="K166" i="6" s="1"/>
  <c r="J166" i="6" a="1"/>
  <c r="J166" i="6" s="1"/>
  <c r="I166" i="6" a="1"/>
  <c r="I166" i="6" s="1"/>
  <c r="H166" i="6" a="1"/>
  <c r="H166" i="6" s="1"/>
  <c r="G8" i="6" a="1"/>
  <c r="G8" i="6" s="1"/>
  <c r="I8" i="6" a="1"/>
  <c r="I8" i="6" s="1"/>
  <c r="H8" i="6" a="1"/>
  <c r="H8" i="6" s="1"/>
  <c r="K8" i="6" a="1"/>
  <c r="K8" i="6" s="1"/>
  <c r="J8" i="6" a="1"/>
  <c r="J8" i="6" s="1"/>
  <c r="G66" i="6" a="1"/>
  <c r="G66" i="6" s="1"/>
  <c r="K66" i="6" a="1"/>
  <c r="K66" i="6" s="1"/>
  <c r="J66" i="6" a="1"/>
  <c r="J66" i="6" s="1"/>
  <c r="I66" i="6" a="1"/>
  <c r="I66" i="6" s="1"/>
  <c r="H66" i="6" a="1"/>
  <c r="H66" i="6" s="1"/>
  <c r="G110" i="6" a="1"/>
  <c r="G110" i="6" s="1"/>
  <c r="I110" i="6" a="1"/>
  <c r="I110" i="6" s="1"/>
  <c r="H110" i="6" a="1"/>
  <c r="H110" i="6" s="1"/>
  <c r="K110" i="6" a="1"/>
  <c r="K110" i="6" s="1"/>
  <c r="J110" i="6" a="1"/>
  <c r="J110" i="6" s="1"/>
  <c r="G115" i="6" a="1"/>
  <c r="G115" i="6" s="1"/>
  <c r="I115" i="6" a="1"/>
  <c r="I115" i="6" s="1"/>
  <c r="H115" i="6" a="1"/>
  <c r="H115" i="6" s="1"/>
  <c r="K115" i="6" a="1"/>
  <c r="K115" i="6" s="1"/>
  <c r="J115" i="6" a="1"/>
  <c r="J115" i="6" s="1"/>
  <c r="G77" i="6" a="1"/>
  <c r="G77" i="6" s="1"/>
  <c r="I77" i="6" a="1"/>
  <c r="I77" i="6" s="1"/>
  <c r="H77" i="6" a="1"/>
  <c r="H77" i="6" s="1"/>
  <c r="K77" i="6" a="1"/>
  <c r="K77" i="6" s="1"/>
  <c r="J77" i="6" a="1"/>
  <c r="J77" i="6" s="1"/>
  <c r="G47" i="6" a="1"/>
  <c r="G47" i="6" s="1"/>
  <c r="K47" i="6" a="1"/>
  <c r="K47" i="6" s="1"/>
  <c r="J47" i="6" a="1"/>
  <c r="J47" i="6" s="1"/>
  <c r="H47" i="6" a="1"/>
  <c r="H47" i="6" s="1"/>
  <c r="I47" i="6" a="1"/>
  <c r="I47" i="6" s="1"/>
  <c r="G11" i="6" a="1"/>
  <c r="G11" i="6" s="1"/>
  <c r="H11" i="6" a="1"/>
  <c r="H11" i="6" s="1"/>
  <c r="K11" i="6" a="1"/>
  <c r="K11" i="6" s="1"/>
  <c r="J11" i="6" a="1"/>
  <c r="J11" i="6" s="1"/>
  <c r="I11" i="6" a="1"/>
  <c r="I11" i="6" s="1"/>
  <c r="G50" i="6" a="1"/>
  <c r="G50" i="6" s="1"/>
  <c r="I50" i="6" a="1"/>
  <c r="I50" i="6" s="1"/>
  <c r="H50" i="6" a="1"/>
  <c r="H50" i="6" s="1"/>
  <c r="J50" i="6" a="1"/>
  <c r="J50" i="6" s="1"/>
  <c r="K50" i="6" a="1"/>
  <c r="K50" i="6" s="1"/>
  <c r="G68" i="6" a="1"/>
  <c r="G68" i="6" s="1"/>
  <c r="K68" i="6" a="1"/>
  <c r="K68" i="6" s="1"/>
  <c r="I68" i="6" a="1"/>
  <c r="I68" i="6" s="1"/>
  <c r="H68" i="6" a="1"/>
  <c r="H68" i="6" s="1"/>
  <c r="J68" i="6" a="1"/>
  <c r="J68" i="6" s="1"/>
  <c r="G194" i="6" a="1"/>
  <c r="G194" i="6" s="1"/>
  <c r="J194" i="6" a="1"/>
  <c r="J194" i="6" s="1"/>
  <c r="K194" i="6" a="1"/>
  <c r="K194" i="6" s="1"/>
  <c r="I194" i="6" a="1"/>
  <c r="I194" i="6" s="1"/>
  <c r="H194" i="6" a="1"/>
  <c r="H194" i="6" s="1"/>
  <c r="K7" i="6" a="1"/>
  <c r="K7" i="6" s="1"/>
  <c r="G7" i="6" a="1"/>
  <c r="G7" i="6" s="1"/>
  <c r="H7" i="6" a="1"/>
  <c r="H7" i="6" s="1"/>
  <c r="J7" i="6" a="1"/>
  <c r="J7" i="6" s="1"/>
  <c r="I7" i="6" a="1"/>
  <c r="I7" i="6" s="1"/>
  <c r="AZ214" i="6"/>
  <c r="BB214" i="6" s="1"/>
  <c r="M214" i="6" s="1" a="1"/>
  <c r="M214" i="6" s="1"/>
  <c r="AA16" i="6"/>
  <c r="AZ215" i="6"/>
  <c r="BB215" i="6" s="1"/>
  <c r="M215" i="6" s="1" a="1"/>
  <c r="M215" i="6" s="1"/>
  <c r="AI190" i="6"/>
  <c r="BA246" i="6"/>
  <c r="BA244" i="6"/>
  <c r="AA86" i="6"/>
  <c r="AA15" i="6"/>
  <c r="BA245" i="6"/>
  <c r="BA211" i="6"/>
  <c r="AZ202" i="6"/>
  <c r="BB202" i="6" s="1"/>
  <c r="M202" i="6" s="1" a="1"/>
  <c r="M202" i="6" s="1"/>
  <c r="AZ199" i="6"/>
  <c r="BB199" i="6" s="1"/>
  <c r="M199" i="6" s="1" a="1"/>
  <c r="M199" i="6" s="1"/>
  <c r="BA220" i="6"/>
  <c r="AA170" i="6"/>
  <c r="BA198" i="6"/>
  <c r="BA229" i="6"/>
  <c r="AZ196" i="6"/>
  <c r="BB196" i="6" s="1"/>
  <c r="M196" i="6" s="1" a="1"/>
  <c r="M196" i="6" s="1"/>
  <c r="AZ197" i="6"/>
  <c r="BB197" i="6" s="1"/>
  <c r="M197" i="6" s="1" a="1"/>
  <c r="M197" i="6" s="1"/>
  <c r="AA145" i="6"/>
  <c r="AA154" i="6"/>
  <c r="AA57" i="6"/>
  <c r="AA24" i="6"/>
  <c r="AA150" i="6"/>
  <c r="AA53" i="6"/>
  <c r="AA40" i="6"/>
  <c r="AA56" i="6"/>
  <c r="AA108" i="6"/>
  <c r="AA137" i="6"/>
  <c r="AA76" i="6"/>
  <c r="AA23" i="6"/>
  <c r="AA141" i="6"/>
  <c r="AA27" i="6"/>
  <c r="BA219" i="6"/>
  <c r="BA205" i="6"/>
  <c r="AA175" i="6"/>
  <c r="AA178" i="6"/>
  <c r="AI178" i="6" s="1"/>
  <c r="AA127" i="6"/>
  <c r="AA121" i="6"/>
  <c r="AA117" i="6"/>
  <c r="AA138" i="6"/>
  <c r="AA12" i="6"/>
  <c r="AA126" i="6"/>
  <c r="AA106" i="6"/>
  <c r="AZ200" i="6"/>
  <c r="BB200" i="6" s="1"/>
  <c r="M200" i="6" s="1" a="1"/>
  <c r="M200" i="6" s="1"/>
  <c r="AZ201" i="6"/>
  <c r="BA201" i="6"/>
  <c r="AZ226" i="6"/>
  <c r="BB226" i="6" s="1"/>
  <c r="M226" i="6" s="1" a="1"/>
  <c r="M226" i="6" s="1"/>
  <c r="AZ207" i="6"/>
  <c r="BB207" i="6" s="1"/>
  <c r="M207" i="6" s="1" a="1"/>
  <c r="M207" i="6" s="1"/>
  <c r="AZ218" i="6"/>
  <c r="BB218" i="6" s="1"/>
  <c r="M218" i="6" s="1" a="1"/>
  <c r="M218" i="6" s="1"/>
  <c r="BA206" i="6"/>
  <c r="BA195" i="6"/>
  <c r="AZ204" i="6"/>
  <c r="BB204" i="6" s="1"/>
  <c r="M204" i="6" s="1" a="1"/>
  <c r="M204" i="6" s="1"/>
  <c r="AZ203" i="6"/>
  <c r="BB203" i="6" s="1"/>
  <c r="M203" i="6" s="1" a="1"/>
  <c r="M203" i="6" s="1"/>
  <c r="BA210" i="6"/>
  <c r="BA231" i="6"/>
  <c r="AZ208" i="6"/>
  <c r="BB208" i="6" s="1"/>
  <c r="M208" i="6" s="1" a="1"/>
  <c r="M208" i="6" s="1"/>
  <c r="BA216" i="6"/>
  <c r="AZ213" i="6"/>
  <c r="BB213" i="6" s="1"/>
  <c r="M213" i="6" s="1" a="1"/>
  <c r="M213" i="6" s="1"/>
  <c r="BA209" i="6"/>
  <c r="AZ212" i="6"/>
  <c r="BB212" i="6" s="1"/>
  <c r="M212" i="6" s="1" a="1"/>
  <c r="M212" i="6" s="1"/>
  <c r="BA225" i="6"/>
  <c r="AZ221" i="6"/>
  <c r="BB221" i="6" s="1"/>
  <c r="M221" i="6" s="1" a="1"/>
  <c r="M221" i="6" s="1"/>
  <c r="BA222" i="6"/>
  <c r="AZ224" i="6"/>
  <c r="BB224" i="6" s="1"/>
  <c r="M224" i="6" s="1" a="1"/>
  <c r="M224" i="6" s="1"/>
  <c r="AZ223" i="6"/>
  <c r="BB223" i="6" s="1"/>
  <c r="M223" i="6" s="1" a="1"/>
  <c r="M223" i="6" s="1"/>
  <c r="AZ217" i="6"/>
  <c r="BB217" i="6" s="1"/>
  <c r="M217" i="6" s="1" a="1"/>
  <c r="M217" i="6" s="1"/>
  <c r="AZ230" i="6"/>
  <c r="BB230" i="6" s="1"/>
  <c r="M230" i="6" s="1" a="1"/>
  <c r="M230" i="6" s="1"/>
  <c r="BA233" i="6"/>
  <c r="BA232" i="6"/>
  <c r="BA234" i="6"/>
  <c r="BA227" i="6"/>
  <c r="BA228" i="6"/>
  <c r="AI192" i="6"/>
  <c r="AI193" i="6"/>
  <c r="AI189" i="6"/>
  <c r="AA235" i="6"/>
  <c r="AA194" i="6"/>
  <c r="AW194" i="6" s="1" a="1"/>
  <c r="AW194" i="6" s="1"/>
  <c r="AI191" i="6"/>
  <c r="AA188" i="6"/>
  <c r="AA94" i="6"/>
  <c r="AA130" i="6"/>
  <c r="AA26" i="6"/>
  <c r="AA22" i="6"/>
  <c r="AA96" i="6"/>
  <c r="AA134" i="6"/>
  <c r="AA129" i="6"/>
  <c r="AA114" i="6"/>
  <c r="AA74" i="6"/>
  <c r="AA105" i="6"/>
  <c r="AA128" i="6"/>
  <c r="AA93" i="6"/>
  <c r="AA50" i="6"/>
  <c r="AA148" i="6"/>
  <c r="AI148" i="6" s="1"/>
  <c r="AA68" i="6"/>
  <c r="AA11" i="6"/>
  <c r="AA162" i="6"/>
  <c r="AA61" i="6"/>
  <c r="AA157" i="6"/>
  <c r="AA55" i="6"/>
  <c r="AA51" i="6"/>
  <c r="AA99" i="6"/>
  <c r="AA142" i="6"/>
  <c r="AA67" i="6"/>
  <c r="AA159" i="6"/>
  <c r="AA161" i="6"/>
  <c r="AA123" i="6"/>
  <c r="AA52" i="6"/>
  <c r="AA156" i="6"/>
  <c r="AA158" i="6"/>
  <c r="AA98" i="6"/>
  <c r="AA136" i="6"/>
  <c r="AA70" i="6"/>
  <c r="AA13" i="6"/>
  <c r="AA69" i="6"/>
  <c r="AA89" i="6"/>
  <c r="AA104" i="6"/>
  <c r="AA125" i="6"/>
  <c r="AA120" i="6"/>
  <c r="AA180" i="6"/>
  <c r="AA179" i="6"/>
  <c r="AA176" i="6"/>
  <c r="AA124" i="6"/>
  <c r="AA174" i="6"/>
  <c r="AA78" i="6"/>
  <c r="AA36" i="6"/>
  <c r="AA58" i="6"/>
  <c r="AI58" i="6" s="1"/>
  <c r="AA72" i="6"/>
  <c r="AA54" i="6"/>
  <c r="AA85" i="6"/>
  <c r="AA133" i="6"/>
  <c r="AI133" i="6" s="1"/>
  <c r="AA10" i="6"/>
  <c r="AA49" i="6"/>
  <c r="AA240" i="6"/>
  <c r="AV240" i="6" s="1" a="1"/>
  <c r="AV240" i="6" s="1"/>
  <c r="AA64" i="6"/>
  <c r="AA30" i="6"/>
  <c r="AA44" i="6"/>
  <c r="AA45" i="6"/>
  <c r="AA113" i="6"/>
  <c r="AA100" i="6"/>
  <c r="AA103" i="6"/>
  <c r="AI103" i="6" s="1"/>
  <c r="AA41" i="6"/>
  <c r="AA35" i="6"/>
  <c r="AA155" i="6"/>
  <c r="AA29" i="6"/>
  <c r="AA65" i="6"/>
  <c r="AA75" i="6"/>
  <c r="AA80" i="6"/>
  <c r="AA83" i="6"/>
  <c r="AA21" i="6"/>
  <c r="AA9" i="6"/>
  <c r="AA102" i="6"/>
  <c r="AA109" i="6"/>
  <c r="AA140" i="6"/>
  <c r="AA38" i="6"/>
  <c r="AA39" i="6"/>
  <c r="AA37" i="6"/>
  <c r="AA88" i="6"/>
  <c r="AA144" i="6"/>
  <c r="AA182" i="6"/>
  <c r="AA153" i="6"/>
  <c r="AA90" i="6"/>
  <c r="AA135" i="6"/>
  <c r="AA28" i="6"/>
  <c r="AA60" i="6"/>
  <c r="AA43" i="6"/>
  <c r="AA95" i="6"/>
  <c r="AA107" i="6"/>
  <c r="AA97" i="6"/>
  <c r="AA111" i="6"/>
  <c r="AA151" i="6"/>
  <c r="AA81" i="6"/>
  <c r="AA63" i="6"/>
  <c r="AA79" i="6"/>
  <c r="AA181" i="6"/>
  <c r="AA177" i="6"/>
  <c r="AA172" i="6"/>
  <c r="AA165" i="6"/>
  <c r="AA167" i="6"/>
  <c r="AA34" i="6"/>
  <c r="AA185" i="6"/>
  <c r="AA33" i="6"/>
  <c r="AA47" i="6"/>
  <c r="AA84" i="6"/>
  <c r="AA87" i="6"/>
  <c r="AA122" i="6"/>
  <c r="AA147" i="6"/>
  <c r="AA25" i="6"/>
  <c r="AA118" i="6"/>
  <c r="AA46" i="6"/>
  <c r="AA143" i="6"/>
  <c r="AA149" i="6"/>
  <c r="AA59" i="6"/>
  <c r="AA116" i="6"/>
  <c r="AA139" i="6"/>
  <c r="AA166" i="6"/>
  <c r="AA173" i="6"/>
  <c r="AA169" i="6"/>
  <c r="AA82" i="6"/>
  <c r="AA119" i="6"/>
  <c r="AA112" i="6"/>
  <c r="AA115" i="6"/>
  <c r="AA42" i="6"/>
  <c r="AA32" i="6"/>
  <c r="AA73" i="6"/>
  <c r="AA62" i="6"/>
  <c r="AA20" i="6"/>
  <c r="Q20" i="6" s="1" a="1"/>
  <c r="Q20" i="6" s="1"/>
  <c r="AA92" i="6"/>
  <c r="AA66" i="6"/>
  <c r="AA14" i="6"/>
  <c r="AA77" i="6"/>
  <c r="AA132" i="6"/>
  <c r="AA110" i="6"/>
  <c r="AA146" i="6"/>
  <c r="AA183" i="6"/>
  <c r="AA164" i="6"/>
  <c r="AA239" i="6"/>
  <c r="AA18" i="6"/>
  <c r="AA101" i="6"/>
  <c r="AA48" i="6"/>
  <c r="AA186" i="6"/>
  <c r="AA168" i="6"/>
  <c r="AA184" i="6"/>
  <c r="AA163" i="6"/>
  <c r="AA171" i="6"/>
  <c r="AA152" i="6"/>
  <c r="AA91" i="6"/>
  <c r="AA160" i="6"/>
  <c r="AA31" i="6"/>
  <c r="AA17" i="6"/>
  <c r="AA8" i="6"/>
  <c r="AA19" i="6"/>
  <c r="AA131" i="6"/>
  <c r="AA243" i="6"/>
  <c r="AU243" i="6" s="1" a="1"/>
  <c r="AU243" i="6" s="1"/>
  <c r="AA7" i="6"/>
  <c r="AA242" i="6"/>
  <c r="AA241" i="6"/>
  <c r="AU241" i="6" s="1" a="1"/>
  <c r="AU241" i="6" s="1"/>
  <c r="AA237" i="6"/>
  <c r="AV237" i="6" s="1" a="1"/>
  <c r="AV237" i="6" s="1"/>
  <c r="AA187" i="6"/>
  <c r="AT187" i="6" s="1" a="1"/>
  <c r="AT187" i="6" s="1"/>
  <c r="L236" i="6"/>
  <c r="AI236" i="6"/>
  <c r="L238" i="6"/>
  <c r="AI238" i="6"/>
  <c r="I4" i="20"/>
  <c r="I4" i="11"/>
  <c r="AU242" i="6" l="1" a="1"/>
  <c r="AU242" i="6" s="1"/>
  <c r="AW242" i="6" a="1"/>
  <c r="AW242" i="6" s="1"/>
  <c r="AV242" i="6" a="1"/>
  <c r="AV242" i="6" s="1"/>
  <c r="AW239" i="6" a="1"/>
  <c r="AW239" i="6" s="1"/>
  <c r="AV239" i="6" a="1"/>
  <c r="AV239" i="6" s="1"/>
  <c r="AU239" i="6" a="1"/>
  <c r="AU239" i="6" s="1"/>
  <c r="AT239" i="6" a="1"/>
  <c r="AT239" i="6" s="1"/>
  <c r="AT243" i="6" a="1"/>
  <c r="AT243" i="6" s="1"/>
  <c r="AW243" i="6" a="1"/>
  <c r="AW243" i="6" s="1"/>
  <c r="AV243" i="6" a="1"/>
  <c r="AV243" i="6" s="1"/>
  <c r="AQ188" i="6" a="1"/>
  <c r="AQ188" i="6" s="1"/>
  <c r="AW188" i="6" a="1"/>
  <c r="AW188" i="6" s="1"/>
  <c r="AT188" i="6" a="1"/>
  <c r="AT188" i="6" s="1"/>
  <c r="AV188" i="6" a="1"/>
  <c r="AV188" i="6" s="1"/>
  <c r="AU188" i="6" a="1"/>
  <c r="AU188" i="6" s="1"/>
  <c r="AT240" i="6" a="1"/>
  <c r="AT240" i="6" s="1"/>
  <c r="AT237" i="6" a="1"/>
  <c r="AT237" i="6" s="1"/>
  <c r="AT242" i="6" a="1"/>
  <c r="AT242" i="6" s="1"/>
  <c r="AW235" i="6" a="1"/>
  <c r="AW235" i="6" s="1"/>
  <c r="AV235" i="6" a="1"/>
  <c r="AV235" i="6" s="1"/>
  <c r="AU235" i="6" a="1"/>
  <c r="AU235" i="6" s="1"/>
  <c r="AO187" i="6" a="1"/>
  <c r="AO187" i="6" s="1"/>
  <c r="AU187" i="6" a="1"/>
  <c r="AU187" i="6" s="1"/>
  <c r="AW187" i="6" a="1"/>
  <c r="AW187" i="6" s="1"/>
  <c r="AV187" i="6" a="1"/>
  <c r="AV187" i="6" s="1"/>
  <c r="AW241" i="6" a="1"/>
  <c r="AW241" i="6" s="1"/>
  <c r="AV241" i="6" a="1"/>
  <c r="AV241" i="6" s="1"/>
  <c r="AT241" i="6" a="1"/>
  <c r="AT241" i="6" s="1"/>
  <c r="AQ237" i="6" a="1"/>
  <c r="AQ237" i="6" s="1"/>
  <c r="AU237" i="6" a="1"/>
  <c r="AU237" i="6" s="1"/>
  <c r="AW237" i="6" a="1"/>
  <c r="AW237" i="6" s="1"/>
  <c r="AU240" i="6" a="1"/>
  <c r="AU240" i="6" s="1"/>
  <c r="AW240" i="6" a="1"/>
  <c r="AW240" i="6" s="1"/>
  <c r="AV194" i="6" a="1"/>
  <c r="AV194" i="6" s="1"/>
  <c r="AU194" i="6" a="1"/>
  <c r="AU194" i="6" s="1"/>
  <c r="AT194" i="6" a="1"/>
  <c r="AT194" i="6" s="1"/>
  <c r="AT235" i="6" a="1"/>
  <c r="AT235" i="6" s="1"/>
  <c r="AO239" i="6" a="1"/>
  <c r="AO239" i="6" s="1"/>
  <c r="AN239" i="6" a="1"/>
  <c r="AN239" i="6" s="1"/>
  <c r="AQ239" i="6" a="1"/>
  <c r="AQ239" i="6" s="1"/>
  <c r="AP239" i="6" a="1"/>
  <c r="AP239" i="6" s="1"/>
  <c r="T241" i="6" a="1"/>
  <c r="T241" i="6" s="1"/>
  <c r="AQ241" i="6" a="1"/>
  <c r="AQ241" i="6" s="1"/>
  <c r="AP241" i="6" a="1"/>
  <c r="AP241" i="6" s="1"/>
  <c r="AO241" i="6" a="1"/>
  <c r="AO241" i="6" s="1"/>
  <c r="AN241" i="6" a="1"/>
  <c r="AN241" i="6" s="1"/>
  <c r="AQ235" i="6" a="1"/>
  <c r="AQ235" i="6" s="1"/>
  <c r="AP235" i="6" a="1"/>
  <c r="AP235" i="6" s="1"/>
  <c r="AO235" i="6" a="1"/>
  <c r="AO235" i="6" s="1"/>
  <c r="AN235" i="6" a="1"/>
  <c r="AN235" i="6" s="1"/>
  <c r="AP188" i="6" a="1"/>
  <c r="AP188" i="6" s="1"/>
  <c r="AO188" i="6" a="1"/>
  <c r="AO188" i="6" s="1"/>
  <c r="AN188" i="6" a="1"/>
  <c r="AN188" i="6" s="1"/>
  <c r="U187" i="6" a="1"/>
  <c r="U187" i="6" s="1"/>
  <c r="AQ187" i="6" a="1"/>
  <c r="AQ187" i="6" s="1"/>
  <c r="AN187" i="6" a="1"/>
  <c r="AN187" i="6" s="1"/>
  <c r="AP187" i="6" a="1"/>
  <c r="AP187" i="6" s="1"/>
  <c r="AQ242" i="6" a="1"/>
  <c r="AQ242" i="6" s="1"/>
  <c r="AP242" i="6" a="1"/>
  <c r="AP242" i="6" s="1"/>
  <c r="AN242" i="6" a="1"/>
  <c r="AN242" i="6" s="1"/>
  <c r="AO242" i="6" a="1"/>
  <c r="AO242" i="6" s="1"/>
  <c r="W243" i="6" a="1"/>
  <c r="W243" i="6" s="1"/>
  <c r="AQ243" i="6" a="1"/>
  <c r="AQ243" i="6" s="1"/>
  <c r="AP243" i="6" a="1"/>
  <c r="AP243" i="6" s="1"/>
  <c r="AO243" i="6" a="1"/>
  <c r="AO243" i="6" s="1"/>
  <c r="AN243" i="6" a="1"/>
  <c r="AN243" i="6" s="1"/>
  <c r="AP237" i="6" a="1"/>
  <c r="AP237" i="6" s="1"/>
  <c r="AO237" i="6" a="1"/>
  <c r="AO237" i="6" s="1"/>
  <c r="AN237" i="6" a="1"/>
  <c r="AN237" i="6" s="1"/>
  <c r="AO240" i="6" a="1"/>
  <c r="AO240" i="6" s="1"/>
  <c r="AN240" i="6" a="1"/>
  <c r="AN240" i="6" s="1"/>
  <c r="AQ194" i="6" a="1"/>
  <c r="AQ194" i="6" s="1"/>
  <c r="AO194" i="6" a="1"/>
  <c r="AO194" i="6" s="1"/>
  <c r="AN194" i="6" a="1"/>
  <c r="AN194" i="6" s="1"/>
  <c r="AP194" i="6" a="1"/>
  <c r="AP194" i="6" s="1"/>
  <c r="AP240" i="6" a="1"/>
  <c r="AP240" i="6" s="1"/>
  <c r="AQ240" i="6" a="1"/>
  <c r="AQ240" i="6" s="1"/>
  <c r="P8" i="6" a="1"/>
  <c r="P8" i="6" s="1"/>
  <c r="Q35" i="6" a="1"/>
  <c r="Q35" i="6" s="1"/>
  <c r="Q50" i="6" s="1" a="1"/>
  <c r="Q50" i="6" s="1"/>
  <c r="P237" i="6" a="1"/>
  <c r="P237" i="6" s="1"/>
  <c r="W237" i="6" a="1"/>
  <c r="W237" i="6" s="1"/>
  <c r="P240" i="6" a="1"/>
  <c r="P240" i="6" s="1"/>
  <c r="U240" i="6" a="1"/>
  <c r="U240" i="6" s="1"/>
  <c r="T240" i="6" a="1"/>
  <c r="T240" i="6" s="1"/>
  <c r="P194" i="6" a="1"/>
  <c r="P194" i="6" s="1"/>
  <c r="W194" i="6" a="1"/>
  <c r="W194" i="6" s="1"/>
  <c r="V194" i="6" a="1"/>
  <c r="V194" i="6" s="1"/>
  <c r="U194" i="6" a="1"/>
  <c r="U194" i="6" s="1"/>
  <c r="T194" i="6" a="1"/>
  <c r="T194" i="6" s="1"/>
  <c r="U237" i="6" a="1"/>
  <c r="U237" i="6" s="1"/>
  <c r="O242" i="6" a="1"/>
  <c r="O242" i="6" s="1"/>
  <c r="V242" i="6" a="1"/>
  <c r="V242" i="6" s="1"/>
  <c r="W242" i="6" a="1"/>
  <c r="W242" i="6" s="1"/>
  <c r="T242" i="6" a="1"/>
  <c r="T242" i="6" s="1"/>
  <c r="U242" i="6" a="1"/>
  <c r="U242" i="6" s="1"/>
  <c r="T237" i="6" a="1"/>
  <c r="T237" i="6" s="1"/>
  <c r="P16" i="6" a="1"/>
  <c r="P16" i="6" s="1"/>
  <c r="P31" i="6" s="1" a="1"/>
  <c r="P31" i="6" s="1"/>
  <c r="P46" i="6" s="1" a="1"/>
  <c r="P46" i="6" s="1"/>
  <c r="P61" i="6" s="1" a="1"/>
  <c r="P61" i="6" s="1"/>
  <c r="V237" i="6" a="1"/>
  <c r="V237" i="6" s="1"/>
  <c r="U243" i="6" a="1"/>
  <c r="U243" i="6" s="1"/>
  <c r="P15" i="6" a="1"/>
  <c r="P15" i="6" s="1"/>
  <c r="P30" i="6" s="1" a="1"/>
  <c r="P30" i="6" s="1"/>
  <c r="P45" i="6" s="1" a="1"/>
  <c r="P45" i="6" s="1"/>
  <c r="W240" i="6" a="1"/>
  <c r="W240" i="6" s="1"/>
  <c r="V243" i="6" a="1"/>
  <c r="V243" i="6" s="1"/>
  <c r="T243" i="6" a="1"/>
  <c r="T243" i="6" s="1"/>
  <c r="T239" i="6" a="1"/>
  <c r="T239" i="6" s="1"/>
  <c r="V239" i="6" a="1"/>
  <c r="V239" i="6" s="1"/>
  <c r="W239" i="6" a="1"/>
  <c r="W239" i="6" s="1"/>
  <c r="U239" i="6" a="1"/>
  <c r="U239" i="6" s="1"/>
  <c r="N188" i="6" a="1"/>
  <c r="N188" i="6" s="1"/>
  <c r="W188" i="6" a="1"/>
  <c r="W188" i="6" s="1"/>
  <c r="V188" i="6" a="1"/>
  <c r="V188" i="6" s="1"/>
  <c r="U188" i="6" a="1"/>
  <c r="U188" i="6" s="1"/>
  <c r="T188" i="6" a="1"/>
  <c r="T188" i="6" s="1"/>
  <c r="V240" i="6" a="1"/>
  <c r="V240" i="6" s="1"/>
  <c r="V241" i="6" a="1"/>
  <c r="V241" i="6" s="1"/>
  <c r="U241" i="6" a="1"/>
  <c r="U241" i="6" s="1"/>
  <c r="W241" i="6" a="1"/>
  <c r="W241" i="6" s="1"/>
  <c r="O235" i="6" a="1"/>
  <c r="O235" i="6" s="1"/>
  <c r="V235" i="6" a="1"/>
  <c r="V235" i="6" s="1"/>
  <c r="T235" i="6" a="1"/>
  <c r="T235" i="6" s="1"/>
  <c r="U235" i="6" a="1"/>
  <c r="U235" i="6" s="1"/>
  <c r="W235" i="6" a="1"/>
  <c r="W235" i="6" s="1"/>
  <c r="O187" i="6" a="1"/>
  <c r="O187" i="6" s="1"/>
  <c r="W187" i="6" a="1"/>
  <c r="W187" i="6" s="1"/>
  <c r="T187" i="6" a="1"/>
  <c r="T187" i="6" s="1"/>
  <c r="V187" i="6" a="1"/>
  <c r="V187" i="6" s="1"/>
  <c r="O240" i="6" a="1"/>
  <c r="O240" i="6" s="1"/>
  <c r="Q11" i="6" a="1"/>
  <c r="Q11" i="6" s="1"/>
  <c r="Q26" i="6" s="1" a="1"/>
  <c r="Q26" i="6" s="1"/>
  <c r="Q10" i="6" a="1"/>
  <c r="Q10" i="6" s="1"/>
  <c r="Q25" i="6" s="1" a="1"/>
  <c r="Q25" i="6" s="1"/>
  <c r="P10" i="6" a="1"/>
  <c r="P10" i="6" s="1"/>
  <c r="Q235" i="6" a="1"/>
  <c r="Q235" i="6" s="1"/>
  <c r="P11" i="6" a="1"/>
  <c r="P11" i="6" s="1"/>
  <c r="P26" i="6" s="1" a="1"/>
  <c r="P26" i="6" s="1"/>
  <c r="P41" i="6" s="1" a="1"/>
  <c r="P41" i="6" s="1"/>
  <c r="O188" i="6" a="1"/>
  <c r="O188" i="6" s="1"/>
  <c r="Q16" i="6" a="1"/>
  <c r="Q16" i="6" s="1"/>
  <c r="Q31" i="6" s="1" a="1"/>
  <c r="Q31" i="6" s="1"/>
  <c r="P188" i="6" a="1"/>
  <c r="P188" i="6" s="1"/>
  <c r="N243" i="6" a="1"/>
  <c r="N243" i="6" s="1"/>
  <c r="P243" i="6" a="1"/>
  <c r="P243" i="6" s="1"/>
  <c r="Q14" i="6" a="1"/>
  <c r="Q14" i="6" s="1"/>
  <c r="Q29" i="6" s="1" a="1"/>
  <c r="Q29" i="6" s="1"/>
  <c r="Q44" i="6" s="1" a="1"/>
  <c r="Q44" i="6" s="1"/>
  <c r="P14" i="6" a="1"/>
  <c r="P14" i="6" s="1"/>
  <c r="P29" i="6" s="1" a="1"/>
  <c r="P29" i="6" s="1"/>
  <c r="Q12" i="6" a="1"/>
  <c r="Q12" i="6" s="1"/>
  <c r="Q27" i="6" s="1" a="1"/>
  <c r="Q27" i="6" s="1"/>
  <c r="P18" i="6" a="1"/>
  <c r="P18" i="6" s="1"/>
  <c r="P33" i="6" s="1" a="1"/>
  <c r="P33" i="6" s="1"/>
  <c r="Q188" i="6" a="1"/>
  <c r="Q188" i="6" s="1"/>
  <c r="N242" i="6" a="1"/>
  <c r="N242" i="6" s="1"/>
  <c r="N239" i="6" a="1"/>
  <c r="N239" i="6" s="1"/>
  <c r="P239" i="6" a="1"/>
  <c r="P239" i="6" s="1"/>
  <c r="Q15" i="6" a="1"/>
  <c r="Q15" i="6" s="1"/>
  <c r="Q30" i="6" s="1" a="1"/>
  <c r="Q30" i="6" s="1"/>
  <c r="Q18" i="6" a="1"/>
  <c r="Q18" i="6" s="1"/>
  <c r="Q13" i="6" a="1"/>
  <c r="Q13" i="6" s="1"/>
  <c r="Q28" i="6" s="1" a="1"/>
  <c r="Q28" i="6" s="1"/>
  <c r="Q43" i="6" s="1" a="1"/>
  <c r="Q43" i="6" s="1"/>
  <c r="Q242" i="6" a="1"/>
  <c r="Q242" i="6" s="1"/>
  <c r="P12" i="6" a="1"/>
  <c r="P12" i="6" s="1"/>
  <c r="P241" i="6" a="1"/>
  <c r="P241" i="6" s="1"/>
  <c r="O241" i="6" a="1"/>
  <c r="O241" i="6" s="1"/>
  <c r="Q241" i="6" a="1"/>
  <c r="Q241" i="6" s="1"/>
  <c r="N241" i="6" a="1"/>
  <c r="N241" i="6" s="1"/>
  <c r="P19" i="6" a="1"/>
  <c r="P19" i="6" s="1"/>
  <c r="P34" i="6" s="1" a="1"/>
  <c r="P34" i="6" s="1"/>
  <c r="P242" i="6" a="1"/>
  <c r="P242" i="6" s="1"/>
  <c r="N235" i="6" a="1"/>
  <c r="N235" i="6" s="1"/>
  <c r="P235" i="6" a="1"/>
  <c r="P235" i="6" s="1"/>
  <c r="Q9" i="6" a="1"/>
  <c r="Q9" i="6" s="1"/>
  <c r="Q24" i="6" s="1" a="1"/>
  <c r="Q24" i="6" s="1"/>
  <c r="P9" i="6" a="1"/>
  <c r="P9" i="6" s="1"/>
  <c r="P20" i="6" a="1"/>
  <c r="P20" i="6" s="1"/>
  <c r="P35" i="6" s="1" a="1"/>
  <c r="P35" i="6" s="1"/>
  <c r="Q243" i="6" a="1"/>
  <c r="Q243" i="6" s="1"/>
  <c r="P13" i="6" a="1"/>
  <c r="P13" i="6" s="1"/>
  <c r="P28" i="6" s="1" a="1"/>
  <c r="P28" i="6" s="1"/>
  <c r="Q239" i="6" a="1"/>
  <c r="Q239" i="6" s="1"/>
  <c r="N187" i="6" a="1"/>
  <c r="N187" i="6" s="1"/>
  <c r="P187" i="6" a="1"/>
  <c r="P187" i="6" s="1"/>
  <c r="Q187" i="6" a="1"/>
  <c r="Q187" i="6" s="1"/>
  <c r="Q8" i="6" a="1"/>
  <c r="Q8" i="6" s="1"/>
  <c r="O237" i="6" a="1"/>
  <c r="O237" i="6" s="1"/>
  <c r="Q237" i="6" a="1"/>
  <c r="Q237" i="6" s="1"/>
  <c r="N237" i="6" a="1"/>
  <c r="N237" i="6" s="1"/>
  <c r="Q17" i="6" a="1"/>
  <c r="Q17" i="6" s="1"/>
  <c r="P17" i="6" a="1"/>
  <c r="P17" i="6" s="1"/>
  <c r="P21" i="6" a="1"/>
  <c r="P21" i="6" s="1"/>
  <c r="Q21" i="6" a="1"/>
  <c r="Q21" i="6" s="1"/>
  <c r="N240" i="6" a="1"/>
  <c r="N240" i="6" s="1"/>
  <c r="Q240" i="6" a="1"/>
  <c r="Q240" i="6" s="1"/>
  <c r="Q194" i="6" a="1"/>
  <c r="Q194" i="6" s="1"/>
  <c r="N194" i="6" a="1"/>
  <c r="N194" i="6" s="1"/>
  <c r="O194" i="6" a="1"/>
  <c r="O194" i="6" s="1"/>
  <c r="Q19" i="6" a="1"/>
  <c r="Q19" i="6" s="1"/>
  <c r="O243" i="6" a="1"/>
  <c r="O243" i="6" s="1"/>
  <c r="O239" i="6" a="1"/>
  <c r="O239" i="6" s="1"/>
  <c r="I16" i="20" a="1"/>
  <c r="I16" i="20" s="1"/>
  <c r="I11" i="20" a="1"/>
  <c r="I11" i="20" s="1"/>
  <c r="I14" i="20" a="1"/>
  <c r="I14" i="20" s="1"/>
  <c r="I20" i="20" a="1"/>
  <c r="I20" i="20" s="1"/>
  <c r="I18" i="20" a="1"/>
  <c r="I18" i="20" s="1"/>
  <c r="I17" i="20" a="1"/>
  <c r="I17" i="20" s="1"/>
  <c r="I19" i="20" a="1"/>
  <c r="I19" i="20" s="1"/>
  <c r="I9" i="20" a="1"/>
  <c r="I9" i="20" s="1"/>
  <c r="I12" i="20" a="1"/>
  <c r="I12" i="20" s="1"/>
  <c r="I13" i="20" a="1"/>
  <c r="I13" i="20" s="1"/>
  <c r="I10" i="20" a="1"/>
  <c r="I10" i="20" s="1"/>
  <c r="I15" i="20" a="1"/>
  <c r="I15" i="20" s="1"/>
  <c r="I31" i="11" a="1"/>
  <c r="I31" i="11" s="1"/>
  <c r="I53" i="11" a="1"/>
  <c r="I53" i="11" s="1"/>
  <c r="I30" i="11" a="1"/>
  <c r="I30" i="11" s="1"/>
  <c r="I45" i="11" a="1"/>
  <c r="I45" i="11" s="1"/>
  <c r="I39" i="11" a="1"/>
  <c r="I39" i="11" s="1"/>
  <c r="I44" i="11" a="1"/>
  <c r="I44" i="11" s="1"/>
  <c r="I37" i="11" a="1"/>
  <c r="I37" i="11" s="1"/>
  <c r="I47" i="11" a="1"/>
  <c r="I47" i="11" s="1"/>
  <c r="I23" i="11" a="1"/>
  <c r="I23" i="11" s="1"/>
  <c r="I32" i="11" a="1"/>
  <c r="I32" i="11" s="1"/>
  <c r="I43" i="11" a="1"/>
  <c r="I43" i="11" s="1"/>
  <c r="I24" i="11" a="1"/>
  <c r="I24" i="11" s="1"/>
  <c r="I22" i="11" a="1"/>
  <c r="I22" i="11" s="1"/>
  <c r="I52" i="11" a="1"/>
  <c r="I52" i="11" s="1"/>
  <c r="I29" i="11" a="1"/>
  <c r="I29" i="11" s="1"/>
  <c r="I34" i="11" a="1"/>
  <c r="I34" i="11" s="1"/>
  <c r="I40" i="11" a="1"/>
  <c r="I40" i="11" s="1"/>
  <c r="I27" i="11" a="1"/>
  <c r="I27" i="11" s="1"/>
  <c r="I49" i="11" a="1"/>
  <c r="I49" i="11" s="1"/>
  <c r="I36" i="11" a="1"/>
  <c r="I36" i="11" s="1"/>
  <c r="I48" i="11" a="1"/>
  <c r="I48" i="11" s="1"/>
  <c r="I55" i="11" a="1"/>
  <c r="I55" i="11" s="1"/>
  <c r="I26" i="11" a="1"/>
  <c r="I26" i="11" s="1"/>
  <c r="I46" i="11" a="1"/>
  <c r="I46" i="11" s="1"/>
  <c r="I33" i="11" a="1"/>
  <c r="I33" i="11" s="1"/>
  <c r="I50" i="11" a="1"/>
  <c r="I50" i="11" s="1"/>
  <c r="I51" i="11" a="1"/>
  <c r="I51" i="11" s="1"/>
  <c r="I35" i="11" a="1"/>
  <c r="I35" i="11" s="1"/>
  <c r="I42" i="11" a="1"/>
  <c r="I42" i="11" s="1"/>
  <c r="I21" i="11" a="1"/>
  <c r="I21" i="11" s="1"/>
  <c r="I38" i="11" a="1"/>
  <c r="I38" i="11" s="1"/>
  <c r="I54" i="11" a="1"/>
  <c r="I54" i="11" s="1"/>
  <c r="I28" i="11" a="1"/>
  <c r="I28" i="11" s="1"/>
  <c r="I41" i="11" a="1"/>
  <c r="I41" i="11" s="1"/>
  <c r="I25" i="11" a="1"/>
  <c r="I25" i="11" s="1"/>
  <c r="P7" i="6" a="1"/>
  <c r="P7" i="6" s="1"/>
  <c r="P22" i="6" s="1" a="1"/>
  <c r="P22" i="6" s="1"/>
  <c r="Q7" i="6" a="1"/>
  <c r="Q7" i="6" s="1"/>
  <c r="AI123" i="6"/>
  <c r="AI70" i="6"/>
  <c r="AI138" i="6"/>
  <c r="AI35" i="6"/>
  <c r="AI120" i="6"/>
  <c r="AI57" i="6"/>
  <c r="AI154" i="6"/>
  <c r="AI113" i="6"/>
  <c r="AI122" i="6"/>
  <c r="AI12" i="6"/>
  <c r="AI40" i="6"/>
  <c r="AI54" i="6"/>
  <c r="AI94" i="6"/>
  <c r="AI86" i="6"/>
  <c r="AI183" i="6"/>
  <c r="AI20" i="6"/>
  <c r="AI121" i="6"/>
  <c r="AI170" i="6"/>
  <c r="AI71" i="6"/>
  <c r="AI134" i="6"/>
  <c r="BB225" i="6"/>
  <c r="M225" i="6" s="1" a="1"/>
  <c r="M225" i="6" s="1"/>
  <c r="BB246" i="6"/>
  <c r="M246" i="6" s="1" a="1"/>
  <c r="M246" i="6" s="1"/>
  <c r="AI168" i="6"/>
  <c r="AI169" i="6"/>
  <c r="AI125" i="6"/>
  <c r="AI142" i="6"/>
  <c r="AI68" i="6"/>
  <c r="AI129" i="6"/>
  <c r="AI23" i="6"/>
  <c r="AI24" i="6"/>
  <c r="BB244" i="6"/>
  <c r="M244" i="6" s="1" a="1"/>
  <c r="M244" i="6" s="1"/>
  <c r="AI160" i="6"/>
  <c r="AI166" i="6"/>
  <c r="AI25" i="6"/>
  <c r="AI80" i="6"/>
  <c r="AI10" i="6"/>
  <c r="AI89" i="6"/>
  <c r="AI156" i="6"/>
  <c r="AI51" i="6"/>
  <c r="AI50" i="6"/>
  <c r="AI96" i="6"/>
  <c r="R212" i="6"/>
  <c r="R204" i="6"/>
  <c r="Z204" i="6" s="1"/>
  <c r="AI137" i="6"/>
  <c r="R199" i="6"/>
  <c r="AI104" i="6"/>
  <c r="AI158" i="6"/>
  <c r="AI99" i="6"/>
  <c r="R203" i="6"/>
  <c r="AI127" i="6"/>
  <c r="BB220" i="6"/>
  <c r="M220" i="6" s="1" a="1"/>
  <c r="M220" i="6" s="1"/>
  <c r="AI91" i="6"/>
  <c r="AI77" i="6"/>
  <c r="AI167" i="6"/>
  <c r="AI135" i="6"/>
  <c r="AI75" i="6"/>
  <c r="AI69" i="6"/>
  <c r="AI52" i="6"/>
  <c r="AI55" i="6"/>
  <c r="AI93" i="6"/>
  <c r="AI22" i="6"/>
  <c r="AI106" i="6"/>
  <c r="AI175" i="6"/>
  <c r="AI108" i="6"/>
  <c r="R202" i="6"/>
  <c r="S202" i="6" s="1"/>
  <c r="R215" i="6"/>
  <c r="R221" i="6"/>
  <c r="AI63" i="6"/>
  <c r="AI83" i="6"/>
  <c r="R217" i="6"/>
  <c r="R213" i="6"/>
  <c r="Z213" i="6" s="1"/>
  <c r="BB206" i="6"/>
  <c r="M206" i="6" s="1" a="1"/>
  <c r="M206" i="6" s="1"/>
  <c r="AI126" i="6"/>
  <c r="BB205" i="6"/>
  <c r="M205" i="6" s="1" a="1"/>
  <c r="M205" i="6" s="1"/>
  <c r="AI56" i="6"/>
  <c r="R197" i="6"/>
  <c r="BB211" i="6"/>
  <c r="M211" i="6" s="1" a="1"/>
  <c r="M211" i="6" s="1"/>
  <c r="AI16" i="6"/>
  <c r="AI111" i="6"/>
  <c r="AI65" i="6"/>
  <c r="AI45" i="6"/>
  <c r="AI157" i="6"/>
  <c r="AI128" i="6"/>
  <c r="AI97" i="6"/>
  <c r="AI109" i="6"/>
  <c r="AI29" i="6"/>
  <c r="AI44" i="6"/>
  <c r="R223" i="6"/>
  <c r="R218" i="6"/>
  <c r="S218" i="6" s="1"/>
  <c r="BB219" i="6"/>
  <c r="M219" i="6" s="1" a="1"/>
  <c r="M219" i="6" s="1"/>
  <c r="R196" i="6"/>
  <c r="Z196" i="6" s="1"/>
  <c r="BB245" i="6"/>
  <c r="M245" i="6" s="1" a="1"/>
  <c r="M245" i="6" s="1"/>
  <c r="R214" i="6"/>
  <c r="S214" i="6" s="1"/>
  <c r="R230" i="6"/>
  <c r="AI26" i="6"/>
  <c r="AI179" i="6"/>
  <c r="AI61" i="6"/>
  <c r="AI105" i="6"/>
  <c r="AI130" i="6"/>
  <c r="AI92" i="6"/>
  <c r="AI119" i="6"/>
  <c r="AI84" i="6"/>
  <c r="AI102" i="6"/>
  <c r="AI155" i="6"/>
  <c r="AI180" i="6"/>
  <c r="AI136" i="6"/>
  <c r="AI162" i="6"/>
  <c r="AI74" i="6"/>
  <c r="BB228" i="6"/>
  <c r="M228" i="6" s="1" a="1"/>
  <c r="M228" i="6" s="1"/>
  <c r="R224" i="6"/>
  <c r="S224" i="6" s="1"/>
  <c r="R208" i="6"/>
  <c r="Z208" i="6" s="1"/>
  <c r="R207" i="6"/>
  <c r="S207" i="6" s="1"/>
  <c r="AI27" i="6"/>
  <c r="AI53" i="6"/>
  <c r="BB229" i="6"/>
  <c r="M229" i="6" s="1" a="1"/>
  <c r="M229" i="6" s="1"/>
  <c r="AI147" i="6"/>
  <c r="AI8" i="6"/>
  <c r="AI9" i="6"/>
  <c r="AI67" i="6"/>
  <c r="AI11" i="6"/>
  <c r="BB231" i="6"/>
  <c r="M231" i="6" s="1" a="1"/>
  <c r="M231" i="6" s="1"/>
  <c r="R226" i="6"/>
  <c r="AI117" i="6"/>
  <c r="AI141" i="6"/>
  <c r="AI150" i="6"/>
  <c r="R200" i="6"/>
  <c r="L16" i="6"/>
  <c r="L15" i="6"/>
  <c r="L71" i="6"/>
  <c r="AI15" i="6"/>
  <c r="L175" i="6"/>
  <c r="BB198" i="6"/>
  <c r="M198" i="6" s="1" a="1"/>
  <c r="M198" i="6" s="1"/>
  <c r="BB201" i="6"/>
  <c r="M201" i="6" s="1" a="1"/>
  <c r="M201" i="6" s="1"/>
  <c r="BB210" i="6"/>
  <c r="M210" i="6" s="1" a="1"/>
  <c r="M210" i="6" s="1"/>
  <c r="BB195" i="6"/>
  <c r="M195" i="6" s="1" a="1"/>
  <c r="M195" i="6" s="1"/>
  <c r="BB216" i="6"/>
  <c r="M216" i="6" s="1" a="1"/>
  <c r="M216" i="6" s="1"/>
  <c r="BB209" i="6"/>
  <c r="M209" i="6" s="1" a="1"/>
  <c r="M209" i="6" s="1"/>
  <c r="BB222" i="6"/>
  <c r="M222" i="6" s="1" a="1"/>
  <c r="M222" i="6" s="1"/>
  <c r="BB233" i="6"/>
  <c r="M233" i="6" s="1" a="1"/>
  <c r="M233" i="6" s="1"/>
  <c r="BB232" i="6"/>
  <c r="M232" i="6" s="1" a="1"/>
  <c r="M232" i="6" s="1"/>
  <c r="BB227" i="6"/>
  <c r="M227" i="6" s="1" a="1"/>
  <c r="M227" i="6" s="1"/>
  <c r="BB234" i="6"/>
  <c r="M234" i="6" s="1" a="1"/>
  <c r="M234" i="6" s="1"/>
  <c r="L188" i="6"/>
  <c r="L235" i="6"/>
  <c r="AI235" i="6"/>
  <c r="AI188" i="6"/>
  <c r="L194" i="6"/>
  <c r="AI194" i="6"/>
  <c r="AI240" i="6"/>
  <c r="L117" i="6"/>
  <c r="AI159" i="6"/>
  <c r="AI161" i="6"/>
  <c r="L161" i="6"/>
  <c r="AI176" i="6"/>
  <c r="AI49" i="6"/>
  <c r="L240" i="6"/>
  <c r="L176" i="6"/>
  <c r="L76" i="6"/>
  <c r="AI174" i="6"/>
  <c r="L156" i="6"/>
  <c r="AI90" i="6"/>
  <c r="AI64" i="6"/>
  <c r="AI41" i="6"/>
  <c r="AI43" i="6"/>
  <c r="AI18" i="6"/>
  <c r="AI14" i="6"/>
  <c r="AI39" i="6"/>
  <c r="L170" i="6"/>
  <c r="AI47" i="6"/>
  <c r="AI85" i="6"/>
  <c r="L178" i="6"/>
  <c r="AI98" i="6"/>
  <c r="L37" i="6"/>
  <c r="AI124" i="6"/>
  <c r="AI100" i="6"/>
  <c r="AI171" i="6"/>
  <c r="AI152" i="6"/>
  <c r="AI60" i="6"/>
  <c r="AI46" i="6"/>
  <c r="AI181" i="6"/>
  <c r="L29" i="6"/>
  <c r="AI153" i="6"/>
  <c r="AI72" i="6"/>
  <c r="AI59" i="6"/>
  <c r="AI144" i="6"/>
  <c r="L179" i="6"/>
  <c r="L35" i="6"/>
  <c r="L10" i="6"/>
  <c r="AI31" i="6"/>
  <c r="AI28" i="6"/>
  <c r="AI88" i="6"/>
  <c r="AI79" i="6"/>
  <c r="L38" i="6"/>
  <c r="L81" i="6"/>
  <c r="AI165" i="6"/>
  <c r="AI140" i="6"/>
  <c r="AI42" i="6"/>
  <c r="AI149" i="6"/>
  <c r="AI95" i="6"/>
  <c r="L181" i="6"/>
  <c r="AI81" i="6"/>
  <c r="AI33" i="6"/>
  <c r="AI118" i="6"/>
  <c r="L167" i="6"/>
  <c r="AI132" i="6"/>
  <c r="L165" i="6"/>
  <c r="L162" i="6"/>
  <c r="AI32" i="6"/>
  <c r="AI87" i="6"/>
  <c r="AI139" i="6"/>
  <c r="AI107" i="6"/>
  <c r="AI182" i="6"/>
  <c r="L143" i="6"/>
  <c r="AI143" i="6"/>
  <c r="AI146" i="6"/>
  <c r="AI34" i="6"/>
  <c r="L169" i="6"/>
  <c r="L47" i="6"/>
  <c r="L78" i="6"/>
  <c r="AI101" i="6"/>
  <c r="L172" i="6"/>
  <c r="AI172" i="6"/>
  <c r="L185" i="6"/>
  <c r="L183" i="6"/>
  <c r="L186" i="6"/>
  <c r="AI185" i="6"/>
  <c r="AI186" i="6"/>
  <c r="AI19" i="6"/>
  <c r="AI17" i="6"/>
  <c r="AI48" i="6"/>
  <c r="AI110" i="6"/>
  <c r="AI73" i="6"/>
  <c r="AI173" i="6"/>
  <c r="L168" i="6"/>
  <c r="L31" i="6"/>
  <c r="L82" i="6"/>
  <c r="AI163" i="6"/>
  <c r="AI164" i="6"/>
  <c r="AI7" i="6"/>
  <c r="L163" i="6"/>
  <c r="L63" i="6"/>
  <c r="L182" i="6"/>
  <c r="L171" i="6"/>
  <c r="L239" i="6"/>
  <c r="L173" i="6"/>
  <c r="AI239" i="6"/>
  <c r="L243" i="6"/>
  <c r="AI243" i="6"/>
  <c r="L241" i="6"/>
  <c r="L242" i="6"/>
  <c r="L7" i="6"/>
  <c r="AI242" i="6"/>
  <c r="AI82" i="6"/>
  <c r="AI37" i="6"/>
  <c r="L187" i="6"/>
  <c r="AI187" i="6"/>
  <c r="L184" i="6"/>
  <c r="L237" i="6"/>
  <c r="AI237" i="6"/>
  <c r="L166" i="6"/>
  <c r="AI184" i="6"/>
  <c r="L180" i="6"/>
  <c r="L174" i="6"/>
  <c r="L164" i="6"/>
  <c r="L177" i="6"/>
  <c r="AI241" i="6"/>
  <c r="AI76" i="6"/>
  <c r="AI78" i="6"/>
  <c r="AI177" i="6"/>
  <c r="AI38" i="6"/>
  <c r="AI131" i="6"/>
  <c r="L155" i="6"/>
  <c r="L53" i="6"/>
  <c r="L86" i="6"/>
  <c r="L90" i="6"/>
  <c r="L51" i="6"/>
  <c r="L112" i="6"/>
  <c r="AI112" i="6"/>
  <c r="L73" i="6"/>
  <c r="L121" i="6"/>
  <c r="L108" i="6"/>
  <c r="L110" i="6"/>
  <c r="L70" i="6"/>
  <c r="L75" i="6"/>
  <c r="L72" i="6"/>
  <c r="L21" i="6"/>
  <c r="AI21" i="6"/>
  <c r="L14" i="6"/>
  <c r="L79" i="6"/>
  <c r="L41" i="6"/>
  <c r="L12" i="6"/>
  <c r="L36" i="6"/>
  <c r="AI36" i="6"/>
  <c r="L107" i="6"/>
  <c r="L157" i="6"/>
  <c r="L101" i="6"/>
  <c r="L57" i="6"/>
  <c r="L23" i="6"/>
  <c r="L45" i="6"/>
  <c r="L13" i="6"/>
  <c r="L40" i="6"/>
  <c r="L50" i="6"/>
  <c r="L93" i="6"/>
  <c r="L151" i="6"/>
  <c r="AI62" i="6"/>
  <c r="AI114" i="6"/>
  <c r="L33" i="6"/>
  <c r="L153" i="6"/>
  <c r="L67" i="6"/>
  <c r="L26" i="6"/>
  <c r="L152" i="6"/>
  <c r="L89" i="6"/>
  <c r="L43" i="6"/>
  <c r="L22" i="6"/>
  <c r="L48" i="6"/>
  <c r="L106" i="6"/>
  <c r="L132" i="6"/>
  <c r="L126" i="6"/>
  <c r="L159" i="6"/>
  <c r="L148" i="6"/>
  <c r="L18" i="6"/>
  <c r="L56" i="6"/>
  <c r="L133" i="6"/>
  <c r="L59" i="6"/>
  <c r="L113" i="6"/>
  <c r="L77" i="6"/>
  <c r="L118" i="6"/>
  <c r="L144" i="6"/>
  <c r="L98" i="6"/>
  <c r="L103" i="6"/>
  <c r="L61" i="6"/>
  <c r="L125" i="6"/>
  <c r="L94" i="6"/>
  <c r="L131" i="6"/>
  <c r="L128" i="6"/>
  <c r="L136" i="6"/>
  <c r="L49" i="6"/>
  <c r="L95" i="6"/>
  <c r="L116" i="6"/>
  <c r="L114" i="6"/>
  <c r="L69" i="6"/>
  <c r="L65" i="6"/>
  <c r="L145" i="6"/>
  <c r="L150" i="6"/>
  <c r="L11" i="6"/>
  <c r="L42" i="6"/>
  <c r="L68" i="6"/>
  <c r="L62" i="6"/>
  <c r="L122" i="6"/>
  <c r="L109" i="6"/>
  <c r="L160" i="6"/>
  <c r="L55" i="6"/>
  <c r="L129" i="6"/>
  <c r="L60" i="6"/>
  <c r="L134" i="6"/>
  <c r="L96" i="6"/>
  <c r="L147" i="6"/>
  <c r="L20" i="6"/>
  <c r="L85" i="6"/>
  <c r="L139" i="6"/>
  <c r="L54" i="6"/>
  <c r="L83" i="6"/>
  <c r="L80" i="6"/>
  <c r="L124" i="6"/>
  <c r="L105" i="6"/>
  <c r="L138" i="6"/>
  <c r="L39" i="6"/>
  <c r="L137" i="6"/>
  <c r="L120" i="6"/>
  <c r="L130" i="6"/>
  <c r="L127" i="6"/>
  <c r="L102" i="6"/>
  <c r="L58" i="6"/>
  <c r="L91" i="6"/>
  <c r="L142" i="6"/>
  <c r="AI116" i="6"/>
  <c r="AI151" i="6"/>
  <c r="AI145" i="6"/>
  <c r="AI13" i="6"/>
  <c r="L111" i="6"/>
  <c r="L66" i="6"/>
  <c r="AI66" i="6"/>
  <c r="L158" i="6"/>
  <c r="L24" i="6"/>
  <c r="L32" i="6"/>
  <c r="L87" i="6"/>
  <c r="L84" i="6"/>
  <c r="L149" i="6"/>
  <c r="L115" i="6"/>
  <c r="AI115" i="6"/>
  <c r="L17" i="6"/>
  <c r="L34" i="6"/>
  <c r="L28" i="6"/>
  <c r="L141" i="6"/>
  <c r="L135" i="6"/>
  <c r="L64" i="6"/>
  <c r="L92" i="6"/>
  <c r="L119" i="6"/>
  <c r="L88" i="6"/>
  <c r="L27" i="6"/>
  <c r="L99" i="6"/>
  <c r="L146" i="6"/>
  <c r="L25" i="6"/>
  <c r="L154" i="6"/>
  <c r="L44" i="6"/>
  <c r="L19" i="6"/>
  <c r="L97" i="6"/>
  <c r="L74" i="6"/>
  <c r="L100" i="6"/>
  <c r="L140" i="6"/>
  <c r="L30" i="6"/>
  <c r="AI30" i="6"/>
  <c r="L123" i="6"/>
  <c r="L52" i="6"/>
  <c r="L46" i="6"/>
  <c r="L104" i="6"/>
  <c r="L8" i="6"/>
  <c r="L9" i="6"/>
  <c r="H4" i="20"/>
  <c r="H4" i="11"/>
  <c r="AT96" i="6" l="1" a="1"/>
  <c r="AT96" i="6" s="1"/>
  <c r="O20" i="6" a="1"/>
  <c r="O20" i="6" s="1"/>
  <c r="O35" i="6" s="1" a="1"/>
  <c r="O35" i="6" s="1"/>
  <c r="AN21" i="6" a="1"/>
  <c r="AN21" i="6" s="1"/>
  <c r="AN96" i="6" a="1"/>
  <c r="AN96" i="6" s="1"/>
  <c r="AO126" i="6" a="1"/>
  <c r="AO126" i="6" s="1"/>
  <c r="AT20" i="6" a="1"/>
  <c r="AT20" i="6" s="1"/>
  <c r="AT126" i="6" a="1"/>
  <c r="AT126" i="6" s="1"/>
  <c r="AT81" i="6" a="1"/>
  <c r="AT81" i="6" s="1"/>
  <c r="AN51" i="6" a="1"/>
  <c r="AN51" i="6" s="1"/>
  <c r="P50" i="6" a="1"/>
  <c r="P50" i="6" s="1"/>
  <c r="AN36" i="6" a="1"/>
  <c r="AN36" i="6" s="1"/>
  <c r="AN81" i="6" a="1"/>
  <c r="AN81" i="6" s="1"/>
  <c r="AO51" i="6" a="1"/>
  <c r="AO51" i="6" s="1"/>
  <c r="AN126" i="6" a="1"/>
  <c r="AN126" i="6" s="1"/>
  <c r="AU111" i="6" a="1"/>
  <c r="AU111" i="6" s="1"/>
  <c r="AU96" i="6" a="1"/>
  <c r="AU96" i="6" s="1"/>
  <c r="AU66" i="6" a="1"/>
  <c r="AU66" i="6" s="1"/>
  <c r="AO36" i="6" a="1"/>
  <c r="AO36" i="6" s="1"/>
  <c r="AO81" i="6" a="1"/>
  <c r="AO81" i="6" s="1"/>
  <c r="AO96" i="6" a="1"/>
  <c r="AO96" i="6" s="1"/>
  <c r="AU36" i="6" a="1"/>
  <c r="AU36" i="6" s="1"/>
  <c r="AU50" i="6" a="1"/>
  <c r="AU50" i="6" s="1"/>
  <c r="P36" i="6" a="1"/>
  <c r="P36" i="6" s="1"/>
  <c r="V21" i="6" a="1"/>
  <c r="V21" i="6" s="1"/>
  <c r="AN35" i="6" a="1"/>
  <c r="AN35" i="6" s="1"/>
  <c r="AO20" i="6" a="1"/>
  <c r="AO20" i="6" s="1"/>
  <c r="AU35" i="6" a="1"/>
  <c r="AU35" i="6" s="1"/>
  <c r="AU156" i="6" a="1"/>
  <c r="AU156" i="6" s="1"/>
  <c r="AT156" i="6" a="1"/>
  <c r="AT156" i="6" s="1"/>
  <c r="N21" i="6" a="1"/>
  <c r="N21" i="6" s="1"/>
  <c r="N36" i="6" s="1" a="1"/>
  <c r="N36" i="6" s="1"/>
  <c r="N51" i="6" s="1" a="1"/>
  <c r="N51" i="6" s="1"/>
  <c r="W21" i="6" a="1"/>
  <c r="W21" i="6" s="1"/>
  <c r="W36" i="6" s="1" a="1"/>
  <c r="W36" i="6" s="1"/>
  <c r="AN141" i="6" a="1"/>
  <c r="AN141" i="6" s="1"/>
  <c r="AN50" i="6" a="1"/>
  <c r="AN50" i="6" s="1"/>
  <c r="AN156" i="6" a="1"/>
  <c r="AN156" i="6" s="1"/>
  <c r="AT111" i="6" a="1"/>
  <c r="AT111" i="6" s="1"/>
  <c r="AT141" i="6" a="1"/>
  <c r="AT141" i="6" s="1"/>
  <c r="AT36" i="6" a="1"/>
  <c r="AT36" i="6" s="1"/>
  <c r="O21" i="6" a="1"/>
  <c r="O21" i="6" s="1"/>
  <c r="O36" i="6" s="1" a="1"/>
  <c r="O36" i="6" s="1"/>
  <c r="Q36" i="6" a="1"/>
  <c r="Q36" i="6" s="1"/>
  <c r="Q51" i="6" a="1"/>
  <c r="Q51" i="6" s="1"/>
  <c r="V20" i="6" a="1"/>
  <c r="V20" i="6" s="1"/>
  <c r="AO21" i="6" a="1"/>
  <c r="AO21" i="6" s="1"/>
  <c r="AN111" i="6" a="1"/>
  <c r="AN111" i="6" s="1"/>
  <c r="AO50" i="6" a="1"/>
  <c r="AO50" i="6" s="1"/>
  <c r="AO35" i="6" a="1"/>
  <c r="AO35" i="6" s="1"/>
  <c r="AU20" i="6" a="1"/>
  <c r="AU20" i="6" s="1"/>
  <c r="AU126" i="6" a="1"/>
  <c r="AU126" i="6" s="1"/>
  <c r="W20" i="6" a="1"/>
  <c r="W20" i="6" s="1"/>
  <c r="W35" i="6" s="1" a="1"/>
  <c r="W35" i="6" s="1"/>
  <c r="U21" i="6" a="1"/>
  <c r="U21" i="6" s="1"/>
  <c r="AO111" i="6" a="1"/>
  <c r="AO111" i="6" s="1"/>
  <c r="AO156" i="6" a="1"/>
  <c r="AO156" i="6" s="1"/>
  <c r="AN66" i="6" a="1"/>
  <c r="AN66" i="6" s="1"/>
  <c r="AT21" i="6" a="1"/>
  <c r="AT21" i="6" s="1"/>
  <c r="AU141" i="6" a="1"/>
  <c r="AU141" i="6" s="1"/>
  <c r="AU81" i="6" a="1"/>
  <c r="AU81" i="6" s="1"/>
  <c r="AT51" i="6" a="1"/>
  <c r="AT51" i="6" s="1"/>
  <c r="N20" i="6" a="1"/>
  <c r="N20" i="6" s="1"/>
  <c r="N35" i="6" s="1" a="1"/>
  <c r="N35" i="6" s="1"/>
  <c r="U20" i="6" a="1"/>
  <c r="U20" i="6" s="1"/>
  <c r="U35" i="6" s="1" a="1"/>
  <c r="U35" i="6" s="1"/>
  <c r="AN20" i="6" a="1"/>
  <c r="AN20" i="6" s="1"/>
  <c r="AO141" i="6" a="1"/>
  <c r="AO141" i="6" s="1"/>
  <c r="AO66" i="6" a="1"/>
  <c r="AO66" i="6" s="1"/>
  <c r="AU21" i="6" a="1"/>
  <c r="AU21" i="6" s="1"/>
  <c r="AT35" i="6" a="1"/>
  <c r="AT35" i="6" s="1"/>
  <c r="AT66" i="6" a="1"/>
  <c r="AT66" i="6" s="1"/>
  <c r="AT50" i="6" a="1"/>
  <c r="AT50" i="6" s="1"/>
  <c r="AU51" i="6" a="1"/>
  <c r="AU51" i="6" s="1"/>
  <c r="AU183" i="6" a="1"/>
  <c r="AU183" i="6" s="1"/>
  <c r="AU113" i="6" a="1"/>
  <c r="AU113" i="6" s="1"/>
  <c r="AT47" i="6" a="1"/>
  <c r="AT47" i="6" s="1"/>
  <c r="P23" i="6" a="1"/>
  <c r="P23" i="6" s="1"/>
  <c r="P38" i="6" s="1" a="1"/>
  <c r="P38" i="6" s="1"/>
  <c r="AT83" i="6" a="1"/>
  <c r="AT83" i="6" s="1"/>
  <c r="AT125" i="6" a="1"/>
  <c r="AT125" i="6" s="1"/>
  <c r="AU33" i="6" a="1"/>
  <c r="AU33" i="6" s="1"/>
  <c r="AU146" i="6" a="1"/>
  <c r="AU146" i="6" s="1"/>
  <c r="AT17" i="6" a="1"/>
  <c r="AT17" i="6" s="1"/>
  <c r="AU49" i="6" a="1"/>
  <c r="AU49" i="6" s="1"/>
  <c r="AT170" i="6" a="1"/>
  <c r="AT170" i="6" s="1"/>
  <c r="AT64" i="6" a="1"/>
  <c r="AT64" i="6" s="1"/>
  <c r="AT184" i="6" a="1"/>
  <c r="AT184" i="6" s="1"/>
  <c r="AT140" i="6" a="1"/>
  <c r="AT140" i="6" s="1"/>
  <c r="AU70" i="6" a="1"/>
  <c r="AU70" i="6" s="1"/>
  <c r="AT114" i="6" a="1"/>
  <c r="AT114" i="6" s="1"/>
  <c r="AU136" i="6" a="1"/>
  <c r="AU136" i="6" s="1"/>
  <c r="AT30" i="6" a="1"/>
  <c r="AT30" i="6" s="1"/>
  <c r="AT182" i="6" a="1"/>
  <c r="AT182" i="6" s="1"/>
  <c r="AT149" i="6" a="1"/>
  <c r="AT149" i="6" s="1"/>
  <c r="AT92" i="6" a="1"/>
  <c r="AT92" i="6" s="1"/>
  <c r="AU75" i="6" a="1"/>
  <c r="AU75" i="6" s="1"/>
  <c r="AU28" i="6" a="1"/>
  <c r="AU28" i="6" s="1"/>
  <c r="AT15" i="6" a="1"/>
  <c r="AT15" i="6" s="1"/>
  <c r="AU74" i="6" a="1"/>
  <c r="AU74" i="6" s="1"/>
  <c r="AT97" i="6" a="1"/>
  <c r="AT97" i="6" s="1"/>
  <c r="AU122" i="6" a="1"/>
  <c r="AU122" i="6" s="1"/>
  <c r="AT152" i="6" a="1"/>
  <c r="AT152" i="6" s="1"/>
  <c r="AU147" i="6" a="1"/>
  <c r="AU147" i="6" s="1"/>
  <c r="AT39" i="6" a="1"/>
  <c r="AT39" i="6" s="1"/>
  <c r="AU172" i="6" a="1"/>
  <c r="AU172" i="6" s="1"/>
  <c r="AU71" i="6" a="1"/>
  <c r="AU71" i="6" s="1"/>
  <c r="AU26" i="6" a="1"/>
  <c r="AU26" i="6" s="1"/>
  <c r="AT138" i="6" a="1"/>
  <c r="AT138" i="6" s="1"/>
  <c r="AU108" i="6" a="1"/>
  <c r="AU108" i="6" s="1"/>
  <c r="AU55" i="6" a="1"/>
  <c r="AU55" i="6" s="1"/>
  <c r="AU63" i="6" a="1"/>
  <c r="AU63" i="6" s="1"/>
  <c r="AU127" i="6" a="1"/>
  <c r="AU127" i="6" s="1"/>
  <c r="AU84" i="6" a="1"/>
  <c r="AU84" i="6" s="1"/>
  <c r="AU153" i="6" a="1"/>
  <c r="AU153" i="6" s="1"/>
  <c r="AU34" i="6" a="1"/>
  <c r="AU34" i="6" s="1"/>
  <c r="AU83" i="6" a="1"/>
  <c r="AU83" i="6" s="1"/>
  <c r="AT46" i="6" a="1"/>
  <c r="AT46" i="6" s="1"/>
  <c r="AU99" i="6" a="1"/>
  <c r="AU99" i="6" s="1"/>
  <c r="AU125" i="6" a="1"/>
  <c r="AU125" i="6" s="1"/>
  <c r="AT185" i="6" a="1"/>
  <c r="AT185" i="6" s="1"/>
  <c r="AU11" i="6" a="1"/>
  <c r="AU11" i="6" s="1"/>
  <c r="AU170" i="6" a="1"/>
  <c r="AU170" i="6" s="1"/>
  <c r="AT142" i="6" a="1"/>
  <c r="AT142" i="6" s="1"/>
  <c r="AU64" i="6" a="1"/>
  <c r="AU64" i="6" s="1"/>
  <c r="AT9" i="6" a="1"/>
  <c r="AT9" i="6" s="1"/>
  <c r="AT8" i="6" a="1"/>
  <c r="AT8" i="6" s="1"/>
  <c r="AU140" i="6" a="1"/>
  <c r="AU140" i="6" s="1"/>
  <c r="AU78" i="6" a="1"/>
  <c r="AU78" i="6" s="1"/>
  <c r="AT93" i="6" a="1"/>
  <c r="AT93" i="6" s="1"/>
  <c r="AU180" i="6" a="1"/>
  <c r="AU180" i="6" s="1"/>
  <c r="AU30" i="6" a="1"/>
  <c r="AU30" i="6" s="1"/>
  <c r="AU92" i="6" a="1"/>
  <c r="AU92" i="6" s="1"/>
  <c r="AT130" i="6" a="1"/>
  <c r="AT130" i="6" s="1"/>
  <c r="AU116" i="6" a="1"/>
  <c r="AU116" i="6" s="1"/>
  <c r="AU139" i="6" a="1"/>
  <c r="AU139" i="6" s="1"/>
  <c r="AT145" i="6" a="1"/>
  <c r="AT145" i="6" s="1"/>
  <c r="AT53" i="6" a="1"/>
  <c r="AT53" i="6" s="1"/>
  <c r="AU94" i="6" a="1"/>
  <c r="AU94" i="6" s="1"/>
  <c r="AT87" i="6" a="1"/>
  <c r="AT87" i="6" s="1"/>
  <c r="AT166" i="6" a="1"/>
  <c r="AT166" i="6" s="1"/>
  <c r="AU164" i="6" a="1"/>
  <c r="AU164" i="6" s="1"/>
  <c r="AT38" i="6" a="1"/>
  <c r="AT38" i="6" s="1"/>
  <c r="AU16" i="6" a="1"/>
  <c r="AU16" i="6" s="1"/>
  <c r="AU177" i="6" a="1"/>
  <c r="AU177" i="6" s="1"/>
  <c r="AT108" i="6" a="1"/>
  <c r="AT108" i="6" s="1"/>
  <c r="AT22" i="6" a="1"/>
  <c r="AT22" i="6" s="1"/>
  <c r="AT160" i="6" a="1"/>
  <c r="AT160" i="6" s="1"/>
  <c r="AT137" i="6" a="1"/>
  <c r="AT137" i="6" s="1"/>
  <c r="AT95" i="6" a="1"/>
  <c r="AT95" i="6" s="1"/>
  <c r="AU115" i="6" a="1"/>
  <c r="AU115" i="6" s="1"/>
  <c r="AU104" i="6" a="1"/>
  <c r="AU104" i="6" s="1"/>
  <c r="AU101" i="6" a="1"/>
  <c r="AU101" i="6" s="1"/>
  <c r="AT76" i="6" a="1"/>
  <c r="AT76" i="6" s="1"/>
  <c r="AU134" i="6" a="1"/>
  <c r="AU134" i="6" s="1"/>
  <c r="AT146" i="6" a="1"/>
  <c r="AT146" i="6" s="1"/>
  <c r="AT173" i="6" a="1"/>
  <c r="AT173" i="6" s="1"/>
  <c r="AU142" i="6" a="1"/>
  <c r="AU142" i="6" s="1"/>
  <c r="AU9" i="6" a="1"/>
  <c r="AU9" i="6" s="1"/>
  <c r="AU181" i="6" a="1"/>
  <c r="AU181" i="6" s="1"/>
  <c r="AT165" i="6" a="1"/>
  <c r="AT165" i="6" s="1"/>
  <c r="AU112" i="6" a="1"/>
  <c r="AU112" i="6" s="1"/>
  <c r="AU149" i="6" a="1"/>
  <c r="AU149" i="6" s="1"/>
  <c r="AT116" i="6" a="1"/>
  <c r="AT116" i="6" s="1"/>
  <c r="AT135" i="6" a="1"/>
  <c r="AT135" i="6" s="1"/>
  <c r="AT162" i="6" a="1"/>
  <c r="AT162" i="6" s="1"/>
  <c r="AT179" i="6" a="1"/>
  <c r="AT179" i="6" s="1"/>
  <c r="AT44" i="6" a="1"/>
  <c r="AT44" i="6" s="1"/>
  <c r="AT109" i="6" a="1"/>
  <c r="AT109" i="6" s="1"/>
  <c r="AU87" i="6" a="1"/>
  <c r="AU87" i="6" s="1"/>
  <c r="AT171" i="6" a="1"/>
  <c r="AT171" i="6" s="1"/>
  <c r="AT48" i="6" a="1"/>
  <c r="AT48" i="6" s="1"/>
  <c r="AT69" i="6" a="1"/>
  <c r="AT69" i="6" s="1"/>
  <c r="AT12" i="6" a="1"/>
  <c r="AT12" i="6" s="1"/>
  <c r="AU152" i="6" a="1"/>
  <c r="AU152" i="6" s="1"/>
  <c r="AU68" i="6" a="1"/>
  <c r="AU68" i="6" s="1"/>
  <c r="AT128" i="6" a="1"/>
  <c r="AT128" i="6" s="1"/>
  <c r="AU10" i="6" a="1"/>
  <c r="AU10" i="6" s="1"/>
  <c r="AU175" i="6" a="1"/>
  <c r="AU175" i="6" s="1"/>
  <c r="AU22" i="6" a="1"/>
  <c r="AU22" i="6" s="1"/>
  <c r="AU39" i="6" a="1"/>
  <c r="AU39" i="6" s="1"/>
  <c r="AU137" i="6" a="1"/>
  <c r="AU137" i="6" s="1"/>
  <c r="AU110" i="6" a="1"/>
  <c r="AU110" i="6" s="1"/>
  <c r="AT99" i="6" a="1"/>
  <c r="AT99" i="6" s="1"/>
  <c r="AU23" i="6" a="1"/>
  <c r="AU23" i="6" s="1"/>
  <c r="AT19" i="6" a="1"/>
  <c r="AT19" i="6" s="1"/>
  <c r="AT77" i="6" a="1"/>
  <c r="AT77" i="6" s="1"/>
  <c r="AU185" i="6" a="1"/>
  <c r="AU185" i="6" s="1"/>
  <c r="AT79" i="6" a="1"/>
  <c r="AT79" i="6" s="1"/>
  <c r="AU157" i="6" a="1"/>
  <c r="AU157" i="6" s="1"/>
  <c r="AU76" i="6" a="1"/>
  <c r="AU76" i="6" s="1"/>
  <c r="AU46" i="6" a="1"/>
  <c r="AU46" i="6" s="1"/>
  <c r="AU173" i="6" a="1"/>
  <c r="AU173" i="6" s="1"/>
  <c r="AT131" i="6" a="1"/>
  <c r="AT131" i="6" s="1"/>
  <c r="AU129" i="6" a="1"/>
  <c r="AU129" i="6" s="1"/>
  <c r="AT98" i="6" a="1"/>
  <c r="AT98" i="6" s="1"/>
  <c r="AT82" i="6" a="1"/>
  <c r="AT82" i="6" s="1"/>
  <c r="AT78" i="6" a="1"/>
  <c r="AT78" i="6" s="1"/>
  <c r="AU145" i="6" a="1"/>
  <c r="AU145" i="6" s="1"/>
  <c r="AT180" i="6" a="1"/>
  <c r="AT180" i="6" s="1"/>
  <c r="AT155" i="6" a="1"/>
  <c r="AT155" i="6" s="1"/>
  <c r="AU105" i="6" a="1"/>
  <c r="AU105" i="6" s="1"/>
  <c r="AT13" i="6" a="1"/>
  <c r="AT13" i="6" s="1"/>
  <c r="AT65" i="6" a="1"/>
  <c r="AT65" i="6" s="1"/>
  <c r="AT124" i="6" a="1"/>
  <c r="AT124" i="6" s="1"/>
  <c r="AU135" i="6" a="1"/>
  <c r="AU135" i="6" s="1"/>
  <c r="AT172" i="6" a="1"/>
  <c r="AT172" i="6" s="1"/>
  <c r="AU162" i="6" a="1"/>
  <c r="AU162" i="6" s="1"/>
  <c r="AU179" i="6" a="1"/>
  <c r="AU179" i="6" s="1"/>
  <c r="AU44" i="6" a="1"/>
  <c r="AU44" i="6" s="1"/>
  <c r="AU171" i="6" a="1"/>
  <c r="AU171" i="6" s="1"/>
  <c r="AU48" i="6" a="1"/>
  <c r="AU48" i="6" s="1"/>
  <c r="AU17" i="6" a="1"/>
  <c r="AU17" i="6" s="1"/>
  <c r="AU12" i="6" a="1"/>
  <c r="AU12" i="6" s="1"/>
  <c r="AT151" i="6" a="1"/>
  <c r="AT151" i="6" s="1"/>
  <c r="AT31" i="6" a="1"/>
  <c r="AT31" i="6" s="1"/>
  <c r="AT18" i="6" a="1"/>
  <c r="AT18" i="6" s="1"/>
  <c r="AU128" i="6" a="1"/>
  <c r="AU128" i="6" s="1"/>
  <c r="AT23" i="6" a="1"/>
  <c r="AT23" i="6" s="1"/>
  <c r="AU89" i="6" a="1"/>
  <c r="AU89" i="6" s="1"/>
  <c r="AT175" i="6" a="1"/>
  <c r="AT175" i="6" s="1"/>
  <c r="AT52" i="6" a="1"/>
  <c r="AT52" i="6" s="1"/>
  <c r="AT25" i="6" a="1"/>
  <c r="AT25" i="6" s="1"/>
  <c r="AU160" i="6" a="1"/>
  <c r="AU160" i="6" s="1"/>
  <c r="AT177" i="6" a="1"/>
  <c r="AT177" i="6" s="1"/>
  <c r="AT110" i="6" a="1"/>
  <c r="AT110" i="6" s="1"/>
  <c r="AT121" i="6" a="1"/>
  <c r="AT121" i="6" s="1"/>
  <c r="AU15" i="6" a="1"/>
  <c r="AU15" i="6" s="1"/>
  <c r="AU131" i="6" a="1"/>
  <c r="AU131" i="6" s="1"/>
  <c r="AT101" i="6" a="1"/>
  <c r="AT101" i="6" s="1"/>
  <c r="AT33" i="6" a="1"/>
  <c r="AT33" i="6" s="1"/>
  <c r="AT43" i="6" a="1"/>
  <c r="AT43" i="6" s="1"/>
  <c r="AU158" i="6" a="1"/>
  <c r="AU158" i="6" s="1"/>
  <c r="AU43" i="6" a="1"/>
  <c r="AU43" i="6" s="1"/>
  <c r="AT60" i="6" a="1"/>
  <c r="AT60" i="6" s="1"/>
  <c r="AT100" i="6" a="1"/>
  <c r="AT100" i="6" s="1"/>
  <c r="AT24" i="6" a="1"/>
  <c r="AT24" i="6" s="1"/>
  <c r="AU144" i="6" a="1"/>
  <c r="AU144" i="6" s="1"/>
  <c r="AT181" i="6" a="1"/>
  <c r="AT181" i="6" s="1"/>
  <c r="AU82" i="6" a="1"/>
  <c r="AU82" i="6" s="1"/>
  <c r="AT150" i="6" a="1"/>
  <c r="AT150" i="6" s="1"/>
  <c r="AT154" i="6" a="1"/>
  <c r="AT154" i="6" s="1"/>
  <c r="AU117" i="6" a="1"/>
  <c r="AU117" i="6" s="1"/>
  <c r="AU67" i="6" a="1"/>
  <c r="AU67" i="6" s="1"/>
  <c r="AT107" i="6" a="1"/>
  <c r="AT107" i="6" s="1"/>
  <c r="AU119" i="6" a="1"/>
  <c r="AU119" i="6" s="1"/>
  <c r="AT164" i="6" a="1"/>
  <c r="AT164" i="6" s="1"/>
  <c r="AU13" i="6" a="1"/>
  <c r="AU13" i="6" s="1"/>
  <c r="AU65" i="6" a="1"/>
  <c r="AU65" i="6" s="1"/>
  <c r="AT14" i="6" a="1"/>
  <c r="AT14" i="6" s="1"/>
  <c r="AU167" i="6" a="1"/>
  <c r="AU167" i="6" s="1"/>
  <c r="AU8" i="6" a="1"/>
  <c r="AU8" i="6" s="1"/>
  <c r="AT80" i="6" a="1"/>
  <c r="AT80" i="6" s="1"/>
  <c r="AT27" i="6" a="1"/>
  <c r="AT27" i="6" s="1"/>
  <c r="AT94" i="6" a="1"/>
  <c r="AT94" i="6" s="1"/>
  <c r="AT159" i="6" a="1"/>
  <c r="AT159" i="6" s="1"/>
  <c r="AU59" i="6" a="1"/>
  <c r="AU59" i="6" s="1"/>
  <c r="AT174" i="6" a="1"/>
  <c r="AT174" i="6" s="1"/>
  <c r="AT28" i="6" a="1"/>
  <c r="AT28" i="6" s="1"/>
  <c r="AU151" i="6" a="1"/>
  <c r="AU151" i="6" s="1"/>
  <c r="AT42" i="6" a="1"/>
  <c r="AT42" i="6" s="1"/>
  <c r="AT16" i="6" a="1"/>
  <c r="AT16" i="6" s="1"/>
  <c r="AT183" i="6" a="1"/>
  <c r="AT183" i="6" s="1"/>
  <c r="AT56" i="6" a="1"/>
  <c r="AT56" i="6" s="1"/>
  <c r="AT104" i="6" a="1"/>
  <c r="AT104" i="6" s="1"/>
  <c r="AU52" i="6" a="1"/>
  <c r="AU52" i="6" s="1"/>
  <c r="AU25" i="6" a="1"/>
  <c r="AU25" i="6" s="1"/>
  <c r="AU40" i="6" a="1"/>
  <c r="AU40" i="6" s="1"/>
  <c r="AT37" i="6" a="1"/>
  <c r="AT37" i="6" s="1"/>
  <c r="AU31" i="6" a="1"/>
  <c r="AU31" i="6" s="1"/>
  <c r="AU53" i="6" a="1"/>
  <c r="AU53" i="6" s="1"/>
  <c r="AT40" i="6" a="1"/>
  <c r="AT40" i="6" s="1"/>
  <c r="AT143" i="6" a="1"/>
  <c r="AT143" i="6" s="1"/>
  <c r="AT127" i="6" a="1"/>
  <c r="AT127" i="6" s="1"/>
  <c r="AT169" i="6" a="1"/>
  <c r="AT169" i="6" s="1"/>
  <c r="AU168" i="6" a="1"/>
  <c r="AU168" i="6" s="1"/>
  <c r="AU60" i="6" a="1"/>
  <c r="AU60" i="6" s="1"/>
  <c r="AT186" i="6" a="1"/>
  <c r="AT186" i="6" s="1"/>
  <c r="AU24" i="6" a="1"/>
  <c r="AU24" i="6" s="1"/>
  <c r="AU98" i="6" a="1"/>
  <c r="AU98" i="6" s="1"/>
  <c r="AU47" i="6" a="1"/>
  <c r="AU47" i="6" s="1"/>
  <c r="AT115" i="6" a="1"/>
  <c r="AT115" i="6" s="1"/>
  <c r="AT49" i="6" a="1"/>
  <c r="AT49" i="6" s="1"/>
  <c r="AT11" i="6" a="1"/>
  <c r="AT11" i="6" s="1"/>
  <c r="AU86" i="6" a="1"/>
  <c r="AU86" i="6" s="1"/>
  <c r="AT72" i="6" a="1"/>
  <c r="AT72" i="6" s="1"/>
  <c r="AU102" i="6" a="1"/>
  <c r="AU102" i="6" s="1"/>
  <c r="AU107" i="6" a="1"/>
  <c r="AU107" i="6" s="1"/>
  <c r="AU19" i="6" a="1"/>
  <c r="AU19" i="6" s="1"/>
  <c r="AT105" i="6" a="1"/>
  <c r="AT105" i="6" s="1"/>
  <c r="AU14" i="6" a="1"/>
  <c r="AU14" i="6" s="1"/>
  <c r="AT167" i="6" a="1"/>
  <c r="AT167" i="6" s="1"/>
  <c r="AT91" i="6" a="1"/>
  <c r="AT91" i="6" s="1"/>
  <c r="AU27" i="6" a="1"/>
  <c r="AU27" i="6" s="1"/>
  <c r="AT74" i="6" a="1"/>
  <c r="AT74" i="6" s="1"/>
  <c r="AU159" i="6" a="1"/>
  <c r="AU159" i="6" s="1"/>
  <c r="AT153" i="6" a="1"/>
  <c r="AT153" i="6" s="1"/>
  <c r="AT34" i="6" a="1"/>
  <c r="AT34" i="6" s="1"/>
  <c r="AU123" i="6" a="1"/>
  <c r="AU123" i="6" s="1"/>
  <c r="AT113" i="6" a="1"/>
  <c r="AT113" i="6" s="1"/>
  <c r="AT157" i="6" a="1"/>
  <c r="AT157" i="6" s="1"/>
  <c r="AT106" i="6" a="1"/>
  <c r="AT106" i="6" s="1"/>
  <c r="AU77" i="6" a="1"/>
  <c r="AU77" i="6" s="1"/>
  <c r="AU37" i="6" a="1"/>
  <c r="AU37" i="6" s="1"/>
  <c r="AU155" i="6" a="1"/>
  <c r="AU155" i="6" s="1"/>
  <c r="AU138" i="6" a="1"/>
  <c r="AU138" i="6" s="1"/>
  <c r="AU45" i="6" a="1"/>
  <c r="AU45" i="6" s="1"/>
  <c r="AU184" i="6" a="1"/>
  <c r="AU184" i="6" s="1"/>
  <c r="AU56" i="6" a="1"/>
  <c r="AU56" i="6" s="1"/>
  <c r="AT57" i="6" a="1"/>
  <c r="AT57" i="6" s="1"/>
  <c r="AT158" i="6" a="1"/>
  <c r="AT158" i="6" s="1"/>
  <c r="AT41" i="6" a="1"/>
  <c r="AT41" i="6" s="1"/>
  <c r="AU169" i="6" a="1"/>
  <c r="AU169" i="6" s="1"/>
  <c r="AT168" i="6" a="1"/>
  <c r="AT168" i="6" s="1"/>
  <c r="AU143" i="6" a="1"/>
  <c r="AU143" i="6" s="1"/>
  <c r="AU150" i="6" a="1"/>
  <c r="AU150" i="6" s="1"/>
  <c r="AT129" i="6" a="1"/>
  <c r="AT129" i="6" s="1"/>
  <c r="AU120" i="6" a="1"/>
  <c r="AU120" i="6" s="1"/>
  <c r="AT144" i="6" a="1"/>
  <c r="AT144" i="6" s="1"/>
  <c r="AT132" i="6" a="1"/>
  <c r="AT132" i="6" s="1"/>
  <c r="AU114" i="6" a="1"/>
  <c r="AU114" i="6" s="1"/>
  <c r="AT67" i="6" a="1"/>
  <c r="AT67" i="6" s="1"/>
  <c r="AU72" i="6" a="1"/>
  <c r="AU72" i="6" s="1"/>
  <c r="AT84" i="6" a="1"/>
  <c r="AT84" i="6" s="1"/>
  <c r="AU130" i="6" a="1"/>
  <c r="AU130" i="6" s="1"/>
  <c r="AT61" i="6" a="1"/>
  <c r="AT61" i="6" s="1"/>
  <c r="AT85" i="6" a="1"/>
  <c r="AT85" i="6" s="1"/>
  <c r="AT90" i="6" a="1"/>
  <c r="AT90" i="6" s="1"/>
  <c r="AU91" i="6" a="1"/>
  <c r="AU91" i="6" s="1"/>
  <c r="AT54" i="6" a="1"/>
  <c r="AT54" i="6" s="1"/>
  <c r="AT29" i="6" a="1"/>
  <c r="AT29" i="6" s="1"/>
  <c r="AU97" i="6" a="1"/>
  <c r="AU97" i="6" s="1"/>
  <c r="AT59" i="6" a="1"/>
  <c r="AT59" i="6" s="1"/>
  <c r="AU174" i="6" a="1"/>
  <c r="AU174" i="6" s="1"/>
  <c r="AT122" i="6" a="1"/>
  <c r="AT122" i="6" s="1"/>
  <c r="AT147" i="6" a="1"/>
  <c r="AT147" i="6" s="1"/>
  <c r="AT134" i="6" a="1"/>
  <c r="AT134" i="6" s="1"/>
  <c r="AU93" i="6" a="1"/>
  <c r="AU93" i="6" s="1"/>
  <c r="AT32" i="6" a="1"/>
  <c r="AT32" i="6" s="1"/>
  <c r="AT62" i="6" a="1"/>
  <c r="AT62" i="6" s="1"/>
  <c r="AT86" i="6" a="1"/>
  <c r="AT86" i="6" s="1"/>
  <c r="AU124" i="6" a="1"/>
  <c r="AU124" i="6" s="1"/>
  <c r="AT10" i="6" a="1"/>
  <c r="AT10" i="6" s="1"/>
  <c r="AU154" i="6" a="1"/>
  <c r="AU154" i="6" s="1"/>
  <c r="AU42" i="6" a="1"/>
  <c r="AU42" i="6" s="1"/>
  <c r="AU121" i="6" a="1"/>
  <c r="AU121" i="6" s="1"/>
  <c r="AU57" i="6" a="1"/>
  <c r="AU57" i="6" s="1"/>
  <c r="AU41" i="6" a="1"/>
  <c r="AU41" i="6" s="1"/>
  <c r="AU79" i="6" a="1"/>
  <c r="AU79" i="6" s="1"/>
  <c r="AU186" i="6" a="1"/>
  <c r="AU186" i="6" s="1"/>
  <c r="AU182" i="6" a="1"/>
  <c r="AU182" i="6" s="1"/>
  <c r="AT68" i="6" a="1"/>
  <c r="AT68" i="6" s="1"/>
  <c r="AU95" i="6" a="1"/>
  <c r="AU95" i="6" s="1"/>
  <c r="AT45" i="6" a="1"/>
  <c r="AT45" i="6" s="1"/>
  <c r="AU132" i="6" a="1"/>
  <c r="AU132" i="6" s="1"/>
  <c r="AT123" i="6" a="1"/>
  <c r="AT123" i="6" s="1"/>
  <c r="AU69" i="6" a="1"/>
  <c r="AU69" i="6" s="1"/>
  <c r="AT117" i="6" a="1"/>
  <c r="AT117" i="6" s="1"/>
  <c r="AT102" i="6" a="1"/>
  <c r="AT102" i="6" s="1"/>
  <c r="AT119" i="6" a="1"/>
  <c r="AT119" i="6" s="1"/>
  <c r="AU61" i="6" a="1"/>
  <c r="AU61" i="6" s="1"/>
  <c r="AU85" i="6" a="1"/>
  <c r="AU85" i="6" s="1"/>
  <c r="AU90" i="6" a="1"/>
  <c r="AU90" i="6" s="1"/>
  <c r="AT75" i="6" a="1"/>
  <c r="AT75" i="6" s="1"/>
  <c r="AT139" i="6" a="1"/>
  <c r="AT139" i="6" s="1"/>
  <c r="AU29" i="6" a="1"/>
  <c r="AU29" i="6" s="1"/>
  <c r="AU54" i="6" a="1"/>
  <c r="AU54" i="6" s="1"/>
  <c r="AU109" i="6" a="1"/>
  <c r="AU109" i="6" s="1"/>
  <c r="AT112" i="6" a="1"/>
  <c r="AT112" i="6" s="1"/>
  <c r="AU100" i="6" a="1"/>
  <c r="AU100" i="6" s="1"/>
  <c r="AU166" i="6" a="1"/>
  <c r="AU166" i="6" s="1"/>
  <c r="AU18" i="6" a="1"/>
  <c r="AU18" i="6" s="1"/>
  <c r="AT71" i="6" a="1"/>
  <c r="AT71" i="6" s="1"/>
  <c r="AT26" i="6" a="1"/>
  <c r="AT26" i="6" s="1"/>
  <c r="AT136" i="6" a="1"/>
  <c r="AT136" i="6" s="1"/>
  <c r="AU106" i="6" a="1"/>
  <c r="AU106" i="6" s="1"/>
  <c r="AT55" i="6" a="1"/>
  <c r="AT55" i="6" s="1"/>
  <c r="AT89" i="6" a="1"/>
  <c r="AT89" i="6" s="1"/>
  <c r="AU32" i="6" a="1"/>
  <c r="AU32" i="6" s="1"/>
  <c r="AT63" i="6" a="1"/>
  <c r="AT63" i="6" s="1"/>
  <c r="AU62" i="6" a="1"/>
  <c r="AU62" i="6" s="1"/>
  <c r="AT120" i="6" a="1"/>
  <c r="AT120" i="6" s="1"/>
  <c r="AT70" i="6" a="1"/>
  <c r="AT70" i="6" s="1"/>
  <c r="AU165" i="6" a="1"/>
  <c r="AU165" i="6" s="1"/>
  <c r="AU38" i="6" a="1"/>
  <c r="AU38" i="6" s="1"/>
  <c r="AU80" i="6" a="1"/>
  <c r="AU80" i="6" s="1"/>
  <c r="AO62" i="6" a="1"/>
  <c r="AO62" i="6" s="1"/>
  <c r="AN43" i="6" a="1"/>
  <c r="AN43" i="6" s="1"/>
  <c r="AN110" i="6" a="1"/>
  <c r="AN110" i="6" s="1"/>
  <c r="AN134" i="6" a="1"/>
  <c r="AN134" i="6" s="1"/>
  <c r="AN108" i="6" a="1"/>
  <c r="AN108" i="6" s="1"/>
  <c r="AO93" i="6" a="1"/>
  <c r="AO93" i="6" s="1"/>
  <c r="AO142" i="6" a="1"/>
  <c r="AO142" i="6" s="1"/>
  <c r="AN137" i="6" a="1"/>
  <c r="AN137" i="6" s="1"/>
  <c r="AN57" i="6" a="1"/>
  <c r="AN57" i="6" s="1"/>
  <c r="AN127" i="6" a="1"/>
  <c r="AN127" i="6" s="1"/>
  <c r="AO134" i="6" a="1"/>
  <c r="AO134" i="6" s="1"/>
  <c r="AN125" i="6" a="1"/>
  <c r="AN125" i="6" s="1"/>
  <c r="AN62" i="6" a="1"/>
  <c r="AN62" i="6" s="1"/>
  <c r="AN130" i="6" a="1"/>
  <c r="AN130" i="6" s="1"/>
  <c r="AO45" i="6" a="1"/>
  <c r="AO45" i="6" s="1"/>
  <c r="AO140" i="6" a="1"/>
  <c r="AO140" i="6" s="1"/>
  <c r="AN116" i="6" a="1"/>
  <c r="AN116" i="6" s="1"/>
  <c r="AO69" i="6" a="1"/>
  <c r="AO69" i="6" s="1"/>
  <c r="AN91" i="6" a="1"/>
  <c r="AN91" i="6" s="1"/>
  <c r="AO25" i="6" a="1"/>
  <c r="AO25" i="6" s="1"/>
  <c r="AO86" i="6" a="1"/>
  <c r="AO86" i="6" s="1"/>
  <c r="AO23" i="6" a="1"/>
  <c r="AO23" i="6" s="1"/>
  <c r="AO177" i="6" a="1"/>
  <c r="AO177" i="6" s="1"/>
  <c r="AO150" i="6" a="1"/>
  <c r="AO150" i="6" s="1"/>
  <c r="AN149" i="6" a="1"/>
  <c r="AN149" i="6" s="1"/>
  <c r="AO97" i="6" a="1"/>
  <c r="AO97" i="6" s="1"/>
  <c r="AO42" i="6" a="1"/>
  <c r="AO42" i="6" s="1"/>
  <c r="AN78" i="6" a="1"/>
  <c r="AN78" i="6" s="1"/>
  <c r="AO185" i="6" a="1"/>
  <c r="AO185" i="6" s="1"/>
  <c r="AN170" i="6" a="1"/>
  <c r="AN170" i="6" s="1"/>
  <c r="AO74" i="6" a="1"/>
  <c r="AO74" i="6" s="1"/>
  <c r="AN159" i="6" a="1"/>
  <c r="AN159" i="6" s="1"/>
  <c r="AN179" i="6" a="1"/>
  <c r="AN179" i="6" s="1"/>
  <c r="AN106" i="6" a="1"/>
  <c r="AN106" i="6" s="1"/>
  <c r="AO106" i="6" a="1"/>
  <c r="AO106" i="6" s="1"/>
  <c r="AO56" i="6" a="1"/>
  <c r="AO56" i="6" s="1"/>
  <c r="AO147" i="6" a="1"/>
  <c r="AO147" i="6" s="1"/>
  <c r="AO124" i="6" a="1"/>
  <c r="AO124" i="6" s="1"/>
  <c r="AO57" i="6" a="1"/>
  <c r="AO57" i="6" s="1"/>
  <c r="AO125" i="6" a="1"/>
  <c r="AO125" i="6" s="1"/>
  <c r="AN41" i="6" a="1"/>
  <c r="AN41" i="6" s="1"/>
  <c r="AO43" i="6" a="1"/>
  <c r="AO43" i="6" s="1"/>
  <c r="AN168" i="6" a="1"/>
  <c r="AN168" i="6" s="1"/>
  <c r="AN13" i="6" a="1"/>
  <c r="AN13" i="6" s="1"/>
  <c r="AO165" i="6" a="1"/>
  <c r="AO165" i="6" s="1"/>
  <c r="AN14" i="6" a="1"/>
  <c r="AN14" i="6" s="1"/>
  <c r="AN157" i="6" a="1"/>
  <c r="AN157" i="6" s="1"/>
  <c r="AO91" i="6" a="1"/>
  <c r="AO91" i="6" s="1"/>
  <c r="AO174" i="6" a="1"/>
  <c r="AO174" i="6" s="1"/>
  <c r="AN68" i="6" a="1"/>
  <c r="AN68" i="6" s="1"/>
  <c r="AO120" i="6" a="1"/>
  <c r="AO120" i="6" s="1"/>
  <c r="AO9" i="6" a="1"/>
  <c r="AO9" i="6" s="1"/>
  <c r="AN95" i="6" a="1"/>
  <c r="AN95" i="6" s="1"/>
  <c r="AO47" i="6" a="1"/>
  <c r="AO47" i="6" s="1"/>
  <c r="AN82" i="6" a="1"/>
  <c r="AN82" i="6" s="1"/>
  <c r="AN8" i="6" a="1"/>
  <c r="AN8" i="6" s="1"/>
  <c r="AN34" i="6" a="1"/>
  <c r="AN34" i="6" s="1"/>
  <c r="AO136" i="6" a="1"/>
  <c r="AO136" i="6" s="1"/>
  <c r="AO30" i="6" a="1"/>
  <c r="AO30" i="6" s="1"/>
  <c r="AN102" i="6" a="1"/>
  <c r="AN102" i="6" s="1"/>
  <c r="AO149" i="6" a="1"/>
  <c r="AO149" i="6" s="1"/>
  <c r="AN164" i="6" a="1"/>
  <c r="AN164" i="6" s="1"/>
  <c r="AN87" i="6" a="1"/>
  <c r="AN87" i="6" s="1"/>
  <c r="AN171" i="6" a="1"/>
  <c r="AN171" i="6" s="1"/>
  <c r="AO78" i="6" a="1"/>
  <c r="AO78" i="6" s="1"/>
  <c r="AO138" i="6" a="1"/>
  <c r="AO138" i="6" s="1"/>
  <c r="AO159" i="6" a="1"/>
  <c r="AO159" i="6" s="1"/>
  <c r="AN54" i="6" a="1"/>
  <c r="AN54" i="6" s="1"/>
  <c r="AN29" i="6" a="1"/>
  <c r="AN29" i="6" s="1"/>
  <c r="AN59" i="6" a="1"/>
  <c r="AN59" i="6" s="1"/>
  <c r="AN151" i="6" a="1"/>
  <c r="AN151" i="6" s="1"/>
  <c r="AN183" i="6" a="1"/>
  <c r="AN183" i="6" s="1"/>
  <c r="AN56" i="6" a="1"/>
  <c r="AN56" i="6" s="1"/>
  <c r="AN172" i="6" a="1"/>
  <c r="AN172" i="6" s="1"/>
  <c r="AO89" i="6" a="1"/>
  <c r="AO89" i="6" s="1"/>
  <c r="AO186" i="6" a="1"/>
  <c r="AO186" i="6" s="1"/>
  <c r="AN175" i="6" a="1"/>
  <c r="AN175" i="6" s="1"/>
  <c r="AN31" i="6" a="1"/>
  <c r="AN31" i="6" s="1"/>
  <c r="AO32" i="6" a="1"/>
  <c r="AO32" i="6" s="1"/>
  <c r="AO41" i="6" a="1"/>
  <c r="AO41" i="6" s="1"/>
  <c r="AN46" i="6" a="1"/>
  <c r="AN46" i="6" s="1"/>
  <c r="AO17" i="6" a="1"/>
  <c r="AO17" i="6" s="1"/>
  <c r="AO13" i="6" a="1"/>
  <c r="AO13" i="6" s="1"/>
  <c r="AO65" i="6" a="1"/>
  <c r="AO65" i="6" s="1"/>
  <c r="AN115" i="6" a="1"/>
  <c r="AN115" i="6" s="1"/>
  <c r="AO26" i="6" a="1"/>
  <c r="AO26" i="6" s="1"/>
  <c r="AN132" i="6" a="1"/>
  <c r="AN132" i="6" s="1"/>
  <c r="AN53" i="6" a="1"/>
  <c r="AN53" i="6" s="1"/>
  <c r="AO68" i="6" a="1"/>
  <c r="AO68" i="6" s="1"/>
  <c r="AN120" i="6" a="1"/>
  <c r="AN120" i="6" s="1"/>
  <c r="AO95" i="6" a="1"/>
  <c r="AO95" i="6" s="1"/>
  <c r="AO82" i="6" a="1"/>
  <c r="AO82" i="6" s="1"/>
  <c r="AO100" i="6" a="1"/>
  <c r="AO100" i="6" s="1"/>
  <c r="AO34" i="6" a="1"/>
  <c r="AO34" i="6" s="1"/>
  <c r="AN37" i="6" a="1"/>
  <c r="AN37" i="6" s="1"/>
  <c r="AN117" i="6" a="1"/>
  <c r="AN117" i="6" s="1"/>
  <c r="AO11" i="6" a="1"/>
  <c r="AO11" i="6" s="1"/>
  <c r="AN136" i="6" a="1"/>
  <c r="AN136" i="6" s="1"/>
  <c r="AO102" i="6" a="1"/>
  <c r="AO102" i="6" s="1"/>
  <c r="AN119" i="6" a="1"/>
  <c r="AN119" i="6" s="1"/>
  <c r="AO87" i="6" a="1"/>
  <c r="AO87" i="6" s="1"/>
  <c r="AN28" i="6" a="1"/>
  <c r="AN28" i="6" s="1"/>
  <c r="AN60" i="6" a="1"/>
  <c r="AN60" i="6" s="1"/>
  <c r="AN173" i="6" a="1"/>
  <c r="AN173" i="6" s="1"/>
  <c r="AN15" i="6" a="1"/>
  <c r="AN15" i="6" s="1"/>
  <c r="AO54" i="6" a="1"/>
  <c r="AO54" i="6" s="1"/>
  <c r="AO29" i="6" a="1"/>
  <c r="AO29" i="6" s="1"/>
  <c r="AO59" i="6" a="1"/>
  <c r="AO59" i="6" s="1"/>
  <c r="AO80" i="6" a="1"/>
  <c r="AO80" i="6" s="1"/>
  <c r="AO12" i="6" a="1"/>
  <c r="AO12" i="6" s="1"/>
  <c r="AN75" i="6" a="1"/>
  <c r="AN75" i="6" s="1"/>
  <c r="AN135" i="6" a="1"/>
  <c r="AN135" i="6" s="1"/>
  <c r="AN71" i="6" a="1"/>
  <c r="AN71" i="6" s="1"/>
  <c r="AN10" i="6" a="1"/>
  <c r="AN10" i="6" s="1"/>
  <c r="AO123" i="6" a="1"/>
  <c r="AO123" i="6" s="1"/>
  <c r="AN11" i="6" a="1"/>
  <c r="AN11" i="6" s="1"/>
  <c r="AN63" i="6" a="1"/>
  <c r="AN63" i="6" s="1"/>
  <c r="AN98" i="6" a="1"/>
  <c r="AN98" i="6" s="1"/>
  <c r="AN131" i="6" a="1"/>
  <c r="AN131" i="6" s="1"/>
  <c r="AO99" i="6" a="1"/>
  <c r="AO99" i="6" s="1"/>
  <c r="AN79" i="6" a="1"/>
  <c r="AN79" i="6" s="1"/>
  <c r="AO146" i="6" a="1"/>
  <c r="AO146" i="6" s="1"/>
  <c r="AO105" i="6" a="1"/>
  <c r="AO105" i="6" s="1"/>
  <c r="AO90" i="6" a="1"/>
  <c r="AO90" i="6" s="1"/>
  <c r="AO122" i="6" a="1"/>
  <c r="AO122" i="6" s="1"/>
  <c r="AO115" i="6" a="1"/>
  <c r="AO115" i="6" s="1"/>
  <c r="AO157" i="6" a="1"/>
  <c r="AO157" i="6" s="1"/>
  <c r="AO22" i="6" a="1"/>
  <c r="AO22" i="6" s="1"/>
  <c r="AO39" i="6" a="1"/>
  <c r="AO39" i="6" s="1"/>
  <c r="AO132" i="6" a="1"/>
  <c r="AO132" i="6" s="1"/>
  <c r="AN19" i="6" a="1"/>
  <c r="AN19" i="6" s="1"/>
  <c r="AN121" i="6" a="1"/>
  <c r="AN121" i="6" s="1"/>
  <c r="AO64" i="6" a="1"/>
  <c r="AO64" i="6" s="1"/>
  <c r="AN165" i="6" a="1"/>
  <c r="AN165" i="6" s="1"/>
  <c r="AN180" i="6" a="1"/>
  <c r="AN180" i="6" s="1"/>
  <c r="AN177" i="6" a="1"/>
  <c r="AN177" i="6" s="1"/>
  <c r="AO119" i="6" a="1"/>
  <c r="AO119" i="6" s="1"/>
  <c r="AO19" i="6" a="1"/>
  <c r="AO19" i="6" s="1"/>
  <c r="AO171" i="6" a="1"/>
  <c r="AO171" i="6" s="1"/>
  <c r="AO166" i="6" a="1"/>
  <c r="AO166" i="6" s="1"/>
  <c r="AN49" i="6" a="1"/>
  <c r="AN49" i="6" s="1"/>
  <c r="AO60" i="6" a="1"/>
  <c r="AO60" i="6" s="1"/>
  <c r="AO53" i="6" a="1"/>
  <c r="AO53" i="6" s="1"/>
  <c r="AO94" i="6" a="1"/>
  <c r="AO94" i="6" s="1"/>
  <c r="AN162" i="6" a="1"/>
  <c r="AN162" i="6" s="1"/>
  <c r="AN70" i="6" a="1"/>
  <c r="AN70" i="6" s="1"/>
  <c r="AO31" i="6" a="1"/>
  <c r="AO31" i="6" s="1"/>
  <c r="AO75" i="6" a="1"/>
  <c r="AO75" i="6" s="1"/>
  <c r="AO135" i="6" a="1"/>
  <c r="AO135" i="6" s="1"/>
  <c r="AN99" i="6" a="1"/>
  <c r="AN99" i="6" s="1"/>
  <c r="AO71" i="6" a="1"/>
  <c r="AO71" i="6" s="1"/>
  <c r="AO70" i="6" a="1"/>
  <c r="AO70" i="6" s="1"/>
  <c r="AO16" i="6" a="1"/>
  <c r="AO16" i="6" s="1"/>
  <c r="AO145" i="6" a="1"/>
  <c r="AO145" i="6" s="1"/>
  <c r="AO127" i="6" a="1"/>
  <c r="AO127" i="6" s="1"/>
  <c r="AO63" i="6" a="1"/>
  <c r="AO63" i="6" s="1"/>
  <c r="AO40" i="6" a="1"/>
  <c r="AO40" i="6" s="1"/>
  <c r="AN76" i="6" a="1"/>
  <c r="AN76" i="6" s="1"/>
  <c r="AO158" i="6" a="1"/>
  <c r="AO158" i="6" s="1"/>
  <c r="AN17" i="6" a="1"/>
  <c r="AN17" i="6" s="1"/>
  <c r="AN85" i="6" a="1"/>
  <c r="AN85" i="6" s="1"/>
  <c r="AN90" i="6" a="1"/>
  <c r="AN90" i="6" s="1"/>
  <c r="AN122" i="6" a="1"/>
  <c r="AN122" i="6" s="1"/>
  <c r="AO152" i="6" a="1"/>
  <c r="AO152" i="6" s="1"/>
  <c r="AN123" i="6" a="1"/>
  <c r="AN123" i="6" s="1"/>
  <c r="AN107" i="6" a="1"/>
  <c r="AN107" i="6" s="1"/>
  <c r="AO24" i="6" a="1"/>
  <c r="AO24" i="6" s="1"/>
  <c r="AO121" i="6" a="1"/>
  <c r="AO121" i="6" s="1"/>
  <c r="AN9" i="6" a="1"/>
  <c r="AN9" i="6" s="1"/>
  <c r="AN47" i="6" a="1"/>
  <c r="AN47" i="6" s="1"/>
  <c r="AO184" i="6" a="1"/>
  <c r="AO184" i="6" s="1"/>
  <c r="AN100" i="6" a="1"/>
  <c r="AN100" i="6" s="1"/>
  <c r="AN32" i="6" a="1"/>
  <c r="AN32" i="6" s="1"/>
  <c r="AO130" i="6" a="1"/>
  <c r="AO130" i="6" s="1"/>
  <c r="AO180" i="6" a="1"/>
  <c r="AO180" i="6" s="1"/>
  <c r="AN30" i="6" a="1"/>
  <c r="AN30" i="6" s="1"/>
  <c r="AN84" i="6" a="1"/>
  <c r="AN84" i="6" s="1"/>
  <c r="AO167" i="6" a="1"/>
  <c r="AO167" i="6" s="1"/>
  <c r="AN55" i="6" a="1"/>
  <c r="AN55" i="6" s="1"/>
  <c r="AO49" i="6" a="1"/>
  <c r="AO49" i="6" s="1"/>
  <c r="AO173" i="6" a="1"/>
  <c r="AO173" i="6" s="1"/>
  <c r="AN89" i="6" a="1"/>
  <c r="AN89" i="6" s="1"/>
  <c r="AO162" i="6" a="1"/>
  <c r="AO162" i="6" s="1"/>
  <c r="AO153" i="6" a="1"/>
  <c r="AO153" i="6" s="1"/>
  <c r="AO109" i="6" a="1"/>
  <c r="AO109" i="6" s="1"/>
  <c r="AN147" i="6" a="1"/>
  <c r="AN147" i="6" s="1"/>
  <c r="AN80" i="6" a="1"/>
  <c r="AN80" i="6" s="1"/>
  <c r="AN154" i="6" a="1"/>
  <c r="AN154" i="6" s="1"/>
  <c r="AO79" i="6" a="1"/>
  <c r="AO79" i="6" s="1"/>
  <c r="AO175" i="6" a="1"/>
  <c r="AO175" i="6" s="1"/>
  <c r="AN166" i="6" a="1"/>
  <c r="AN166" i="6" s="1"/>
  <c r="AO76" i="6" a="1"/>
  <c r="AO76" i="6" s="1"/>
  <c r="AN158" i="6" a="1"/>
  <c r="AN158" i="6" s="1"/>
  <c r="AN146" i="6" a="1"/>
  <c r="AN146" i="6" s="1"/>
  <c r="AN61" i="6" a="1"/>
  <c r="AN61" i="6" s="1"/>
  <c r="AO85" i="6" a="1"/>
  <c r="AO85" i="6" s="1"/>
  <c r="AN65" i="6" a="1"/>
  <c r="AN65" i="6" s="1"/>
  <c r="AN26" i="6" a="1"/>
  <c r="AN26" i="6" s="1"/>
  <c r="AO129" i="6" a="1"/>
  <c r="AO129" i="6" s="1"/>
  <c r="AN142" i="6" a="1"/>
  <c r="AN142" i="6" s="1"/>
  <c r="AO144" i="6" a="1"/>
  <c r="AO144" i="6" s="1"/>
  <c r="AN181" i="6" a="1"/>
  <c r="AN181" i="6" s="1"/>
  <c r="AO143" i="6" a="1"/>
  <c r="AO143" i="6" s="1"/>
  <c r="AO164" i="6" a="1"/>
  <c r="AO164" i="6" s="1"/>
  <c r="AN86" i="6" a="1"/>
  <c r="AN86" i="6" s="1"/>
  <c r="AN182" i="6" a="1"/>
  <c r="AN182" i="6" s="1"/>
  <c r="AO84" i="6" a="1"/>
  <c r="AO84" i="6" s="1"/>
  <c r="AO112" i="6" a="1"/>
  <c r="AO112" i="6" s="1"/>
  <c r="AO10" i="6" a="1"/>
  <c r="AO10" i="6" s="1"/>
  <c r="AN104" i="6" a="1"/>
  <c r="AN104" i="6" s="1"/>
  <c r="AN83" i="6" a="1"/>
  <c r="AN83" i="6" s="1"/>
  <c r="AN18" i="6" a="1"/>
  <c r="AN18" i="6" s="1"/>
  <c r="AN27" i="6" a="1"/>
  <c r="AN27" i="6" s="1"/>
  <c r="AN94" i="6" a="1"/>
  <c r="AN94" i="6" s="1"/>
  <c r="AN153" i="6" a="1"/>
  <c r="AN153" i="6" s="1"/>
  <c r="AN101" i="6" a="1"/>
  <c r="AN101" i="6" s="1"/>
  <c r="AN12" i="6" a="1"/>
  <c r="AN12" i="6" s="1"/>
  <c r="AN77" i="6" a="1"/>
  <c r="AN77" i="6" s="1"/>
  <c r="AO170" i="6" a="1"/>
  <c r="AO170" i="6" s="1"/>
  <c r="AO18" i="6" a="1"/>
  <c r="AO18" i="6" s="1"/>
  <c r="AO46" i="6" a="1"/>
  <c r="AO46" i="6" s="1"/>
  <c r="AN105" i="6" a="1"/>
  <c r="AN105" i="6" s="1"/>
  <c r="AN145" i="6" a="1"/>
  <c r="AN145" i="6" s="1"/>
  <c r="AN124" i="6" a="1"/>
  <c r="AN124" i="6" s="1"/>
  <c r="AO110" i="6" a="1"/>
  <c r="AO110" i="6" s="1"/>
  <c r="AN33" i="6" a="1"/>
  <c r="AN33" i="6" s="1"/>
  <c r="AO61" i="6" a="1"/>
  <c r="AO61" i="6" s="1"/>
  <c r="AN140" i="6" a="1"/>
  <c r="AN140" i="6" s="1"/>
  <c r="AO14" i="6" a="1"/>
  <c r="AO14" i="6" s="1"/>
  <c r="AO128" i="6" a="1"/>
  <c r="AO128" i="6" s="1"/>
  <c r="AN139" i="6" a="1"/>
  <c r="AN139" i="6" s="1"/>
  <c r="AN22" i="6" a="1"/>
  <c r="AN22" i="6" s="1"/>
  <c r="AN39" i="6" a="1"/>
  <c r="AN39" i="6" s="1"/>
  <c r="AO55" i="6" a="1"/>
  <c r="AO55" i="6" s="1"/>
  <c r="AN40" i="6" a="1"/>
  <c r="AN40" i="6" s="1"/>
  <c r="AN64" i="6" a="1"/>
  <c r="AN64" i="6" s="1"/>
  <c r="AN143" i="6" a="1"/>
  <c r="AN143" i="6" s="1"/>
  <c r="AN184" i="6" a="1"/>
  <c r="AN184" i="6" s="1"/>
  <c r="AN52" i="6" a="1"/>
  <c r="AN52" i="6" s="1"/>
  <c r="AO160" i="6" a="1"/>
  <c r="AO160" i="6" s="1"/>
  <c r="AN138" i="6" a="1"/>
  <c r="AN138" i="6" s="1"/>
  <c r="AO114" i="6" a="1"/>
  <c r="AO114" i="6" s="1"/>
  <c r="AN67" i="6" a="1"/>
  <c r="AN67" i="6" s="1"/>
  <c r="AN72" i="6" a="1"/>
  <c r="AN72" i="6" s="1"/>
  <c r="AN155" i="6" a="1"/>
  <c r="AN155" i="6" s="1"/>
  <c r="AN109" i="6" a="1"/>
  <c r="AN109" i="6" s="1"/>
  <c r="AN112" i="6" a="1"/>
  <c r="AN112" i="6" s="1"/>
  <c r="AN167" i="6" a="1"/>
  <c r="AN167" i="6" s="1"/>
  <c r="AN48" i="6" a="1"/>
  <c r="AN48" i="6" s="1"/>
  <c r="AO104" i="6" a="1"/>
  <c r="AO104" i="6" s="1"/>
  <c r="AO83" i="6" a="1"/>
  <c r="AO83" i="6" s="1"/>
  <c r="AO183" i="6" a="1"/>
  <c r="AO183" i="6" s="1"/>
  <c r="AO27" i="6" a="1"/>
  <c r="AO27" i="6" s="1"/>
  <c r="AO179" i="6" a="1"/>
  <c r="AO179" i="6" s="1"/>
  <c r="AN44" i="6" a="1"/>
  <c r="AN44" i="6" s="1"/>
  <c r="AO101" i="6" a="1"/>
  <c r="AO101" i="6" s="1"/>
  <c r="AN113" i="6" a="1"/>
  <c r="AN113" i="6" s="1"/>
  <c r="AN38" i="6" a="1"/>
  <c r="AN38" i="6" s="1"/>
  <c r="AO151" i="6" a="1"/>
  <c r="AO151" i="6" s="1"/>
  <c r="AO77" i="6" a="1"/>
  <c r="AO77" i="6" s="1"/>
  <c r="AN23" i="6" a="1"/>
  <c r="AN23" i="6" s="1"/>
  <c r="AN152" i="6" a="1"/>
  <c r="AN152" i="6" s="1"/>
  <c r="AO169" i="6" a="1"/>
  <c r="AO169" i="6" s="1"/>
  <c r="AO108" i="6" a="1"/>
  <c r="AO108" i="6" s="1"/>
  <c r="AO137" i="6" a="1"/>
  <c r="AO137" i="6" s="1"/>
  <c r="AO107" i="6" a="1"/>
  <c r="AO107" i="6" s="1"/>
  <c r="AO33" i="6" a="1"/>
  <c r="AO33" i="6" s="1"/>
  <c r="AN169" i="6" a="1"/>
  <c r="AN169" i="6" s="1"/>
  <c r="AO168" i="6" a="1"/>
  <c r="AO168" i="6" s="1"/>
  <c r="AN45" i="6" a="1"/>
  <c r="AN45" i="6" s="1"/>
  <c r="AO116" i="6" a="1"/>
  <c r="AO116" i="6" s="1"/>
  <c r="AN69" i="6" a="1"/>
  <c r="AN69" i="6" s="1"/>
  <c r="AO139" i="6" a="1"/>
  <c r="AO139" i="6" s="1"/>
  <c r="AN174" i="6" a="1"/>
  <c r="AN174" i="6" s="1"/>
  <c r="AN25" i="6" a="1"/>
  <c r="AN25" i="6" s="1"/>
  <c r="AO154" i="6" a="1"/>
  <c r="AO154" i="6" s="1"/>
  <c r="AN24" i="6" a="1"/>
  <c r="AN24" i="6" s="1"/>
  <c r="AN129" i="6" a="1"/>
  <c r="AN129" i="6" s="1"/>
  <c r="AO98" i="6" a="1"/>
  <c r="AO98" i="6" s="1"/>
  <c r="AN144" i="6" a="1"/>
  <c r="AN144" i="6" s="1"/>
  <c r="AO181" i="6" a="1"/>
  <c r="AO181" i="6" s="1"/>
  <c r="AO8" i="6" a="1"/>
  <c r="AO8" i="6" s="1"/>
  <c r="AO52" i="6" a="1"/>
  <c r="AO52" i="6" s="1"/>
  <c r="AN160" i="6" a="1"/>
  <c r="AN160" i="6" s="1"/>
  <c r="AN150" i="6" a="1"/>
  <c r="AN150" i="6" s="1"/>
  <c r="AO117" i="6" a="1"/>
  <c r="AO117" i="6" s="1"/>
  <c r="AN114" i="6" a="1"/>
  <c r="AN114" i="6" s="1"/>
  <c r="AO67" i="6" a="1"/>
  <c r="AO67" i="6" s="1"/>
  <c r="AO72" i="6" a="1"/>
  <c r="AO72" i="6" s="1"/>
  <c r="AO155" i="6" a="1"/>
  <c r="AO155" i="6" s="1"/>
  <c r="AO182" i="6" a="1"/>
  <c r="AO182" i="6" s="1"/>
  <c r="AO92" i="6" a="1"/>
  <c r="AO92" i="6" s="1"/>
  <c r="AN97" i="6" a="1"/>
  <c r="AN97" i="6" s="1"/>
  <c r="AN42" i="6" a="1"/>
  <c r="AN42" i="6" s="1"/>
  <c r="AO28" i="6" a="1"/>
  <c r="AO28" i="6" s="1"/>
  <c r="AO48" i="6" a="1"/>
  <c r="AO48" i="6" s="1"/>
  <c r="AO37" i="6" a="1"/>
  <c r="AO37" i="6" s="1"/>
  <c r="AN185" i="6" a="1"/>
  <c r="AN185" i="6" s="1"/>
  <c r="AN186" i="6" a="1"/>
  <c r="AN186" i="6" s="1"/>
  <c r="AO15" i="6" a="1"/>
  <c r="AO15" i="6" s="1"/>
  <c r="AN74" i="6" a="1"/>
  <c r="AN74" i="6" s="1"/>
  <c r="AO44" i="6" a="1"/>
  <c r="AO44" i="6" s="1"/>
  <c r="AO172" i="6" a="1"/>
  <c r="AO172" i="6" s="1"/>
  <c r="AN93" i="6" a="1"/>
  <c r="AN93" i="6" s="1"/>
  <c r="AO113" i="6" a="1"/>
  <c r="AO113" i="6" s="1"/>
  <c r="AO38" i="6" a="1"/>
  <c r="AO38" i="6" s="1"/>
  <c r="AN16" i="6" a="1"/>
  <c r="AN16" i="6" s="1"/>
  <c r="AN92" i="6" a="1"/>
  <c r="AN92" i="6" s="1"/>
  <c r="AO131" i="6" a="1"/>
  <c r="AO131" i="6" s="1"/>
  <c r="AN128" i="6" a="1"/>
  <c r="AN128" i="6" s="1"/>
  <c r="Q46" i="6" a="1"/>
  <c r="Q46" i="6" s="1"/>
  <c r="Q61" i="6" s="1" a="1"/>
  <c r="Q61" i="6" s="1"/>
  <c r="Q76" i="6" s="1" a="1"/>
  <c r="Q76" i="6" s="1"/>
  <c r="Q91" i="6" s="1" a="1"/>
  <c r="Q91" i="6" s="1"/>
  <c r="Q41" i="6" a="1"/>
  <c r="Q41" i="6" s="1"/>
  <c r="Q56" i="6" s="1" a="1"/>
  <c r="Q56" i="6" s="1"/>
  <c r="V13" i="6" a="1"/>
  <c r="V13" i="6" s="1"/>
  <c r="W10" i="6" a="1"/>
  <c r="W10" i="6" s="1"/>
  <c r="W8" i="6" a="1"/>
  <c r="W8" i="6" s="1"/>
  <c r="V17" i="6" a="1"/>
  <c r="V17" i="6" s="1"/>
  <c r="V32" i="6" s="1" a="1"/>
  <c r="V32" i="6" s="1"/>
  <c r="V8" i="6" a="1"/>
  <c r="V8" i="6" s="1"/>
  <c r="V23" i="6" s="1" a="1"/>
  <c r="V23" i="6" s="1"/>
  <c r="V38" i="6" s="1" a="1"/>
  <c r="V38" i="6" s="1"/>
  <c r="U10" i="6" a="1"/>
  <c r="U10" i="6" s="1"/>
  <c r="U25" i="6" s="1" a="1"/>
  <c r="U25" i="6" s="1"/>
  <c r="U40" i="6" s="1" a="1"/>
  <c r="U40" i="6" s="1"/>
  <c r="V11" i="6" a="1"/>
  <c r="V11" i="6" s="1"/>
  <c r="V26" i="6" s="1" a="1"/>
  <c r="V26" i="6" s="1"/>
  <c r="V41" i="6" s="1" a="1"/>
  <c r="V41" i="6" s="1"/>
  <c r="U16" i="6" a="1"/>
  <c r="U16" i="6" s="1"/>
  <c r="U31" i="6" s="1" a="1"/>
  <c r="U31" i="6" s="1"/>
  <c r="U19" i="6" a="1"/>
  <c r="U19" i="6" s="1"/>
  <c r="U34" i="6" s="1" a="1"/>
  <c r="U34" i="6" s="1"/>
  <c r="U14" i="6" a="1"/>
  <c r="U14" i="6" s="1"/>
  <c r="W18" i="6" a="1"/>
  <c r="W18" i="6" s="1"/>
  <c r="W33" i="6" s="1" a="1"/>
  <c r="W33" i="6" s="1"/>
  <c r="W48" i="6" s="1" a="1"/>
  <c r="W48" i="6" s="1"/>
  <c r="U9" i="6" a="1"/>
  <c r="U9" i="6" s="1"/>
  <c r="U24" i="6" s="1" a="1"/>
  <c r="U24" i="6" s="1"/>
  <c r="W16" i="6" a="1"/>
  <c r="W16" i="6" s="1"/>
  <c r="W31" i="6" s="1" a="1"/>
  <c r="W31" i="6" s="1"/>
  <c r="W15" i="6" a="1"/>
  <c r="W15" i="6" s="1"/>
  <c r="W30" i="6" s="1" a="1"/>
  <c r="W30" i="6" s="1"/>
  <c r="V14" i="6" a="1"/>
  <c r="V14" i="6" s="1"/>
  <c r="V29" i="6" s="1" a="1"/>
  <c r="V29" i="6" s="1"/>
  <c r="V44" i="6" s="1" a="1"/>
  <c r="V44" i="6" s="1"/>
  <c r="U18" i="6" a="1"/>
  <c r="U18" i="6" s="1"/>
  <c r="U33" i="6" s="1" a="1"/>
  <c r="U33" i="6" s="1"/>
  <c r="V16" i="6" a="1"/>
  <c r="V16" i="6" s="1"/>
  <c r="V31" i="6" s="1" a="1"/>
  <c r="V31" i="6" s="1"/>
  <c r="V46" i="6" s="1" a="1"/>
  <c r="V46" i="6" s="1"/>
  <c r="V9" i="6" a="1"/>
  <c r="V9" i="6" s="1"/>
  <c r="V24" i="6" s="1" a="1"/>
  <c r="V24" i="6" s="1"/>
  <c r="V10" i="6" a="1"/>
  <c r="V10" i="6" s="1"/>
  <c r="V25" i="6" s="1" a="1"/>
  <c r="V25" i="6" s="1"/>
  <c r="W14" i="6" a="1"/>
  <c r="W14" i="6" s="1"/>
  <c r="W29" i="6" s="1" a="1"/>
  <c r="W29" i="6" s="1"/>
  <c r="W11" i="6" a="1"/>
  <c r="W11" i="6" s="1"/>
  <c r="W12" i="6" a="1"/>
  <c r="W12" i="6" s="1"/>
  <c r="W9" i="6" a="1"/>
  <c r="W9" i="6" s="1"/>
  <c r="W24" i="6" s="1" a="1"/>
  <c r="W24" i="6" s="1"/>
  <c r="V18" i="6" a="1"/>
  <c r="V18" i="6" s="1"/>
  <c r="V33" i="6" s="1" a="1"/>
  <c r="V33" i="6" s="1"/>
  <c r="V48" i="6" s="1" a="1"/>
  <c r="V48" i="6" s="1"/>
  <c r="U15" i="6" a="1"/>
  <c r="U15" i="6" s="1"/>
  <c r="U30" i="6" s="1" a="1"/>
  <c r="U30" i="6" s="1"/>
  <c r="W13" i="6" a="1"/>
  <c r="W13" i="6" s="1"/>
  <c r="W28" i="6" s="1" a="1"/>
  <c r="W28" i="6" s="1"/>
  <c r="W43" i="6" s="1" a="1"/>
  <c r="W43" i="6" s="1"/>
  <c r="U12" i="6" a="1"/>
  <c r="U12" i="6" s="1"/>
  <c r="V15" i="6" a="1"/>
  <c r="V15" i="6" s="1"/>
  <c r="W19" i="6" a="1"/>
  <c r="W19" i="6" s="1"/>
  <c r="W34" i="6" s="1" a="1"/>
  <c r="W34" i="6" s="1"/>
  <c r="V12" i="6" a="1"/>
  <c r="V12" i="6" s="1"/>
  <c r="U11" i="6" a="1"/>
  <c r="U11" i="6" s="1"/>
  <c r="U13" i="6" a="1"/>
  <c r="U13" i="6" s="1"/>
  <c r="U28" i="6" s="1" a="1"/>
  <c r="U28" i="6" s="1"/>
  <c r="W17" i="6" a="1"/>
  <c r="W17" i="6" s="1"/>
  <c r="U17" i="6" a="1"/>
  <c r="U17" i="6" s="1"/>
  <c r="U8" i="6" a="1"/>
  <c r="U8" i="6" s="1"/>
  <c r="V19" i="6" a="1"/>
  <c r="V19" i="6" s="1"/>
  <c r="P48" i="6" a="1"/>
  <c r="P48" i="6" s="1"/>
  <c r="Q59" i="6" a="1"/>
  <c r="Q59" i="6" s="1"/>
  <c r="Q74" i="6" s="1" a="1"/>
  <c r="Q74" i="6" s="1"/>
  <c r="Q89" i="6" s="1" a="1"/>
  <c r="Q89" i="6" s="1"/>
  <c r="P24" i="6" a="1"/>
  <c r="P24" i="6" s="1"/>
  <c r="P39" i="6" s="1" a="1"/>
  <c r="P39" i="6" s="1"/>
  <c r="P54" i="6" s="1" a="1"/>
  <c r="P54" i="6" s="1"/>
  <c r="O13" i="6" a="1"/>
  <c r="O13" i="6" s="1"/>
  <c r="O28" i="6" s="1" a="1"/>
  <c r="O28" i="6" s="1"/>
  <c r="O43" i="6" s="1" a="1"/>
  <c r="O43" i="6" s="1"/>
  <c r="N12" i="6" a="1"/>
  <c r="N12" i="6" s="1"/>
  <c r="N27" i="6" s="1" a="1"/>
  <c r="N27" i="6" s="1"/>
  <c r="N42" i="6" s="1" a="1"/>
  <c r="N42" i="6" s="1"/>
  <c r="Q32" i="6" a="1"/>
  <c r="Q32" i="6" s="1"/>
  <c r="O16" i="6" a="1"/>
  <c r="O16" i="6" s="1"/>
  <c r="O31" i="6" s="1" a="1"/>
  <c r="O31" i="6" s="1"/>
  <c r="N9" i="6" a="1"/>
  <c r="N9" i="6" s="1"/>
  <c r="N24" i="6" s="1" a="1"/>
  <c r="N24" i="6" s="1"/>
  <c r="N15" i="6" a="1"/>
  <c r="N15" i="6" s="1"/>
  <c r="N30" i="6" s="1" a="1"/>
  <c r="N30" i="6" s="1"/>
  <c r="P43" i="6" a="1"/>
  <c r="P43" i="6" s="1"/>
  <c r="P37" i="6" a="1"/>
  <c r="P37" i="6" s="1"/>
  <c r="P52" i="6" s="1" a="1"/>
  <c r="P52" i="6" s="1"/>
  <c r="N13" i="6" a="1"/>
  <c r="N13" i="6" s="1"/>
  <c r="N28" i="6" s="1" a="1"/>
  <c r="N28" i="6" s="1"/>
  <c r="N43" i="6" s="1" a="1"/>
  <c r="N43" i="6" s="1"/>
  <c r="N19" i="6" a="1"/>
  <c r="N19" i="6" s="1"/>
  <c r="N34" i="6" s="1" a="1"/>
  <c r="N34" i="6" s="1"/>
  <c r="O12" i="6" a="1"/>
  <c r="O12" i="6" s="1"/>
  <c r="O27" i="6" s="1" a="1"/>
  <c r="O27" i="6" s="1"/>
  <c r="P27" i="6" a="1"/>
  <c r="P27" i="6" s="1"/>
  <c r="P25" i="6" a="1"/>
  <c r="P25" i="6" s="1"/>
  <c r="N17" i="6" a="1"/>
  <c r="N17" i="6" s="1"/>
  <c r="N32" i="6" s="1" a="1"/>
  <c r="N32" i="6" s="1"/>
  <c r="N47" i="6" s="1" a="1"/>
  <c r="N47" i="6" s="1"/>
  <c r="Q65" i="6" a="1"/>
  <c r="Q65" i="6" s="1"/>
  <c r="Q23" i="6" a="1"/>
  <c r="Q23" i="6" s="1"/>
  <c r="Q38" i="6" s="1" a="1"/>
  <c r="Q38" i="6" s="1"/>
  <c r="O9" i="6" a="1"/>
  <c r="O9" i="6" s="1"/>
  <c r="O24" i="6" s="1" a="1"/>
  <c r="O24" i="6" s="1"/>
  <c r="N10" i="6" a="1"/>
  <c r="N10" i="6" s="1"/>
  <c r="P44" i="6" a="1"/>
  <c r="P44" i="6" s="1"/>
  <c r="P59" i="6" s="1" a="1"/>
  <c r="P59" i="6" s="1"/>
  <c r="P65" i="6" a="1"/>
  <c r="P65" i="6" s="1"/>
  <c r="N16" i="6" a="1"/>
  <c r="N16" i="6" s="1"/>
  <c r="N31" i="6" s="1" a="1"/>
  <c r="N31" i="6" s="1"/>
  <c r="Q45" i="6" a="1"/>
  <c r="Q45" i="6" s="1"/>
  <c r="Q39" i="6" a="1"/>
  <c r="Q39" i="6" s="1"/>
  <c r="Q33" i="6" a="1"/>
  <c r="Q33" i="6" s="1"/>
  <c r="Q48" i="6" s="1" a="1"/>
  <c r="Q48" i="6" s="1"/>
  <c r="N11" i="6" a="1"/>
  <c r="N11" i="6" s="1"/>
  <c r="O17" i="6" a="1"/>
  <c r="O17" i="6" s="1"/>
  <c r="O32" i="6" s="1" a="1"/>
  <c r="O32" i="6" s="1"/>
  <c r="O8" i="6" a="1"/>
  <c r="O8" i="6" s="1"/>
  <c r="P60" i="6" a="1"/>
  <c r="P60" i="6" s="1"/>
  <c r="N8" i="6" a="1"/>
  <c r="N8" i="6" s="1"/>
  <c r="N23" i="6" s="1" a="1"/>
  <c r="N23" i="6" s="1"/>
  <c r="O19" i="6" a="1"/>
  <c r="O19" i="6" s="1"/>
  <c r="P49" i="6" a="1"/>
  <c r="P49" i="6" s="1"/>
  <c r="Q40" i="6" a="1"/>
  <c r="Q40" i="6" s="1"/>
  <c r="O18" i="6" a="1"/>
  <c r="O18" i="6" s="1"/>
  <c r="Q42" i="6" a="1"/>
  <c r="Q42" i="6" s="1"/>
  <c r="N18" i="6" a="1"/>
  <c r="N18" i="6" s="1"/>
  <c r="N33" i="6" s="1" a="1"/>
  <c r="N33" i="6" s="1"/>
  <c r="O11" i="6" a="1"/>
  <c r="O11" i="6" s="1"/>
  <c r="O15" i="6" a="1"/>
  <c r="O15" i="6" s="1"/>
  <c r="O30" i="6" s="1" a="1"/>
  <c r="O30" i="6" s="1"/>
  <c r="O14" i="6" a="1"/>
  <c r="O14" i="6" s="1"/>
  <c r="P76" i="6" a="1"/>
  <c r="P76" i="6" s="1"/>
  <c r="P56" i="6" a="1"/>
  <c r="P56" i="6" s="1"/>
  <c r="Q34" i="6" a="1"/>
  <c r="Q34" i="6" s="1"/>
  <c r="P32" i="6" a="1"/>
  <c r="P32" i="6" s="1"/>
  <c r="P47" i="6" s="1" a="1"/>
  <c r="P47" i="6" s="1"/>
  <c r="Q47" i="6" a="1"/>
  <c r="Q47" i="6" s="1"/>
  <c r="N14" i="6" a="1"/>
  <c r="N14" i="6" s="1"/>
  <c r="Q22" i="6" a="1"/>
  <c r="Q22" i="6" s="1"/>
  <c r="O10" i="6" a="1"/>
  <c r="O10" i="6" s="1"/>
  <c r="O25" i="6" s="1" a="1"/>
  <c r="O25" i="6" s="1"/>
  <c r="H10" i="20" a="1"/>
  <c r="H10" i="20" s="1"/>
  <c r="H13" i="20" a="1"/>
  <c r="H13" i="20" s="1"/>
  <c r="H18" i="20" a="1"/>
  <c r="H18" i="20" s="1"/>
  <c r="H17" i="20" a="1"/>
  <c r="H17" i="20" s="1"/>
  <c r="H20" i="20" a="1"/>
  <c r="H20" i="20" s="1"/>
  <c r="H11" i="20" a="1"/>
  <c r="H11" i="20" s="1"/>
  <c r="H14" i="20" a="1"/>
  <c r="H14" i="20" s="1"/>
  <c r="H16" i="20" a="1"/>
  <c r="H16" i="20" s="1"/>
  <c r="H19" i="20" a="1"/>
  <c r="H19" i="20" s="1"/>
  <c r="H9" i="20" a="1"/>
  <c r="H9" i="20" s="1"/>
  <c r="H12" i="20" a="1"/>
  <c r="H12" i="20" s="1"/>
  <c r="H15" i="20" a="1"/>
  <c r="H15" i="20" s="1"/>
  <c r="H39" i="11" a="1"/>
  <c r="H39" i="11" s="1"/>
  <c r="H38" i="11" a="1"/>
  <c r="H38" i="11" s="1"/>
  <c r="H44" i="11" a="1"/>
  <c r="H44" i="11" s="1"/>
  <c r="H52" i="11" a="1"/>
  <c r="H52" i="11" s="1"/>
  <c r="H25" i="11" a="1"/>
  <c r="H25" i="11" s="1"/>
  <c r="H40" i="11" a="1"/>
  <c r="H40" i="11" s="1"/>
  <c r="H27" i="11" a="1"/>
  <c r="H27" i="11" s="1"/>
  <c r="H47" i="11" a="1"/>
  <c r="H47" i="11" s="1"/>
  <c r="H49" i="11" a="1"/>
  <c r="H49" i="11" s="1"/>
  <c r="H22" i="11" a="1"/>
  <c r="H22" i="11" s="1"/>
  <c r="H26" i="11" a="1"/>
  <c r="H26" i="11" s="1"/>
  <c r="H29" i="11" a="1"/>
  <c r="H29" i="11" s="1"/>
  <c r="H24" i="11" a="1"/>
  <c r="H24" i="11" s="1"/>
  <c r="H43" i="11" a="1"/>
  <c r="H43" i="11" s="1"/>
  <c r="H41" i="11" a="1"/>
  <c r="H41" i="11" s="1"/>
  <c r="H31" i="11" a="1"/>
  <c r="H31" i="11" s="1"/>
  <c r="H54" i="11" a="1"/>
  <c r="H54" i="11" s="1"/>
  <c r="H45" i="11" a="1"/>
  <c r="H45" i="11" s="1"/>
  <c r="H28" i="11" a="1"/>
  <c r="H28" i="11" s="1"/>
  <c r="H51" i="11" a="1"/>
  <c r="H51" i="11" s="1"/>
  <c r="H36" i="11" a="1"/>
  <c r="H36" i="11" s="1"/>
  <c r="H32" i="11" a="1"/>
  <c r="H32" i="11" s="1"/>
  <c r="H23" i="11" a="1"/>
  <c r="H23" i="11" s="1"/>
  <c r="H55" i="11" a="1"/>
  <c r="H55" i="11" s="1"/>
  <c r="H21" i="11" a="1"/>
  <c r="H21" i="11" s="1"/>
  <c r="H48" i="11" a="1"/>
  <c r="H48" i="11" s="1"/>
  <c r="H42" i="11" a="1"/>
  <c r="H42" i="11" s="1"/>
  <c r="H35" i="11" a="1"/>
  <c r="H35" i="11" s="1"/>
  <c r="H53" i="11" a="1"/>
  <c r="H53" i="11" s="1"/>
  <c r="H46" i="11" a="1"/>
  <c r="H46" i="11" s="1"/>
  <c r="H34" i="11" a="1"/>
  <c r="H34" i="11" s="1"/>
  <c r="H33" i="11" a="1"/>
  <c r="H33" i="11" s="1"/>
  <c r="H30" i="11" a="1"/>
  <c r="H30" i="11" s="1"/>
  <c r="H50" i="11" a="1"/>
  <c r="H50" i="11" s="1"/>
  <c r="H37" i="11" a="1"/>
  <c r="H37" i="11" s="1"/>
  <c r="V7" i="6" a="1"/>
  <c r="V7" i="6" s="1"/>
  <c r="V22" i="6" s="1" a="1"/>
  <c r="V22" i="6" s="1"/>
  <c r="W7" i="6" a="1"/>
  <c r="W7" i="6" s="1"/>
  <c r="O7" i="6" a="1"/>
  <c r="O7" i="6" s="1"/>
  <c r="U7" i="6" a="1"/>
  <c r="U7" i="6" s="1"/>
  <c r="AT7" i="6" a="1"/>
  <c r="AT7" i="6" s="1"/>
  <c r="AN7" i="6" a="1"/>
  <c r="AN7" i="6" s="1"/>
  <c r="AU7" i="6" a="1"/>
  <c r="AU7" i="6" s="1"/>
  <c r="AO7" i="6" a="1"/>
  <c r="AO7" i="6" s="1"/>
  <c r="N7" i="6" a="1"/>
  <c r="N7" i="6" s="1"/>
  <c r="R225" i="6"/>
  <c r="S196" i="6"/>
  <c r="Z202" i="6"/>
  <c r="Z224" i="6"/>
  <c r="R245" i="6"/>
  <c r="Z245" i="6" s="1"/>
  <c r="Z218" i="6"/>
  <c r="R246" i="6"/>
  <c r="S246" i="6" s="1"/>
  <c r="R228" i="6"/>
  <c r="R206" i="6"/>
  <c r="Z214" i="6"/>
  <c r="S213" i="6"/>
  <c r="S204" i="6"/>
  <c r="S212" i="6"/>
  <c r="Z212" i="6"/>
  <c r="S208" i="6"/>
  <c r="Z207" i="6"/>
  <c r="Z197" i="6"/>
  <c r="S197" i="6"/>
  <c r="Z215" i="6"/>
  <c r="S215" i="6"/>
  <c r="S223" i="6"/>
  <c r="Z223" i="6"/>
  <c r="Z200" i="6"/>
  <c r="S200" i="6"/>
  <c r="Z226" i="6"/>
  <c r="S226" i="6"/>
  <c r="S230" i="6"/>
  <c r="Z230" i="6"/>
  <c r="Z203" i="6"/>
  <c r="S203" i="6"/>
  <c r="Z199" i="6"/>
  <c r="S199" i="6"/>
  <c r="Z217" i="6"/>
  <c r="S217" i="6"/>
  <c r="S221" i="6"/>
  <c r="Z221" i="6"/>
  <c r="R219" i="6"/>
  <c r="R211" i="6"/>
  <c r="R231" i="6"/>
  <c r="R234" i="6"/>
  <c r="S234" i="6" s="1"/>
  <c r="R244" i="6"/>
  <c r="R222" i="6"/>
  <c r="Z222" i="6" s="1"/>
  <c r="R209" i="6"/>
  <c r="S209" i="6" s="1"/>
  <c r="R195" i="6"/>
  <c r="Z195" i="6" s="1"/>
  <c r="R227" i="6"/>
  <c r="Z227" i="6" s="1"/>
  <c r="BE240" i="6"/>
  <c r="R232" i="6"/>
  <c r="R233" i="6"/>
  <c r="Z233" i="6" s="1"/>
  <c r="R216" i="6"/>
  <c r="S216" i="6" s="1"/>
  <c r="R198" i="6"/>
  <c r="S198" i="6" s="1"/>
  <c r="R205" i="6"/>
  <c r="R201" i="6"/>
  <c r="R229" i="6"/>
  <c r="R210" i="6"/>
  <c r="R220" i="6"/>
  <c r="BE48" i="6"/>
  <c r="BE15" i="6"/>
  <c r="BE33" i="6"/>
  <c r="AS15" i="6"/>
  <c r="AM15" i="6"/>
  <c r="AS16" i="6"/>
  <c r="BE16" i="6"/>
  <c r="BE64" i="6"/>
  <c r="BE131" i="6"/>
  <c r="AM16" i="6"/>
  <c r="BE176" i="6"/>
  <c r="BE109" i="6"/>
  <c r="BE71" i="6"/>
  <c r="BE124" i="6"/>
  <c r="BE116" i="6"/>
  <c r="BE49" i="6"/>
  <c r="BE243" i="6"/>
  <c r="BE185" i="6"/>
  <c r="BE154" i="6"/>
  <c r="BE79" i="6"/>
  <c r="BE56" i="6"/>
  <c r="BE34" i="6"/>
  <c r="BE241" i="6"/>
  <c r="BE101" i="6"/>
  <c r="BE139" i="6"/>
  <c r="BE188" i="6"/>
  <c r="BE159" i="6"/>
  <c r="BE187" i="6"/>
  <c r="BE86" i="6"/>
  <c r="BE194" i="6"/>
  <c r="BE161" i="6"/>
  <c r="BE174" i="6"/>
  <c r="BE146" i="6"/>
  <c r="BE238" i="6"/>
  <c r="BE186" i="6"/>
  <c r="BE242" i="6"/>
  <c r="BE239" i="6"/>
  <c r="BE18" i="6"/>
  <c r="BE94" i="6"/>
  <c r="BE19" i="6"/>
  <c r="BE237" i="6"/>
  <c r="BE235" i="6"/>
  <c r="BE145" i="6"/>
  <c r="BE125" i="6"/>
  <c r="BE96" i="6"/>
  <c r="BE128" i="6"/>
  <c r="BE178" i="6"/>
  <c r="BE103" i="6"/>
  <c r="BE122" i="6"/>
  <c r="BE102" i="6"/>
  <c r="BE20" i="6"/>
  <c r="BE160" i="6"/>
  <c r="BE78" i="6"/>
  <c r="BE181" i="6"/>
  <c r="BE23" i="6"/>
  <c r="BE93" i="6"/>
  <c r="BE123" i="6"/>
  <c r="BE138" i="6"/>
  <c r="BE147" i="6"/>
  <c r="BE119" i="6"/>
  <c r="BE164" i="6"/>
  <c r="BE22" i="6"/>
  <c r="BE67" i="6"/>
  <c r="BE74" i="6"/>
  <c r="BE108" i="6"/>
  <c r="BE11" i="6"/>
  <c r="BE60" i="6"/>
  <c r="BE84" i="6"/>
  <c r="BE149" i="6"/>
  <c r="BE112" i="6"/>
  <c r="BE110" i="6"/>
  <c r="BE53" i="6"/>
  <c r="BE51" i="6"/>
  <c r="BE136" i="6"/>
  <c r="BE120" i="6"/>
  <c r="BE180" i="6"/>
  <c r="BE29" i="6"/>
  <c r="BE9" i="6"/>
  <c r="BD9" i="6" s="1"/>
  <c r="BE62" i="6"/>
  <c r="BE8" i="6"/>
  <c r="BC8" i="6" s="1"/>
  <c r="BE88" i="6"/>
  <c r="BE153" i="6"/>
  <c r="BE172" i="6"/>
  <c r="BE85" i="6"/>
  <c r="BE58" i="6"/>
  <c r="BE55" i="6"/>
  <c r="BE97" i="6"/>
  <c r="BE65" i="6"/>
  <c r="BE166" i="6"/>
  <c r="BE77" i="6"/>
  <c r="BE26" i="6"/>
  <c r="BE30" i="6"/>
  <c r="BE165" i="6"/>
  <c r="BE141" i="6"/>
  <c r="BE72" i="6"/>
  <c r="BE121" i="6"/>
  <c r="BE35" i="6"/>
  <c r="BE75" i="6"/>
  <c r="BE32" i="6"/>
  <c r="BE171" i="6"/>
  <c r="BE175" i="6"/>
  <c r="BE177" i="6"/>
  <c r="BE69" i="6"/>
  <c r="BE98" i="6"/>
  <c r="BE129" i="6"/>
  <c r="BE107" i="6"/>
  <c r="BE25" i="6"/>
  <c r="BE59" i="6"/>
  <c r="BE73" i="6"/>
  <c r="BE140" i="6"/>
  <c r="BE43" i="6"/>
  <c r="BE76" i="6"/>
  <c r="BE37" i="6"/>
  <c r="BE182" i="6"/>
  <c r="BE100" i="6"/>
  <c r="BE87" i="6"/>
  <c r="BE106" i="6"/>
  <c r="BE14" i="6"/>
  <c r="BE7" i="6"/>
  <c r="BE45" i="6"/>
  <c r="BE130" i="6"/>
  <c r="BE52" i="6"/>
  <c r="BE137" i="6"/>
  <c r="BE10" i="6"/>
  <c r="BE27" i="6"/>
  <c r="BE44" i="6"/>
  <c r="BE111" i="6"/>
  <c r="BE118" i="6"/>
  <c r="BE82" i="6"/>
  <c r="BE183" i="6"/>
  <c r="BE57" i="6"/>
  <c r="BE90" i="6"/>
  <c r="BE39" i="6"/>
  <c r="BE40" i="6"/>
  <c r="BE28" i="6"/>
  <c r="BE126" i="6"/>
  <c r="BE21" i="6"/>
  <c r="BE92" i="6"/>
  <c r="BE163" i="6"/>
  <c r="BE24" i="6"/>
  <c r="BE61" i="6"/>
  <c r="BE89" i="6"/>
  <c r="BE50" i="6"/>
  <c r="BE127" i="6"/>
  <c r="BE12" i="6"/>
  <c r="BE80" i="6"/>
  <c r="BE173" i="6"/>
  <c r="BE152" i="6"/>
  <c r="BE162" i="6"/>
  <c r="BE170" i="6"/>
  <c r="BE144" i="6"/>
  <c r="BE148" i="6"/>
  <c r="BE142" i="6"/>
  <c r="BE41" i="6"/>
  <c r="BE63" i="6"/>
  <c r="BE169" i="6"/>
  <c r="BE168" i="6"/>
  <c r="BE99" i="6"/>
  <c r="BE70" i="6"/>
  <c r="BE36" i="6"/>
  <c r="BE179" i="6"/>
  <c r="BE95" i="6"/>
  <c r="BE47" i="6"/>
  <c r="BE42" i="6"/>
  <c r="BE184" i="6"/>
  <c r="BE135" i="6"/>
  <c r="BE13" i="6"/>
  <c r="BE105" i="6"/>
  <c r="BE167" i="6"/>
  <c r="BE113" i="6"/>
  <c r="BE81" i="6"/>
  <c r="BE143" i="6"/>
  <c r="BE132" i="6"/>
  <c r="BE31" i="6"/>
  <c r="BE150" i="6"/>
  <c r="BE156" i="6"/>
  <c r="BE38" i="6"/>
  <c r="BE133" i="6"/>
  <c r="BE54" i="6"/>
  <c r="BE158" i="6"/>
  <c r="BE151" i="6"/>
  <c r="BE46" i="6"/>
  <c r="BE66" i="6"/>
  <c r="BE17" i="6"/>
  <c r="BE134" i="6"/>
  <c r="BE157" i="6"/>
  <c r="BE114" i="6"/>
  <c r="BE68" i="6"/>
  <c r="BE104" i="6"/>
  <c r="BE117" i="6"/>
  <c r="BE155" i="6"/>
  <c r="BE83" i="6"/>
  <c r="BE115" i="6"/>
  <c r="BE91" i="6"/>
  <c r="AM237" i="6"/>
  <c r="AM188" i="6"/>
  <c r="AS188" i="6"/>
  <c r="AM189" i="6"/>
  <c r="AS189" i="6"/>
  <c r="AM190" i="6"/>
  <c r="AS190" i="6"/>
  <c r="AS191" i="6"/>
  <c r="AM191" i="6"/>
  <c r="AS192" i="6"/>
  <c r="AM192" i="6"/>
  <c r="AM193" i="6"/>
  <c r="AS193" i="6"/>
  <c r="AS194" i="6"/>
  <c r="AM194" i="6"/>
  <c r="AS235" i="6"/>
  <c r="AM235" i="6"/>
  <c r="AS187" i="6"/>
  <c r="AM187" i="6"/>
  <c r="BC187" i="6"/>
  <c r="AS236" i="6"/>
  <c r="AM236" i="6"/>
  <c r="AS237" i="6"/>
  <c r="BC237" i="6"/>
  <c r="AM238" i="6"/>
  <c r="AS238" i="6"/>
  <c r="AM167" i="6"/>
  <c r="AM186" i="6"/>
  <c r="AS181" i="6"/>
  <c r="AS169" i="6"/>
  <c r="AM179" i="6"/>
  <c r="AS184" i="6"/>
  <c r="AS171" i="6"/>
  <c r="AM165" i="6"/>
  <c r="AM239" i="6"/>
  <c r="AS185" i="6"/>
  <c r="AS163" i="6"/>
  <c r="AS168" i="6"/>
  <c r="AM185" i="6"/>
  <c r="AS167" i="6"/>
  <c r="AS186" i="6"/>
  <c r="AS177" i="6"/>
  <c r="AM169" i="6"/>
  <c r="AM184" i="6"/>
  <c r="AS162" i="6"/>
  <c r="AS240" i="6"/>
  <c r="AM166" i="6"/>
  <c r="AS175" i="6"/>
  <c r="AS176" i="6"/>
  <c r="AM172" i="6"/>
  <c r="AM164" i="6"/>
  <c r="AM178" i="6"/>
  <c r="AM161" i="6"/>
  <c r="AM241" i="6"/>
  <c r="AM243" i="6"/>
  <c r="AM181" i="6"/>
  <c r="AM182" i="6"/>
  <c r="AM240" i="6"/>
  <c r="AS173" i="6"/>
  <c r="AM180" i="6"/>
  <c r="AM183" i="6"/>
  <c r="AS170" i="6"/>
  <c r="AS179" i="6"/>
  <c r="AM171" i="6"/>
  <c r="AS241" i="6"/>
  <c r="AS165" i="6"/>
  <c r="AS166" i="6"/>
  <c r="AM175" i="6"/>
  <c r="AS164" i="6"/>
  <c r="AS243" i="6"/>
  <c r="AM163" i="6"/>
  <c r="AS242" i="6"/>
  <c r="AM168" i="6"/>
  <c r="AM177" i="6"/>
  <c r="AS182" i="6"/>
  <c r="AS239" i="6"/>
  <c r="AM173" i="6"/>
  <c r="AS180" i="6"/>
  <c r="AS174" i="6"/>
  <c r="AM174" i="6"/>
  <c r="AS183" i="6"/>
  <c r="AM170" i="6"/>
  <c r="AM162" i="6"/>
  <c r="AM242" i="6"/>
  <c r="AM176" i="6"/>
  <c r="AS172" i="6"/>
  <c r="AS178" i="6"/>
  <c r="AS161" i="6"/>
  <c r="AM37" i="6"/>
  <c r="AS37" i="6"/>
  <c r="AM9" i="6"/>
  <c r="AS82" i="6"/>
  <c r="AS76" i="6"/>
  <c r="AM82" i="6"/>
  <c r="AM117" i="6"/>
  <c r="AM156" i="6"/>
  <c r="AM76" i="6"/>
  <c r="AM63" i="6"/>
  <c r="AM47" i="6"/>
  <c r="AM29" i="6"/>
  <c r="AS78" i="6"/>
  <c r="AM81" i="6"/>
  <c r="AM78" i="6"/>
  <c r="AM143" i="6"/>
  <c r="AM71" i="6"/>
  <c r="AS47" i="6"/>
  <c r="AS63" i="6"/>
  <c r="AS143" i="6"/>
  <c r="AM35" i="6"/>
  <c r="AM31" i="6"/>
  <c r="AS81" i="6"/>
  <c r="AS117" i="6"/>
  <c r="AS29" i="6"/>
  <c r="AS35" i="6"/>
  <c r="AS156" i="6"/>
  <c r="AM38" i="6"/>
  <c r="AS31" i="6"/>
  <c r="AS38" i="6"/>
  <c r="AS71" i="6"/>
  <c r="AM155" i="6"/>
  <c r="AM86" i="6"/>
  <c r="AS73" i="6"/>
  <c r="AM121" i="6"/>
  <c r="AM110" i="6"/>
  <c r="AS70" i="6"/>
  <c r="AM41" i="6"/>
  <c r="AM12" i="6"/>
  <c r="AS36" i="6"/>
  <c r="AS13" i="6"/>
  <c r="AM13" i="6"/>
  <c r="AS50" i="6"/>
  <c r="AM50" i="6"/>
  <c r="AM93" i="6"/>
  <c r="AS33" i="6"/>
  <c r="AM26" i="6"/>
  <c r="AM152" i="6"/>
  <c r="AS22" i="6"/>
  <c r="AS132" i="6"/>
  <c r="AS126" i="6"/>
  <c r="AS148" i="6"/>
  <c r="AS18" i="6"/>
  <c r="AM56" i="6"/>
  <c r="AS133" i="6"/>
  <c r="AM133" i="6"/>
  <c r="AS113" i="6"/>
  <c r="AS98" i="6"/>
  <c r="AM103" i="6"/>
  <c r="AS94" i="6"/>
  <c r="AM136" i="6"/>
  <c r="AM116" i="6"/>
  <c r="AS114" i="6"/>
  <c r="AS65" i="6"/>
  <c r="AS145" i="6"/>
  <c r="AM42" i="6"/>
  <c r="AM68" i="6"/>
  <c r="AM122" i="6"/>
  <c r="AM160" i="6"/>
  <c r="AS96" i="6"/>
  <c r="AM147" i="6"/>
  <c r="AM85" i="6"/>
  <c r="AM139" i="6"/>
  <c r="AM83" i="6"/>
  <c r="AM80" i="6"/>
  <c r="AS124" i="6"/>
  <c r="AM137" i="6"/>
  <c r="AM120" i="6"/>
  <c r="AM127" i="6"/>
  <c r="AS91" i="6"/>
  <c r="AM111" i="6"/>
  <c r="AM66" i="6"/>
  <c r="AS158" i="6"/>
  <c r="AM158" i="6"/>
  <c r="AS32" i="6"/>
  <c r="AM17" i="6"/>
  <c r="AM34" i="6"/>
  <c r="AS28" i="6"/>
  <c r="AS141" i="6"/>
  <c r="AS135" i="6"/>
  <c r="AS27" i="6"/>
  <c r="AM25" i="6"/>
  <c r="AM154" i="6"/>
  <c r="AM19" i="6"/>
  <c r="AS97" i="6"/>
  <c r="AM97" i="6"/>
  <c r="AS140" i="6"/>
  <c r="AS30" i="6"/>
  <c r="AM112" i="6"/>
  <c r="AM73" i="6"/>
  <c r="AS121" i="6"/>
  <c r="AM108" i="6"/>
  <c r="AS110" i="6"/>
  <c r="AS75" i="6"/>
  <c r="AS14" i="6"/>
  <c r="AM79" i="6"/>
  <c r="AS107" i="6"/>
  <c r="AS157" i="6"/>
  <c r="AS101" i="6"/>
  <c r="AM57" i="6"/>
  <c r="AM23" i="6"/>
  <c r="AM151" i="6"/>
  <c r="AS153" i="6"/>
  <c r="AS67" i="6"/>
  <c r="AM43" i="6"/>
  <c r="AS48" i="6"/>
  <c r="AM48" i="6"/>
  <c r="AM159" i="6"/>
  <c r="AM148" i="6"/>
  <c r="AM18" i="6"/>
  <c r="AS77" i="6"/>
  <c r="AM98" i="6"/>
  <c r="AM131" i="6"/>
  <c r="AM128" i="6"/>
  <c r="AM49" i="6"/>
  <c r="AS95" i="6"/>
  <c r="AS69" i="6"/>
  <c r="AM65" i="6"/>
  <c r="AS150" i="6"/>
  <c r="AM150" i="6"/>
  <c r="AM62" i="6"/>
  <c r="AM55" i="6"/>
  <c r="AS129" i="6"/>
  <c r="AM20" i="6"/>
  <c r="AS139" i="6"/>
  <c r="AS105" i="6"/>
  <c r="AS138" i="6"/>
  <c r="AS39" i="6"/>
  <c r="AS137" i="6"/>
  <c r="AS102" i="6"/>
  <c r="AM91" i="6"/>
  <c r="AS142" i="6"/>
  <c r="AS149" i="6"/>
  <c r="AM115" i="6"/>
  <c r="AS17" i="6"/>
  <c r="AM28" i="6"/>
  <c r="AM99" i="6"/>
  <c r="AS44" i="6"/>
  <c r="AS19" i="6"/>
  <c r="AS74" i="6"/>
  <c r="AS100" i="6"/>
  <c r="AS123" i="6"/>
  <c r="AM52" i="6"/>
  <c r="AM46" i="6"/>
  <c r="AS104" i="6"/>
  <c r="AS155" i="6"/>
  <c r="AS53" i="6"/>
  <c r="AS86" i="6"/>
  <c r="AM70" i="6"/>
  <c r="AM75" i="6"/>
  <c r="AS72" i="6"/>
  <c r="AM14" i="6"/>
  <c r="AS79" i="6"/>
  <c r="AS12" i="6"/>
  <c r="AM107" i="6"/>
  <c r="AM157" i="6"/>
  <c r="AS57" i="6"/>
  <c r="AS45" i="6"/>
  <c r="AS40" i="6"/>
  <c r="AM40" i="6"/>
  <c r="AS93" i="6"/>
  <c r="AM33" i="6"/>
  <c r="AS26" i="6"/>
  <c r="AS89" i="6"/>
  <c r="AM22" i="6"/>
  <c r="AM106" i="6"/>
  <c r="AM132" i="6"/>
  <c r="AM126" i="6"/>
  <c r="AS159" i="6"/>
  <c r="AS56" i="6"/>
  <c r="AS59" i="6"/>
  <c r="AM59" i="6"/>
  <c r="AM113" i="6"/>
  <c r="AM77" i="6"/>
  <c r="AS118" i="6"/>
  <c r="AM144" i="6"/>
  <c r="AS61" i="6"/>
  <c r="AM125" i="6"/>
  <c r="AM94" i="6"/>
  <c r="AS131" i="6"/>
  <c r="AM95" i="6"/>
  <c r="AM114" i="6"/>
  <c r="AM69" i="6"/>
  <c r="AM11" i="6"/>
  <c r="AS42" i="6"/>
  <c r="AS62" i="6"/>
  <c r="AS122" i="6"/>
  <c r="AS109" i="6"/>
  <c r="AM129" i="6"/>
  <c r="AS60" i="6"/>
  <c r="AS134" i="6"/>
  <c r="AS54" i="6"/>
  <c r="AM124" i="6"/>
  <c r="AM105" i="6"/>
  <c r="AM138" i="6"/>
  <c r="AS120" i="6"/>
  <c r="AS130" i="6"/>
  <c r="AS127" i="6"/>
  <c r="AS58" i="6"/>
  <c r="AS111" i="6"/>
  <c r="AM24" i="6"/>
  <c r="AM32" i="6"/>
  <c r="AS87" i="6"/>
  <c r="AM84" i="6"/>
  <c r="AS115" i="6"/>
  <c r="AS34" i="6"/>
  <c r="AM141" i="6"/>
  <c r="AM135" i="6"/>
  <c r="AS64" i="6"/>
  <c r="AS119" i="6"/>
  <c r="AS88" i="6"/>
  <c r="AM27" i="6"/>
  <c r="AS146" i="6"/>
  <c r="AS25" i="6"/>
  <c r="AM44" i="6"/>
  <c r="AM100" i="6"/>
  <c r="AM140" i="6"/>
  <c r="AS52" i="6"/>
  <c r="AM104" i="6"/>
  <c r="AM53" i="6"/>
  <c r="AS90" i="6"/>
  <c r="AM90" i="6"/>
  <c r="AS51" i="6"/>
  <c r="AM51" i="6"/>
  <c r="AS112" i="6"/>
  <c r="AS108" i="6"/>
  <c r="AM72" i="6"/>
  <c r="AS21" i="6"/>
  <c r="AM21" i="6"/>
  <c r="AS41" i="6"/>
  <c r="AM36" i="6"/>
  <c r="AM101" i="6"/>
  <c r="AS23" i="6"/>
  <c r="AM45" i="6"/>
  <c r="AS151" i="6"/>
  <c r="AM153" i="6"/>
  <c r="AM67" i="6"/>
  <c r="AS152" i="6"/>
  <c r="AM89" i="6"/>
  <c r="AS43" i="6"/>
  <c r="AS106" i="6"/>
  <c r="AM118" i="6"/>
  <c r="AS144" i="6"/>
  <c r="AS103" i="6"/>
  <c r="AM61" i="6"/>
  <c r="AS125" i="6"/>
  <c r="AS128" i="6"/>
  <c r="AS136" i="6"/>
  <c r="AS49" i="6"/>
  <c r="AS116" i="6"/>
  <c r="AM145" i="6"/>
  <c r="AS11" i="6"/>
  <c r="AS68" i="6"/>
  <c r="AM109" i="6"/>
  <c r="AS160" i="6"/>
  <c r="AS55" i="6"/>
  <c r="AM60" i="6"/>
  <c r="AM134" i="6"/>
  <c r="AM96" i="6"/>
  <c r="AS147" i="6"/>
  <c r="AS20" i="6"/>
  <c r="AS85" i="6"/>
  <c r="AM54" i="6"/>
  <c r="AS83" i="6"/>
  <c r="AS80" i="6"/>
  <c r="AM39" i="6"/>
  <c r="AM130" i="6"/>
  <c r="AM102" i="6"/>
  <c r="AM58" i="6"/>
  <c r="AM142" i="6"/>
  <c r="AS66" i="6"/>
  <c r="AS24" i="6"/>
  <c r="AM87" i="6"/>
  <c r="AS84" i="6"/>
  <c r="AM149" i="6"/>
  <c r="AM64" i="6"/>
  <c r="AS92" i="6"/>
  <c r="AM92" i="6"/>
  <c r="AM119" i="6"/>
  <c r="AM88" i="6"/>
  <c r="AS99" i="6"/>
  <c r="AM146" i="6"/>
  <c r="AS154" i="6"/>
  <c r="AS46" i="6"/>
  <c r="AM123" i="6"/>
  <c r="AS9" i="6"/>
  <c r="AM74" i="6"/>
  <c r="AM30" i="6"/>
  <c r="AM8" i="6"/>
  <c r="AS8" i="6"/>
  <c r="AM7" i="6"/>
  <c r="AM10" i="6"/>
  <c r="AS7" i="6"/>
  <c r="AS10" i="6"/>
  <c r="G4" i="20"/>
  <c r="G4" i="11"/>
  <c r="P53" i="6" l="1" a="1"/>
  <c r="P53" i="6" s="1"/>
  <c r="O50" i="6" a="1"/>
  <c r="O50" i="6" s="1"/>
  <c r="O65" i="6" s="1" a="1"/>
  <c r="O65" i="6" s="1"/>
  <c r="O80" i="6" s="1" a="1"/>
  <c r="O80" i="6" s="1"/>
  <c r="O95" i="6" s="1" a="1"/>
  <c r="O95" i="6" s="1"/>
  <c r="O110" i="6" s="1" a="1"/>
  <c r="O110" i="6" s="1"/>
  <c r="W51" i="6" a="1"/>
  <c r="W51" i="6" s="1"/>
  <c r="W66" i="6" s="1" a="1"/>
  <c r="W66" i="6" s="1"/>
  <c r="O51" i="6" a="1"/>
  <c r="O51" i="6" s="1"/>
  <c r="O66" i="6" s="1" a="1"/>
  <c r="O66" i="6" s="1"/>
  <c r="W50" i="6" a="1"/>
  <c r="W50" i="6" s="1"/>
  <c r="W65" i="6" s="1" a="1"/>
  <c r="W65" i="6" s="1"/>
  <c r="V36" i="6" a="1"/>
  <c r="V36" i="6" s="1"/>
  <c r="U36" i="6" a="1"/>
  <c r="U36" i="6" s="1"/>
  <c r="U51" i="6" s="1" a="1"/>
  <c r="U51" i="6" s="1"/>
  <c r="N66" i="6" a="1"/>
  <c r="N66" i="6" s="1"/>
  <c r="N81" i="6" s="1" a="1"/>
  <c r="N81" i="6" s="1"/>
  <c r="N96" i="6" s="1" a="1"/>
  <c r="N96" i="6" s="1"/>
  <c r="N111" i="6" s="1" a="1"/>
  <c r="N111" i="6" s="1"/>
  <c r="N50" i="6" a="1"/>
  <c r="N50" i="6" s="1"/>
  <c r="N65" i="6" s="1" a="1"/>
  <c r="N65" i="6" s="1"/>
  <c r="V35" i="6" a="1"/>
  <c r="V35" i="6" s="1"/>
  <c r="U50" i="6" a="1"/>
  <c r="U50" i="6" s="1"/>
  <c r="Q66" i="6" a="1"/>
  <c r="Q66" i="6" s="1"/>
  <c r="P51" i="6" a="1"/>
  <c r="P51" i="6" s="1"/>
  <c r="P66" i="6" s="1" a="1"/>
  <c r="P66" i="6" s="1"/>
  <c r="V28" i="6" a="1"/>
  <c r="V28" i="6" s="1"/>
  <c r="V43" i="6" s="1" a="1"/>
  <c r="V43" i="6" s="1"/>
  <c r="W25" i="6" a="1"/>
  <c r="W25" i="6" s="1"/>
  <c r="W40" i="6" s="1" a="1"/>
  <c r="W40" i="6" s="1"/>
  <c r="U29" i="6" a="1"/>
  <c r="U29" i="6" s="1"/>
  <c r="U44" i="6" s="1" a="1"/>
  <c r="U44" i="6" s="1"/>
  <c r="W23" i="6" a="1"/>
  <c r="W23" i="6" s="1"/>
  <c r="Q71" i="6" a="1"/>
  <c r="Q71" i="6" s="1"/>
  <c r="Q86" i="6" s="1" a="1"/>
  <c r="Q86" i="6" s="1"/>
  <c r="V53" i="6" a="1"/>
  <c r="V53" i="6" s="1"/>
  <c r="V68" i="6" s="1" a="1"/>
  <c r="V68" i="6" s="1"/>
  <c r="V63" i="6" a="1"/>
  <c r="V63" i="6" s="1"/>
  <c r="V78" i="6" s="1" a="1"/>
  <c r="V78" i="6" s="1"/>
  <c r="V93" i="6" s="1" a="1"/>
  <c r="V93" i="6" s="1"/>
  <c r="U49" i="6" a="1"/>
  <c r="U49" i="6" s="1"/>
  <c r="U48" i="6" a="1"/>
  <c r="U48" i="6" s="1"/>
  <c r="U63" i="6" s="1" a="1"/>
  <c r="U63" i="6" s="1"/>
  <c r="W44" i="6" a="1"/>
  <c r="W44" i="6" s="1"/>
  <c r="W59" i="6" s="1" a="1"/>
  <c r="W59" i="6" s="1"/>
  <c r="V27" i="6" a="1"/>
  <c r="V27" i="6" s="1"/>
  <c r="V42" i="6" s="1" a="1"/>
  <c r="V42" i="6" s="1"/>
  <c r="U27" i="6" a="1"/>
  <c r="U27" i="6" s="1"/>
  <c r="U42" i="6" s="1" a="1"/>
  <c r="U42" i="6" s="1"/>
  <c r="U32" i="6" a="1"/>
  <c r="U32" i="6" s="1"/>
  <c r="U47" i="6" s="1" a="1"/>
  <c r="U47" i="6" s="1"/>
  <c r="W39" i="6" a="1"/>
  <c r="W39" i="6" s="1"/>
  <c r="W54" i="6" s="1" a="1"/>
  <c r="W54" i="6" s="1"/>
  <c r="W22" i="6" a="1"/>
  <c r="W22" i="6" s="1"/>
  <c r="W37" i="6" s="1" a="1"/>
  <c r="W37" i="6" s="1"/>
  <c r="W52" i="6" s="1" a="1"/>
  <c r="W52" i="6" s="1"/>
  <c r="W26" i="6" a="1"/>
  <c r="W26" i="6" s="1"/>
  <c r="W41" i="6" s="1" a="1"/>
  <c r="W41" i="6" s="1"/>
  <c r="V61" i="6" a="1"/>
  <c r="V61" i="6" s="1"/>
  <c r="V40" i="6" a="1"/>
  <c r="V40" i="6" s="1"/>
  <c r="V47" i="6" a="1"/>
  <c r="V47" i="6" s="1"/>
  <c r="W27" i="6" a="1"/>
  <c r="W27" i="6" s="1"/>
  <c r="U23" i="6" a="1"/>
  <c r="U23" i="6" s="1"/>
  <c r="U38" i="6" s="1" a="1"/>
  <c r="U38" i="6" s="1"/>
  <c r="V39" i="6" a="1"/>
  <c r="V39" i="6" s="1"/>
  <c r="V30" i="6" a="1"/>
  <c r="V30" i="6" s="1"/>
  <c r="U43" i="6" a="1"/>
  <c r="U43" i="6" s="1"/>
  <c r="W46" i="6" a="1"/>
  <c r="W46" i="6" s="1"/>
  <c r="P63" i="6" a="1"/>
  <c r="P63" i="6" s="1"/>
  <c r="P78" i="6" s="1" a="1"/>
  <c r="P78" i="6" s="1"/>
  <c r="W63" i="6" a="1"/>
  <c r="W63" i="6" s="1"/>
  <c r="W49" i="6" a="1"/>
  <c r="W49" i="6" s="1"/>
  <c r="V59" i="6" a="1"/>
  <c r="V59" i="6" s="1"/>
  <c r="V34" i="6" a="1"/>
  <c r="V34" i="6" s="1"/>
  <c r="V49" i="6" s="1" a="1"/>
  <c r="V49" i="6" s="1"/>
  <c r="U46" i="6" a="1"/>
  <c r="U46" i="6" s="1"/>
  <c r="U61" i="6" s="1" a="1"/>
  <c r="U61" i="6" s="1"/>
  <c r="U55" i="6" a="1"/>
  <c r="U55" i="6" s="1"/>
  <c r="U39" i="6" a="1"/>
  <c r="U39" i="6" s="1"/>
  <c r="U54" i="6" s="1" a="1"/>
  <c r="U54" i="6" s="1"/>
  <c r="V56" i="6" a="1"/>
  <c r="V56" i="6" s="1"/>
  <c r="V71" i="6" s="1" a="1"/>
  <c r="V71" i="6" s="1"/>
  <c r="U45" i="6" a="1"/>
  <c r="U45" i="6" s="1"/>
  <c r="U26" i="6" a="1"/>
  <c r="U26" i="6" s="1"/>
  <c r="W32" i="6" a="1"/>
  <c r="W32" i="6" s="1"/>
  <c r="U22" i="6" a="1"/>
  <c r="U22" i="6" s="1"/>
  <c r="W45" i="6" a="1"/>
  <c r="W45" i="6" s="1"/>
  <c r="V37" i="6" a="1"/>
  <c r="V37" i="6" s="1"/>
  <c r="Q63" i="6" a="1"/>
  <c r="Q63" i="6" s="1"/>
  <c r="Q78" i="6" s="1" a="1"/>
  <c r="Q78" i="6" s="1"/>
  <c r="P69" i="6" a="1"/>
  <c r="P69" i="6" s="1"/>
  <c r="P84" i="6" s="1" a="1"/>
  <c r="P84" i="6" s="1"/>
  <c r="P99" i="6" s="1" a="1"/>
  <c r="P99" i="6" s="1"/>
  <c r="N48" i="6" a="1"/>
  <c r="N48" i="6" s="1"/>
  <c r="N63" i="6" s="1" a="1"/>
  <c r="N63" i="6" s="1"/>
  <c r="N78" i="6" s="1" a="1"/>
  <c r="N78" i="6" s="1"/>
  <c r="O42" i="6" a="1"/>
  <c r="O42" i="6" s="1"/>
  <c r="O57" i="6" s="1" a="1"/>
  <c r="O57" i="6" s="1"/>
  <c r="Q106" i="6" a="1"/>
  <c r="Q106" i="6" s="1"/>
  <c r="N62" i="6" a="1"/>
  <c r="N62" i="6" s="1"/>
  <c r="O22" i="6" a="1"/>
  <c r="O22" i="6" s="1"/>
  <c r="O37" i="6" s="1" a="1"/>
  <c r="O37" i="6" s="1"/>
  <c r="O52" i="6" s="1" a="1"/>
  <c r="O52" i="6" s="1"/>
  <c r="N26" i="6" a="1"/>
  <c r="N26" i="6" s="1"/>
  <c r="P40" i="6" a="1"/>
  <c r="P40" i="6" s="1"/>
  <c r="N25" i="6" a="1"/>
  <c r="N25" i="6" s="1"/>
  <c r="N40" i="6" s="1" a="1"/>
  <c r="N40" i="6" s="1"/>
  <c r="P67" i="6" a="1"/>
  <c r="P67" i="6" s="1"/>
  <c r="P82" i="6" s="1" a="1"/>
  <c r="P82" i="6" s="1"/>
  <c r="P68" i="6" a="1"/>
  <c r="P68" i="6" s="1"/>
  <c r="N29" i="6" a="1"/>
  <c r="N29" i="6" s="1"/>
  <c r="O40" i="6" a="1"/>
  <c r="O40" i="6" s="1"/>
  <c r="O55" i="6" s="1" a="1"/>
  <c r="O55" i="6" s="1"/>
  <c r="Q49" i="6" a="1"/>
  <c r="Q49" i="6" s="1"/>
  <c r="O39" i="6" a="1"/>
  <c r="O39" i="6" s="1"/>
  <c r="Q53" i="6" a="1"/>
  <c r="Q53" i="6" s="1"/>
  <c r="N46" i="6" a="1"/>
  <c r="N46" i="6" s="1"/>
  <c r="N61" i="6" s="1" a="1"/>
  <c r="N61" i="6" s="1"/>
  <c r="O46" i="6" a="1"/>
  <c r="O46" i="6" s="1"/>
  <c r="O61" i="6" s="1" a="1"/>
  <c r="O61" i="6" s="1"/>
  <c r="O76" i="6" s="1" a="1"/>
  <c r="O76" i="6" s="1"/>
  <c r="N49" i="6" a="1"/>
  <c r="N49" i="6" s="1"/>
  <c r="N64" i="6" s="1" a="1"/>
  <c r="N64" i="6" s="1"/>
  <c r="N79" i="6" s="1" a="1"/>
  <c r="N79" i="6" s="1"/>
  <c r="N94" i="6" s="1" a="1"/>
  <c r="N94" i="6" s="1"/>
  <c r="Q80" i="6" a="1"/>
  <c r="Q80" i="6" s="1"/>
  <c r="Q62" i="6" a="1"/>
  <c r="Q62" i="6" s="1"/>
  <c r="Q77" i="6" s="1" a="1"/>
  <c r="Q77" i="6" s="1"/>
  <c r="Q55" i="6" a="1"/>
  <c r="Q55" i="6" s="1"/>
  <c r="Q70" i="6" s="1" a="1"/>
  <c r="Q70" i="6" s="1"/>
  <c r="Q57" i="6" a="1"/>
  <c r="Q57" i="6" s="1"/>
  <c r="O33" i="6" a="1"/>
  <c r="O33" i="6" s="1"/>
  <c r="O26" i="6" a="1"/>
  <c r="O26" i="6" s="1"/>
  <c r="O34" i="6" a="1"/>
  <c r="O34" i="6" s="1"/>
  <c r="O49" i="6" s="1" a="1"/>
  <c r="O49" i="6" s="1"/>
  <c r="N38" i="6" a="1"/>
  <c r="N38" i="6" s="1"/>
  <c r="N53" i="6" s="1" a="1"/>
  <c r="N53" i="6" s="1"/>
  <c r="Q54" i="6" a="1"/>
  <c r="Q54" i="6" s="1"/>
  <c r="O23" i="6" a="1"/>
  <c r="O23" i="6" s="1"/>
  <c r="O29" i="6" a="1"/>
  <c r="O29" i="6" s="1"/>
  <c r="N57" i="6" a="1"/>
  <c r="N57" i="6" s="1"/>
  <c r="N39" i="6" a="1"/>
  <c r="N39" i="6" s="1"/>
  <c r="Q104" i="6" a="1"/>
  <c r="Q104" i="6" s="1"/>
  <c r="Q37" i="6" a="1"/>
  <c r="Q37" i="6" s="1"/>
  <c r="N45" i="6" a="1"/>
  <c r="N45" i="6" s="1"/>
  <c r="N60" i="6" s="1" a="1"/>
  <c r="N60" i="6" s="1"/>
  <c r="P74" i="6" a="1"/>
  <c r="P74" i="6" s="1"/>
  <c r="O45" i="6" a="1"/>
  <c r="O45" i="6" s="1"/>
  <c r="O60" i="6" s="1" a="1"/>
  <c r="O60" i="6" s="1"/>
  <c r="P62" i="6" a="1"/>
  <c r="P62" i="6" s="1"/>
  <c r="P71" i="6" a="1"/>
  <c r="P71" i="6" s="1"/>
  <c r="P91" i="6" a="1"/>
  <c r="P91" i="6" s="1"/>
  <c r="P80" i="6" a="1"/>
  <c r="P80" i="6" s="1"/>
  <c r="N22" i="6" a="1"/>
  <c r="N22" i="6" s="1"/>
  <c r="O47" i="6" a="1"/>
  <c r="O47" i="6" s="1"/>
  <c r="P64" i="6" a="1"/>
  <c r="P64" i="6" s="1"/>
  <c r="P75" i="6" a="1"/>
  <c r="P75" i="6" s="1"/>
  <c r="P90" i="6" s="1" a="1"/>
  <c r="P90" i="6" s="1"/>
  <c r="Q60" i="6" a="1"/>
  <c r="Q60" i="6" s="1"/>
  <c r="Q75" i="6" s="1" a="1"/>
  <c r="Q75" i="6" s="1"/>
  <c r="P42" i="6" a="1"/>
  <c r="P42" i="6" s="1"/>
  <c r="P57" i="6" s="1" a="1"/>
  <c r="P57" i="6" s="1"/>
  <c r="G16" i="20" a="1"/>
  <c r="G16" i="20" s="1"/>
  <c r="G13" i="20" a="1"/>
  <c r="G13" i="20" s="1"/>
  <c r="G20" i="20" a="1"/>
  <c r="G20" i="20" s="1"/>
  <c r="G11" i="20" a="1"/>
  <c r="G11" i="20" s="1"/>
  <c r="G14" i="20" a="1"/>
  <c r="G14" i="20" s="1"/>
  <c r="G17" i="20" a="1"/>
  <c r="G17" i="20" s="1"/>
  <c r="G10" i="20" a="1"/>
  <c r="G10" i="20" s="1"/>
  <c r="G15" i="20" a="1"/>
  <c r="G15" i="20" s="1"/>
  <c r="G18" i="20" a="1"/>
  <c r="G18" i="20" s="1"/>
  <c r="G9" i="20" a="1"/>
  <c r="G9" i="20" s="1"/>
  <c r="G19" i="20" a="1"/>
  <c r="G19" i="20" s="1"/>
  <c r="G12" i="20" a="1"/>
  <c r="G12" i="20" s="1"/>
  <c r="G22" i="11" a="1"/>
  <c r="G22" i="11" s="1"/>
  <c r="G28" i="11" a="1"/>
  <c r="G28" i="11" s="1"/>
  <c r="G37" i="11" a="1"/>
  <c r="G37" i="11" s="1"/>
  <c r="G44" i="11" a="1"/>
  <c r="G44" i="11" s="1"/>
  <c r="G26" i="11" a="1"/>
  <c r="G26" i="11" s="1"/>
  <c r="G30" i="11" a="1"/>
  <c r="G30" i="11" s="1"/>
  <c r="G47" i="11" a="1"/>
  <c r="G47" i="11" s="1"/>
  <c r="G21" i="11" a="1"/>
  <c r="G21" i="11" s="1"/>
  <c r="G48" i="11" a="1"/>
  <c r="G48" i="11" s="1"/>
  <c r="G31" i="11" a="1"/>
  <c r="G31" i="11" s="1"/>
  <c r="G49" i="11" a="1"/>
  <c r="G49" i="11" s="1"/>
  <c r="G27" i="11" a="1"/>
  <c r="G27" i="11" s="1"/>
  <c r="G42" i="11" a="1"/>
  <c r="G42" i="11" s="1"/>
  <c r="G52" i="11" a="1"/>
  <c r="G52" i="11" s="1"/>
  <c r="G36" i="11" a="1"/>
  <c r="G36" i="11" s="1"/>
  <c r="G34" i="11" a="1"/>
  <c r="G34" i="11" s="1"/>
  <c r="G39" i="11" a="1"/>
  <c r="G39" i="11" s="1"/>
  <c r="G32" i="11" a="1"/>
  <c r="G32" i="11" s="1"/>
  <c r="G45" i="11" a="1"/>
  <c r="G45" i="11" s="1"/>
  <c r="G29" i="11" a="1"/>
  <c r="G29" i="11" s="1"/>
  <c r="G55" i="11" a="1"/>
  <c r="G55" i="11" s="1"/>
  <c r="G54" i="11" a="1"/>
  <c r="G54" i="11" s="1"/>
  <c r="G53" i="11" a="1"/>
  <c r="G53" i="11" s="1"/>
  <c r="G41" i="11" a="1"/>
  <c r="G41" i="11" s="1"/>
  <c r="G25" i="11" a="1"/>
  <c r="G25" i="11" s="1"/>
  <c r="G38" i="11" a="1"/>
  <c r="G38" i="11" s="1"/>
  <c r="G24" i="11" a="1"/>
  <c r="G24" i="11" s="1"/>
  <c r="G43" i="11" a="1"/>
  <c r="G43" i="11" s="1"/>
  <c r="G40" i="11" a="1"/>
  <c r="G40" i="11" s="1"/>
  <c r="G33" i="11" a="1"/>
  <c r="G33" i="11" s="1"/>
  <c r="G35" i="11" a="1"/>
  <c r="G35" i="11" s="1"/>
  <c r="G46" i="11" a="1"/>
  <c r="G46" i="11" s="1"/>
  <c r="G23" i="11" a="1"/>
  <c r="G23" i="11" s="1"/>
  <c r="G50" i="11" a="1"/>
  <c r="G50" i="11" s="1"/>
  <c r="G51" i="11" a="1"/>
  <c r="G51" i="11" s="1"/>
  <c r="BD8" i="6"/>
  <c r="BC9" i="6"/>
  <c r="Z209" i="6"/>
  <c r="Z225" i="6"/>
  <c r="S225" i="6"/>
  <c r="S245" i="6"/>
  <c r="Z234" i="6"/>
  <c r="S222" i="6"/>
  <c r="Z216" i="6"/>
  <c r="S195" i="6"/>
  <c r="Z246" i="6"/>
  <c r="Z198" i="6"/>
  <c r="S227" i="6"/>
  <c r="Z206" i="6"/>
  <c r="S206" i="6"/>
  <c r="S228" i="6"/>
  <c r="Z228" i="6"/>
  <c r="S233" i="6"/>
  <c r="S232" i="6"/>
  <c r="Z232" i="6"/>
  <c r="Z220" i="6"/>
  <c r="S220" i="6"/>
  <c r="Z210" i="6"/>
  <c r="S210" i="6"/>
  <c r="S201" i="6"/>
  <c r="Z201" i="6"/>
  <c r="S205" i="6"/>
  <c r="Z205" i="6"/>
  <c r="Z231" i="6"/>
  <c r="S231" i="6"/>
  <c r="Z211" i="6"/>
  <c r="S211" i="6"/>
  <c r="Z219" i="6"/>
  <c r="S219" i="6"/>
  <c r="Z229" i="6"/>
  <c r="S229" i="6"/>
  <c r="Z244" i="6"/>
  <c r="S244" i="6"/>
  <c r="BD15" i="6"/>
  <c r="BC15" i="6"/>
  <c r="BD16" i="6"/>
  <c r="BC16" i="6"/>
  <c r="BD188" i="6"/>
  <c r="BC188" i="6"/>
  <c r="BD189" i="6"/>
  <c r="BC189" i="6"/>
  <c r="BD190" i="6"/>
  <c r="BC190" i="6"/>
  <c r="BD191" i="6"/>
  <c r="BC191" i="6"/>
  <c r="BD192" i="6"/>
  <c r="BC192" i="6"/>
  <c r="BD193" i="6"/>
  <c r="BC193" i="6"/>
  <c r="BD194" i="6"/>
  <c r="BC194" i="6"/>
  <c r="BD235" i="6"/>
  <c r="BC235" i="6"/>
  <c r="BD187" i="6"/>
  <c r="BC236" i="6"/>
  <c r="BD236" i="6"/>
  <c r="BD237" i="6"/>
  <c r="BC238" i="6"/>
  <c r="BD238" i="6"/>
  <c r="BD180" i="6"/>
  <c r="BC180" i="6"/>
  <c r="BD173" i="6"/>
  <c r="BC173" i="6"/>
  <c r="BD176" i="6"/>
  <c r="BC176" i="6"/>
  <c r="BD161" i="6"/>
  <c r="BC161" i="6"/>
  <c r="BD174" i="6"/>
  <c r="BC174" i="6"/>
  <c r="BD167" i="6"/>
  <c r="BC167" i="6"/>
  <c r="BD163" i="6"/>
  <c r="BC163" i="6"/>
  <c r="BD184" i="6"/>
  <c r="BC184" i="6"/>
  <c r="BD171" i="6"/>
  <c r="BC171" i="6"/>
  <c r="BD183" i="6"/>
  <c r="BC183" i="6"/>
  <c r="BD178" i="6"/>
  <c r="BC178" i="6"/>
  <c r="BD239" i="6"/>
  <c r="BC239" i="6"/>
  <c r="BD169" i="6"/>
  <c r="BC169" i="6"/>
  <c r="BD243" i="6"/>
  <c r="BC243" i="6"/>
  <c r="BD175" i="6"/>
  <c r="BC175" i="6"/>
  <c r="BD164" i="6"/>
  <c r="BC164" i="6"/>
  <c r="BD182" i="6"/>
  <c r="BC182" i="6"/>
  <c r="BD186" i="6"/>
  <c r="BC186" i="6"/>
  <c r="BD242" i="6"/>
  <c r="BC242" i="6"/>
  <c r="BD181" i="6"/>
  <c r="BC181" i="6"/>
  <c r="BD162" i="6"/>
  <c r="BC162" i="6"/>
  <c r="BD172" i="6"/>
  <c r="BC172" i="6"/>
  <c r="BD179" i="6"/>
  <c r="BC179" i="6"/>
  <c r="BD177" i="6"/>
  <c r="BC177" i="6"/>
  <c r="BD240" i="6"/>
  <c r="BC240" i="6"/>
  <c r="BD166" i="6"/>
  <c r="BC166" i="6"/>
  <c r="BD241" i="6"/>
  <c r="BC241" i="6"/>
  <c r="BD170" i="6"/>
  <c r="BC170" i="6"/>
  <c r="BD185" i="6"/>
  <c r="BC185" i="6"/>
  <c r="BD165" i="6"/>
  <c r="BC165" i="6"/>
  <c r="BD168" i="6"/>
  <c r="BC168" i="6"/>
  <c r="BD37" i="6"/>
  <c r="BC37" i="6"/>
  <c r="BC100" i="6"/>
  <c r="BD100" i="6"/>
  <c r="BD19" i="6"/>
  <c r="BC19" i="6"/>
  <c r="BD17" i="6"/>
  <c r="BC17" i="6"/>
  <c r="BD120" i="6"/>
  <c r="BC120" i="6"/>
  <c r="BC62" i="6"/>
  <c r="BD62" i="6"/>
  <c r="BD52" i="6"/>
  <c r="BC52" i="6"/>
  <c r="BC104" i="6"/>
  <c r="BD104" i="6"/>
  <c r="BD44" i="6"/>
  <c r="BC44" i="6"/>
  <c r="BC66" i="6"/>
  <c r="BD66" i="6"/>
  <c r="BD102" i="6"/>
  <c r="BC102" i="6"/>
  <c r="BD139" i="6"/>
  <c r="BC139" i="6"/>
  <c r="BD159" i="6"/>
  <c r="BC159" i="6"/>
  <c r="BC48" i="6"/>
  <c r="BD48" i="6"/>
  <c r="BD152" i="6"/>
  <c r="BC152" i="6"/>
  <c r="BC107" i="6"/>
  <c r="BD107" i="6"/>
  <c r="BD46" i="6"/>
  <c r="BC46" i="6"/>
  <c r="BD99" i="6"/>
  <c r="BC99" i="6"/>
  <c r="BD65" i="6"/>
  <c r="BC65" i="6"/>
  <c r="BD116" i="6"/>
  <c r="BC116" i="6"/>
  <c r="BC128" i="6"/>
  <c r="BD128" i="6"/>
  <c r="BD153" i="6"/>
  <c r="BC153" i="6"/>
  <c r="BC140" i="6"/>
  <c r="BD140" i="6"/>
  <c r="BC27" i="6"/>
  <c r="BD27" i="6"/>
  <c r="BD135" i="6"/>
  <c r="BC135" i="6"/>
  <c r="BD34" i="6"/>
  <c r="BC34" i="6"/>
  <c r="BC83" i="6"/>
  <c r="BD83" i="6"/>
  <c r="BC125" i="6"/>
  <c r="BD125" i="6"/>
  <c r="BD12" i="6"/>
  <c r="BC12" i="6"/>
  <c r="BC21" i="6"/>
  <c r="BD21" i="6"/>
  <c r="BC55" i="6"/>
  <c r="BD55" i="6"/>
  <c r="BC78" i="6"/>
  <c r="BD78" i="6"/>
  <c r="BD47" i="6"/>
  <c r="BC47" i="6"/>
  <c r="BD82" i="6"/>
  <c r="BC82" i="6"/>
  <c r="BC32" i="6"/>
  <c r="BD32" i="6"/>
  <c r="BD127" i="6"/>
  <c r="BC127" i="6"/>
  <c r="BC85" i="6"/>
  <c r="BD85" i="6"/>
  <c r="BD122" i="6"/>
  <c r="BC122" i="6"/>
  <c r="BD94" i="6"/>
  <c r="BC94" i="6"/>
  <c r="BD77" i="6"/>
  <c r="BC77" i="6"/>
  <c r="BC22" i="6"/>
  <c r="BD22" i="6"/>
  <c r="BC33" i="6"/>
  <c r="BD33" i="6"/>
  <c r="BD13" i="6"/>
  <c r="BC13" i="6"/>
  <c r="BC79" i="6"/>
  <c r="BD79" i="6"/>
  <c r="BD73" i="6"/>
  <c r="BC73" i="6"/>
  <c r="BD123" i="6"/>
  <c r="BC123" i="6"/>
  <c r="BC154" i="6"/>
  <c r="BD154" i="6"/>
  <c r="BD28" i="6"/>
  <c r="BC28" i="6"/>
  <c r="BC115" i="6"/>
  <c r="BD115" i="6"/>
  <c r="BC133" i="6"/>
  <c r="BD133" i="6"/>
  <c r="BC18" i="6"/>
  <c r="BD18" i="6"/>
  <c r="BC45" i="6"/>
  <c r="BD45" i="6"/>
  <c r="BC36" i="6"/>
  <c r="BD36" i="6"/>
  <c r="BD147" i="6"/>
  <c r="BC147" i="6"/>
  <c r="BD68" i="6"/>
  <c r="BC68" i="6"/>
  <c r="BD61" i="6"/>
  <c r="BC61" i="6"/>
  <c r="BC59" i="6"/>
  <c r="BD59" i="6"/>
  <c r="BD93" i="6"/>
  <c r="BC93" i="6"/>
  <c r="BC72" i="6"/>
  <c r="BD72" i="6"/>
  <c r="BC146" i="6"/>
  <c r="BD146" i="6"/>
  <c r="BD92" i="6"/>
  <c r="BC92" i="6"/>
  <c r="BC84" i="6"/>
  <c r="BD84" i="6"/>
  <c r="BC58" i="6"/>
  <c r="BD58" i="6"/>
  <c r="BD130" i="6"/>
  <c r="BC130" i="6"/>
  <c r="BC131" i="6"/>
  <c r="BD131" i="6"/>
  <c r="BD40" i="6"/>
  <c r="BC40" i="6"/>
  <c r="BC90" i="6"/>
  <c r="BD90" i="6"/>
  <c r="BD38" i="6"/>
  <c r="BC38" i="6"/>
  <c r="BD143" i="6"/>
  <c r="BC143" i="6"/>
  <c r="BC76" i="6"/>
  <c r="BD76" i="6"/>
  <c r="BC111" i="6"/>
  <c r="BD111" i="6"/>
  <c r="BD138" i="6"/>
  <c r="BC138" i="6"/>
  <c r="BC95" i="6"/>
  <c r="BD95" i="6"/>
  <c r="BD113" i="6"/>
  <c r="BC113" i="6"/>
  <c r="BC56" i="6"/>
  <c r="BD56" i="6"/>
  <c r="BC26" i="6"/>
  <c r="BD26" i="6"/>
  <c r="BC14" i="6"/>
  <c r="BD14" i="6"/>
  <c r="BC75" i="6"/>
  <c r="BD75" i="6"/>
  <c r="BD121" i="6"/>
  <c r="BC121" i="6"/>
  <c r="BD30" i="6"/>
  <c r="BC30" i="6"/>
  <c r="BC142" i="6"/>
  <c r="BD142" i="6"/>
  <c r="BD137" i="6"/>
  <c r="BC137" i="6"/>
  <c r="BD49" i="6"/>
  <c r="BC49" i="6"/>
  <c r="BC98" i="6"/>
  <c r="BD98" i="6"/>
  <c r="BD148" i="6"/>
  <c r="BC148" i="6"/>
  <c r="BD110" i="6"/>
  <c r="BC110" i="6"/>
  <c r="BC112" i="6"/>
  <c r="BD112" i="6"/>
  <c r="BC155" i="6"/>
  <c r="BD155" i="6"/>
  <c r="BD97" i="6"/>
  <c r="BC97" i="6"/>
  <c r="BC124" i="6"/>
  <c r="BD124" i="6"/>
  <c r="BD96" i="6"/>
  <c r="BC96" i="6"/>
  <c r="BD160" i="6"/>
  <c r="BC160" i="6"/>
  <c r="BD42" i="6"/>
  <c r="BC42" i="6"/>
  <c r="BD145" i="6"/>
  <c r="BC145" i="6"/>
  <c r="BD114" i="6"/>
  <c r="BC114" i="6"/>
  <c r="BC103" i="6"/>
  <c r="BD103" i="6"/>
  <c r="BC132" i="6"/>
  <c r="BD132" i="6"/>
  <c r="BD50" i="6"/>
  <c r="BC50" i="6"/>
  <c r="BC74" i="6"/>
  <c r="BD74" i="6"/>
  <c r="BC88" i="6"/>
  <c r="BD88" i="6"/>
  <c r="BD64" i="6"/>
  <c r="BC64" i="6"/>
  <c r="BC141" i="6"/>
  <c r="BD141" i="6"/>
  <c r="BC87" i="6"/>
  <c r="BD87" i="6"/>
  <c r="BD20" i="6"/>
  <c r="BC20" i="6"/>
  <c r="BC60" i="6"/>
  <c r="BD60" i="6"/>
  <c r="BD109" i="6"/>
  <c r="BC109" i="6"/>
  <c r="BC69" i="6"/>
  <c r="BD69" i="6"/>
  <c r="BC144" i="6"/>
  <c r="BD144" i="6"/>
  <c r="BD43" i="6"/>
  <c r="BC43" i="6"/>
  <c r="BD57" i="6"/>
  <c r="BC57" i="6"/>
  <c r="BD108" i="6"/>
  <c r="BC108" i="6"/>
  <c r="BC53" i="6"/>
  <c r="BD53" i="6"/>
  <c r="BC71" i="6"/>
  <c r="BD71" i="6"/>
  <c r="BC117" i="6"/>
  <c r="BD117" i="6"/>
  <c r="BC31" i="6"/>
  <c r="BD31" i="6"/>
  <c r="BD63" i="6"/>
  <c r="BC63" i="6"/>
  <c r="BD81" i="6"/>
  <c r="BC81" i="6"/>
  <c r="BD25" i="6"/>
  <c r="BC25" i="6"/>
  <c r="BD158" i="6"/>
  <c r="BC158" i="6"/>
  <c r="BD105" i="6"/>
  <c r="BC105" i="6"/>
  <c r="BC11" i="6"/>
  <c r="BD11" i="6"/>
  <c r="BD157" i="6"/>
  <c r="BC157" i="6"/>
  <c r="BD70" i="6"/>
  <c r="BC70" i="6"/>
  <c r="BC149" i="6"/>
  <c r="BD149" i="6"/>
  <c r="BC91" i="6"/>
  <c r="BD91" i="6"/>
  <c r="BD39" i="6"/>
  <c r="BC39" i="6"/>
  <c r="BC80" i="6"/>
  <c r="BD80" i="6"/>
  <c r="BD151" i="6"/>
  <c r="BC151" i="6"/>
  <c r="BC23" i="6"/>
  <c r="BD23" i="6"/>
  <c r="BC41" i="6"/>
  <c r="BD41" i="6"/>
  <c r="BC24" i="6"/>
  <c r="BD24" i="6"/>
  <c r="BC134" i="6"/>
  <c r="BD134" i="6"/>
  <c r="BC136" i="6"/>
  <c r="BD136" i="6"/>
  <c r="BD106" i="6"/>
  <c r="BC106" i="6"/>
  <c r="BC86" i="6"/>
  <c r="BD86" i="6"/>
  <c r="BC119" i="6"/>
  <c r="BD119" i="6"/>
  <c r="BC54" i="6"/>
  <c r="BD54" i="6"/>
  <c r="BD129" i="6"/>
  <c r="BC129" i="6"/>
  <c r="BC150" i="6"/>
  <c r="BD150" i="6"/>
  <c r="BC118" i="6"/>
  <c r="BD118" i="6"/>
  <c r="BC126" i="6"/>
  <c r="BD126" i="6"/>
  <c r="BC89" i="6"/>
  <c r="BD89" i="6"/>
  <c r="BD67" i="6"/>
  <c r="BC67" i="6"/>
  <c r="BC101" i="6"/>
  <c r="BD101" i="6"/>
  <c r="BC51" i="6"/>
  <c r="BD51" i="6"/>
  <c r="BD29" i="6"/>
  <c r="BC29" i="6"/>
  <c r="BC156" i="6"/>
  <c r="BD156" i="6"/>
  <c r="BD35" i="6"/>
  <c r="BC35" i="6"/>
  <c r="BC7" i="6"/>
  <c r="BD7" i="6"/>
  <c r="BD10" i="6"/>
  <c r="BC10" i="6"/>
  <c r="F4" i="20"/>
  <c r="F4" i="11"/>
  <c r="W81" i="6" l="1" a="1"/>
  <c r="W81" i="6" s="1"/>
  <c r="P114" i="6" a="1"/>
  <c r="P114" i="6" s="1"/>
  <c r="P129" i="6" s="1" a="1"/>
  <c r="P129" i="6" s="1"/>
  <c r="P144" i="6" s="1" a="1"/>
  <c r="P144" i="6" s="1"/>
  <c r="W80" i="6" a="1"/>
  <c r="W80" i="6" s="1"/>
  <c r="W95" i="6" s="1" a="1"/>
  <c r="W95" i="6" s="1"/>
  <c r="W110" i="6" s="1" a="1"/>
  <c r="W110" i="6" s="1"/>
  <c r="N80" i="6" a="1"/>
  <c r="N80" i="6" s="1"/>
  <c r="N95" i="6" s="1" a="1"/>
  <c r="N95" i="6" s="1"/>
  <c r="N110" i="6" s="1" a="1"/>
  <c r="N110" i="6" s="1"/>
  <c r="N125" i="6" s="1" a="1"/>
  <c r="N125" i="6" s="1"/>
  <c r="N140" i="6" s="1" a="1"/>
  <c r="N140" i="6" s="1"/>
  <c r="P81" i="6" a="1"/>
  <c r="P81" i="6" s="1"/>
  <c r="N126" i="6" a="1"/>
  <c r="N126" i="6" s="1"/>
  <c r="N141" i="6" s="1" a="1"/>
  <c r="N141" i="6" s="1"/>
  <c r="O81" i="6" a="1"/>
  <c r="O81" i="6" s="1"/>
  <c r="V51" i="6" a="1"/>
  <c r="V51" i="6" s="1"/>
  <c r="V66" i="6" s="1" a="1"/>
  <c r="V66" i="6" s="1"/>
  <c r="V50" i="6" a="1"/>
  <c r="V50" i="6" s="1"/>
  <c r="U65" i="6" a="1"/>
  <c r="U65" i="6" s="1"/>
  <c r="U80" i="6" s="1" a="1"/>
  <c r="U80" i="6" s="1"/>
  <c r="U95" i="6" s="1" a="1"/>
  <c r="U95" i="6" s="1"/>
  <c r="P96" i="6" a="1"/>
  <c r="P96" i="6" s="1"/>
  <c r="Q81" i="6" a="1"/>
  <c r="Q81" i="6" s="1"/>
  <c r="Q96" i="6" s="1" a="1"/>
  <c r="Q96" i="6" s="1"/>
  <c r="U66" i="6" a="1"/>
  <c r="U66" i="6" s="1"/>
  <c r="W55" i="6" a="1"/>
  <c r="W55" i="6" s="1"/>
  <c r="W70" i="6" s="1" a="1"/>
  <c r="W70" i="6" s="1"/>
  <c r="U59" i="6" a="1"/>
  <c r="U59" i="6" s="1"/>
  <c r="N76" i="6" a="1"/>
  <c r="N76" i="6" s="1"/>
  <c r="W38" i="6" a="1"/>
  <c r="W38" i="6" s="1"/>
  <c r="W53" i="6" s="1" a="1"/>
  <c r="W53" i="6" s="1"/>
  <c r="W67" i="6" a="1"/>
  <c r="W67" i="6" s="1"/>
  <c r="W82" i="6" s="1" a="1"/>
  <c r="W82" i="6" s="1"/>
  <c r="V108" i="6" a="1"/>
  <c r="V108" i="6" s="1"/>
  <c r="U62" i="6" a="1"/>
  <c r="U62" i="6" s="1"/>
  <c r="P93" i="6" a="1"/>
  <c r="P93" i="6" s="1"/>
  <c r="P108" i="6" s="1" a="1"/>
  <c r="P108" i="6" s="1"/>
  <c r="W69" i="6" a="1"/>
  <c r="W69" i="6" s="1"/>
  <c r="U60" i="6" a="1"/>
  <c r="U60" i="6" s="1"/>
  <c r="W42" i="6" a="1"/>
  <c r="W42" i="6" s="1"/>
  <c r="W57" i="6" s="1" a="1"/>
  <c r="W57" i="6" s="1"/>
  <c r="W64" i="6" a="1"/>
  <c r="W64" i="6" s="1"/>
  <c r="W79" i="6" s="1" a="1"/>
  <c r="W79" i="6" s="1"/>
  <c r="W74" i="6" a="1"/>
  <c r="W74" i="6" s="1"/>
  <c r="V62" i="6" a="1"/>
  <c r="V62" i="6" s="1"/>
  <c r="V77" i="6" s="1" a="1"/>
  <c r="V77" i="6" s="1"/>
  <c r="V64" i="6" a="1"/>
  <c r="V64" i="6" s="1"/>
  <c r="V79" i="6" s="1" a="1"/>
  <c r="V79" i="6" s="1"/>
  <c r="P97" i="6" a="1"/>
  <c r="P97" i="6" s="1"/>
  <c r="P112" i="6" s="1" a="1"/>
  <c r="P112" i="6" s="1"/>
  <c r="P127" i="6" s="1" a="1"/>
  <c r="P127" i="6" s="1"/>
  <c r="N77" i="6" a="1"/>
  <c r="N77" i="6" s="1"/>
  <c r="N92" i="6" s="1" a="1"/>
  <c r="N92" i="6" s="1"/>
  <c r="N107" i="6" s="1" a="1"/>
  <c r="N107" i="6" s="1"/>
  <c r="V52" i="6" a="1"/>
  <c r="V52" i="6" s="1"/>
  <c r="V67" i="6" s="1" a="1"/>
  <c r="V67" i="6" s="1"/>
  <c r="W61" i="6" a="1"/>
  <c r="W61" i="6" s="1"/>
  <c r="V55" i="6" a="1"/>
  <c r="V55" i="6" s="1"/>
  <c r="V70" i="6" s="1" a="1"/>
  <c r="V70" i="6" s="1"/>
  <c r="U78" i="6" a="1"/>
  <c r="U78" i="6" s="1"/>
  <c r="V76" i="6" a="1"/>
  <c r="V76" i="6" s="1"/>
  <c r="U57" i="6" a="1"/>
  <c r="U57" i="6" s="1"/>
  <c r="V45" i="6" a="1"/>
  <c r="V45" i="6" s="1"/>
  <c r="U64" i="6" a="1"/>
  <c r="U64" i="6" s="1"/>
  <c r="W60" i="6" a="1"/>
  <c r="W60" i="6" s="1"/>
  <c r="V86" i="6" a="1"/>
  <c r="V86" i="6" s="1"/>
  <c r="V54" i="6" a="1"/>
  <c r="V54" i="6" s="1"/>
  <c r="U37" i="6" a="1"/>
  <c r="U37" i="6" s="1"/>
  <c r="U52" i="6" s="1" a="1"/>
  <c r="U52" i="6" s="1"/>
  <c r="W47" i="6" a="1"/>
  <c r="W47" i="6" s="1"/>
  <c r="U69" i="6" a="1"/>
  <c r="U69" i="6" s="1"/>
  <c r="U84" i="6" s="1" a="1"/>
  <c r="U84" i="6" s="1"/>
  <c r="U76" i="6" a="1"/>
  <c r="U76" i="6" s="1"/>
  <c r="W56" i="6" a="1"/>
  <c r="W56" i="6" s="1"/>
  <c r="W78" i="6" a="1"/>
  <c r="W78" i="6" s="1"/>
  <c r="V74" i="6" a="1"/>
  <c r="V74" i="6" s="1"/>
  <c r="V57" i="6" a="1"/>
  <c r="V57" i="6" s="1"/>
  <c r="Q85" i="6" a="1"/>
  <c r="Q85" i="6" s="1"/>
  <c r="Q100" i="6" s="1" a="1"/>
  <c r="Q100" i="6" s="1"/>
  <c r="Q92" i="6" a="1"/>
  <c r="Q92" i="6" s="1"/>
  <c r="O75" i="6" a="1"/>
  <c r="O75" i="6" s="1"/>
  <c r="P77" i="6" a="1"/>
  <c r="P77" i="6" s="1"/>
  <c r="Q72" i="6" a="1"/>
  <c r="Q72" i="6" s="1"/>
  <c r="Q64" i="6" a="1"/>
  <c r="Q64" i="6" s="1"/>
  <c r="P55" i="6" a="1"/>
  <c r="P55" i="6" s="1"/>
  <c r="N44" i="6" a="1"/>
  <c r="N44" i="6" s="1"/>
  <c r="N59" i="6" s="1" a="1"/>
  <c r="N59" i="6" s="1"/>
  <c r="O70" i="6" a="1"/>
  <c r="O70" i="6" s="1"/>
  <c r="N41" i="6" a="1"/>
  <c r="N41" i="6" s="1"/>
  <c r="N75" i="6" a="1"/>
  <c r="N75" i="6" s="1"/>
  <c r="N90" i="6" s="1" a="1"/>
  <c r="N90" i="6" s="1"/>
  <c r="N93" i="6" a="1"/>
  <c r="N93" i="6" s="1"/>
  <c r="P105" i="6" a="1"/>
  <c r="P105" i="6" s="1"/>
  <c r="O64" i="6" a="1"/>
  <c r="O64" i="6" s="1"/>
  <c r="O79" i="6" s="1" a="1"/>
  <c r="O79" i="6" s="1"/>
  <c r="Q93" i="6" a="1"/>
  <c r="Q93" i="6" s="1"/>
  <c r="Q90" i="6" a="1"/>
  <c r="Q90" i="6" s="1"/>
  <c r="Q105" i="6" s="1" a="1"/>
  <c r="Q105" i="6" s="1"/>
  <c r="O44" i="6" a="1"/>
  <c r="O44" i="6" s="1"/>
  <c r="O59" i="6" s="1" a="1"/>
  <c r="O59" i="6" s="1"/>
  <c r="O38" i="6" a="1"/>
  <c r="O38" i="6" s="1"/>
  <c r="N55" i="6" a="1"/>
  <c r="N55" i="6" s="1"/>
  <c r="N70" i="6" s="1" a="1"/>
  <c r="N70" i="6" s="1"/>
  <c r="N37" i="6" a="1"/>
  <c r="N37" i="6" s="1"/>
  <c r="O41" i="6" a="1"/>
  <c r="O41" i="6" s="1"/>
  <c r="P79" i="6" a="1"/>
  <c r="P79" i="6" s="1"/>
  <c r="P72" i="6" a="1"/>
  <c r="P72" i="6" s="1"/>
  <c r="P87" i="6" s="1" a="1"/>
  <c r="P87" i="6" s="1"/>
  <c r="Q95" i="6" a="1"/>
  <c r="Q95" i="6" s="1"/>
  <c r="Q69" i="6" a="1"/>
  <c r="Q69" i="6" s="1"/>
  <c r="P83" i="6" a="1"/>
  <c r="P83" i="6" s="1"/>
  <c r="O48" i="6" a="1"/>
  <c r="O48" i="6" s="1"/>
  <c r="O63" i="6" s="1" a="1"/>
  <c r="O63" i="6" s="1"/>
  <c r="Q101" i="6" a="1"/>
  <c r="Q101" i="6" s="1"/>
  <c r="Q116" i="6" s="1" a="1"/>
  <c r="Q116" i="6" s="1"/>
  <c r="F9" i="20" a="1"/>
  <c r="F9" i="20" s="1"/>
  <c r="F17" i="20" a="1"/>
  <c r="F17" i="20" s="1"/>
  <c r="F14" i="20" a="1"/>
  <c r="F14" i="20" s="1"/>
  <c r="F16" i="20" a="1"/>
  <c r="F16" i="20" s="1"/>
  <c r="F19" i="20" a="1"/>
  <c r="F19" i="20" s="1"/>
  <c r="F10" i="20" a="1"/>
  <c r="F10" i="20" s="1"/>
  <c r="F11" i="20" a="1"/>
  <c r="F11" i="20" s="1"/>
  <c r="F12" i="20" a="1"/>
  <c r="F12" i="20" s="1"/>
  <c r="F15" i="20" a="1"/>
  <c r="F15" i="20" s="1"/>
  <c r="F18" i="20" a="1"/>
  <c r="F18" i="20" s="1"/>
  <c r="F20" i="20" a="1"/>
  <c r="F20" i="20" s="1"/>
  <c r="F13" i="20" a="1"/>
  <c r="F13" i="20" s="1"/>
  <c r="F35" i="11" a="1"/>
  <c r="F35" i="11" s="1"/>
  <c r="F47" i="11" a="1"/>
  <c r="F47" i="11" s="1"/>
  <c r="F30" i="11" a="1"/>
  <c r="F30" i="11" s="1"/>
  <c r="F43" i="11" a="1"/>
  <c r="F43" i="11" s="1"/>
  <c r="F44" i="11" a="1"/>
  <c r="F44" i="11" s="1"/>
  <c r="F36" i="11" a="1"/>
  <c r="F36" i="11" s="1"/>
  <c r="F51" i="11" a="1"/>
  <c r="F51" i="11" s="1"/>
  <c r="F37" i="11" a="1"/>
  <c r="F37" i="11" s="1"/>
  <c r="F46" i="11" a="1"/>
  <c r="F46" i="11" s="1"/>
  <c r="F39" i="11" a="1"/>
  <c r="F39" i="11" s="1"/>
  <c r="F41" i="11" a="1"/>
  <c r="F41" i="11" s="1"/>
  <c r="F26" i="11" a="1"/>
  <c r="F26" i="11" s="1"/>
  <c r="F33" i="11" a="1"/>
  <c r="F33" i="11" s="1"/>
  <c r="F27" i="11" a="1"/>
  <c r="F27" i="11" s="1"/>
  <c r="F24" i="11" a="1"/>
  <c r="F24" i="11" s="1"/>
  <c r="F31" i="11" a="1"/>
  <c r="F31" i="11" s="1"/>
  <c r="F29" i="11" a="1"/>
  <c r="F29" i="11" s="1"/>
  <c r="F50" i="11" a="1"/>
  <c r="F50" i="11" s="1"/>
  <c r="F54" i="11" a="1"/>
  <c r="F54" i="11" s="1"/>
  <c r="F25" i="11" a="1"/>
  <c r="F25" i="11" s="1"/>
  <c r="F53" i="11" a="1"/>
  <c r="F53" i="11" s="1"/>
  <c r="F34" i="11" a="1"/>
  <c r="F34" i="11" s="1"/>
  <c r="F45" i="11" a="1"/>
  <c r="F45" i="11" s="1"/>
  <c r="F55" i="11" a="1"/>
  <c r="F55" i="11" s="1"/>
  <c r="F40" i="11" a="1"/>
  <c r="F40" i="11" s="1"/>
  <c r="F49" i="11" a="1"/>
  <c r="F49" i="11" s="1"/>
  <c r="F28" i="11" a="1"/>
  <c r="F28" i="11" s="1"/>
  <c r="F23" i="11" a="1"/>
  <c r="F23" i="11" s="1"/>
  <c r="F48" i="11" a="1"/>
  <c r="F48" i="11" s="1"/>
  <c r="F22" i="11" a="1"/>
  <c r="F22" i="11" s="1"/>
  <c r="F21" i="11" a="1"/>
  <c r="F21" i="11" s="1"/>
  <c r="F38" i="11" a="1"/>
  <c r="F38" i="11" s="1"/>
  <c r="F42" i="11" a="1"/>
  <c r="F42" i="11" s="1"/>
  <c r="F32" i="11" a="1"/>
  <c r="F32" i="11" s="1"/>
  <c r="F52" i="11" a="1"/>
  <c r="F52" i="11" s="1"/>
  <c r="E4" i="20"/>
  <c r="E4" i="11"/>
  <c r="W96" i="6" l="1" a="1"/>
  <c r="W96" i="6" s="1"/>
  <c r="P159" i="6" a="1"/>
  <c r="P159" i="6" s="1"/>
  <c r="P174" i="6" s="1" a="1"/>
  <c r="P174" i="6" s="1"/>
  <c r="V81" i="6" a="1"/>
  <c r="V81" i="6" s="1"/>
  <c r="Q111" i="6" a="1"/>
  <c r="Q111" i="6" s="1"/>
  <c r="Q126" i="6" s="1" a="1"/>
  <c r="Q126" i="6" s="1"/>
  <c r="N156" i="6" a="1"/>
  <c r="N156" i="6" s="1"/>
  <c r="N171" i="6" s="1" a="1"/>
  <c r="N171" i="6" s="1"/>
  <c r="N186" i="6" s="1" a="1"/>
  <c r="N186" i="6" s="1"/>
  <c r="V65" i="6" a="1"/>
  <c r="V65" i="6" s="1"/>
  <c r="V80" i="6" s="1" a="1"/>
  <c r="V80" i="6" s="1"/>
  <c r="P111" i="6" a="1"/>
  <c r="P111" i="6" s="1"/>
  <c r="P126" i="6" s="1" a="1"/>
  <c r="P126" i="6" s="1"/>
  <c r="O96" i="6" a="1"/>
  <c r="O96" i="6" s="1"/>
  <c r="U81" i="6" a="1"/>
  <c r="U81" i="6" s="1"/>
  <c r="W85" i="6" a="1"/>
  <c r="W85" i="6" s="1"/>
  <c r="W100" i="6" s="1" a="1"/>
  <c r="W100" i="6" s="1"/>
  <c r="U74" i="6" a="1"/>
  <c r="U74" i="6" s="1"/>
  <c r="U89" i="6" s="1" a="1"/>
  <c r="U89" i="6" s="1"/>
  <c r="W68" i="6" a="1"/>
  <c r="W68" i="6" s="1"/>
  <c r="W83" i="6" s="1" a="1"/>
  <c r="W83" i="6" s="1"/>
  <c r="V60" i="6" a="1"/>
  <c r="V60" i="6" s="1"/>
  <c r="W76" i="6" a="1"/>
  <c r="W76" i="6" s="1"/>
  <c r="P123" i="6" a="1"/>
  <c r="P123" i="6" s="1"/>
  <c r="P138" i="6" s="1" a="1"/>
  <c r="P138" i="6" s="1"/>
  <c r="P153" i="6" s="1" a="1"/>
  <c r="P153" i="6" s="1"/>
  <c r="W75" i="6" a="1"/>
  <c r="W75" i="6" s="1"/>
  <c r="W93" i="6" a="1"/>
  <c r="W93" i="6" s="1"/>
  <c r="W84" i="6" a="1"/>
  <c r="W84" i="6" s="1"/>
  <c r="W99" i="6" s="1" a="1"/>
  <c r="W99" i="6" s="1"/>
  <c r="O53" i="6" a="1"/>
  <c r="O53" i="6" s="1"/>
  <c r="Q79" i="6" a="1"/>
  <c r="Q79" i="6" s="1"/>
  <c r="O90" i="6" a="1"/>
  <c r="O90" i="6" s="1"/>
  <c r="N52" i="6" a="1"/>
  <c r="N52" i="6" s="1"/>
  <c r="P98" i="6" a="1"/>
  <c r="P98" i="6" s="1"/>
  <c r="N74" i="6" a="1"/>
  <c r="N74" i="6" s="1"/>
  <c r="N89" i="6" s="1" a="1"/>
  <c r="N89" i="6" s="1"/>
  <c r="N56" i="6" a="1"/>
  <c r="N56" i="6" s="1"/>
  <c r="E18" i="20" a="1"/>
  <c r="E18" i="20" s="1"/>
  <c r="E17" i="20" a="1"/>
  <c r="E17" i="20" s="1"/>
  <c r="E12" i="20" a="1"/>
  <c r="E12" i="20" s="1"/>
  <c r="E9" i="20" a="1"/>
  <c r="E9" i="20" s="1"/>
  <c r="E14" i="20" a="1"/>
  <c r="E14" i="20" s="1"/>
  <c r="E15" i="20" a="1"/>
  <c r="E15" i="20" s="1"/>
  <c r="E19" i="20" a="1"/>
  <c r="E19" i="20" s="1"/>
  <c r="E10" i="20" a="1"/>
  <c r="E10" i="20" s="1"/>
  <c r="E11" i="20" a="1"/>
  <c r="E11" i="20" s="1"/>
  <c r="E13" i="20" a="1"/>
  <c r="E13" i="20" s="1"/>
  <c r="E20" i="20" a="1"/>
  <c r="E20" i="20" s="1"/>
  <c r="E16" i="20" a="1"/>
  <c r="E16" i="20" s="1"/>
  <c r="E25" i="11" a="1"/>
  <c r="E25" i="11" s="1"/>
  <c r="E28" i="11" a="1"/>
  <c r="E28" i="11" s="1"/>
  <c r="E53" i="11" a="1"/>
  <c r="E53" i="11" s="1"/>
  <c r="E32" i="11" a="1"/>
  <c r="E32" i="11" s="1"/>
  <c r="E26" i="11" a="1"/>
  <c r="E26" i="11" s="1"/>
  <c r="E39" i="11" a="1"/>
  <c r="E39" i="11" s="1"/>
  <c r="E50" i="11" a="1"/>
  <c r="E50" i="11" s="1"/>
  <c r="E47" i="11" a="1"/>
  <c r="E47" i="11" s="1"/>
  <c r="E55" i="11" a="1"/>
  <c r="E55" i="11" s="1"/>
  <c r="E21" i="11" a="1"/>
  <c r="E21" i="11" s="1"/>
  <c r="E49" i="11" a="1"/>
  <c r="E49" i="11" s="1"/>
  <c r="E41" i="11" a="1"/>
  <c r="E41" i="11" s="1"/>
  <c r="E36" i="11" a="1"/>
  <c r="E36" i="11" s="1"/>
  <c r="E33" i="11" a="1"/>
  <c r="E33" i="11" s="1"/>
  <c r="E27" i="11" a="1"/>
  <c r="E27" i="11" s="1"/>
  <c r="E23" i="11" a="1"/>
  <c r="E23" i="11" s="1"/>
  <c r="E43" i="11" a="1"/>
  <c r="E43" i="11" s="1"/>
  <c r="E48" i="11" a="1"/>
  <c r="E48" i="11" s="1"/>
  <c r="E37" i="11" a="1"/>
  <c r="E37" i="11" s="1"/>
  <c r="E31" i="11" a="1"/>
  <c r="E31" i="11" s="1"/>
  <c r="E29" i="11" a="1"/>
  <c r="E29" i="11" s="1"/>
  <c r="E45" i="11" a="1"/>
  <c r="E45" i="11" s="1"/>
  <c r="E46" i="11" a="1"/>
  <c r="E46" i="11" s="1"/>
  <c r="E38" i="11" a="1"/>
  <c r="E38" i="11" s="1"/>
  <c r="E42" i="11" a="1"/>
  <c r="E42" i="11" s="1"/>
  <c r="E22" i="11" a="1"/>
  <c r="E22" i="11" s="1"/>
  <c r="E30" i="11" a="1"/>
  <c r="E30" i="11" s="1"/>
  <c r="E54" i="11" a="1"/>
  <c r="E54" i="11" s="1"/>
  <c r="E24" i="11" a="1"/>
  <c r="E24" i="11" s="1"/>
  <c r="E51" i="11" a="1"/>
  <c r="E51" i="11" s="1"/>
  <c r="E35" i="11" a="1"/>
  <c r="E35" i="11" s="1"/>
  <c r="E52" i="11" a="1"/>
  <c r="E52" i="11" s="1"/>
  <c r="E34" i="11" a="1"/>
  <c r="E34" i="11" s="1"/>
  <c r="E40" i="11" a="1"/>
  <c r="E40" i="11" s="1"/>
  <c r="E44" i="11" a="1"/>
  <c r="E44" i="11" s="1"/>
  <c r="D4" i="20"/>
  <c r="D4" i="11"/>
  <c r="W111" i="6" l="1" a="1"/>
  <c r="W111" i="6" s="1"/>
  <c r="V95" i="6" a="1"/>
  <c r="V95" i="6" s="1"/>
  <c r="V110" i="6" s="1" a="1"/>
  <c r="V110" i="6" s="1"/>
  <c r="V125" i="6" s="1" a="1"/>
  <c r="V125" i="6" s="1"/>
  <c r="V96" i="6" a="1"/>
  <c r="V96" i="6" s="1"/>
  <c r="O111" i="6" a="1"/>
  <c r="O111" i="6" s="1"/>
  <c r="O126" i="6" s="1" a="1"/>
  <c r="O126" i="6" s="1"/>
  <c r="U96" i="6" a="1"/>
  <c r="U96" i="6" s="1"/>
  <c r="U111" i="6" s="1" a="1"/>
  <c r="U111" i="6" s="1"/>
  <c r="Q141" i="6" a="1"/>
  <c r="Q141" i="6" s="1"/>
  <c r="Q156" i="6" s="1" a="1"/>
  <c r="Q156" i="6" s="1"/>
  <c r="D13" i="20" a="1"/>
  <c r="D13" i="20" s="1"/>
  <c r="D16" i="20" a="1"/>
  <c r="D16" i="20" s="1"/>
  <c r="D15" i="20" a="1"/>
  <c r="D15" i="20" s="1"/>
  <c r="D18" i="20" a="1"/>
  <c r="D18" i="20" s="1"/>
  <c r="D11" i="20" a="1"/>
  <c r="D11" i="20" s="1"/>
  <c r="D14" i="20" a="1"/>
  <c r="D14" i="20" s="1"/>
  <c r="D17" i="20" a="1"/>
  <c r="D17" i="20" s="1"/>
  <c r="D9" i="20" a="1"/>
  <c r="D9" i="20" s="1"/>
  <c r="D20" i="20" a="1"/>
  <c r="D20" i="20" s="1"/>
  <c r="D19" i="20" a="1"/>
  <c r="D19" i="20" s="1"/>
  <c r="D12" i="20" a="1"/>
  <c r="D12" i="20" s="1"/>
  <c r="D10" i="20" a="1"/>
  <c r="D10" i="20" s="1"/>
  <c r="D51" i="11" a="1"/>
  <c r="D51" i="11" s="1"/>
  <c r="D49" i="11" a="1"/>
  <c r="D49" i="11" s="1"/>
  <c r="D47" i="11" a="1"/>
  <c r="D47" i="11" s="1"/>
  <c r="D50" i="11" a="1"/>
  <c r="D50" i="11" s="1"/>
  <c r="D45" i="11" a="1"/>
  <c r="D45" i="11" s="1"/>
  <c r="D30" i="11" a="1"/>
  <c r="D30" i="11" s="1"/>
  <c r="D44" i="11" a="1"/>
  <c r="D44" i="11" s="1"/>
  <c r="D43" i="11" a="1"/>
  <c r="D43" i="11" s="1"/>
  <c r="D34" i="11" a="1"/>
  <c r="D34" i="11" s="1"/>
  <c r="D37" i="11" a="1"/>
  <c r="D37" i="11" s="1"/>
  <c r="D21" i="11" a="1"/>
  <c r="D21" i="11" s="1"/>
  <c r="D55" i="11" a="1"/>
  <c r="D55" i="11" s="1"/>
  <c r="D52" i="11" a="1"/>
  <c r="D52" i="11" s="1"/>
  <c r="D53" i="11" a="1"/>
  <c r="D53" i="11" s="1"/>
  <c r="D27" i="11" a="1"/>
  <c r="D27" i="11" s="1"/>
  <c r="D33" i="11" a="1"/>
  <c r="D33" i="11" s="1"/>
  <c r="D24" i="11" a="1"/>
  <c r="D24" i="11" s="1"/>
  <c r="D23" i="11" a="1"/>
  <c r="D23" i="11" s="1"/>
  <c r="D32" i="11" a="1"/>
  <c r="D32" i="11" s="1"/>
  <c r="D40" i="11" a="1"/>
  <c r="D40" i="11" s="1"/>
  <c r="D41" i="11" a="1"/>
  <c r="D41" i="11" s="1"/>
  <c r="D38" i="11" a="1"/>
  <c r="D38" i="11" s="1"/>
  <c r="D31" i="11" a="1"/>
  <c r="D31" i="11" s="1"/>
  <c r="D48" i="11" a="1"/>
  <c r="D48" i="11" s="1"/>
  <c r="D39" i="11" a="1"/>
  <c r="D39" i="11" s="1"/>
  <c r="D35" i="11" a="1"/>
  <c r="D35" i="11" s="1"/>
  <c r="D25" i="11" a="1"/>
  <c r="D25" i="11" s="1"/>
  <c r="D22" i="11" a="1"/>
  <c r="D22" i="11" s="1"/>
  <c r="D46" i="11" a="1"/>
  <c r="D46" i="11" s="1"/>
  <c r="D26" i="11" a="1"/>
  <c r="D26" i="11" s="1"/>
  <c r="D29" i="11" a="1"/>
  <c r="D29" i="11" s="1"/>
  <c r="D36" i="11" a="1"/>
  <c r="D36" i="11" s="1"/>
  <c r="D54" i="11" a="1"/>
  <c r="D54" i="11" s="1"/>
  <c r="D28" i="11" a="1"/>
  <c r="D28" i="11" s="1"/>
  <c r="D42" i="11" a="1"/>
  <c r="D42" i="11" s="1"/>
  <c r="C4" i="11"/>
  <c r="W126" i="6" l="1" a="1"/>
  <c r="W126" i="6" s="1"/>
  <c r="W141" i="6" s="1" a="1"/>
  <c r="W141" i="6" s="1"/>
  <c r="O141" i="6" a="1"/>
  <c r="O141" i="6" s="1"/>
  <c r="Q171" i="6" a="1"/>
  <c r="Q171" i="6" s="1"/>
  <c r="Q186" i="6" s="1" a="1"/>
  <c r="Q186" i="6" s="1"/>
  <c r="C54" i="11" a="1"/>
  <c r="C54" i="11" s="1"/>
  <c r="C29" i="11" a="1"/>
  <c r="C29" i="11" s="1"/>
  <c r="C52" i="11" a="1"/>
  <c r="C52" i="11" s="1"/>
  <c r="C27" i="11" a="1"/>
  <c r="C27" i="11" s="1"/>
  <c r="C21" i="11" a="1"/>
  <c r="C21" i="11" s="1"/>
  <c r="C35" i="11" a="1"/>
  <c r="C35" i="11" s="1"/>
  <c r="C39" i="11" a="1"/>
  <c r="C39" i="11" s="1"/>
  <c r="C53" i="11" a="1"/>
  <c r="C53" i="11" s="1"/>
  <c r="C31" i="11" a="1"/>
  <c r="C31" i="11" s="1"/>
  <c r="C46" i="11" a="1"/>
  <c r="C46" i="11" s="1"/>
  <c r="C40" i="11" a="1"/>
  <c r="C40" i="11" s="1"/>
  <c r="C23" i="11" a="1"/>
  <c r="C23" i="11" s="1"/>
  <c r="C38" i="11" a="1"/>
  <c r="C38" i="11" s="1"/>
  <c r="C45" i="11" a="1"/>
  <c r="C45" i="11" s="1"/>
  <c r="C42" i="11" a="1"/>
  <c r="C42" i="11" s="1"/>
  <c r="C36" i="11" a="1"/>
  <c r="C36" i="11" s="1"/>
  <c r="C48" i="11" a="1"/>
  <c r="C48" i="11" s="1"/>
  <c r="C34" i="11" a="1"/>
  <c r="C34" i="11" s="1"/>
  <c r="C33" i="11" a="1"/>
  <c r="C33" i="11" s="1"/>
  <c r="C30" i="11" a="1"/>
  <c r="C30" i="11" s="1"/>
  <c r="C47" i="11" a="1"/>
  <c r="C47" i="11" s="1"/>
  <c r="C43" i="11" a="1"/>
  <c r="C43" i="11" s="1"/>
  <c r="C55" i="11" a="1"/>
  <c r="C55" i="11" s="1"/>
  <c r="C28" i="11" a="1"/>
  <c r="C28" i="11" s="1"/>
  <c r="C22" i="11" a="1"/>
  <c r="C22" i="11" s="1"/>
  <c r="C24" i="11" a="1"/>
  <c r="C24" i="11" s="1"/>
  <c r="C50" i="11" a="1"/>
  <c r="C50" i="11" s="1"/>
  <c r="C51" i="11" a="1"/>
  <c r="C51" i="11" s="1"/>
  <c r="C41" i="11" a="1"/>
  <c r="C41" i="11" s="1"/>
  <c r="C25" i="11" a="1"/>
  <c r="C25" i="11" s="1"/>
  <c r="C37" i="11" a="1"/>
  <c r="C37" i="11" s="1"/>
  <c r="C26" i="11" a="1"/>
  <c r="C26" i="11" s="1"/>
  <c r="C49" i="11" a="1"/>
  <c r="C49" i="11" s="1"/>
  <c r="C44" i="11" a="1"/>
  <c r="C44" i="11" s="1"/>
  <c r="C32" i="11" a="1"/>
  <c r="C32" i="11" s="1"/>
  <c r="E21" i="1"/>
  <c r="E22" i="1" s="1"/>
  <c r="F22" i="1" s="1"/>
  <c r="A21" i="1"/>
  <c r="A17" i="9"/>
  <c r="C17" i="9" l="1" a="1"/>
  <c r="C17" i="9" s="1"/>
  <c r="B17" i="9" a="1"/>
  <c r="B17" i="9" s="1"/>
  <c r="D17" i="9" a="1"/>
  <c r="D17" i="9" s="1"/>
  <c r="E17" i="9" a="1"/>
  <c r="E17" i="9" s="1"/>
  <c r="F21" i="1"/>
  <c r="A16" i="9"/>
  <c r="E23" i="1"/>
  <c r="D16" i="9" l="1" a="1"/>
  <c r="D16" i="9" s="1"/>
  <c r="C16" i="9" a="1"/>
  <c r="C16" i="9" s="1"/>
  <c r="E16" i="9" a="1"/>
  <c r="E16" i="9" s="1"/>
  <c r="B16" i="9" a="1"/>
  <c r="B16" i="9" s="1"/>
  <c r="F23" i="1"/>
  <c r="E24" i="1"/>
  <c r="A15" i="9"/>
  <c r="D15" i="9" l="1" a="1"/>
  <c r="D15" i="9" s="1"/>
  <c r="B15" i="9" a="1"/>
  <c r="B15" i="9" s="1"/>
  <c r="C15" i="9" a="1"/>
  <c r="C15" i="9" s="1"/>
  <c r="E15" i="9" a="1"/>
  <c r="E15" i="9" s="1"/>
  <c r="A14" i="9"/>
  <c r="E25" i="1"/>
  <c r="F24" i="1"/>
  <c r="D14" i="9" l="1" a="1"/>
  <c r="D14" i="9" s="1"/>
  <c r="B14" i="9" a="1"/>
  <c r="B14" i="9" s="1"/>
  <c r="C14" i="9" a="1"/>
  <c r="C14" i="9" s="1"/>
  <c r="E14" i="9" a="1"/>
  <c r="E14" i="9" s="1"/>
  <c r="F25" i="1"/>
  <c r="E26" i="1"/>
  <c r="F26" i="1" s="1"/>
  <c r="A13" i="9"/>
  <c r="B13" i="9" l="1" a="1"/>
  <c r="B13" i="9" s="1"/>
  <c r="E13" i="9" a="1"/>
  <c r="E13" i="9" s="1"/>
  <c r="C13" i="9" a="1"/>
  <c r="C13" i="9" s="1"/>
  <c r="D13" i="9" a="1"/>
  <c r="D13" i="9" s="1"/>
  <c r="A12" i="9"/>
  <c r="D12" i="9" l="1" a="1"/>
  <c r="D12" i="9" s="1"/>
  <c r="C12" i="9" a="1"/>
  <c r="C12" i="9" s="1"/>
  <c r="B12" i="9" a="1"/>
  <c r="B12" i="9" s="1"/>
  <c r="E12" i="9" a="1"/>
  <c r="E12" i="9" s="1"/>
  <c r="A11" i="9"/>
  <c r="E11" i="9" l="1" a="1"/>
  <c r="E11" i="9" s="1"/>
  <c r="B11" i="9" a="1"/>
  <c r="B11" i="9" s="1"/>
  <c r="C11" i="9" a="1"/>
  <c r="C11" i="9" s="1"/>
  <c r="D11" i="9" a="1"/>
  <c r="D11" i="9" s="1"/>
  <c r="A10" i="9"/>
  <c r="D10" i="9" l="1" a="1"/>
  <c r="D10" i="9" s="1"/>
  <c r="E10" i="9" a="1"/>
  <c r="E10" i="9" s="1"/>
  <c r="C10" i="9" a="1"/>
  <c r="C10" i="9" s="1"/>
  <c r="B10" i="9" a="1"/>
  <c r="B10" i="9" s="1"/>
  <c r="A9" i="9"/>
  <c r="K9" i="9" l="1" a="1"/>
  <c r="K9" i="9" s="1"/>
  <c r="C9" i="9" a="1"/>
  <c r="C9" i="9" s="1"/>
  <c r="B9" i="9" a="1"/>
  <c r="B9" i="9" s="1"/>
  <c r="D9" i="9" a="1"/>
  <c r="D9" i="9" s="1"/>
  <c r="E9" i="9" a="1"/>
  <c r="E9" i="9" s="1"/>
  <c r="A8" i="9"/>
  <c r="Q8" i="9" l="1" a="1"/>
  <c r="Q8" i="9" s="1"/>
  <c r="L8" i="9" a="1"/>
  <c r="L8" i="9" s="1"/>
  <c r="J8" i="9" a="1"/>
  <c r="J8" i="9" s="1"/>
  <c r="K8" i="9" a="1"/>
  <c r="K8" i="9" s="1"/>
  <c r="C8" i="9" a="1"/>
  <c r="C8" i="9" s="1"/>
  <c r="B8" i="9" a="1"/>
  <c r="B8" i="9" s="1"/>
  <c r="D8" i="9" a="1"/>
  <c r="D8" i="9" s="1"/>
  <c r="E8" i="9" a="1"/>
  <c r="E8" i="9" s="1"/>
  <c r="A7" i="9"/>
  <c r="R7" i="9" l="1" a="1"/>
  <c r="R7" i="9" s="1"/>
  <c r="Q7" i="9" a="1"/>
  <c r="Q7" i="9" s="1"/>
  <c r="P7" i="9" a="1"/>
  <c r="P7" i="9" s="1"/>
  <c r="J7" i="9" a="1"/>
  <c r="J7" i="9" s="1"/>
  <c r="L7" i="9" a="1"/>
  <c r="L7" i="9" s="1"/>
  <c r="K7" i="9" a="1"/>
  <c r="K7" i="9" s="1"/>
  <c r="I7" i="9" a="1"/>
  <c r="I7" i="9" s="1"/>
  <c r="D7" i="9" a="1"/>
  <c r="D7" i="9" s="1"/>
  <c r="E7" i="9" a="1"/>
  <c r="E7" i="9" s="1"/>
  <c r="B7" i="9" a="1"/>
  <c r="B7" i="9" s="1"/>
  <c r="C7" i="9" a="1"/>
  <c r="C7" i="9" s="1"/>
  <c r="A6" i="9"/>
  <c r="B6" i="9" s="1" a="1"/>
  <c r="B6" i="9" s="1"/>
  <c r="F3" i="9" l="1" a="1"/>
  <c r="F3" i="9" s="1"/>
  <c r="E6" i="9" a="1"/>
  <c r="E6" i="9" s="1"/>
  <c r="E3" i="9" s="1" a="1"/>
  <c r="E3" i="9" s="1"/>
  <c r="K6" i="9" a="1"/>
  <c r="K6" i="9" s="1"/>
  <c r="I6" i="9" a="1"/>
  <c r="I6" i="9" s="1"/>
  <c r="R6" i="9" a="1"/>
  <c r="R6" i="9" s="1"/>
  <c r="P6" i="9" a="1"/>
  <c r="P6" i="9" s="1"/>
  <c r="Q6" i="9" a="1"/>
  <c r="Q6" i="9" s="1"/>
  <c r="J6" i="9" a="1"/>
  <c r="J6" i="9" s="1"/>
  <c r="L6" i="9" a="1"/>
  <c r="L6" i="9" s="1"/>
  <c r="B3" i="9" a="1"/>
  <c r="B3" i="9" s="1"/>
  <c r="D6" i="9" a="1"/>
  <c r="D6" i="9" s="1"/>
  <c r="D3" i="9" s="1" a="1"/>
  <c r="D3" i="9" s="1"/>
  <c r="C6" i="9" a="1"/>
  <c r="C6" i="9" s="1"/>
  <c r="C3" i="9" s="1" a="1"/>
  <c r="C3" i="9" s="1"/>
  <c r="A25" i="8" a="1"/>
  <c r="A25" i="8" s="1"/>
  <c r="E25" i="8" l="1"/>
  <c r="B25" i="8"/>
  <c r="X6" i="9" l="1"/>
  <c r="X10" i="9" l="1"/>
  <c r="X11" i="9" l="1"/>
  <c r="X13" i="9" l="1"/>
  <c r="X17" i="9" l="1"/>
  <c r="X16" i="9" l="1"/>
  <c r="X14" i="9"/>
  <c r="X15" i="9"/>
  <c r="X12" i="9"/>
  <c r="X9" i="9"/>
  <c r="X8" i="9"/>
  <c r="X7" i="9"/>
  <c r="AF7" i="6" l="1"/>
  <c r="AF8" i="6" l="1"/>
  <c r="AF9" i="6" l="1"/>
  <c r="AF10" i="6" l="1"/>
  <c r="AF11" i="6" l="1"/>
  <c r="AF12" i="6" l="1"/>
  <c r="AF13" i="6" l="1"/>
  <c r="AF14" i="6" l="1"/>
  <c r="AF17" i="6" l="1"/>
  <c r="AF18" i="6" l="1"/>
  <c r="AF19" i="6" l="1"/>
  <c r="AF20" i="6" l="1"/>
  <c r="AF21" i="6" l="1"/>
  <c r="AF22" i="6" l="1"/>
  <c r="AF23" i="6" l="1"/>
  <c r="AF24" i="6" l="1"/>
  <c r="AF25" i="6" l="1"/>
  <c r="AF26" i="6" l="1"/>
  <c r="AF27" i="6" l="1"/>
  <c r="AF28" i="6" l="1"/>
  <c r="AF29" i="6" l="1"/>
  <c r="AF30" i="6" l="1"/>
  <c r="AF31" i="6" l="1"/>
  <c r="AF32" i="6" l="1"/>
  <c r="AF33" i="6" l="1"/>
  <c r="AF34" i="6" l="1"/>
  <c r="AF35" i="6" l="1"/>
  <c r="AF36" i="6" l="1"/>
  <c r="AF37" i="6" l="1"/>
  <c r="AF38" i="6" l="1"/>
  <c r="AF39" i="6" l="1"/>
  <c r="AF40" i="6" l="1"/>
  <c r="AF41" i="6" l="1"/>
  <c r="AF42" i="6" l="1"/>
  <c r="AF43" i="6" l="1"/>
  <c r="AF44" i="6" l="1"/>
  <c r="AF45" i="6" l="1"/>
  <c r="AF46" i="6" l="1"/>
  <c r="AF47" i="6" l="1"/>
  <c r="AF48" i="6" l="1"/>
  <c r="AF49" i="6" l="1"/>
  <c r="AF50" i="6" l="1"/>
  <c r="AF51" i="6" l="1"/>
  <c r="AF52" i="6" l="1"/>
  <c r="AF53" i="6" l="1"/>
  <c r="AF54" i="6" l="1"/>
  <c r="AF55" i="6" l="1"/>
  <c r="AF56" i="6"/>
  <c r="AF58" i="6" l="1"/>
  <c r="AF59" i="6" l="1"/>
  <c r="AF57" i="6"/>
  <c r="AF60" i="6" l="1"/>
  <c r="AF61" i="6" l="1"/>
  <c r="AF62" i="6"/>
  <c r="AF63" i="6" l="1"/>
  <c r="AF64" i="6" l="1"/>
  <c r="AF65" i="6" l="1"/>
  <c r="AF66" i="6" l="1"/>
  <c r="AF67" i="6" l="1"/>
  <c r="AF68" i="6" l="1"/>
  <c r="AF69" i="6" l="1"/>
  <c r="AF70" i="6" l="1"/>
  <c r="AF71" i="6" l="1"/>
  <c r="AF72" i="6" l="1"/>
  <c r="AF73" i="6" l="1"/>
  <c r="AF74" i="6" l="1"/>
  <c r="AF75" i="6" l="1"/>
  <c r="AF76" i="6" l="1"/>
  <c r="AF77" i="6" l="1"/>
  <c r="AF78" i="6" l="1"/>
  <c r="AF79" i="6" l="1"/>
  <c r="AF80" i="6" l="1"/>
  <c r="AF81" i="6" l="1"/>
  <c r="AF82" i="6" l="1"/>
  <c r="AF83" i="6" l="1"/>
  <c r="AF84" i="6" l="1"/>
  <c r="AF85" i="6" l="1"/>
  <c r="AF86" i="6" l="1"/>
  <c r="AF87" i="6" l="1"/>
  <c r="AF88" i="6" l="1"/>
  <c r="AF89" i="6" l="1"/>
  <c r="AF90" i="6" l="1"/>
  <c r="AF91" i="6" l="1"/>
  <c r="AF92" i="6" l="1"/>
  <c r="AF93" i="6" l="1"/>
  <c r="AF94" i="6" l="1"/>
  <c r="AF95" i="6" l="1"/>
  <c r="AF96" i="6" l="1"/>
  <c r="AF97" i="6" l="1"/>
  <c r="AF98" i="6" l="1"/>
  <c r="AF99" i="6" l="1"/>
  <c r="AF100" i="6" l="1"/>
  <c r="AF101" i="6" l="1"/>
  <c r="AF102" i="6" l="1"/>
  <c r="AF103" i="6" l="1"/>
  <c r="AF104" i="6" l="1"/>
  <c r="AF105" i="6" l="1"/>
  <c r="AF106" i="6" l="1"/>
  <c r="AF107" i="6" l="1"/>
  <c r="AF108" i="6" l="1"/>
  <c r="AF109" i="6" l="1"/>
  <c r="AF110" i="6" l="1"/>
  <c r="AF111" i="6" l="1"/>
  <c r="AF112" i="6" l="1"/>
  <c r="AF113" i="6" l="1"/>
  <c r="AF114" i="6" l="1"/>
  <c r="AF115" i="6" l="1"/>
  <c r="AF116" i="6" l="1"/>
  <c r="AF117" i="6" l="1"/>
  <c r="AF118" i="6" l="1"/>
  <c r="AF119" i="6" l="1"/>
  <c r="AF120" i="6" l="1"/>
  <c r="AF121" i="6" l="1"/>
  <c r="AF122" i="6" l="1"/>
  <c r="AF123" i="6" l="1"/>
  <c r="AF124" i="6" l="1"/>
  <c r="AF125" i="6" l="1"/>
  <c r="AF126" i="6" l="1"/>
  <c r="AF127" i="6" l="1"/>
  <c r="AF128" i="6" l="1"/>
  <c r="AF129" i="6" l="1"/>
  <c r="AF130" i="6" l="1"/>
  <c r="AF131" i="6" l="1"/>
  <c r="AF132" i="6" l="1"/>
  <c r="AF133" i="6" l="1"/>
  <c r="AF134" i="6" l="1"/>
  <c r="AF135" i="6" l="1"/>
  <c r="AF136" i="6" l="1"/>
  <c r="AF137" i="6" l="1"/>
  <c r="AF138" i="6" l="1"/>
  <c r="AF139" i="6" l="1"/>
  <c r="AF140" i="6" l="1"/>
  <c r="AF141" i="6" l="1"/>
  <c r="AF142" i="6" l="1"/>
  <c r="AF143" i="6" l="1"/>
  <c r="AF144" i="6" l="1"/>
  <c r="AF145" i="6" l="1"/>
  <c r="AF146" i="6" l="1"/>
  <c r="AF147" i="6" l="1"/>
  <c r="AF148" i="6" l="1"/>
  <c r="AF149" i="6" l="1"/>
  <c r="AF150" i="6" l="1"/>
  <c r="AF151" i="6" l="1"/>
  <c r="AF152" i="6" l="1"/>
  <c r="AF153" i="6" l="1"/>
  <c r="AF154" i="6" l="1"/>
  <c r="AF155" i="6" l="1"/>
  <c r="AF156" i="6" l="1"/>
  <c r="AF157" i="6" l="1"/>
  <c r="AF158" i="6" l="1"/>
  <c r="AF159" i="6" l="1"/>
  <c r="AF161" i="6" l="1"/>
  <c r="AF160" i="6"/>
  <c r="AF162" i="6" l="1"/>
  <c r="AF163" i="6" l="1"/>
  <c r="AF164" i="6" l="1"/>
  <c r="AF165" i="6" l="1"/>
  <c r="AF166" i="6" l="1"/>
  <c r="AF167" i="6" l="1"/>
  <c r="C11" i="8"/>
  <c r="G4" i="8"/>
  <c r="B15" i="8" s="1"/>
  <c r="G43" i="8"/>
  <c r="G5" i="8"/>
  <c r="G6" i="8"/>
  <c r="C120" i="1" l="1" a="1"/>
  <c r="C120" i="1" s="1"/>
  <c r="C121" i="1" a="1"/>
  <c r="C121" i="1" s="1"/>
  <c r="C123" i="1" a="1"/>
  <c r="C123" i="1" s="1"/>
  <c r="C122" i="1" a="1"/>
  <c r="C122" i="1" s="1"/>
  <c r="C124" i="1" a="1"/>
  <c r="C124" i="1" s="1"/>
  <c r="G11" i="8"/>
  <c r="AF168" i="6"/>
  <c r="B41" i="8"/>
  <c r="G13" i="8"/>
  <c r="C9" i="8"/>
  <c r="G12" i="8"/>
  <c r="C10" i="8"/>
  <c r="C12" i="8"/>
  <c r="C13" i="8"/>
  <c r="AF169" i="6" l="1"/>
  <c r="AF170" i="6" l="1"/>
  <c r="AF171" i="6" l="1"/>
  <c r="AF172" i="6" l="1"/>
  <c r="AF173" i="6" l="1"/>
  <c r="AF174" i="6" l="1"/>
  <c r="AF175" i="6" l="1"/>
  <c r="AF176" i="6" l="1"/>
  <c r="AF177" i="6" l="1"/>
  <c r="AF178" i="6" l="1"/>
  <c r="AF179" i="6" l="1"/>
  <c r="AF180" i="6" l="1"/>
  <c r="AF181" i="6" l="1"/>
  <c r="AF182" i="6" l="1"/>
  <c r="AF183" i="6" l="1"/>
  <c r="AF184" i="6" l="1"/>
  <c r="AF185" i="6" l="1"/>
  <c r="AF186" i="6" l="1"/>
  <c r="AF239" i="6" l="1"/>
  <c r="AF240" i="6" l="1"/>
  <c r="AF241" i="6" l="1"/>
  <c r="AF242" i="6" l="1"/>
  <c r="AF243" i="6" l="1"/>
  <c r="A23" i="8" l="1" a="1"/>
  <c r="A23" i="8" s="1"/>
  <c r="A17" i="8" a="1"/>
  <c r="A17" i="8" s="1"/>
  <c r="F150" i="1"/>
  <c r="A20" i="8" a="1"/>
  <c r="A20" i="8" s="1"/>
  <c r="A18" i="8" a="1"/>
  <c r="A18" i="8" s="1"/>
  <c r="A21" i="8" a="1"/>
  <c r="A21" i="8" s="1"/>
  <c r="A19" i="8" a="1"/>
  <c r="A19" i="8" s="1"/>
  <c r="A24" i="8" a="1"/>
  <c r="A24" i="8" s="1"/>
  <c r="A22" i="8" a="1"/>
  <c r="A22" i="8" s="1"/>
  <c r="A26" i="8" a="1"/>
  <c r="A26" i="8" s="1"/>
  <c r="G10" i="9"/>
  <c r="G7" i="9"/>
  <c r="G17" i="9"/>
  <c r="G6" i="9"/>
  <c r="G8" i="9"/>
  <c r="G13" i="9"/>
  <c r="G12" i="9"/>
  <c r="G14" i="9"/>
  <c r="G11" i="9"/>
  <c r="G9" i="9"/>
  <c r="G16" i="9"/>
  <c r="G15" i="9"/>
  <c r="G3" i="9" l="1" a="1"/>
  <c r="G3" i="9" s="1"/>
  <c r="D24" i="8" a="1"/>
  <c r="D24" i="8" s="1"/>
  <c r="G24" i="8" a="1"/>
  <c r="G24" i="8" s="1"/>
  <c r="G19" i="8" a="1"/>
  <c r="G19" i="8" s="1"/>
  <c r="D19" i="8" a="1"/>
  <c r="D19" i="8" s="1"/>
  <c r="G21" i="8" a="1"/>
  <c r="G21" i="8" s="1"/>
  <c r="D21" i="8" a="1"/>
  <c r="D21" i="8" s="1"/>
  <c r="D18" i="8" a="1"/>
  <c r="D18" i="8" s="1"/>
  <c r="G18" i="8" a="1"/>
  <c r="G18" i="8" s="1"/>
  <c r="D26" i="8" a="1"/>
  <c r="D26" i="8" s="1"/>
  <c r="G26" i="8" a="1"/>
  <c r="G26" i="8" s="1"/>
  <c r="D20" i="8" a="1"/>
  <c r="D20" i="8" s="1"/>
  <c r="G20" i="8" a="1"/>
  <c r="G20" i="8" s="1"/>
  <c r="G17" i="8" a="1"/>
  <c r="G17" i="8" s="1"/>
  <c r="D17" i="8" a="1"/>
  <c r="D17" i="8" s="1"/>
  <c r="D22" i="8" a="1"/>
  <c r="D22" i="8" s="1"/>
  <c r="G22" i="8" a="1"/>
  <c r="G22" i="8" s="1"/>
  <c r="G23" i="8" a="1"/>
  <c r="G23" i="8" s="1"/>
  <c r="D23" i="8" a="1"/>
  <c r="D23" i="8" s="1"/>
  <c r="B26" i="8"/>
  <c r="E26" i="8"/>
  <c r="B21" i="8"/>
  <c r="E21" i="8"/>
  <c r="E17" i="8"/>
  <c r="B17" i="8"/>
  <c r="B22" i="8"/>
  <c r="E22" i="8"/>
  <c r="B18" i="8"/>
  <c r="E18" i="8"/>
  <c r="E23" i="8"/>
  <c r="B23" i="8"/>
  <c r="E24" i="8"/>
  <c r="B24" i="8"/>
  <c r="B20" i="8"/>
  <c r="E20" i="8"/>
  <c r="E19" i="8"/>
  <c r="B19" i="8"/>
  <c r="G27" i="8" l="1"/>
  <c r="D27" i="8"/>
  <c r="E150" i="1"/>
  <c r="G150" i="1" s="1"/>
  <c r="W6" i="9" l="1"/>
  <c r="W7" i="9" l="1"/>
  <c r="W8" i="9" l="1"/>
  <c r="W9" i="9"/>
  <c r="W11" i="9" l="1"/>
  <c r="W16" i="9" l="1"/>
  <c r="AX192" i="6" l="1"/>
  <c r="BA192" i="6" s="1"/>
  <c r="AR189" i="6"/>
  <c r="AX189" i="6"/>
  <c r="BA189" i="6" s="1"/>
  <c r="AR190" i="6"/>
  <c r="AX190" i="6"/>
  <c r="BA190" i="6" s="1"/>
  <c r="AR191" i="6"/>
  <c r="AX191" i="6"/>
  <c r="BA191" i="6" s="1"/>
  <c r="AX193" i="6"/>
  <c r="BA193" i="6" s="1"/>
  <c r="AR192" i="6"/>
  <c r="AX236" i="6"/>
  <c r="BA236" i="6" s="1"/>
  <c r="AR193" i="6"/>
  <c r="AR236" i="6"/>
  <c r="AY189" i="6" l="1"/>
  <c r="AZ189" i="6"/>
  <c r="BB189" i="6" s="1"/>
  <c r="M189" i="6" s="1" a="1"/>
  <c r="M189" i="6" s="1"/>
  <c r="AY190" i="6"/>
  <c r="AZ190" i="6"/>
  <c r="BB190" i="6" s="1"/>
  <c r="M190" i="6" s="1" a="1"/>
  <c r="M190" i="6" s="1"/>
  <c r="AY191" i="6"/>
  <c r="AZ191" i="6"/>
  <c r="BB191" i="6" s="1"/>
  <c r="M191" i="6" s="1" a="1"/>
  <c r="M191" i="6" s="1"/>
  <c r="AY192" i="6"/>
  <c r="AZ192" i="6"/>
  <c r="BB192" i="6" s="1"/>
  <c r="M192" i="6" s="1" a="1"/>
  <c r="M192" i="6" s="1"/>
  <c r="AY193" i="6"/>
  <c r="AZ193" i="6"/>
  <c r="BB193" i="6" s="1"/>
  <c r="M193" i="6" s="1" a="1"/>
  <c r="M193" i="6" s="1"/>
  <c r="AZ236" i="6"/>
  <c r="BB236" i="6" s="1"/>
  <c r="M236" i="6" s="1" a="1"/>
  <c r="M236" i="6" s="1"/>
  <c r="AY236" i="6"/>
  <c r="R236" i="6" l="1"/>
  <c r="S236" i="6" s="1"/>
  <c r="X189" i="6" l="1"/>
  <c r="X190" i="6"/>
  <c r="X191" i="6"/>
  <c r="X192" i="6"/>
  <c r="X193" i="6"/>
  <c r="Y189" i="6" l="1"/>
  <c r="Y190" i="6"/>
  <c r="Y191" i="6"/>
  <c r="Y192" i="6"/>
  <c r="Y193" i="6"/>
  <c r="X236" i="6" l="1"/>
  <c r="Y236" i="6" l="1"/>
  <c r="Z236" i="6"/>
  <c r="W17" i="9" l="1"/>
  <c r="W10" i="9" l="1"/>
  <c r="AX187" i="6" l="1"/>
  <c r="BA187" i="6" s="1"/>
  <c r="AR187" i="6"/>
  <c r="AX188" i="6"/>
  <c r="BA188" i="6" s="1"/>
  <c r="AR188" i="6"/>
  <c r="R189" i="6"/>
  <c r="S189" i="6" s="1"/>
  <c r="R190" i="6"/>
  <c r="Z190" i="6" s="1"/>
  <c r="R191" i="6"/>
  <c r="Z191" i="6" s="1"/>
  <c r="R192" i="6"/>
  <c r="S192" i="6" s="1"/>
  <c r="R193" i="6"/>
  <c r="S193" i="6" s="1"/>
  <c r="AX194" i="6"/>
  <c r="AR194" i="6"/>
  <c r="AZ194" i="6" s="1"/>
  <c r="AX235" i="6"/>
  <c r="AR235" i="6"/>
  <c r="AZ235" i="6" s="1"/>
  <c r="AX237" i="6"/>
  <c r="AR237" i="6"/>
  <c r="AZ237" i="6" s="1"/>
  <c r="AX238" i="6"/>
  <c r="AR238" i="6"/>
  <c r="AZ238" i="6" s="1"/>
  <c r="AX239" i="6"/>
  <c r="AR239" i="6"/>
  <c r="AZ239" i="6" s="1"/>
  <c r="AX240" i="6"/>
  <c r="AR240" i="6"/>
  <c r="AZ240" i="6" s="1"/>
  <c r="AX241" i="6"/>
  <c r="AR241" i="6"/>
  <c r="AZ241" i="6" s="1"/>
  <c r="AX242" i="6"/>
  <c r="AR242" i="6"/>
  <c r="AZ242" i="6" s="1"/>
  <c r="AX243" i="6"/>
  <c r="AR243" i="6"/>
  <c r="AZ243" i="6" s="1"/>
  <c r="W13" i="9"/>
  <c r="W14" i="9"/>
  <c r="W15" i="9"/>
  <c r="X242" i="6" l="1"/>
  <c r="Y242" i="6" s="1"/>
  <c r="X238" i="6"/>
  <c r="Y238" i="6" s="1"/>
  <c r="X188" i="6"/>
  <c r="Y188" i="6" s="1"/>
  <c r="X240" i="6"/>
  <c r="Y240" i="6" s="1"/>
  <c r="X235" i="6"/>
  <c r="Y235" i="6" s="1"/>
  <c r="X237" i="6"/>
  <c r="Y237" i="6" s="1"/>
  <c r="BA240" i="6"/>
  <c r="AY240" i="6"/>
  <c r="Z189" i="6"/>
  <c r="Z192" i="6"/>
  <c r="BA242" i="6"/>
  <c r="AY242" i="6"/>
  <c r="BA238" i="6"/>
  <c r="AY238" i="6"/>
  <c r="BA235" i="6"/>
  <c r="AY235" i="6"/>
  <c r="AZ188" i="6"/>
  <c r="BB188" i="6" s="1"/>
  <c r="M188" i="6" s="1" a="1"/>
  <c r="M188" i="6" s="1"/>
  <c r="AY188" i="6"/>
  <c r="X243" i="6"/>
  <c r="Y243" i="6" s="1"/>
  <c r="X194" i="6"/>
  <c r="Y194" i="6" s="1"/>
  <c r="X239" i="6"/>
  <c r="Y239" i="6" s="1"/>
  <c r="X241" i="6"/>
  <c r="Y241" i="6" s="1"/>
  <c r="X187" i="6"/>
  <c r="Y187" i="6" s="1"/>
  <c r="BA243" i="6"/>
  <c r="AY243" i="6"/>
  <c r="BA194" i="6"/>
  <c r="AY194" i="6"/>
  <c r="BA237" i="6"/>
  <c r="AY237" i="6"/>
  <c r="BA241" i="6"/>
  <c r="AY241" i="6"/>
  <c r="AZ187" i="6"/>
  <c r="BB187" i="6" s="1"/>
  <c r="M187" i="6" s="1" a="1"/>
  <c r="M187" i="6" s="1"/>
  <c r="AY187" i="6"/>
  <c r="BA239" i="6"/>
  <c r="AY239" i="6"/>
  <c r="S191" i="6"/>
  <c r="S190" i="6"/>
  <c r="Z193" i="6"/>
  <c r="O15" i="20" l="1" a="1"/>
  <c r="O15" i="20" s="1"/>
  <c r="O11" i="20" a="1"/>
  <c r="O11" i="20" s="1"/>
  <c r="O18" i="20" a="1"/>
  <c r="O18" i="20" s="1"/>
  <c r="O9" i="20" a="1"/>
  <c r="O9" i="20" s="1"/>
  <c r="O13" i="20" a="1"/>
  <c r="O13" i="20" s="1"/>
  <c r="O16" i="20" a="1"/>
  <c r="O16" i="20" s="1"/>
  <c r="O19" i="20" a="1"/>
  <c r="O19" i="20" s="1"/>
  <c r="O14" i="20" a="1"/>
  <c r="O14" i="20" s="1"/>
  <c r="O17" i="20" a="1"/>
  <c r="O17" i="20" s="1"/>
  <c r="O20" i="20" a="1"/>
  <c r="O20" i="20" s="1"/>
  <c r="O10" i="20" a="1"/>
  <c r="O10" i="20" s="1"/>
  <c r="O12" i="20" a="1"/>
  <c r="O12" i="20" s="1"/>
  <c r="BB240" i="6"/>
  <c r="M240" i="6" s="1" a="1"/>
  <c r="M240" i="6" s="1"/>
  <c r="BB238" i="6"/>
  <c r="M238" i="6" s="1" a="1"/>
  <c r="M238" i="6" s="1"/>
  <c r="R187" i="6"/>
  <c r="S187" i="6" s="1"/>
  <c r="BB237" i="6"/>
  <c r="M237" i="6" s="1" a="1"/>
  <c r="M237" i="6" s="1"/>
  <c r="BB235" i="6"/>
  <c r="M235" i="6" s="1" a="1"/>
  <c r="M235" i="6" s="1"/>
  <c r="BB242" i="6"/>
  <c r="M242" i="6" s="1" a="1"/>
  <c r="M242" i="6" s="1"/>
  <c r="BB243" i="6"/>
  <c r="M243" i="6" s="1" a="1"/>
  <c r="M243" i="6" s="1"/>
  <c r="BB241" i="6"/>
  <c r="M241" i="6" s="1" a="1"/>
  <c r="M241" i="6" s="1"/>
  <c r="BB194" i="6"/>
  <c r="M194" i="6" s="1" a="1"/>
  <c r="M194" i="6" s="1"/>
  <c r="BB239" i="6"/>
  <c r="M239" i="6" s="1" a="1"/>
  <c r="M239" i="6" s="1"/>
  <c r="R188" i="6"/>
  <c r="S188" i="6" s="1"/>
  <c r="W12" i="9"/>
  <c r="R237" i="6" l="1"/>
  <c r="R241" i="6"/>
  <c r="Z187" i="6"/>
  <c r="Z188" i="6"/>
  <c r="R194" i="6"/>
  <c r="R235" i="6"/>
  <c r="R243" i="6"/>
  <c r="R239" i="6"/>
  <c r="R242" i="6"/>
  <c r="R238" i="6"/>
  <c r="R240" i="6"/>
  <c r="S237" i="6" l="1"/>
  <c r="Z237" i="6"/>
  <c r="S241" i="6"/>
  <c r="Z241" i="6"/>
  <c r="S242" i="6"/>
  <c r="Z242" i="6"/>
  <c r="Z239" i="6"/>
  <c r="S239" i="6"/>
  <c r="Z235" i="6"/>
  <c r="S235" i="6"/>
  <c r="S240" i="6"/>
  <c r="Z240" i="6"/>
  <c r="Z194" i="6"/>
  <c r="S194" i="6"/>
  <c r="Z243" i="6"/>
  <c r="S243" i="6"/>
  <c r="Z238" i="6"/>
  <c r="S238" i="6"/>
  <c r="AX118" i="6"/>
  <c r="BA118" i="6" s="1"/>
  <c r="AR161" i="6"/>
  <c r="AR178" i="6"/>
  <c r="AR118" i="6"/>
  <c r="AR88" i="6"/>
  <c r="AX58" i="6"/>
  <c r="BA58" i="6" s="1"/>
  <c r="AR58" i="6"/>
  <c r="AR163" i="6"/>
  <c r="AX103" i="6"/>
  <c r="BA103" i="6" s="1"/>
  <c r="AX161" i="6"/>
  <c r="BA161" i="6" s="1"/>
  <c r="AX178" i="6"/>
  <c r="BA178" i="6" s="1"/>
  <c r="AR103" i="6"/>
  <c r="AR148" i="6"/>
  <c r="AX163" i="6"/>
  <c r="BA163" i="6" s="1"/>
  <c r="AX88" i="6"/>
  <c r="BA88" i="6" s="1"/>
  <c r="AX148" i="6"/>
  <c r="BA148" i="6" s="1"/>
  <c r="N41" i="11" l="1" a="1"/>
  <c r="N41" i="11" s="1"/>
  <c r="N24" i="11" a="1"/>
  <c r="N24" i="11" s="1"/>
  <c r="N42" i="11" a="1"/>
  <c r="N42" i="11" s="1"/>
  <c r="N54" i="11" a="1"/>
  <c r="N54" i="11" s="1"/>
  <c r="N46" i="11" a="1"/>
  <c r="N46" i="11" s="1"/>
  <c r="N34" i="11" a="1"/>
  <c r="N34" i="11" s="1"/>
  <c r="N27" i="11" a="1"/>
  <c r="N27" i="11" s="1"/>
  <c r="N49" i="11" a="1"/>
  <c r="N49" i="11" s="1"/>
  <c r="N35" i="11" a="1"/>
  <c r="N35" i="11" s="1"/>
  <c r="N26" i="11" a="1"/>
  <c r="N26" i="11" s="1"/>
  <c r="N47" i="11" a="1"/>
  <c r="N47" i="11" s="1"/>
  <c r="N45" i="11" a="1"/>
  <c r="N45" i="11" s="1"/>
  <c r="N55" i="11" a="1"/>
  <c r="N55" i="11" s="1"/>
  <c r="N44" i="11" a="1"/>
  <c r="N44" i="11" s="1"/>
  <c r="N43" i="11" a="1"/>
  <c r="N43" i="11" s="1"/>
  <c r="N32" i="11" a="1"/>
  <c r="N32" i="11" s="1"/>
  <c r="N23" i="11" a="1"/>
  <c r="N23" i="11" s="1"/>
  <c r="N38" i="11" a="1"/>
  <c r="N38" i="11" s="1"/>
  <c r="N28" i="11" a="1"/>
  <c r="N28" i="11" s="1"/>
  <c r="N37" i="11" a="1"/>
  <c r="N37" i="11" s="1"/>
  <c r="N33" i="11" a="1"/>
  <c r="N33" i="11" s="1"/>
  <c r="N53" i="11" a="1"/>
  <c r="N53" i="11" s="1"/>
  <c r="N30" i="11" a="1"/>
  <c r="N30" i="11" s="1"/>
  <c r="N52" i="11" a="1"/>
  <c r="N52" i="11" s="1"/>
  <c r="N48" i="11" a="1"/>
  <c r="N48" i="11" s="1"/>
  <c r="N29" i="11" a="1"/>
  <c r="N29" i="11" s="1"/>
  <c r="N51" i="11" a="1"/>
  <c r="N51" i="11" s="1"/>
  <c r="N25" i="11" a="1"/>
  <c r="N25" i="11" s="1"/>
  <c r="N31" i="11" a="1"/>
  <c r="N31" i="11" s="1"/>
  <c r="N22" i="11" a="1"/>
  <c r="N22" i="11" s="1"/>
  <c r="N40" i="11" a="1"/>
  <c r="N40" i="11" s="1"/>
  <c r="N39" i="11" a="1"/>
  <c r="N39" i="11" s="1"/>
  <c r="N21" i="11" a="1"/>
  <c r="N21" i="11" s="1"/>
  <c r="N50" i="11" a="1"/>
  <c r="N50" i="11" s="1"/>
  <c r="N36" i="11" a="1"/>
  <c r="N36" i="11" s="1"/>
  <c r="AZ163" i="6"/>
  <c r="BB163" i="6" s="1"/>
  <c r="M163" i="6" s="1" a="1"/>
  <c r="M163" i="6" s="1"/>
  <c r="AY163" i="6"/>
  <c r="AZ118" i="6"/>
  <c r="BB118" i="6" s="1"/>
  <c r="M118" i="6" s="1" a="1"/>
  <c r="M118" i="6" s="1"/>
  <c r="AY118" i="6"/>
  <c r="AZ178" i="6"/>
  <c r="BB178" i="6" s="1"/>
  <c r="M178" i="6" s="1" a="1"/>
  <c r="M178" i="6" s="1"/>
  <c r="AY178" i="6"/>
  <c r="AZ88" i="6"/>
  <c r="BB88" i="6" s="1"/>
  <c r="M88" i="6" s="1" a="1"/>
  <c r="M88" i="6" s="1"/>
  <c r="AY88" i="6"/>
  <c r="AZ161" i="6"/>
  <c r="BB161" i="6" s="1"/>
  <c r="M161" i="6" s="1" a="1"/>
  <c r="M161" i="6" s="1"/>
  <c r="AY161" i="6"/>
  <c r="AR73" i="6"/>
  <c r="AX133" i="6"/>
  <c r="BA133" i="6" s="1"/>
  <c r="AR133" i="6"/>
  <c r="AR176" i="6"/>
  <c r="AX73" i="6"/>
  <c r="BA73" i="6" s="1"/>
  <c r="AX176" i="6"/>
  <c r="BA176" i="6" s="1"/>
  <c r="AZ148" i="6"/>
  <c r="BB148" i="6" s="1"/>
  <c r="M148" i="6" s="1" a="1"/>
  <c r="M148" i="6" s="1"/>
  <c r="AY148" i="6"/>
  <c r="AZ103" i="6"/>
  <c r="BB103" i="6" s="1"/>
  <c r="M103" i="6" s="1" a="1"/>
  <c r="M103" i="6" s="1"/>
  <c r="AY103" i="6"/>
  <c r="AZ58" i="6"/>
  <c r="BB58" i="6" s="1"/>
  <c r="M58" i="6" s="1" a="1"/>
  <c r="M58" i="6" s="1"/>
  <c r="AY58" i="6"/>
  <c r="AY176" i="6" l="1"/>
  <c r="AZ176" i="6"/>
  <c r="BB176" i="6" s="1"/>
  <c r="M176" i="6" s="1" a="1"/>
  <c r="M176" i="6" s="1"/>
  <c r="AY133" i="6"/>
  <c r="AZ133" i="6"/>
  <c r="BB133" i="6" s="1"/>
  <c r="M133" i="6" s="1" a="1"/>
  <c r="M133" i="6" s="1"/>
  <c r="AZ73" i="6"/>
  <c r="BB73" i="6" s="1"/>
  <c r="M73" i="6" s="1" a="1"/>
  <c r="M73" i="6" s="1"/>
  <c r="AY73" i="6"/>
  <c r="X88" i="6" l="1"/>
  <c r="Y88" i="6" s="1"/>
  <c r="X58" i="6"/>
  <c r="Y58" i="6" s="1"/>
  <c r="R58" i="6" l="1"/>
  <c r="X118" i="6"/>
  <c r="Y118" i="6" s="1"/>
  <c r="X73" i="6"/>
  <c r="Y73" i="6" s="1"/>
  <c r="X103" i="6" l="1"/>
  <c r="Y103" i="6" s="1"/>
  <c r="S58" i="6"/>
  <c r="F12" i="11" s="1" a="1"/>
  <c r="F12" i="11" s="1"/>
  <c r="Z58" i="6"/>
  <c r="R73" i="6" l="1"/>
  <c r="X133" i="6"/>
  <c r="Y133" i="6" s="1"/>
  <c r="R88" i="6" l="1"/>
  <c r="S73" i="6"/>
  <c r="G12" i="11" s="1" a="1"/>
  <c r="G12" i="11" s="1"/>
  <c r="Z73" i="6"/>
  <c r="X163" i="6"/>
  <c r="Y163" i="6" s="1"/>
  <c r="X148" i="6"/>
  <c r="Y148" i="6" s="1"/>
  <c r="S88" i="6" l="1"/>
  <c r="H12" i="11" s="1" a="1"/>
  <c r="H12" i="11" s="1"/>
  <c r="Z88" i="6"/>
  <c r="R103" i="6"/>
  <c r="X178" i="6"/>
  <c r="Y178" i="6" s="1"/>
  <c r="R118" i="6" l="1"/>
  <c r="Z103" i="6"/>
  <c r="S103" i="6"/>
  <c r="I12" i="11" s="1" a="1"/>
  <c r="I12" i="11" s="1"/>
  <c r="X161" i="6" l="1"/>
  <c r="Y161" i="6" s="1"/>
  <c r="R133" i="6"/>
  <c r="Z118" i="6"/>
  <c r="S118" i="6"/>
  <c r="J12" i="11" s="1" a="1"/>
  <c r="J12" i="11" s="1"/>
  <c r="X176" i="6" l="1"/>
  <c r="Y176" i="6" s="1"/>
  <c r="R163" i="6"/>
  <c r="R178" i="6"/>
  <c r="R148" i="6"/>
  <c r="Z133" i="6"/>
  <c r="S133" i="6"/>
  <c r="K12" i="11" s="1" a="1"/>
  <c r="K12" i="11" s="1"/>
  <c r="Z163" i="6" l="1"/>
  <c r="S163" i="6"/>
  <c r="M12" i="11" s="1" a="1"/>
  <c r="M12" i="11" s="1"/>
  <c r="S148" i="6"/>
  <c r="L12" i="11" s="1" a="1"/>
  <c r="L12" i="11" s="1"/>
  <c r="Z148" i="6"/>
  <c r="S178" i="6"/>
  <c r="N12" i="11" s="1" a="1"/>
  <c r="N12" i="11" s="1"/>
  <c r="Z178" i="6"/>
  <c r="R161" i="6" l="1"/>
  <c r="Z161" i="6" l="1"/>
  <c r="S161" i="6"/>
  <c r="M10" i="11" s="1" a="1"/>
  <c r="M10" i="11" s="1"/>
  <c r="R176" i="6" l="1"/>
  <c r="S176" i="6" l="1"/>
  <c r="N10" i="11" s="1" a="1"/>
  <c r="N10" i="11" s="1"/>
  <c r="Z176" i="6"/>
  <c r="I8" i="9" l="1" a="1"/>
  <c r="I8" i="9" s="1"/>
  <c r="Q9" i="9" l="1" a="1"/>
  <c r="Q9" i="9" s="1"/>
  <c r="R8" i="9" a="1"/>
  <c r="R8" i="9" s="1"/>
  <c r="P70" i="6" l="1" a="1"/>
  <c r="P70" i="6" s="1"/>
  <c r="P86" i="6" a="1"/>
  <c r="P86" i="6" s="1"/>
  <c r="P89" i="6" a="1"/>
  <c r="P89" i="6" s="1"/>
  <c r="P104" i="6" s="1" a="1"/>
  <c r="P104" i="6" s="1"/>
  <c r="P92" i="6" a="1"/>
  <c r="P92" i="6" s="1"/>
  <c r="P107" i="6" s="1" a="1"/>
  <c r="P107" i="6" s="1"/>
  <c r="P94" i="6" a="1"/>
  <c r="P94" i="6" s="1"/>
  <c r="P95" i="6" a="1"/>
  <c r="P95" i="6" s="1"/>
  <c r="P110" i="6" s="1" a="1"/>
  <c r="P110" i="6" s="1"/>
  <c r="P102" i="6" a="1"/>
  <c r="P102" i="6" s="1"/>
  <c r="P106" i="6" a="1"/>
  <c r="P106" i="6" s="1"/>
  <c r="P121" i="6" s="1" a="1"/>
  <c r="P121" i="6" s="1"/>
  <c r="P113" i="6" a="1"/>
  <c r="P113" i="6" s="1"/>
  <c r="P120" i="6" a="1"/>
  <c r="P120" i="6" s="1"/>
  <c r="P142" i="6" a="1"/>
  <c r="P142" i="6" s="1"/>
  <c r="P168" i="6" a="1"/>
  <c r="P168" i="6" s="1"/>
  <c r="P183" i="6" s="1" a="1"/>
  <c r="P183" i="6" s="1"/>
  <c r="Q52" i="6" a="1"/>
  <c r="Q52" i="6" s="1"/>
  <c r="Q68" i="6" a="1"/>
  <c r="Q68" i="6" s="1"/>
  <c r="Q84" i="6" a="1"/>
  <c r="Q84" i="6" s="1"/>
  <c r="Q99" i="6" s="1" a="1"/>
  <c r="Q99" i="6" s="1"/>
  <c r="Q87" i="6" a="1"/>
  <c r="Q87" i="6" s="1"/>
  <c r="Q94" i="6" a="1"/>
  <c r="Q94" i="6" s="1"/>
  <c r="Q109" i="6" s="1" a="1"/>
  <c r="Q109" i="6" s="1"/>
  <c r="Q107" i="6" a="1"/>
  <c r="Q107" i="6" s="1"/>
  <c r="Q108" i="6" a="1"/>
  <c r="Q108" i="6" s="1"/>
  <c r="Q123" i="6" s="1" a="1"/>
  <c r="Q123" i="6" s="1"/>
  <c r="Q110" i="6" a="1"/>
  <c r="Q110" i="6" s="1"/>
  <c r="Q125" i="6" s="1" a="1"/>
  <c r="Q125" i="6" s="1"/>
  <c r="Q115" i="6" a="1"/>
  <c r="Q115" i="6" s="1"/>
  <c r="Q119" i="6" a="1"/>
  <c r="Q119" i="6" s="1"/>
  <c r="Q120" i="6" a="1"/>
  <c r="Q120" i="6" s="1"/>
  <c r="Q135" i="6" s="1" a="1"/>
  <c r="Q135" i="6" s="1"/>
  <c r="Q121" i="6" a="1"/>
  <c r="Q121" i="6" s="1"/>
  <c r="Q136" i="6" s="1" a="1"/>
  <c r="Q136" i="6" s="1"/>
  <c r="Q131" i="6" a="1"/>
  <c r="Q131" i="6" s="1"/>
  <c r="Q146" i="6" s="1" a="1"/>
  <c r="Q146" i="6" s="1"/>
  <c r="N54" i="6" a="1"/>
  <c r="N54" i="6" s="1"/>
  <c r="O54" i="6" a="1"/>
  <c r="O54" i="6" s="1"/>
  <c r="O56" i="6" a="1"/>
  <c r="O56" i="6" s="1"/>
  <c r="O62" i="6" a="1"/>
  <c r="O62" i="6" s="1"/>
  <c r="O77" i="6" s="1" a="1"/>
  <c r="O77" i="6" s="1"/>
  <c r="N67" i="6" a="1"/>
  <c r="N67" i="6" s="1"/>
  <c r="O67" i="6" a="1"/>
  <c r="O67" i="6" s="1"/>
  <c r="O82" i="6" s="1" a="1"/>
  <c r="O82" i="6" s="1"/>
  <c r="O97" i="6" s="1" a="1"/>
  <c r="O97" i="6" s="1"/>
  <c r="N68" i="6" a="1"/>
  <c r="N68" i="6" s="1"/>
  <c r="O68" i="6" a="1"/>
  <c r="O68" i="6" s="1"/>
  <c r="O83" i="6" s="1" a="1"/>
  <c r="O83" i="6" s="1"/>
  <c r="O98" i="6" s="1" a="1"/>
  <c r="O98" i="6" s="1"/>
  <c r="N71" i="6" a="1"/>
  <c r="N71" i="6" s="1"/>
  <c r="N72" i="6" a="1"/>
  <c r="N72" i="6" s="1"/>
  <c r="N87" i="6" s="1" a="1"/>
  <c r="N87" i="6" s="1"/>
  <c r="N102" i="6" s="1" a="1"/>
  <c r="N102" i="6" s="1"/>
  <c r="O72" i="6" a="1"/>
  <c r="O72" i="6" s="1"/>
  <c r="O74" i="6" a="1"/>
  <c r="O74" i="6" s="1"/>
  <c r="O78" i="6" a="1"/>
  <c r="O78" i="6" s="1"/>
  <c r="N85" i="6" a="1"/>
  <c r="N85" i="6" s="1"/>
  <c r="N100" i="6" s="1" a="1"/>
  <c r="N100" i="6" s="1"/>
  <c r="O85" i="6" a="1"/>
  <c r="O85" i="6" s="1"/>
  <c r="O100" i="6" s="1" a="1"/>
  <c r="O100" i="6" s="1"/>
  <c r="N91" i="6" a="1"/>
  <c r="N91" i="6" s="1"/>
  <c r="N106" i="6" s="1" a="1"/>
  <c r="N106" i="6" s="1"/>
  <c r="O91" i="6" a="1"/>
  <c r="O91" i="6" s="1"/>
  <c r="O94" i="6" a="1"/>
  <c r="O94" i="6" s="1"/>
  <c r="O109" i="6" s="1" a="1"/>
  <c r="O109" i="6" s="1"/>
  <c r="O124" i="6" s="1" a="1"/>
  <c r="O124" i="6" s="1"/>
  <c r="N104" i="6" a="1"/>
  <c r="N104" i="6" s="1"/>
  <c r="N105" i="6" a="1"/>
  <c r="N105" i="6" s="1"/>
  <c r="O105" i="6" a="1"/>
  <c r="O105" i="6" s="1"/>
  <c r="N108" i="6" a="1"/>
  <c r="N108" i="6" s="1"/>
  <c r="N123" i="6" s="1" a="1"/>
  <c r="N123" i="6" s="1"/>
  <c r="N109" i="6" a="1"/>
  <c r="N109" i="6" s="1"/>
  <c r="N124" i="6" s="1" a="1"/>
  <c r="N124" i="6" s="1"/>
  <c r="N122" i="6" a="1"/>
  <c r="N122" i="6" s="1"/>
  <c r="O125" i="6" a="1"/>
  <c r="O125" i="6" s="1"/>
  <c r="N155" i="6" a="1"/>
  <c r="N155" i="6" s="1"/>
  <c r="N170" i="6" s="1" a="1"/>
  <c r="N170" i="6" s="1"/>
  <c r="N185" i="6" s="1" a="1"/>
  <c r="N185" i="6" s="1"/>
  <c r="I9" i="9" a="1"/>
  <c r="I9" i="9" s="1"/>
  <c r="K10" i="9" a="1"/>
  <c r="K10" i="9" s="1"/>
  <c r="P157" i="6" l="1" a="1"/>
  <c r="P157" i="6" s="1"/>
  <c r="P172" i="6" s="1" a="1"/>
  <c r="P172" i="6" s="1"/>
  <c r="O71" i="6" a="1"/>
  <c r="O71" i="6" s="1"/>
  <c r="O86" i="6" s="1" a="1"/>
  <c r="O86" i="6" s="1"/>
  <c r="O101" i="6" s="1" a="1"/>
  <c r="O101" i="6" s="1"/>
  <c r="J9" i="9" a="1"/>
  <c r="J9" i="9" s="1"/>
  <c r="Q67" i="6" a="1"/>
  <c r="Q67" i="6" s="1"/>
  <c r="L10" i="9" s="1" a="1"/>
  <c r="L10" i="9" s="1"/>
  <c r="L9" i="9" a="1"/>
  <c r="L9" i="9" s="1"/>
  <c r="Q122" i="6" a="1"/>
  <c r="Q122" i="6" s="1"/>
  <c r="Q137" i="6" s="1" a="1"/>
  <c r="Q137" i="6" s="1"/>
  <c r="Q152" i="6" s="1" a="1"/>
  <c r="Q152" i="6" s="1"/>
  <c r="Q167" i="6" s="1" a="1"/>
  <c r="Q167" i="6" s="1"/>
  <c r="N137" i="6" a="1"/>
  <c r="N137" i="6" s="1"/>
  <c r="N152" i="6" s="1" a="1"/>
  <c r="N152" i="6" s="1"/>
  <c r="N167" i="6" s="1" a="1"/>
  <c r="N167" i="6" s="1"/>
  <c r="N182" i="6" s="1" a="1"/>
  <c r="N182" i="6" s="1"/>
  <c r="O115" i="6" a="1"/>
  <c r="O115" i="6" s="1"/>
  <c r="O92" i="6" a="1"/>
  <c r="O92" i="6" s="1"/>
  <c r="O107" i="6" s="1" a="1"/>
  <c r="O107" i="6" s="1"/>
  <c r="N83" i="6" a="1"/>
  <c r="N83" i="6" s="1"/>
  <c r="O140" i="6" a="1"/>
  <c r="O140" i="6" s="1"/>
  <c r="O155" i="6" s="1" a="1"/>
  <c r="O155" i="6" s="1"/>
  <c r="N115" i="6" a="1"/>
  <c r="N115" i="6" s="1"/>
  <c r="N130" i="6" s="1" a="1"/>
  <c r="N130" i="6" s="1"/>
  <c r="O89" i="6" a="1"/>
  <c r="O89" i="6" s="1"/>
  <c r="O104" i="6" s="1" a="1"/>
  <c r="O104" i="6" s="1"/>
  <c r="O139" i="6" a="1"/>
  <c r="O139" i="6" s="1"/>
  <c r="O154" i="6" s="1" a="1"/>
  <c r="O154" i="6" s="1"/>
  <c r="N121" i="6" a="1"/>
  <c r="N121" i="6" s="1"/>
  <c r="N136" i="6" s="1" a="1"/>
  <c r="N136" i="6" s="1"/>
  <c r="O113" i="6" a="1"/>
  <c r="O113" i="6" s="1"/>
  <c r="O128" i="6" s="1" a="1"/>
  <c r="O128" i="6" s="1"/>
  <c r="O87" i="6" a="1"/>
  <c r="O87" i="6" s="1"/>
  <c r="O102" i="6" s="1" a="1"/>
  <c r="O102" i="6" s="1"/>
  <c r="N82" i="6" a="1"/>
  <c r="N82" i="6" s="1"/>
  <c r="N139" i="6" a="1"/>
  <c r="N139" i="6" s="1"/>
  <c r="N154" i="6" s="1" a="1"/>
  <c r="N154" i="6" s="1"/>
  <c r="N169" i="6" s="1" a="1"/>
  <c r="N169" i="6" s="1"/>
  <c r="N184" i="6" s="1" a="1"/>
  <c r="N184" i="6" s="1"/>
  <c r="O112" i="6" a="1"/>
  <c r="O112" i="6" s="1"/>
  <c r="N138" i="6" a="1"/>
  <c r="N138" i="6" s="1"/>
  <c r="N153" i="6" s="1" a="1"/>
  <c r="N153" i="6" s="1"/>
  <c r="O120" i="6" a="1"/>
  <c r="O120" i="6" s="1"/>
  <c r="N120" i="6" a="1"/>
  <c r="N120" i="6" s="1"/>
  <c r="N135" i="6" s="1" a="1"/>
  <c r="N135" i="6" s="1"/>
  <c r="O106" i="6" a="1"/>
  <c r="O106" i="6" s="1"/>
  <c r="O121" i="6" s="1" a="1"/>
  <c r="O121" i="6" s="1"/>
  <c r="O69" i="6" a="1"/>
  <c r="O69" i="6" s="1"/>
  <c r="J10" i="9" s="1" a="1"/>
  <c r="J10" i="9" s="1"/>
  <c r="N119" i="6" a="1"/>
  <c r="N119" i="6" s="1"/>
  <c r="N134" i="6" s="1" a="1"/>
  <c r="N134" i="6" s="1"/>
  <c r="N86" i="6" a="1"/>
  <c r="N86" i="6" s="1"/>
  <c r="N69" i="6" a="1"/>
  <c r="N69" i="6" s="1"/>
  <c r="N84" i="6" s="1" a="1"/>
  <c r="N84" i="6" s="1"/>
  <c r="N117" i="6" a="1"/>
  <c r="N117" i="6" s="1"/>
  <c r="N132" i="6" s="1" a="1"/>
  <c r="N132" i="6" s="1"/>
  <c r="O93" i="6" a="1"/>
  <c r="O93" i="6" s="1"/>
  <c r="Q124" i="6" a="1"/>
  <c r="Q124" i="6" s="1"/>
  <c r="Q139" i="6" s="1" a="1"/>
  <c r="Q139" i="6" s="1"/>
  <c r="Q83" i="6" a="1"/>
  <c r="Q83" i="6" s="1"/>
  <c r="P136" i="6" a="1"/>
  <c r="P136" i="6" s="1"/>
  <c r="P151" i="6" s="1" a="1"/>
  <c r="P151" i="6" s="1"/>
  <c r="P117" i="6" a="1"/>
  <c r="P117" i="6" s="1"/>
  <c r="Q82" i="6" a="1"/>
  <c r="Q82" i="6" s="1"/>
  <c r="P135" i="6" a="1"/>
  <c r="P135" i="6" s="1"/>
  <c r="P150" i="6" s="1" a="1"/>
  <c r="P150" i="6" s="1"/>
  <c r="Q151" i="6" a="1"/>
  <c r="Q151" i="6" s="1"/>
  <c r="Q166" i="6" s="1" a="1"/>
  <c r="Q166" i="6" s="1"/>
  <c r="P128" i="6" a="1"/>
  <c r="P128" i="6" s="1"/>
  <c r="P143" i="6" s="1" a="1"/>
  <c r="P143" i="6" s="1"/>
  <c r="P109" i="6" a="1"/>
  <c r="P109" i="6" s="1"/>
  <c r="P124" i="6" s="1" a="1"/>
  <c r="P124" i="6" s="1"/>
  <c r="P139" i="6" s="1" a="1"/>
  <c r="P139" i="6" s="1"/>
  <c r="P154" i="6" s="1" a="1"/>
  <c r="P154" i="6" s="1"/>
  <c r="P125" i="6" a="1"/>
  <c r="P125" i="6" s="1"/>
  <c r="P140" i="6" s="1" a="1"/>
  <c r="P140" i="6" s="1"/>
  <c r="P155" i="6" s="1" a="1"/>
  <c r="P155" i="6" s="1"/>
  <c r="Q150" i="6" a="1"/>
  <c r="Q150" i="6" s="1"/>
  <c r="Q165" i="6" s="1" a="1"/>
  <c r="Q165" i="6" s="1"/>
  <c r="Q134" i="6" a="1"/>
  <c r="Q134" i="6" s="1"/>
  <c r="Q149" i="6" s="1" a="1"/>
  <c r="Q149" i="6" s="1"/>
  <c r="Q114" i="6" a="1"/>
  <c r="Q114" i="6" s="1"/>
  <c r="Q129" i="6" s="1" a="1"/>
  <c r="Q129" i="6" s="1"/>
  <c r="Q144" i="6" s="1" a="1"/>
  <c r="Q144" i="6" s="1"/>
  <c r="P122" i="6" a="1"/>
  <c r="P122" i="6" s="1"/>
  <c r="Q130" i="6" a="1"/>
  <c r="Q130" i="6" s="1"/>
  <c r="Q145" i="6" s="1" a="1"/>
  <c r="Q145" i="6" s="1"/>
  <c r="P101" i="6" a="1"/>
  <c r="P101" i="6" s="1"/>
  <c r="P116" i="6" s="1" a="1"/>
  <c r="P116" i="6" s="1"/>
  <c r="Q140" i="6" a="1"/>
  <c r="Q140" i="6" s="1"/>
  <c r="Q155" i="6" s="1" a="1"/>
  <c r="Q155" i="6" s="1"/>
  <c r="Q170" i="6" s="1" a="1"/>
  <c r="Q170" i="6" s="1"/>
  <c r="Q185" i="6" s="1" a="1"/>
  <c r="Q185" i="6" s="1"/>
  <c r="P119" i="6" a="1"/>
  <c r="P119" i="6" s="1"/>
  <c r="P134" i="6" s="1" a="1"/>
  <c r="P134" i="6" s="1"/>
  <c r="P149" i="6" s="1" a="1"/>
  <c r="P149" i="6" s="1"/>
  <c r="P85" i="6" a="1"/>
  <c r="P85" i="6" s="1"/>
  <c r="Q102" i="6" a="1"/>
  <c r="Q102" i="6" s="1"/>
  <c r="Q138" i="6" a="1"/>
  <c r="Q138" i="6" s="1"/>
  <c r="U99" i="6" a="1"/>
  <c r="U99" i="6" s="1"/>
  <c r="U77" i="6" a="1"/>
  <c r="U77" i="6" s="1"/>
  <c r="U92" i="6" s="1" a="1"/>
  <c r="U92" i="6" s="1"/>
  <c r="U67" i="6" a="1"/>
  <c r="U67" i="6" s="1"/>
  <c r="U93" i="6" a="1"/>
  <c r="U93" i="6" s="1"/>
  <c r="U75" i="6" a="1"/>
  <c r="U75" i="6" s="1"/>
  <c r="U110" i="6" a="1"/>
  <c r="U110" i="6" s="1"/>
  <c r="U91" i="6" a="1"/>
  <c r="U91" i="6" s="1"/>
  <c r="U70" i="6" a="1"/>
  <c r="U70" i="6" s="1"/>
  <c r="U53" i="6" a="1"/>
  <c r="U53" i="6" s="1"/>
  <c r="U68" i="6" s="1" a="1"/>
  <c r="U68" i="6" s="1"/>
  <c r="U104" i="6" a="1"/>
  <c r="U104" i="6" s="1"/>
  <c r="U79" i="6" a="1"/>
  <c r="U79" i="6" s="1"/>
  <c r="U41" i="6" a="1"/>
  <c r="U41" i="6" s="1"/>
  <c r="P8" i="9" s="1" a="1"/>
  <c r="P8" i="9" s="1"/>
  <c r="U72" i="6" a="1"/>
  <c r="U72" i="6" s="1"/>
  <c r="V72" i="6" a="1"/>
  <c r="V72" i="6" s="1"/>
  <c r="V87" i="6" s="1" a="1"/>
  <c r="V87" i="6" s="1"/>
  <c r="V75" i="6" a="1"/>
  <c r="V75" i="6" s="1"/>
  <c r="V69" i="6" a="1"/>
  <c r="V69" i="6" s="1"/>
  <c r="V82" i="6" a="1"/>
  <c r="V82" i="6" s="1"/>
  <c r="V97" i="6" s="1" a="1"/>
  <c r="V97" i="6" s="1"/>
  <c r="V89" i="6" a="1"/>
  <c r="V89" i="6" s="1"/>
  <c r="V104" i="6" s="1" a="1"/>
  <c r="V104" i="6" s="1"/>
  <c r="V94" i="6" a="1"/>
  <c r="V94" i="6" s="1"/>
  <c r="V91" i="6" a="1"/>
  <c r="V91" i="6" s="1"/>
  <c r="V123" i="6" a="1"/>
  <c r="V123" i="6" s="1"/>
  <c r="V138" i="6" s="1" a="1"/>
  <c r="V138" i="6" s="1"/>
  <c r="V140" i="6" a="1"/>
  <c r="V140" i="6" s="1"/>
  <c r="V92" i="6" a="1"/>
  <c r="V92" i="6" s="1"/>
  <c r="V83" i="6" a="1"/>
  <c r="V83" i="6" s="1"/>
  <c r="V85" i="6" a="1"/>
  <c r="V85" i="6" s="1"/>
  <c r="V101" i="6" a="1"/>
  <c r="V101" i="6" s="1"/>
  <c r="W115" i="6" a="1"/>
  <c r="W115" i="6" s="1"/>
  <c r="W94" i="6" a="1"/>
  <c r="W94" i="6" s="1"/>
  <c r="W109" i="6" s="1" a="1"/>
  <c r="W109" i="6" s="1"/>
  <c r="W98" i="6" a="1"/>
  <c r="W98" i="6" s="1"/>
  <c r="W89" i="6" a="1"/>
  <c r="W89" i="6" s="1"/>
  <c r="W114" i="6" a="1"/>
  <c r="W114" i="6" s="1"/>
  <c r="W72" i="6" a="1"/>
  <c r="W72" i="6" s="1"/>
  <c r="W87" i="6" s="1" a="1"/>
  <c r="W87" i="6" s="1"/>
  <c r="W108" i="6" a="1"/>
  <c r="W108" i="6" s="1"/>
  <c r="W123" i="6" s="1" a="1"/>
  <c r="W123" i="6" s="1"/>
  <c r="W62" i="6" a="1"/>
  <c r="W62" i="6" s="1"/>
  <c r="R9" i="9" s="1" a="1"/>
  <c r="R9" i="9" s="1"/>
  <c r="W97" i="6" a="1"/>
  <c r="W97" i="6" s="1"/>
  <c r="W125" i="6" a="1"/>
  <c r="W125" i="6" s="1"/>
  <c r="W140" i="6" s="1" a="1"/>
  <c r="W140" i="6" s="1"/>
  <c r="W90" i="6" a="1"/>
  <c r="W90" i="6" s="1"/>
  <c r="W91" i="6" a="1"/>
  <c r="W91" i="6" s="1"/>
  <c r="W71" i="6" a="1"/>
  <c r="W71" i="6" s="1"/>
  <c r="Q98" i="6" l="1" a="1"/>
  <c r="Q98" i="6" s="1"/>
  <c r="Q97" i="6" a="1"/>
  <c r="Q97" i="6" s="1"/>
  <c r="Q112" i="6" s="1" a="1"/>
  <c r="Q112" i="6" s="1"/>
  <c r="N97" i="6" a="1"/>
  <c r="N97" i="6" s="1"/>
  <c r="N112" i="6" s="1" a="1"/>
  <c r="N112" i="6" s="1"/>
  <c r="E123" i="1" a="1"/>
  <c r="E123" i="1" s="1"/>
  <c r="P131" i="6" a="1"/>
  <c r="P131" i="6" s="1"/>
  <c r="P146" i="6" s="1" a="1"/>
  <c r="P146" i="6" s="1"/>
  <c r="Q164" i="6" a="1"/>
  <c r="Q164" i="6" s="1"/>
  <c r="Q179" i="6" s="1" a="1"/>
  <c r="Q179" i="6" s="1"/>
  <c r="P166" i="6" a="1"/>
  <c r="P166" i="6" s="1"/>
  <c r="Q154" i="6" a="1"/>
  <c r="Q154" i="6" s="1"/>
  <c r="Q181" i="6" a="1"/>
  <c r="Q181" i="6" s="1"/>
  <c r="O122" i="6" a="1"/>
  <c r="O122" i="6" s="1"/>
  <c r="Q182" i="6" a="1"/>
  <c r="Q182" i="6" s="1"/>
  <c r="W86" i="6" a="1"/>
  <c r="W86" i="6" s="1"/>
  <c r="W101" i="6" s="1" a="1"/>
  <c r="W101" i="6" s="1"/>
  <c r="P169" i="6" a="1"/>
  <c r="P169" i="6" s="1"/>
  <c r="P184" i="6" s="1" a="1"/>
  <c r="P184" i="6" s="1"/>
  <c r="W106" i="6" a="1"/>
  <c r="W106" i="6" s="1"/>
  <c r="W121" i="6" s="1" a="1"/>
  <c r="W121" i="6" s="1"/>
  <c r="O117" i="6" a="1"/>
  <c r="O117" i="6" s="1"/>
  <c r="O132" i="6" s="1" a="1"/>
  <c r="O132" i="6" s="1"/>
  <c r="W138" i="6" a="1"/>
  <c r="W138" i="6" s="1"/>
  <c r="W153" i="6" s="1" a="1"/>
  <c r="W153" i="6" s="1"/>
  <c r="W168" i="6" s="1" a="1"/>
  <c r="W168" i="6" s="1"/>
  <c r="P170" i="6" a="1"/>
  <c r="P170" i="6" s="1"/>
  <c r="P185" i="6" s="1" a="1"/>
  <c r="P185" i="6" s="1"/>
  <c r="P165" i="6" a="1"/>
  <c r="P165" i="6" s="1"/>
  <c r="P180" i="6" s="1" a="1"/>
  <c r="P180" i="6" s="1"/>
  <c r="W112" i="6" a="1"/>
  <c r="W112" i="6" s="1"/>
  <c r="Q159" i="6" a="1"/>
  <c r="Q159" i="6" s="1"/>
  <c r="Q174" i="6" s="1" a="1"/>
  <c r="Q174" i="6" s="1"/>
  <c r="W155" i="6" a="1"/>
  <c r="W155" i="6" s="1"/>
  <c r="W170" i="6" s="1" a="1"/>
  <c r="W170" i="6" s="1"/>
  <c r="V116" i="6" a="1"/>
  <c r="V116" i="6" s="1"/>
  <c r="V131" i="6" s="1" a="1"/>
  <c r="V131" i="6" s="1"/>
  <c r="U106" i="6" a="1"/>
  <c r="U106" i="6" s="1"/>
  <c r="U87" i="6" a="1"/>
  <c r="U87" i="6" s="1"/>
  <c r="U102" i="6" s="1" a="1"/>
  <c r="U102" i="6" s="1"/>
  <c r="Q113" i="6" a="1"/>
  <c r="Q113" i="6" s="1"/>
  <c r="O143" i="6" a="1"/>
  <c r="O143" i="6" s="1"/>
  <c r="O169" i="6" a="1"/>
  <c r="O169" i="6" s="1"/>
  <c r="O184" i="6" s="1" a="1"/>
  <c r="O184" i="6" s="1"/>
  <c r="V155" i="6" a="1"/>
  <c r="V155" i="6" s="1"/>
  <c r="V170" i="6" s="1" a="1"/>
  <c r="V170" i="6" s="1"/>
  <c r="V185" i="6" s="1" a="1"/>
  <c r="V185" i="6" s="1"/>
  <c r="V90" i="6" a="1"/>
  <c r="V90" i="6" s="1"/>
  <c r="V98" i="6" a="1"/>
  <c r="V98" i="6" s="1"/>
  <c r="V113" i="6" s="1" a="1"/>
  <c r="V113" i="6" s="1"/>
  <c r="U107" i="6" a="1"/>
  <c r="U107" i="6" s="1"/>
  <c r="U122" i="6" s="1" a="1"/>
  <c r="U122" i="6" s="1"/>
  <c r="U56" i="6" a="1"/>
  <c r="U56" i="6" s="1"/>
  <c r="U71" i="6" s="1" a="1"/>
  <c r="U71" i="6" s="1"/>
  <c r="U85" i="6" a="1"/>
  <c r="U85" i="6" s="1"/>
  <c r="U108" i="6" a="1"/>
  <c r="U108" i="6" s="1"/>
  <c r="U123" i="6" s="1" a="1"/>
  <c r="U123" i="6" s="1"/>
  <c r="Q153" i="6" a="1"/>
  <c r="Q153" i="6" s="1"/>
  <c r="N99" i="6" a="1"/>
  <c r="N99" i="6" s="1"/>
  <c r="O136" i="6" a="1"/>
  <c r="O136" i="6" s="1"/>
  <c r="O151" i="6" s="1" a="1"/>
  <c r="O151" i="6" s="1"/>
  <c r="N145" i="6" a="1"/>
  <c r="N145" i="6" s="1"/>
  <c r="N160" i="6" s="1" a="1"/>
  <c r="N160" i="6" s="1"/>
  <c r="O137" i="6" a="1"/>
  <c r="O137" i="6" s="1"/>
  <c r="W104" i="6" a="1"/>
  <c r="W104" i="6" s="1"/>
  <c r="W119" i="6" s="1" a="1"/>
  <c r="W119" i="6" s="1"/>
  <c r="W134" i="6" s="1" a="1"/>
  <c r="W134" i="6" s="1"/>
  <c r="W102" i="6" a="1"/>
  <c r="W102" i="6" s="1"/>
  <c r="W117" i="6" s="1" a="1"/>
  <c r="W117" i="6" s="1"/>
  <c r="V119" i="6" a="1"/>
  <c r="V119" i="6" s="1"/>
  <c r="V109" i="6" a="1"/>
  <c r="V109" i="6" s="1"/>
  <c r="V124" i="6" s="1" a="1"/>
  <c r="V124" i="6" s="1"/>
  <c r="V112" i="6" a="1"/>
  <c r="V112" i="6" s="1"/>
  <c r="V127" i="6" s="1" a="1"/>
  <c r="V127" i="6" s="1"/>
  <c r="V84" i="6" a="1"/>
  <c r="V84" i="6" s="1"/>
  <c r="P137" i="6" a="1"/>
  <c r="P137" i="6" s="1"/>
  <c r="P152" i="6" s="1" a="1"/>
  <c r="P152" i="6" s="1"/>
  <c r="N149" i="6" a="1"/>
  <c r="N149" i="6" s="1"/>
  <c r="N164" i="6" s="1" a="1"/>
  <c r="N164" i="6" s="1"/>
  <c r="N179" i="6" s="1" a="1"/>
  <c r="N179" i="6" s="1"/>
  <c r="W113" i="6" a="1"/>
  <c r="W113" i="6" s="1"/>
  <c r="W128" i="6" s="1" a="1"/>
  <c r="W128" i="6" s="1"/>
  <c r="W124" i="6" a="1"/>
  <c r="W124" i="6" s="1"/>
  <c r="W139" i="6" s="1" a="1"/>
  <c r="W139" i="6" s="1"/>
  <c r="V153" i="6" a="1"/>
  <c r="V153" i="6" s="1"/>
  <c r="V100" i="6" a="1"/>
  <c r="V100" i="6" s="1"/>
  <c r="U83" i="6" a="1"/>
  <c r="U83" i="6" s="1"/>
  <c r="U98" i="6" s="1" a="1"/>
  <c r="U98" i="6" s="1"/>
  <c r="U114" i="6" a="1"/>
  <c r="U114" i="6" s="1"/>
  <c r="P100" i="6" a="1"/>
  <c r="P100" i="6" s="1"/>
  <c r="P158" i="6" a="1"/>
  <c r="P158" i="6" s="1"/>
  <c r="P173" i="6" s="1" a="1"/>
  <c r="P173" i="6" s="1"/>
  <c r="P132" i="6" a="1"/>
  <c r="P132" i="6" s="1"/>
  <c r="N147" i="6" a="1"/>
  <c r="N147" i="6" s="1"/>
  <c r="O116" i="6" a="1"/>
  <c r="O116" i="6" s="1"/>
  <c r="N168" i="6" a="1"/>
  <c r="N168" i="6" s="1"/>
  <c r="N183" i="6" s="1" a="1"/>
  <c r="N183" i="6" s="1"/>
  <c r="N98" i="6" a="1"/>
  <c r="N98" i="6" s="1"/>
  <c r="W129" i="6" a="1"/>
  <c r="W129" i="6" s="1"/>
  <c r="W130" i="6" a="1"/>
  <c r="W130" i="6" s="1"/>
  <c r="W145" i="6" s="1" a="1"/>
  <c r="W145" i="6" s="1"/>
  <c r="V107" i="6" a="1"/>
  <c r="V107" i="6" s="1"/>
  <c r="U121" i="6" a="1"/>
  <c r="U121" i="6" s="1"/>
  <c r="U125" i="6" a="1"/>
  <c r="U125" i="6" s="1"/>
  <c r="U140" i="6" s="1" a="1"/>
  <c r="U140" i="6" s="1"/>
  <c r="U100" i="6" a="1"/>
  <c r="U100" i="6" s="1"/>
  <c r="U115" i="6" s="1" a="1"/>
  <c r="U115" i="6" s="1"/>
  <c r="U90" i="6" a="1"/>
  <c r="U90" i="6" s="1"/>
  <c r="Q160" i="6" a="1"/>
  <c r="Q160" i="6" s="1"/>
  <c r="Q175" i="6" s="1" a="1"/>
  <c r="Q175" i="6" s="1"/>
  <c r="Q180" i="6" a="1"/>
  <c r="Q180" i="6" s="1"/>
  <c r="Q117" i="6" a="1"/>
  <c r="Q117" i="6" s="1"/>
  <c r="Q132" i="6" s="1" a="1"/>
  <c r="Q132" i="6" s="1"/>
  <c r="L11" i="9" a="1"/>
  <c r="L11" i="9" s="1"/>
  <c r="I10" i="9" a="1"/>
  <c r="I10" i="9" s="1"/>
  <c r="O84" i="6" a="1"/>
  <c r="O84" i="6" s="1"/>
  <c r="O99" i="6" s="1" a="1"/>
  <c r="O99" i="6" s="1"/>
  <c r="N151" i="6" a="1"/>
  <c r="N151" i="6" s="1"/>
  <c r="N166" i="6" s="1" a="1"/>
  <c r="N166" i="6" s="1"/>
  <c r="N181" i="6" s="1" a="1"/>
  <c r="N181" i="6" s="1"/>
  <c r="O130" i="6" a="1"/>
  <c r="O130" i="6" s="1"/>
  <c r="O145" i="6" s="1" a="1"/>
  <c r="O145" i="6" s="1"/>
  <c r="Q10" i="9" a="1"/>
  <c r="Q10" i="9" s="1"/>
  <c r="W77" i="6" a="1"/>
  <c r="W77" i="6" s="1"/>
  <c r="R10" i="9" s="1" a="1"/>
  <c r="R10" i="9" s="1"/>
  <c r="W105" i="6" a="1"/>
  <c r="W105" i="6" s="1"/>
  <c r="W120" i="6" s="1" a="1"/>
  <c r="W120" i="6" s="1"/>
  <c r="V102" i="6" a="1"/>
  <c r="V102" i="6" s="1"/>
  <c r="V117" i="6" s="1" a="1"/>
  <c r="V117" i="6" s="1"/>
  <c r="V132" i="6" s="1" a="1"/>
  <c r="V132" i="6" s="1"/>
  <c r="V147" i="6" s="1" a="1"/>
  <c r="V147" i="6" s="1"/>
  <c r="U82" i="6" a="1"/>
  <c r="U82" i="6" s="1"/>
  <c r="U97" i="6" s="1" a="1"/>
  <c r="U97" i="6" s="1"/>
  <c r="P164" i="6" a="1"/>
  <c r="P164" i="6" s="1"/>
  <c r="P179" i="6" s="1" a="1"/>
  <c r="P179" i="6" s="1"/>
  <c r="P181" i="6" a="1"/>
  <c r="P181" i="6" s="1"/>
  <c r="O108" i="6" a="1"/>
  <c r="O108" i="6" s="1"/>
  <c r="O123" i="6" s="1" a="1"/>
  <c r="O123" i="6" s="1"/>
  <c r="I11" i="9" a="1"/>
  <c r="I11" i="9" s="1"/>
  <c r="O170" i="6" a="1"/>
  <c r="O170" i="6" s="1"/>
  <c r="O185" i="6" s="1" a="1"/>
  <c r="O185" i="6" s="1"/>
  <c r="W92" i="6" a="1"/>
  <c r="W92" i="6" s="1"/>
  <c r="V168" i="6" a="1"/>
  <c r="V168" i="6" s="1"/>
  <c r="V115" i="6" a="1"/>
  <c r="V115" i="6" s="1"/>
  <c r="U94" i="6" a="1"/>
  <c r="U94" i="6" s="1"/>
  <c r="U119" i="6" a="1"/>
  <c r="U119" i="6" s="1"/>
  <c r="K11" i="9" a="1"/>
  <c r="K11" i="9" s="1"/>
  <c r="L12" i="9" a="1"/>
  <c r="L12" i="9" s="1"/>
  <c r="N150" i="6" a="1"/>
  <c r="N150" i="6" s="1"/>
  <c r="N165" i="6" s="1" a="1"/>
  <c r="N165" i="6" s="1"/>
  <c r="V106" i="6" a="1"/>
  <c r="V106" i="6" s="1"/>
  <c r="N114" i="6" a="1"/>
  <c r="N114" i="6" s="1"/>
  <c r="N101" i="6" a="1"/>
  <c r="N101" i="6" s="1"/>
  <c r="N116" i="6" s="1" a="1"/>
  <c r="N116" i="6" s="1"/>
  <c r="O135" i="6" a="1"/>
  <c r="O135" i="6" s="1"/>
  <c r="O127" i="6" a="1"/>
  <c r="O127" i="6" s="1"/>
  <c r="O119" i="6" a="1"/>
  <c r="O119" i="6" s="1"/>
  <c r="P9" i="9" l="1" a="1"/>
  <c r="P9" i="9" s="1"/>
  <c r="Q11" i="9" a="1"/>
  <c r="Q11" i="9" s="1"/>
  <c r="U137" i="6" a="1"/>
  <c r="U137" i="6" s="1"/>
  <c r="V99" i="6" a="1"/>
  <c r="V99" i="6" s="1"/>
  <c r="P115" i="6" a="1"/>
  <c r="P115" i="6" s="1"/>
  <c r="K13" i="9" s="1" a="1"/>
  <c r="K13" i="9" s="1"/>
  <c r="Q127" i="6" a="1"/>
  <c r="Q127" i="6" s="1"/>
  <c r="L13" i="9" a="1"/>
  <c r="L13" i="9" s="1"/>
  <c r="N127" i="6" a="1"/>
  <c r="N127" i="6" s="1"/>
  <c r="N142" i="6" s="1" a="1"/>
  <c r="N142" i="6" s="1"/>
  <c r="N157" i="6" s="1" a="1"/>
  <c r="N157" i="6" s="1"/>
  <c r="Q169" i="6" a="1"/>
  <c r="Q169" i="6" s="1"/>
  <c r="Q184" i="6" s="1" a="1"/>
  <c r="Q184" i="6" s="1"/>
  <c r="U130" i="6" a="1"/>
  <c r="U130" i="6" s="1"/>
  <c r="U145" i="6" s="1" a="1"/>
  <c r="U145" i="6" s="1"/>
  <c r="U160" i="6" s="1" a="1"/>
  <c r="U160" i="6" s="1"/>
  <c r="U155" i="6" a="1"/>
  <c r="U155" i="6" s="1"/>
  <c r="U170" i="6" s="1" a="1"/>
  <c r="U170" i="6" s="1"/>
  <c r="U185" i="6" s="1" a="1"/>
  <c r="U185" i="6" s="1"/>
  <c r="W149" i="6" a="1"/>
  <c r="W149" i="6" s="1"/>
  <c r="V130" i="6" a="1"/>
  <c r="V130" i="6" s="1"/>
  <c r="N175" i="6" a="1"/>
  <c r="N175" i="6" s="1"/>
  <c r="V128" i="6" a="1"/>
  <c r="V128" i="6" s="1"/>
  <c r="V143" i="6" s="1" a="1"/>
  <c r="V143" i="6" s="1"/>
  <c r="V158" i="6" s="1" a="1"/>
  <c r="V158" i="6" s="1"/>
  <c r="O166" i="6" a="1"/>
  <c r="O166" i="6" s="1"/>
  <c r="O181" i="6" s="1" a="1"/>
  <c r="O181" i="6" s="1"/>
  <c r="V121" i="6" a="1"/>
  <c r="V121" i="6" s="1"/>
  <c r="V136" i="6" s="1" a="1"/>
  <c r="V136" i="6" s="1"/>
  <c r="V183" i="6" a="1"/>
  <c r="V183" i="6" s="1"/>
  <c r="W185" i="6" a="1"/>
  <c r="W185" i="6" s="1"/>
  <c r="U112" i="6" a="1"/>
  <c r="U112" i="6" s="1"/>
  <c r="U127" i="6" s="1" a="1"/>
  <c r="U127" i="6" s="1"/>
  <c r="U142" i="6" s="1" a="1"/>
  <c r="U142" i="6" s="1"/>
  <c r="V162" i="6" a="1"/>
  <c r="V162" i="6" s="1"/>
  <c r="U113" i="6" a="1"/>
  <c r="U113" i="6" s="1"/>
  <c r="U128" i="6" s="1" a="1"/>
  <c r="U128" i="6" s="1"/>
  <c r="U117" i="6" a="1"/>
  <c r="U117" i="6" s="1"/>
  <c r="O147" i="6" a="1"/>
  <c r="O147" i="6" s="1"/>
  <c r="O162" i="6" s="1" a="1"/>
  <c r="O162" i="6" s="1"/>
  <c r="O177" i="6" s="1" a="1"/>
  <c r="O177" i="6" s="1"/>
  <c r="W154" i="6" a="1"/>
  <c r="W154" i="6" s="1"/>
  <c r="W169" i="6" s="1" a="1"/>
  <c r="W169" i="6" s="1"/>
  <c r="W184" i="6" s="1" a="1"/>
  <c r="W184" i="6" s="1"/>
  <c r="I12" i="9" a="1"/>
  <c r="I12" i="9" s="1"/>
  <c r="N162" i="6" a="1"/>
  <c r="N162" i="6" s="1"/>
  <c r="N177" i="6" s="1" a="1"/>
  <c r="N177" i="6" s="1"/>
  <c r="P167" i="6" a="1"/>
  <c r="P167" i="6" s="1"/>
  <c r="P182" i="6" s="1" a="1"/>
  <c r="P182" i="6" s="1"/>
  <c r="V105" i="6" a="1"/>
  <c r="V105" i="6" s="1"/>
  <c r="W160" i="6" a="1"/>
  <c r="W160" i="6" s="1"/>
  <c r="W175" i="6" s="1" a="1"/>
  <c r="W175" i="6" s="1"/>
  <c r="V114" i="6" a="1"/>
  <c r="V114" i="6" s="1"/>
  <c r="O142" i="6" a="1"/>
  <c r="O142" i="6" s="1"/>
  <c r="O157" i="6" s="1" a="1"/>
  <c r="O157" i="6" s="1"/>
  <c r="J11" i="9" a="1"/>
  <c r="J11" i="9" s="1"/>
  <c r="W107" i="6" a="1"/>
  <c r="W107" i="6" s="1"/>
  <c r="W144" i="6" a="1"/>
  <c r="W144" i="6" s="1"/>
  <c r="W159" i="6" s="1" a="1"/>
  <c r="W159" i="6" s="1"/>
  <c r="W127" i="6" a="1"/>
  <c r="W127" i="6" s="1"/>
  <c r="W183" i="6" a="1"/>
  <c r="W183" i="6" s="1"/>
  <c r="V139" i="6" a="1"/>
  <c r="V139" i="6" s="1"/>
  <c r="V154" i="6" s="1" a="1"/>
  <c r="V154" i="6" s="1"/>
  <c r="K12" i="9" a="1"/>
  <c r="K12" i="9" s="1"/>
  <c r="W143" i="6" a="1"/>
  <c r="W143" i="6" s="1"/>
  <c r="W158" i="6" s="1" a="1"/>
  <c r="W158" i="6" s="1"/>
  <c r="W173" i="6" s="1" a="1"/>
  <c r="W173" i="6" s="1"/>
  <c r="N129" i="6" a="1"/>
  <c r="N129" i="6" s="1"/>
  <c r="N144" i="6" s="1" a="1"/>
  <c r="N144" i="6" s="1"/>
  <c r="N159" i="6" s="1" a="1"/>
  <c r="N159" i="6" s="1"/>
  <c r="Q168" i="6" a="1"/>
  <c r="Q168" i="6" s="1"/>
  <c r="V146" i="6" a="1"/>
  <c r="V146" i="6" s="1"/>
  <c r="P10" i="9" a="1"/>
  <c r="P10" i="9" s="1"/>
  <c r="P130" i="6" a="1"/>
  <c r="P130" i="6" s="1"/>
  <c r="U105" i="6" a="1"/>
  <c r="U105" i="6" s="1"/>
  <c r="U120" i="6" s="1" a="1"/>
  <c r="U120" i="6" s="1"/>
  <c r="V134" i="6" a="1"/>
  <c r="V134" i="6" s="1"/>
  <c r="V149" i="6" s="1" a="1"/>
  <c r="V149" i="6" s="1"/>
  <c r="V177" i="6" a="1"/>
  <c r="V177" i="6" s="1"/>
  <c r="U136" i="6" a="1"/>
  <c r="U136" i="6" s="1"/>
  <c r="U151" i="6" s="1" a="1"/>
  <c r="U151" i="6" s="1"/>
  <c r="O160" i="6" a="1"/>
  <c r="O160" i="6" s="1"/>
  <c r="O175" i="6" s="1" a="1"/>
  <c r="O175" i="6" s="1"/>
  <c r="O158" i="6" a="1"/>
  <c r="O158" i="6" s="1"/>
  <c r="O173" i="6" s="1" a="1"/>
  <c r="O173" i="6" s="1"/>
  <c r="R11" i="9" a="1"/>
  <c r="R11" i="9" s="1"/>
  <c r="J12" i="9" a="1"/>
  <c r="J12" i="9" s="1"/>
  <c r="P147" i="6" a="1"/>
  <c r="P147" i="6" s="1"/>
  <c r="P162" i="6" s="1" a="1"/>
  <c r="P162" i="6" s="1"/>
  <c r="U152" i="6" a="1"/>
  <c r="U152" i="6" s="1"/>
  <c r="W135" i="6" a="1"/>
  <c r="W135" i="6" s="1"/>
  <c r="W150" i="6" s="1" a="1"/>
  <c r="W150" i="6" s="1"/>
  <c r="U109" i="6" a="1"/>
  <c r="U109" i="6" s="1"/>
  <c r="U134" i="6" a="1"/>
  <c r="U134" i="6" s="1"/>
  <c r="W164" i="6" a="1"/>
  <c r="W164" i="6" s="1"/>
  <c r="W179" i="6" s="1" a="1"/>
  <c r="W179" i="6" s="1"/>
  <c r="U129" i="6" a="1"/>
  <c r="U129" i="6" s="1"/>
  <c r="U144" i="6" s="1" a="1"/>
  <c r="U144" i="6" s="1"/>
  <c r="O134" i="6" a="1"/>
  <c r="O134" i="6" s="1"/>
  <c r="O152" i="6" a="1"/>
  <c r="O152" i="6" s="1"/>
  <c r="O167" i="6" s="1" a="1"/>
  <c r="O167" i="6" s="1"/>
  <c r="W116" i="6" a="1"/>
  <c r="W116" i="6" s="1"/>
  <c r="W131" i="6" s="1" a="1"/>
  <c r="W131" i="6" s="1"/>
  <c r="W146" i="6" s="1" a="1"/>
  <c r="W146" i="6" s="1"/>
  <c r="U138" i="6" a="1"/>
  <c r="U138" i="6" s="1"/>
  <c r="U153" i="6" s="1" a="1"/>
  <c r="U153" i="6" s="1"/>
  <c r="N131" i="6" a="1"/>
  <c r="N131" i="6" s="1"/>
  <c r="N146" i="6" s="1" a="1"/>
  <c r="N146" i="6" s="1"/>
  <c r="N180" i="6" a="1"/>
  <c r="N180" i="6" s="1"/>
  <c r="W142" i="6" a="1"/>
  <c r="W142" i="6" s="1"/>
  <c r="Q128" i="6" a="1"/>
  <c r="Q128" i="6" s="1"/>
  <c r="W132" i="6" a="1"/>
  <c r="W132" i="6" s="1"/>
  <c r="V145" i="6" a="1"/>
  <c r="V145" i="6" s="1"/>
  <c r="O138" i="6" a="1"/>
  <c r="O138" i="6" s="1"/>
  <c r="O114" i="6" a="1"/>
  <c r="O114" i="6" s="1"/>
  <c r="V122" i="6" a="1"/>
  <c r="V122" i="6" s="1"/>
  <c r="Q147" i="6" a="1"/>
  <c r="Q147" i="6" s="1"/>
  <c r="Q162" i="6" s="1" a="1"/>
  <c r="Q162" i="6" s="1"/>
  <c r="O150" i="6" a="1"/>
  <c r="O150" i="6" s="1"/>
  <c r="V142" i="6" a="1"/>
  <c r="V142" i="6" s="1"/>
  <c r="W136" i="6" a="1"/>
  <c r="W136" i="6" s="1"/>
  <c r="W151" i="6" s="1" a="1"/>
  <c r="W151" i="6" s="1"/>
  <c r="U86" i="6" a="1"/>
  <c r="U86" i="6" s="1"/>
  <c r="O131" i="6" a="1"/>
  <c r="O131" i="6" s="1"/>
  <c r="N113" i="6" a="1"/>
  <c r="N113" i="6" s="1"/>
  <c r="Q142" i="6" l="1" a="1"/>
  <c r="Q142" i="6" s="1"/>
  <c r="N174" i="6" a="1"/>
  <c r="N174" i="6" s="1"/>
  <c r="V151" i="6" a="1"/>
  <c r="V151" i="6" s="1"/>
  <c r="V166" i="6" s="1" a="1"/>
  <c r="V166" i="6" s="1"/>
  <c r="V181" i="6" s="1" a="1"/>
  <c r="V181" i="6" s="1"/>
  <c r="U168" i="6" a="1"/>
  <c r="U168" i="6" s="1"/>
  <c r="U183" i="6" s="1" a="1"/>
  <c r="U183" i="6" s="1"/>
  <c r="U175" i="6" a="1"/>
  <c r="U175" i="6" s="1"/>
  <c r="P177" i="6" a="1"/>
  <c r="P177" i="6" s="1"/>
  <c r="O172" i="6" a="1"/>
  <c r="O172" i="6" s="1"/>
  <c r="E122" i="1" s="1" a="1"/>
  <c r="E122" i="1" s="1"/>
  <c r="U157" i="6" a="1"/>
  <c r="U157" i="6" s="1"/>
  <c r="U172" i="6" s="1" a="1"/>
  <c r="U172" i="6" s="1"/>
  <c r="U159" i="6" a="1"/>
  <c r="U159" i="6" s="1"/>
  <c r="I13" i="9" a="1"/>
  <c r="I13" i="9" s="1"/>
  <c r="Q143" i="6" a="1"/>
  <c r="Q143" i="6" s="1"/>
  <c r="L14" i="9" a="1"/>
  <c r="L14" i="9" s="1"/>
  <c r="U149" i="6" a="1"/>
  <c r="U149" i="6" s="1"/>
  <c r="U164" i="6" s="1" a="1"/>
  <c r="U164" i="6" s="1"/>
  <c r="U135" i="6" a="1"/>
  <c r="U135" i="6" s="1"/>
  <c r="U150" i="6" s="1" a="1"/>
  <c r="U150" i="6" s="1"/>
  <c r="V137" i="6" a="1"/>
  <c r="V137" i="6" s="1"/>
  <c r="V152" i="6" s="1" a="1"/>
  <c r="V152" i="6" s="1"/>
  <c r="W165" i="6" a="1"/>
  <c r="W165" i="6" s="1"/>
  <c r="U174" i="6" a="1"/>
  <c r="U174" i="6" s="1"/>
  <c r="U124" i="6" a="1"/>
  <c r="U124" i="6" s="1"/>
  <c r="U139" i="6" s="1" a="1"/>
  <c r="U139" i="6" s="1"/>
  <c r="U154" i="6" s="1" a="1"/>
  <c r="U154" i="6" s="1"/>
  <c r="U101" i="6" a="1"/>
  <c r="U101" i="6" s="1"/>
  <c r="P12" i="9" s="1" a="1"/>
  <c r="P12" i="9" s="1"/>
  <c r="O153" i="6" a="1"/>
  <c r="O153" i="6" s="1"/>
  <c r="O168" i="6" s="1" a="1"/>
  <c r="O168" i="6" s="1"/>
  <c r="P11" i="9" a="1"/>
  <c r="P11" i="9" s="1"/>
  <c r="N172" i="6" a="1"/>
  <c r="N172" i="6" s="1"/>
  <c r="W157" i="6" a="1"/>
  <c r="W157" i="6" s="1"/>
  <c r="O149" i="6" a="1"/>
  <c r="O149" i="6" s="1"/>
  <c r="P145" i="6" a="1"/>
  <c r="P145" i="6" s="1"/>
  <c r="U166" i="6" a="1"/>
  <c r="U166" i="6" s="1"/>
  <c r="U181" i="6" s="1" a="1"/>
  <c r="U181" i="6" s="1"/>
  <c r="U143" i="6" a="1"/>
  <c r="U143" i="6" s="1"/>
  <c r="W174" i="6" a="1"/>
  <c r="W174" i="6" s="1"/>
  <c r="V129" i="6" a="1"/>
  <c r="V129" i="6" s="1"/>
  <c r="V144" i="6" s="1" a="1"/>
  <c r="V144" i="6" s="1"/>
  <c r="U167" i="6" a="1"/>
  <c r="U167" i="6" s="1"/>
  <c r="V120" i="6" a="1"/>
  <c r="V120" i="6" s="1"/>
  <c r="V173" i="6" a="1"/>
  <c r="V173" i="6" s="1"/>
  <c r="W147" i="6" a="1"/>
  <c r="W147" i="6" s="1"/>
  <c r="V160" i="6" a="1"/>
  <c r="V160" i="6" s="1"/>
  <c r="V175" i="6" s="1" a="1"/>
  <c r="V175" i="6" s="1"/>
  <c r="V164" i="6" a="1"/>
  <c r="V164" i="6" s="1"/>
  <c r="O165" i="6" a="1"/>
  <c r="O165" i="6" s="1"/>
  <c r="N128" i="6" a="1"/>
  <c r="N128" i="6" s="1"/>
  <c r="I14" i="9" s="1" a="1"/>
  <c r="I14" i="9" s="1"/>
  <c r="V169" i="6" a="1"/>
  <c r="V169" i="6" s="1"/>
  <c r="V157" i="6" a="1"/>
  <c r="V157" i="6" s="1"/>
  <c r="V172" i="6" s="1" a="1"/>
  <c r="V172" i="6" s="1"/>
  <c r="J13" i="9" a="1"/>
  <c r="J13" i="9" s="1"/>
  <c r="W166" i="6" a="1"/>
  <c r="W166" i="6" s="1"/>
  <c r="W181" i="6" s="1" a="1"/>
  <c r="W181" i="6" s="1"/>
  <c r="Q177" i="6" a="1"/>
  <c r="Q177" i="6" s="1"/>
  <c r="Q183" i="6" s="1" a="1"/>
  <c r="Q183" i="6" s="1"/>
  <c r="V179" i="6" a="1"/>
  <c r="V179" i="6" s="1"/>
  <c r="R12" i="9" a="1"/>
  <c r="R12" i="9" s="1"/>
  <c r="O129" i="6" a="1"/>
  <c r="O129" i="6" s="1"/>
  <c r="J14" i="9" s="1" a="1"/>
  <c r="J14" i="9" s="1"/>
  <c r="W122" i="6" a="1"/>
  <c r="W122" i="6" s="1"/>
  <c r="U132" i="6" a="1"/>
  <c r="U132" i="6" s="1"/>
  <c r="N143" i="6" l="1" a="1"/>
  <c r="N143" i="6" s="1"/>
  <c r="I15" i="9" s="1" a="1"/>
  <c r="I15" i="9" s="1"/>
  <c r="Q157" i="6" a="1"/>
  <c r="Q157" i="6" s="1"/>
  <c r="Q158" i="6" a="1"/>
  <c r="Q158" i="6" s="1"/>
  <c r="W137" i="6" a="1"/>
  <c r="W137" i="6" s="1"/>
  <c r="R14" i="9" s="1" a="1"/>
  <c r="R14" i="9" s="1"/>
  <c r="U169" i="6" a="1"/>
  <c r="U169" i="6" s="1"/>
  <c r="W162" i="6" a="1"/>
  <c r="W162" i="6" s="1"/>
  <c r="W177" i="6" s="1" a="1"/>
  <c r="W177" i="6" s="1"/>
  <c r="U165" i="6" a="1"/>
  <c r="U165" i="6" s="1"/>
  <c r="U180" i="6" s="1" a="1"/>
  <c r="U180" i="6" s="1"/>
  <c r="U184" i="6" s="1" a="1"/>
  <c r="U184" i="6" s="1"/>
  <c r="V135" i="6" a="1"/>
  <c r="V135" i="6" s="1"/>
  <c r="V150" i="6" s="1" a="1"/>
  <c r="V150" i="6" s="1"/>
  <c r="V165" i="6" s="1" a="1"/>
  <c r="V165" i="6" s="1"/>
  <c r="U116" i="6" a="1"/>
  <c r="U116" i="6" s="1"/>
  <c r="U131" i="6" s="1" a="1"/>
  <c r="U131" i="6" s="1"/>
  <c r="O183" i="6" a="1"/>
  <c r="O183" i="6" s="1"/>
  <c r="E121" i="1" a="1"/>
  <c r="E121" i="1" s="1"/>
  <c r="O144" i="6" a="1"/>
  <c r="O144" i="6" s="1"/>
  <c r="P160" i="6" a="1"/>
  <c r="P160" i="6" s="1"/>
  <c r="P175" i="6" a="1"/>
  <c r="P175" i="6" s="1"/>
  <c r="U158" i="6" a="1"/>
  <c r="U158" i="6" s="1"/>
  <c r="U147" i="6" a="1"/>
  <c r="U147" i="6" s="1"/>
  <c r="L15" i="9" a="1"/>
  <c r="L15" i="9" s="1"/>
  <c r="Q173" i="6" a="1"/>
  <c r="Q173" i="6" s="1"/>
  <c r="R13" i="9" a="1"/>
  <c r="R13" i="9" s="1"/>
  <c r="L16" i="9" l="1" a="1"/>
  <c r="L16" i="9" s="1"/>
  <c r="Q172" i="6" a="1"/>
  <c r="Q172" i="6" s="1"/>
  <c r="AW36" i="6" s="1" a="1"/>
  <c r="AW36" i="6" s="1"/>
  <c r="AW156" i="6" a="1"/>
  <c r="AW156" i="6" s="1"/>
  <c r="AQ67" i="6" a="1"/>
  <c r="AQ67" i="6" s="1"/>
  <c r="AW67" i="6" a="1"/>
  <c r="AW67" i="6" s="1"/>
  <c r="AW169" i="6" a="1"/>
  <c r="AW169" i="6" s="1"/>
  <c r="AW100" i="6" a="1"/>
  <c r="AW100" i="6" s="1"/>
  <c r="AW94" i="6" a="1"/>
  <c r="AW94" i="6" s="1"/>
  <c r="AW13" i="6" a="1"/>
  <c r="AW13" i="6" s="1"/>
  <c r="AW63" i="6" a="1"/>
  <c r="AW63" i="6" s="1"/>
  <c r="AW46" i="6" a="1"/>
  <c r="AW46" i="6" s="1"/>
  <c r="AW86" i="6" a="1"/>
  <c r="AW86" i="6" s="1"/>
  <c r="AW144" i="6" a="1"/>
  <c r="AW144" i="6" s="1"/>
  <c r="AQ160" i="6" a="1"/>
  <c r="AQ160" i="6" s="1"/>
  <c r="AW43" i="6" a="1"/>
  <c r="AW43" i="6" s="1"/>
  <c r="AW116" i="6" a="1"/>
  <c r="AW116" i="6" s="1"/>
  <c r="AW45" i="6" a="1"/>
  <c r="AW45" i="6" s="1"/>
  <c r="AW82" i="6" a="1"/>
  <c r="AW82" i="6" s="1"/>
  <c r="AW26" i="6" a="1"/>
  <c r="AW26" i="6" s="1"/>
  <c r="AW76" i="6" a="1"/>
  <c r="AW76" i="6" s="1"/>
  <c r="AW70" i="6" a="1"/>
  <c r="AW70" i="6" s="1"/>
  <c r="AW177" i="6" a="1"/>
  <c r="AW177" i="6" s="1"/>
  <c r="AW185" i="6" a="1"/>
  <c r="AW185" i="6" s="1"/>
  <c r="AW57" i="6" a="1"/>
  <c r="AW57" i="6" s="1"/>
  <c r="AW139" i="6" a="1"/>
  <c r="AW139" i="6" s="1"/>
  <c r="AW181" i="6" a="1"/>
  <c r="AW181" i="6" s="1"/>
  <c r="AW27" i="6" a="1"/>
  <c r="AW27" i="6" s="1"/>
  <c r="AW90" i="6" a="1"/>
  <c r="AW90" i="6" s="1"/>
  <c r="AW155" i="6" a="1"/>
  <c r="AW155" i="6" s="1"/>
  <c r="AW60" i="6" a="1"/>
  <c r="AW60" i="6" s="1"/>
  <c r="AW18" i="6" a="1"/>
  <c r="AW18" i="6" s="1"/>
  <c r="AW62" i="6" a="1"/>
  <c r="AW62" i="6" s="1"/>
  <c r="AW11" i="6" a="1"/>
  <c r="AW11" i="6" s="1"/>
  <c r="AW42" i="6" a="1"/>
  <c r="AW42" i="6" s="1"/>
  <c r="AW142" i="6" a="1"/>
  <c r="AW142" i="6" s="1"/>
  <c r="AW172" i="6" a="1"/>
  <c r="AW172" i="6" s="1"/>
  <c r="AW117" i="6" a="1"/>
  <c r="AW117" i="6" s="1"/>
  <c r="AW140" i="6" a="1"/>
  <c r="AW140" i="6" s="1"/>
  <c r="AW183" i="6" a="1"/>
  <c r="AW183" i="6" s="1"/>
  <c r="AW174" i="6" a="1"/>
  <c r="AW174" i="6" s="1"/>
  <c r="AW107" i="6" a="1"/>
  <c r="AW107" i="6" s="1"/>
  <c r="AW32" i="6" a="1"/>
  <c r="AW32" i="6" s="1"/>
  <c r="AW184" i="6" a="1"/>
  <c r="AW184" i="6" s="1"/>
  <c r="AQ108" i="6" a="1"/>
  <c r="AQ108" i="6" s="1"/>
  <c r="AQ26" i="6" a="1"/>
  <c r="AQ26" i="6" s="1"/>
  <c r="AW154" i="6" a="1"/>
  <c r="AW154" i="6" s="1"/>
  <c r="AW106" i="6" a="1"/>
  <c r="AW106" i="6" s="1"/>
  <c r="AW31" i="6" a="1"/>
  <c r="AW31" i="6" s="1"/>
  <c r="AW99" i="6" a="1"/>
  <c r="AW99" i="6" s="1"/>
  <c r="AW75" i="6" a="1"/>
  <c r="AW75" i="6" s="1"/>
  <c r="AW29" i="6" a="1"/>
  <c r="AW29" i="6" s="1"/>
  <c r="AW97" i="6" a="1"/>
  <c r="AW97" i="6" s="1"/>
  <c r="AW182" i="6" a="1"/>
  <c r="AW182" i="6" s="1"/>
  <c r="AW129" i="6" a="1"/>
  <c r="AW129" i="6" s="1"/>
  <c r="AW80" i="6" a="1"/>
  <c r="AW80" i="6" s="1"/>
  <c r="AW131" i="6" a="1"/>
  <c r="AW131" i="6" s="1"/>
  <c r="AW77" i="6" a="1"/>
  <c r="AW77" i="6" s="1"/>
  <c r="AW171" i="6" a="1"/>
  <c r="AW171" i="6" s="1"/>
  <c r="AW9" i="6" a="1"/>
  <c r="AW9" i="6" s="1"/>
  <c r="AW134" i="6" a="1"/>
  <c r="AW134" i="6" s="1"/>
  <c r="AW78" i="6" a="1"/>
  <c r="AW78" i="6" s="1"/>
  <c r="AW147" i="6" a="1"/>
  <c r="AW147" i="6" s="1"/>
  <c r="AW128" i="6" a="1"/>
  <c r="AW128" i="6" s="1"/>
  <c r="AQ31" i="6" a="1"/>
  <c r="AQ31" i="6" s="1"/>
  <c r="AW91" i="6" a="1"/>
  <c r="AW91" i="6" s="1"/>
  <c r="AW145" i="6" a="1"/>
  <c r="AW145" i="6" s="1"/>
  <c r="AW105" i="6" a="1"/>
  <c r="AW105" i="6" s="1"/>
  <c r="AW132" i="6" a="1"/>
  <c r="AW132" i="6" s="1"/>
  <c r="AW157" i="6" a="1"/>
  <c r="AW157" i="6" s="1"/>
  <c r="AW112" i="6" a="1"/>
  <c r="AW112" i="6" s="1"/>
  <c r="AW47" i="6" a="1"/>
  <c r="AW47" i="6" s="1"/>
  <c r="AW56" i="6" a="1"/>
  <c r="AW56" i="6" s="1"/>
  <c r="AW49" i="6" a="1"/>
  <c r="AW49" i="6" s="1"/>
  <c r="AW102" i="6" a="1"/>
  <c r="AW102" i="6" s="1"/>
  <c r="AW40" i="6" a="1"/>
  <c r="AW40" i="6" s="1"/>
  <c r="AW186" i="6" a="1"/>
  <c r="AW186" i="6" s="1"/>
  <c r="AW114" i="6" a="1"/>
  <c r="AW114" i="6" s="1"/>
  <c r="AW143" i="6" a="1"/>
  <c r="AW143" i="6" s="1"/>
  <c r="AW54" i="6" a="1"/>
  <c r="AW54" i="6" s="1"/>
  <c r="AW135" i="6" a="1"/>
  <c r="AW135" i="6" s="1"/>
  <c r="AW124" i="6" a="1"/>
  <c r="AW124" i="6" s="1"/>
  <c r="AW89" i="6" a="1"/>
  <c r="AW89" i="6" s="1"/>
  <c r="AW25" i="6" a="1"/>
  <c r="AW25" i="6" s="1"/>
  <c r="AW65" i="6" a="1"/>
  <c r="AW65" i="6" s="1"/>
  <c r="U182" i="6" a="1"/>
  <c r="U182" i="6" s="1"/>
  <c r="U179" i="6" a="1"/>
  <c r="U179" i="6" s="1"/>
  <c r="U173" i="6" a="1"/>
  <c r="U173" i="6" s="1"/>
  <c r="AQ179" i="6" a="1"/>
  <c r="AQ179" i="6" s="1"/>
  <c r="W152" i="6" a="1"/>
  <c r="W152" i="6" s="1"/>
  <c r="AQ157" i="6" a="1"/>
  <c r="AQ157" i="6" s="1"/>
  <c r="AQ123" i="6" a="1"/>
  <c r="AQ123" i="6" s="1"/>
  <c r="AQ152" i="6" a="1"/>
  <c r="AQ152" i="6" s="1"/>
  <c r="AQ134" i="6" a="1"/>
  <c r="AQ134" i="6" s="1"/>
  <c r="AQ146" i="6" a="1"/>
  <c r="AQ146" i="6" s="1"/>
  <c r="AQ147" i="6" a="1"/>
  <c r="AQ147" i="6" s="1"/>
  <c r="AQ100" i="6" a="1"/>
  <c r="AQ100" i="6" s="1"/>
  <c r="AQ46" i="6" a="1"/>
  <c r="AQ46" i="6" s="1"/>
  <c r="AQ79" i="6" a="1"/>
  <c r="AQ79" i="6" s="1"/>
  <c r="V180" i="6" a="1"/>
  <c r="V180" i="6" s="1"/>
  <c r="AW7" i="6" a="1"/>
  <c r="AW7" i="6" s="1"/>
  <c r="AQ84" i="6" a="1"/>
  <c r="AQ84" i="6" s="1"/>
  <c r="AQ139" i="6" a="1"/>
  <c r="AQ139" i="6" s="1"/>
  <c r="AQ56" i="6" a="1"/>
  <c r="AQ56" i="6" s="1"/>
  <c r="AQ124" i="6" a="1"/>
  <c r="AQ124" i="6" s="1"/>
  <c r="AQ138" i="6" a="1"/>
  <c r="AQ138" i="6" s="1"/>
  <c r="AQ33" i="6" a="1"/>
  <c r="AQ33" i="6" s="1"/>
  <c r="AQ183" i="6" a="1"/>
  <c r="AQ183" i="6" s="1"/>
  <c r="AQ64" i="6" a="1"/>
  <c r="AQ64" i="6" s="1"/>
  <c r="AQ89" i="6" a="1"/>
  <c r="AQ89" i="6" s="1"/>
  <c r="AQ186" i="6" a="1"/>
  <c r="AQ186" i="6" s="1"/>
  <c r="AQ39" i="6" a="1"/>
  <c r="AQ39" i="6" s="1"/>
  <c r="AQ132" i="6" a="1"/>
  <c r="AQ132" i="6" s="1"/>
  <c r="AQ85" i="6" a="1"/>
  <c r="AQ85" i="6" s="1"/>
  <c r="AQ18" i="6" a="1"/>
  <c r="AQ18" i="6" s="1"/>
  <c r="AQ34" i="6" a="1"/>
  <c r="AQ34" i="6" s="1"/>
  <c r="AQ8" i="6" a="1"/>
  <c r="AQ8" i="6" s="1"/>
  <c r="AQ149" i="6" a="1"/>
  <c r="AQ149" i="6" s="1"/>
  <c r="AQ177" i="6" a="1"/>
  <c r="AQ177" i="6" s="1"/>
  <c r="AQ131" i="6" a="1"/>
  <c r="AQ131" i="6" s="1"/>
  <c r="AQ110" i="6" a="1"/>
  <c r="AQ110" i="6" s="1"/>
  <c r="AQ95" i="6" a="1"/>
  <c r="AQ95" i="6" s="1"/>
  <c r="AQ171" i="6" a="1"/>
  <c r="AQ171" i="6" s="1"/>
  <c r="AQ170" i="6" a="1"/>
  <c r="AQ170" i="6" s="1"/>
  <c r="AQ135" i="6" a="1"/>
  <c r="AQ135" i="6" s="1"/>
  <c r="AQ19" i="6" a="1"/>
  <c r="AQ19" i="6" s="1"/>
  <c r="AQ121" i="6" a="1"/>
  <c r="AQ121" i="6" s="1"/>
  <c r="AQ10" i="6" a="1"/>
  <c r="AQ10" i="6" s="1"/>
  <c r="AQ107" i="6" a="1"/>
  <c r="AQ107" i="6" s="1"/>
  <c r="AQ122" i="6" a="1"/>
  <c r="AQ122" i="6" s="1"/>
  <c r="AQ158" i="6" a="1"/>
  <c r="AQ158" i="6" s="1"/>
  <c r="AQ27" i="6" a="1"/>
  <c r="AQ27" i="6" s="1"/>
  <c r="AQ75" i="6" a="1"/>
  <c r="AQ75" i="6" s="1"/>
  <c r="AQ175" i="6" a="1"/>
  <c r="AQ175" i="6" s="1"/>
  <c r="AQ59" i="6" a="1"/>
  <c r="AQ59" i="6" s="1"/>
  <c r="AQ23" i="6" a="1"/>
  <c r="AQ23" i="6" s="1"/>
  <c r="AQ13" i="6" a="1"/>
  <c r="AQ13" i="6" s="1"/>
  <c r="AQ168" i="6" a="1"/>
  <c r="AQ168" i="6" s="1"/>
  <c r="AQ52" i="6" a="1"/>
  <c r="AQ52" i="6" s="1"/>
  <c r="AQ119" i="6" a="1"/>
  <c r="AQ119" i="6" s="1"/>
  <c r="AQ82" i="6" a="1"/>
  <c r="AQ82" i="6" s="1"/>
  <c r="AQ48" i="6" a="1"/>
  <c r="AQ48" i="6" s="1"/>
  <c r="AQ24" i="6" a="1"/>
  <c r="AQ24" i="6" s="1"/>
  <c r="AQ43" i="6" a="1"/>
  <c r="AQ43" i="6" s="1"/>
  <c r="AQ71" i="6" a="1"/>
  <c r="AQ71" i="6" s="1"/>
  <c r="AQ99" i="6" a="1"/>
  <c r="AQ99" i="6" s="1"/>
  <c r="AQ42" i="6" a="1"/>
  <c r="AQ42" i="6" s="1"/>
  <c r="AQ115" i="6" a="1"/>
  <c r="AQ115" i="6" s="1"/>
  <c r="AQ22" i="6" a="1"/>
  <c r="AQ22" i="6" s="1"/>
  <c r="AQ104" i="6" a="1"/>
  <c r="AQ104" i="6" s="1"/>
  <c r="AQ53" i="6" a="1"/>
  <c r="AQ53" i="6" s="1"/>
  <c r="AQ12" i="6" a="1"/>
  <c r="AQ12" i="6" s="1"/>
  <c r="AQ109" i="6" a="1"/>
  <c r="AQ109" i="6" s="1"/>
  <c r="AQ182" i="6" a="1"/>
  <c r="AQ182" i="6" s="1"/>
  <c r="AQ69" i="6" a="1"/>
  <c r="AQ69" i="6" s="1"/>
  <c r="AQ37" i="6" a="1"/>
  <c r="AQ37" i="6" s="1"/>
  <c r="AQ93" i="6" a="1"/>
  <c r="AQ93" i="6" s="1"/>
  <c r="AQ83" i="6" a="1"/>
  <c r="AQ83" i="6" s="1"/>
  <c r="AQ151" i="6" a="1"/>
  <c r="AQ151" i="6" s="1"/>
  <c r="AQ172" i="6" a="1"/>
  <c r="AQ172" i="6" s="1"/>
  <c r="AQ91" i="6" a="1"/>
  <c r="AQ91" i="6" s="1"/>
  <c r="AQ125" i="6" a="1"/>
  <c r="AQ125" i="6" s="1"/>
  <c r="AQ68" i="6" a="1"/>
  <c r="AQ68" i="6" s="1"/>
  <c r="AQ167" i="6" a="1"/>
  <c r="AQ167" i="6" s="1"/>
  <c r="AQ174" i="6" a="1"/>
  <c r="AQ174" i="6" s="1"/>
  <c r="AQ70" i="6" a="1"/>
  <c r="AQ70" i="6" s="1"/>
  <c r="AQ86" i="6" a="1"/>
  <c r="AQ86" i="6" s="1"/>
  <c r="AQ150" i="6" a="1"/>
  <c r="AQ150" i="6" s="1"/>
  <c r="AQ137" i="6" a="1"/>
  <c r="AQ137" i="6" s="1"/>
  <c r="AQ102" i="6" a="1"/>
  <c r="AQ102" i="6" s="1"/>
  <c r="AQ62" i="6" a="1"/>
  <c r="AQ62" i="6" s="1"/>
  <c r="AQ61" i="6" a="1"/>
  <c r="AQ61" i="6" s="1"/>
  <c r="AQ155" i="6" a="1"/>
  <c r="AQ155" i="6" s="1"/>
  <c r="AQ74" i="6" a="1"/>
  <c r="AQ74" i="6" s="1"/>
  <c r="AQ57" i="6" a="1"/>
  <c r="AQ57" i="6" s="1"/>
  <c r="AQ41" i="6" a="1"/>
  <c r="AQ41" i="6" s="1"/>
  <c r="AQ169" i="6" a="1"/>
  <c r="AQ169" i="6" s="1"/>
  <c r="AQ159" i="6" a="1"/>
  <c r="AQ159" i="6" s="1"/>
  <c r="AQ7" i="6" a="1"/>
  <c r="AQ7" i="6" s="1"/>
  <c r="AQ80" i="6" a="1"/>
  <c r="AQ80" i="6" s="1"/>
  <c r="AQ173" i="6" a="1"/>
  <c r="AQ173" i="6" s="1"/>
  <c r="AQ101" i="6" a="1"/>
  <c r="AQ101" i="6" s="1"/>
  <c r="AQ25" i="6" a="1"/>
  <c r="AQ25" i="6" s="1"/>
  <c r="AQ87" i="6" a="1"/>
  <c r="AQ87" i="6" s="1"/>
  <c r="AQ153" i="6" a="1"/>
  <c r="AQ153" i="6" s="1"/>
  <c r="AQ11" i="6" a="1"/>
  <c r="AQ11" i="6" s="1"/>
  <c r="L17" i="9" a="1"/>
  <c r="L17" i="9" s="1"/>
  <c r="L3" i="9" s="1" a="1"/>
  <c r="L3" i="9" s="1"/>
  <c r="AQ98" i="6" a="1"/>
  <c r="AQ98" i="6" s="1"/>
  <c r="AQ14" i="6" a="1"/>
  <c r="AQ14" i="6" s="1"/>
  <c r="AQ30" i="6" a="1"/>
  <c r="AQ30" i="6" s="1"/>
  <c r="AQ17" i="6" a="1"/>
  <c r="AQ17" i="6" s="1"/>
  <c r="AQ136" i="6" a="1"/>
  <c r="AQ136" i="6" s="1"/>
  <c r="AQ185" i="6" a="1"/>
  <c r="AQ185" i="6" s="1"/>
  <c r="AQ92" i="6" a="1"/>
  <c r="AQ92" i="6" s="1"/>
  <c r="AQ117" i="6" a="1"/>
  <c r="AQ117" i="6" s="1"/>
  <c r="AQ44" i="6" a="1"/>
  <c r="AQ44" i="6" s="1"/>
  <c r="AQ97" i="6" a="1"/>
  <c r="AQ97" i="6" s="1"/>
  <c r="AQ76" i="6" a="1"/>
  <c r="AQ76" i="6" s="1"/>
  <c r="AQ129" i="6" a="1"/>
  <c r="AQ129" i="6" s="1"/>
  <c r="AQ60" i="6" a="1"/>
  <c r="AQ60" i="6" s="1"/>
  <c r="AQ28" i="6" a="1"/>
  <c r="AQ28" i="6" s="1"/>
  <c r="AQ47" i="6" a="1"/>
  <c r="AQ47" i="6" s="1"/>
  <c r="AQ54" i="6" a="1"/>
  <c r="AQ54" i="6" s="1"/>
  <c r="AQ165" i="6" a="1"/>
  <c r="AQ165" i="6" s="1"/>
  <c r="AQ106" i="6" a="1"/>
  <c r="AQ106" i="6" s="1"/>
  <c r="AQ49" i="6" a="1"/>
  <c r="AQ49" i="6" s="1"/>
  <c r="AQ140" i="6" a="1"/>
  <c r="AQ140" i="6" s="1"/>
  <c r="AQ65" i="6" a="1"/>
  <c r="AQ65" i="6" s="1"/>
  <c r="AQ164" i="6" a="1"/>
  <c r="AQ164" i="6" s="1"/>
  <c r="AQ112" i="6" a="1"/>
  <c r="AQ112" i="6" s="1"/>
  <c r="AQ144" i="6" a="1"/>
  <c r="AQ144" i="6" s="1"/>
  <c r="AQ45" i="6" a="1"/>
  <c r="AQ45" i="6" s="1"/>
  <c r="AQ166" i="6" a="1"/>
  <c r="AQ166" i="6" s="1"/>
  <c r="AQ184" i="6" a="1"/>
  <c r="AQ184" i="6" s="1"/>
  <c r="AQ15" i="6" a="1"/>
  <c r="AQ15" i="6" s="1"/>
  <c r="AQ94" i="6" a="1"/>
  <c r="AQ94" i="6" s="1"/>
  <c r="AQ162" i="6" a="1"/>
  <c r="AQ162" i="6" s="1"/>
  <c r="AQ143" i="6" a="1"/>
  <c r="AQ143" i="6" s="1"/>
  <c r="AQ32" i="6" a="1"/>
  <c r="AQ32" i="6" s="1"/>
  <c r="AQ90" i="6" a="1"/>
  <c r="AQ90" i="6" s="1"/>
  <c r="AQ63" i="6" a="1"/>
  <c r="AQ63" i="6" s="1"/>
  <c r="AQ29" i="6" a="1"/>
  <c r="AQ29" i="6" s="1"/>
  <c r="AQ113" i="6" a="1"/>
  <c r="AQ113" i="6" s="1"/>
  <c r="AQ154" i="6" a="1"/>
  <c r="AQ154" i="6" s="1"/>
  <c r="AQ130" i="6" a="1"/>
  <c r="AQ130" i="6" s="1"/>
  <c r="AQ9" i="6" a="1"/>
  <c r="AQ9" i="6" s="1"/>
  <c r="AQ105" i="6" a="1"/>
  <c r="AQ105" i="6" s="1"/>
  <c r="AQ120" i="6" a="1"/>
  <c r="AQ120" i="6" s="1"/>
  <c r="AQ128" i="6" a="1"/>
  <c r="AQ128" i="6" s="1"/>
  <c r="AQ127" i="6" a="1"/>
  <c r="AQ127" i="6" s="1"/>
  <c r="U162" i="6" a="1"/>
  <c r="U162" i="6" s="1"/>
  <c r="U146" i="6" a="1"/>
  <c r="U146" i="6" s="1"/>
  <c r="AQ38" i="6" a="1"/>
  <c r="AQ38" i="6" s="1"/>
  <c r="AQ77" i="6" a="1"/>
  <c r="AQ77" i="6" s="1"/>
  <c r="AQ55" i="6" a="1"/>
  <c r="AQ55" i="6" s="1"/>
  <c r="O146" i="6" a="1"/>
  <c r="O146" i="6" s="1"/>
  <c r="O182" i="6" a="1"/>
  <c r="O182" i="6" s="1"/>
  <c r="O164" i="6" a="1"/>
  <c r="O164" i="6" s="1"/>
  <c r="O180" i="6" a="1"/>
  <c r="O180" i="6" s="1"/>
  <c r="O159" i="6" a="1"/>
  <c r="O159" i="6" s="1"/>
  <c r="AW119" i="6" l="1" a="1"/>
  <c r="AW119" i="6" s="1"/>
  <c r="AW153" i="6" a="1"/>
  <c r="AW153" i="6" s="1"/>
  <c r="AW64" i="6" a="1"/>
  <c r="AW64" i="6" s="1"/>
  <c r="AW23" i="6" a="1"/>
  <c r="AW23" i="6" s="1"/>
  <c r="AW83" i="6" a="1"/>
  <c r="AW83" i="6" s="1"/>
  <c r="AW14" i="6" a="1"/>
  <c r="AW14" i="6" s="1"/>
  <c r="AW39" i="6" a="1"/>
  <c r="AW39" i="6" s="1"/>
  <c r="AW165" i="6" a="1"/>
  <c r="AW165" i="6" s="1"/>
  <c r="AW59" i="6" a="1"/>
  <c r="AW59" i="6" s="1"/>
  <c r="AW138" i="6" a="1"/>
  <c r="AW138" i="6" s="1"/>
  <c r="AW126" i="6" a="1"/>
  <c r="AW126" i="6" s="1"/>
  <c r="AW162" i="6" a="1"/>
  <c r="AW162" i="6" s="1"/>
  <c r="AW38" i="6" a="1"/>
  <c r="AW38" i="6" s="1"/>
  <c r="AW125" i="6" a="1"/>
  <c r="AW125" i="6" s="1"/>
  <c r="AW72" i="6" a="1"/>
  <c r="AW72" i="6" s="1"/>
  <c r="AW121" i="6" a="1"/>
  <c r="AW121" i="6" s="1"/>
  <c r="AW53" i="6" a="1"/>
  <c r="AW53" i="6" s="1"/>
  <c r="AW170" i="6" a="1"/>
  <c r="AW170" i="6" s="1"/>
  <c r="AW164" i="6" a="1"/>
  <c r="AW164" i="6" s="1"/>
  <c r="AQ114" i="6" a="1"/>
  <c r="AQ114" i="6" s="1"/>
  <c r="AQ36" i="6" a="1"/>
  <c r="AQ36" i="6" s="1"/>
  <c r="AW8" i="6" a="1"/>
  <c r="AW8" i="6" s="1"/>
  <c r="AQ40" i="6" a="1"/>
  <c r="AQ40" i="6" s="1"/>
  <c r="AW61" i="6" a="1"/>
  <c r="AW61" i="6" s="1"/>
  <c r="AW85" i="6" a="1"/>
  <c r="AW85" i="6" s="1"/>
  <c r="AW12" i="6" a="1"/>
  <c r="AW12" i="6" s="1"/>
  <c r="AW15" i="6" a="1"/>
  <c r="AW15" i="6" s="1"/>
  <c r="AW34" i="6" a="1"/>
  <c r="AW34" i="6" s="1"/>
  <c r="AW179" i="6" a="1"/>
  <c r="AW179" i="6" s="1"/>
  <c r="AQ51" i="6" a="1"/>
  <c r="AQ51" i="6" s="1"/>
  <c r="AW51" i="6" a="1"/>
  <c r="AW51" i="6" s="1"/>
  <c r="AW33" i="6" a="1"/>
  <c r="AW33" i="6" s="1"/>
  <c r="AQ181" i="6" a="1"/>
  <c r="AQ181" i="6" s="1"/>
  <c r="AW52" i="6" a="1"/>
  <c r="AW52" i="6" s="1"/>
  <c r="AW136" i="6" a="1"/>
  <c r="AW136" i="6" s="1"/>
  <c r="AW113" i="6" a="1"/>
  <c r="AW113" i="6" s="1"/>
  <c r="AW120" i="6" a="1"/>
  <c r="AW120" i="6" s="1"/>
  <c r="AW180" i="6" a="1"/>
  <c r="AW180" i="6" s="1"/>
  <c r="AW19" i="6" a="1"/>
  <c r="AW19" i="6" s="1"/>
  <c r="AW21" i="6" a="1"/>
  <c r="AW21" i="6" s="1"/>
  <c r="AW141" i="6" a="1"/>
  <c r="AW141" i="6" s="1"/>
  <c r="AW152" i="6" a="1"/>
  <c r="AW152" i="6" s="1"/>
  <c r="AW150" i="6" a="1"/>
  <c r="AW150" i="6" s="1"/>
  <c r="AW167" i="6" a="1"/>
  <c r="AW167" i="6" s="1"/>
  <c r="AW130" i="6" a="1"/>
  <c r="AW130" i="6" s="1"/>
  <c r="AW127" i="6" a="1"/>
  <c r="AW127" i="6" s="1"/>
  <c r="AW79" i="6" a="1"/>
  <c r="AW79" i="6" s="1"/>
  <c r="AW175" i="6" a="1"/>
  <c r="AW175" i="6" s="1"/>
  <c r="AW158" i="6" a="1"/>
  <c r="AW158" i="6" s="1"/>
  <c r="AQ21" i="6" a="1"/>
  <c r="AQ21" i="6" s="1"/>
  <c r="AQ111" i="6" a="1"/>
  <c r="AQ111" i="6" s="1"/>
  <c r="AW173" i="6" a="1"/>
  <c r="AW173" i="6" s="1"/>
  <c r="AW24" i="6" a="1"/>
  <c r="AW24" i="6" s="1"/>
  <c r="AW137" i="6" a="1"/>
  <c r="AW137" i="6" s="1"/>
  <c r="AW16" i="6" a="1"/>
  <c r="AW16" i="6" s="1"/>
  <c r="AW115" i="6" a="1"/>
  <c r="AW115" i="6" s="1"/>
  <c r="AW17" i="6" a="1"/>
  <c r="AW17" i="6" s="1"/>
  <c r="AW95" i="6" a="1"/>
  <c r="AW95" i="6" s="1"/>
  <c r="AW55" i="6" a="1"/>
  <c r="AW55" i="6" s="1"/>
  <c r="AW98" i="6" a="1"/>
  <c r="AW98" i="6" s="1"/>
  <c r="AQ66" i="6" a="1"/>
  <c r="AQ66" i="6" s="1"/>
  <c r="AW168" i="6" a="1"/>
  <c r="AW168" i="6" s="1"/>
  <c r="AW74" i="6" a="1"/>
  <c r="AW74" i="6" s="1"/>
  <c r="AW104" i="6" a="1"/>
  <c r="AW104" i="6" s="1"/>
  <c r="AW22" i="6" a="1"/>
  <c r="AW22" i="6" s="1"/>
  <c r="AW30" i="6" a="1"/>
  <c r="AW30" i="6" s="1"/>
  <c r="AW87" i="6" a="1"/>
  <c r="AW87" i="6" s="1"/>
  <c r="AW41" i="6" a="1"/>
  <c r="AW41" i="6" s="1"/>
  <c r="AW151" i="6" a="1"/>
  <c r="AW151" i="6" s="1"/>
  <c r="AW123" i="6" a="1"/>
  <c r="AW123" i="6" s="1"/>
  <c r="AW159" i="6" a="1"/>
  <c r="AW159" i="6" s="1"/>
  <c r="AW146" i="6" a="1"/>
  <c r="AW146" i="6" s="1"/>
  <c r="AW44" i="6" a="1"/>
  <c r="AW44" i="6" s="1"/>
  <c r="AW108" i="6" a="1"/>
  <c r="AW108" i="6" s="1"/>
  <c r="AW109" i="6" a="1"/>
  <c r="AW109" i="6" s="1"/>
  <c r="AW37" i="6" a="1"/>
  <c r="AW37" i="6" s="1"/>
  <c r="AW101" i="6" a="1"/>
  <c r="AW101" i="6" s="1"/>
  <c r="AW166" i="6" a="1"/>
  <c r="AW166" i="6" s="1"/>
  <c r="AW68" i="6" a="1"/>
  <c r="AW68" i="6" s="1"/>
  <c r="AW71" i="6" a="1"/>
  <c r="AW71" i="6" s="1"/>
  <c r="AW69" i="6" a="1"/>
  <c r="AW69" i="6" s="1"/>
  <c r="AW110" i="6" a="1"/>
  <c r="AW110" i="6" s="1"/>
  <c r="AQ16" i="6" a="1"/>
  <c r="AQ16" i="6" s="1"/>
  <c r="AW10" i="6" a="1"/>
  <c r="AW10" i="6" s="1"/>
  <c r="AW84" i="6" a="1"/>
  <c r="AW84" i="6" s="1"/>
  <c r="AW92" i="6" a="1"/>
  <c r="AW92" i="6" s="1"/>
  <c r="AW160" i="6" a="1"/>
  <c r="AW160" i="6" s="1"/>
  <c r="AW93" i="6" a="1"/>
  <c r="AW93" i="6" s="1"/>
  <c r="AW149" i="6" a="1"/>
  <c r="AW149" i="6" s="1"/>
  <c r="AW122" i="6" a="1"/>
  <c r="AW122" i="6" s="1"/>
  <c r="AW28" i="6" a="1"/>
  <c r="AW28" i="6" s="1"/>
  <c r="AQ72" i="6" a="1"/>
  <c r="AQ72" i="6" s="1"/>
  <c r="AQ180" i="6" a="1"/>
  <c r="AQ180" i="6" s="1"/>
  <c r="AQ116" i="6" a="1"/>
  <c r="AQ116" i="6" s="1"/>
  <c r="AQ145" i="6" a="1"/>
  <c r="AQ145" i="6" s="1"/>
  <c r="AQ78" i="6" a="1"/>
  <c r="AQ78" i="6" s="1"/>
  <c r="AW48" i="6" a="1"/>
  <c r="AW48" i="6" s="1"/>
  <c r="O179" i="6" a="1"/>
  <c r="O179" i="6" s="1"/>
  <c r="AQ35" i="6" a="1"/>
  <c r="AQ35" i="6" s="1"/>
  <c r="AQ156" i="6" a="1"/>
  <c r="AQ156" i="6" s="1"/>
  <c r="AW35" i="6" a="1"/>
  <c r="AW35" i="6" s="1"/>
  <c r="AQ81" i="6" a="1"/>
  <c r="AQ81" i="6" s="1"/>
  <c r="AQ96" i="6" a="1"/>
  <c r="AQ96" i="6" s="1"/>
  <c r="AW81" i="6" a="1"/>
  <c r="AW81" i="6" s="1"/>
  <c r="AQ126" i="6" a="1"/>
  <c r="AQ126" i="6" s="1"/>
  <c r="E124" i="1" a="1"/>
  <c r="E124" i="1" s="1"/>
  <c r="AW20" i="6" a="1"/>
  <c r="AW20" i="6" s="1"/>
  <c r="AW111" i="6" a="1"/>
  <c r="AW111" i="6" s="1"/>
  <c r="AQ142" i="6" a="1"/>
  <c r="AQ142" i="6" s="1"/>
  <c r="AQ141" i="6" a="1"/>
  <c r="AQ141" i="6" s="1"/>
  <c r="AQ20" i="6" a="1"/>
  <c r="AQ20" i="6" s="1"/>
  <c r="AW66" i="6" a="1"/>
  <c r="AW66" i="6" s="1"/>
  <c r="AW50" i="6" a="1"/>
  <c r="AW50" i="6" s="1"/>
  <c r="AQ50" i="6" a="1"/>
  <c r="AQ50" i="6" s="1"/>
  <c r="AW96" i="6" a="1"/>
  <c r="AW96" i="6" s="1"/>
  <c r="W167" i="6" a="1"/>
  <c r="W167" i="6" s="1"/>
  <c r="O174" i="6" a="1"/>
  <c r="O174" i="6" s="1"/>
  <c r="U177" i="6" a="1"/>
  <c r="U177" i="6" s="1"/>
  <c r="W182" i="6" l="1" a="1"/>
  <c r="W182" i="6" s="1"/>
  <c r="W180" i="6" l="1" a="1"/>
  <c r="W180" i="6" s="1"/>
  <c r="W172" i="6" a="1"/>
  <c r="W172" i="6" s="1"/>
  <c r="N158" i="6" l="1" a="1"/>
  <c r="N158" i="6" s="1"/>
  <c r="V159" i="6" a="1"/>
  <c r="V159" i="6" s="1"/>
  <c r="V167" i="6" a="1"/>
  <c r="V167" i="6" s="1"/>
  <c r="V182" i="6" s="1" a="1"/>
  <c r="V182" i="6" s="1"/>
  <c r="V184" i="6" a="1"/>
  <c r="V184" i="6" s="1"/>
  <c r="V174" i="6" l="1" a="1"/>
  <c r="V174" i="6" s="1"/>
  <c r="I16" i="9" a="1"/>
  <c r="I16" i="9" s="1"/>
  <c r="N173" i="6" a="1"/>
  <c r="N173" i="6" s="1"/>
  <c r="I17" i="9" l="1" a="1"/>
  <c r="I17" i="9" s="1"/>
  <c r="I3" i="9" s="1" a="1"/>
  <c r="I3" i="9" s="1"/>
  <c r="P141" i="6" l="1" a="1"/>
  <c r="P141" i="6" s="1"/>
  <c r="O156" i="6" a="1"/>
  <c r="O156" i="6" s="1"/>
  <c r="J15" i="9" s="1" a="1"/>
  <c r="J15" i="9" s="1"/>
  <c r="U126" i="6" a="1"/>
  <c r="U126" i="6" s="1"/>
  <c r="V111" i="6" a="1"/>
  <c r="V111" i="6" s="1"/>
  <c r="W156" i="6" a="1"/>
  <c r="W156" i="6" s="1"/>
  <c r="K14" i="9" l="1" a="1"/>
  <c r="K14" i="9" s="1"/>
  <c r="R15" i="9" a="1"/>
  <c r="R15" i="9" s="1"/>
  <c r="W171" i="6" a="1"/>
  <c r="W171" i="6" s="1"/>
  <c r="R16" i="9" s="1" a="1"/>
  <c r="R16" i="9" s="1"/>
  <c r="P13" i="9" a="1"/>
  <c r="P13" i="9" s="1"/>
  <c r="U141" i="6" a="1"/>
  <c r="U141" i="6" s="1"/>
  <c r="P14" i="9" s="1" a="1"/>
  <c r="P14" i="9" s="1"/>
  <c r="Q12" i="9" a="1"/>
  <c r="Q12" i="9" s="1"/>
  <c r="V126" i="6" a="1"/>
  <c r="V126" i="6" s="1"/>
  <c r="V141" i="6" s="1" a="1"/>
  <c r="V141" i="6" s="1"/>
  <c r="Q14" i="9" s="1" a="1"/>
  <c r="Q14" i="9" s="1"/>
  <c r="O171" i="6" a="1"/>
  <c r="O171" i="6" s="1"/>
  <c r="J16" i="9" s="1" a="1"/>
  <c r="J16" i="9" s="1"/>
  <c r="P156" i="6" a="1"/>
  <c r="P156" i="6" s="1"/>
  <c r="O186" i="6" l="1" a="1"/>
  <c r="O186" i="6" s="1"/>
  <c r="J17" i="9" s="1" a="1"/>
  <c r="J17" i="9" s="1"/>
  <c r="J3" i="9" s="1" a="1"/>
  <c r="J3" i="9" s="1"/>
  <c r="P171" i="6" a="1"/>
  <c r="P171" i="6" s="1"/>
  <c r="P186" i="6" s="1" a="1"/>
  <c r="P186" i="6" s="1"/>
  <c r="AV71" i="6" s="1" a="1"/>
  <c r="AV71" i="6" s="1"/>
  <c r="AX71" i="6" s="1"/>
  <c r="BA71" i="6" s="1"/>
  <c r="K15" i="9" a="1"/>
  <c r="K15" i="9" s="1"/>
  <c r="U156" i="6" a="1"/>
  <c r="U156" i="6" s="1"/>
  <c r="U171" i="6" s="1" a="1"/>
  <c r="U171" i="6" s="1"/>
  <c r="P16" i="9" s="1" a="1"/>
  <c r="P16" i="9" s="1"/>
  <c r="Q13" i="9" a="1"/>
  <c r="Q13" i="9" s="1"/>
  <c r="V156" i="6" a="1"/>
  <c r="V156" i="6" s="1"/>
  <c r="W186" i="6" a="1"/>
  <c r="W186" i="6" s="1"/>
  <c r="R17" i="9" s="1" a="1"/>
  <c r="R17" i="9" s="1"/>
  <c r="R3" i="9" s="1" a="1"/>
  <c r="R3" i="9" s="1"/>
  <c r="AV13" i="6" l="1" a="1"/>
  <c r="AV13" i="6" s="1"/>
  <c r="AX13" i="6" s="1"/>
  <c r="BA13" i="6" s="1"/>
  <c r="AV43" i="6" a="1"/>
  <c r="AV43" i="6" s="1"/>
  <c r="AX43" i="6" s="1"/>
  <c r="BA43" i="6" s="1"/>
  <c r="AP13" i="6" a="1"/>
  <c r="AP13" i="6" s="1"/>
  <c r="AR13" i="6" s="1"/>
  <c r="AP43" i="6" a="1"/>
  <c r="AP43" i="6" s="1"/>
  <c r="AR43" i="6" s="1"/>
  <c r="AV28" i="6" a="1"/>
  <c r="AV28" i="6" s="1"/>
  <c r="AX28" i="6" s="1"/>
  <c r="BA28" i="6" s="1"/>
  <c r="T13" i="6" a="1"/>
  <c r="T13" i="6" s="1"/>
  <c r="X13" i="6" s="1"/>
  <c r="Y13" i="6" s="1"/>
  <c r="AP28" i="6" a="1"/>
  <c r="AP28" i="6" s="1"/>
  <c r="AR28" i="6" s="1"/>
  <c r="AP86" i="6" a="1"/>
  <c r="AP86" i="6" s="1"/>
  <c r="AR86" i="6" s="1"/>
  <c r="AV131" i="6" a="1"/>
  <c r="AV131" i="6" s="1"/>
  <c r="AX131" i="6" s="1"/>
  <c r="BA131" i="6" s="1"/>
  <c r="AP71" i="6" a="1"/>
  <c r="AP71" i="6" s="1"/>
  <c r="AR71" i="6" s="1"/>
  <c r="AV146" i="6" a="1"/>
  <c r="AV146" i="6" s="1"/>
  <c r="AX146" i="6" s="1"/>
  <c r="BA146" i="6" s="1"/>
  <c r="AP41" i="6" a="1"/>
  <c r="AP41" i="6" s="1"/>
  <c r="AR41" i="6" s="1"/>
  <c r="AV11" i="6" a="1"/>
  <c r="AV11" i="6" s="1"/>
  <c r="AX11" i="6" s="1"/>
  <c r="BA11" i="6" s="1"/>
  <c r="AV26" i="6" a="1"/>
  <c r="AV26" i="6" s="1"/>
  <c r="AX26" i="6" s="1"/>
  <c r="BA26" i="6" s="1"/>
  <c r="AP131" i="6" a="1"/>
  <c r="AP131" i="6" s="1"/>
  <c r="AR131" i="6" s="1"/>
  <c r="AP116" i="6" a="1"/>
  <c r="AP116" i="6" s="1"/>
  <c r="AR116" i="6" s="1"/>
  <c r="T11" i="6" a="1"/>
  <c r="T11" i="6" s="1"/>
  <c r="X11" i="6" s="1"/>
  <c r="Y11" i="6" s="1"/>
  <c r="AP56" i="6" a="1"/>
  <c r="AP56" i="6" s="1"/>
  <c r="AR56" i="6" s="1"/>
  <c r="AP101" i="6" a="1"/>
  <c r="AP101" i="6" s="1"/>
  <c r="AR101" i="6" s="1"/>
  <c r="AV86" i="6" a="1"/>
  <c r="AV86" i="6" s="1"/>
  <c r="AX86" i="6" s="1"/>
  <c r="BA86" i="6" s="1"/>
  <c r="AV116" i="6" a="1"/>
  <c r="AV116" i="6" s="1"/>
  <c r="AX116" i="6" s="1"/>
  <c r="BA116" i="6" s="1"/>
  <c r="AP146" i="6" a="1"/>
  <c r="AP146" i="6" s="1"/>
  <c r="AR146" i="6" s="1"/>
  <c r="AP26" i="6" a="1"/>
  <c r="AP26" i="6" s="1"/>
  <c r="AR26" i="6" s="1"/>
  <c r="AV56" i="6" a="1"/>
  <c r="AV56" i="6" s="1"/>
  <c r="AX56" i="6" s="1"/>
  <c r="BA56" i="6" s="1"/>
  <c r="AV41" i="6" a="1"/>
  <c r="AV41" i="6" s="1"/>
  <c r="AX41" i="6" s="1"/>
  <c r="BA41" i="6" s="1"/>
  <c r="AP11" i="6" a="1"/>
  <c r="AP11" i="6" s="1"/>
  <c r="AR11" i="6" s="1"/>
  <c r="AV101" i="6" a="1"/>
  <c r="AV101" i="6" s="1"/>
  <c r="AX101" i="6" s="1"/>
  <c r="BA101" i="6" s="1"/>
  <c r="K17" i="9" a="1"/>
  <c r="K17" i="9" s="1"/>
  <c r="AV25" i="6" a="1"/>
  <c r="AV25" i="6" s="1"/>
  <c r="AX25" i="6" s="1"/>
  <c r="BA25" i="6" s="1"/>
  <c r="AV37" i="6" a="1"/>
  <c r="AV37" i="6" s="1"/>
  <c r="AX37" i="6" s="1"/>
  <c r="BA37" i="6" s="1"/>
  <c r="AP16" i="6" a="1"/>
  <c r="AP16" i="6" s="1"/>
  <c r="AR16" i="6" s="1"/>
  <c r="AP64" i="6" a="1"/>
  <c r="AP64" i="6" s="1"/>
  <c r="AR64" i="6" s="1"/>
  <c r="AZ64" i="6" s="1"/>
  <c r="AV45" i="6" a="1"/>
  <c r="AV45" i="6" s="1"/>
  <c r="AX45" i="6" s="1"/>
  <c r="BA45" i="6" s="1"/>
  <c r="AP29" i="6" a="1"/>
  <c r="AP29" i="6" s="1"/>
  <c r="AR29" i="6" s="1"/>
  <c r="AP37" i="6" a="1"/>
  <c r="AP37" i="6" s="1"/>
  <c r="AR37" i="6" s="1"/>
  <c r="AV17" i="6" a="1"/>
  <c r="AV17" i="6" s="1"/>
  <c r="AX17" i="6" s="1"/>
  <c r="BA17" i="6" s="1"/>
  <c r="AP21" i="6" a="1"/>
  <c r="AP21" i="6" s="1"/>
  <c r="AR21" i="6" s="1"/>
  <c r="AP53" i="6" a="1"/>
  <c r="AP53" i="6" s="1"/>
  <c r="AR53" i="6" s="1"/>
  <c r="AZ53" i="6" s="1"/>
  <c r="AP24" i="6" a="1"/>
  <c r="AP24" i="6" s="1"/>
  <c r="AR24" i="6" s="1"/>
  <c r="AP78" i="6" a="1"/>
  <c r="AP78" i="6" s="1"/>
  <c r="AR78" i="6" s="1"/>
  <c r="AZ78" i="6" s="1"/>
  <c r="AP114" i="6" a="1"/>
  <c r="AP114" i="6" s="1"/>
  <c r="AR114" i="6" s="1"/>
  <c r="AP99" i="6" a="1"/>
  <c r="AP99" i="6" s="1"/>
  <c r="AR99" i="6" s="1"/>
  <c r="AV52" i="6" a="1"/>
  <c r="AV52" i="6" s="1"/>
  <c r="AX52" i="6" s="1"/>
  <c r="BA52" i="6" s="1"/>
  <c r="AP84" i="6" a="1"/>
  <c r="AP84" i="6" s="1"/>
  <c r="AR84" i="6" s="1"/>
  <c r="AV67" i="6" a="1"/>
  <c r="AV67" i="6" s="1"/>
  <c r="AX67" i="6" s="1"/>
  <c r="BA67" i="6" s="1"/>
  <c r="AV102" i="6" a="1"/>
  <c r="AV102" i="6" s="1"/>
  <c r="AX102" i="6" s="1"/>
  <c r="BA102" i="6" s="1"/>
  <c r="AV87" i="6" a="1"/>
  <c r="AV87" i="6" s="1"/>
  <c r="AX87" i="6" s="1"/>
  <c r="BA87" i="6" s="1"/>
  <c r="AV124" i="6" a="1"/>
  <c r="AV124" i="6" s="1"/>
  <c r="AX124" i="6" s="1"/>
  <c r="BA124" i="6" s="1"/>
  <c r="AV81" i="6" a="1"/>
  <c r="AV81" i="6" s="1"/>
  <c r="AX81" i="6" s="1"/>
  <c r="BA81" i="6" s="1"/>
  <c r="AP70" i="6" a="1"/>
  <c r="AP70" i="6" s="1"/>
  <c r="AR70" i="6" s="1"/>
  <c r="AP108" i="6" a="1"/>
  <c r="AP108" i="6" s="1"/>
  <c r="AR108" i="6" s="1"/>
  <c r="AV64" i="6" a="1"/>
  <c r="AV64" i="6" s="1"/>
  <c r="AX64" i="6" s="1"/>
  <c r="BA64" i="6" s="1"/>
  <c r="AV97" i="6" a="1"/>
  <c r="AV97" i="6" s="1"/>
  <c r="AX97" i="6" s="1"/>
  <c r="BA97" i="6" s="1"/>
  <c r="AP155" i="6" a="1"/>
  <c r="AP155" i="6" s="1"/>
  <c r="AR155" i="6" s="1"/>
  <c r="AZ155" i="6" s="1"/>
  <c r="AV136" i="6" a="1"/>
  <c r="AV136" i="6" s="1"/>
  <c r="AX136" i="6" s="1"/>
  <c r="BA136" i="6" s="1"/>
  <c r="AP111" i="6" a="1"/>
  <c r="AP111" i="6" s="1"/>
  <c r="AR111" i="6" s="1"/>
  <c r="AZ111" i="6" s="1"/>
  <c r="AP153" i="6" a="1"/>
  <c r="AP153" i="6" s="1"/>
  <c r="AR153" i="6" s="1"/>
  <c r="AV142" i="6" a="1"/>
  <c r="AV142" i="6" s="1"/>
  <c r="AX142" i="6" s="1"/>
  <c r="BA142" i="6" s="1"/>
  <c r="AV181" i="6" a="1"/>
  <c r="AV181" i="6" s="1"/>
  <c r="AX181" i="6" s="1"/>
  <c r="BA181" i="6" s="1"/>
  <c r="AP151" i="6" a="1"/>
  <c r="AP151" i="6" s="1"/>
  <c r="AR151" i="6" s="1"/>
  <c r="AP122" i="6" a="1"/>
  <c r="AP122" i="6" s="1"/>
  <c r="AR122" i="6" s="1"/>
  <c r="AP154" i="6" a="1"/>
  <c r="AP154" i="6" s="1"/>
  <c r="AR154" i="6" s="1"/>
  <c r="AV135" i="6" a="1"/>
  <c r="AV135" i="6" s="1"/>
  <c r="AX135" i="6" s="1"/>
  <c r="BA135" i="6" s="1"/>
  <c r="AV171" i="6" a="1"/>
  <c r="AV171" i="6" s="1"/>
  <c r="AX171" i="6" s="1"/>
  <c r="BA171" i="6" s="1"/>
  <c r="AP152" i="6" a="1"/>
  <c r="AP152" i="6" s="1"/>
  <c r="AR152" i="6" s="1"/>
  <c r="AP183" i="6" a="1"/>
  <c r="AP183" i="6" s="1"/>
  <c r="AR183" i="6" s="1"/>
  <c r="AV184" i="6" a="1"/>
  <c r="AV184" i="6" s="1"/>
  <c r="AX184" i="6" s="1"/>
  <c r="BA184" i="6" s="1"/>
  <c r="AV30" i="6" a="1"/>
  <c r="AV30" i="6" s="1"/>
  <c r="AX30" i="6" s="1"/>
  <c r="BA30" i="6" s="1"/>
  <c r="AP42" i="6" a="1"/>
  <c r="AP42" i="6" s="1"/>
  <c r="AR42" i="6" s="1"/>
  <c r="AP25" i="6" a="1"/>
  <c r="AP25" i="6" s="1"/>
  <c r="AR25" i="6" s="1"/>
  <c r="AY25" i="6" s="1"/>
  <c r="AV10" i="6" a="1"/>
  <c r="AV10" i="6" s="1"/>
  <c r="AX10" i="6" s="1"/>
  <c r="BA10" i="6" s="1"/>
  <c r="AP49" i="6" a="1"/>
  <c r="AP49" i="6" s="1"/>
  <c r="AR49" i="6" s="1"/>
  <c r="AZ49" i="6" s="1"/>
  <c r="AV31" i="6" a="1"/>
  <c r="AV31" i="6" s="1"/>
  <c r="AX31" i="6" s="1"/>
  <c r="BA31" i="6" s="1"/>
  <c r="AV42" i="6" a="1"/>
  <c r="AV42" i="6" s="1"/>
  <c r="AX42" i="6" s="1"/>
  <c r="BA42" i="6" s="1"/>
  <c r="AV18" i="6" a="1"/>
  <c r="AV18" i="6" s="1"/>
  <c r="AX18" i="6" s="1"/>
  <c r="BA18" i="6" s="1"/>
  <c r="AP23" i="6" a="1"/>
  <c r="AP23" i="6" s="1"/>
  <c r="AR23" i="6" s="1"/>
  <c r="AV59" i="6" a="1"/>
  <c r="AV59" i="6" s="1"/>
  <c r="AX59" i="6" s="1"/>
  <c r="BA59" i="6" s="1"/>
  <c r="AP31" i="6" a="1"/>
  <c r="AP31" i="6" s="1"/>
  <c r="AR31" i="6" s="1"/>
  <c r="AZ31" i="6" s="1"/>
  <c r="AV82" i="6" a="1"/>
  <c r="AV82" i="6" s="1"/>
  <c r="AX82" i="6" s="1"/>
  <c r="BA82" i="6" s="1"/>
  <c r="AV120" i="6" a="1"/>
  <c r="AV120" i="6" s="1"/>
  <c r="AX120" i="6" s="1"/>
  <c r="BA120" i="6" s="1"/>
  <c r="AV105" i="6" a="1"/>
  <c r="AV105" i="6" s="1"/>
  <c r="AX105" i="6" s="1"/>
  <c r="BA105" i="6" s="1"/>
  <c r="AV54" i="6" a="1"/>
  <c r="AV54" i="6" s="1"/>
  <c r="AX54" i="6" s="1"/>
  <c r="BA54" i="6" s="1"/>
  <c r="AV90" i="6" a="1"/>
  <c r="AV90" i="6" s="1"/>
  <c r="AX90" i="6" s="1"/>
  <c r="BA90" i="6" s="1"/>
  <c r="AP69" i="6" a="1"/>
  <c r="AP69" i="6" s="1"/>
  <c r="AR69" i="6" s="1"/>
  <c r="AP107" i="6" a="1"/>
  <c r="AP107" i="6" s="1"/>
  <c r="AR107" i="6" s="1"/>
  <c r="AP92" i="6" a="1"/>
  <c r="AP92" i="6" s="1"/>
  <c r="AR92" i="6" s="1"/>
  <c r="AZ92" i="6" s="1"/>
  <c r="AP128" i="6" a="1"/>
  <c r="AP128" i="6" s="1"/>
  <c r="AR128" i="6" s="1"/>
  <c r="AP85" i="6" a="1"/>
  <c r="AP85" i="6" s="1"/>
  <c r="AR85" i="6" s="1"/>
  <c r="AZ85" i="6" s="1"/>
  <c r="AV76" i="6" a="1"/>
  <c r="AV76" i="6" s="1"/>
  <c r="AX76" i="6" s="1"/>
  <c r="BA76" i="6" s="1"/>
  <c r="AV112" i="6" a="1"/>
  <c r="AV112" i="6" s="1"/>
  <c r="AX112" i="6" s="1"/>
  <c r="BA112" i="6" s="1"/>
  <c r="AP67" i="6" a="1"/>
  <c r="AP67" i="6" s="1"/>
  <c r="AR67" i="6" s="1"/>
  <c r="AP102" i="6" a="1"/>
  <c r="AP102" i="6" s="1"/>
  <c r="AR102" i="6" s="1"/>
  <c r="AV159" i="6" a="1"/>
  <c r="AV159" i="6" s="1"/>
  <c r="AX159" i="6" s="1"/>
  <c r="BA159" i="6" s="1"/>
  <c r="AP140" i="6" a="1"/>
  <c r="AP140" i="6" s="1"/>
  <c r="AR140" i="6" s="1"/>
  <c r="AV117" i="6" a="1"/>
  <c r="AV117" i="6" s="1"/>
  <c r="AX117" i="6" s="1"/>
  <c r="BA117" i="6" s="1"/>
  <c r="AV157" i="6" a="1"/>
  <c r="AV157" i="6" s="1"/>
  <c r="AX157" i="6" s="1"/>
  <c r="BA157" i="6" s="1"/>
  <c r="AP147" i="6" a="1"/>
  <c r="AP147" i="6" s="1"/>
  <c r="AR147" i="6" s="1"/>
  <c r="AP185" i="6" a="1"/>
  <c r="AP185" i="6" s="1"/>
  <c r="AR185" i="6" s="1"/>
  <c r="AV155" i="6" a="1"/>
  <c r="AV155" i="6" s="1"/>
  <c r="AX155" i="6" s="1"/>
  <c r="BA155" i="6" s="1"/>
  <c r="AV127" i="6" a="1"/>
  <c r="AV127" i="6" s="1"/>
  <c r="AX127" i="6" s="1"/>
  <c r="BA127" i="6" s="1"/>
  <c r="AV158" i="6" a="1"/>
  <c r="AV158" i="6" s="1"/>
  <c r="AX158" i="6" s="1"/>
  <c r="BA158" i="6" s="1"/>
  <c r="AP139" i="6" a="1"/>
  <c r="AP139" i="6" s="1"/>
  <c r="AR139" i="6" s="1"/>
  <c r="AZ139" i="6" s="1"/>
  <c r="AP177" i="6" a="1"/>
  <c r="AP177" i="6" s="1"/>
  <c r="AR177" i="6" s="1"/>
  <c r="AV156" i="6" a="1"/>
  <c r="AV156" i="6" s="1"/>
  <c r="AX156" i="6" s="1"/>
  <c r="BA156" i="6" s="1"/>
  <c r="AV177" i="6" a="1"/>
  <c r="AV177" i="6" s="1"/>
  <c r="AX177" i="6" s="1"/>
  <c r="BA177" i="6" s="1"/>
  <c r="AP34" i="6" a="1"/>
  <c r="AP34" i="6" s="1"/>
  <c r="AR34" i="6" s="1"/>
  <c r="AV47" i="6" a="1"/>
  <c r="AV47" i="6" s="1"/>
  <c r="AX47" i="6" s="1"/>
  <c r="BA47" i="6" s="1"/>
  <c r="AP36" i="6" a="1"/>
  <c r="AP36" i="6" s="1"/>
  <c r="AR36" i="6" s="1"/>
  <c r="AV7" i="6" a="1"/>
  <c r="AV7" i="6" s="1"/>
  <c r="AX7" i="6" s="1"/>
  <c r="BA7" i="6" s="1"/>
  <c r="AV53" i="6" a="1"/>
  <c r="AV53" i="6" s="1"/>
  <c r="AX53" i="6" s="1"/>
  <c r="BA53" i="6" s="1"/>
  <c r="AV38" i="6" a="1"/>
  <c r="AV38" i="6" s="1"/>
  <c r="AX38" i="6" s="1"/>
  <c r="BA38" i="6" s="1"/>
  <c r="AP47" i="6" a="1"/>
  <c r="AP47" i="6" s="1"/>
  <c r="AR47" i="6" s="1"/>
  <c r="AZ47" i="6" s="1"/>
  <c r="AP22" i="6" a="1"/>
  <c r="AP22" i="6" s="1"/>
  <c r="AR22" i="6" s="1"/>
  <c r="AV27" i="6" a="1"/>
  <c r="AV27" i="6" s="1"/>
  <c r="AX27" i="6" s="1"/>
  <c r="BA27" i="6" s="1"/>
  <c r="AV9" i="6" a="1"/>
  <c r="AV9" i="6" s="1"/>
  <c r="AX9" i="6" s="1"/>
  <c r="BA9" i="6" s="1"/>
  <c r="AP38" i="6" a="1"/>
  <c r="AP38" i="6" s="1"/>
  <c r="AR38" i="6" s="1"/>
  <c r="AP87" i="6" a="1"/>
  <c r="AP87" i="6" s="1"/>
  <c r="AR87" i="6" s="1"/>
  <c r="AP72" i="6" a="1"/>
  <c r="AP72" i="6" s="1"/>
  <c r="AR72" i="6" s="1"/>
  <c r="AZ72" i="6" s="1"/>
  <c r="AP109" i="6" a="1"/>
  <c r="AP109" i="6" s="1"/>
  <c r="AR109" i="6" s="1"/>
  <c r="AP62" i="6" a="1"/>
  <c r="AP62" i="6" s="1"/>
  <c r="AR62" i="6" s="1"/>
  <c r="AZ62" i="6" s="1"/>
  <c r="AP94" i="6" a="1"/>
  <c r="AP94" i="6" s="1"/>
  <c r="AR94" i="6" s="1"/>
  <c r="AV75" i="6" a="1"/>
  <c r="AV75" i="6" s="1"/>
  <c r="AX75" i="6" s="1"/>
  <c r="BA75" i="6" s="1"/>
  <c r="AV111" i="6" a="1"/>
  <c r="AV111" i="6" s="1"/>
  <c r="AX111" i="6" s="1"/>
  <c r="BA111" i="6" s="1"/>
  <c r="AV96" i="6" a="1"/>
  <c r="AV96" i="6" s="1"/>
  <c r="AX96" i="6" s="1"/>
  <c r="BA96" i="6" s="1"/>
  <c r="AP50" i="6" a="1"/>
  <c r="AP50" i="6" s="1"/>
  <c r="AR50" i="6" s="1"/>
  <c r="AV91" i="6" a="1"/>
  <c r="AV91" i="6" s="1"/>
  <c r="AX91" i="6" s="1"/>
  <c r="BA91" i="6" s="1"/>
  <c r="AP80" i="6" a="1"/>
  <c r="AP80" i="6" s="1"/>
  <c r="AR80" i="6" s="1"/>
  <c r="AP117" i="6" a="1"/>
  <c r="AP117" i="6" s="1"/>
  <c r="AR117" i="6" s="1"/>
  <c r="AZ117" i="6" s="1"/>
  <c r="AV69" i="6" a="1"/>
  <c r="AV69" i="6" s="1"/>
  <c r="AX69" i="6" s="1"/>
  <c r="BA69" i="6" s="1"/>
  <c r="AV107" i="6" a="1"/>
  <c r="AV107" i="6" s="1"/>
  <c r="AX107" i="6" s="1"/>
  <c r="BA107" i="6" s="1"/>
  <c r="AP165" i="6" a="1"/>
  <c r="AP165" i="6" s="1"/>
  <c r="AR165" i="6" s="1"/>
  <c r="AV144" i="6" a="1"/>
  <c r="AV144" i="6" s="1"/>
  <c r="AX144" i="6" s="1"/>
  <c r="BA144" i="6" s="1"/>
  <c r="AP125" i="6" a="1"/>
  <c r="AP125" i="6" s="1"/>
  <c r="AR125" i="6" s="1"/>
  <c r="AP162" i="6" a="1"/>
  <c r="AP162" i="6" s="1"/>
  <c r="AR162" i="6" s="1"/>
  <c r="AZ162" i="6" s="1"/>
  <c r="AV152" i="6" a="1"/>
  <c r="AV152" i="6" s="1"/>
  <c r="AX152" i="6" s="1"/>
  <c r="BA152" i="6" s="1"/>
  <c r="AV121" i="6" a="1"/>
  <c r="AV121" i="6" s="1"/>
  <c r="AX121" i="6" s="1"/>
  <c r="BA121" i="6" s="1"/>
  <c r="AP159" i="6" a="1"/>
  <c r="AP159" i="6" s="1"/>
  <c r="AR159" i="6" s="1"/>
  <c r="AV128" i="6" a="1"/>
  <c r="AV128" i="6" s="1"/>
  <c r="AX128" i="6" s="1"/>
  <c r="BA128" i="6" s="1"/>
  <c r="AP164" i="6" a="1"/>
  <c r="AP164" i="6" s="1"/>
  <c r="AR164" i="6" s="1"/>
  <c r="AZ164" i="6" s="1"/>
  <c r="AV143" i="6" a="1"/>
  <c r="AV143" i="6" s="1"/>
  <c r="AX143" i="6" s="1"/>
  <c r="BA143" i="6" s="1"/>
  <c r="AV125" i="6" a="1"/>
  <c r="AV125" i="6" s="1"/>
  <c r="AX125" i="6" s="1"/>
  <c r="BA125" i="6" s="1"/>
  <c r="AP160" i="6" a="1"/>
  <c r="AP160" i="6" s="1"/>
  <c r="AR160" i="6" s="1"/>
  <c r="AZ160" i="6" s="1"/>
  <c r="AV172" i="6" a="1"/>
  <c r="AV172" i="6" s="1"/>
  <c r="AX172" i="6" s="1"/>
  <c r="BA172" i="6" s="1"/>
  <c r="AV185" i="6" a="1"/>
  <c r="AV185" i="6" s="1"/>
  <c r="AX185" i="6" s="1"/>
  <c r="BA185" i="6" s="1"/>
  <c r="T8" i="6" a="1"/>
  <c r="T8" i="6" s="1"/>
  <c r="X8" i="6" s="1"/>
  <c r="Y8" i="6" s="1"/>
  <c r="T17" i="6" a="1"/>
  <c r="T17" i="6" s="1"/>
  <c r="X17" i="6" s="1"/>
  <c r="Y17" i="6" s="1"/>
  <c r="T21" i="6" a="1"/>
  <c r="T21" i="6" s="1"/>
  <c r="X21" i="6" s="1"/>
  <c r="Y21" i="6" s="1"/>
  <c r="AV8" i="6" a="1"/>
  <c r="AV8" i="6" s="1"/>
  <c r="AX8" i="6" s="1"/>
  <c r="BA8" i="6" s="1"/>
  <c r="AP51" i="6" a="1"/>
  <c r="AP51" i="6" s="1"/>
  <c r="AR51" i="6" s="1"/>
  <c r="AV40" i="6" a="1"/>
  <c r="AV40" i="6" s="1"/>
  <c r="AX40" i="6" s="1"/>
  <c r="BA40" i="6" s="1"/>
  <c r="AP12" i="6" a="1"/>
  <c r="AP12" i="6" s="1"/>
  <c r="AR12" i="6" s="1"/>
  <c r="AP8" i="6" a="1"/>
  <c r="AP8" i="6" s="1"/>
  <c r="AR8" i="6" s="1"/>
  <c r="AZ8" i="6" s="1"/>
  <c r="BB8" i="6" s="1"/>
  <c r="M8" i="6" s="1" a="1"/>
  <c r="M8" i="6" s="1"/>
  <c r="R8" i="6" s="1"/>
  <c r="AP44" i="6" a="1"/>
  <c r="AP44" i="6" s="1"/>
  <c r="AR44" i="6" s="1"/>
  <c r="AV51" i="6" a="1"/>
  <c r="AV51" i="6" s="1"/>
  <c r="AX51" i="6" s="1"/>
  <c r="BA51" i="6" s="1"/>
  <c r="AP30" i="6" a="1"/>
  <c r="AP30" i="6" s="1"/>
  <c r="AR30" i="6" s="1"/>
  <c r="AY30" i="6" s="1"/>
  <c r="AV33" i="6" a="1"/>
  <c r="AV33" i="6" s="1"/>
  <c r="AX33" i="6" s="1"/>
  <c r="BA33" i="6" s="1"/>
  <c r="AV12" i="6" a="1"/>
  <c r="AV12" i="6" s="1"/>
  <c r="AX12" i="6" s="1"/>
  <c r="BA12" i="6" s="1"/>
  <c r="AV44" i="6" a="1"/>
  <c r="AV44" i="6" s="1"/>
  <c r="AX44" i="6" s="1"/>
  <c r="BA44" i="6" s="1"/>
  <c r="AV92" i="6" a="1"/>
  <c r="AV92" i="6" s="1"/>
  <c r="AX92" i="6" s="1"/>
  <c r="BA92" i="6" s="1"/>
  <c r="AV77" i="6" a="1"/>
  <c r="AV77" i="6" s="1"/>
  <c r="AX77" i="6" s="1"/>
  <c r="BA77" i="6" s="1"/>
  <c r="AV113" i="6" a="1"/>
  <c r="AV113" i="6" s="1"/>
  <c r="AX113" i="6" s="1"/>
  <c r="BA113" i="6" s="1"/>
  <c r="AP63" i="6" a="1"/>
  <c r="AP63" i="6" s="1"/>
  <c r="AR63" i="6" s="1"/>
  <c r="AV98" i="6" a="1"/>
  <c r="AV98" i="6" s="1"/>
  <c r="AX98" i="6" s="1"/>
  <c r="BA98" i="6" s="1"/>
  <c r="AP79" i="6" a="1"/>
  <c r="AP79" i="6" s="1"/>
  <c r="AR79" i="6" s="1"/>
  <c r="AP115" i="6" a="1"/>
  <c r="AP115" i="6" s="1"/>
  <c r="AR115" i="6" s="1"/>
  <c r="AP100" i="6" a="1"/>
  <c r="AP100" i="6" s="1"/>
  <c r="AR100" i="6" s="1"/>
  <c r="AZ100" i="6" s="1"/>
  <c r="AV57" i="6" a="1"/>
  <c r="AV57" i="6" s="1"/>
  <c r="AX57" i="6" s="1"/>
  <c r="BA57" i="6" s="1"/>
  <c r="AP95" i="6" a="1"/>
  <c r="AP95" i="6" s="1"/>
  <c r="AR95" i="6" s="1"/>
  <c r="AZ95" i="6" s="1"/>
  <c r="AV84" i="6" a="1"/>
  <c r="AV84" i="6" s="1"/>
  <c r="AX84" i="6" s="1"/>
  <c r="BA84" i="6" s="1"/>
  <c r="AV122" i="6" a="1"/>
  <c r="AV122" i="6" s="1"/>
  <c r="AX122" i="6" s="1"/>
  <c r="BA122" i="6" s="1"/>
  <c r="AP75" i="6" a="1"/>
  <c r="AP75" i="6" s="1"/>
  <c r="AR75" i="6" s="1"/>
  <c r="AZ75" i="6" s="1"/>
  <c r="AV119" i="6" a="1"/>
  <c r="AV119" i="6" s="1"/>
  <c r="AX119" i="6" s="1"/>
  <c r="BA119" i="6" s="1"/>
  <c r="AV169" i="6" a="1"/>
  <c r="AV169" i="6" s="1"/>
  <c r="AX169" i="6" s="1"/>
  <c r="BA169" i="6" s="1"/>
  <c r="AP150" i="6" a="1"/>
  <c r="AP150" i="6" s="1"/>
  <c r="AR150" i="6" s="1"/>
  <c r="AZ150" i="6" s="1"/>
  <c r="AP130" i="6" a="1"/>
  <c r="AP130" i="6" s="1"/>
  <c r="AR130" i="6" s="1"/>
  <c r="AZ130" i="6" s="1"/>
  <c r="AV167" i="6" a="1"/>
  <c r="AV167" i="6" s="1"/>
  <c r="AX167" i="6" s="1"/>
  <c r="BA167" i="6" s="1"/>
  <c r="AP156" i="6" a="1"/>
  <c r="AP156" i="6" s="1"/>
  <c r="AR156" i="6" s="1"/>
  <c r="AP123" i="6" a="1"/>
  <c r="AP123" i="6" s="1"/>
  <c r="AR123" i="6" s="1"/>
  <c r="AV165" i="6" a="1"/>
  <c r="AV165" i="6" s="1"/>
  <c r="AX165" i="6" s="1"/>
  <c r="BA165" i="6" s="1"/>
  <c r="AV129" i="6" a="1"/>
  <c r="AV129" i="6" s="1"/>
  <c r="AX129" i="6" s="1"/>
  <c r="BA129" i="6" s="1"/>
  <c r="AV168" i="6" a="1"/>
  <c r="AV168" i="6" s="1"/>
  <c r="AX168" i="6" s="1"/>
  <c r="BA168" i="6" s="1"/>
  <c r="AP149" i="6" a="1"/>
  <c r="AP149" i="6" s="1"/>
  <c r="AR149" i="6" s="1"/>
  <c r="AZ149" i="6" s="1"/>
  <c r="AV130" i="6" a="1"/>
  <c r="AV130" i="6" s="1"/>
  <c r="AX130" i="6" s="1"/>
  <c r="BA130" i="6" s="1"/>
  <c r="AV166" i="6" a="1"/>
  <c r="AV166" i="6" s="1"/>
  <c r="AX166" i="6" s="1"/>
  <c r="BA166" i="6" s="1"/>
  <c r="AV179" i="6" a="1"/>
  <c r="AV179" i="6" s="1"/>
  <c r="AX179" i="6" s="1"/>
  <c r="BA179" i="6" s="1"/>
  <c r="AV186" i="6" a="1"/>
  <c r="AV186" i="6" s="1"/>
  <c r="AX186" i="6" s="1"/>
  <c r="BA186" i="6" s="1"/>
  <c r="AV23" i="6" a="1"/>
  <c r="AV23" i="6" s="1"/>
  <c r="AX23" i="6" s="1"/>
  <c r="BA23" i="6" s="1"/>
  <c r="AP17" i="6" a="1"/>
  <c r="AP17" i="6" s="1"/>
  <c r="AR17" i="6" s="1"/>
  <c r="AV55" i="6" a="1"/>
  <c r="AV55" i="6" s="1"/>
  <c r="AX55" i="6" s="1"/>
  <c r="BA55" i="6" s="1"/>
  <c r="AP46" i="6" a="1"/>
  <c r="AP46" i="6" s="1"/>
  <c r="AR46" i="6" s="1"/>
  <c r="AZ46" i="6" s="1"/>
  <c r="AP27" i="6" a="1"/>
  <c r="AP27" i="6" s="1"/>
  <c r="AR27" i="6" s="1"/>
  <c r="AP9" i="6" a="1"/>
  <c r="AP9" i="6" s="1"/>
  <c r="AR9" i="6" s="1"/>
  <c r="AZ9" i="6" s="1"/>
  <c r="AV48" i="6" a="1"/>
  <c r="AV48" i="6" s="1"/>
  <c r="AX48" i="6" s="1"/>
  <c r="BA48" i="6" s="1"/>
  <c r="AP55" i="6" a="1"/>
  <c r="AP55" i="6" s="1"/>
  <c r="AR55" i="6" s="1"/>
  <c r="AV32" i="6" a="1"/>
  <c r="AV32" i="6" s="1"/>
  <c r="AX32" i="6" s="1"/>
  <c r="BA32" i="6" s="1"/>
  <c r="AP35" i="6" a="1"/>
  <c r="AP35" i="6" s="1"/>
  <c r="AR35" i="6" s="1"/>
  <c r="AV14" i="6" a="1"/>
  <c r="AV14" i="6" s="1"/>
  <c r="AX14" i="6" s="1"/>
  <c r="BA14" i="6" s="1"/>
  <c r="AP48" i="6" a="1"/>
  <c r="AP48" i="6" s="1"/>
  <c r="AR48" i="6" s="1"/>
  <c r="AZ48" i="6" s="1"/>
  <c r="AP96" i="6" a="1"/>
  <c r="AP96" i="6" s="1"/>
  <c r="AR96" i="6" s="1"/>
  <c r="AZ96" i="6" s="1"/>
  <c r="AP81" i="6" a="1"/>
  <c r="AP81" i="6" s="1"/>
  <c r="AR81" i="6" s="1"/>
  <c r="AY81" i="6" s="1"/>
  <c r="AP119" i="6" a="1"/>
  <c r="AP119" i="6" s="1"/>
  <c r="AR119" i="6" s="1"/>
  <c r="AV66" i="6" a="1"/>
  <c r="AV66" i="6" s="1"/>
  <c r="AX66" i="6" s="1"/>
  <c r="BA66" i="6" s="1"/>
  <c r="AP104" i="6" a="1"/>
  <c r="AP104" i="6" s="1"/>
  <c r="AR104" i="6" s="1"/>
  <c r="AV83" i="6" a="1"/>
  <c r="AV83" i="6" s="1"/>
  <c r="AX83" i="6" s="1"/>
  <c r="BA83" i="6" s="1"/>
  <c r="AP59" i="6" a="1"/>
  <c r="AP59" i="6" s="1"/>
  <c r="AR59" i="6" s="1"/>
  <c r="AV106" i="6" a="1"/>
  <c r="AV106" i="6" s="1"/>
  <c r="AX106" i="6" s="1"/>
  <c r="BA106" i="6" s="1"/>
  <c r="AP66" i="6" a="1"/>
  <c r="AP66" i="6" s="1"/>
  <c r="AR66" i="6" s="1"/>
  <c r="AZ66" i="6" s="1"/>
  <c r="AV99" i="6" a="1"/>
  <c r="AV99" i="6" s="1"/>
  <c r="AX99" i="6" s="1"/>
  <c r="BA99" i="6" s="1"/>
  <c r="AP90" i="6" a="1"/>
  <c r="AP90" i="6" s="1"/>
  <c r="AR90" i="6" s="1"/>
  <c r="AP126" i="6" a="1"/>
  <c r="AP126" i="6" s="1"/>
  <c r="AR126" i="6" s="1"/>
  <c r="AV79" i="6" a="1"/>
  <c r="AV79" i="6" s="1"/>
  <c r="AX79" i="6" s="1"/>
  <c r="BA79" i="6" s="1"/>
  <c r="AP137" i="6" a="1"/>
  <c r="AP137" i="6" s="1"/>
  <c r="AR137" i="6" s="1"/>
  <c r="AP173" i="6" a="1"/>
  <c r="AP173" i="6" s="1"/>
  <c r="AR173" i="6" s="1"/>
  <c r="AV154" i="6" a="1"/>
  <c r="AV154" i="6" s="1"/>
  <c r="AX154" i="6" s="1"/>
  <c r="BA154" i="6" s="1"/>
  <c r="AP135" i="6" a="1"/>
  <c r="AP135" i="6" s="1"/>
  <c r="AR135" i="6" s="1"/>
  <c r="AY135" i="6" s="1"/>
  <c r="AP171" i="6" a="1"/>
  <c r="AP171" i="6" s="1"/>
  <c r="AR171" i="6" s="1"/>
  <c r="AY171" i="6" s="1"/>
  <c r="AV160" i="6" a="1"/>
  <c r="AV160" i="6" s="1"/>
  <c r="AX160" i="6" s="1"/>
  <c r="BA160" i="6" s="1"/>
  <c r="AP132" i="6" a="1"/>
  <c r="AP132" i="6" s="1"/>
  <c r="AR132" i="6" s="1"/>
  <c r="AZ132" i="6" s="1"/>
  <c r="AP169" i="6" a="1"/>
  <c r="AP169" i="6" s="1"/>
  <c r="AR169" i="6" s="1"/>
  <c r="AZ169" i="6" s="1"/>
  <c r="BB169" i="6" s="1"/>
  <c r="AP136" i="6" a="1"/>
  <c r="AP136" i="6" s="1"/>
  <c r="AR136" i="6" s="1"/>
  <c r="AP172" i="6" a="1"/>
  <c r="AP172" i="6" s="1"/>
  <c r="AR172" i="6" s="1"/>
  <c r="AV153" i="6" a="1"/>
  <c r="AV153" i="6" s="1"/>
  <c r="AX153" i="6" s="1"/>
  <c r="BA153" i="6" s="1"/>
  <c r="AP134" i="6" a="1"/>
  <c r="AP134" i="6" s="1"/>
  <c r="AR134" i="6" s="1"/>
  <c r="AZ134" i="6" s="1"/>
  <c r="AP170" i="6" a="1"/>
  <c r="AP170" i="6" s="1"/>
  <c r="AR170" i="6" s="1"/>
  <c r="AZ170" i="6" s="1"/>
  <c r="AP186" i="6" a="1"/>
  <c r="AP186" i="6" s="1"/>
  <c r="AR186" i="6" s="1"/>
  <c r="AZ186" i="6" s="1"/>
  <c r="T19" i="6" a="1"/>
  <c r="T19" i="6" s="1"/>
  <c r="X19" i="6" s="1"/>
  <c r="Y19" i="6" s="1"/>
  <c r="AV175" i="6" a="1"/>
  <c r="AV175" i="6" s="1"/>
  <c r="AX175" i="6" s="1"/>
  <c r="BA175" i="6" s="1"/>
  <c r="AV29" i="6" a="1"/>
  <c r="AV29" i="6" s="1"/>
  <c r="AX29" i="6" s="1"/>
  <c r="BA29" i="6" s="1"/>
  <c r="AP61" i="6" a="1"/>
  <c r="AP61" i="6" s="1"/>
  <c r="AR61" i="6" s="1"/>
  <c r="AV50" i="6" a="1"/>
  <c r="AV50" i="6" s="1"/>
  <c r="AX50" i="6" s="1"/>
  <c r="BA50" i="6" s="1"/>
  <c r="AP33" i="6" a="1"/>
  <c r="AP33" i="6" s="1"/>
  <c r="AR33" i="6" s="1"/>
  <c r="AV20" i="6" a="1"/>
  <c r="AV20" i="6" s="1"/>
  <c r="AX20" i="6" s="1"/>
  <c r="BA20" i="6" s="1"/>
  <c r="AP52" i="6" a="1"/>
  <c r="AP52" i="6" s="1"/>
  <c r="AR52" i="6" s="1"/>
  <c r="AV61" i="6" a="1"/>
  <c r="AV61" i="6" s="1"/>
  <c r="AX61" i="6" s="1"/>
  <c r="BA61" i="6" s="1"/>
  <c r="AV36" i="6" a="1"/>
  <c r="AV36" i="6" s="1"/>
  <c r="AX36" i="6" s="1"/>
  <c r="BA36" i="6" s="1"/>
  <c r="AV39" i="6" a="1"/>
  <c r="AV39" i="6" s="1"/>
  <c r="AX39" i="6" s="1"/>
  <c r="BA39" i="6" s="1"/>
  <c r="AP18" i="6" a="1"/>
  <c r="AP18" i="6" s="1"/>
  <c r="AR18" i="6" s="1"/>
  <c r="AV65" i="6" a="1"/>
  <c r="AV65" i="6" s="1"/>
  <c r="AX65" i="6" s="1"/>
  <c r="BA65" i="6" s="1"/>
  <c r="AV100" i="6" a="1"/>
  <c r="AV100" i="6" s="1"/>
  <c r="AX100" i="6" s="1"/>
  <c r="BA100" i="6" s="1"/>
  <c r="AV85" i="6" a="1"/>
  <c r="AV85" i="6" s="1"/>
  <c r="AX85" i="6" s="1"/>
  <c r="BA85" i="6" s="1"/>
  <c r="AV123" i="6" a="1"/>
  <c r="AV123" i="6" s="1"/>
  <c r="AX123" i="6" s="1"/>
  <c r="BA123" i="6" s="1"/>
  <c r="AV70" i="6" a="1"/>
  <c r="AV70" i="6" s="1"/>
  <c r="AX70" i="6" s="1"/>
  <c r="BA70" i="6" s="1"/>
  <c r="AV108" i="6" a="1"/>
  <c r="AV108" i="6" s="1"/>
  <c r="AX108" i="6" s="1"/>
  <c r="BA108" i="6" s="1"/>
  <c r="AP89" i="6" a="1"/>
  <c r="AP89" i="6" s="1"/>
  <c r="AR89" i="6" s="1"/>
  <c r="AP74" i="6" a="1"/>
  <c r="AP74" i="6" s="1"/>
  <c r="AR74" i="6" s="1"/>
  <c r="AP110" i="6" a="1"/>
  <c r="AP110" i="6" s="1"/>
  <c r="AR110" i="6" s="1"/>
  <c r="AZ110" i="6" s="1"/>
  <c r="AV68" i="6" a="1"/>
  <c r="AV68" i="6" s="1"/>
  <c r="AX68" i="6" s="1"/>
  <c r="BA68" i="6" s="1"/>
  <c r="AP105" i="6" a="1"/>
  <c r="AP105" i="6" s="1"/>
  <c r="AR105" i="6" s="1"/>
  <c r="AZ105" i="6" s="1"/>
  <c r="BB105" i="6" s="1"/>
  <c r="AV94" i="6" a="1"/>
  <c r="AV94" i="6" s="1"/>
  <c r="AX94" i="6" s="1"/>
  <c r="BA94" i="6" s="1"/>
  <c r="AP57" i="6" a="1"/>
  <c r="AP57" i="6" s="1"/>
  <c r="AR57" i="6" s="1"/>
  <c r="AY57" i="6" s="1"/>
  <c r="AP83" i="6" a="1"/>
  <c r="AP83" i="6" s="1"/>
  <c r="AR83" i="6" s="1"/>
  <c r="AZ83" i="6" s="1"/>
  <c r="BB83" i="6" s="1"/>
  <c r="AV141" i="6" a="1"/>
  <c r="AV141" i="6" s="1"/>
  <c r="AX141" i="6" s="1"/>
  <c r="BA141" i="6" s="1"/>
  <c r="AV180" i="6" a="1"/>
  <c r="AV180" i="6" s="1"/>
  <c r="AX180" i="6" s="1"/>
  <c r="BA180" i="6" s="1"/>
  <c r="AP158" i="6" a="1"/>
  <c r="AP158" i="6" s="1"/>
  <c r="AR158" i="6" s="1"/>
  <c r="AY158" i="6" s="1"/>
  <c r="AV139" i="6" a="1"/>
  <c r="AV139" i="6" s="1"/>
  <c r="AX139" i="6" s="1"/>
  <c r="BA139" i="6" s="1"/>
  <c r="AP124" i="6" a="1"/>
  <c r="AP124" i="6" s="1"/>
  <c r="AR124" i="6" s="1"/>
  <c r="AZ124" i="6" s="1"/>
  <c r="BB124" i="6" s="1"/>
  <c r="AP166" i="6" a="1"/>
  <c r="AP166" i="6" s="1"/>
  <c r="AR166" i="6" s="1"/>
  <c r="AZ166" i="6" s="1"/>
  <c r="AV137" i="6" a="1"/>
  <c r="AV137" i="6" s="1"/>
  <c r="AX137" i="6" s="1"/>
  <c r="BA137" i="6" s="1"/>
  <c r="AV173" i="6" a="1"/>
  <c r="AV173" i="6" s="1"/>
  <c r="AX173" i="6" s="1"/>
  <c r="BA173" i="6" s="1"/>
  <c r="AV140" i="6" a="1"/>
  <c r="AV140" i="6" s="1"/>
  <c r="AX140" i="6" s="1"/>
  <c r="BA140" i="6" s="1"/>
  <c r="AV115" i="6" a="1"/>
  <c r="AV115" i="6" s="1"/>
  <c r="AX115" i="6" s="1"/>
  <c r="BA115" i="6" s="1"/>
  <c r="AP157" i="6" a="1"/>
  <c r="AP157" i="6" s="1"/>
  <c r="AR157" i="6" s="1"/>
  <c r="AZ157" i="6" s="1"/>
  <c r="AV138" i="6" a="1"/>
  <c r="AV138" i="6" s="1"/>
  <c r="AX138" i="6" s="1"/>
  <c r="BA138" i="6" s="1"/>
  <c r="AV174" i="6" a="1"/>
  <c r="AV174" i="6" s="1"/>
  <c r="AX174" i="6" s="1"/>
  <c r="BA174" i="6" s="1"/>
  <c r="AP179" i="6" a="1"/>
  <c r="AP179" i="6" s="1"/>
  <c r="AR179" i="6" s="1"/>
  <c r="T7" i="6" a="1"/>
  <c r="T7" i="6" s="1"/>
  <c r="T22" i="6" s="1" a="1"/>
  <c r="T22" i="6" s="1"/>
  <c r="T37" i="6" s="1" a="1"/>
  <c r="T37" i="6" s="1"/>
  <c r="AP175" i="6" a="1"/>
  <c r="AP175" i="6" s="1"/>
  <c r="AR175" i="6" s="1"/>
  <c r="AZ175" i="6" s="1"/>
  <c r="BB175" i="6" s="1"/>
  <c r="AP7" i="6" a="1"/>
  <c r="AP7" i="6" s="1"/>
  <c r="AR7" i="6" s="1"/>
  <c r="AP32" i="6" a="1"/>
  <c r="AP32" i="6" s="1"/>
  <c r="AR32" i="6" s="1"/>
  <c r="AY32" i="6" s="1"/>
  <c r="AP14" i="6" a="1"/>
  <c r="AP14" i="6" s="1"/>
  <c r="AR14" i="6" s="1"/>
  <c r="AZ14" i="6" s="1"/>
  <c r="BB14" i="6" s="1"/>
  <c r="M14" i="6" s="1" a="1"/>
  <c r="M14" i="6" s="1"/>
  <c r="R14" i="6" s="1"/>
  <c r="AP54" i="6" a="1"/>
  <c r="AP54" i="6" s="1"/>
  <c r="AR54" i="6" s="1"/>
  <c r="AZ54" i="6" s="1"/>
  <c r="BB54" i="6" s="1"/>
  <c r="AV35" i="6" a="1"/>
  <c r="AV35" i="6" s="1"/>
  <c r="AX35" i="6" s="1"/>
  <c r="BA35" i="6" s="1"/>
  <c r="AV21" i="6" a="1"/>
  <c r="AV21" i="6" s="1"/>
  <c r="AX21" i="6" s="1"/>
  <c r="BA21" i="6" s="1"/>
  <c r="AV19" i="6" a="1"/>
  <c r="AV19" i="6" s="1"/>
  <c r="AX19" i="6" s="1"/>
  <c r="BA19" i="6" s="1"/>
  <c r="AP65" i="6" a="1"/>
  <c r="AP65" i="6" s="1"/>
  <c r="AR65" i="6" s="1"/>
  <c r="AZ65" i="6" s="1"/>
  <c r="AP40" i="6" a="1"/>
  <c r="AP40" i="6" s="1"/>
  <c r="AR40" i="6" s="1"/>
  <c r="AP45" i="6" a="1"/>
  <c r="AP45" i="6" s="1"/>
  <c r="AR45" i="6" s="1"/>
  <c r="AY45" i="6" s="1"/>
  <c r="AP19" i="6" a="1"/>
  <c r="AP19" i="6" s="1"/>
  <c r="AR19" i="6" s="1"/>
  <c r="AZ19" i="6" s="1"/>
  <c r="AP68" i="6" a="1"/>
  <c r="AP68" i="6" s="1"/>
  <c r="AR68" i="6" s="1"/>
  <c r="AY68" i="6" s="1"/>
  <c r="AP106" i="6" a="1"/>
  <c r="AP106" i="6" s="1"/>
  <c r="AR106" i="6" s="1"/>
  <c r="AZ106" i="6" s="1"/>
  <c r="AP91" i="6" a="1"/>
  <c r="AP91" i="6" s="1"/>
  <c r="AR91" i="6" s="1"/>
  <c r="AZ91" i="6" s="1"/>
  <c r="AP127" i="6" a="1"/>
  <c r="AP127" i="6" s="1"/>
  <c r="AR127" i="6" s="1"/>
  <c r="AZ127" i="6" s="1"/>
  <c r="BB127" i="6" s="1"/>
  <c r="AP76" i="6" a="1"/>
  <c r="AP76" i="6" s="1"/>
  <c r="AR76" i="6" s="1"/>
  <c r="AY76" i="6" s="1"/>
  <c r="AV46" i="6" a="1"/>
  <c r="AV46" i="6" s="1"/>
  <c r="AX46" i="6" s="1"/>
  <c r="BA46" i="6" s="1"/>
  <c r="AV93" i="6" a="1"/>
  <c r="AV93" i="6" s="1"/>
  <c r="AX93" i="6" s="1"/>
  <c r="BA93" i="6" s="1"/>
  <c r="AV78" i="6" a="1"/>
  <c r="AV78" i="6" s="1"/>
  <c r="AX78" i="6" s="1"/>
  <c r="BA78" i="6" s="1"/>
  <c r="AV114" i="6" a="1"/>
  <c r="AV114" i="6" s="1"/>
  <c r="AX114" i="6" s="1"/>
  <c r="BA114" i="6" s="1"/>
  <c r="AV72" i="6" a="1"/>
  <c r="AV72" i="6" s="1"/>
  <c r="AX72" i="6" s="1"/>
  <c r="BA72" i="6" s="1"/>
  <c r="AV109" i="6" a="1"/>
  <c r="AV109" i="6" s="1"/>
  <c r="AX109" i="6" s="1"/>
  <c r="BA109" i="6" s="1"/>
  <c r="AP98" i="6" a="1"/>
  <c r="AP98" i="6" s="1"/>
  <c r="AR98" i="6" s="1"/>
  <c r="AZ98" i="6" s="1"/>
  <c r="AV62" i="6" a="1"/>
  <c r="AV62" i="6" s="1"/>
  <c r="AX62" i="6" s="1"/>
  <c r="BA62" i="6" s="1"/>
  <c r="AV89" i="6" a="1"/>
  <c r="AV89" i="6" s="1"/>
  <c r="AX89" i="6" s="1"/>
  <c r="BA89" i="6" s="1"/>
  <c r="AP145" i="6" a="1"/>
  <c r="AP145" i="6" s="1"/>
  <c r="AR145" i="6" s="1"/>
  <c r="AZ145" i="6" s="1"/>
  <c r="AP184" i="6" a="1"/>
  <c r="AP184" i="6" s="1"/>
  <c r="AR184" i="6" s="1"/>
  <c r="AZ184" i="6" s="1"/>
  <c r="BB184" i="6" s="1"/>
  <c r="AV164" i="6" a="1"/>
  <c r="AV164" i="6" s="1"/>
  <c r="AX164" i="6" s="1"/>
  <c r="BA164" i="6" s="1"/>
  <c r="AP143" i="6" a="1"/>
  <c r="AP143" i="6" s="1"/>
  <c r="AR143" i="6" s="1"/>
  <c r="AZ143" i="6" s="1"/>
  <c r="BB143" i="6" s="1"/>
  <c r="AV134" i="6" a="1"/>
  <c r="AV134" i="6" s="1"/>
  <c r="AX134" i="6" s="1"/>
  <c r="BA134" i="6" s="1"/>
  <c r="AV170" i="6" a="1"/>
  <c r="AV170" i="6" s="1"/>
  <c r="AX170" i="6" s="1"/>
  <c r="BA170" i="6" s="1"/>
  <c r="AP141" i="6" a="1"/>
  <c r="AP141" i="6" s="1"/>
  <c r="AR141" i="6" s="1"/>
  <c r="AZ141" i="6" s="1"/>
  <c r="BB141" i="6" s="1"/>
  <c r="AP180" i="6" a="1"/>
  <c r="AP180" i="6" s="1"/>
  <c r="AR180" i="6" s="1"/>
  <c r="AZ180" i="6" s="1"/>
  <c r="AP144" i="6" a="1"/>
  <c r="AP144" i="6" s="1"/>
  <c r="AR144" i="6" s="1"/>
  <c r="AY144" i="6" s="1"/>
  <c r="AP121" i="6" a="1"/>
  <c r="AP121" i="6" s="1"/>
  <c r="AR121" i="6" s="1"/>
  <c r="AZ121" i="6" s="1"/>
  <c r="AV162" i="6" a="1"/>
  <c r="AV162" i="6" s="1"/>
  <c r="AX162" i="6" s="1"/>
  <c r="BA162" i="6" s="1"/>
  <c r="AP142" i="6" a="1"/>
  <c r="AP142" i="6" s="1"/>
  <c r="AR142" i="6" s="1"/>
  <c r="AZ142" i="6" s="1"/>
  <c r="BB142" i="6" s="1"/>
  <c r="AP181" i="6" a="1"/>
  <c r="AP181" i="6" s="1"/>
  <c r="AR181" i="6" s="1"/>
  <c r="AZ181" i="6" s="1"/>
  <c r="BB181" i="6" s="1"/>
  <c r="AV182" i="6" a="1"/>
  <c r="AV182" i="6" s="1"/>
  <c r="AX182" i="6" s="1"/>
  <c r="BA182" i="6" s="1"/>
  <c r="T9" i="6" a="1"/>
  <c r="T9" i="6" s="1"/>
  <c r="X9" i="6" s="1"/>
  <c r="Y9" i="6" s="1"/>
  <c r="T20" i="6" a="1"/>
  <c r="T20" i="6" s="1"/>
  <c r="X20" i="6" s="1"/>
  <c r="Y20" i="6" s="1"/>
  <c r="AP10" i="6" a="1"/>
  <c r="AP10" i="6" s="1"/>
  <c r="AR10" i="6" s="1"/>
  <c r="AY10" i="6" s="1"/>
  <c r="AV34" i="6" a="1"/>
  <c r="AV34" i="6" s="1"/>
  <c r="AX34" i="6" s="1"/>
  <c r="BA34" i="6" s="1"/>
  <c r="AP15" i="6" a="1"/>
  <c r="AP15" i="6" s="1"/>
  <c r="AR15" i="6" s="1"/>
  <c r="AZ15" i="6" s="1"/>
  <c r="AV60" i="6" a="1"/>
  <c r="AV60" i="6" s="1"/>
  <c r="AX60" i="6" s="1"/>
  <c r="BA60" i="6" s="1"/>
  <c r="AP39" i="6" a="1"/>
  <c r="AP39" i="6" s="1"/>
  <c r="AR39" i="6" s="1"/>
  <c r="AZ39" i="6" s="1"/>
  <c r="BB39" i="6" s="1"/>
  <c r="AV22" i="6" a="1"/>
  <c r="AV22" i="6" s="1"/>
  <c r="AX22" i="6" s="1"/>
  <c r="BA22" i="6" s="1"/>
  <c r="AV24" i="6" a="1"/>
  <c r="AV24" i="6" s="1"/>
  <c r="AX24" i="6" s="1"/>
  <c r="BA24" i="6" s="1"/>
  <c r="AV16" i="6" a="1"/>
  <c r="AV16" i="6" s="1"/>
  <c r="AX16" i="6" s="1"/>
  <c r="BA16" i="6" s="1"/>
  <c r="AV15" i="6" a="1"/>
  <c r="AV15" i="6" s="1"/>
  <c r="AX15" i="6" s="1"/>
  <c r="BA15" i="6" s="1"/>
  <c r="AV49" i="6" a="1"/>
  <c r="AV49" i="6" s="1"/>
  <c r="AX49" i="6" s="1"/>
  <c r="BA49" i="6" s="1"/>
  <c r="AP20" i="6" a="1"/>
  <c r="AP20" i="6" s="1"/>
  <c r="AR20" i="6" s="1"/>
  <c r="AZ20" i="6" s="1"/>
  <c r="AV74" i="6" a="1"/>
  <c r="AV74" i="6" s="1"/>
  <c r="AX74" i="6" s="1"/>
  <c r="BA74" i="6" s="1"/>
  <c r="AV110" i="6" a="1"/>
  <c r="AV110" i="6" s="1"/>
  <c r="AX110" i="6" s="1"/>
  <c r="BA110" i="6" s="1"/>
  <c r="AV95" i="6" a="1"/>
  <c r="AV95" i="6" s="1"/>
  <c r="AX95" i="6" s="1"/>
  <c r="BA95" i="6" s="1"/>
  <c r="AV132" i="6" a="1"/>
  <c r="AV132" i="6" s="1"/>
  <c r="AX132" i="6" s="1"/>
  <c r="BA132" i="6" s="1"/>
  <c r="AV80" i="6" a="1"/>
  <c r="AV80" i="6" s="1"/>
  <c r="AX80" i="6" s="1"/>
  <c r="BA80" i="6" s="1"/>
  <c r="AP60" i="6" a="1"/>
  <c r="AP60" i="6" s="1"/>
  <c r="AR60" i="6" s="1"/>
  <c r="AZ60" i="6" s="1"/>
  <c r="AP97" i="6" a="1"/>
  <c r="AP97" i="6" s="1"/>
  <c r="AR97" i="6" s="1"/>
  <c r="AY97" i="6" s="1"/>
  <c r="AP82" i="6" a="1"/>
  <c r="AP82" i="6" s="1"/>
  <c r="AR82" i="6" s="1"/>
  <c r="AZ82" i="6" s="1"/>
  <c r="BB82" i="6" s="1"/>
  <c r="AP120" i="6" a="1"/>
  <c r="AP120" i="6" s="1"/>
  <c r="AR120" i="6" s="1"/>
  <c r="AY120" i="6" s="1"/>
  <c r="AP77" i="6" a="1"/>
  <c r="AP77" i="6" s="1"/>
  <c r="AR77" i="6" s="1"/>
  <c r="AZ77" i="6" s="1"/>
  <c r="AP113" i="6" a="1"/>
  <c r="AP113" i="6" s="1"/>
  <c r="AR113" i="6" s="1"/>
  <c r="AY113" i="6" s="1"/>
  <c r="AV104" i="6" a="1"/>
  <c r="AV104" i="6" s="1"/>
  <c r="AX104" i="6" s="1"/>
  <c r="BA104" i="6" s="1"/>
  <c r="AV63" i="6" a="1"/>
  <c r="AV63" i="6" s="1"/>
  <c r="AX63" i="6" s="1"/>
  <c r="BA63" i="6" s="1"/>
  <c r="AP93" i="6" a="1"/>
  <c r="AP93" i="6" s="1"/>
  <c r="AR93" i="6" s="1"/>
  <c r="AY93" i="6" s="1"/>
  <c r="AV151" i="6" a="1"/>
  <c r="AV151" i="6" s="1"/>
  <c r="AX151" i="6" s="1"/>
  <c r="BA151" i="6" s="1"/>
  <c r="AP129" i="6" a="1"/>
  <c r="AP129" i="6" s="1"/>
  <c r="AR129" i="6" s="1"/>
  <c r="AZ129" i="6" s="1"/>
  <c r="BB129" i="6" s="1"/>
  <c r="AP168" i="6" a="1"/>
  <c r="AP168" i="6" s="1"/>
  <c r="AR168" i="6" s="1"/>
  <c r="AZ168" i="6" s="1"/>
  <c r="BB168" i="6" s="1"/>
  <c r="AV149" i="6" a="1"/>
  <c r="AV149" i="6" s="1"/>
  <c r="AX149" i="6" s="1"/>
  <c r="BA149" i="6" s="1"/>
  <c r="AP138" i="6" a="1"/>
  <c r="AP138" i="6" s="1"/>
  <c r="AR138" i="6" s="1"/>
  <c r="AP174" i="6" a="1"/>
  <c r="AP174" i="6" s="1"/>
  <c r="AR174" i="6" s="1"/>
  <c r="AV145" i="6" a="1"/>
  <c r="AV145" i="6" s="1"/>
  <c r="AX145" i="6" s="1"/>
  <c r="BA145" i="6" s="1"/>
  <c r="AP112" i="6" a="1"/>
  <c r="AP112" i="6" s="1"/>
  <c r="AR112" i="6" s="1"/>
  <c r="AZ112" i="6" s="1"/>
  <c r="BB112" i="6" s="1"/>
  <c r="AV150" i="6" a="1"/>
  <c r="AV150" i="6" s="1"/>
  <c r="AX150" i="6" s="1"/>
  <c r="BA150" i="6" s="1"/>
  <c r="AV126" i="6" a="1"/>
  <c r="AV126" i="6" s="1"/>
  <c r="AX126" i="6" s="1"/>
  <c r="BA126" i="6" s="1"/>
  <c r="AP167" i="6" a="1"/>
  <c r="AP167" i="6" s="1"/>
  <c r="AR167" i="6" s="1"/>
  <c r="AZ167" i="6" s="1"/>
  <c r="BB167" i="6" s="1"/>
  <c r="AV147" i="6" a="1"/>
  <c r="AV147" i="6" s="1"/>
  <c r="AX147" i="6" s="1"/>
  <c r="BA147" i="6" s="1"/>
  <c r="AP182" i="6" a="1"/>
  <c r="AP182" i="6" s="1"/>
  <c r="AR182" i="6" s="1"/>
  <c r="AZ182" i="6" s="1"/>
  <c r="BB182" i="6" s="1"/>
  <c r="AV183" i="6" a="1"/>
  <c r="AV183" i="6" s="1"/>
  <c r="AX183" i="6" s="1"/>
  <c r="BA183" i="6" s="1"/>
  <c r="T12" i="6" a="1"/>
  <c r="T12" i="6" s="1"/>
  <c r="X12" i="6" s="1"/>
  <c r="Y12" i="6" s="1"/>
  <c r="K16" i="9" a="1"/>
  <c r="K16" i="9" s="1"/>
  <c r="K3" i="9" s="1" a="1"/>
  <c r="K3" i="9" s="1"/>
  <c r="T10" i="6" a="1"/>
  <c r="T10" i="6" s="1"/>
  <c r="X10" i="6" s="1"/>
  <c r="Y10" i="6" s="1"/>
  <c r="T16" i="6" a="1"/>
  <c r="T16" i="6" s="1"/>
  <c r="X16" i="6" s="1"/>
  <c r="Y16" i="6" s="1"/>
  <c r="T14" i="6" a="1"/>
  <c r="T14" i="6" s="1"/>
  <c r="X14" i="6" s="1"/>
  <c r="Y14" i="6" s="1"/>
  <c r="T15" i="6" a="1"/>
  <c r="T15" i="6" s="1"/>
  <c r="X15" i="6" s="1"/>
  <c r="Y15" i="6" s="1"/>
  <c r="T18" i="6" a="1"/>
  <c r="T18" i="6" s="1"/>
  <c r="X18" i="6" s="1"/>
  <c r="Y18" i="6" s="1"/>
  <c r="AZ183" i="6"/>
  <c r="AZ152" i="6"/>
  <c r="BB152" i="6" s="1"/>
  <c r="AY152" i="6"/>
  <c r="AZ154" i="6"/>
  <c r="BB154" i="6" s="1"/>
  <c r="AZ122" i="6"/>
  <c r="BB122" i="6" s="1"/>
  <c r="AY122" i="6"/>
  <c r="AZ151" i="6"/>
  <c r="AZ153" i="6"/>
  <c r="AZ108" i="6"/>
  <c r="AZ70" i="6"/>
  <c r="AZ84" i="6"/>
  <c r="BB84" i="6" s="1"/>
  <c r="AY84" i="6"/>
  <c r="AZ99" i="6"/>
  <c r="AZ114" i="6"/>
  <c r="AZ24" i="6"/>
  <c r="AZ21" i="6"/>
  <c r="AZ37" i="6"/>
  <c r="AZ29" i="6"/>
  <c r="BB29" i="6" s="1"/>
  <c r="AY29" i="6"/>
  <c r="AZ16" i="6"/>
  <c r="AY16" i="6"/>
  <c r="AZ34" i="6"/>
  <c r="T35" i="6" a="1"/>
  <c r="T35" i="6" s="1"/>
  <c r="X35" i="6" s="1"/>
  <c r="Y35" i="6" s="1"/>
  <c r="Q15" i="9" a="1"/>
  <c r="Q15" i="9" s="1"/>
  <c r="V171" i="6" a="1"/>
  <c r="V171" i="6" s="1"/>
  <c r="Q16" i="9" s="1" a="1"/>
  <c r="Q16" i="9" s="1"/>
  <c r="AZ144" i="6"/>
  <c r="BB144" i="6" s="1"/>
  <c r="AY180" i="6"/>
  <c r="AZ76" i="6"/>
  <c r="BB76" i="6" s="1"/>
  <c r="AY127" i="6"/>
  <c r="AZ45" i="6"/>
  <c r="BB45" i="6" s="1"/>
  <c r="AZ40" i="6"/>
  <c r="AZ32" i="6"/>
  <c r="AZ179" i="6"/>
  <c r="BB179" i="6" s="1"/>
  <c r="AY179" i="6"/>
  <c r="AZ74" i="6"/>
  <c r="AZ89" i="6"/>
  <c r="BB89" i="6" s="1"/>
  <c r="AY89" i="6"/>
  <c r="AZ18" i="6"/>
  <c r="BB18" i="6" s="1"/>
  <c r="M18" i="6" s="1" a="1"/>
  <c r="M18" i="6" s="1"/>
  <c r="R18" i="6" s="1"/>
  <c r="AY18" i="6"/>
  <c r="AZ52" i="6"/>
  <c r="BB52" i="6" s="1"/>
  <c r="AY52" i="6"/>
  <c r="AZ61" i="6"/>
  <c r="AY61" i="6"/>
  <c r="AZ7" i="6"/>
  <c r="BB7" i="6" s="1"/>
  <c r="M7" i="6" s="1" a="1"/>
  <c r="M7" i="6" s="1"/>
  <c r="AY7" i="6"/>
  <c r="AZ172" i="6"/>
  <c r="BB172" i="6" s="1"/>
  <c r="AY172" i="6"/>
  <c r="AZ136" i="6"/>
  <c r="BB136" i="6" s="1"/>
  <c r="AY136" i="6"/>
  <c r="AZ135" i="6"/>
  <c r="BB135" i="6" s="1"/>
  <c r="AZ173" i="6"/>
  <c r="AZ137" i="6"/>
  <c r="AZ126" i="6"/>
  <c r="AZ90" i="6"/>
  <c r="BB90" i="6" s="1"/>
  <c r="AY90" i="6"/>
  <c r="AZ59" i="6"/>
  <c r="BB59" i="6" s="1"/>
  <c r="AY59" i="6"/>
  <c r="AZ119" i="6"/>
  <c r="BB119" i="6" s="1"/>
  <c r="AY119" i="6"/>
  <c r="AY96" i="6"/>
  <c r="AZ35" i="6"/>
  <c r="AZ55" i="6"/>
  <c r="BB55" i="6" s="1"/>
  <c r="AY55" i="6"/>
  <c r="AZ27" i="6"/>
  <c r="BB27" i="6" s="1"/>
  <c r="AY27" i="6"/>
  <c r="AZ17" i="6"/>
  <c r="BB17" i="6" s="1"/>
  <c r="M17" i="6" s="1" a="1"/>
  <c r="M17" i="6" s="1"/>
  <c r="AY17" i="6"/>
  <c r="T32" i="6" a="1"/>
  <c r="T32" i="6" s="1"/>
  <c r="X32" i="6" s="1"/>
  <c r="Y32" i="6" s="1"/>
  <c r="AZ123" i="6"/>
  <c r="AZ156" i="6"/>
  <c r="AY130" i="6"/>
  <c r="AY75" i="6"/>
  <c r="AZ115" i="6"/>
  <c r="BB115" i="6" s="1"/>
  <c r="AY115" i="6"/>
  <c r="AZ79" i="6"/>
  <c r="AZ63" i="6"/>
  <c r="AY63" i="6"/>
  <c r="AZ30" i="6"/>
  <c r="BB30" i="6" s="1"/>
  <c r="AZ44" i="6"/>
  <c r="AZ12" i="6"/>
  <c r="BB12" i="6" s="1"/>
  <c r="M12" i="6" s="1" a="1"/>
  <c r="M12" i="6" s="1"/>
  <c r="AY12" i="6"/>
  <c r="AZ51" i="6"/>
  <c r="BB51" i="6" s="1"/>
  <c r="AY51" i="6"/>
  <c r="AY175" i="6"/>
  <c r="P15" i="9" a="1"/>
  <c r="P15" i="9" s="1"/>
  <c r="U186" i="6" a="1"/>
  <c r="U186" i="6" s="1"/>
  <c r="P17" i="9" s="1" a="1"/>
  <c r="P17" i="9" s="1"/>
  <c r="AZ159" i="6"/>
  <c r="BB159" i="6" s="1"/>
  <c r="AY159" i="6"/>
  <c r="AZ125" i="6"/>
  <c r="BB125" i="6" s="1"/>
  <c r="AY125" i="6"/>
  <c r="AZ165" i="6"/>
  <c r="BB165" i="6" s="1"/>
  <c r="AZ80" i="6"/>
  <c r="BB80" i="6" s="1"/>
  <c r="AY80" i="6"/>
  <c r="AZ50" i="6"/>
  <c r="AZ94" i="6"/>
  <c r="AZ109" i="6"/>
  <c r="BB109" i="6" s="1"/>
  <c r="AZ87" i="6"/>
  <c r="BB87" i="6" s="1"/>
  <c r="AY87" i="6"/>
  <c r="AZ38" i="6"/>
  <c r="BB38" i="6" s="1"/>
  <c r="AY38" i="6"/>
  <c r="AZ22" i="6"/>
  <c r="AZ36" i="6"/>
  <c r="AZ177" i="6"/>
  <c r="BB177" i="6" s="1"/>
  <c r="AY177" i="6"/>
  <c r="AZ185" i="6"/>
  <c r="AZ147" i="6"/>
  <c r="AZ102" i="6"/>
  <c r="AZ67" i="6"/>
  <c r="BB67" i="6" s="1"/>
  <c r="AY67" i="6"/>
  <c r="AZ128" i="6"/>
  <c r="BB128" i="6" s="1"/>
  <c r="AY128" i="6"/>
  <c r="AZ107" i="6"/>
  <c r="BB107" i="6" s="1"/>
  <c r="AY107" i="6"/>
  <c r="AZ69" i="6"/>
  <c r="BB69" i="6" s="1"/>
  <c r="AY69" i="6"/>
  <c r="AZ23" i="6"/>
  <c r="AZ42" i="6"/>
  <c r="BB42" i="6" s="1"/>
  <c r="AY42" i="6"/>
  <c r="T36" i="6" a="1"/>
  <c r="T36" i="6" s="1"/>
  <c r="X36" i="6" s="1"/>
  <c r="Y36" i="6" s="1"/>
  <c r="AY137" i="6" l="1"/>
  <c r="BB22" i="6"/>
  <c r="BB137" i="6"/>
  <c r="X7" i="6"/>
  <c r="AY70" i="6"/>
  <c r="AZ57" i="6"/>
  <c r="BB57" i="6" s="1"/>
  <c r="BB70" i="6"/>
  <c r="T34" i="6" a="1"/>
  <c r="T34" i="6" s="1"/>
  <c r="X34" i="6" s="1"/>
  <c r="Y34" i="6" s="1"/>
  <c r="BB75" i="6"/>
  <c r="AY22" i="6"/>
  <c r="BB61" i="6"/>
  <c r="BB47" i="6"/>
  <c r="AZ10" i="6"/>
  <c r="BB10" i="6" s="1"/>
  <c r="M10" i="6" s="1" a="1"/>
  <c r="M10" i="6" s="1"/>
  <c r="R10" i="6" s="1"/>
  <c r="BB180" i="6"/>
  <c r="BB31" i="6"/>
  <c r="AY31" i="6"/>
  <c r="AY140" i="6"/>
  <c r="BB92" i="6"/>
  <c r="BB155" i="6"/>
  <c r="AY117" i="6"/>
  <c r="AY62" i="6"/>
  <c r="AY37" i="6"/>
  <c r="AZ140" i="6"/>
  <c r="BB140" i="6" s="1"/>
  <c r="BB37" i="6"/>
  <c r="AZ25" i="6"/>
  <c r="BB25" i="6" s="1"/>
  <c r="AY50" i="6"/>
  <c r="AY155" i="6"/>
  <c r="AY102" i="6"/>
  <c r="BB102" i="6"/>
  <c r="AY104" i="6"/>
  <c r="AY165" i="6"/>
  <c r="AZ104" i="6"/>
  <c r="BB104" i="6" s="1"/>
  <c r="AY173" i="6"/>
  <c r="BB98" i="6"/>
  <c r="AY79" i="6"/>
  <c r="BB173" i="6"/>
  <c r="T24" i="6" a="1"/>
  <c r="T24" i="6" s="1"/>
  <c r="X24" i="6" s="1"/>
  <c r="Y24" i="6" s="1"/>
  <c r="BB9" i="6"/>
  <c r="M9" i="6" s="1" a="1"/>
  <c r="M9" i="6" s="1"/>
  <c r="R9" i="6" s="1"/>
  <c r="BB79" i="6"/>
  <c r="AY83" i="6"/>
  <c r="AY141" i="6"/>
  <c r="BB32" i="6"/>
  <c r="M32" i="6" s="1" a="1"/>
  <c r="M32" i="6" s="1"/>
  <c r="R32" i="6" s="1"/>
  <c r="AY98" i="6"/>
  <c r="AY36" i="6"/>
  <c r="AY108" i="6"/>
  <c r="AY23" i="6"/>
  <c r="BB36" i="6"/>
  <c r="AY169" i="6"/>
  <c r="BB108" i="6"/>
  <c r="BB23" i="6"/>
  <c r="M23" i="6" s="1" a="1"/>
  <c r="M23" i="6" s="1"/>
  <c r="AY132" i="6"/>
  <c r="BB132" i="6"/>
  <c r="BB24" i="6"/>
  <c r="M24" i="6" s="1" a="1"/>
  <c r="M24" i="6" s="1"/>
  <c r="M39" i="6" s="1" a="1"/>
  <c r="M39" i="6" s="1"/>
  <c r="R39" i="6" s="1"/>
  <c r="BB48" i="6"/>
  <c r="AZ81" i="6"/>
  <c r="BB81" i="6" s="1"/>
  <c r="BB63" i="6"/>
  <c r="BB16" i="6"/>
  <c r="M16" i="6" s="1" a="1"/>
  <c r="M16" i="6" s="1"/>
  <c r="BB19" i="6"/>
  <c r="M19" i="6" s="1" a="1"/>
  <c r="M19" i="6" s="1"/>
  <c r="R19" i="6" s="1"/>
  <c r="AY156" i="6"/>
  <c r="AY99" i="6"/>
  <c r="AY35" i="6"/>
  <c r="BB186" i="6"/>
  <c r="AY49" i="6"/>
  <c r="AY184" i="6"/>
  <c r="BB46" i="6"/>
  <c r="AY154" i="6"/>
  <c r="AY65" i="6"/>
  <c r="AY33" i="6"/>
  <c r="BB96" i="6"/>
  <c r="BB49" i="6"/>
  <c r="AY46" i="6"/>
  <c r="AY48" i="6"/>
  <c r="BB40" i="6"/>
  <c r="AZ158" i="6"/>
  <c r="BB158" i="6" s="1"/>
  <c r="AY40" i="6"/>
  <c r="AY44" i="6"/>
  <c r="AZ171" i="6"/>
  <c r="BB171" i="6" s="1"/>
  <c r="AY145" i="6"/>
  <c r="AY53" i="6"/>
  <c r="BB151" i="6"/>
  <c r="BB44" i="6"/>
  <c r="BB145" i="6"/>
  <c r="BB53" i="6"/>
  <c r="BB91" i="6"/>
  <c r="BB183" i="6"/>
  <c r="AZ93" i="6"/>
  <c r="BB93" i="6" s="1"/>
  <c r="AY94" i="6"/>
  <c r="BB160" i="6"/>
  <c r="AY160" i="6"/>
  <c r="AY39" i="6"/>
  <c r="BB94" i="6"/>
  <c r="AY123" i="6"/>
  <c r="AY91" i="6"/>
  <c r="BB123" i="6"/>
  <c r="AY134" i="6"/>
  <c r="AY166" i="6"/>
  <c r="AY186" i="6"/>
  <c r="AY21" i="6"/>
  <c r="AY109" i="6"/>
  <c r="BB110" i="6"/>
  <c r="AY181" i="6"/>
  <c r="BB21" i="6"/>
  <c r="M21" i="6" s="1" a="1"/>
  <c r="M21" i="6" s="1"/>
  <c r="R21" i="6" s="1"/>
  <c r="BB15" i="6"/>
  <c r="M15" i="6" s="1" a="1"/>
  <c r="M15" i="6" s="1"/>
  <c r="AY19" i="6"/>
  <c r="BB65" i="6"/>
  <c r="BB78" i="6"/>
  <c r="BB106" i="6"/>
  <c r="BB117" i="6"/>
  <c r="BB50" i="6"/>
  <c r="AY34" i="6"/>
  <c r="AY14" i="6"/>
  <c r="BB34" i="6"/>
  <c r="AY153" i="6"/>
  <c r="BB153" i="6"/>
  <c r="AZ97" i="6"/>
  <c r="BB97" i="6" s="1"/>
  <c r="BB170" i="6"/>
  <c r="BB95" i="6"/>
  <c r="BB62" i="6"/>
  <c r="AY47" i="6"/>
  <c r="BB85" i="6"/>
  <c r="BB111" i="6"/>
  <c r="AY78" i="6"/>
  <c r="BB64" i="6"/>
  <c r="AY150" i="6"/>
  <c r="AY95" i="6"/>
  <c r="BB156" i="6"/>
  <c r="BB35" i="6"/>
  <c r="AY170" i="6"/>
  <c r="BB166" i="6"/>
  <c r="AY143" i="6"/>
  <c r="AY121" i="6"/>
  <c r="AY77" i="6"/>
  <c r="BB99" i="6"/>
  <c r="BB20" i="6"/>
  <c r="M20" i="6" s="1" a="1"/>
  <c r="M20" i="6" s="1"/>
  <c r="R20" i="6" s="1"/>
  <c r="Z20" i="6" s="1"/>
  <c r="AZ120" i="6"/>
  <c r="BB120" i="6" s="1"/>
  <c r="AY85" i="6"/>
  <c r="BB147" i="6"/>
  <c r="AY157" i="6"/>
  <c r="BB121" i="6"/>
  <c r="AY64" i="6"/>
  <c r="AY111" i="6"/>
  <c r="AY185" i="6"/>
  <c r="AY74" i="6"/>
  <c r="BB157" i="6"/>
  <c r="AY106" i="6"/>
  <c r="AY142" i="6"/>
  <c r="AY168" i="6"/>
  <c r="BB185" i="6"/>
  <c r="AY72" i="6"/>
  <c r="AY8" i="6"/>
  <c r="AY9" i="6"/>
  <c r="BB74" i="6"/>
  <c r="AY60" i="6"/>
  <c r="BB60" i="6"/>
  <c r="AY174" i="6"/>
  <c r="BB72" i="6"/>
  <c r="AY105" i="6"/>
  <c r="AY124" i="6"/>
  <c r="BB77" i="6"/>
  <c r="AY110" i="6"/>
  <c r="BB150" i="6"/>
  <c r="BB149" i="6"/>
  <c r="BB134" i="6"/>
  <c r="BB66" i="6"/>
  <c r="AY147" i="6"/>
  <c r="AY151" i="6"/>
  <c r="BB130" i="6"/>
  <c r="AZ174" i="6"/>
  <c r="BB174" i="6" s="1"/>
  <c r="AY24" i="6"/>
  <c r="BB162" i="6"/>
  <c r="AY149" i="6"/>
  <c r="T26" i="6" a="1"/>
  <c r="T26" i="6" s="1"/>
  <c r="X26" i="6" s="1"/>
  <c r="Y26" i="6" s="1"/>
  <c r="AZ33" i="6"/>
  <c r="BB33" i="6" s="1"/>
  <c r="M33" i="6" s="1" a="1"/>
  <c r="M33" i="6" s="1"/>
  <c r="R33" i="6" s="1"/>
  <c r="AY164" i="6"/>
  <c r="AY100" i="6"/>
  <c r="AY92" i="6"/>
  <c r="AY139" i="6"/>
  <c r="AY66" i="6"/>
  <c r="AZ68" i="6"/>
  <c r="BB68" i="6" s="1"/>
  <c r="AY15" i="6"/>
  <c r="AZ113" i="6"/>
  <c r="BB113" i="6" s="1"/>
  <c r="BB164" i="6"/>
  <c r="BB100" i="6"/>
  <c r="BB139" i="6"/>
  <c r="AY162" i="6"/>
  <c r="AY82" i="6"/>
  <c r="AY129" i="6"/>
  <c r="AY114" i="6"/>
  <c r="BB114" i="6"/>
  <c r="AY138" i="6"/>
  <c r="AY126" i="6"/>
  <c r="AY54" i="6"/>
  <c r="AY20" i="6"/>
  <c r="BB126" i="6"/>
  <c r="Y7" i="6"/>
  <c r="D6" i="20" s="1" a="1"/>
  <c r="D6" i="20" s="1"/>
  <c r="AY112" i="6"/>
  <c r="AY167" i="6"/>
  <c r="T28" i="6" a="1"/>
  <c r="T28" i="6" s="1"/>
  <c r="X28" i="6" s="1"/>
  <c r="Y28" i="6" s="1"/>
  <c r="AY43" i="6"/>
  <c r="AZ43" i="6"/>
  <c r="BB43" i="6" s="1"/>
  <c r="AZ13" i="6"/>
  <c r="BB13" i="6" s="1"/>
  <c r="M13" i="6" s="1" a="1"/>
  <c r="M13" i="6" s="1"/>
  <c r="R13" i="6" s="1"/>
  <c r="AY13" i="6"/>
  <c r="AZ28" i="6"/>
  <c r="BB28" i="6" s="1"/>
  <c r="AY28" i="6"/>
  <c r="AZ26" i="6"/>
  <c r="BB26" i="6" s="1"/>
  <c r="AY26" i="6"/>
  <c r="AZ71" i="6"/>
  <c r="BB71" i="6" s="1"/>
  <c r="AY71" i="6"/>
  <c r="AZ146" i="6"/>
  <c r="BB146" i="6" s="1"/>
  <c r="AY146" i="6"/>
  <c r="AZ116" i="6"/>
  <c r="BB116" i="6" s="1"/>
  <c r="AY116" i="6"/>
  <c r="AZ86" i="6"/>
  <c r="BB86" i="6" s="1"/>
  <c r="AY86" i="6"/>
  <c r="AZ131" i="6"/>
  <c r="BB131" i="6" s="1"/>
  <c r="AY131" i="6"/>
  <c r="AY11" i="6"/>
  <c r="AZ11" i="6"/>
  <c r="BB11" i="6" s="1"/>
  <c r="M11" i="6" s="1" a="1"/>
  <c r="M11" i="6" s="1"/>
  <c r="R11" i="6" s="1"/>
  <c r="AZ101" i="6"/>
  <c r="BB101" i="6" s="1"/>
  <c r="AY101" i="6"/>
  <c r="AZ56" i="6"/>
  <c r="BB56" i="6" s="1"/>
  <c r="AY56" i="6"/>
  <c r="AZ41" i="6"/>
  <c r="BB41" i="6" s="1"/>
  <c r="AY41" i="6"/>
  <c r="AZ138" i="6"/>
  <c r="BB138" i="6" s="1"/>
  <c r="AY182" i="6"/>
  <c r="T50" i="6" a="1"/>
  <c r="T50" i="6" s="1"/>
  <c r="X50" i="6" s="1"/>
  <c r="Y50" i="6" s="1"/>
  <c r="AY183" i="6"/>
  <c r="R16" i="6"/>
  <c r="S16" i="6" s="1"/>
  <c r="C15" i="11" s="1" a="1"/>
  <c r="C15" i="11" s="1"/>
  <c r="M31" i="6" a="1"/>
  <c r="M31" i="6" s="1"/>
  <c r="R31" i="6" s="1"/>
  <c r="S31" i="6" s="1"/>
  <c r="D15" i="11" s="1" a="1"/>
  <c r="D15" i="11" s="1"/>
  <c r="O6" i="9" a="1"/>
  <c r="O6" i="9" s="1"/>
  <c r="S6" i="9" s="1"/>
  <c r="T31" i="6" a="1"/>
  <c r="T31" i="6" s="1"/>
  <c r="T25" i="6" a="1"/>
  <c r="T25" i="6" s="1"/>
  <c r="T29" i="6" a="1"/>
  <c r="T29" i="6" s="1"/>
  <c r="D7" i="20" a="1"/>
  <c r="D7" i="20" s="1"/>
  <c r="T27" i="6" a="1"/>
  <c r="T27" i="6" s="1"/>
  <c r="T30" i="6" a="1"/>
  <c r="T30" i="6" s="1"/>
  <c r="M29" i="6" a="1"/>
  <c r="M29" i="6" s="1"/>
  <c r="R29" i="6" s="1"/>
  <c r="S29" i="6" s="1"/>
  <c r="D13" i="11" s="1" a="1"/>
  <c r="D13" i="11" s="1"/>
  <c r="D8" i="20" a="1"/>
  <c r="D8" i="20" s="1"/>
  <c r="M22" i="6" a="1"/>
  <c r="M22" i="6" s="1"/>
  <c r="T33" i="6" a="1"/>
  <c r="T33" i="6" s="1"/>
  <c r="T23" i="6" a="1"/>
  <c r="T23" i="6" s="1"/>
  <c r="R12" i="6"/>
  <c r="M27" i="6" a="1"/>
  <c r="M27" i="6" s="1"/>
  <c r="R27" i="6" s="1"/>
  <c r="R17" i="6"/>
  <c r="T51" i="6" a="1"/>
  <c r="T51" i="6" s="1"/>
  <c r="T66" i="6" s="1" a="1"/>
  <c r="T66" i="6" s="1"/>
  <c r="X66" i="6" s="1"/>
  <c r="Y66" i="6" s="1"/>
  <c r="R7" i="6"/>
  <c r="Z9" i="6"/>
  <c r="S9" i="6"/>
  <c r="C8" i="11" s="1" a="1"/>
  <c r="C8" i="11" s="1"/>
  <c r="Z8" i="6"/>
  <c r="S8" i="6"/>
  <c r="C7" i="11" s="1" a="1"/>
  <c r="C7" i="11" s="1"/>
  <c r="S20" i="6"/>
  <c r="C19" i="11" s="1" a="1"/>
  <c r="C19" i="11" s="1"/>
  <c r="Z18" i="6"/>
  <c r="S18" i="6"/>
  <c r="C17" i="11" s="1" a="1"/>
  <c r="C17" i="11" s="1"/>
  <c r="X22" i="6"/>
  <c r="Y22" i="6" s="1"/>
  <c r="X37" i="6"/>
  <c r="Y37" i="6" s="1"/>
  <c r="Z10" i="6"/>
  <c r="S10" i="6"/>
  <c r="C9" i="11" s="1" a="1"/>
  <c r="C9" i="11" s="1"/>
  <c r="T47" i="6" a="1"/>
  <c r="T47" i="6" s="1"/>
  <c r="T62" i="6" s="1" a="1"/>
  <c r="T62" i="6" s="1"/>
  <c r="X62" i="6" s="1"/>
  <c r="Y62" i="6" s="1"/>
  <c r="S21" i="6"/>
  <c r="C20" i="11" s="1" a="1"/>
  <c r="C20" i="11" s="1"/>
  <c r="Z21" i="6"/>
  <c r="P3" i="9" a="1"/>
  <c r="P3" i="9" s="1"/>
  <c r="T52" i="6" a="1"/>
  <c r="T52" i="6" s="1"/>
  <c r="Z19" i="6"/>
  <c r="S19" i="6"/>
  <c r="C18" i="11" s="1" a="1"/>
  <c r="C18" i="11" s="1"/>
  <c r="S14" i="6"/>
  <c r="C13" i="11" s="1" a="1"/>
  <c r="C13" i="11" s="1"/>
  <c r="Z14" i="6"/>
  <c r="V186" i="6" a="1"/>
  <c r="V186" i="6" s="1"/>
  <c r="Q17" i="9" s="1" a="1"/>
  <c r="Q17" i="9" s="1"/>
  <c r="Q3" i="9" s="1" a="1"/>
  <c r="Q3" i="9" s="1"/>
  <c r="T49" i="6" l="1" a="1"/>
  <c r="T49" i="6" s="1"/>
  <c r="T64" i="6" s="1" a="1"/>
  <c r="T64" i="6" s="1"/>
  <c r="M25" i="6" a="1"/>
  <c r="M25" i="6" s="1"/>
  <c r="R25" i="6" s="1"/>
  <c r="S25" i="6" s="1"/>
  <c r="D9" i="11" s="1" a="1"/>
  <c r="D9" i="11" s="1"/>
  <c r="M38" i="6" a="1"/>
  <c r="M38" i="6" s="1"/>
  <c r="R38" i="6" s="1"/>
  <c r="R23" i="6"/>
  <c r="M34" i="6" a="1"/>
  <c r="M34" i="6" s="1"/>
  <c r="M37" i="6" a="1"/>
  <c r="M37" i="6" s="1"/>
  <c r="M52" i="6" s="1" a="1"/>
  <c r="M52" i="6" s="1"/>
  <c r="T39" i="6" a="1"/>
  <c r="T39" i="6" s="1"/>
  <c r="X39" i="6" s="1"/>
  <c r="Y39" i="6" s="1"/>
  <c r="M36" i="6" a="1"/>
  <c r="M36" i="6" s="1"/>
  <c r="M30" i="6" a="1"/>
  <c r="M30" i="6" s="1"/>
  <c r="R30" i="6" s="1"/>
  <c r="S30" i="6" s="1"/>
  <c r="D14" i="11" s="1" a="1"/>
  <c r="D14" i="11" s="1"/>
  <c r="R15" i="6"/>
  <c r="Z15" i="6" s="1"/>
  <c r="H6" i="9"/>
  <c r="M6" i="9" s="1"/>
  <c r="M35" i="6" a="1"/>
  <c r="M35" i="6" s="1"/>
  <c r="M40" i="6" a="1"/>
  <c r="M40" i="6" s="1"/>
  <c r="R40" i="6" s="1"/>
  <c r="V6" i="9"/>
  <c r="T41" i="6" a="1"/>
  <c r="T41" i="6" s="1"/>
  <c r="X41" i="6" s="1"/>
  <c r="Y41" i="6" s="1"/>
  <c r="Z16" i="6"/>
  <c r="R22" i="6"/>
  <c r="Z22" i="6" s="1"/>
  <c r="M28" i="6" a="1"/>
  <c r="M28" i="6" s="1"/>
  <c r="R28" i="6" s="1"/>
  <c r="S13" i="6"/>
  <c r="C12" i="11" s="1" a="1"/>
  <c r="C12" i="11" s="1"/>
  <c r="Z13" i="6"/>
  <c r="T65" i="6" a="1"/>
  <c r="T65" i="6" s="1"/>
  <c r="X65" i="6" s="1"/>
  <c r="Y65" i="6" s="1"/>
  <c r="M26" i="6" a="1"/>
  <c r="M26" i="6" s="1"/>
  <c r="R26" i="6" s="1"/>
  <c r="Z26" i="6" s="1"/>
  <c r="T43" i="6" a="1"/>
  <c r="T43" i="6" s="1"/>
  <c r="X43" i="6" s="1"/>
  <c r="Y43" i="6" s="1"/>
  <c r="S11" i="6"/>
  <c r="C10" i="11" s="1" a="1"/>
  <c r="C10" i="11" s="1"/>
  <c r="Z11" i="6"/>
  <c r="M46" i="6" a="1"/>
  <c r="M46" i="6" s="1"/>
  <c r="O7" i="9" a="1"/>
  <c r="O7" i="9" s="1"/>
  <c r="V7" i="9" s="1"/>
  <c r="X64" i="6"/>
  <c r="Y64" i="6" s="1"/>
  <c r="T79" i="6" a="1"/>
  <c r="T79" i="6" s="1"/>
  <c r="X79" i="6" s="1"/>
  <c r="Y79" i="6" s="1"/>
  <c r="D3" i="20" a="1"/>
  <c r="D3" i="20" s="1"/>
  <c r="X23" i="6"/>
  <c r="Y23" i="6" s="1"/>
  <c r="E6" i="20" s="1" a="1"/>
  <c r="E6" i="20" s="1"/>
  <c r="T38" i="6" a="1"/>
  <c r="T38" i="6" s="1"/>
  <c r="T53" i="6" s="1" a="1"/>
  <c r="T53" i="6" s="1"/>
  <c r="T45" i="6" a="1"/>
  <c r="T45" i="6" s="1"/>
  <c r="X45" i="6" s="1"/>
  <c r="Y45" i="6" s="1"/>
  <c r="X31" i="6"/>
  <c r="T46" i="6" a="1"/>
  <c r="T46" i="6" s="1"/>
  <c r="X33" i="6"/>
  <c r="Y33" i="6" s="1"/>
  <c r="T48" i="6" a="1"/>
  <c r="T48" i="6" s="1"/>
  <c r="X27" i="6"/>
  <c r="Y27" i="6" s="1"/>
  <c r="T42" i="6" a="1"/>
  <c r="T42" i="6" s="1"/>
  <c r="M44" i="6" a="1"/>
  <c r="M44" i="6" s="1"/>
  <c r="X29" i="6"/>
  <c r="T44" i="6" a="1"/>
  <c r="T44" i="6" s="1"/>
  <c r="T59" i="6" s="1" a="1"/>
  <c r="T59" i="6" s="1"/>
  <c r="X30" i="6"/>
  <c r="X25" i="6"/>
  <c r="T40" i="6" a="1"/>
  <c r="T40" i="6" s="1"/>
  <c r="R52" i="6"/>
  <c r="T67" i="6" a="1"/>
  <c r="T67" i="6" s="1"/>
  <c r="T82" i="6" s="1" a="1"/>
  <c r="T82" i="6" s="1"/>
  <c r="M48" i="6" a="1"/>
  <c r="M48" i="6" s="1"/>
  <c r="R48" i="6" s="1"/>
  <c r="Z7" i="6"/>
  <c r="S7" i="6"/>
  <c r="C6" i="11" s="1" a="1"/>
  <c r="C6" i="11" s="1"/>
  <c r="S23" i="6"/>
  <c r="D7" i="11" s="1" a="1"/>
  <c r="D7" i="11" s="1"/>
  <c r="T77" i="6" a="1"/>
  <c r="T77" i="6" s="1"/>
  <c r="X77" i="6" s="1"/>
  <c r="Y77" i="6" s="1"/>
  <c r="M42" i="6" a="1"/>
  <c r="M42" i="6" s="1"/>
  <c r="M57" i="6" s="1" a="1"/>
  <c r="M57" i="6" s="1"/>
  <c r="R57" i="6" s="1"/>
  <c r="X52" i="6"/>
  <c r="Y52" i="6" s="1"/>
  <c r="S40" i="6"/>
  <c r="E9" i="11" s="1" a="1"/>
  <c r="E9" i="11" s="1"/>
  <c r="X51" i="6"/>
  <c r="Y51" i="6" s="1"/>
  <c r="M53" i="6" a="1"/>
  <c r="M53" i="6" s="1"/>
  <c r="S39" i="6"/>
  <c r="E8" i="11" s="1" a="1"/>
  <c r="E8" i="11" s="1"/>
  <c r="X49" i="6"/>
  <c r="Y49" i="6" s="1"/>
  <c r="S38" i="6"/>
  <c r="E7" i="11" s="1" a="1"/>
  <c r="E7" i="11" s="1"/>
  <c r="X47" i="6"/>
  <c r="Y47" i="6" s="1"/>
  <c r="R24" i="6"/>
  <c r="M54" i="6" a="1"/>
  <c r="M54" i="6" s="1"/>
  <c r="S32" i="6"/>
  <c r="D16" i="11" s="1" a="1"/>
  <c r="D16" i="11" s="1"/>
  <c r="Z32" i="6"/>
  <c r="R34" i="6"/>
  <c r="M49" i="6" a="1"/>
  <c r="M49" i="6" s="1"/>
  <c r="M47" i="6" a="1"/>
  <c r="M47" i="6" s="1"/>
  <c r="S27" i="6"/>
  <c r="D11" i="11" s="1" a="1"/>
  <c r="D11" i="11" s="1"/>
  <c r="S33" i="6"/>
  <c r="D17" i="11" s="1" a="1"/>
  <c r="D17" i="11" s="1"/>
  <c r="U6" i="9"/>
  <c r="T81" i="6" a="1"/>
  <c r="T81" i="6" s="1"/>
  <c r="Z17" i="6"/>
  <c r="S17" i="6"/>
  <c r="C16" i="11" s="1" a="1"/>
  <c r="C16" i="11" s="1"/>
  <c r="S12" i="6"/>
  <c r="C11" i="11" s="1" a="1"/>
  <c r="C11" i="11" s="1"/>
  <c r="Z12" i="6"/>
  <c r="R37" i="6" l="1"/>
  <c r="Z39" i="6"/>
  <c r="M67" i="6" a="1"/>
  <c r="M67" i="6" s="1"/>
  <c r="S22" i="6"/>
  <c r="D6" i="11" s="1" a="1"/>
  <c r="D6" i="11" s="1"/>
  <c r="Z33" i="6"/>
  <c r="S15" i="6"/>
  <c r="C14" i="11" s="1" a="1"/>
  <c r="C14" i="11" s="1"/>
  <c r="C3" i="11" s="1" a="1"/>
  <c r="C3" i="11" s="1"/>
  <c r="T54" i="6" a="1"/>
  <c r="T54" i="6" s="1"/>
  <c r="R36" i="6"/>
  <c r="M51" i="6" a="1"/>
  <c r="M51" i="6" s="1"/>
  <c r="M55" i="6" a="1"/>
  <c r="M55" i="6" s="1"/>
  <c r="M45" i="6" a="1"/>
  <c r="M45" i="6" s="1"/>
  <c r="M50" i="6" a="1"/>
  <c r="M50" i="6" s="1"/>
  <c r="R35" i="6"/>
  <c r="S7" i="9"/>
  <c r="U7" i="9" s="1"/>
  <c r="T80" i="6" a="1"/>
  <c r="T80" i="6" s="1"/>
  <c r="X80" i="6" s="1"/>
  <c r="Y80" i="6" s="1"/>
  <c r="T56" i="6" a="1"/>
  <c r="T56" i="6" s="1"/>
  <c r="X56" i="6" s="1"/>
  <c r="Y56" i="6" s="1"/>
  <c r="Z23" i="6"/>
  <c r="H7" i="9"/>
  <c r="M7" i="9" s="1"/>
  <c r="N7" i="9" s="1"/>
  <c r="S26" i="6"/>
  <c r="D10" i="11" s="1" a="1"/>
  <c r="D10" i="11" s="1"/>
  <c r="M43" i="6" a="1"/>
  <c r="M43" i="6" s="1"/>
  <c r="R43" i="6" s="1"/>
  <c r="S43" i="6" s="1"/>
  <c r="E12" i="11" s="1" a="1"/>
  <c r="E12" i="11" s="1"/>
  <c r="O8" i="9" a="1"/>
  <c r="O8" i="9" s="1"/>
  <c r="S8" i="9" s="1"/>
  <c r="T94" i="6" a="1"/>
  <c r="T94" i="6" s="1"/>
  <c r="X94" i="6" s="1"/>
  <c r="Y94" i="6" s="1"/>
  <c r="M41" i="6" a="1"/>
  <c r="M41" i="6" s="1"/>
  <c r="R41" i="6" s="1"/>
  <c r="S28" i="6"/>
  <c r="D12" i="11" s="1" a="1"/>
  <c r="D12" i="11" s="1"/>
  <c r="Z28" i="6"/>
  <c r="Z27" i="6"/>
  <c r="T71" i="6" a="1"/>
  <c r="T71" i="6" s="1"/>
  <c r="X71" i="6" s="1"/>
  <c r="Y71" i="6" s="1"/>
  <c r="T60" i="6" a="1"/>
  <c r="T60" i="6" s="1"/>
  <c r="X60" i="6" s="1"/>
  <c r="Y60" i="6" s="1"/>
  <c r="T92" i="6" a="1"/>
  <c r="T92" i="6" s="1"/>
  <c r="X92" i="6" s="1"/>
  <c r="Y92" i="6" s="1"/>
  <c r="R46" i="6"/>
  <c r="S46" i="6" s="1"/>
  <c r="E15" i="11" s="1" a="1"/>
  <c r="E15" i="11" s="1"/>
  <c r="M61" i="6" a="1"/>
  <c r="M61" i="6" s="1"/>
  <c r="X59" i="6"/>
  <c r="Y59" i="6" s="1"/>
  <c r="X53" i="6"/>
  <c r="Y53" i="6" s="1"/>
  <c r="G6" i="20" s="1" a="1"/>
  <c r="G6" i="20" s="1"/>
  <c r="X48" i="6"/>
  <c r="Y48" i="6" s="1"/>
  <c r="T63" i="6" a="1"/>
  <c r="T63" i="6" s="1"/>
  <c r="T78" i="6" s="1" a="1"/>
  <c r="T78" i="6" s="1"/>
  <c r="T55" i="6" a="1"/>
  <c r="T55" i="6" s="1"/>
  <c r="T70" i="6" s="1" a="1"/>
  <c r="T70" i="6" s="1"/>
  <c r="X70" i="6" s="1"/>
  <c r="Y70" i="6" s="1"/>
  <c r="X40" i="6"/>
  <c r="Y29" i="6"/>
  <c r="Z29" i="6"/>
  <c r="Y25" i="6"/>
  <c r="E7" i="20" s="1" a="1"/>
  <c r="E7" i="20" s="1"/>
  <c r="Z25" i="6"/>
  <c r="T61" i="6" a="1"/>
  <c r="T61" i="6" s="1"/>
  <c r="X46" i="6"/>
  <c r="T75" i="6" a="1"/>
  <c r="T75" i="6" s="1"/>
  <c r="T90" i="6" s="1" a="1"/>
  <c r="T90" i="6" s="1"/>
  <c r="Y31" i="6"/>
  <c r="Z31" i="6"/>
  <c r="R44" i="6"/>
  <c r="M59" i="6" a="1"/>
  <c r="M59" i="6" s="1"/>
  <c r="Y30" i="6"/>
  <c r="Z30" i="6"/>
  <c r="X38" i="6"/>
  <c r="T68" i="6" a="1"/>
  <c r="T68" i="6" s="1"/>
  <c r="X68" i="6" s="1"/>
  <c r="Y68" i="6" s="1"/>
  <c r="X42" i="6"/>
  <c r="Y42" i="6" s="1"/>
  <c r="T57" i="6" a="1"/>
  <c r="T57" i="6" s="1"/>
  <c r="X44" i="6"/>
  <c r="Y44" i="6" s="1"/>
  <c r="T74" i="6" a="1"/>
  <c r="T74" i="6" s="1"/>
  <c r="X74" i="6" s="1"/>
  <c r="Y74" i="6" s="1"/>
  <c r="R47" i="6"/>
  <c r="M62" i="6" a="1"/>
  <c r="M62" i="6" s="1"/>
  <c r="R62" i="6" s="1"/>
  <c r="N6" i="9"/>
  <c r="T6" i="9"/>
  <c r="X67" i="6"/>
  <c r="Y67" i="6" s="1"/>
  <c r="R49" i="6"/>
  <c r="M64" i="6" a="1"/>
  <c r="M64" i="6" s="1"/>
  <c r="R64" i="6" s="1"/>
  <c r="X82" i="6"/>
  <c r="Y82" i="6" s="1"/>
  <c r="R42" i="6"/>
  <c r="M72" i="6" a="1"/>
  <c r="M72" i="6" s="1"/>
  <c r="R55" i="6"/>
  <c r="M70" i="6" a="1"/>
  <c r="M70" i="6" s="1"/>
  <c r="R70" i="6" s="1"/>
  <c r="R53" i="6"/>
  <c r="M68" i="6" a="1"/>
  <c r="M68" i="6" s="1"/>
  <c r="M83" i="6" s="1" a="1"/>
  <c r="M83" i="6" s="1"/>
  <c r="R83" i="6" s="1"/>
  <c r="S57" i="6"/>
  <c r="F11" i="11" s="1" a="1"/>
  <c r="F11" i="11" s="1"/>
  <c r="X81" i="6"/>
  <c r="R54" i="6"/>
  <c r="T96" i="6" a="1"/>
  <c r="T96" i="6" s="1"/>
  <c r="X96" i="6" s="1"/>
  <c r="Y96" i="6" s="1"/>
  <c r="T97" i="6" a="1"/>
  <c r="T97" i="6" s="1"/>
  <c r="Z34" i="6"/>
  <c r="S34" i="6"/>
  <c r="D18" i="11" s="1" a="1"/>
  <c r="D18" i="11" s="1"/>
  <c r="Z24" i="6"/>
  <c r="S24" i="6"/>
  <c r="D8" i="11" s="1" a="1"/>
  <c r="D8" i="11" s="1"/>
  <c r="R67" i="6"/>
  <c r="M82" i="6" a="1"/>
  <c r="M82" i="6" s="1"/>
  <c r="S37" i="6"/>
  <c r="E6" i="11" s="1" a="1"/>
  <c r="E6" i="11" s="1"/>
  <c r="Z37" i="6"/>
  <c r="S48" i="6"/>
  <c r="E17" i="11" s="1" a="1"/>
  <c r="E17" i="11" s="1"/>
  <c r="S52" i="6"/>
  <c r="F6" i="11" s="1" a="1"/>
  <c r="F6" i="11" s="1"/>
  <c r="Z52" i="6"/>
  <c r="T7" i="9" l="1"/>
  <c r="X54" i="6"/>
  <c r="Y54" i="6" s="1"/>
  <c r="T69" i="6" a="1"/>
  <c r="T69" i="6" s="1"/>
  <c r="X69" i="6" s="1"/>
  <c r="Y69" i="6" s="1"/>
  <c r="V8" i="9"/>
  <c r="R51" i="6"/>
  <c r="M66" i="6" a="1"/>
  <c r="M66" i="6" s="1"/>
  <c r="T95" i="6" a="1"/>
  <c r="T95" i="6" s="1"/>
  <c r="X95" i="6" s="1"/>
  <c r="Y95" i="6" s="1"/>
  <c r="S36" i="6"/>
  <c r="D20" i="11" s="1" a="1"/>
  <c r="D20" i="11" s="1"/>
  <c r="Z36" i="6"/>
  <c r="R45" i="6"/>
  <c r="M60" i="6" a="1"/>
  <c r="M60" i="6" s="1"/>
  <c r="Z35" i="6"/>
  <c r="S35" i="6"/>
  <c r="D19" i="11" s="1" a="1"/>
  <c r="D19" i="11" s="1"/>
  <c r="R50" i="6"/>
  <c r="M65" i="6" a="1"/>
  <c r="M65" i="6" s="1"/>
  <c r="H8" i="9"/>
  <c r="T109" i="6" a="1"/>
  <c r="T109" i="6" s="1"/>
  <c r="T124" i="6" s="1" a="1"/>
  <c r="T124" i="6" s="1"/>
  <c r="X124" i="6" s="1"/>
  <c r="Y124" i="6" s="1"/>
  <c r="Z48" i="6"/>
  <c r="T107" i="6" a="1"/>
  <c r="T107" i="6" s="1"/>
  <c r="X107" i="6" s="1"/>
  <c r="Y107" i="6" s="1"/>
  <c r="Z43" i="6"/>
  <c r="S41" i="6"/>
  <c r="E10" i="11" s="1" a="1"/>
  <c r="E10" i="11" s="1"/>
  <c r="Z41" i="6"/>
  <c r="M56" i="6" a="1"/>
  <c r="M56" i="6" s="1"/>
  <c r="R56" i="6" s="1"/>
  <c r="S56" i="6" s="1"/>
  <c r="F10" i="11" s="1" a="1"/>
  <c r="F10" i="11" s="1"/>
  <c r="H6" i="20" a="1"/>
  <c r="H6" i="20" s="1"/>
  <c r="R61" i="6"/>
  <c r="S61" i="6" s="1"/>
  <c r="F15" i="11" s="1" a="1"/>
  <c r="F15" i="11" s="1"/>
  <c r="M76" i="6" a="1"/>
  <c r="M76" i="6" s="1"/>
  <c r="E8" i="20" a="1"/>
  <c r="E8" i="20" s="1"/>
  <c r="X90" i="6"/>
  <c r="Y90" i="6" s="1"/>
  <c r="X78" i="6"/>
  <c r="Y78" i="6" s="1"/>
  <c r="Y38" i="6"/>
  <c r="F6" i="20" s="1" a="1"/>
  <c r="F6" i="20" s="1"/>
  <c r="Z38" i="6"/>
  <c r="T93" i="6" a="1"/>
  <c r="T93" i="6" s="1"/>
  <c r="X93" i="6" s="1"/>
  <c r="Y93" i="6" s="1"/>
  <c r="M77" i="6" a="1"/>
  <c r="M77" i="6" s="1"/>
  <c r="R77" i="6" s="1"/>
  <c r="Z77" i="6" s="1"/>
  <c r="X75" i="6"/>
  <c r="T105" i="6" a="1"/>
  <c r="T105" i="6" s="1"/>
  <c r="X105" i="6" s="1"/>
  <c r="Y105" i="6" s="1"/>
  <c r="T83" i="6" a="1"/>
  <c r="T83" i="6" s="1"/>
  <c r="T98" i="6" s="1" a="1"/>
  <c r="T98" i="6" s="1"/>
  <c r="X98" i="6" s="1"/>
  <c r="Y98" i="6" s="1"/>
  <c r="X57" i="6"/>
  <c r="T72" i="6" a="1"/>
  <c r="T72" i="6" s="1"/>
  <c r="Y46" i="6"/>
  <c r="F8" i="20" s="1" a="1"/>
  <c r="F8" i="20" s="1"/>
  <c r="Z46" i="6"/>
  <c r="Y40" i="6"/>
  <c r="F7" i="20" s="1" a="1"/>
  <c r="F7" i="20" s="1"/>
  <c r="Z40" i="6"/>
  <c r="R59" i="6"/>
  <c r="M74" i="6" a="1"/>
  <c r="M74" i="6" s="1"/>
  <c r="X61" i="6"/>
  <c r="T76" i="6" a="1"/>
  <c r="T76" i="6" s="1"/>
  <c r="X55" i="6"/>
  <c r="Y55" i="6" s="1"/>
  <c r="T85" i="6" a="1"/>
  <c r="T85" i="6" s="1"/>
  <c r="O9" i="9" a="1"/>
  <c r="O9" i="9" s="1"/>
  <c r="Z44" i="6"/>
  <c r="S44" i="6"/>
  <c r="E13" i="11" s="1" a="1"/>
  <c r="E13" i="11" s="1"/>
  <c r="X63" i="6"/>
  <c r="Y63" i="6" s="1"/>
  <c r="T89" i="6" a="1"/>
  <c r="T89" i="6" s="1"/>
  <c r="E3" i="20" a="1"/>
  <c r="E3" i="20" s="1"/>
  <c r="Z64" i="6"/>
  <c r="S64" i="6"/>
  <c r="F18" i="11" s="1" a="1"/>
  <c r="F18" i="11" s="1"/>
  <c r="U8" i="9"/>
  <c r="Z49" i="6"/>
  <c r="S49" i="6"/>
  <c r="E18" i="11" s="1" a="1"/>
  <c r="E18" i="11" s="1"/>
  <c r="R82" i="6"/>
  <c r="X97" i="6"/>
  <c r="Y97" i="6" s="1"/>
  <c r="R72" i="6"/>
  <c r="T112" i="6" a="1"/>
  <c r="T112" i="6" s="1"/>
  <c r="Z53" i="6"/>
  <c r="S53" i="6"/>
  <c r="F7" i="11" s="1" a="1"/>
  <c r="F7" i="11" s="1"/>
  <c r="Z54" i="6"/>
  <c r="S54" i="6"/>
  <c r="F8" i="11" s="1" a="1"/>
  <c r="F8" i="11" s="1"/>
  <c r="Y81" i="6"/>
  <c r="Z62" i="6"/>
  <c r="S62" i="6"/>
  <c r="F16" i="11" s="1" a="1"/>
  <c r="F16" i="11" s="1"/>
  <c r="R68" i="6"/>
  <c r="M98" i="6" a="1"/>
  <c r="M98" i="6" s="1"/>
  <c r="R98" i="6" s="1"/>
  <c r="T110" i="6" a="1"/>
  <c r="T110" i="6" s="1"/>
  <c r="X110" i="6" s="1"/>
  <c r="Y110" i="6" s="1"/>
  <c r="Z42" i="6"/>
  <c r="S42" i="6"/>
  <c r="E11" i="11" s="1" a="1"/>
  <c r="E11" i="11" s="1"/>
  <c r="S47" i="6"/>
  <c r="E16" i="11" s="1" a="1"/>
  <c r="E16" i="11" s="1"/>
  <c r="Z47" i="6"/>
  <c r="S83" i="6"/>
  <c r="H7" i="11" s="1" a="1"/>
  <c r="H7" i="11" s="1"/>
  <c r="S70" i="6"/>
  <c r="G9" i="11" s="1" a="1"/>
  <c r="G9" i="11" s="1"/>
  <c r="Z70" i="6"/>
  <c r="M8" i="9"/>
  <c r="Z67" i="6"/>
  <c r="S67" i="6"/>
  <c r="G6" i="11" s="1" a="1"/>
  <c r="G6" i="11" s="1"/>
  <c r="S55" i="6"/>
  <c r="F9" i="11" s="1" a="1"/>
  <c r="F9" i="11" s="1"/>
  <c r="D3" i="11" l="1" a="1"/>
  <c r="D3" i="11" s="1"/>
  <c r="M81" i="6" a="1"/>
  <c r="M81" i="6" s="1"/>
  <c r="R66" i="6"/>
  <c r="S51" i="6"/>
  <c r="E20" i="11" s="1" a="1"/>
  <c r="E20" i="11" s="1"/>
  <c r="Z51" i="6"/>
  <c r="T122" i="6" a="1"/>
  <c r="T122" i="6" s="1"/>
  <c r="X122" i="6" s="1"/>
  <c r="Y122" i="6" s="1"/>
  <c r="M75" i="6" a="1"/>
  <c r="M75" i="6" s="1"/>
  <c r="R75" i="6" s="1"/>
  <c r="S75" i="6" s="1"/>
  <c r="G14" i="11" s="1" a="1"/>
  <c r="G14" i="11" s="1"/>
  <c r="R60" i="6"/>
  <c r="S45" i="6"/>
  <c r="E14" i="11" s="1" a="1"/>
  <c r="E14" i="11" s="1"/>
  <c r="Z45" i="6"/>
  <c r="R65" i="6"/>
  <c r="M80" i="6" a="1"/>
  <c r="M80" i="6" s="1"/>
  <c r="R80" i="6" s="1"/>
  <c r="Z50" i="6"/>
  <c r="S50" i="6"/>
  <c r="E19" i="11" s="1" a="1"/>
  <c r="E19" i="11" s="1"/>
  <c r="T139" i="6" a="1"/>
  <c r="T139" i="6" s="1"/>
  <c r="X139" i="6" s="1"/>
  <c r="Y139" i="6" s="1"/>
  <c r="X109" i="6"/>
  <c r="Y109" i="6" s="1"/>
  <c r="T108" i="6" a="1"/>
  <c r="T108" i="6" s="1"/>
  <c r="X108" i="6" s="1"/>
  <c r="Y108" i="6" s="1"/>
  <c r="Z56" i="6"/>
  <c r="M71" i="6" a="1"/>
  <c r="M71" i="6" s="1"/>
  <c r="R71" i="6" s="1"/>
  <c r="S71" i="6" s="1"/>
  <c r="G10" i="11" s="1" a="1"/>
  <c r="G10" i="11" s="1"/>
  <c r="S77" i="6"/>
  <c r="G16" i="11" s="1" a="1"/>
  <c r="G16" i="11" s="1"/>
  <c r="Z55" i="6"/>
  <c r="R76" i="6"/>
  <c r="S76" i="6" s="1"/>
  <c r="G15" i="11" s="1" a="1"/>
  <c r="G15" i="11" s="1"/>
  <c r="M91" i="6" a="1"/>
  <c r="M91" i="6" s="1"/>
  <c r="J6" i="20" a="1"/>
  <c r="J6" i="20" s="1"/>
  <c r="Y61" i="6"/>
  <c r="G8" i="20" s="1" a="1"/>
  <c r="G8" i="20" s="1"/>
  <c r="Z61" i="6"/>
  <c r="O10" i="9" a="1"/>
  <c r="O10" i="9" s="1"/>
  <c r="X72" i="6"/>
  <c r="Y72" i="6" s="1"/>
  <c r="H7" i="20" s="1" a="1"/>
  <c r="H7" i="20" s="1"/>
  <c r="T87" i="6" a="1"/>
  <c r="T87" i="6" s="1"/>
  <c r="R74" i="6"/>
  <c r="M89" i="6" a="1"/>
  <c r="M89" i="6" s="1"/>
  <c r="R89" i="6" s="1"/>
  <c r="Y57" i="6"/>
  <c r="G7" i="20" s="1" a="1"/>
  <c r="G7" i="20" s="1"/>
  <c r="Z57" i="6"/>
  <c r="S59" i="6"/>
  <c r="F13" i="11" s="1" a="1"/>
  <c r="F13" i="11" s="1"/>
  <c r="Z59" i="6"/>
  <c r="S9" i="9"/>
  <c r="U9" i="9" s="1"/>
  <c r="V9" i="9"/>
  <c r="X83" i="6"/>
  <c r="T113" i="6" a="1"/>
  <c r="T113" i="6" s="1"/>
  <c r="X113" i="6" s="1"/>
  <c r="Y113" i="6" s="1"/>
  <c r="X85" i="6"/>
  <c r="Y85" i="6" s="1"/>
  <c r="T104" i="6" a="1"/>
  <c r="T104" i="6" s="1"/>
  <c r="X89" i="6"/>
  <c r="Y89" i="6" s="1"/>
  <c r="T100" i="6" a="1"/>
  <c r="T100" i="6" s="1"/>
  <c r="X100" i="6" s="1"/>
  <c r="Y100" i="6" s="1"/>
  <c r="Y75" i="6"/>
  <c r="T120" i="6" a="1"/>
  <c r="T120" i="6" s="1"/>
  <c r="F3" i="20" a="1"/>
  <c r="F3" i="20" s="1"/>
  <c r="T91" i="6" a="1"/>
  <c r="T91" i="6" s="1"/>
  <c r="X76" i="6"/>
  <c r="X112" i="6"/>
  <c r="Y112" i="6" s="1"/>
  <c r="S82" i="6"/>
  <c r="H6" i="11" s="1" a="1"/>
  <c r="H6" i="11" s="1"/>
  <c r="Z82" i="6"/>
  <c r="Z98" i="6"/>
  <c r="S98" i="6"/>
  <c r="I7" i="11" s="1" a="1"/>
  <c r="I7" i="11" s="1"/>
  <c r="N8" i="9"/>
  <c r="T8" i="9"/>
  <c r="Z68" i="6"/>
  <c r="S68" i="6"/>
  <c r="G7" i="11" s="1" a="1"/>
  <c r="G7" i="11" s="1"/>
  <c r="S72" i="6"/>
  <c r="G11" i="11" s="1" a="1"/>
  <c r="G11" i="11" s="1"/>
  <c r="Z75" i="6" l="1"/>
  <c r="T123" i="6" a="1"/>
  <c r="T123" i="6" s="1"/>
  <c r="X123" i="6" s="1"/>
  <c r="Y123" i="6" s="1"/>
  <c r="E3" i="11" a="1"/>
  <c r="E3" i="11" s="1"/>
  <c r="S66" i="6"/>
  <c r="F20" i="11" s="1" a="1"/>
  <c r="F20" i="11" s="1"/>
  <c r="Z66" i="6"/>
  <c r="R81" i="6"/>
  <c r="M96" i="6" a="1"/>
  <c r="M96" i="6" s="1"/>
  <c r="G3" i="20" a="1"/>
  <c r="G3" i="20" s="1"/>
  <c r="Z72" i="6"/>
  <c r="M90" i="6" a="1"/>
  <c r="M90" i="6" s="1"/>
  <c r="R90" i="6" s="1"/>
  <c r="Z60" i="6"/>
  <c r="S60" i="6"/>
  <c r="F14" i="11" s="1" a="1"/>
  <c r="F14" i="11" s="1"/>
  <c r="M95" i="6" a="1"/>
  <c r="M95" i="6" s="1"/>
  <c r="R95" i="6" s="1"/>
  <c r="S80" i="6"/>
  <c r="G19" i="11" s="1" a="1"/>
  <c r="G19" i="11" s="1"/>
  <c r="Z80" i="6"/>
  <c r="S65" i="6"/>
  <c r="F19" i="11" s="1" a="1"/>
  <c r="F19" i="11" s="1"/>
  <c r="Z65" i="6"/>
  <c r="Z71" i="6"/>
  <c r="M86" i="6" a="1"/>
  <c r="M86" i="6" s="1"/>
  <c r="R86" i="6" s="1"/>
  <c r="S86" i="6" s="1"/>
  <c r="H10" i="11" s="1" a="1"/>
  <c r="H10" i="11" s="1"/>
  <c r="R91" i="6"/>
  <c r="S91" i="6" s="1"/>
  <c r="H15" i="11" s="1" a="1"/>
  <c r="H15" i="11" s="1"/>
  <c r="M106" i="6" a="1"/>
  <c r="M106" i="6" s="1"/>
  <c r="R106" i="6" s="1"/>
  <c r="S106" i="6" s="1"/>
  <c r="I15" i="11" s="1" a="1"/>
  <c r="I15" i="11" s="1"/>
  <c r="K6" i="20" a="1"/>
  <c r="K6" i="20" s="1"/>
  <c r="X120" i="6"/>
  <c r="Y120" i="6" s="1"/>
  <c r="T115" i="6" a="1"/>
  <c r="T115" i="6" s="1"/>
  <c r="X115" i="6" s="1"/>
  <c r="Y115" i="6" s="1"/>
  <c r="S74" i="6"/>
  <c r="G13" i="11" s="1" a="1"/>
  <c r="G13" i="11" s="1"/>
  <c r="Z74" i="6"/>
  <c r="Y76" i="6"/>
  <c r="H8" i="20" s="1" a="1"/>
  <c r="H8" i="20" s="1"/>
  <c r="H3" i="20" s="1" a="1"/>
  <c r="H3" i="20" s="1"/>
  <c r="Z76" i="6"/>
  <c r="X91" i="6"/>
  <c r="T106" i="6" a="1"/>
  <c r="T106" i="6" s="1"/>
  <c r="Y83" i="6"/>
  <c r="I6" i="20" s="1" a="1"/>
  <c r="I6" i="20" s="1"/>
  <c r="Z83" i="6"/>
  <c r="X87" i="6"/>
  <c r="Y87" i="6" s="1"/>
  <c r="T102" i="6" a="1"/>
  <c r="T102" i="6" s="1"/>
  <c r="T117" i="6" s="1" a="1"/>
  <c r="T117" i="6" s="1"/>
  <c r="X117" i="6" s="1"/>
  <c r="Y117" i="6" s="1"/>
  <c r="T138" i="6" a="1"/>
  <c r="T138" i="6" s="1"/>
  <c r="X138" i="6" s="1"/>
  <c r="Y138" i="6" s="1"/>
  <c r="S10" i="9"/>
  <c r="U10" i="9" s="1"/>
  <c r="V10" i="9"/>
  <c r="T119" i="6" a="1"/>
  <c r="T119" i="6" s="1"/>
  <c r="X119" i="6" s="1"/>
  <c r="Y119" i="6" s="1"/>
  <c r="X104" i="6"/>
  <c r="Y104" i="6" s="1"/>
  <c r="T135" i="6" a="1"/>
  <c r="T135" i="6" s="1"/>
  <c r="X135" i="6" s="1"/>
  <c r="Y135" i="6" s="1"/>
  <c r="S89" i="6"/>
  <c r="H13" i="11" s="1" a="1"/>
  <c r="H13" i="11" s="1"/>
  <c r="Z89" i="6"/>
  <c r="M63" i="6" a="1"/>
  <c r="M63" i="6" s="1"/>
  <c r="R63" i="6" s="1"/>
  <c r="S63" i="6" s="1"/>
  <c r="F17" i="11" s="1" a="1"/>
  <c r="F17" i="11" s="1"/>
  <c r="M69" i="6" a="1"/>
  <c r="M69" i="6" s="1"/>
  <c r="R69" i="6" s="1"/>
  <c r="S69" i="6" s="1"/>
  <c r="G8" i="11" s="1" a="1"/>
  <c r="G8" i="11" s="1"/>
  <c r="M79" i="6" a="1"/>
  <c r="M79" i="6" s="1"/>
  <c r="R79" i="6" s="1"/>
  <c r="S79" i="6" s="1"/>
  <c r="G18" i="11" s="1" a="1"/>
  <c r="G18" i="11" s="1"/>
  <c r="M85" i="6" a="1"/>
  <c r="M85" i="6" s="1"/>
  <c r="M100" i="6" s="1" a="1"/>
  <c r="M100" i="6" s="1"/>
  <c r="R100" i="6" s="1"/>
  <c r="M87" i="6" a="1"/>
  <c r="M87" i="6" s="1"/>
  <c r="R87" i="6" s="1"/>
  <c r="S87" i="6" s="1"/>
  <c r="H11" i="11" s="1" a="1"/>
  <c r="H11" i="11" s="1"/>
  <c r="M92" i="6" a="1"/>
  <c r="M92" i="6" s="1"/>
  <c r="M97" i="6" a="1"/>
  <c r="M97" i="6" s="1"/>
  <c r="M104" i="6" a="1"/>
  <c r="M104" i="6" s="1"/>
  <c r="M105" i="6" a="1"/>
  <c r="M105" i="6" s="1"/>
  <c r="R105" i="6" s="1"/>
  <c r="M113" i="6" a="1"/>
  <c r="M113" i="6" s="1"/>
  <c r="T84" i="6" a="1"/>
  <c r="T84" i="6" s="1"/>
  <c r="T111" i="6" a="1"/>
  <c r="T111" i="6" s="1"/>
  <c r="T125" i="6" a="1"/>
  <c r="T125" i="6" s="1"/>
  <c r="X125" i="6" s="1"/>
  <c r="Y125" i="6" s="1"/>
  <c r="T127" i="6" a="1"/>
  <c r="T127" i="6" s="1"/>
  <c r="T128" i="6" a="1"/>
  <c r="T128" i="6" s="1"/>
  <c r="T143" i="6" s="1" a="1"/>
  <c r="T143" i="6" s="1"/>
  <c r="T137" i="6" a="1"/>
  <c r="T137" i="6" s="1"/>
  <c r="X137" i="6" s="1"/>
  <c r="Y137" i="6" s="1"/>
  <c r="T154" i="6" a="1"/>
  <c r="T154" i="6" s="1"/>
  <c r="X154" i="6" s="1"/>
  <c r="Y154" i="6" s="1"/>
  <c r="R96" i="6" l="1"/>
  <c r="M111" i="6" a="1"/>
  <c r="M111" i="6" s="1"/>
  <c r="R111" i="6" s="1"/>
  <c r="S111" i="6" s="1"/>
  <c r="I20" i="11" s="1" a="1"/>
  <c r="I20" i="11" s="1"/>
  <c r="S81" i="6"/>
  <c r="G20" i="11" s="1" a="1"/>
  <c r="G20" i="11" s="1"/>
  <c r="Z81" i="6"/>
  <c r="M110" i="6" a="1"/>
  <c r="M110" i="6" s="1"/>
  <c r="R110" i="6" s="1"/>
  <c r="S110" i="6" s="1"/>
  <c r="I19" i="11" s="1" a="1"/>
  <c r="I19" i="11" s="1"/>
  <c r="F3" i="11" a="1"/>
  <c r="F3" i="11" s="1"/>
  <c r="Z90" i="6"/>
  <c r="S90" i="6"/>
  <c r="H14" i="11" s="1" a="1"/>
  <c r="H14" i="11" s="1"/>
  <c r="T134" i="6" a="1"/>
  <c r="T134" i="6" s="1"/>
  <c r="X134" i="6" s="1"/>
  <c r="Y134" i="6" s="1"/>
  <c r="S95" i="6"/>
  <c r="H19" i="11" s="1" a="1"/>
  <c r="H19" i="11" s="1"/>
  <c r="Z95" i="6"/>
  <c r="T130" i="6" a="1"/>
  <c r="T130" i="6" s="1"/>
  <c r="X130" i="6" s="1"/>
  <c r="Y130" i="6" s="1"/>
  <c r="X128" i="6"/>
  <c r="Y128" i="6" s="1"/>
  <c r="M121" i="6" a="1"/>
  <c r="M121" i="6" s="1"/>
  <c r="Z87" i="6"/>
  <c r="M107" i="6" a="1"/>
  <c r="M107" i="6" s="1"/>
  <c r="R107" i="6" s="1"/>
  <c r="R92" i="6"/>
  <c r="Z92" i="6" s="1"/>
  <c r="Z110" i="6"/>
  <c r="Z63" i="6"/>
  <c r="R85" i="6"/>
  <c r="S85" i="6" s="1"/>
  <c r="H9" i="11" s="1" a="1"/>
  <c r="H9" i="11" s="1"/>
  <c r="T142" i="6" a="1"/>
  <c r="T142" i="6" s="1"/>
  <c r="X142" i="6" s="1"/>
  <c r="Y142" i="6" s="1"/>
  <c r="X127" i="6"/>
  <c r="Y127" i="6" s="1"/>
  <c r="M119" i="6" a="1"/>
  <c r="M119" i="6" s="1"/>
  <c r="R119" i="6" s="1"/>
  <c r="Z119" i="6" s="1"/>
  <c r="R104" i="6"/>
  <c r="R97" i="6"/>
  <c r="M112" i="6" a="1"/>
  <c r="M112" i="6" s="1"/>
  <c r="R112" i="6" s="1"/>
  <c r="Z112" i="6" s="1"/>
  <c r="R113" i="6"/>
  <c r="Z113" i="6" s="1"/>
  <c r="M128" i="6" a="1"/>
  <c r="M128" i="6" s="1"/>
  <c r="R128" i="6" s="1"/>
  <c r="S128" i="6" s="1"/>
  <c r="K7" i="11" s="1" a="1"/>
  <c r="K7" i="11" s="1"/>
  <c r="T169" i="6" a="1"/>
  <c r="T169" i="6" s="1"/>
  <c r="T152" i="6" a="1"/>
  <c r="T152" i="6" s="1"/>
  <c r="Z105" i="6"/>
  <c r="S105" i="6"/>
  <c r="I14" i="11" s="1" a="1"/>
  <c r="I14" i="11" s="1"/>
  <c r="X143" i="6"/>
  <c r="Y143" i="6" s="1"/>
  <c r="Z100" i="6"/>
  <c r="S100" i="6"/>
  <c r="I9" i="11" s="1" a="1"/>
  <c r="I9" i="11" s="1"/>
  <c r="T140" i="6" a="1"/>
  <c r="T140" i="6" s="1"/>
  <c r="X140" i="6" s="1"/>
  <c r="Y140" i="6" s="1"/>
  <c r="M125" i="6" a="1"/>
  <c r="M125" i="6" s="1"/>
  <c r="R125" i="6" s="1"/>
  <c r="M102" i="6" a="1"/>
  <c r="M102" i="6" s="1"/>
  <c r="R102" i="6" s="1"/>
  <c r="Z79" i="6"/>
  <c r="X111" i="6"/>
  <c r="T126" i="6" a="1"/>
  <c r="T126" i="6" s="1"/>
  <c r="T141" i="6" s="1" a="1"/>
  <c r="T141" i="6" s="1"/>
  <c r="X141" i="6" s="1"/>
  <c r="Y141" i="6" s="1"/>
  <c r="M120" i="6" a="1"/>
  <c r="M120" i="6" s="1"/>
  <c r="R120" i="6" s="1"/>
  <c r="Z69" i="6"/>
  <c r="X84" i="6"/>
  <c r="Y84" i="6" s="1"/>
  <c r="T99" i="6" a="1"/>
  <c r="T99" i="6" s="1"/>
  <c r="T114" i="6" s="1" a="1"/>
  <c r="T114" i="6" s="1"/>
  <c r="M115" i="6" a="1"/>
  <c r="M115" i="6" s="1"/>
  <c r="R115" i="6" s="1"/>
  <c r="M84" i="6" a="1"/>
  <c r="M84" i="6" s="1"/>
  <c r="M99" i="6" s="1" a="1"/>
  <c r="M99" i="6" s="1"/>
  <c r="M78" i="6" a="1"/>
  <c r="M78" i="6" s="1"/>
  <c r="R78" i="6" s="1"/>
  <c r="H9" i="9"/>
  <c r="T158" i="6" a="1"/>
  <c r="T158" i="6" s="1"/>
  <c r="X158" i="6" s="1"/>
  <c r="Y158" i="6" s="1"/>
  <c r="T150" i="6" a="1"/>
  <c r="T150" i="6" s="1"/>
  <c r="X150" i="6" s="1"/>
  <c r="Y150" i="6" s="1"/>
  <c r="X106" i="6"/>
  <c r="M94" i="6" a="1"/>
  <c r="M94" i="6" s="1"/>
  <c r="T121" i="6" a="1"/>
  <c r="T121" i="6" s="1"/>
  <c r="T136" i="6" s="1" a="1"/>
  <c r="T136" i="6" s="1"/>
  <c r="X136" i="6" s="1"/>
  <c r="Y91" i="6"/>
  <c r="I8" i="20" s="1" a="1"/>
  <c r="I8" i="20" s="1"/>
  <c r="Z91" i="6"/>
  <c r="X102" i="6"/>
  <c r="Y102" i="6" s="1"/>
  <c r="T132" i="6" a="1"/>
  <c r="T132" i="6" s="1"/>
  <c r="T153" i="6" a="1"/>
  <c r="T153" i="6" s="1"/>
  <c r="S96" i="6" l="1"/>
  <c r="H20" i="11" s="1" a="1"/>
  <c r="H20" i="11" s="1"/>
  <c r="Z96" i="6"/>
  <c r="M126" i="6" a="1"/>
  <c r="M126" i="6" s="1"/>
  <c r="L6" i="20" a="1"/>
  <c r="L6" i="20" s="1"/>
  <c r="S92" i="6"/>
  <c r="H16" i="11" s="1" a="1"/>
  <c r="H16" i="11" s="1"/>
  <c r="Z85" i="6"/>
  <c r="T145" i="6" a="1"/>
  <c r="T145" i="6" s="1"/>
  <c r="T160" i="6" s="1" a="1"/>
  <c r="T160" i="6" s="1"/>
  <c r="T175" i="6" s="1" a="1"/>
  <c r="T175" i="6" s="1"/>
  <c r="X175" i="6" s="1"/>
  <c r="Y175" i="6" s="1"/>
  <c r="T149" i="6" a="1"/>
  <c r="T149" i="6" s="1"/>
  <c r="T157" i="6" a="1"/>
  <c r="T157" i="6" s="1"/>
  <c r="X157" i="6" s="1"/>
  <c r="Y157" i="6" s="1"/>
  <c r="N6" i="20" s="1" a="1"/>
  <c r="N6" i="20" s="1"/>
  <c r="M134" i="6" a="1"/>
  <c r="M134" i="6" s="1"/>
  <c r="R134" i="6" s="1"/>
  <c r="Z134" i="6" s="1"/>
  <c r="M127" i="6" a="1"/>
  <c r="M127" i="6" s="1"/>
  <c r="M142" i="6" s="1" a="1"/>
  <c r="M142" i="6" s="1"/>
  <c r="M122" i="6" a="1"/>
  <c r="M122" i="6" s="1"/>
  <c r="M93" i="6" a="1"/>
  <c r="M93" i="6" s="1"/>
  <c r="R93" i="6" s="1"/>
  <c r="Z93" i="6" s="1"/>
  <c r="S119" i="6"/>
  <c r="J13" i="11" s="1" a="1"/>
  <c r="J13" i="11" s="1"/>
  <c r="R121" i="6"/>
  <c r="S121" i="6" s="1"/>
  <c r="J15" i="11" s="1" a="1"/>
  <c r="J15" i="11" s="1"/>
  <c r="M136" i="6" a="1"/>
  <c r="M136" i="6" s="1"/>
  <c r="M143" i="6" a="1"/>
  <c r="M143" i="6" s="1"/>
  <c r="R143" i="6" s="1"/>
  <c r="S143" i="6" s="1"/>
  <c r="L7" i="11" s="1" a="1"/>
  <c r="L7" i="11" s="1"/>
  <c r="Z128" i="6"/>
  <c r="M6" i="20" a="1"/>
  <c r="M6" i="20" s="1"/>
  <c r="S112" i="6"/>
  <c r="J6" i="11" s="1" a="1"/>
  <c r="J6" i="11" s="1"/>
  <c r="M117" i="6" a="1"/>
  <c r="M117" i="6" s="1"/>
  <c r="R117" i="6" s="1"/>
  <c r="S117" i="6" s="1"/>
  <c r="J11" i="11" s="1" a="1"/>
  <c r="J11" i="11" s="1"/>
  <c r="H10" i="9"/>
  <c r="M10" i="9" s="1"/>
  <c r="N10" i="9" s="1"/>
  <c r="S113" i="6"/>
  <c r="J7" i="11" s="1" a="1"/>
  <c r="J7" i="11" s="1"/>
  <c r="T184" i="6" a="1"/>
  <c r="T184" i="6" s="1"/>
  <c r="X184" i="6" s="1"/>
  <c r="Y184" i="6" s="1"/>
  <c r="X169" i="6"/>
  <c r="Y169" i="6" s="1"/>
  <c r="Z97" i="6"/>
  <c r="S97" i="6"/>
  <c r="I6" i="11" s="1" a="1"/>
  <c r="I6" i="11" s="1"/>
  <c r="M108" i="6" a="1"/>
  <c r="M108" i="6" s="1"/>
  <c r="R108" i="6" s="1"/>
  <c r="Z108" i="6" s="1"/>
  <c r="M135" i="6" a="1"/>
  <c r="M135" i="6" s="1"/>
  <c r="R135" i="6" s="1"/>
  <c r="S135" i="6" s="1"/>
  <c r="K14" i="11" s="1" a="1"/>
  <c r="K14" i="11" s="1"/>
  <c r="S104" i="6"/>
  <c r="I13" i="11" s="1" a="1"/>
  <c r="I13" i="11" s="1"/>
  <c r="Z104" i="6"/>
  <c r="T156" i="6" a="1"/>
  <c r="T156" i="6" s="1"/>
  <c r="X156" i="6" s="1"/>
  <c r="Y156" i="6" s="1"/>
  <c r="T167" i="6" a="1"/>
  <c r="T167" i="6" s="1"/>
  <c r="X167" i="6" s="1"/>
  <c r="Y167" i="6" s="1"/>
  <c r="X152" i="6"/>
  <c r="Y152" i="6" s="1"/>
  <c r="Y136" i="6"/>
  <c r="L8" i="20" s="1" a="1"/>
  <c r="L8" i="20" s="1"/>
  <c r="M109" i="6" a="1"/>
  <c r="M109" i="6" s="1"/>
  <c r="R109" i="6" s="1"/>
  <c r="R94" i="6"/>
  <c r="X114" i="6"/>
  <c r="Y114" i="6" s="1"/>
  <c r="S102" i="6"/>
  <c r="I11" i="11" s="1" a="1"/>
  <c r="I11" i="11" s="1"/>
  <c r="Z102" i="6"/>
  <c r="S125" i="6"/>
  <c r="J19" i="11" s="1" a="1"/>
  <c r="J19" i="11" s="1"/>
  <c r="Z125" i="6"/>
  <c r="T173" i="6" a="1"/>
  <c r="T173" i="6" s="1"/>
  <c r="X173" i="6" s="1"/>
  <c r="Y173" i="6" s="1"/>
  <c r="R142" i="6"/>
  <c r="R99" i="6"/>
  <c r="S115" i="6"/>
  <c r="J9" i="11" s="1" a="1"/>
  <c r="J9" i="11" s="1"/>
  <c r="Z115" i="6"/>
  <c r="T129" i="6" a="1"/>
  <c r="T129" i="6" s="1"/>
  <c r="T144" i="6" s="1" a="1"/>
  <c r="T144" i="6" s="1"/>
  <c r="T159" i="6" s="1" a="1"/>
  <c r="T159" i="6" s="1"/>
  <c r="X159" i="6" s="1"/>
  <c r="Y159" i="6" s="1"/>
  <c r="X126" i="6"/>
  <c r="Y126" i="6" s="1"/>
  <c r="M9" i="9"/>
  <c r="X153" i="6"/>
  <c r="Y153" i="6" s="1"/>
  <c r="T168" i="6" a="1"/>
  <c r="T168" i="6" s="1"/>
  <c r="X168" i="6" s="1"/>
  <c r="Y168" i="6" s="1"/>
  <c r="Y106" i="6"/>
  <c r="J8" i="20" s="1" a="1"/>
  <c r="J8" i="20" s="1"/>
  <c r="Z106" i="6"/>
  <c r="M157" i="6" a="1"/>
  <c r="M157" i="6" s="1"/>
  <c r="M172" i="6" s="1" a="1"/>
  <c r="M172" i="6" s="1"/>
  <c r="R84" i="6"/>
  <c r="X99" i="6"/>
  <c r="Y99" i="6" s="1"/>
  <c r="Y111" i="6"/>
  <c r="Z111" i="6"/>
  <c r="M140" i="6" a="1"/>
  <c r="M140" i="6" s="1"/>
  <c r="T165" i="6" a="1"/>
  <c r="T165" i="6" s="1"/>
  <c r="S134" i="6"/>
  <c r="K13" i="11" s="1" a="1"/>
  <c r="K13" i="11" s="1"/>
  <c r="R127" i="6"/>
  <c r="Z78" i="6"/>
  <c r="S78" i="6"/>
  <c r="G17" i="11" s="1" a="1"/>
  <c r="G17" i="11" s="1"/>
  <c r="G3" i="11" s="1" a="1"/>
  <c r="G3" i="11" s="1"/>
  <c r="M130" i="6" a="1"/>
  <c r="M130" i="6" s="1"/>
  <c r="M145" i="6" s="1" a="1"/>
  <c r="M145" i="6" s="1"/>
  <c r="R145" i="6" s="1"/>
  <c r="X132" i="6"/>
  <c r="Y132" i="6" s="1"/>
  <c r="T147" i="6" a="1"/>
  <c r="T147" i="6" s="1"/>
  <c r="X147" i="6" s="1"/>
  <c r="Y147" i="6" s="1"/>
  <c r="S93" i="6"/>
  <c r="H17" i="11" s="1" a="1"/>
  <c r="H17" i="11" s="1"/>
  <c r="M114" i="6" a="1"/>
  <c r="M114" i="6" s="1"/>
  <c r="Z120" i="6"/>
  <c r="S120" i="6"/>
  <c r="J14" i="11" s="1" a="1"/>
  <c r="J14" i="11" s="1"/>
  <c r="T155" i="6" a="1"/>
  <c r="T155" i="6" s="1"/>
  <c r="X121" i="6"/>
  <c r="T151" i="6" a="1"/>
  <c r="T151" i="6" s="1"/>
  <c r="X151" i="6" s="1"/>
  <c r="S107" i="6"/>
  <c r="I16" i="11" s="1" a="1"/>
  <c r="I16" i="11" s="1"/>
  <c r="Z107" i="6"/>
  <c r="T172" i="6" a="1"/>
  <c r="T172" i="6" s="1"/>
  <c r="M141" i="6" l="1" a="1"/>
  <c r="M141" i="6" s="1"/>
  <c r="R126" i="6"/>
  <c r="S126" i="6" s="1"/>
  <c r="J20" i="11" s="1" a="1"/>
  <c r="J20" i="11" s="1"/>
  <c r="M149" i="6" a="1"/>
  <c r="M149" i="6" s="1"/>
  <c r="R149" i="6" s="1"/>
  <c r="S149" i="6" s="1"/>
  <c r="L13" i="11" s="1" a="1"/>
  <c r="L13" i="11" s="1"/>
  <c r="X145" i="6"/>
  <c r="Y145" i="6" s="1"/>
  <c r="H11" i="9"/>
  <c r="M11" i="9" s="1"/>
  <c r="Z117" i="6"/>
  <c r="S108" i="6"/>
  <c r="I17" i="11" s="1" a="1"/>
  <c r="I17" i="11" s="1"/>
  <c r="X160" i="6"/>
  <c r="Y160" i="6" s="1"/>
  <c r="X149" i="6"/>
  <c r="Y149" i="6" s="1"/>
  <c r="T164" i="6" a="1"/>
  <c r="T164" i="6" s="1"/>
  <c r="T10" i="9"/>
  <c r="M158" i="6" a="1"/>
  <c r="M158" i="6" s="1"/>
  <c r="R158" i="6" s="1"/>
  <c r="Z158" i="6" s="1"/>
  <c r="Z143" i="6"/>
  <c r="R122" i="6"/>
  <c r="M137" i="6" a="1"/>
  <c r="M137" i="6" s="1"/>
  <c r="M151" i="6" a="1"/>
  <c r="M151" i="6" s="1"/>
  <c r="R136" i="6"/>
  <c r="Z126" i="6"/>
  <c r="M124" i="6" a="1"/>
  <c r="M124" i="6" s="1"/>
  <c r="R124" i="6" s="1"/>
  <c r="S124" i="6" s="1"/>
  <c r="J18" i="11" s="1" a="1"/>
  <c r="J18" i="11" s="1"/>
  <c r="Z135" i="6"/>
  <c r="T162" i="6" a="1"/>
  <c r="T162" i="6" s="1"/>
  <c r="X162" i="6" s="1"/>
  <c r="Y162" i="6" s="1"/>
  <c r="M150" i="6" a="1"/>
  <c r="M150" i="6" s="1"/>
  <c r="M132" i="6" a="1"/>
  <c r="M132" i="6" s="1"/>
  <c r="T183" i="6" a="1"/>
  <c r="T183" i="6" s="1"/>
  <c r="X183" i="6" s="1"/>
  <c r="Y183" i="6" s="1"/>
  <c r="T166" i="6" a="1"/>
  <c r="T166" i="6" s="1"/>
  <c r="X166" i="6" s="1"/>
  <c r="Y166" i="6" s="1"/>
  <c r="M123" i="6" a="1"/>
  <c r="M123" i="6" s="1"/>
  <c r="M138" i="6" s="1" a="1"/>
  <c r="M138" i="6" s="1"/>
  <c r="R138" i="6" s="1"/>
  <c r="S138" i="6" s="1"/>
  <c r="K17" i="11" s="1" a="1"/>
  <c r="K17" i="11" s="1"/>
  <c r="T171" i="6" a="1"/>
  <c r="T171" i="6" s="1"/>
  <c r="X171" i="6" s="1"/>
  <c r="Y171" i="6" s="1"/>
  <c r="M160" i="6" a="1"/>
  <c r="M160" i="6" s="1"/>
  <c r="R160" i="6" s="1"/>
  <c r="T182" i="6" a="1"/>
  <c r="T182" i="6" s="1"/>
  <c r="X182" i="6" s="1"/>
  <c r="Y182" i="6" s="1"/>
  <c r="Y121" i="6"/>
  <c r="K8" i="20" s="1" a="1"/>
  <c r="K8" i="20" s="1"/>
  <c r="Z121" i="6"/>
  <c r="S127" i="6"/>
  <c r="K6" i="11" s="1" a="1"/>
  <c r="K6" i="11" s="1"/>
  <c r="Z127" i="6"/>
  <c r="R140" i="6"/>
  <c r="T9" i="9"/>
  <c r="N9" i="9"/>
  <c r="X172" i="6"/>
  <c r="Y151" i="6"/>
  <c r="S84" i="6"/>
  <c r="H8" i="11" s="1" a="1"/>
  <c r="H8" i="11" s="1"/>
  <c r="Z84" i="6"/>
  <c r="R172" i="6"/>
  <c r="M155" i="6" a="1"/>
  <c r="M155" i="6" s="1"/>
  <c r="R155" i="6" s="1"/>
  <c r="S94" i="6"/>
  <c r="H18" i="11" s="1" a="1"/>
  <c r="H18" i="11" s="1"/>
  <c r="Z94" i="6"/>
  <c r="R130" i="6"/>
  <c r="N11" i="9"/>
  <c r="X144" i="6"/>
  <c r="Y144" i="6" s="1"/>
  <c r="S145" i="6"/>
  <c r="L9" i="11" s="1" a="1"/>
  <c r="L9" i="11" s="1"/>
  <c r="Z145" i="6"/>
  <c r="X155" i="6"/>
  <c r="Y155" i="6" s="1"/>
  <c r="T170" i="6" a="1"/>
  <c r="T170" i="6" s="1"/>
  <c r="X170" i="6" s="1"/>
  <c r="Y170" i="6" s="1"/>
  <c r="R114" i="6"/>
  <c r="M129" i="6" a="1"/>
  <c r="M129" i="6" s="1"/>
  <c r="R157" i="6"/>
  <c r="S99" i="6"/>
  <c r="I8" i="11" s="1" a="1"/>
  <c r="I8" i="11" s="1"/>
  <c r="Z99" i="6"/>
  <c r="S109" i="6"/>
  <c r="I18" i="11" s="1" a="1"/>
  <c r="I18" i="11" s="1"/>
  <c r="Z109" i="6"/>
  <c r="T174" i="6" a="1"/>
  <c r="T174" i="6" s="1"/>
  <c r="X174" i="6" s="1"/>
  <c r="Y174" i="6" s="1"/>
  <c r="X165" i="6"/>
  <c r="Y165" i="6" s="1"/>
  <c r="T180" i="6" a="1"/>
  <c r="T180" i="6" s="1"/>
  <c r="X180" i="6" s="1"/>
  <c r="Y180" i="6" s="1"/>
  <c r="X129" i="6"/>
  <c r="Y129" i="6" s="1"/>
  <c r="S142" i="6"/>
  <c r="L6" i="11" s="1" a="1"/>
  <c r="L6" i="11" s="1"/>
  <c r="Z142" i="6"/>
  <c r="Z160" i="6" l="1"/>
  <c r="T177" i="6" a="1"/>
  <c r="T177" i="6" s="1"/>
  <c r="X177" i="6" s="1"/>
  <c r="Y177" i="6" s="1"/>
  <c r="N7" i="20" a="1"/>
  <c r="N7" i="20" s="1"/>
  <c r="M156" i="6" a="1"/>
  <c r="M156" i="6" s="1"/>
  <c r="R141" i="6"/>
  <c r="M164" i="6" a="1"/>
  <c r="M164" i="6" s="1"/>
  <c r="R164" i="6" s="1"/>
  <c r="S164" i="6" s="1"/>
  <c r="M13" i="11" s="1" a="1"/>
  <c r="M13" i="11" s="1"/>
  <c r="M175" i="6" a="1"/>
  <c r="M175" i="6" s="1"/>
  <c r="R175" i="6" s="1"/>
  <c r="Z175" i="6" s="1"/>
  <c r="M139" i="6" a="1"/>
  <c r="M139" i="6" s="1"/>
  <c r="R139" i="6" s="1"/>
  <c r="Z139" i="6" s="1"/>
  <c r="S158" i="6"/>
  <c r="M7" i="11" s="1" a="1"/>
  <c r="M7" i="11" s="1"/>
  <c r="Z124" i="6"/>
  <c r="T179" i="6" a="1"/>
  <c r="T179" i="6" s="1"/>
  <c r="X179" i="6" s="1"/>
  <c r="Y179" i="6" s="1"/>
  <c r="X164" i="6"/>
  <c r="Y164" i="6" s="1"/>
  <c r="N8" i="20" s="1" a="1"/>
  <c r="N8" i="20" s="1"/>
  <c r="Z149" i="6"/>
  <c r="R123" i="6"/>
  <c r="Z123" i="6" s="1"/>
  <c r="M173" i="6" a="1"/>
  <c r="M173" i="6" s="1"/>
  <c r="R173" i="6" s="1"/>
  <c r="S173" i="6" s="1"/>
  <c r="N7" i="11" s="1" a="1"/>
  <c r="N7" i="11" s="1"/>
  <c r="Z138" i="6"/>
  <c r="Y172" i="6"/>
  <c r="O6" i="20" s="1" a="1"/>
  <c r="O6" i="20" s="1"/>
  <c r="D43" i="8" a="1"/>
  <c r="D43" i="8" s="1"/>
  <c r="T181" i="6" a="1"/>
  <c r="T181" i="6" s="1"/>
  <c r="X181" i="6" s="1"/>
  <c r="Y181" i="6" s="1"/>
  <c r="M153" i="6" a="1"/>
  <c r="M153" i="6" s="1"/>
  <c r="R153" i="6" s="1"/>
  <c r="Z153" i="6" s="1"/>
  <c r="M101" i="6" a="1"/>
  <c r="M101" i="6" s="1"/>
  <c r="T186" i="6" a="1"/>
  <c r="T186" i="6" s="1"/>
  <c r="R137" i="6"/>
  <c r="M152" i="6" a="1"/>
  <c r="M152" i="6" s="1"/>
  <c r="Z122" i="6"/>
  <c r="S122" i="6"/>
  <c r="J16" i="11" s="1" a="1"/>
  <c r="J16" i="11" s="1"/>
  <c r="S136" i="6"/>
  <c r="K15" i="11" s="1" a="1"/>
  <c r="K15" i="11" s="1"/>
  <c r="Z136" i="6"/>
  <c r="R151" i="6"/>
  <c r="M166" i="6" a="1"/>
  <c r="M166" i="6" s="1"/>
  <c r="R132" i="6"/>
  <c r="M147" i="6" a="1"/>
  <c r="M147" i="6" s="1"/>
  <c r="R150" i="6"/>
  <c r="M165" i="6" a="1"/>
  <c r="M165" i="6" s="1"/>
  <c r="S160" i="6"/>
  <c r="M9" i="11" s="1" a="1"/>
  <c r="M9" i="11" s="1"/>
  <c r="M170" i="6" a="1"/>
  <c r="M170" i="6" s="1"/>
  <c r="R170" i="6" s="1"/>
  <c r="S170" i="6" s="1"/>
  <c r="M19" i="11" s="1" a="1"/>
  <c r="M19" i="11" s="1"/>
  <c r="T185" i="6" a="1"/>
  <c r="T185" i="6" s="1"/>
  <c r="X185" i="6" s="1"/>
  <c r="Y185" i="6" s="1"/>
  <c r="S123" i="6"/>
  <c r="J17" i="11" s="1" a="1"/>
  <c r="J17" i="11" s="1"/>
  <c r="O16" i="9" a="1"/>
  <c r="O16" i="9" s="1"/>
  <c r="M8" i="20" a="1"/>
  <c r="M8" i="20" s="1"/>
  <c r="Z155" i="6"/>
  <c r="S155" i="6"/>
  <c r="L19" i="11" s="1" a="1"/>
  <c r="L19" i="11" s="1"/>
  <c r="R129" i="6"/>
  <c r="Z172" i="6"/>
  <c r="S172" i="6"/>
  <c r="N6" i="11" s="1" a="1"/>
  <c r="N6" i="11" s="1"/>
  <c r="Z157" i="6"/>
  <c r="S157" i="6"/>
  <c r="M6" i="11" s="1" a="1"/>
  <c r="M6" i="11" s="1"/>
  <c r="S114" i="6"/>
  <c r="J8" i="11" s="1" a="1"/>
  <c r="J8" i="11" s="1"/>
  <c r="Z114" i="6"/>
  <c r="S175" i="6"/>
  <c r="N9" i="11" s="1" a="1"/>
  <c r="N9" i="11" s="1"/>
  <c r="Z130" i="6"/>
  <c r="S130" i="6"/>
  <c r="K9" i="11" s="1" a="1"/>
  <c r="K9" i="11" s="1"/>
  <c r="H3" i="11" a="1"/>
  <c r="H3" i="11" s="1"/>
  <c r="S140" i="6"/>
  <c r="K19" i="11" s="1" a="1"/>
  <c r="K19" i="11" s="1"/>
  <c r="Z140" i="6"/>
  <c r="M144" i="6" a="1"/>
  <c r="M144" i="6" s="1"/>
  <c r="M154" i="6" l="1" a="1"/>
  <c r="M154" i="6" s="1"/>
  <c r="R154" i="6" s="1"/>
  <c r="Z154" i="6" s="1"/>
  <c r="Z164" i="6"/>
  <c r="S139" i="6"/>
  <c r="K18" i="11" s="1" a="1"/>
  <c r="K18" i="11" s="1"/>
  <c r="N3" i="20" a="1"/>
  <c r="N3" i="20" s="1"/>
  <c r="Z141" i="6"/>
  <c r="S141" i="6"/>
  <c r="K20" i="11" s="1" a="1"/>
  <c r="K20" i="11" s="1"/>
  <c r="R156" i="6"/>
  <c r="M171" i="6" a="1"/>
  <c r="M171" i="6" s="1"/>
  <c r="S153" i="6"/>
  <c r="L17" i="11" s="1" a="1"/>
  <c r="L17" i="11" s="1"/>
  <c r="M179" i="6" a="1"/>
  <c r="M179" i="6" s="1"/>
  <c r="R179" i="6" s="1"/>
  <c r="S179" i="6" s="1"/>
  <c r="N13" i="11" s="1" a="1"/>
  <c r="N13" i="11" s="1"/>
  <c r="Z170" i="6"/>
  <c r="M168" i="6" a="1"/>
  <c r="M168" i="6" s="1"/>
  <c r="Z173" i="6"/>
  <c r="M185" i="6" a="1"/>
  <c r="M185" i="6" s="1"/>
  <c r="R185" i="6" s="1"/>
  <c r="S185" i="6" s="1"/>
  <c r="N19" i="11" s="1" a="1"/>
  <c r="N19" i="11" s="1"/>
  <c r="X186" i="6"/>
  <c r="D44" i="8" s="1" a="1"/>
  <c r="D44" i="8" s="1"/>
  <c r="T86" i="6" a="1"/>
  <c r="T86" i="6" s="1"/>
  <c r="R101" i="6"/>
  <c r="H12" i="9"/>
  <c r="M12" i="9" s="1"/>
  <c r="R152" i="6"/>
  <c r="S137" i="6"/>
  <c r="K16" i="11" s="1" a="1"/>
  <c r="K16" i="11" s="1"/>
  <c r="Z137" i="6"/>
  <c r="M116" i="6" a="1"/>
  <c r="M116" i="6" s="1"/>
  <c r="M131" i="6" s="1" a="1"/>
  <c r="M131" i="6" s="1"/>
  <c r="M167" i="6" a="1"/>
  <c r="M167" i="6" s="1"/>
  <c r="R167" i="6" s="1"/>
  <c r="R166" i="6"/>
  <c r="M181" i="6" a="1"/>
  <c r="M181" i="6" s="1"/>
  <c r="R181" i="6" s="1"/>
  <c r="S151" i="6"/>
  <c r="L15" i="11" s="1" a="1"/>
  <c r="L15" i="11" s="1"/>
  <c r="Z151" i="6"/>
  <c r="O8" i="20" a="1"/>
  <c r="O8" i="20" s="1"/>
  <c r="R165" i="6"/>
  <c r="M180" i="6" a="1"/>
  <c r="M180" i="6" s="1"/>
  <c r="R180" i="6" s="1"/>
  <c r="S150" i="6"/>
  <c r="L14" i="11" s="1" a="1"/>
  <c r="L14" i="11" s="1"/>
  <c r="Z150" i="6"/>
  <c r="R147" i="6"/>
  <c r="M162" i="6" a="1"/>
  <c r="M162" i="6" s="1"/>
  <c r="S132" i="6"/>
  <c r="K11" i="11" s="1" a="1"/>
  <c r="K11" i="11" s="1"/>
  <c r="Z132" i="6"/>
  <c r="O17" i="9" a="1"/>
  <c r="O17" i="9" s="1"/>
  <c r="R144" i="6"/>
  <c r="M159" i="6" a="1"/>
  <c r="M159" i="6" s="1"/>
  <c r="M174" i="6" s="1" a="1"/>
  <c r="M174" i="6" s="1"/>
  <c r="S129" i="6"/>
  <c r="K8" i="11" s="1" a="1"/>
  <c r="K8" i="11" s="1"/>
  <c r="Z129" i="6"/>
  <c r="S16" i="9"/>
  <c r="V16" i="9"/>
  <c r="S154" i="6" l="1"/>
  <c r="L18" i="11" s="1" a="1"/>
  <c r="L18" i="11" s="1"/>
  <c r="M169" i="6" a="1"/>
  <c r="M169" i="6" s="1"/>
  <c r="R169" i="6" s="1"/>
  <c r="Z169" i="6" s="1"/>
  <c r="R171" i="6"/>
  <c r="M186" i="6" a="1"/>
  <c r="M186" i="6" s="1"/>
  <c r="Z156" i="6"/>
  <c r="S156" i="6"/>
  <c r="L20" i="11" s="1" a="1"/>
  <c r="L20" i="11" s="1"/>
  <c r="Z179" i="6"/>
  <c r="Z185" i="6"/>
  <c r="R168" i="6"/>
  <c r="M183" i="6" a="1"/>
  <c r="M183" i="6" s="1"/>
  <c r="R183" i="6" s="1"/>
  <c r="M182" i="6" a="1"/>
  <c r="M182" i="6" s="1"/>
  <c r="R182" i="6" s="1"/>
  <c r="S182" i="6" s="1"/>
  <c r="N16" i="11" s="1" a="1"/>
  <c r="N16" i="11" s="1"/>
  <c r="T101" i="6" a="1"/>
  <c r="T101" i="6" s="1"/>
  <c r="X86" i="6"/>
  <c r="O11" i="9" a="1"/>
  <c r="O11" i="9" s="1"/>
  <c r="R131" i="6"/>
  <c r="H14" i="9"/>
  <c r="M14" i="9" s="1"/>
  <c r="S152" i="6"/>
  <c r="L16" i="11" s="1" a="1"/>
  <c r="L16" i="11" s="1"/>
  <c r="Z152" i="6"/>
  <c r="S167" i="6"/>
  <c r="M16" i="11" s="1" a="1"/>
  <c r="M16" i="11" s="1"/>
  <c r="Z167" i="6"/>
  <c r="Y186" i="6"/>
  <c r="O7" i="20" s="1" a="1"/>
  <c r="O7" i="20" s="1"/>
  <c r="O3" i="20" s="1" a="1"/>
  <c r="O3" i="20" s="1"/>
  <c r="R116" i="6"/>
  <c r="H13" i="9"/>
  <c r="M13" i="9" s="1"/>
  <c r="N12" i="9"/>
  <c r="S101" i="6"/>
  <c r="I10" i="11" s="1" a="1"/>
  <c r="I10" i="11" s="1"/>
  <c r="I3" i="11" s="1" a="1"/>
  <c r="I3" i="11" s="1"/>
  <c r="M146" i="6" a="1"/>
  <c r="M146" i="6" s="1"/>
  <c r="S181" i="6"/>
  <c r="N15" i="11" s="1" a="1"/>
  <c r="N15" i="11" s="1"/>
  <c r="Z181" i="6"/>
  <c r="S166" i="6"/>
  <c r="M15" i="11" s="1" a="1"/>
  <c r="M15" i="11" s="1"/>
  <c r="Z166" i="6"/>
  <c r="M177" i="6" a="1"/>
  <c r="M177" i="6" s="1"/>
  <c r="R177" i="6" s="1"/>
  <c r="R162" i="6"/>
  <c r="V17" i="9"/>
  <c r="S147" i="6"/>
  <c r="L11" i="11" s="1" a="1"/>
  <c r="L11" i="11" s="1"/>
  <c r="Z147" i="6"/>
  <c r="S180" i="6"/>
  <c r="N14" i="11" s="1" a="1"/>
  <c r="N14" i="11" s="1"/>
  <c r="Z180" i="6"/>
  <c r="S165" i="6"/>
  <c r="M14" i="11" s="1" a="1"/>
  <c r="M14" i="11" s="1"/>
  <c r="Z165" i="6"/>
  <c r="S17" i="9"/>
  <c r="U17" i="9" s="1"/>
  <c r="R174" i="6"/>
  <c r="U16" i="9"/>
  <c r="S144" i="6"/>
  <c r="L8" i="11" s="1" a="1"/>
  <c r="L8" i="11" s="1"/>
  <c r="Z144" i="6"/>
  <c r="S169" i="6"/>
  <c r="M18" i="11" s="1" a="1"/>
  <c r="M18" i="11" s="1"/>
  <c r="R159" i="6"/>
  <c r="H16" i="9"/>
  <c r="M16" i="9" s="1"/>
  <c r="M184" i="6" l="1" a="1"/>
  <c r="M184" i="6" s="1"/>
  <c r="R184" i="6" s="1"/>
  <c r="Z184" i="6" s="1"/>
  <c r="E120" i="1" a="1"/>
  <c r="E120" i="1" s="1"/>
  <c r="R186" i="6"/>
  <c r="S171" i="6"/>
  <c r="M20" i="11" s="1" a="1"/>
  <c r="M20" i="11" s="1"/>
  <c r="Z171" i="6"/>
  <c r="S183" i="6"/>
  <c r="N17" i="11" s="1" a="1"/>
  <c r="N17" i="11" s="1"/>
  <c r="Z183" i="6"/>
  <c r="S168" i="6"/>
  <c r="M17" i="11" s="1" a="1"/>
  <c r="M17" i="11" s="1"/>
  <c r="Z168" i="6"/>
  <c r="Z182" i="6"/>
  <c r="N14" i="9"/>
  <c r="N13" i="9"/>
  <c r="S131" i="6"/>
  <c r="K10" i="11" s="1" a="1"/>
  <c r="K10" i="11" s="1"/>
  <c r="K3" i="11" s="1" a="1"/>
  <c r="K3" i="11" s="1"/>
  <c r="S11" i="9"/>
  <c r="V11" i="9"/>
  <c r="S184" i="6"/>
  <c r="N18" i="11" s="1" a="1"/>
  <c r="N18" i="11" s="1"/>
  <c r="Y86" i="6"/>
  <c r="I7" i="20" s="1" a="1"/>
  <c r="I7" i="20" s="1"/>
  <c r="I3" i="20" s="1" a="1"/>
  <c r="I3" i="20" s="1"/>
  <c r="Z86" i="6"/>
  <c r="T116" i="6" a="1"/>
  <c r="T116" i="6" s="1"/>
  <c r="X101" i="6"/>
  <c r="O12" i="9" a="1"/>
  <c r="O12" i="9" s="1"/>
  <c r="R146" i="6"/>
  <c r="H15" i="9"/>
  <c r="M15" i="9" s="1"/>
  <c r="N15" i="9" s="1"/>
  <c r="S116" i="6"/>
  <c r="J10" i="11" s="1" a="1"/>
  <c r="J10" i="11" s="1"/>
  <c r="J3" i="11" s="1" a="1"/>
  <c r="J3" i="11" s="1"/>
  <c r="H17" i="9"/>
  <c r="M17" i="9" s="1"/>
  <c r="N17" i="9" s="1"/>
  <c r="S162" i="6"/>
  <c r="M11" i="11" s="1" a="1"/>
  <c r="M11" i="11" s="1"/>
  <c r="Z162" i="6"/>
  <c r="S177" i="6"/>
  <c r="N11" i="11" s="1" a="1"/>
  <c r="N11" i="11" s="1"/>
  <c r="Z177" i="6"/>
  <c r="T16" i="9"/>
  <c r="N16" i="9"/>
  <c r="S159" i="6"/>
  <c r="M8" i="11" s="1" a="1"/>
  <c r="M8" i="11" s="1"/>
  <c r="Z159" i="6"/>
  <c r="S174" i="6"/>
  <c r="N8" i="11" s="1" a="1"/>
  <c r="N8" i="11" s="1"/>
  <c r="Z174" i="6"/>
  <c r="S186" i="6" l="1"/>
  <c r="N20" i="11" s="1" a="1"/>
  <c r="N20" i="11" s="1"/>
  <c r="N3" i="11" s="1" a="1"/>
  <c r="N3" i="11" s="1"/>
  <c r="Z186" i="6"/>
  <c r="A35" i="8" a="1"/>
  <c r="A35" i="8" s="1"/>
  <c r="A31" i="8" a="1"/>
  <c r="A31" i="8" s="1"/>
  <c r="A36" i="8" a="1"/>
  <c r="A36" i="8" s="1"/>
  <c r="A33" i="8" a="1"/>
  <c r="A33" i="8" s="1"/>
  <c r="A29" i="8" a="1"/>
  <c r="A29" i="8" s="1"/>
  <c r="A38" i="8" a="1"/>
  <c r="A38" i="8" s="1"/>
  <c r="A34" i="8" a="1"/>
  <c r="A34" i="8" s="1"/>
  <c r="A32" i="8" a="1"/>
  <c r="A32" i="8" s="1"/>
  <c r="A30" i="8" a="1"/>
  <c r="A30" i="8" s="1"/>
  <c r="A37" i="8" a="1"/>
  <c r="A37" i="8" s="1"/>
  <c r="F151" i="1"/>
  <c r="N3" i="9" a="1"/>
  <c r="N3" i="9" s="1"/>
  <c r="X116" i="6"/>
  <c r="O13" i="9" a="1"/>
  <c r="O13" i="9" s="1"/>
  <c r="S12" i="9"/>
  <c r="V12" i="9"/>
  <c r="S146" i="6"/>
  <c r="L10" i="11" s="1" a="1"/>
  <c r="L10" i="11" s="1"/>
  <c r="L3" i="11" s="1" a="1"/>
  <c r="L3" i="11" s="1"/>
  <c r="T11" i="9"/>
  <c r="U11" i="9"/>
  <c r="T131" i="6" a="1"/>
  <c r="T131" i="6" s="1"/>
  <c r="Y101" i="6"/>
  <c r="J7" i="20" s="1" a="1"/>
  <c r="J7" i="20" s="1"/>
  <c r="J3" i="20" s="1" a="1"/>
  <c r="J3" i="20" s="1"/>
  <c r="Z101" i="6"/>
  <c r="H3" i="9" a="1"/>
  <c r="H3" i="9" s="1"/>
  <c r="M3" i="11" a="1"/>
  <c r="M3" i="11" s="1"/>
  <c r="M3" i="9" a="1"/>
  <c r="M3" i="9" s="1"/>
  <c r="T17" i="9"/>
  <c r="B38" i="8" l="1"/>
  <c r="G38" i="8" a="1"/>
  <c r="G38" i="8" s="1"/>
  <c r="D38" i="8" a="1"/>
  <c r="D38" i="8" s="1"/>
  <c r="E38" i="8"/>
  <c r="D29" i="8" a="1"/>
  <c r="D29" i="8" s="1"/>
  <c r="E29" i="8"/>
  <c r="G29" i="8" a="1"/>
  <c r="G29" i="8" s="1"/>
  <c r="B29" i="8"/>
  <c r="G33" i="8" a="1"/>
  <c r="G33" i="8" s="1"/>
  <c r="B33" i="8"/>
  <c r="E33" i="8"/>
  <c r="D33" i="8" a="1"/>
  <c r="D33" i="8" s="1"/>
  <c r="G34" i="8" a="1"/>
  <c r="G34" i="8" s="1"/>
  <c r="D34" i="8" a="1"/>
  <c r="D34" i="8" s="1"/>
  <c r="B34" i="8"/>
  <c r="E34" i="8"/>
  <c r="E36" i="8"/>
  <c r="B36" i="8"/>
  <c r="G36" i="8" a="1"/>
  <c r="G36" i="8" s="1"/>
  <c r="D36" i="8" a="1"/>
  <c r="D36" i="8" s="1"/>
  <c r="B37" i="8"/>
  <c r="E37" i="8"/>
  <c r="D37" i="8" a="1"/>
  <c r="D37" i="8" s="1"/>
  <c r="G37" i="8" a="1"/>
  <c r="G37" i="8" s="1"/>
  <c r="B31" i="8"/>
  <c r="E31" i="8"/>
  <c r="G31" i="8" a="1"/>
  <c r="G31" i="8" s="1"/>
  <c r="D31" i="8" a="1"/>
  <c r="D31" i="8" s="1"/>
  <c r="D30" i="8" a="1"/>
  <c r="D30" i="8" s="1"/>
  <c r="G30" i="8" a="1"/>
  <c r="G30" i="8" s="1"/>
  <c r="E30" i="8"/>
  <c r="B30" i="8"/>
  <c r="B35" i="8"/>
  <c r="G35" i="8" a="1"/>
  <c r="G35" i="8" s="1"/>
  <c r="E35" i="8"/>
  <c r="D35" i="8" a="1"/>
  <c r="D35" i="8" s="1"/>
  <c r="B32" i="8"/>
  <c r="E32" i="8"/>
  <c r="G32" i="8" a="1"/>
  <c r="G32" i="8" s="1"/>
  <c r="D32" i="8" a="1"/>
  <c r="D32" i="8" s="1"/>
  <c r="U12" i="9"/>
  <c r="T12" i="9"/>
  <c r="S13" i="9"/>
  <c r="V13" i="9"/>
  <c r="X131" i="6"/>
  <c r="O14" i="9" a="1"/>
  <c r="O14" i="9" s="1"/>
  <c r="Y116" i="6"/>
  <c r="K7" i="20" s="1" a="1"/>
  <c r="K7" i="20" s="1"/>
  <c r="K3" i="20" s="1" a="1"/>
  <c r="K3" i="20" s="1"/>
  <c r="Z116" i="6"/>
  <c r="T146" i="6" a="1"/>
  <c r="T146" i="6" s="1"/>
  <c r="E151" i="1" l="1"/>
  <c r="G151" i="1" s="1"/>
  <c r="D39" i="8"/>
  <c r="D41" i="8" s="1"/>
  <c r="G39" i="8"/>
  <c r="G41" i="8" s="1"/>
  <c r="V14" i="9"/>
  <c r="S14" i="9"/>
  <c r="Y131" i="6"/>
  <c r="L7" i="20" s="1" a="1"/>
  <c r="L7" i="20" s="1"/>
  <c r="L3" i="20" s="1" a="1"/>
  <c r="L3" i="20" s="1"/>
  <c r="Z131" i="6"/>
  <c r="U13" i="9"/>
  <c r="T13" i="9"/>
  <c r="X146" i="6"/>
  <c r="O15" i="9" a="1"/>
  <c r="O15" i="9" s="1"/>
  <c r="Y146" i="6" l="1"/>
  <c r="M7" i="20" s="1" a="1"/>
  <c r="M7" i="20" s="1"/>
  <c r="M3" i="20" s="1" a="1"/>
  <c r="M3" i="20" s="1"/>
  <c r="Z146" i="6"/>
  <c r="S15" i="9"/>
  <c r="V15" i="9"/>
  <c r="O3" i="9" a="1"/>
  <c r="O3" i="9" s="1"/>
  <c r="U14" i="9"/>
  <c r="T14" i="9"/>
  <c r="U15" i="9" l="1"/>
  <c r="U3" i="9" s="1" a="1"/>
  <c r="U3" i="9" s="1"/>
  <c r="T15" i="9"/>
  <c r="T3" i="9" s="1" a="1"/>
  <c r="T3" i="9" s="1"/>
  <c r="S3" i="9" a="1"/>
  <c r="S3" i="9"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<sst xmlns="http://schemas.openxmlformats.org/spreadsheetml/2006/main" count="849" uniqueCount="606">
  <si>
    <t>Income Tax Brackets</t>
  </si>
  <si>
    <t>Tax Rate</t>
  </si>
  <si>
    <t>Tax Bracket Value</t>
  </si>
  <si>
    <t>Month</t>
  </si>
  <si>
    <t>Employee Setup</t>
  </si>
  <si>
    <t>Employee Name</t>
  </si>
  <si>
    <t>Job Title</t>
  </si>
  <si>
    <t>Earnings</t>
  </si>
  <si>
    <t>Deductions</t>
  </si>
  <si>
    <t>Total</t>
  </si>
  <si>
    <t>Primary Rebate</t>
  </si>
  <si>
    <t>Income Tax (PAYE)</t>
  </si>
  <si>
    <t>Income Tax Number</t>
  </si>
  <si>
    <t>ID Number</t>
  </si>
  <si>
    <t>UIF</t>
  </si>
  <si>
    <t>Payment Date</t>
  </si>
  <si>
    <t>Net Pay</t>
  </si>
  <si>
    <t>Pay Period Number</t>
  </si>
  <si>
    <t>Tax Period End</t>
  </si>
  <si>
    <t>Tax Year</t>
  </si>
  <si>
    <t>Monthly</t>
  </si>
  <si>
    <t>Basic Salary</t>
  </si>
  <si>
    <t>No</t>
  </si>
  <si>
    <t>Employee Number</t>
  </si>
  <si>
    <t>Residential Address</t>
  </si>
  <si>
    <t>Dept</t>
  </si>
  <si>
    <t>M</t>
  </si>
  <si>
    <t>S</t>
  </si>
  <si>
    <t>C</t>
  </si>
  <si>
    <t>Total Deductions</t>
  </si>
  <si>
    <t>Gross Pay</t>
  </si>
  <si>
    <t>Leave</t>
  </si>
  <si>
    <t>SDL</t>
  </si>
  <si>
    <t>Accountant</t>
  </si>
  <si>
    <t>Net</t>
  </si>
  <si>
    <t>Business Name</t>
  </si>
  <si>
    <t>Example (Pty) Limited</t>
  </si>
  <si>
    <t>Setup</t>
  </si>
  <si>
    <t>Current</t>
  </si>
  <si>
    <t>Month Names</t>
  </si>
  <si>
    <t>End of list</t>
  </si>
  <si>
    <t>Prior</t>
  </si>
  <si>
    <t>Income Tax Rebates</t>
  </si>
  <si>
    <t>Code</t>
  </si>
  <si>
    <t>Description</t>
  </si>
  <si>
    <t>Value</t>
  </si>
  <si>
    <t>A</t>
  </si>
  <si>
    <t>B</t>
  </si>
  <si>
    <t>Secondary</t>
  </si>
  <si>
    <t>Tertiary</t>
  </si>
  <si>
    <t>Earnings List</t>
  </si>
  <si>
    <t>Basis</t>
  </si>
  <si>
    <t>Annual</t>
  </si>
  <si>
    <t>Unemployment Insurance</t>
  </si>
  <si>
    <t>D</t>
  </si>
  <si>
    <t>Temp Start</t>
  </si>
  <si>
    <t>Short Name</t>
  </si>
  <si>
    <t>Skills Development</t>
  </si>
  <si>
    <t>Medical Tax Credits</t>
  </si>
  <si>
    <t>Monthly Value</t>
  </si>
  <si>
    <t>Date Employed</t>
  </si>
  <si>
    <t>Date Terminated</t>
  </si>
  <si>
    <t>Income Tax Rate</t>
  </si>
  <si>
    <t>Medical Aid Members</t>
  </si>
  <si>
    <t>Earn Exclusion</t>
  </si>
  <si>
    <t>Gross</t>
  </si>
  <si>
    <t>Deduct1</t>
  </si>
  <si>
    <t>IT Rebate Code</t>
  </si>
  <si>
    <t>Earnings1</t>
  </si>
  <si>
    <t>Earnings2</t>
  </si>
  <si>
    <t>Earnings3</t>
  </si>
  <si>
    <t>Earnings4</t>
  </si>
  <si>
    <t>Earnings5</t>
  </si>
  <si>
    <t>Basic</t>
  </si>
  <si>
    <t>Deduct2</t>
  </si>
  <si>
    <t>Deduct3</t>
  </si>
  <si>
    <t>Deduct4</t>
  </si>
  <si>
    <t>Loan</t>
  </si>
  <si>
    <t>Co-Contrib1</t>
  </si>
  <si>
    <t>Co-Contrib2</t>
  </si>
  <si>
    <t>Total Co Contributions</t>
  </si>
  <si>
    <t>Deductions &amp; Co-Contrib</t>
  </si>
  <si>
    <t>1st Payment Date</t>
  </si>
  <si>
    <t>Status</t>
  </si>
  <si>
    <t>1st Pay Period</t>
  </si>
  <si>
    <t>Fixed</t>
  </si>
  <si>
    <t>Deduction 3 Rate</t>
  </si>
  <si>
    <t>IT Rate</t>
  </si>
  <si>
    <t>Taxable %</t>
  </si>
  <si>
    <t>Loan / Advance</t>
  </si>
  <si>
    <t>Earnings Max</t>
  </si>
  <si>
    <t>Unique Pay Date</t>
  </si>
  <si>
    <t>Employee Pay Period</t>
  </si>
  <si>
    <t>Business Pay Period</t>
  </si>
  <si>
    <t>Deduction Override</t>
  </si>
  <si>
    <t>Override Date</t>
  </si>
  <si>
    <t>Deduction Code</t>
  </si>
  <si>
    <t>Override Value</t>
  </si>
  <si>
    <t>Tax %</t>
  </si>
  <si>
    <t>Annual Tax Limit</t>
  </si>
  <si>
    <t>Tax Calc</t>
  </si>
  <si>
    <t>IT Rebate Value</t>
  </si>
  <si>
    <t>None</t>
  </si>
  <si>
    <t>Total Annual Taxation</t>
  </si>
  <si>
    <t>Annual Taxable Income</t>
  </si>
  <si>
    <t>Taxable Income Non-Monthly</t>
  </si>
  <si>
    <t>Tax On Monthly Income</t>
  </si>
  <si>
    <t>Tax On Non-Monthly Inc</t>
  </si>
  <si>
    <t>Co-Contrib3</t>
  </si>
  <si>
    <t>Co-Contrib4</t>
  </si>
  <si>
    <t>Annual Gross Tax Income</t>
  </si>
  <si>
    <t>Deduction 1 Rate</t>
  </si>
  <si>
    <t>Deduction 2 Rate</t>
  </si>
  <si>
    <t>TAX</t>
  </si>
  <si>
    <t>Total Cost To Company</t>
  </si>
  <si>
    <t>Income Tax Code</t>
  </si>
  <si>
    <t>Medical Tax Credit Code</t>
  </si>
  <si>
    <t>Co-Contrib Code</t>
  </si>
  <si>
    <t>Annual Tax Deduct1</t>
  </si>
  <si>
    <t>Annual Tax Deduct2</t>
  </si>
  <si>
    <t>Annual Tax Deduct3</t>
  </si>
  <si>
    <t>Payroll Summary</t>
  </si>
  <si>
    <t>Department</t>
  </si>
  <si>
    <t>Employee No</t>
  </si>
  <si>
    <t>Departments</t>
  </si>
  <si>
    <t>Management</t>
  </si>
  <si>
    <t>Sales</t>
  </si>
  <si>
    <t>Admin</t>
  </si>
  <si>
    <t>User 
Defined1</t>
  </si>
  <si>
    <t>User 
Defined2</t>
  </si>
  <si>
    <t>User 
Defined3</t>
  </si>
  <si>
    <t>Month1</t>
  </si>
  <si>
    <t>Month2</t>
  </si>
  <si>
    <t>Month3</t>
  </si>
  <si>
    <t>Month4</t>
  </si>
  <si>
    <t>Month5</t>
  </si>
  <si>
    <t>Month6</t>
  </si>
  <si>
    <t>Month7</t>
  </si>
  <si>
    <t>Month8</t>
  </si>
  <si>
    <t>Month9</t>
  </si>
  <si>
    <t>Month10</t>
  </si>
  <si>
    <t>Month11</t>
  </si>
  <si>
    <t>Month12</t>
  </si>
  <si>
    <t>Measurement</t>
  </si>
  <si>
    <t>Total Co-Contributions</t>
  </si>
  <si>
    <t>Cost to Company</t>
  </si>
  <si>
    <t>Measurement List</t>
  </si>
  <si>
    <t>Business Address</t>
  </si>
  <si>
    <t>Business Reg Number</t>
  </si>
  <si>
    <t>Contact E-mail</t>
  </si>
  <si>
    <t>Contact Tel Number</t>
  </si>
  <si>
    <t>Building Name, Street Address, Suburb, City, Code</t>
  </si>
  <si>
    <t>+27 21 999 9999</t>
  </si>
  <si>
    <t>hr@example.com</t>
  </si>
  <si>
    <t>2017 000000 00</t>
  </si>
  <si>
    <t>Payslip Number</t>
  </si>
  <si>
    <t>Employee Details</t>
  </si>
  <si>
    <t>Date of Employment</t>
  </si>
  <si>
    <t>Monthly Salary Payslip</t>
  </si>
  <si>
    <t>Tax Number</t>
  </si>
  <si>
    <t>Year-To-Date Totals</t>
  </si>
  <si>
    <t>Year-To-Date Net Pay</t>
  </si>
  <si>
    <t>YTD Company Contributions</t>
  </si>
  <si>
    <t>PaySlip Status</t>
  </si>
  <si>
    <t>Payslip Fields</t>
  </si>
  <si>
    <t>MTD Company Contributions</t>
  </si>
  <si>
    <t>Payroll</t>
  </si>
  <si>
    <t>Income Tax</t>
  </si>
  <si>
    <t>© www.excel-skills.com</t>
  </si>
  <si>
    <t>Earnings % 
Month</t>
  </si>
  <si>
    <t>Earnings % 
Annual</t>
  </si>
  <si>
    <t>Deduct</t>
  </si>
  <si>
    <t>Earnings Total Amount</t>
  </si>
  <si>
    <t>Monthly Analysis by Employee</t>
  </si>
  <si>
    <t>Monthly Analysis by Department</t>
  </si>
  <si>
    <t>Department Code</t>
  </si>
  <si>
    <t>Department Name</t>
  </si>
  <si>
    <t>Cost Centre</t>
  </si>
  <si>
    <t>IS-330</t>
  </si>
  <si>
    <t>Gross Annual Salary</t>
  </si>
  <si>
    <t>Column &amp; Row Matrix</t>
  </si>
  <si>
    <t>Sheet &amp; Section</t>
  </si>
  <si>
    <t>Emp Sheet - Deductions Section</t>
  </si>
  <si>
    <t>Payroll Sheet - Earnings Section</t>
  </si>
  <si>
    <t>Payroll Sheet - Deduct Section</t>
  </si>
  <si>
    <t>Payroll Sheet - Co-Contrib Section</t>
  </si>
  <si>
    <t>Payroll Sheet - Annual Tax Deduct Section</t>
  </si>
  <si>
    <t>Sheet Count</t>
  </si>
  <si>
    <t>List Count</t>
  </si>
  <si>
    <t>Payslip - Earnings Section</t>
  </si>
  <si>
    <t>Payslip - Deductions Section</t>
  </si>
  <si>
    <t>Start Row / Col</t>
  </si>
  <si>
    <t>Summary - Earnings Section</t>
  </si>
  <si>
    <t>Summary - Deduct Section</t>
  </si>
  <si>
    <t>Summary - Co-Contrib Section</t>
  </si>
  <si>
    <t>MonthEmp - Employees</t>
  </si>
  <si>
    <t>MonthDept - Departments</t>
  </si>
  <si>
    <t>Pay Period Override</t>
  </si>
  <si>
    <t>MedTaxCredit Monthly</t>
  </si>
  <si>
    <t>MedTaxCredit Annual</t>
  </si>
  <si>
    <t>Medical Tax Credit</t>
  </si>
  <si>
    <t>Override End Date</t>
  </si>
  <si>
    <t>End Date</t>
  </si>
  <si>
    <t>Rate</t>
  </si>
  <si>
    <t>Income Tax Rates - Table A</t>
  </si>
  <si>
    <t>Income Tax Rates - Table B</t>
  </si>
  <si>
    <t>PENS</t>
  </si>
  <si>
    <t>Pension Fund</t>
  </si>
  <si>
    <t>IS-340</t>
  </si>
  <si>
    <t>IS-350</t>
  </si>
  <si>
    <t>Taylor AE</t>
  </si>
  <si>
    <t>Smith F</t>
  </si>
  <si>
    <t>Wilson PG</t>
  </si>
  <si>
    <t>Osborne S</t>
  </si>
  <si>
    <t>Miller R</t>
  </si>
  <si>
    <t>CEO</t>
  </si>
  <si>
    <t>CFO</t>
  </si>
  <si>
    <t>Sales Representative</t>
  </si>
  <si>
    <t>111111 1111 001</t>
  </si>
  <si>
    <t>111111 1111 002</t>
  </si>
  <si>
    <t>111111 1111 003</t>
  </si>
  <si>
    <t>111111 1111 004</t>
  </si>
  <si>
    <t>111111 1111 005</t>
  </si>
  <si>
    <t>111111 1111 006</t>
  </si>
  <si>
    <t>111111 1111 007</t>
  </si>
  <si>
    <t>111111 1111 008</t>
  </si>
  <si>
    <t>111111 1111 009</t>
  </si>
  <si>
    <t>111111 1111 010</t>
  </si>
  <si>
    <t>111111 1111 011</t>
  </si>
  <si>
    <t>111111 1111 012</t>
  </si>
  <si>
    <t>111111 1111 013</t>
  </si>
  <si>
    <t>111111 1111 014</t>
  </si>
  <si>
    <t>111111 1111 015</t>
  </si>
  <si>
    <t>000 000 001</t>
  </si>
  <si>
    <t>000 000 002</t>
  </si>
  <si>
    <t>000 000 003</t>
  </si>
  <si>
    <t>000 000 004</t>
  </si>
  <si>
    <t>000 000 005</t>
  </si>
  <si>
    <t>000 000 006</t>
  </si>
  <si>
    <t>000 000 007</t>
  </si>
  <si>
    <t>000 000 008</t>
  </si>
  <si>
    <t>000 000 009</t>
  </si>
  <si>
    <t>000 000 010</t>
  </si>
  <si>
    <t>000 000 011</t>
  </si>
  <si>
    <t>000 000 012</t>
  </si>
  <si>
    <t>000 000 013</t>
  </si>
  <si>
    <t>000 000 014</t>
  </si>
  <si>
    <t>000 000 015</t>
  </si>
  <si>
    <t>Ross Q</t>
  </si>
  <si>
    <t>Admin Assistant</t>
  </si>
  <si>
    <t>Andrews MS</t>
  </si>
  <si>
    <t>Phillips KE</t>
  </si>
  <si>
    <t>Matthews B</t>
  </si>
  <si>
    <t>Graham L</t>
  </si>
  <si>
    <t>East WD</t>
  </si>
  <si>
    <t>Williams VS</t>
  </si>
  <si>
    <t>Newport GD</t>
  </si>
  <si>
    <t>Brown JT</t>
  </si>
  <si>
    <t>Lewis I</t>
  </si>
  <si>
    <t>MED</t>
  </si>
  <si>
    <t>Monthly EQV Deduct1</t>
  </si>
  <si>
    <t>Monthly EQV Deduct2</t>
  </si>
  <si>
    <t>Monthly EQV Deduct3</t>
  </si>
  <si>
    <t>Monthly EQV Deduct4</t>
  </si>
  <si>
    <t>Taxable Income Monthly EQV</t>
  </si>
  <si>
    <t>Payroll Sheet - Monthly EQV Deduct Section</t>
  </si>
  <si>
    <t>EXS001</t>
  </si>
  <si>
    <t>EXS002</t>
  </si>
  <si>
    <t>EXS003</t>
  </si>
  <si>
    <t>EXS004</t>
  </si>
  <si>
    <t>EXS005</t>
  </si>
  <si>
    <t>EXS006</t>
  </si>
  <si>
    <t>EXS007</t>
  </si>
  <si>
    <t>EXS008</t>
  </si>
  <si>
    <t>EXS009</t>
  </si>
  <si>
    <t>EXS010</t>
  </si>
  <si>
    <t>EXS011</t>
  </si>
  <si>
    <t>EXS012</t>
  </si>
  <si>
    <t>EXS013</t>
  </si>
  <si>
    <t>EXS014</t>
  </si>
  <si>
    <t>EXS015</t>
  </si>
  <si>
    <t>Instructions</t>
  </si>
  <si>
    <t>www.excel-skills.com</t>
  </si>
  <si>
    <t>Salary Deductions List</t>
  </si>
  <si>
    <t>Before we get into the guidance on the template functionality, please note the following important points regarding the suitability of the template to user requirements:</t>
  </si>
  <si>
    <t>■ The purchase price of the template is once-off and does not include any annual updates. Our aim with the design of the template is to include sufficient flexibility so that customers are able to use the template for multiple years without having to purchase a new version annually. If regulations change in a way that the template design cannot accommodate, you would need to purchase a new version of the template if one has been released which can accommodate the regulatory changes. We will not provide a free update under these circumstances.</t>
  </si>
  <si>
    <t>■ The flexible design of the template ensures that you should be able to use the template for multiple tax years. If the taxation or other regulatory requirements in your country changes in a way which is not provided for in the template design, you may need to purchase a new version of the template once the template design has been adapted &amp; the new version released.</t>
  </si>
  <si>
    <t>The template consists of the following sheets:</t>
  </si>
  <si>
    <t>Payment Run Date</t>
  </si>
  <si>
    <t>The input section at the top of the Setup sheet contains input cells for some general business information like the business name, address, registration number, contact telephone number and contact e-mail. Most of this information is only included on the PaySlip sheet but the business name is also used as a heading on all the other sheets.</t>
  </si>
  <si>
    <t>The Setup sheet contains all the information &amp; values which need to be set up on a business or company level. All input cells contain yellow cell backgrounds while the cells with light blue cell background contain formulas which should not be changed.</t>
  </si>
  <si>
    <t>The template uses sliding scale tax tables for income tax calculation purposes and there are two separate income tax tables (A &amp; B) which can be used if necessary. Each tax table contains 7 income tax brackets. At the beginning of each tax year, the user needs to update the bracket values in column C and the income tax rates in column D for both income tax tables.</t>
  </si>
  <si>
    <t>Note: If all your income tax calculations need to be based on a single income tax scale, you do not need to delete table B. Simply ensure that the income tax rates in column D are all set to nil values. You can also use any tax bracket value structure because no employees will be linked to table B and no income tax will be calculated if the income tax rates are set to nil.</t>
  </si>
  <si>
    <t>The template also makes provision for the inclusion of a list of income tax rebates. The default rebates list contains 4 entries but you can add additional entries by selecting the "End of list" cell and inserting a new row. You then need to enter a new code in column A, a description in column B and a rebate value in column C.</t>
  </si>
  <si>
    <t>Income Tax Rates &amp; Rebates</t>
  </si>
  <si>
    <t>The appropriate tax credit value per member needs to be entered in column B of the table and the cumulative monthly tax credit value is automatically calculated in column C. In the unlikely event that you need to include more than 10 medical aid members, you can insert the appropriate number of required rows above the "End of list" row, copy the formulas from the last row and enter the appropriate tax credit values in column B.</t>
  </si>
  <si>
    <t>Per Member</t>
  </si>
  <si>
    <t>Salary Deductions</t>
  </si>
  <si>
    <t>Company Contributions</t>
  </si>
  <si>
    <t>Note: A summary of payroll costs by department is included on the MonthDept sheet. All the calculations that are included on this sheet are automated and the only user input which is required on this sheet is selecting the appropriate payroll cost measurement at the top of the sheet.</t>
  </si>
  <si>
    <t>Taxable</t>
  </si>
  <si>
    <t>Full Value</t>
  </si>
  <si>
    <t>Earn Inclusion</t>
  </si>
  <si>
    <t>The tax period end and the tax year needs to be selected from cells C10 and C12 respectively. The data in these two cells are combined in order to determine the current &amp; prior tax year end dates and the current template start date.</t>
  </si>
  <si>
    <t>The template makes provision for the deduction of medical tax credits in the calculation of monthly income tax. The calculated amounts are not deducted from taxable income as a salary deduction but from the income tax that is calculated and is based on a rate which is determined based on the number of medical aid members and a variable medical tax credit amount per member.</t>
  </si>
  <si>
    <t>Note: If medical tax credits are not applicable in your country, we suggest entering zero values for all the medical tax credit values in column B. This will effectively result in no medical tax credits being taken into account in the income tax calculations. Do not delete the table - if you do so, some of the formulas on the other sheets in this template could result in errors!</t>
  </si>
  <si>
    <t>Adding or removing list items</t>
  </si>
  <si>
    <t>Note: If you add more entries to the list than the default number of entries, you also need to manually insert additional columns or rows on some of the other sheets in this template. Refer to the Column / Row Matrix section of these instructions for guidance on the steps that need to be completed - this is very important because if you add more than the default number of entries to the list and you do not complete these steps, the template calculations will not be accurate!</t>
  </si>
  <si>
    <t>If an earnings code has been entered as the basis for a salary deduction, the rate that needs to be specified is usually a percentage of the appropriate earning.</t>
  </si>
  <si>
    <t>The template has been designed with such flexibility that it is even possible to base a salary deduction on only say two or three earnings codes - simply select the "Gross" basis in order to base the salary deduction calculation on gross income (total of all earnings codes) and then exclude all but the required earnings codes in the Earn Exclusion input field (column I).</t>
  </si>
  <si>
    <t>Salary Deduction Rate, Basis &amp; Earning Exclusions</t>
  </si>
  <si>
    <t>Taxable Values</t>
  </si>
  <si>
    <t>Some salary deductions may not require the full values of earnings to be included in the calculation of the appropriate salary deduction. We have therefore added functionality to the template in order to include the taxable values of earnings instead of the full values for tax calculation purposes.</t>
  </si>
  <si>
    <t>Even though the taxable value setting is applied to all earnings, it may not affect all earning codes. Where no taxable % or a taxable % of 100% has been specified for a particular earning, the full value and taxable value for the earning will be the same. Setting the Earn Inclusion field to "Taxable" therefore only affects earnings which are not fully taxable. If an earning is not taxable (taxable % of 0%), setting the Earn Inclusion to "Taxable" effectively excludes the particular earning for the salary deduction calculation.</t>
  </si>
  <si>
    <t>Company Contribution Rate, Basis &amp; Earning Exclusions</t>
  </si>
  <si>
    <t>Some company contributions may not require the full values of earnings to be included in the calculation of the appropriate company contribution. We have therefore added functionality to the template in order to include the taxable values of earnings instead of the full values for tax calculation purposes.</t>
  </si>
  <si>
    <t>The company contribution rates that are specified on the Setup sheet relate to the business as a whole and are not employee specific. Where the contribution rates only need to be applied to specific employees, you will need to link the company contribution basis to the appropriate salary deduction code in order to use the salary deduction rates which have been specified on an employee level on the Emp sheet. The company contribution rate which is entered for the particular contribution can be used to adjust the salary deduction rates on the Emp sheet.</t>
  </si>
  <si>
    <t>If the contribution rates and salary deduction rates are not a consistent percentage, the Override feature needs to be used in order to apply the correct company contribution values for the affected employees. Refer to the Override section of the instructions for more guidance on this feature.</t>
  </si>
  <si>
    <t>If a salary deduction code has been entered as the basis for a company contribution, the rate that needs to be specified is usually a percentage of the appropriate salary deduction.</t>
  </si>
  <si>
    <t>Example: If a company contribution is related to a salary deduction and the contribution and deduction values are based on the same percentage of gross income with the same calculation parameters (which means that the salary deduction and company contribution will always be equal), the company contribution can be set up by entering a rate of 1 (or 100%) and then entering the salary deduction code of the salary deduction in the Basis user input field. The company contribution calculation will then be based on 100% of only the linked salary deduction.</t>
  </si>
  <si>
    <t>Example: If the unemployment insurance fund (UIF) company contribution calculation only needs to include a taxable % of 20% of the Travel Allowance earning type, you will need to set the UIF company contribution to the taxable earnings setting (Earn Inclusion set to "Taxable"). Only 20% of travel allowances will then be included in the UIF calculation but the activation of the setting will also result in all earning types that are 0% taxable being excluded. This means that reimbursive travel allowances and loans / advances which are not taxable (taxable % of 0%) will also not be included in the UIF calculation.</t>
  </si>
  <si>
    <t>Employees can be linked to departments in order to calculate departmental payroll costs which can be used to allocate payroll entries for accounting purposes. The department code is linked to individual employees in column C on the Emp sheet and only the department codes which have been included in the Departments list on the Setup sheet will be available for selection. The following information is required in the department list:</t>
  </si>
  <si>
    <t>Note: If you do not add additional items to the lists on the Setup sheet, all the cells in the Status column will automatically contain green highlighting and you do not need to pay any further attention to the matrix. The matrix therefore only needs to be used if you add additional list items.</t>
  </si>
  <si>
    <t>Adding list items</t>
  </si>
  <si>
    <t>None of the lists on the Setup sheet are limited to the default number of entries which means that you can add as many additional items as required. When you add items to a list, you need to insert the required number of rows (one per additional list item) above the "End of list" entry and complete the user input in all the columns that form part of the list for all the new items.</t>
  </si>
  <si>
    <t>The Column &amp; Row Matrix at the bottom of the Setup sheet indicates whether the rows or columns on the other sheets in this template are consistent with the number of items which have been added to the lists on the Setup sheet. If rows or columns need to be added on any of the other sheets, the Status column in the matrix will be highlighted in red. If all the cells in the Status column are highlighted in green, it means that there are no inconsistencies and no additional rows or columns need to be added to the other sheets in the template.</t>
  </si>
  <si>
    <t>If the total number of list items are more than the number of default items that are provided for, the matrix at the bottom of the Setup sheet will indicate where on the other sheets in this template new rows or columns need to be inserted. The inconsistency between list items and columns is indicated by red highlighting in the Status column of the Column &amp; Row Matrix.</t>
  </si>
  <si>
    <t>The Sheet &amp; Section text in column A of the matrix indicates which sheet and which section of the sheet requires additional rows or columns to be inserted. The starting row or column indicates in which row or column the section starts and the difference between the sheet count and the list count indicates how many new rows or columns need to be inserted.</t>
  </si>
  <si>
    <t>Inserting new rows or columns</t>
  </si>
  <si>
    <t>If any of the status cells in the matrix is highlighted in red, the start row or column text will indicate whether rows or columns need to be inserted in order to resolve the error. If the text contains letters, columns need to be inserted and if the text contains numbers, rows need to be inserted. The column or row number also indicates where on the appropriate sheet the section starts.</t>
  </si>
  <si>
    <t>If you need to insert columns, you need to go to the starting column of the appropriate section and select the first dark blue cell in the column heading at the end of the section. The section starts at the indicated column which will have a dark blue cell as the column heading followed by a number of light blue column headings which are then followed by a dark blue column heading. You therefore need to select the first column heading cell with a dark blue column heading at the end of the appropriate section and then insert the required number of columns.</t>
  </si>
  <si>
    <t>After you have inserted the required number of columns, you may need to change the column heading numbering so that the column heading names are consistent with the other columns in the section. This is not critical but may make it easier to determine which columns are part of the same section.</t>
  </si>
  <si>
    <t>You then need to copy &amp; paste all the cells above the column headings of the new columns from one of the existing columns. Always copy from the left - the section ends where you inserted the new columns and you therefore need to copy the formulas from the left in order to ensure that the same formulas are applied to the new columns that you just inserted.</t>
  </si>
  <si>
    <t>Once you have done so, the last step is to copy the formulas from the section below the column headings in order to add calculations to the new columns. You should again copy from the left and you only need to copy &amp; paste the formulas into the first cell below the column headings. The formulas will automatically be extended for all the other rows that form part of the new columns.</t>
  </si>
  <si>
    <t>If you need to insert rows instead of columns, you only need to insert the new rows at the end of the appropriate section and copy the formulas from the last row that forms part of that section (which will be above the new rows). You may then also need to change some of the border formatting but there are no dark blue row headings that need to be taken into account.</t>
  </si>
  <si>
    <t>After making your row or column adjustments, you need to check whether the red highlighting in the Status column of the matrix on the Setup sheet has been replaced by green highlighting. If so, you have applied the changes correctly. If the Status cell is still highlighted in red, the error has not been resolved and you need to revisit the steps that you needed to take. If you fail to resolve the error, contact us for assistance.</t>
  </si>
  <si>
    <t>Deleting rows or columns</t>
  </si>
  <si>
    <t>The number of columns which have been included on the Emp, Payroll and Summary sheets have been determined based on the default number of list items that we have included on the Setup sheet. If you therefore remove some of the list items, some of these columns can also be deleted.</t>
  </si>
  <si>
    <t>Employees</t>
  </si>
  <si>
    <t>All employees need to be added to the Emp sheet by adding a unique employee number in column A and entering employee data into all the user input columns on this sheet. The following columns require user input data:</t>
  </si>
  <si>
    <t>Note: All the columns on the Emp sheet have been included in an Excel table. This feature is extremely useful when entering data in a table format because the table extends automatically when you enter data in the first blank row below the table. New employees should therefore be added to the sheet by entering an employee code in the first blank cell in column A.</t>
  </si>
  <si>
    <t>Pay Periods</t>
  </si>
  <si>
    <t>When an employee joins the company during the tax year and is therefore only employed for part of the year, the employee's pay periods are determined based on the date that the employee joined in order for the income tax calculations to be accurate based on the assumption that the employee had been employed elsewhere before joining the company.</t>
  </si>
  <si>
    <t>You can override this default calculation by selecting the "Yes" option in the Pay Period Override column on this sheet. The company pay periods are then used instead of the employee pay periods. This setting has no effect on employees who are employed for the full tax year.</t>
  </si>
  <si>
    <t>Example: If an employee joins the company in month 7 of the tax year, the employee pay period in month 7 will be 1 because it is the employee's first month of employment. This means that if the employee has a gross pay of 10,000 per month, the salary deductions (including income tax) will be calculated based on an annual gross remuneration of 120,000 (10,000 / 1 x 12).</t>
  </si>
  <si>
    <t>The effect of this default calculation is that for example income tax will be calculated &amp; deducted from the employee's salary based on annual earnings of 120,000 therefore assuming that the employee was employed elsewhere at a similar remuneration level for the part of the tax year before joining the company. If this was indeed the case, the employee's annual income tax deductions should be similar to what will be included on the employee's tax return at the end of the tax year.</t>
  </si>
  <si>
    <t>Note: The area above the column headings also contain formulas which should not be edited, replaced or deleted otherwise the template calculations will not be accurate.</t>
  </si>
  <si>
    <t>Note: If have added earnings items to the Earnings List on the Setup sheet, you also need to insert new columns for these new earnings list items on the Payroll sheet. Select the column heading of the Gross Pay column and insert the required number of columns. You may also need to edit the column heading text so that it is consistent with the other column headings. You also need to copy the formulas above the column headings from one of the existing earnings columns.</t>
  </si>
  <si>
    <t>Note: All of the columns with dark blue column headings on the Payroll sheet are essential for the template calculations and should therefore not be deleted. If you do delete any of these columns, some of the template calculations may result in errors and you would need to revert back to the downloaded version of the template.</t>
  </si>
  <si>
    <t>Adding or deleting columns</t>
  </si>
  <si>
    <t>Note: We strongly suggest that you use the Column &amp; Row Matrix which has been included at the bottom of the Setup sheet when you have added more than the default list items to any of the lists on the Setup sheet. The matrix will indicate into which sections of the Payroll sheet additional columns need to be inserted by highlighting the appropriate Status cells in red and also contains the starting column or row numbers of each section.</t>
  </si>
  <si>
    <t>When you add new columns to the Payroll sheet, it is imperative that you also copy the formulas above &amp; below the column headings from one of the existing columns in the appropriate section otherwise the template calculations may not be accurate.</t>
  </si>
  <si>
    <t>Override</t>
  </si>
  <si>
    <t xml:space="preserve">Note: If you override only one monthly value, most of the formulas which are used in this template (on the Payroll sheet) will automatically correct the override value in the subsequent month thereby reversing the effect of the override value. This is because most calculations on the Payroll sheet are based on annual equivalents. </t>
  </si>
  <si>
    <t>Note: All the data on the Override sheet have been included in an Excel table. This feature is extremely useful when entering data in a table format because the table extends automatically when you enter data in the first blank row below the table. Override entries can therefore be added to the sheet by simply entering or copying data into the first blank row below the table. The formulas in the calculated columns are then also extended automatically.</t>
  </si>
  <si>
    <t>The following columns on the Override sheet require user input:</t>
  </si>
  <si>
    <t>If you enter multiple override values which affect the same monthly period, the entries will be added together. You can extend the override entry for multiple periods by simply specifying an override end date. If the override value should be applied to the remaining periods in the tax year, use an override end date of the last day of the tax year.</t>
  </si>
  <si>
    <t>Pay Slips</t>
  </si>
  <si>
    <t>The business details at the top of the sheet are populated based on the user input on the Setup sheet and the information in the Employee Details section is populated based on the user input on the Emp sheet. The earnings &amp; salary deductions values are populated based on the calculations on the Payroll sheet and displayed on a monthly and year-to-date basis.</t>
  </si>
  <si>
    <t>Note: Only earnings &amp; deductions codes which have year-to-date totals for the selected employee will be included on the pay slip. If an earning or deduction is therefore not applicable to the particular employee, such an earning or deduction will not be included on the pay slip.</t>
  </si>
  <si>
    <t>If medical tax credits are applicable to the particular employee, the total medical tax credits which have been included in the income tax deduction calculations will be displayed. If no medical tax credits have been applied, the item will not be included on the pay slip.</t>
  </si>
  <si>
    <t>A monthly summary of payroll calculation totals is included on the Summary sheet. All the calculations on this sheet are automated and based on the detailed calculations on the Payroll sheet. No user input is therefore required on the Summary sheet.</t>
  </si>
  <si>
    <t>Note: If you therefore add more list items to the appropriate list than what has been provided for in the default template design, you need to manually insert the required number of additional columns after the end of the appropriate section, copy the formulas above the column headings from one of the existing columns in the section and copy the formulas in the first row below the column heading from one of the existing columns in the section.</t>
  </si>
  <si>
    <t>Monthly Payroll Summary</t>
  </si>
  <si>
    <t>Monthly Employee Data</t>
  </si>
  <si>
    <t>A monthly analysis of payroll data per employee has been included on the MonthEmp sheet. Aside from selecting the appropriate measurement on which the calculations on this sheet need to be based, the sheet requires no user input. The sheet provides for 50 employees but can be extended to an unlimited number of employees by simply copying the formulas from the last row into the required number of additional rows.</t>
  </si>
  <si>
    <t>Note: The sequence of the employee codes on the MonthEmp sheet is based on the sequence of the employee codes that have been added to the Emp sheet and the monthly periods that are included on the sheet are determined based on the tax period and tax year settings on the Setup sheet.</t>
  </si>
  <si>
    <t>Note: The reporting periods on the Summary sheet are based on the tax period and tax year settings which are specified on the Setup sheet. When you roll the template forward for a new tax year, you therefore need to change the tax year setting on the Setup sheet in order to view the calculations for the new tax year.</t>
  </si>
  <si>
    <t>The following measurements are available for selection:</t>
  </si>
  <si>
    <t>Monthly Payroll Data By Department</t>
  </si>
  <si>
    <t>Note: The sequence of the department codes on the MonthDept sheet is based on the sequence of the department codes that have been added to the Setup sheet in the Departments section and the monthly periods that are included on the sheet are determined based on the tax period and tax year settings on the Setup sheet.</t>
  </si>
  <si>
    <t>Note: If no measurement is selected, the "Cost to Company" measurement is used.</t>
  </si>
  <si>
    <t>Note: If no measurement is selected, the "Net Pay" measurement is used.</t>
  </si>
  <si>
    <t>Help &amp; Customization</t>
  </si>
  <si>
    <t>If you experience any difficulty while using this template and you are not able to find the appropriate guidance in these instructions, please e-mail us at support@excel-skills.com for assistance. This template has been designed with flexibility in mind to ensure that it can be used in most business environments. If however you need an Excel based template that is customized specifically for your business requirements, please e-mail our Support function and provide a brief explanation of your requirements.</t>
  </si>
  <si>
    <t>© Copyright</t>
  </si>
  <si>
    <t>This template remains the intellectual property of www.excel-skills.com and is protected by international copyright laws. Any publication or distribution of this template outside the scope of the permitted use of the template is expressly prohibited. In terms of the permitted use of this template, only the distribution of the template to persons within the same organisation as the registered user or persons outside the organisation who can reasonably be expected to require access to the template as a direct result of the use of the template by the registered user is allowed. Subsequent distribution of the template by parties outside of the organisation is however expressly prohibited and represents an infringement of international copyright laws.</t>
  </si>
  <si>
    <t>Roll Forward for Subsequent Tax Periods</t>
  </si>
  <si>
    <t>■ Please review these instructions carefully and only change or customize the template in accordance with the guidance provided in this document. Do not change any of the formulas, delete rows or columns in a way which is not provided for in the template design and only enter values in the yellow input cells or columns with yellow column headings otherwise the template calculations may become inaccurate. If you make changes outside of the scope of what is provided for in the template design, you will need to revert back to the downloaded version of the template!</t>
  </si>
  <si>
    <t>Each employee who is added to the Emp sheet needs to be linked to either income tax table A or B and it is this link which determines which income tax rates (which table) will be applied to the particular employee. You can also enter a percentage on the Emp sheet if you want the income tax for a specific employee to be calculated based on a fixed income tax percentage.</t>
  </si>
  <si>
    <t>Company Contributions List</t>
  </si>
  <si>
    <t>Example: If your business has 20 employees and only 2 of them contribute 10% of their salaries to a pension fund, you should enter a rate of 0% in the Rate input field of the pension fund deduction in the Salary Deductions List (on the Setup sheet) and then add the 10% value only for the 2 employees in the appropriate pension fund salary deduction column on the Emp sheet.</t>
  </si>
  <si>
    <t>Example: If the unemployment insurance fund (UIF) salary deduction calculation only needs to include a taxable % of 20% of the Travel Allowance earning type, you will need to set the UIF salary deduction to the taxable earnings setting (Earn Inclusion set to "Taxable"). Only 20% of travel allowances will then be included in the UIF calculation but the activation of the setting will also result in all earning types that are 0% taxable being excluded. This means that reimbursive travel allowances and loans / advances which are not taxable (taxable % of 0%) will also not be included in the UIF calculation.</t>
  </si>
  <si>
    <t>The type of rate that you specify on the Setup sheet is largely dependent on the basis that you specify in the next user input field. If the basis is "Gross", the rate would typically be a percentage which needs to be entered as a decimal value in the Rate user input field (for example 0.02 for 2%). If the basis is "Fixed", the rate would typically be an amount - for example a rate of 50.00 would result in an amount of 50.00 being contributed in the appropriate company contribution calculation.</t>
  </si>
  <si>
    <t>The type of rate that you specify on either the Setup or Emp sheet is also largely dependent on the basis that you specify in the next user input field. If the basis is "Gross", the rate would typically be a percentage which needs to be entered as a decimal value in the Rate user input field (for example 0.02 for 2%). If the basis is "Fixed", the rate would typically be an amount - for example a rate of 50.00 would result in an amount of 50.00 being deducted in the appropriate salary deduction calculation.</t>
  </si>
  <si>
    <t>Note: We recommend rather retaining unused columns instead of deleting them. If you delete the wrong columns it could result in errors. Only therefore delete columns if you are absolutely sure that the columns are not being used in any calculations.</t>
  </si>
  <si>
    <t>The income tax calculation will then be based on the company pay periods which in the above example will result in the deductions being based on an annual gross remuneration of 60,000 by the end of the tax year. Under the default rule, the employee would have had to pay a lot more income tax on a monthly basis and only have been able to claim the tax back at the end of the tax year. With the override activated, the income tax deduction would be a lot less and would be accurate by the end of the tax year with no need to claim any tax back.</t>
  </si>
  <si>
    <t>Note: If you select more than one code in columns C to G, the override value will be applied to all of the codes that you have selected in these columns.</t>
  </si>
  <si>
    <t>Note: The PaySlip sheet includes only one individual pay slip. You therefore need to select individual pay slip numbers at the top of the sheet in order to view or print a pay slip.</t>
  </si>
  <si>
    <t>The sheet can also be filtered based on an employee number in order to reflect totals for a specific employee or by department in order to reflect totals per department. These filters can be applied by selecting the appropriate employee code or department code from cells D2 or E2. The content of the filter selection cell can then simply be cleared (select and press the Delete key on the keyboard) in order to reflect the total for all employees.</t>
  </si>
  <si>
    <t>A monthly analysis of payroll data by department has been included on the MonthDept sheet. Aside from selecting the appropriate measurement on which the calculations on this sheet need to be based, the sheet requires no user input. The sheet provides for 15 departments but can be extended to an unlimited number of departments by simply copying the formulas from the last row into the required number of additional rows.</t>
  </si>
  <si>
    <t>Note: This template has been designed to incorporate a 12-month tax period. After the end of the period, you need to save a new version of the template, change the date settings on this sheet &amp; update the income tax and other rates that may have changed for the appropriate new tax year.</t>
  </si>
  <si>
    <t>Column D contains a formula which calculates the total rebate value for the appropriate rebate code. In our default template design, the first 3 rebate codes are cumulative in nature and we have therefore added them together in the total column. The 4th rebate code is however a zero-rebate code and we have therefore used a different formula for this rebate code.</t>
  </si>
  <si>
    <t>Note: If you make changes to the income tax rebate codes, it is important that you include the correct rebate formula in column D because this is the value which will be included in the income tax calculations. The appropriate income tax rebate value is deducted from the income tax which is calculated based on the appropriate income tax table above. The rebate therefore represents an after-tax adjustment to the income tax calculation.</t>
  </si>
  <si>
    <t>Example: If say 1% of only the basic salary earning needs to be deducted from all employees' salaries, the salary deduction can be set up by entering a rate of 0.01 and then entering the earnings code for basic salaries ("A" in our standard template) in the Basis user input field. The salary deduction calculation will then be based on 1% of only earnings code A.</t>
  </si>
  <si>
    <t>If the employee was not employed during the part of the tax year that elapsed before joining the company, the above calculation method would result in an over deduction of income tax because the calculation is based on a full 12-month employment period. If you want to override this default calculation in order to calculate salary deductions like income tax based on only the part of the tax year that the employee was employed by the company, you simply need to select the "Yes" option for the particular employee in the Pay Period Override column.</t>
  </si>
  <si>
    <t>The purpose of the last three columns on the Summary sheet is to sum salary deductions &amp; company contributions which need to be paid to the same supplier. In order to calculate these totals, the appropriate salary deduction and company contribution needs to be created with the same code which is then entered in the cell with the yellow cell background above the column heading. The formulas in these columns will then add the salary deduction and company contribution with the specified code together in order to calculate the consolidated monthly total.</t>
  </si>
  <si>
    <t>Excel Skills | Basic Monthly Salary Template</t>
  </si>
  <si>
    <t>Tax Monthly EQV</t>
  </si>
  <si>
    <t>Annual Bonus</t>
  </si>
  <si>
    <t>LOAN</t>
  </si>
  <si>
    <t>Bonus</t>
  </si>
  <si>
    <t>Salary Payment Day</t>
  </si>
  <si>
    <t>Pay Slip Reference No</t>
  </si>
  <si>
    <t>Sheet Status</t>
  </si>
  <si>
    <t>Salary Payments</t>
  </si>
  <si>
    <t>Basic Monthly Salary</t>
  </si>
  <si>
    <t>Annual Bonus Amount</t>
  </si>
  <si>
    <t>Annual Bonus Month</t>
  </si>
  <si>
    <t>Salary Increase Month</t>
  </si>
  <si>
    <t>One Increase Amount</t>
  </si>
  <si>
    <t>Earnings Code</t>
  </si>
  <si>
    <t>Annual Tax Deduct4</t>
  </si>
  <si>
    <t>Not Used</t>
  </si>
  <si>
    <t>DED4</t>
  </si>
  <si>
    <t>CO3</t>
  </si>
  <si>
    <t>CO4</t>
  </si>
  <si>
    <t>Deduction 4 Rate</t>
  </si>
  <si>
    <t>E</t>
  </si>
  <si>
    <t>Payroll Sheet - Rows</t>
  </si>
  <si>
    <t>Period Count</t>
  </si>
  <si>
    <t>This template is a simpler version of our very comprehensive monthly payroll template for customers who have less than 50 employees and only require basic earnings &amp; deductions. Where the monthly payroll template requires users to enter monthly earnings for all 12 months in the tax year, this template automates the inclusion of earnings based on fixed monthly basic salaries, one annual bonus and one annual salary increase. The template is therefore very easy to use while still providing sufficient flexibility to accommodate most international payroll systems.</t>
  </si>
  <si>
    <t>■ This template has been designed as a monthly payroll template and is only suitable if your employees are paid on a monthly basis. We can also not customize the template to incorporate employees paid based on any other payment interval (like weekly or bi-weekly).</t>
  </si>
  <si>
    <t>■ The template has been designed for a 12-month period from the beginning to the end of the appropriate tax year. After the completion of the first tax year, a new version of the template needs to be saved for the next tax year and all rates &amp; values which are subject to regulatory changes on an annual basis needs to be updated.</t>
  </si>
  <si>
    <t>■ We have designed the template with as much flexibility as practically possible in order to be suitable for most of our customers in more than 100 countries. We do not however provide tax consulting services and cannot provide support for enquiries relating to the appropriate rates that need to be used for specific tax deductions or company contributions. Please do not contact us to request such assistance.</t>
  </si>
  <si>
    <t>Which payroll template should I use?</t>
  </si>
  <si>
    <t>■ This template is a simpler version of our monthly payroll template but it is also easier to use if your payroll requirements are relatively basic. The main difference in functionality is that the monthly payroll template requires users to enter (or copy &amp; edit) earnings for all 12 months in the tax year while this template automates the inclusion of earnings for all 12 months.</t>
  </si>
  <si>
    <t>■ The automation of earnings is however only possible if employee earnings are constant throughout the tax year. If you have earnings types which vary every month (like commission or overtime), this template is not recommended and you should use the monthly payroll template instead. The only variances in pay which is accommodated in this template is an annual bonus where the amount can be set and a single bonus month selected as well as one annual salary increase where the new salary amount can be set and an increase month can be selected.</t>
  </si>
  <si>
    <t>■ If the salaries of all or some of your employees differ every month, you should use our more comprehensive monthly payroll template. If your employees' basic salaries are consistent throughout the tax year aside from an annual bonus and one annual salary increase, you can use this template.</t>
  </si>
  <si>
    <t>■ This template also does not accommodate fringe benefits and bonuses paid on any other basis than annual (for example if you need to accommodate quarterly or bi-annual bonuses). If any of these are required, you also need to use the monthly payroll template instead of this one.</t>
  </si>
  <si>
    <t>You also need to set the salary payment day, annual bonus month and salary increase month. The salary payment day is used as the payroll run date on the Payroll sheet and can be any day of the month. If pay runs are not always scheduled on the same day, you can set the day of the month which is used most frequently. If you select 31, the payment run date will be set to the last day of each calendar month.</t>
  </si>
  <si>
    <t>The annual bonus month setting determines in which month the annual bonus amounts (which are specified on the Emp sheet) are included on the Payroll sheet. You can select any month from 1 to 12. If no annual bonuses are paid, you can select any month in this input cell and just include no values in the bonus column on the Emp sheet.</t>
  </si>
  <si>
    <t>The salary increase month setting determines in which month the salary increase amounts which are specified on the Emp sheet are included on the Payroll sheet. If you clear the selection from this input cell and you do not select any month, no annual salary increases will be included in the template.</t>
  </si>
  <si>
    <t>Note: Salary increases are not just applied to the selected month but to all remaining months in the tax year. We only provide for one general salary increase month with this setting - if any employee has had other salary increases during the tax year, those would need to be accommodated by using the Override sheet.</t>
  </si>
  <si>
    <t>The rates per dependent for calculation purposes is determined by the medical tax credit values that are entered on the Setup sheet but the number of dependents that are linked to each employee needs to be entered in column N on the Emp sheet (referred to as the number of medical aid members).</t>
  </si>
  <si>
    <t>Note: The tables and lists on the Setup sheet need to be customized based on your requirements (if necessary) before you start using the data on the Payroll sheet. Once the first pay period has been paid, you can still add new items to the lists but you should not change any of the rates that are included on the Setup sheet. If you do change any of the rates, it will also affect past pay periods which would then create differences between the payroll calculations and the amounts that have been paid for the elapsed months. If any of the rates on the Setup sheet need to be amended during the tax year, you need to use the Override feature to affect the required changes.</t>
  </si>
  <si>
    <t>An earnings code needs to be created for each type of earning which is paid to employees. These earnings codes need to be maintained in the Earnings list on the Setup sheet. The earnings list includes 5 user input fields - the following information is required in each of these fields for each type of earning:</t>
  </si>
  <si>
    <t>Note: If none of your earnings are taxable, you can simply specify 0% as the taxable percentage. A 0% taxable percentage will also be applicable to earnings items such as loans or advances or reimbursements which are usually not taxable.</t>
  </si>
  <si>
    <t>The earnings list does not include any earnings values or calculation basis selections. This is because monthly basic salaries, annual bonuses and annual salary increases need to be entered on the Emp sheet for each employee. Monthly earnings values on the Payroll sheet are calculated automatically based on the earnings settings on the Setup sheet and the earnings values for each employee which are set on the Emp sheet.</t>
  </si>
  <si>
    <t>The default earnings list includes 5 earnings codes. You can customize this list by adding new earnings codes but you should not make any changes to the first 3 earnings codes because these contain unique formulas on the Payroll sheet. If you add additional earnings codes on the Setup sheet, you also need to insert new columns on the Payroll sheet by copying the formulas from the last default earnings code.</t>
  </si>
  <si>
    <t>A salary deduction code needs to be created for each type of salary deduction which will be deducted from employee salaries. These salary deduction codes need to be added to the Salary Deductions list on the Setup sheet. The salary deductions list includes 9 user input fields - the following information is required in each of these fields for each type of salary deduction:</t>
  </si>
  <si>
    <t>The default salary deductions list includes 4 codes. You can customize this list by replacing the default data with your own. The sequence in which salary deductions are included in the list is important because the same sequence is used on the other sheets in this template. If user input values are entered in the Salary Deduction columns on one of the other sheets (as required on the Emp sheet) and you change the sequence of salary deductions, the user input values will not align to the correct salary deduction and the salary deduction calculations will in all probability become inaccurate. We therefore do not recommend that you change the sequence of salary deductions after you have entered data on the Emp sheet. New salary deduction codes can however still be added to the end of the list.</t>
  </si>
  <si>
    <t>The salary deduction rates that are specified on the Setup sheet relate to the business as a whole and are not employee specific. These rates can however be overridden by the deduction rates that are specified on the Emp sheet (in the section from column R onwards). We therefore suggest that the rates that you include for each deduction in the Rate input field of the Salary Deductions List are rates that are applicable to most of your employees. Where some employees are subject to a different rate of deduction, these rates can then be added for the specific employees on the Emp sheet and will replace the business rates that are specified on the Setup sheet.</t>
  </si>
  <si>
    <t>Example: If we want to base a salary deduction calculation only on the basic salary (earnings code A) and leave pay (earnings code B) of employees, we can exclude all other earnings codes in column H. The entry in the Earn Exclusion input field would therefore be "CDE" and would result in the salary deduction only being calculated on earnings codes A and B.</t>
  </si>
  <si>
    <t>You can use taxable values of earnings instead of full values by selecting the "Taxable" option for the affected salary deductions in the Earn Inclusion input field (column G). Note that this setting will be applied to all earnings if the "Gross" basis is selected and to the individual earning if an earning code has been specified as the basis.</t>
  </si>
  <si>
    <t>The tax % and annual tax limit settings in column J and K does not affect the salary deduction calculations and only affect how the salary deductions are included in the calculation of the monthly income tax salary deduction. If a salary deduction should not be deducted in the income tax calculations, a tax % of 0% needs to be specified. The default tax percentage is also 0% which means that salary deductions are not deductible for income tax purposes if a tax % is not entered in column J. For salary deductions that are fully deductible for income tax purposes, a setting of 100% needs to be entered in column J.</t>
  </si>
  <si>
    <t>The default list includes 4 items which can be customized by replacing the default template data with your own. If you require less than 4 salary deduction codes, you can delete the rows that are not required. If you require more than 4 salary deduction codes, additional codes can be added to the list by inserting the required number of new rows above the "End of list" entry and entering the required information into each user input field.</t>
  </si>
  <si>
    <t>A company contribution code needs to be created for each type of company contribution which the employer contributes on behalf of employees. These company contribution codes need to be added to the Company Contributions List on the Setup sheet. The company contribution List includes 7 user input fields - the following information is required in each of these fields for each type of company contribution:</t>
  </si>
  <si>
    <t>The default company contribution list includes 4 company contribution codes. You can customize this list by replacing the default data in the template with your own data.</t>
  </si>
  <si>
    <t>The template has been designed with such flexibility that it is even possible to base a company contribution on only say one, two or three earnings codes - simply select the "Gross" basis in order to base the company contribution calculation on gross income (total of all earnings codes) and then exclude all but the required earnings codes in the Earn Exclusion input field (column H).</t>
  </si>
  <si>
    <t>Example: If we want to base a company contribution calculation only on the basic salary (earnings code A) of employees, we can exclude all other earnings codes in column H. The entry in the Earn Exclusion input field would therefore be "BCDE" and would result in the company contribution only being calculated on earnings code A which in our default template data is for basic salary only.</t>
  </si>
  <si>
    <t>Example: The unemployment insurance fund (UIF) company contribution calculation needs to exclude commissions. If the earnings code for commissions is say "F", this letter needs to be included as the Earn Exclusion and the basis set to "Gross". The commission amounts included in gross income are then deducted when calculating the value of the company contribution. Alternatively, you can link the UIF company contribution to the UIF salary deduction and enter a rate of 100% if the salary deduction and company contribution values need to be equal.</t>
  </si>
  <si>
    <t>You can use taxable values of earnings instead of full values by selecting the "Taxable" option for the affected company contributions in the Earn Inclusion input field (column G). Note that this setting will be applied to all earnings if the "Gross" basis is selected (excluded earnings will however be deducted).</t>
  </si>
  <si>
    <t>Example: If a company contribution has been linked to a salary deduction, it is not necessary to specify values for any of the other settings. If we link our company contribution for UIF to the salary deduction for UIF, we do not need to enter anything in the earn inclusion, earn exclusion and earnings max input fields.</t>
  </si>
  <si>
    <t>The default list includes 4 items which can be customized by replacing the default template data with your own. If you require less than 4 company contribution codes, you can delete the rows that are not required. If you require more than 4 company contribution codes, additional codes can be added to the list by inserting the required number of new rows above the "End of list" entry and entering the required information into each user input field.</t>
  </si>
  <si>
    <t>Note: If you need to add columns to a sheet and the column headings are yellow instead of light blue, you do not need to copy the formulas below the column headings because the section of the sheet requires user input and there are therefore no formulas in these columns. The Deduction section on the Emp sheet is the only user input column section which may be affected. All the other column sections contain formulas that need to be copied.</t>
  </si>
  <si>
    <t>If you do not use some of the list items that are included in each of the lists on the Setup sheet, you can delete the appropriate rows from the list in order to reduce the number of earnings, salary deductions or company contributions.</t>
  </si>
  <si>
    <t>Deductions Section</t>
  </si>
  <si>
    <t>The Deduction section includes 4 columns which is the default number of list items in the Salary Deductions List on the Setup sheet. If you add items to the list on the Setup sheet, you also need to add columns at the end of this section on the Emp sheet.</t>
  </si>
  <si>
    <t>The rates that are specified in the 4 columns which are included in the Deduction section effectively override the rates that are specified in the Salary Deductions List on the Setup sheet. The salary deduction rate which is used on the Payroll sheet for the specific employee is therefore included from the Emp sheet and if no rate has been included for the particular salary deduction for the particular employee, the rate on the Setup sheet will be included instead. You therefore only need to include a rate on the Emp sheet if you want to override the company rate on the Setup sheet for some of the employees.</t>
  </si>
  <si>
    <t>The columns should be added by selecting the dark blue column heading (after the end of the section) and inserting the required number of columns. You then also need to copy the formula above the column heading from one of the other cells in the section in order to display the deduction code above the column headings of the new columns. You may also need to rename the column headings if the default names in the new column headings are not consistent with the other column names in the section.</t>
  </si>
  <si>
    <t>Note: As we stated earlier on in these instructions, the sequence of the items in the lists on the Setup sheet should not be changed once you have added data to the Payroll sheet. If the sequence of the items in the Salary Deduction List is changed, the rates or values that have been added to the Emp sheet also needs to be changed to ensure that the correct rates or values are included in the correct columns.</t>
  </si>
  <si>
    <t>Monthly Salary Amounts</t>
  </si>
  <si>
    <t>The monthly salary amounts which are included on the Payroll sheet (and therefore also all other sheets in this template) are based on the monthly basic salary amounts which are specified on the Emp sheet. These monthly salary amounts are basically repeated for all 12 pay periods in the tax year and only adjusted based on the annual salary increase amounts that are also specified on the Emp sheet.</t>
  </si>
  <si>
    <t>While the annual bonus amounts on the Emp sheet are included in a separate earnings code (earnings code C) and therefore represent an additional salary payment, the basic monthly salary amounts and the annual salary increase amounts are both applied in earnings code A. The annual salary increase amounts therefore in fact replace the basic monthly salary amounts from the salary increase month (which is selected on the Setup sheet) until the end of the tax year. You can therefore select any month as a salary increase month for all employees and the increased salary amounts will be used from that point forward.</t>
  </si>
  <si>
    <t>The salary increase functionality has enabled us to provide for one company wide salary increase per year. But what if some employees receive more than one salary increase per year? Well, this is also accommodated for but you would need to record an override entry to be able to adjust the basic salary of the affected employee outside of the one annual salary increase for all employees. Refer to the Override section of the instructions for more info.</t>
  </si>
  <si>
    <t>All the monthly payroll calculations in this template are performed on the Payroll sheet and all of these calculations are automated. The only user intervention that may be required is to ensure that there are sufficient rows in the Excel table on this sheet. The template is designed for businesses with up to 50 employees and we have added sufficient rows for 12 months' calculations for 50 employees but if you add more than 50 employees, you will need to add more rows to the table.</t>
  </si>
  <si>
    <t>The Payroll sheet contains the following columns:</t>
  </si>
  <si>
    <t>When you add more than the default number of entries to the lists on the Setup sheet, it is essential that you also add the required number of columns to the other sheets in this template. The Payroll sheet contains multiple sections for earnings, salary deductions and company contributions.</t>
  </si>
  <si>
    <t>Note: You may also need to insert new columns into multiple sections on the Payroll sheet. There is only one section relating to Earnings and Company Contributions on the Payroll sheet but Salary Deductions relate to 3 sections (which means that new columns need to be inserted into 3 different column sections when adding more than the default number of list items to the Setup sheet).</t>
  </si>
  <si>
    <t>Note: Override values replace all other payroll calculations. If you therefore record a salary increase through an entry on the Override sheet and the annual salary increase happens after that, the override value will still override the annual salary increase entry. You would therefore need to end the first override entry before the month of the annual salary increase entry to prevent it from overriding the salary increase entry.</t>
  </si>
  <si>
    <t>The employee pay slip which is included on the PaySlip sheet is automatically populated based on the user input &amp; calculations on the Emp and Payroll sheets. The only user input which is required on the PaySlip sheet is to select the pay slip reference number in cell G3. The pay slip numbers are assigned in column A on the Payroll sheet and all pay slip numbers which are included on this sheet will be available for selection.</t>
  </si>
  <si>
    <t>The net pay is calculated as the difference between the total earnings and total salary deductions. The month-to-date (MTD) and year-to-date (YTD) company contribution totals are included based on the amounts calculated on the Payroll sheet.</t>
  </si>
  <si>
    <t>This template has been designed to incorporate a single tax year. Once you reach the end of the tax year, you can roll the template forward for the next tax year by saving a new copy of the template, changing the tax year entry on the Setup sheet and removing the user input data relating to the previous year which has been included on the Emp and Override sheets.</t>
  </si>
  <si>
    <t>Note: You also probably need to update some if not all of the tables &amp; lists on the Setup sheet and the salary deduction data on the Emp sheet. If any of these rates or values are not correctly updated, the template calculations may not be accurate!</t>
  </si>
  <si>
    <t>Quick Start Guide</t>
  </si>
  <si>
    <t>Even though it is imperative that you review all of these instructions before you use this template to pay any employees, we can summarize the steps that need to be completed as follows:</t>
  </si>
  <si>
    <t>■ Add your employees to the Emp sheet and enter all the required information. Monthly basic salary amounts should also be set on this sheet.</t>
  </si>
  <si>
    <t>■ Review all the calculations for the first payroll period on the Payroll sheet and make sure that the Sheet Status at the top of the sheet is green (you may need to add rows if the status is red).</t>
  </si>
  <si>
    <t>■ Pay slips can be viewed and printed individually by selecting the appropriate pay slip number from the list box in cell G3 on the PaySlip sheet.</t>
  </si>
  <si>
    <t>■ Review all of the settings, rates &amp; values on the Setup sheet.</t>
  </si>
  <si>
    <t>If you've added less than 50 employees to the Emp sheet and you do not need 50 employees to be included on the Payroll sheet, you can delete some of the additional rows. The rows that are currently not used will not contain an employee code and you can therefore delete all rows that do not contain an employee code. If you subsequently add more employees, there may not be sufficient rows in the Excel table for all payroll calculations but the Sheet Status at the top of the Payroll sheet will be highlighted in red and indicate the number of rows that need to be added.</t>
  </si>
  <si>
    <t>Equivalent 
Value</t>
  </si>
  <si>
    <t>Effective 
Rate</t>
  </si>
  <si>
    <r>
      <t>■</t>
    </r>
    <r>
      <rPr>
        <b/>
        <i/>
        <sz val="10"/>
        <rFont val="Arial"/>
        <family val="2"/>
      </rPr>
      <t xml:space="preserve"> Disclaimer:</t>
    </r>
    <r>
      <rPr>
        <i/>
        <sz val="10"/>
        <rFont val="Arial"/>
        <family val="2"/>
      </rPr>
      <t xml:space="preserve"> It is the responsibility of the user to check the accuracy of all monthly payroll calculations and to ensure that all payroll related payments are accurate. We recommend that all payroll payments are reviewed &amp; recalculated before payments are processed. This template has been designed in such a way that the rates &amp; values which are defined by the user has a significant influence on the accuracy of payments. We therefore do not accept any responsibility for payroll calculation errors. </t>
    </r>
  </si>
  <si>
    <r>
      <rPr>
        <b/>
        <sz val="10"/>
        <rFont val="Arial"/>
        <family val="2"/>
      </rPr>
      <t>Emp</t>
    </r>
    <r>
      <rPr>
        <sz val="10"/>
        <rFont val="Arial"/>
        <family val="2"/>
      </rPr>
      <t xml:space="preserve"> - add a unique employee code for each employee and enter data into all the employee information columns (columns B to K). Each employee needs to be linked to an income tax table and income tax rebate code which is used in the automated income tax calculations. The number of medical aid members is used in the automated medical tax credit calculations. The basic monthly salaries, annual bonus and salary increase amounts are used to automate the earnings calculations on the Payroll sheet. The deduction rate columns on this sheet can be used to override the rates on the Setup sheet for a particular employee. There is no limit on the number of employees that can be added to the template but the template has been designed for businesses with 50 or less monthly paid employees and due to the complexity of the calculations, the calculation speed of the template could slow down considerably if more than 50 employees are added.</t>
    </r>
  </si>
  <si>
    <r>
      <rPr>
        <b/>
        <sz val="10"/>
        <rFont val="Arial"/>
        <family val="2"/>
      </rPr>
      <t>Payroll</t>
    </r>
    <r>
      <rPr>
        <sz val="10"/>
        <rFont val="Arial"/>
        <family val="2"/>
      </rPr>
      <t xml:space="preserve"> - all the calculations on this sheet are automated based on the data which is entered on the Setup, Emp and Override sheets. All you need to do is to ensure that the Excel table on this sheet contains sufficient rows to accommodate all the employees that you have added to the Emp sheet. The Sheet Status at the top of the sheet will be highlighted in red if you need to add additional rows to the table.</t>
    </r>
  </si>
  <si>
    <r>
      <rPr>
        <b/>
        <sz val="10"/>
        <rFont val="Arial"/>
        <family val="2"/>
      </rPr>
      <t>Override</t>
    </r>
    <r>
      <rPr>
        <sz val="10"/>
        <rFont val="Arial"/>
        <family val="2"/>
      </rPr>
      <t xml:space="preserve"> - override any of the automatically calculated earnings, income tax, medical tax credits, salary deductions or company contributions values for any employee by adding the appropriate values to this sheet. You can override values for a single month or you can set the override end date in order to override values for multiple months or until the end of the tax year.</t>
    </r>
  </si>
  <si>
    <r>
      <rPr>
        <b/>
        <sz val="10"/>
        <rFont val="Arial"/>
        <family val="2"/>
      </rPr>
      <t>PaySlip</t>
    </r>
    <r>
      <rPr>
        <sz val="10"/>
        <rFont val="Arial"/>
        <family val="2"/>
      </rPr>
      <t xml:space="preserve"> - this sheet contains an automated monthly pay slip. All the calculations on this sheet are automated and you only need to select the appropriate pay slip number in cell G3 in order to view the appropriate pay slip.</t>
    </r>
  </si>
  <si>
    <r>
      <rPr>
        <b/>
        <sz val="10"/>
        <rFont val="Arial"/>
        <family val="2"/>
      </rPr>
      <t>Summary</t>
    </r>
    <r>
      <rPr>
        <sz val="10"/>
        <rFont val="Arial"/>
        <family val="2"/>
      </rPr>
      <t xml:space="preserve"> - this sheet contains a summary of all the monthly payroll data on the Payroll sheet. The sheet requires no user input and the data can even be filtered by department or individual employee by selecting the appropriate entries from the yellow cells at the top of the sheet.</t>
    </r>
  </si>
  <si>
    <r>
      <rPr>
        <b/>
        <sz val="10"/>
        <rFont val="Arial"/>
        <family val="2"/>
      </rPr>
      <t>MonthEmp</t>
    </r>
    <r>
      <rPr>
        <sz val="10"/>
        <rFont val="Arial"/>
        <family val="2"/>
      </rPr>
      <t xml:space="preserve"> - this sheet contains a monthly summary of payroll data by employee. All the calculations are based on the Payroll sheet and the sheet requires no user input. The appropriate measurement on which the calculations should be based can be selected from the yellow cell at the top of the sheet. Available measurements include gross pay, income tax, total deductions, net pay, total company contributions, total deductions &amp; company contributions and total cost to company.</t>
    </r>
  </si>
  <si>
    <r>
      <rPr>
        <b/>
        <sz val="10"/>
        <rFont val="Arial"/>
        <family val="2"/>
      </rPr>
      <t>MonthDept</t>
    </r>
    <r>
      <rPr>
        <sz val="10"/>
        <rFont val="Arial"/>
        <family val="2"/>
      </rPr>
      <t xml:space="preserve"> - this sheet contains a monthly summary of payroll data by department. All the calculations are based on the Payroll sheet and the sheet requires no user input. The appropriate measurement on which the calculations should be based can be selected from the yellow cell at the top of the sheet. Available measurements include gross pay, income tax, total deductions, net pay, total company contributions, total deductions &amp; company contributions and total cost to company.</t>
    </r>
  </si>
  <si>
    <r>
      <rPr>
        <b/>
        <sz val="10"/>
        <rFont val="Arial"/>
        <family val="2"/>
      </rPr>
      <t>Code</t>
    </r>
    <r>
      <rPr>
        <sz val="10"/>
        <rFont val="Arial"/>
        <family val="2"/>
      </rPr>
      <t xml:space="preserve"> - you need to enter a code for each type of earning. We highly recommend sticking to the default template convention of using a single letter to represent each type of earning. Once you have linked an earning to a specific letter and you have completed your first payroll period, you should not change the letter.</t>
    </r>
  </si>
  <si>
    <r>
      <rPr>
        <b/>
        <sz val="10"/>
        <rFont val="Arial"/>
        <family val="2"/>
      </rPr>
      <t>Description</t>
    </r>
    <r>
      <rPr>
        <sz val="10"/>
        <rFont val="Arial"/>
        <family val="2"/>
      </rPr>
      <t xml:space="preserve"> - enter a description for each earning. The earning description will be included on all employee pay slips.</t>
    </r>
  </si>
  <si>
    <r>
      <rPr>
        <b/>
        <sz val="10"/>
        <rFont val="Arial"/>
        <family val="2"/>
      </rPr>
      <t>Short Name</t>
    </r>
    <r>
      <rPr>
        <sz val="10"/>
        <rFont val="Arial"/>
        <family val="2"/>
      </rPr>
      <t xml:space="preserve"> - enter a short name for the earning. The short name should not be more than 15 characters in length and is used as a column heading above the earnings columns that are included on the other sheets in the template. Use a short name that will make it easy to identify the type of earning that it refers to.</t>
    </r>
  </si>
  <si>
    <r>
      <rPr>
        <b/>
        <sz val="10"/>
        <rFont val="Arial"/>
        <family val="2"/>
      </rPr>
      <t xml:space="preserve">Taxable % </t>
    </r>
    <r>
      <rPr>
        <sz val="10"/>
        <rFont val="Arial"/>
        <family val="2"/>
      </rPr>
      <t>- if the earning type is not fully taxable, enter the percentage of the earning which is taxable. The default taxable % is 100% - if the earning is fully taxable, you do not need to enter anything.</t>
    </r>
  </si>
  <si>
    <r>
      <rPr>
        <b/>
        <sz val="10"/>
        <rFont val="Arial"/>
        <family val="2"/>
      </rPr>
      <t>Basis</t>
    </r>
    <r>
      <rPr>
        <sz val="10"/>
        <rFont val="Arial"/>
        <family val="2"/>
      </rPr>
      <t xml:space="preserve"> - select whether the earning is payable on a monthly or annual basis. This selection is important especially for income tax calculation purposes. If no value is selected, the earning basis will be deemed to be monthly.</t>
    </r>
  </si>
  <si>
    <r>
      <rPr>
        <b/>
        <sz val="10"/>
        <rFont val="Arial"/>
        <family val="2"/>
      </rPr>
      <t>Code</t>
    </r>
    <r>
      <rPr>
        <sz val="10"/>
        <rFont val="Arial"/>
        <family val="2"/>
      </rPr>
      <t xml:space="preserve"> - enter a code for each salary deduction and use a unique code which will make it easy to identify the appropriate salary deduction and to distinguish between the different types of salary deductions. The salary deduction codes are included above the column headings of all the sections on other sheets in this template where salary deductions are included.</t>
    </r>
  </si>
  <si>
    <r>
      <rPr>
        <b/>
        <sz val="10"/>
        <rFont val="Arial"/>
        <family val="2"/>
      </rPr>
      <t>Description</t>
    </r>
    <r>
      <rPr>
        <sz val="10"/>
        <rFont val="Arial"/>
        <family val="2"/>
      </rPr>
      <t xml:space="preserve"> - enter a description for each salary deduction. The descriptions that are entered in this part of the salary deductions list are included on the monthly salary pay slips on the PaySlip sheet.</t>
    </r>
  </si>
  <si>
    <r>
      <rPr>
        <b/>
        <sz val="10"/>
        <rFont val="Arial"/>
        <family val="2"/>
      </rPr>
      <t>Rate</t>
    </r>
    <r>
      <rPr>
        <sz val="10"/>
        <rFont val="Arial"/>
        <family val="2"/>
      </rPr>
      <t xml:space="preserve"> - enter the rate that needs to be used in the salary deduction calculation. The rate can be a value or percentage depending on the basis on which the deduction is calculated.</t>
    </r>
  </si>
  <si>
    <r>
      <rPr>
        <b/>
        <sz val="10"/>
        <rFont val="Arial"/>
        <family val="2"/>
      </rPr>
      <t>Basis</t>
    </r>
    <r>
      <rPr>
        <sz val="10"/>
        <rFont val="Arial"/>
        <family val="2"/>
      </rPr>
      <t xml:space="preserve"> - enter the basis on which the salary deduction needs to be calculated. There are three options - gross, fixed or linking the salary deduction to the earnings code of the appropriate single earning type on which the deduction needs to be based. If nothing is entered in this field, the salary deduction will be calculated based on gross income.</t>
    </r>
  </si>
  <si>
    <r>
      <rPr>
        <b/>
        <sz val="10"/>
        <rFont val="Arial"/>
        <family val="2"/>
      </rPr>
      <t>Earnings Inclusion</t>
    </r>
    <r>
      <rPr>
        <sz val="10"/>
        <rFont val="Arial"/>
        <family val="2"/>
      </rPr>
      <t xml:space="preserve"> - select the basis for including earnings in the salary deduction calculation. There are 2 options - full value if the full value of all earnings needs to be included and taxable if only the taxable value of earnings need to be included in the salary deduction calculation. The default option is full value which results in the full value of all the appropriate earning types being included in the salary deduction calculations.</t>
    </r>
  </si>
  <si>
    <r>
      <rPr>
        <b/>
        <sz val="10"/>
        <rFont val="Arial"/>
        <family val="2"/>
      </rPr>
      <t>Earnings Max</t>
    </r>
    <r>
      <rPr>
        <sz val="10"/>
        <rFont val="Arial"/>
        <family val="2"/>
      </rPr>
      <t xml:space="preserve"> - if there is an annual ceiling (maximum) value which needs to be applied in the salary deduction calculation, this annual maximum earnings value needs to be entered in this field. All the values that are entered in this field therefore needs to be annual equivalents. The gross income which is used in the salary deduction calculation will then be limited to this amount.</t>
    </r>
  </si>
  <si>
    <r>
      <rPr>
        <b/>
        <sz val="10"/>
        <rFont val="Arial"/>
        <family val="2"/>
      </rPr>
      <t>Tax %</t>
    </r>
    <r>
      <rPr>
        <sz val="10"/>
        <rFont val="Arial"/>
        <family val="2"/>
      </rPr>
      <t xml:space="preserve"> - enter the % of the salary deduction amount which is deductible for income tax purposes. If no percentage is specified, the salary deduction is assumed not to be deductible for income tax purposes.</t>
    </r>
  </si>
  <si>
    <r>
      <rPr>
        <b/>
        <sz val="10"/>
        <rFont val="Arial"/>
        <family val="2"/>
      </rPr>
      <t>Annual Tax Limit</t>
    </r>
    <r>
      <rPr>
        <sz val="10"/>
        <rFont val="Arial"/>
        <family val="2"/>
      </rPr>
      <t xml:space="preserve"> - if the tax deductibility of the salary deduction is limited to a maximum annual limit (ceiling value), this maximum value needs to be entered in this field. If no value if entered, no limit is set for the tax deduction value. </t>
    </r>
    <r>
      <rPr>
        <i/>
        <sz val="10"/>
        <rFont val="Arial"/>
        <family val="2"/>
      </rPr>
      <t>For example, pension fund contributions may be limited to say 350,000 per annum and this value therefore needs to be included for the pension fund salary deduction.</t>
    </r>
  </si>
  <si>
    <r>
      <rPr>
        <b/>
        <sz val="10"/>
        <rFont val="Arial"/>
        <family val="2"/>
      </rPr>
      <t>Description</t>
    </r>
    <r>
      <rPr>
        <sz val="10"/>
        <rFont val="Arial"/>
        <family val="2"/>
      </rPr>
      <t xml:space="preserve"> - enter a description for each company contribution.</t>
    </r>
  </si>
  <si>
    <r>
      <rPr>
        <b/>
        <sz val="10"/>
        <rFont val="Arial"/>
        <family val="2"/>
      </rPr>
      <t>Rate</t>
    </r>
    <r>
      <rPr>
        <sz val="10"/>
        <rFont val="Arial"/>
        <family val="2"/>
      </rPr>
      <t xml:space="preserve"> - enter the rate that needs to be used in the company contribution calculation. The rate can be a value or percentage depending on the basis on which the contribution is calculated.</t>
    </r>
  </si>
  <si>
    <r>
      <rPr>
        <b/>
        <sz val="10"/>
        <rFont val="Arial"/>
        <family val="2"/>
      </rPr>
      <t>Earnings Inclusion</t>
    </r>
    <r>
      <rPr>
        <sz val="10"/>
        <rFont val="Arial"/>
        <family val="2"/>
      </rPr>
      <t xml:space="preserve"> - select the basis for including earnings in the company contribution calculation. There are 2 options - full value if the full value of all earnings needs to be included and taxable if only the taxable value of earnings need to be included in the company contribution calculation. The default option is full value which results in the full value of all the appropriate earning types being included in the company contribution calculations.</t>
    </r>
  </si>
  <si>
    <r>
      <rPr>
        <b/>
        <sz val="10"/>
        <rFont val="Arial"/>
        <family val="2"/>
      </rPr>
      <t>Earn Exclusion</t>
    </r>
    <r>
      <rPr>
        <sz val="10"/>
        <rFont val="Arial"/>
        <family val="2"/>
      </rPr>
      <t xml:space="preserve"> - enter the earnings codes of all earnings types which need to be excluded from the company contribution calculations. The appropriate letters of the earnings codes need to be included in this section without any spaces or special characters in between.</t>
    </r>
  </si>
  <si>
    <r>
      <rPr>
        <b/>
        <sz val="10"/>
        <rFont val="Arial"/>
        <family val="2"/>
      </rPr>
      <t>Earnings Max</t>
    </r>
    <r>
      <rPr>
        <sz val="10"/>
        <rFont val="Arial"/>
        <family val="2"/>
      </rPr>
      <t xml:space="preserve"> - if there is an annual ceiling (maximum) value which needs to be applied in the company contribution calculation, this annual maximum earnings value needs to be entered in this field. All the values that are entered in this field therefore needs to be annual equivalents. The gross income which is used in the company contribution calculation will then be limited to this amount.</t>
    </r>
  </si>
  <si>
    <r>
      <rPr>
        <b/>
        <sz val="10"/>
        <rFont val="Arial"/>
        <family val="2"/>
      </rPr>
      <t>Code</t>
    </r>
    <r>
      <rPr>
        <sz val="10"/>
        <rFont val="Arial"/>
        <family val="2"/>
      </rPr>
      <t xml:space="preserve"> - enter a unique code for each department which will make it easy to identify the appropriate department and to distinguish between different departments.</t>
    </r>
  </si>
  <si>
    <r>
      <rPr>
        <b/>
        <sz val="10"/>
        <rFont val="Arial"/>
        <family val="2"/>
      </rPr>
      <t>Description</t>
    </r>
    <r>
      <rPr>
        <sz val="10"/>
        <rFont val="Arial"/>
        <family val="2"/>
      </rPr>
      <t xml:space="preserve"> - enter a description for each department.</t>
    </r>
  </si>
  <si>
    <r>
      <rPr>
        <b/>
        <sz val="10"/>
        <rFont val="Arial"/>
        <family val="2"/>
      </rPr>
      <t>Cost Centre</t>
    </r>
    <r>
      <rPr>
        <sz val="10"/>
        <rFont val="Arial"/>
        <family val="2"/>
      </rPr>
      <t xml:space="preserve"> - enter the general ledger code which should be used for allocation of costs to departments.</t>
    </r>
  </si>
  <si>
    <r>
      <t xml:space="preserve">You then need to go to the appropriate sheet and section and insert the required number of rows or columns in order to resolve the inconsistency. </t>
    </r>
    <r>
      <rPr>
        <b/>
        <sz val="10"/>
        <rFont val="Arial"/>
        <family val="2"/>
      </rPr>
      <t>Note that if there are row or column inconsistencies, the template calculations may be inaccurate and it is therefore imperative that all of these errors are resolved!</t>
    </r>
  </si>
  <si>
    <r>
      <rPr>
        <b/>
        <sz val="10"/>
        <rFont val="Arial"/>
        <family val="2"/>
      </rPr>
      <t>Employee Number</t>
    </r>
    <r>
      <rPr>
        <sz val="10"/>
        <rFont val="Arial"/>
        <family val="2"/>
      </rPr>
      <t xml:space="preserve"> - enter a unique employee number for each individual employee. We recommend using employee numbers which consist of a combination of letters and numbers.</t>
    </r>
  </si>
  <si>
    <r>
      <rPr>
        <b/>
        <sz val="10"/>
        <rFont val="Arial"/>
        <family val="2"/>
      </rPr>
      <t>Employee Name</t>
    </r>
    <r>
      <rPr>
        <sz val="10"/>
        <rFont val="Arial"/>
        <family val="2"/>
      </rPr>
      <t xml:space="preserve"> - enter the name of the employee. You can use full names or surname &amp; initials. The name as entered in this field will be included on the other sheets in the template including on the pay slip.</t>
    </r>
  </si>
  <si>
    <r>
      <rPr>
        <b/>
        <sz val="10"/>
        <rFont val="Arial"/>
        <family val="2"/>
      </rPr>
      <t>Dept</t>
    </r>
    <r>
      <rPr>
        <sz val="10"/>
        <rFont val="Arial"/>
        <family val="2"/>
      </rPr>
      <t xml:space="preserve"> - select the appropriate department. Only departments which have been added to the department list on the Setup sheet will be available for selection.</t>
    </r>
  </si>
  <si>
    <r>
      <rPr>
        <b/>
        <sz val="10"/>
        <rFont val="Arial"/>
        <family val="2"/>
      </rPr>
      <t>Date Employed</t>
    </r>
    <r>
      <rPr>
        <sz val="10"/>
        <rFont val="Arial"/>
        <family val="2"/>
      </rPr>
      <t xml:space="preserve"> - enter the date on which the employee commenced employment.</t>
    </r>
  </si>
  <si>
    <r>
      <rPr>
        <b/>
        <sz val="10"/>
        <rFont val="Arial"/>
        <family val="2"/>
      </rPr>
      <t>1st Payment Date</t>
    </r>
    <r>
      <rPr>
        <sz val="10"/>
        <rFont val="Arial"/>
        <family val="2"/>
      </rPr>
      <t xml:space="preserve"> - enter the date of the first payroll run which the employee should be included in. If the employee is added to a payroll run in any month which falls before the first day of the month in which this date falls, all payroll amounts will be set to nil values. The number of pay periods is also determined based on this date and an incorrect date can therefore lead to calculation inaccuracies. It is therefore imperative that the first payment dates of all employees are recorded accurately.</t>
    </r>
  </si>
  <si>
    <r>
      <rPr>
        <b/>
        <sz val="10"/>
        <rFont val="Arial"/>
        <family val="2"/>
      </rPr>
      <t>Date Terminated</t>
    </r>
    <r>
      <rPr>
        <sz val="10"/>
        <rFont val="Arial"/>
        <family val="2"/>
      </rPr>
      <t xml:space="preserve"> - if the employee has left the employment of the company, enter the date of termination in this column. The employee will only be able to receive payment on a payroll run date up to the end of the month in which this date falls.</t>
    </r>
  </si>
  <si>
    <r>
      <rPr>
        <b/>
        <sz val="10"/>
        <rFont val="Arial"/>
        <family val="2"/>
      </rPr>
      <t>Pay Period Override</t>
    </r>
    <r>
      <rPr>
        <sz val="10"/>
        <rFont val="Arial"/>
        <family val="2"/>
      </rPr>
      <t xml:space="preserve"> - select the "Yes" option if the employee pay periods need to be replaced by the business pay periods. This setting only has an effect if an employee has joined the company during the current tax year. See below for an example.</t>
    </r>
  </si>
  <si>
    <r>
      <rPr>
        <b/>
        <sz val="10"/>
        <rFont val="Arial"/>
        <family val="2"/>
      </rPr>
      <t>Job Title</t>
    </r>
    <r>
      <rPr>
        <sz val="10"/>
        <rFont val="Arial"/>
        <family val="2"/>
      </rPr>
      <t xml:space="preserve"> - enter the employee job title (included on pay slip).</t>
    </r>
  </si>
  <si>
    <r>
      <rPr>
        <b/>
        <sz val="10"/>
        <rFont val="Arial"/>
        <family val="2"/>
      </rPr>
      <t>ID Number</t>
    </r>
    <r>
      <rPr>
        <sz val="10"/>
        <rFont val="Arial"/>
        <family val="2"/>
      </rPr>
      <t xml:space="preserve"> - enter the employee identification or ID number (included on pay slip).</t>
    </r>
  </si>
  <si>
    <r>
      <rPr>
        <b/>
        <sz val="10"/>
        <rFont val="Arial"/>
        <family val="2"/>
      </rPr>
      <t>Income Tax Number</t>
    </r>
    <r>
      <rPr>
        <sz val="10"/>
        <rFont val="Arial"/>
        <family val="2"/>
      </rPr>
      <t xml:space="preserve"> - enter the employee income tax number (included on pay slip).</t>
    </r>
  </si>
  <si>
    <r>
      <rPr>
        <b/>
        <sz val="10"/>
        <rFont val="Arial"/>
        <family val="2"/>
      </rPr>
      <t>Residential Address</t>
    </r>
    <r>
      <rPr>
        <sz val="10"/>
        <rFont val="Arial"/>
        <family val="2"/>
      </rPr>
      <t xml:space="preserve"> - enter the residential address of the employee (included on pay slip).</t>
    </r>
  </si>
  <si>
    <r>
      <rPr>
        <b/>
        <sz val="10"/>
        <rFont val="Arial"/>
        <family val="2"/>
      </rPr>
      <t>IT Rebate Code</t>
    </r>
    <r>
      <rPr>
        <sz val="10"/>
        <rFont val="Arial"/>
        <family val="2"/>
      </rPr>
      <t xml:space="preserve"> - enter the appropriate income tax rebate code for the employee. Refer to the income tax rebate list on the Setup sheet for the available rebate codes. It is important that the correct rebate codes are entered for each employee otherwise their income tax calculations may not be accurate.</t>
    </r>
  </si>
  <si>
    <r>
      <rPr>
        <b/>
        <sz val="10"/>
        <rFont val="Arial"/>
        <family val="2"/>
      </rPr>
      <t>Income Tax Rate</t>
    </r>
    <r>
      <rPr>
        <sz val="10"/>
        <rFont val="Arial"/>
        <family val="2"/>
      </rPr>
      <t xml:space="preserve"> - select the appropriate income tax table code for the employee. There are two income tax tables on the Setup sheet - select A for the first table and B for the second table. You can also enter a percentage in this field if the income tax calculations for the employee need to be based on a fixed income tax percentage.</t>
    </r>
  </si>
  <si>
    <r>
      <rPr>
        <b/>
        <sz val="10"/>
        <rFont val="Arial"/>
        <family val="2"/>
      </rPr>
      <t>Medical Aid Members</t>
    </r>
    <r>
      <rPr>
        <sz val="10"/>
        <rFont val="Arial"/>
        <family val="2"/>
      </rPr>
      <t xml:space="preserve"> - enter the number of medical aid members. The medical tax credits are based on the number of medical aid members and the rates that are specified in the Medical Tax Credits table on the Setup sheet.</t>
    </r>
  </si>
  <si>
    <r>
      <rPr>
        <b/>
        <sz val="10"/>
        <rFont val="Arial"/>
        <family val="2"/>
      </rPr>
      <t>Basic Monthly Salary</t>
    </r>
    <r>
      <rPr>
        <sz val="10"/>
        <rFont val="Arial"/>
        <family val="2"/>
      </rPr>
      <t xml:space="preserve"> - enter the monthly basic salary of each employee in this column. The values in this column are included in the basic salary column (earnings code A) on the Payroll sheet for all months in which the employee is active. If the employee's basic salary changes (aside from the one salary increase month which is provided for), you should not change the value in this column but add an override entry to the Override sheet for the remaining pay periods. If you change the amount in this column, it will also change payroll data for past pay periods.</t>
    </r>
  </si>
  <si>
    <r>
      <rPr>
        <b/>
        <sz val="10"/>
        <rFont val="Arial"/>
        <family val="2"/>
      </rPr>
      <t>Annual Bonus Amount</t>
    </r>
    <r>
      <rPr>
        <sz val="10"/>
        <rFont val="Arial"/>
        <family val="2"/>
      </rPr>
      <t xml:space="preserve"> - enter the annual bonus amount in this column. The amounts entered in this column are included in the annual bonus column (earnings code C) on the Payroll sheet based on the annual bonus month selection which is specified on the Setup sheet.</t>
    </r>
  </si>
  <si>
    <r>
      <rPr>
        <b/>
        <sz val="10"/>
        <rFont val="Arial"/>
        <family val="2"/>
      </rPr>
      <t>One Increase Amount</t>
    </r>
    <r>
      <rPr>
        <sz val="10"/>
        <rFont val="Arial"/>
        <family val="2"/>
      </rPr>
      <t xml:space="preserve"> - enter the adjusted monthly salary amounts after the annual salary increase in this column. Note that it is not the amount of the increase which needs to be entered, it is the full adjusted salary amount. The basic monthly salaries (earnings code A) in all remaining pay periods will be adjusted to the amounts specified in this column and the annual salary increase month is set on the Setup sheet. If no annual salary increases need to be applied during the course of the tax year, you do not need to enter any values in this column.</t>
    </r>
  </si>
  <si>
    <r>
      <rPr>
        <b/>
        <sz val="10"/>
        <rFont val="Arial"/>
        <family val="2"/>
      </rPr>
      <t>Deduction Rates</t>
    </r>
    <r>
      <rPr>
        <sz val="10"/>
        <rFont val="Arial"/>
        <family val="2"/>
      </rPr>
      <t xml:space="preserve"> - this section includes 4 columns, one for each of the 4 default items that are included in the Salary Deductions List on the Setup sheet. The rate field on the Setup sheet which is set up on a business level can be overridden by entering a rate for a particular employee in the appropriate salary deduction column in this section of the Emp sheet. The salary deduction code of each column is included above the column heading.</t>
    </r>
  </si>
  <si>
    <r>
      <rPr>
        <b/>
        <sz val="10"/>
        <rFont val="Arial"/>
        <family val="2"/>
      </rPr>
      <t>Period Count</t>
    </r>
    <r>
      <rPr>
        <sz val="10"/>
        <rFont val="Arial"/>
        <family val="2"/>
      </rPr>
      <t xml:space="preserve"> - this column contains a formula which displays the number of pay periods which have been added to the Payroll sheet for the particular employee. All of the values in this column should be 12 - if the value for any employee is less than 12, it indicates that you need to add additional rows to the table on the Payroll sheet.</t>
    </r>
  </si>
  <si>
    <r>
      <rPr>
        <b/>
        <sz val="10"/>
        <rFont val="Arial"/>
        <family val="2"/>
      </rPr>
      <t>Pay Slip Reference Number</t>
    </r>
    <r>
      <rPr>
        <sz val="10"/>
        <rFont val="Arial"/>
        <family val="2"/>
      </rPr>
      <t xml:space="preserve"> -the payslip reference number is a combination of the employee number and the payment period and therefore represents a unique number for each payroll payment. This is also the reference number which is used to populate information on the PaySlip sheet.</t>
    </r>
  </si>
  <si>
    <r>
      <rPr>
        <b/>
        <sz val="10"/>
        <rFont val="Arial"/>
        <family val="2"/>
      </rPr>
      <t>Payment Run Date</t>
    </r>
    <r>
      <rPr>
        <sz val="10"/>
        <rFont val="Arial"/>
        <family val="2"/>
      </rPr>
      <t xml:space="preserve"> - this is the payroll run date which is based on the salary payment day which is specified on the Setup sheet.</t>
    </r>
  </si>
  <si>
    <r>
      <rPr>
        <b/>
        <sz val="10"/>
        <rFont val="Arial"/>
        <family val="2"/>
      </rPr>
      <t>Employee Number</t>
    </r>
    <r>
      <rPr>
        <sz val="10"/>
        <rFont val="Arial"/>
        <family val="2"/>
      </rPr>
      <t xml:space="preserve"> - this is the employee number as added to the Emp sheet. All employee numbers are displayed in the same sequence as they are included on the Emp sheet. Employee codes are then repeated for all 12 payment periods.</t>
    </r>
  </si>
  <si>
    <r>
      <rPr>
        <b/>
        <sz val="10"/>
        <rFont val="Arial"/>
        <family val="2"/>
      </rPr>
      <t>Employee Name</t>
    </r>
    <r>
      <rPr>
        <sz val="10"/>
        <rFont val="Arial"/>
        <family val="2"/>
      </rPr>
      <t xml:space="preserve"> - the employee name is specified on the Emp sheet.</t>
    </r>
  </si>
  <si>
    <r>
      <rPr>
        <b/>
        <sz val="10"/>
        <rFont val="Arial"/>
        <family val="2"/>
      </rPr>
      <t>Dept</t>
    </r>
    <r>
      <rPr>
        <sz val="10"/>
        <rFont val="Arial"/>
        <family val="2"/>
      </rPr>
      <t xml:space="preserve"> - the department is determined based on the department code which has been linked to the employee on the Emp sheet.</t>
    </r>
  </si>
  <si>
    <r>
      <rPr>
        <b/>
        <sz val="10"/>
        <rFont val="Arial"/>
        <family val="2"/>
      </rPr>
      <t>Status</t>
    </r>
    <r>
      <rPr>
        <sz val="10"/>
        <rFont val="Arial"/>
        <family val="2"/>
      </rPr>
      <t xml:space="preserve"> - the status of all employees who are currently employed (based on the pay month) will be "Active". If an employee has only been hired after the end of the current pay month, the status will be "Inactive". If an employee has been terminated and the pay month is after the month of termination, the status will be "Terminated". Payroll amounts are only calculated for employees with an "Active" status.</t>
    </r>
  </si>
  <si>
    <r>
      <rPr>
        <b/>
        <sz val="10"/>
        <rFont val="Arial"/>
        <family val="2"/>
      </rPr>
      <t>Gross Pay</t>
    </r>
    <r>
      <rPr>
        <sz val="10"/>
        <rFont val="Arial"/>
        <family val="2"/>
      </rPr>
      <t xml:space="preserve"> - this is the total of all the monthly earnings in the earnings section.</t>
    </r>
  </si>
  <si>
    <r>
      <rPr>
        <b/>
        <sz val="10"/>
        <rFont val="Arial"/>
        <family val="2"/>
      </rPr>
      <t>Income Tax (PAYE)</t>
    </r>
    <r>
      <rPr>
        <sz val="10"/>
        <rFont val="Arial"/>
        <family val="2"/>
      </rPr>
      <t xml:space="preserve"> - this is the monthly income tax amount which is deducted from the appropriate employee's pay. Income tax is calculated based on the employee's annual taxable income and the income tax rates that have been specified on the Setup sheet. Each employee is linked to an income tax table and an income tax rebate code on the Emp sheet.</t>
    </r>
  </si>
  <si>
    <r>
      <rPr>
        <b/>
        <sz val="10"/>
        <rFont val="Arial"/>
        <family val="2"/>
      </rPr>
      <t>Deduction Section 1</t>
    </r>
    <r>
      <rPr>
        <sz val="10"/>
        <rFont val="Arial"/>
        <family val="2"/>
      </rPr>
      <t xml:space="preserve"> - this section includes all the salary deduction values of the salary deductions which have been added to the Salary Deduction List on the Setup sheet. All of these amounts are calculated based on the rates that have been defined on the Setup sheet or overridden on an individual employee level on the Emp sheet. Refer to the Setup section of the instructions for guidance on how the salary deduction calculations are defined.</t>
    </r>
  </si>
  <si>
    <r>
      <rPr>
        <b/>
        <sz val="10"/>
        <rFont val="Arial"/>
        <family val="2"/>
      </rPr>
      <t>Total Deductions</t>
    </r>
    <r>
      <rPr>
        <sz val="10"/>
        <rFont val="Arial"/>
        <family val="2"/>
      </rPr>
      <t xml:space="preserve"> - this is the sum of all the salary deductions in Deduction Section 1.</t>
    </r>
  </si>
  <si>
    <r>
      <rPr>
        <b/>
        <sz val="10"/>
        <rFont val="Arial"/>
        <family val="2"/>
      </rPr>
      <t>Net Pay</t>
    </r>
    <r>
      <rPr>
        <sz val="10"/>
        <rFont val="Arial"/>
        <family val="2"/>
      </rPr>
      <t xml:space="preserve"> - this is the difference between the gross pay and the total salary deductions (including income tax).</t>
    </r>
  </si>
  <si>
    <r>
      <rPr>
        <b/>
        <sz val="10"/>
        <rFont val="Arial"/>
        <family val="2"/>
      </rPr>
      <t>Co-Contribution Section 1</t>
    </r>
    <r>
      <rPr>
        <sz val="10"/>
        <rFont val="Arial"/>
        <family val="2"/>
      </rPr>
      <t xml:space="preserve"> - this section includes the monthly company contribution values for all the list items that have been included in the Company Contributions List on the Setup sheet. All of these amounts are calculated based on the rates that have been defined on the Setup sheet - refer to the Setup section of the instructions for guidance on how the rates are defined.</t>
    </r>
  </si>
  <si>
    <r>
      <rPr>
        <b/>
        <sz val="10"/>
        <rFont val="Arial"/>
        <family val="2"/>
      </rPr>
      <t>Total Co Contributions</t>
    </r>
    <r>
      <rPr>
        <sz val="10"/>
        <rFont val="Arial"/>
        <family val="2"/>
      </rPr>
      <t xml:space="preserve"> - this is the sum of all the company contributions in Company Contribution Section 1.</t>
    </r>
  </si>
  <si>
    <r>
      <rPr>
        <b/>
        <sz val="10"/>
        <rFont val="Arial"/>
        <family val="2"/>
      </rPr>
      <t>Total Cost To Company</t>
    </r>
    <r>
      <rPr>
        <sz val="10"/>
        <rFont val="Arial"/>
        <family val="2"/>
      </rPr>
      <t xml:space="preserve"> - this is the sum of the gross pay and total company contribution amounts.</t>
    </r>
  </si>
  <si>
    <r>
      <rPr>
        <b/>
        <sz val="10"/>
        <rFont val="Arial"/>
        <family val="2"/>
      </rPr>
      <t>Deductions &amp; Co-Contrib</t>
    </r>
    <r>
      <rPr>
        <sz val="10"/>
        <rFont val="Arial"/>
        <family val="2"/>
      </rPr>
      <t xml:space="preserve"> - this is the sum of the total salary deductions and total company contribution amounts.</t>
    </r>
  </si>
  <si>
    <r>
      <rPr>
        <b/>
        <sz val="10"/>
        <rFont val="Arial"/>
        <family val="2"/>
      </rPr>
      <t>Employee Pay Period</t>
    </r>
    <r>
      <rPr>
        <sz val="10"/>
        <rFont val="Arial"/>
        <family val="2"/>
      </rPr>
      <t xml:space="preserve"> - this is the employee pay period. The employee pay period will only differ from the business pay period if the employee commenced employment during the current tax year. The employee pay period is used in most of the payroll calculations on this sheet.</t>
    </r>
  </si>
  <si>
    <r>
      <rPr>
        <b/>
        <sz val="10"/>
        <rFont val="Arial"/>
        <family val="2"/>
      </rPr>
      <t>Business Pay Period</t>
    </r>
    <r>
      <rPr>
        <sz val="10"/>
        <rFont val="Arial"/>
        <family val="2"/>
      </rPr>
      <t xml:space="preserve"> - this is the business pay period which is based on the number of months which have elapsed since the start of the tax year. The business pay period is only used in the quarterly &amp; bi-annual earnings calculations and if the pay period override of an employee has been activated on the Emp sheet.</t>
    </r>
  </si>
  <si>
    <r>
      <rPr>
        <b/>
        <sz val="10"/>
        <rFont val="Arial"/>
        <family val="2"/>
      </rPr>
      <t>Unique Pay Date</t>
    </r>
    <r>
      <rPr>
        <sz val="10"/>
        <rFont val="Arial"/>
        <family val="2"/>
      </rPr>
      <t xml:space="preserve"> - the unique dates in this column have been calculated by combining the payroll run date and the row number of the entries in order to ensure that no two dates can be exactly the same.</t>
    </r>
  </si>
  <si>
    <r>
      <rPr>
        <b/>
        <sz val="10"/>
        <rFont val="Arial"/>
        <family val="2"/>
      </rPr>
      <t>1st Pay Period</t>
    </r>
    <r>
      <rPr>
        <sz val="10"/>
        <rFont val="Arial"/>
        <family val="2"/>
      </rPr>
      <t xml:space="preserve"> - this is the first pay period of the employee which is defined on the Emp sheet.</t>
    </r>
  </si>
  <si>
    <r>
      <rPr>
        <b/>
        <sz val="10"/>
        <rFont val="Arial"/>
        <family val="2"/>
      </rPr>
      <t>PaySlip Status</t>
    </r>
    <r>
      <rPr>
        <sz val="10"/>
        <rFont val="Arial"/>
        <family val="2"/>
      </rPr>
      <t xml:space="preserve"> - this column will contain a value of 1 if the pay slip number in column A is currently selected on the PaySlip sheet.</t>
    </r>
  </si>
  <si>
    <r>
      <rPr>
        <b/>
        <sz val="10"/>
        <rFont val="Arial"/>
        <family val="2"/>
      </rPr>
      <t>Medical Aid Members</t>
    </r>
    <r>
      <rPr>
        <sz val="10"/>
        <rFont val="Arial"/>
        <family val="2"/>
      </rPr>
      <t xml:space="preserve"> - this is the number of medical aid members which have been linked to the employee on the Emp sheet.</t>
    </r>
  </si>
  <si>
    <r>
      <rPr>
        <b/>
        <sz val="10"/>
        <rFont val="Arial"/>
        <family val="2"/>
      </rPr>
      <t>MedTaxCredit Monthly</t>
    </r>
    <r>
      <rPr>
        <sz val="10"/>
        <rFont val="Arial"/>
        <family val="2"/>
      </rPr>
      <t xml:space="preserve"> - the monthly value of the medical tax credit which is deducted in the income tax calculation. This medical tax credit is calculated by multiplying the medical aid members by the appropriate rate which is defined on the Setup sheet.</t>
    </r>
  </si>
  <si>
    <r>
      <rPr>
        <b/>
        <sz val="10"/>
        <rFont val="Arial"/>
        <family val="2"/>
      </rPr>
      <t>MedTaxCredit Annual</t>
    </r>
    <r>
      <rPr>
        <sz val="10"/>
        <rFont val="Arial"/>
        <family val="2"/>
      </rPr>
      <t xml:space="preserve"> - the annual value of the medical tax credit which is deducted in the income tax calculation. </t>
    </r>
  </si>
  <si>
    <r>
      <rPr>
        <b/>
        <sz val="10"/>
        <rFont val="Arial"/>
        <family val="2"/>
      </rPr>
      <t>IT Rebate Code</t>
    </r>
    <r>
      <rPr>
        <sz val="10"/>
        <rFont val="Arial"/>
        <family val="2"/>
      </rPr>
      <t xml:space="preserve"> - this is the income tax rebate code which has been linked to the employee on the Emp sheet. The default rebate code is "A".</t>
    </r>
  </si>
  <si>
    <r>
      <rPr>
        <b/>
        <sz val="10"/>
        <rFont val="Arial"/>
        <family val="2"/>
      </rPr>
      <t>IT Rebate Value</t>
    </r>
    <r>
      <rPr>
        <sz val="10"/>
        <rFont val="Arial"/>
        <family val="2"/>
      </rPr>
      <t xml:space="preserve"> - this is the income tax rebate value for the employee which is calculated based on the income tax rebate code and the rates which are included on the Setup sheet.</t>
    </r>
  </si>
  <si>
    <r>
      <rPr>
        <b/>
        <sz val="10"/>
        <rFont val="Arial"/>
        <family val="2"/>
      </rPr>
      <t>IT Rate</t>
    </r>
    <r>
      <rPr>
        <sz val="10"/>
        <rFont val="Arial"/>
        <family val="2"/>
      </rPr>
      <t xml:space="preserve"> - this is the income tax rate table which has been linked to the employee on the Emp sheet. The default income tax table is table A.</t>
    </r>
  </si>
  <si>
    <r>
      <rPr>
        <b/>
        <sz val="10"/>
        <rFont val="Arial"/>
        <family val="2"/>
      </rPr>
      <t>Annual Gross Tax Income</t>
    </r>
    <r>
      <rPr>
        <sz val="10"/>
        <rFont val="Arial"/>
        <family val="2"/>
      </rPr>
      <t xml:space="preserve"> - this column contains a calculation of the annual gross taxable income before salary deductions are taken into account. This is the first column in a series of columns which are used to calculate the monthly income tax deduction values and is based on the amounts in the Earnings section.</t>
    </r>
  </si>
  <si>
    <r>
      <rPr>
        <b/>
        <sz val="10"/>
        <rFont val="Arial"/>
        <family val="2"/>
      </rPr>
      <t>Annual Tax Deduct Section</t>
    </r>
    <r>
      <rPr>
        <sz val="10"/>
        <rFont val="Arial"/>
        <family val="2"/>
      </rPr>
      <t xml:space="preserve"> - this section contains columns (default of 4) for each salary deduction. The annual taxable salary deduction amounts are calculated in these columns which is then deducted from the annual gross taxable income. If you add more than 4 entries to the Salary Deductions List on the Setup sheet, you need to insert the appropriate number of columns at the end of this section.</t>
    </r>
  </si>
  <si>
    <r>
      <rPr>
        <b/>
        <sz val="10"/>
        <rFont val="Arial"/>
        <family val="2"/>
      </rPr>
      <t>Annual Taxable Income</t>
    </r>
    <r>
      <rPr>
        <sz val="10"/>
        <rFont val="Arial"/>
        <family val="2"/>
      </rPr>
      <t xml:space="preserve"> - this column contains a calculation of the annual taxable income which is used in the calculation of the monthly income tax deductions. The annual taxable income is calculated by deducting the annual equivalents of the salary deductions from the annual gross taxable income (which is based on the amounts in the Earnings section).</t>
    </r>
  </si>
  <si>
    <r>
      <rPr>
        <b/>
        <sz val="10"/>
        <rFont val="Arial"/>
        <family val="2"/>
      </rPr>
      <t>Tax Monthly EQV</t>
    </r>
    <r>
      <rPr>
        <sz val="10"/>
        <rFont val="Arial"/>
        <family val="2"/>
      </rPr>
      <t xml:space="preserve"> - this column represents the start of the calculation of income tax which is only applicable to earnings which are paid on a monthly basis. The amounts in this column reflect the gross annual taxable income. The reference to "monthly" in the column headings is because the calculations are only based on earnings which are paid on a monthly basis (no annual) but the amounts calculated in fact represent annual equivalents.</t>
    </r>
  </si>
  <si>
    <r>
      <rPr>
        <b/>
        <sz val="10"/>
        <rFont val="Arial"/>
        <family val="2"/>
      </rPr>
      <t>Monthly EQV Deduct Section</t>
    </r>
    <r>
      <rPr>
        <sz val="10"/>
        <rFont val="Arial"/>
        <family val="2"/>
      </rPr>
      <t xml:space="preserve"> - this section contains columns (default of 4) for each salary deduction. Only earnings that are paid on a monthly basis are included in the calculation of these salary deductions which is the difference between the salary deduction calculations in this section and the previous salary deduction section which included all earnings in the calculation. If you added more than 4 salary deduction items to the Salary Deductions List on the Setup sheet, you need to also add the required number of columns at the end of this section.</t>
    </r>
  </si>
  <si>
    <r>
      <rPr>
        <b/>
        <sz val="10"/>
        <rFont val="Arial"/>
        <family val="2"/>
      </rPr>
      <t>Taxable Income Monthly EQV</t>
    </r>
    <r>
      <rPr>
        <sz val="10"/>
        <rFont val="Arial"/>
        <family val="2"/>
      </rPr>
      <t xml:space="preserve"> - this column contains the calculation of annual taxable income which is based on income which is only based on earnings which are paid on a monthly basis. The calculation deducts the amounts in the salary deduction section. </t>
    </r>
  </si>
  <si>
    <r>
      <rPr>
        <b/>
        <sz val="10"/>
        <rFont val="Arial"/>
        <family val="2"/>
      </rPr>
      <t>Taxable Income Non-Monthly</t>
    </r>
    <r>
      <rPr>
        <sz val="10"/>
        <rFont val="Arial"/>
        <family val="2"/>
      </rPr>
      <t xml:space="preserve"> - the total annual taxable income less the annual taxable income which is based only on earnings that are paid on a monthly basis is calculated in this column. This column therefore reflects the annual taxable income which is based on earnings that are not paid on a monthly basis.</t>
    </r>
  </si>
  <si>
    <r>
      <rPr>
        <b/>
        <sz val="10"/>
        <rFont val="Arial"/>
        <family val="2"/>
      </rPr>
      <t>Total Annual Taxation</t>
    </r>
    <r>
      <rPr>
        <sz val="10"/>
        <rFont val="Arial"/>
        <family val="2"/>
      </rPr>
      <t xml:space="preserve"> - this column reflects the total annual taxation based on all earnings and after taking rebates and medical tax credits into account.</t>
    </r>
  </si>
  <si>
    <r>
      <rPr>
        <b/>
        <sz val="10"/>
        <rFont val="Arial"/>
        <family val="2"/>
      </rPr>
      <t>Tax On Monthly Income</t>
    </r>
    <r>
      <rPr>
        <sz val="10"/>
        <rFont val="Arial"/>
        <family val="2"/>
      </rPr>
      <t xml:space="preserve"> - this column reflects the total annual taxation based only on earnings which are paid on a monthly basis</t>
    </r>
  </si>
  <si>
    <r>
      <rPr>
        <b/>
        <sz val="10"/>
        <rFont val="Arial"/>
        <family val="2"/>
      </rPr>
      <t>Tax On Non-Monthly Inc</t>
    </r>
    <r>
      <rPr>
        <sz val="10"/>
        <rFont val="Arial"/>
        <family val="2"/>
      </rPr>
      <t xml:space="preserve"> - this column reflects the total annual taxation based only on earnings which are not paid on a monthly basis (annual).</t>
    </r>
  </si>
  <si>
    <r>
      <rPr>
        <b/>
        <sz val="10"/>
        <rFont val="Arial"/>
        <family val="2"/>
      </rPr>
      <t>Earnings % Month</t>
    </r>
    <r>
      <rPr>
        <sz val="10"/>
        <rFont val="Arial"/>
        <family val="2"/>
      </rPr>
      <t xml:space="preserve"> - this column reflects the percentage of earnings which is paid on a monthly basis.</t>
    </r>
  </si>
  <si>
    <r>
      <rPr>
        <b/>
        <sz val="10"/>
        <rFont val="Arial"/>
        <family val="2"/>
      </rPr>
      <t>Earnings % Annual</t>
    </r>
    <r>
      <rPr>
        <sz val="10"/>
        <rFont val="Arial"/>
        <family val="2"/>
      </rPr>
      <t xml:space="preserve"> - this column reflects the percentage of earnings which is paid on an annual basis.</t>
    </r>
  </si>
  <si>
    <r>
      <rPr>
        <b/>
        <sz val="10"/>
        <rFont val="Arial"/>
        <family val="2"/>
      </rPr>
      <t>Earnings Total Amount</t>
    </r>
    <r>
      <rPr>
        <sz val="10"/>
        <rFont val="Arial"/>
        <family val="2"/>
      </rPr>
      <t xml:space="preserve"> - this column reflects the annual equivalent of all earnings.</t>
    </r>
  </si>
  <si>
    <r>
      <rPr>
        <b/>
        <sz val="10"/>
        <rFont val="Arial"/>
        <family val="2"/>
      </rPr>
      <t>Override Date</t>
    </r>
    <r>
      <rPr>
        <sz val="10"/>
        <rFont val="Arial"/>
        <family val="2"/>
      </rPr>
      <t xml:space="preserve"> - enter the start date of the override entry. The override entry will replace the default calculation for the specified item and employee on the Payroll sheet from the first calendar month into which this date falls. If you do not enter an override end date in column I, the override will only be applied to a single monthly period.</t>
    </r>
  </si>
  <si>
    <r>
      <rPr>
        <b/>
        <sz val="10"/>
        <rFont val="Arial"/>
        <family val="2"/>
      </rPr>
      <t>Employee Number</t>
    </r>
    <r>
      <rPr>
        <sz val="10"/>
        <rFont val="Arial"/>
        <family val="2"/>
      </rPr>
      <t xml:space="preserve"> - select the employee number of the employee for which the override needs to be applied. If you do not select a valid employee number, the override entry will have no effect. Only employee codes which have been added to the Emp sheet will be available for selection.</t>
    </r>
  </si>
  <si>
    <r>
      <rPr>
        <b/>
        <sz val="10"/>
        <rFont val="Arial"/>
        <family val="2"/>
      </rPr>
      <t>Earnings Code</t>
    </r>
    <r>
      <rPr>
        <sz val="10"/>
        <rFont val="Arial"/>
        <family val="2"/>
      </rPr>
      <t xml:space="preserve"> - select the appropriate earnings code from the list box if the override entry should be applied to an earnings code. The override value in column H will then override the earnings value for the selected earnings code on the Payroll sheet. Earnings are usually overridden when more than one salary increase needs to be applied for any employee (code A) or to record ad hoc salary payments like leave pay or loans &amp; advances.</t>
    </r>
  </si>
  <si>
    <r>
      <rPr>
        <b/>
        <sz val="10"/>
        <rFont val="Arial"/>
        <family val="2"/>
      </rPr>
      <t>Income Tax Code</t>
    </r>
    <r>
      <rPr>
        <sz val="10"/>
        <rFont val="Arial"/>
        <family val="2"/>
      </rPr>
      <t xml:space="preserve"> - select "TAX" from the list box if the override entry should be applied to the income tax salary deduction. If this item is selected, the calculated salary deduction value for income tax will be replaced by the override value in column H.</t>
    </r>
  </si>
  <si>
    <r>
      <rPr>
        <b/>
        <sz val="10"/>
        <rFont val="Arial"/>
        <family val="2"/>
      </rPr>
      <t>Medical Tax Credit Code</t>
    </r>
    <r>
      <rPr>
        <sz val="10"/>
        <rFont val="Arial"/>
        <family val="2"/>
      </rPr>
      <t xml:space="preserve"> - select "MED" from the list box if the override entry should be applied to the medical aid members which have been recorded on the Emp sheet. The calculation of medical tax credits (which are taken into account when calculating the monthly income tax deductions) consists of the employee's medical aid members which is multiplied by the medical tax credit rates on the Setup sheet. The medical override is therefore usually recorded when the number of medical aid members changes during the tax year.</t>
    </r>
  </si>
  <si>
    <r>
      <rPr>
        <b/>
        <sz val="10"/>
        <rFont val="Arial"/>
        <family val="2"/>
      </rPr>
      <t>Deduction Code</t>
    </r>
    <r>
      <rPr>
        <sz val="10"/>
        <rFont val="Arial"/>
        <family val="2"/>
      </rPr>
      <t xml:space="preserve"> - select the appropriate salary deduction to override. All the salary deductions which have been added to the Salary Deductions List on the Setup sheet will be available for selection. The calculated salary deduction value for the selected employee on the Payroll sheet will be replaced by the override value in column H.</t>
    </r>
  </si>
  <si>
    <r>
      <rPr>
        <b/>
        <sz val="10"/>
        <rFont val="Arial"/>
        <family val="2"/>
      </rPr>
      <t>Co-Contrib Code</t>
    </r>
    <r>
      <rPr>
        <sz val="10"/>
        <rFont val="Arial"/>
        <family val="2"/>
      </rPr>
      <t xml:space="preserve"> - select the appropriate company contribution to override. All the contributions which have been added to the Company Contributions List on the Setup sheet will be available for selection. The company contribution value for the selected employee on the Payroll sheet will be replaced by the override value in column H.</t>
    </r>
  </si>
  <si>
    <r>
      <rPr>
        <b/>
        <sz val="10"/>
        <rFont val="Arial"/>
        <family val="2"/>
      </rPr>
      <t>Override Value</t>
    </r>
    <r>
      <rPr>
        <sz val="10"/>
        <rFont val="Arial"/>
        <family val="2"/>
      </rPr>
      <t xml:space="preserve"> - enter the override value. This value will replace the appropriate calculated value for the selected employee in the month which the override date relates to.</t>
    </r>
  </si>
  <si>
    <r>
      <rPr>
        <b/>
        <sz val="10"/>
        <rFont val="Arial"/>
        <family val="2"/>
      </rPr>
      <t>Override End Date</t>
    </r>
    <r>
      <rPr>
        <sz val="10"/>
        <rFont val="Arial"/>
        <family val="2"/>
      </rPr>
      <t xml:space="preserve"> - if you want the override to be applied to multiple periods, you need to specify an override end date. If this column is left blank, the override will only be effected for the month in which the override date in column A falls into. If you want to affect the override value in multiple months, enter the month end date of the last month that you want the override to be applied to in this column. If you want the override to be applied until the end of the tax year, enter the tax year end date in this column.</t>
    </r>
  </si>
  <si>
    <r>
      <rPr>
        <b/>
        <sz val="10"/>
        <rFont val="Arial"/>
        <family val="2"/>
      </rPr>
      <t>Gross Pay</t>
    </r>
    <r>
      <rPr>
        <sz val="10"/>
        <rFont val="Arial"/>
        <family val="2"/>
      </rPr>
      <t xml:space="preserve"> - the total of all the columns in the earnings section.</t>
    </r>
  </si>
  <si>
    <r>
      <rPr>
        <b/>
        <sz val="10"/>
        <rFont val="Arial"/>
        <family val="2"/>
      </rPr>
      <t>Income Tax</t>
    </r>
    <r>
      <rPr>
        <sz val="10"/>
        <rFont val="Arial"/>
        <family val="2"/>
      </rPr>
      <t xml:space="preserve"> - the total income tax deduction.</t>
    </r>
  </si>
  <si>
    <r>
      <rPr>
        <b/>
        <sz val="10"/>
        <rFont val="Arial"/>
        <family val="2"/>
      </rPr>
      <t>Total Deductions</t>
    </r>
    <r>
      <rPr>
        <sz val="10"/>
        <rFont val="Arial"/>
        <family val="2"/>
      </rPr>
      <t xml:space="preserve"> - the total of all salary deductions including income tax.</t>
    </r>
  </si>
  <si>
    <r>
      <rPr>
        <b/>
        <sz val="10"/>
        <rFont val="Arial"/>
        <family val="2"/>
      </rPr>
      <t>Net Pay</t>
    </r>
    <r>
      <rPr>
        <sz val="10"/>
        <rFont val="Arial"/>
        <family val="2"/>
      </rPr>
      <t xml:space="preserve"> - gross pay less total deductions.</t>
    </r>
  </si>
  <si>
    <r>
      <rPr>
        <b/>
        <sz val="10"/>
        <rFont val="Arial"/>
        <family val="2"/>
      </rPr>
      <t>Total Co-Contributions</t>
    </r>
    <r>
      <rPr>
        <sz val="10"/>
        <rFont val="Arial"/>
        <family val="2"/>
      </rPr>
      <t xml:space="preserve"> - the total of all the columns in the company contributions section.</t>
    </r>
  </si>
  <si>
    <r>
      <rPr>
        <b/>
        <sz val="10"/>
        <rFont val="Arial"/>
        <family val="2"/>
      </rPr>
      <t>Deductions &amp; Co-Contrib</t>
    </r>
    <r>
      <rPr>
        <sz val="10"/>
        <rFont val="Arial"/>
        <family val="2"/>
      </rPr>
      <t xml:space="preserve"> - total deductions plus total company contributions.</t>
    </r>
  </si>
  <si>
    <r>
      <rPr>
        <b/>
        <sz val="10"/>
        <rFont val="Arial"/>
        <family val="2"/>
      </rPr>
      <t>Cost To Company</t>
    </r>
    <r>
      <rPr>
        <sz val="10"/>
        <rFont val="Arial"/>
        <family val="2"/>
      </rPr>
      <t xml:space="preserve"> - gross pay plus total company contributions.</t>
    </r>
  </si>
  <si>
    <r>
      <rPr>
        <b/>
        <sz val="10"/>
        <rFont val="Arial"/>
        <family val="2"/>
      </rPr>
      <t>Setup</t>
    </r>
    <r>
      <rPr>
        <sz val="10"/>
        <rFont val="Arial"/>
        <family val="2"/>
      </rPr>
      <t xml:space="preserve"> - all the business &amp; payroll settings need to be included on this sheet. This includes the business details, tax year dates, income tax rates, medical tax credit rates, list of earnings, list of salary deductions, list of company contributions and the list of departments. A column &amp; row matrix which highlights incorrect column or row counts is also included at the bottom of the sheet.</t>
    </r>
  </si>
  <si>
    <t>If you require more income tax brackets, you can insert the required number of additional rows anywhere in the middle of the table and then copy one of the existing rows before editing the tax bracket value &amp; percentage for the new row. The bracket values in column A, equivalent values in column E and the effective rates in column F for all the tax brackets will be updated automatically.</t>
  </si>
  <si>
    <t xml:space="preserve">If you require less tax brackets, simple delete one of the existing rows from the middle of the table and adjust the bracket values &amp; income tax rates in columns C and D accordingly. </t>
  </si>
  <si>
    <t>Note: Each employee that is added to the Emp sheet also needs to be linked to an income tax rebate code as per the Income Tax Rebate table on the Setup sheet. This link will determine which rebate value is deducted in the income tax calculation.</t>
  </si>
  <si>
    <t>If the number of medical aid members changes during the year, you can use the Override features to include the updated number in the calculation - refer to the Override section for guidance on how to update the number of medical aid members.</t>
  </si>
  <si>
    <t>The default earnings list includes 5 earnings codes and we do not recommend making any changes to the first 3 earnings codes (codes 4 and 5 can be deleted if not needed). If you require more than 5 earnings codes, additional earnings codes can be added to the list by inserting the required number of new rows above the "End of list" entry and entering the required information into each user input field.</t>
  </si>
  <si>
    <r>
      <rPr>
        <b/>
        <sz val="10"/>
        <rFont val="Arial"/>
        <family val="2"/>
      </rPr>
      <t>Earn Exclusion</t>
    </r>
    <r>
      <rPr>
        <sz val="10"/>
        <rFont val="Arial"/>
        <family val="2"/>
      </rPr>
      <t xml:space="preserve"> - enter the earnings codes of all earnings types which need to be excluded from the salary deduction calculation. The letters of the earnings codes need to be included in this section without any spaces or special characters in between.</t>
    </r>
  </si>
  <si>
    <r>
      <rPr>
        <b/>
        <sz val="10"/>
        <rFont val="Arial"/>
        <family val="2"/>
      </rPr>
      <t>Code</t>
    </r>
    <r>
      <rPr>
        <sz val="10"/>
        <rFont val="Arial"/>
        <family val="2"/>
      </rPr>
      <t xml:space="preserve"> - enter a code for each company contribution and use a unique code which will make it easy to identify the company contribution and to distinguish between the different types of company contributions. The company contribution codes are included above the column headings of all the sections on other sheets in this template where company contributions are included.</t>
    </r>
  </si>
  <si>
    <r>
      <rPr>
        <b/>
        <sz val="10"/>
        <rFont val="Arial"/>
        <family val="2"/>
      </rPr>
      <t>Basis</t>
    </r>
    <r>
      <rPr>
        <sz val="10"/>
        <rFont val="Arial"/>
        <family val="2"/>
      </rPr>
      <t xml:space="preserve"> - enter the basis on which the company contribution needs to be calculated. There are three options - gross, fixed or linking the company contribution to the salary deduction code of the single salary deduction on which the company contribution calculation needs to be based. If nothing is entered in this field, the company contribution will be calculated based on gross income.</t>
    </r>
  </si>
  <si>
    <t>Even though the taxable value setting is applied to all earnings, it may not affect all earnings codes. Where no taxable % or a taxable % of 100% has been specified for a particular earning, the full value and taxable value for the earning will be the same. Setting the Earn Inclusion field to "Taxable" only affects earnings which are not fully taxable. If an earning is not taxable (taxable % of 0%), setting the Earn Inclusion to "Taxable" effectively excludes the particular earning from the company contribution calculation.</t>
  </si>
  <si>
    <t>Note: The template only includes 3 departments but you can add additional departments by inserting the required number of rows above the "End of list" row and adding a department code, description and cost centre for each of the new departments.</t>
  </si>
  <si>
    <t>Note: The salary amounts and the rates in the Deduction section of the Emp sheet should not be changed once you have completed your first pay period because it will also affect past pay periods which would then result in differences between the payroll calculations and the amounts which have been paid during the elapsed months. If any of these salary amounts or deduction rates need to be amended during the course of the current tax year, you need to use the Override feature to affect the required changes.</t>
  </si>
  <si>
    <t>If the Sheet Status is red, it means that your payroll calculations are not up to date and that you need to add rows to the table. You can select any cell in the table and insert the required number of rows into the table - the new rows will be populated automatically with the appropriate formulas because they now form part of the Excel table and calculated columns are automatically copied.</t>
  </si>
  <si>
    <r>
      <rPr>
        <b/>
        <sz val="10"/>
        <rFont val="Arial"/>
        <family val="2"/>
      </rPr>
      <t>Earnings Section</t>
    </r>
    <r>
      <rPr>
        <sz val="10"/>
        <rFont val="Arial"/>
        <family val="2"/>
      </rPr>
      <t xml:space="preserve"> - the earnings section includes the 5 default earning types added to the Earnings List on the Setup sheet. The first three earnings codes should not be amended in any way but you can delete earnings types 4 and 5 if these earnings types are not required and you can also add additional earnings if necessary. The monthly salary amounts in the Earnings section are specified on the Emp sheet for earnings codes A and C and on the Override sheet for all other earnings codes.</t>
    </r>
  </si>
  <si>
    <r>
      <rPr>
        <b/>
        <sz val="10"/>
        <rFont val="Arial"/>
        <family val="2"/>
      </rPr>
      <t>Pay Period Override</t>
    </r>
    <r>
      <rPr>
        <sz val="10"/>
        <rFont val="Arial"/>
        <family val="2"/>
      </rPr>
      <t xml:space="preserve"> - reflects "Yes" if the pay period override for the employee has been selected on the Emp sheet.</t>
    </r>
  </si>
  <si>
    <t>The Override sheet can be used to override any of the monthly calculated values for an employee. You can choose to override a single value, values for a range of multiple months or all monthly calculations until the end of the tax year. The override feature is available for earnings, income tax deductions, other salary deductions, company contributions and medical tax credits (specifically the medical aid member count).</t>
  </si>
  <si>
    <t>The Summary sheet contains an earnings section, a salary deductions section and a company contributions section which each comprise multiple columns. The earnings section contains 5 columns and the salary deductions &amp; company contributions sections 4 columns each. The number of columns are equal to the number of list items included in the lists on the Setup sheet.</t>
  </si>
  <si>
    <t>202402-EXS001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</si>
</sst>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164" formatCode="_ * #,##0.00_ ;_ * \-#,##0.00_ ;_ * &quot;-&quot;??_ ;_ @_ "/>
    <numFmt numFmtId="165" formatCode="0.0%"/>
    <numFmt numFmtId="166" formatCode="_ * #,##0_ ;_ * \-#,##0_ ;_ * &quot;-&quot;??_ ;_ @_ "/>
    <numFmt numFmtId="167" formatCode="mmmm\-yyyy"/>
    <numFmt numFmtId="168" formatCode="mmm\-yyyy"/>
    <numFmt numFmtId="169" formatCode="mmmm"/>
    <numFmt numFmtId="170" formatCode="mmm/yyyy"/>
    <numFmt numFmtId="171" formatCode="yyyy/mm"/>
    <numFmt numFmtId="172" formatCode="#,##0_ ;\-#,##0\ "/>
  </numFmts>
  <fonts count="23" x14ac:knownFonts="1">
    <font>
      <sz val="10"/>
      <name val="Century Gothic"/>
      <family val="2"/>
      <scheme val="minor"/>
    </font>
    <font>
      <sz val="10"/>
      <name val="Arial"/>
      <family val="2"/>
    </font>
    <font>
      <sz val="8"/>
      <name val="Arial"/>
      <family val="2"/>
    </font>
    <font>
      <u/>
      <sz val="10"/>
      <color indexed="12"/>
      <name val="Arial"/>
      <family val="2"/>
    </font>
    <font>
      <sz val="11"/>
      <name val="Century Gothic"/>
      <family val="2"/>
      <scheme val="minor"/>
    </font>
    <font>
      <b/>
      <sz val="10"/>
      <name val="Century Gothic"/>
      <family val="2"/>
      <scheme val="minor"/>
    </font>
    <font>
      <sz val="10"/>
      <name val="Century Gothic"/>
      <family val="2"/>
      <scheme val="minor"/>
    </font>
    <font>
      <i/>
      <sz val="10"/>
      <name val="Century Gothic"/>
      <family val="2"/>
      <scheme val="minor"/>
    </font>
    <font>
      <b/>
      <i/>
      <sz val="10"/>
      <name val="Century Gothic"/>
      <family val="2"/>
      <scheme val="minor"/>
    </font>
    <font>
      <b/>
      <sz val="12"/>
      <name val="Century Gothic"/>
      <family val="2"/>
      <scheme val="minor"/>
    </font>
    <font>
      <i/>
      <sz val="10"/>
      <color theme="0"/>
      <name val="Century Gothic"/>
      <family val="2"/>
      <scheme val="minor"/>
    </font>
    <font>
      <sz val="10"/>
      <color theme="0"/>
      <name val="Century Gothic"/>
      <family val="2"/>
      <scheme val="minor"/>
    </font>
    <font>
      <b/>
      <sz val="10"/>
      <color indexed="9"/>
      <name val="Century Gothic"/>
      <family val="2"/>
      <scheme val="minor"/>
    </font>
    <font>
      <sz val="10"/>
      <color indexed="9"/>
      <name val="Century Gothic"/>
      <family val="2"/>
      <scheme val="minor"/>
    </font>
    <font>
      <sz val="10"/>
      <color theme="1"/>
      <name val="Century Gothic"/>
      <family val="2"/>
      <scheme val="minor"/>
    </font>
    <font>
      <b/>
      <sz val="10"/>
      <color theme="1"/>
      <name val="Century Gothic"/>
      <family val="2"/>
      <scheme val="minor"/>
    </font>
    <font>
      <b/>
      <sz val="10"/>
      <color theme="0"/>
      <name val="Century Gothic"/>
      <family val="2"/>
      <scheme val="minor"/>
    </font>
    <font>
      <i/>
      <sz val="10"/>
      <color theme="1"/>
      <name val="Century Gothic"/>
      <family val="2"/>
      <scheme val="minor"/>
    </font>
    <font>
      <b/>
      <sz val="12"/>
      <name val="Arial"/>
      <family val="2"/>
    </font>
    <font>
      <i/>
      <sz val="10"/>
      <name val="Arial"/>
      <family val="2"/>
    </font>
    <font>
      <b/>
      <u/>
      <sz val="10"/>
      <color theme="4" tint="-0.249977111117893"/>
      <name val="Arial"/>
      <family val="2"/>
    </font>
    <font>
      <b/>
      <i/>
      <sz val="10"/>
      <name val="Arial"/>
      <family val="2"/>
    </font>
    <font>
      <b/>
      <sz val="10"/>
      <name val="Arial"/>
      <family val="2"/>
    </font>
  </fonts>
  <fills count="9">
    <fill>
      <patternFill patternType="none"/>
    </fill>
    <fill>
      <patternFill patternType="gray125"/>
    </fill>
    <fill>
      <patternFill patternType="solid">
        <fgColor indexed="43"/>
        <bgColor indexed="64"/>
      </patternFill>
    </fill>
    <fill>
      <patternFill patternType="solid">
        <fgColor rgb="FFCCFFFF"/>
        <bgColor indexed="64"/>
      </patternFill>
    </fill>
    <fill>
      <patternFill patternType="solid">
        <fgColor theme="1"/>
        <bgColor indexed="64"/>
      </patternFill>
    </fill>
    <fill>
      <patternFill patternType="solid">
        <fgColor rgb="FFFFFF99"/>
        <bgColor indexed="64"/>
      </patternFill>
    </fill>
    <fill>
      <patternFill patternType="solid">
        <fgColor rgb="FF002060"/>
        <bgColor indexed="64"/>
      </patternFill>
    </fill>
    <fill>
      <patternFill patternType="solid">
        <fgColor theme="1" tint="0.34998626667073579"/>
        <bgColor indexed="64"/>
      </patternFill>
    </fill>
    <fill>
      <patternFill patternType="solid">
        <fgColor rgb="FF00B050"/>
        <bgColor indexed="64"/>
      </patternFill>
    </fill>
  </fills>
  <borders count="32">
    <border>
      <left/>
      <right/>
      <top/>
      <bottom/>
      <diagonal/>
    </border>
    <border>
      <left style="thin">
        <color indexed="22"/>
      </left>
      <right style="thin">
        <color indexed="22"/>
      </right>
      <top/>
      <bottom style="thin">
        <color indexed="22"/>
      </bottom>
      <diagonal/>
    </border>
    <border>
      <left style="thin">
        <color indexed="9"/>
      </left>
      <right style="thin">
        <color indexed="9"/>
      </right>
      <top style="thin">
        <color indexed="9"/>
      </top>
      <bottom style="thin">
        <color indexed="9"/>
      </bottom>
      <diagonal/>
    </border>
    <border>
      <left style="thin">
        <color indexed="9"/>
      </left>
      <right/>
      <top style="thin">
        <color indexed="9"/>
      </top>
      <bottom style="thin">
        <color indexed="9"/>
      </bottom>
      <diagonal/>
    </border>
    <border>
      <left/>
      <right style="thin">
        <color indexed="9"/>
      </right>
      <top style="thin">
        <color indexed="9"/>
      </top>
      <bottom style="thin">
        <color indexed="9"/>
      </bottom>
      <diagonal/>
    </border>
    <border>
      <left style="thin">
        <color indexed="22"/>
      </left>
      <right style="thin">
        <color indexed="22"/>
      </right>
      <top style="thin">
        <color indexed="22"/>
      </top>
      <bottom style="thin">
        <color indexed="22"/>
      </bottom>
      <diagonal/>
    </border>
    <border>
      <left/>
      <right style="thin">
        <color indexed="22"/>
      </right>
      <top/>
      <bottom style="thin">
        <color indexed="22"/>
      </bottom>
      <diagonal/>
    </border>
    <border>
      <left/>
      <right/>
      <top style="thin">
        <color indexed="22"/>
      </top>
      <bottom style="thin">
        <color indexed="22"/>
      </bottom>
      <diagonal/>
    </border>
    <border>
      <left style="thin">
        <color indexed="22"/>
      </left>
      <right style="thin">
        <color indexed="22"/>
      </right>
      <top/>
      <bottom/>
      <diagonal/>
    </border>
    <border>
      <left/>
      <right style="thin">
        <color indexed="22"/>
      </right>
      <top/>
      <bottom/>
      <diagonal/>
    </border>
    <border>
      <left style="thin">
        <color indexed="64"/>
      </left>
      <right style="thin">
        <color indexed="64"/>
      </right>
      <top style="thin">
        <color indexed="64"/>
      </top>
      <bottom style="thin">
        <color indexed="64"/>
      </bottom>
      <diagonal/>
    </border>
    <border>
      <left style="thin">
        <color indexed="22"/>
      </left>
      <right style="thin">
        <color indexed="22"/>
      </right>
      <top style="thin">
        <color indexed="22"/>
      </top>
      <bottom/>
      <diagonal/>
    </border>
    <border>
      <left/>
      <right/>
      <top/>
      <bottom style="thin">
        <color indexed="64"/>
      </bottom>
      <diagonal/>
    </border>
    <border>
      <left/>
      <right style="thin">
        <color indexed="64"/>
      </right>
      <top/>
      <bottom/>
      <diagonal/>
    </border>
    <border>
      <left/>
      <right style="thin">
        <color indexed="64"/>
      </right>
      <top/>
      <bottom style="thin">
        <color indexed="64"/>
      </bottom>
      <diagonal/>
    </border>
    <border>
      <left style="thin">
        <color indexed="64"/>
      </left>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n">
        <color indexed="22"/>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9"/>
      </top>
      <bottom style="thin">
        <color indexed="9"/>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style="thin">
        <color auto="1"/>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thin">
        <color auto="1"/>
      </top>
      <bottom style="thin">
        <color auto="1"/>
      </bottom>
      <diagonal/>
    </border>
    <border>
      <left style="medium">
        <color auto="1"/>
      </left>
      <right style="medium">
        <color auto="1"/>
      </right>
      <top style="medium">
        <color auto="1"/>
      </top>
      <bottom style="medium">
        <color auto="1"/>
      </bottom>
      <diagonal/>
    </border>
    <border>
      <left style="thin">
        <color indexed="64"/>
      </left>
      <right style="thin">
        <color indexed="64"/>
      </right>
      <top/>
      <bottom style="thin">
        <color rgb="FF000000"/>
      </bottom>
      <diagonal/>
    </border>
  </borders>
  <cellStyleXfs count="7">
    <xf numFmtId="0" fontId="0" fillId="0" borderId="0"/>
    <xf numFmtId="164" fontId="1" fillId="0" borderId="0" applyFont="0" applyFill="0" applyBorder="0" applyAlignment="0" applyProtection="0"/>
    <xf numFmtId="9"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3" fillId="0" borderId="0" applyNumberFormat="0" applyFill="0" applyBorder="0" applyAlignment="0" applyProtection="0">
      <alignment vertical="top"/>
      <protection locked="0"/>
    </xf>
  </cellStyleXfs>
  <cellXfs count="355">
    <xf numFmtId="0" fontId="0" fillId="0" borderId="0" xfId="0"/>
    <xf numFmtId="0" fontId="4" fillId="0" borderId="0" xfId="0" applyFont="1"/>
    <xf numFmtId="0" fontId="6" fillId="0" borderId="0" xfId="0" applyFont="1" applyProtection="1">
      <protection hidden="1"/>
    </xf>
    <xf numFmtId="0" fontId="5" fillId="0" borderId="0" xfId="0" applyFont="1" applyAlignment="1" applyProtection="1">
      <alignment horizontal="left"/>
      <protection hidden="1"/>
    </xf>
    <xf numFmtId="0" fontId="6" fillId="0" borderId="0" xfId="1" applyNumberFormat="1" applyFont="1" applyAlignment="1" applyProtection="1">
      <alignment horizontal="center"/>
      <protection hidden="1"/>
    </xf>
    <xf numFmtId="0" fontId="6" fillId="0" borderId="0" xfId="2" applyNumberFormat="1" applyFont="1" applyProtection="1">
      <protection hidden="1"/>
    </xf>
    <xf numFmtId="0" fontId="7" fillId="0" borderId="0" xfId="0" applyFont="1" applyAlignment="1" applyProtection="1">
      <alignment horizontal="left"/>
      <protection hidden="1"/>
    </xf>
    <xf numFmtId="0" fontId="10" fillId="0" borderId="0" xfId="0" applyFont="1" applyAlignment="1" applyProtection="1">
      <alignment horizontal="left"/>
      <protection hidden="1"/>
    </xf>
    <xf numFmtId="0" fontId="6" fillId="0" borderId="0" xfId="0" applyFont="1" applyAlignment="1" applyProtection="1">
      <alignment horizontal="left" indent="1"/>
      <protection hidden="1"/>
    </xf>
    <xf numFmtId="0" fontId="6" fillId="0" borderId="0" xfId="1" applyNumberFormat="1" applyFont="1" applyFill="1" applyBorder="1" applyAlignment="1" applyProtection="1">
      <alignment horizontal="left"/>
      <protection hidden="1"/>
    </xf>
    <xf numFmtId="0" fontId="6" fillId="0" borderId="0" xfId="0" applyFont="1" applyAlignment="1" applyProtection="1">
      <alignment horizontal="left"/>
      <protection hidden="1"/>
    </xf>
    <xf numFmtId="169" fontId="6" fillId="2" borderId="10" xfId="1" applyNumberFormat="1" applyFont="1" applyFill="1" applyBorder="1" applyAlignment="1" applyProtection="1">
      <alignment horizontal="center"/>
      <protection hidden="1"/>
    </xf>
    <xf numFmtId="14" fontId="11" fillId="0" borderId="0" xfId="1" applyNumberFormat="1" applyFont="1" applyAlignment="1" applyProtection="1">
      <alignment horizontal="center"/>
      <protection hidden="1"/>
    </xf>
    <xf numFmtId="0" fontId="11" fillId="0" borderId="0" xfId="0" applyFont="1" applyAlignment="1" applyProtection="1">
      <alignment horizontal="center"/>
      <protection hidden="1"/>
    </xf>
    <xf numFmtId="0" fontId="11" fillId="6" borderId="10" xfId="2" applyNumberFormat="1" applyFont="1" applyFill="1" applyBorder="1" applyAlignment="1" applyProtection="1">
      <alignment horizontal="center"/>
      <protection hidden="1"/>
    </xf>
    <xf numFmtId="0" fontId="11" fillId="6" borderId="10" xfId="1" applyNumberFormat="1" applyFont="1" applyFill="1" applyBorder="1" applyAlignment="1" applyProtection="1">
      <alignment horizontal="center"/>
      <protection hidden="1"/>
    </xf>
    <xf numFmtId="0" fontId="11" fillId="6" borderId="10" xfId="0" applyFont="1" applyFill="1" applyBorder="1" applyAlignment="1" applyProtection="1">
      <alignment horizontal="center"/>
      <protection hidden="1"/>
    </xf>
    <xf numFmtId="0" fontId="6" fillId="2" borderId="19" xfId="1" applyNumberFormat="1" applyFont="1" applyFill="1" applyBorder="1" applyAlignment="1" applyProtection="1">
      <alignment horizontal="center"/>
      <protection hidden="1"/>
    </xf>
    <xf numFmtId="14" fontId="6" fillId="3" borderId="10" xfId="1" applyNumberFormat="1" applyFont="1" applyFill="1" applyBorder="1" applyAlignment="1" applyProtection="1">
      <alignment horizontal="center"/>
      <protection hidden="1"/>
    </xf>
    <xf numFmtId="14" fontId="6" fillId="3" borderId="10" xfId="0" applyNumberFormat="1" applyFont="1" applyFill="1" applyBorder="1" applyAlignment="1" applyProtection="1">
      <alignment horizontal="center"/>
      <protection hidden="1"/>
    </xf>
    <xf numFmtId="0" fontId="6" fillId="0" borderId="0" xfId="1" applyNumberFormat="1" applyFont="1" applyAlignment="1" applyProtection="1">
      <alignment horizontal="left" indent="1"/>
      <protection hidden="1"/>
    </xf>
    <xf numFmtId="0" fontId="6" fillId="2" borderId="10" xfId="1" applyNumberFormat="1" applyFont="1" applyFill="1" applyBorder="1" applyAlignment="1" applyProtection="1">
      <alignment horizontal="center"/>
      <protection hidden="1"/>
    </xf>
    <xf numFmtId="0" fontId="6" fillId="0" borderId="0" xfId="1" applyNumberFormat="1" applyFont="1" applyAlignment="1" applyProtection="1">
      <alignment horizontal="right" indent="1"/>
      <protection hidden="1"/>
    </xf>
    <xf numFmtId="0" fontId="12" fillId="4" borderId="2" xfId="1" applyNumberFormat="1" applyFont="1" applyFill="1" applyBorder="1" applyAlignment="1" applyProtection="1">
      <alignment horizontal="center" vertical="center" wrapText="1"/>
      <protection hidden="1"/>
    </xf>
    <xf numFmtId="0" fontId="12" fillId="4" borderId="2" xfId="2" applyNumberFormat="1" applyFont="1" applyFill="1" applyBorder="1" applyAlignment="1" applyProtection="1">
      <alignment horizontal="center" vertical="center" wrapText="1"/>
      <protection hidden="1"/>
    </xf>
    <xf numFmtId="0" fontId="13" fillId="4" borderId="3" xfId="0" applyFont="1" applyFill="1" applyBorder="1" applyAlignment="1" applyProtection="1">
      <alignment horizontal="left"/>
      <protection hidden="1"/>
    </xf>
    <xf numFmtId="0" fontId="13" fillId="4" borderId="4" xfId="0" applyFont="1" applyFill="1" applyBorder="1" applyAlignment="1" applyProtection="1">
      <alignment horizontal="left"/>
      <protection hidden="1"/>
    </xf>
    <xf numFmtId="3" fontId="6" fillId="2" borderId="6" xfId="1" applyNumberFormat="1" applyFont="1" applyFill="1" applyBorder="1" applyAlignment="1" applyProtection="1">
      <alignment horizontal="center"/>
      <protection hidden="1"/>
    </xf>
    <xf numFmtId="9" fontId="6" fillId="2" borderId="1" xfId="2" applyFont="1" applyFill="1" applyBorder="1" applyAlignment="1" applyProtection="1">
      <alignment horizontal="center"/>
      <protection hidden="1"/>
    </xf>
    <xf numFmtId="3" fontId="6" fillId="3" borderId="1" xfId="1" applyNumberFormat="1" applyFont="1" applyFill="1" applyBorder="1" applyAlignment="1" applyProtection="1">
      <alignment horizontal="center"/>
      <protection hidden="1"/>
    </xf>
    <xf numFmtId="165" fontId="6" fillId="3" borderId="1" xfId="2" applyNumberFormat="1" applyFont="1" applyFill="1" applyBorder="1" applyAlignment="1" applyProtection="1">
      <alignment horizontal="center"/>
      <protection hidden="1"/>
    </xf>
    <xf numFmtId="0" fontId="6" fillId="3" borderId="18" xfId="0" applyFont="1" applyFill="1" applyBorder="1" applyAlignment="1" applyProtection="1">
      <alignment horizontal="left"/>
      <protection hidden="1"/>
    </xf>
    <xf numFmtId="0" fontId="6" fillId="3" borderId="9" xfId="0" applyFont="1" applyFill="1" applyBorder="1" applyAlignment="1" applyProtection="1">
      <alignment horizontal="left"/>
      <protection hidden="1"/>
    </xf>
    <xf numFmtId="3" fontId="6" fillId="2" borderId="5" xfId="1" applyNumberFormat="1" applyFont="1" applyFill="1" applyBorder="1" applyAlignment="1" applyProtection="1">
      <alignment horizontal="center"/>
      <protection hidden="1"/>
    </xf>
    <xf numFmtId="9" fontId="6" fillId="2" borderId="5" xfId="2" applyFont="1" applyFill="1" applyBorder="1" applyAlignment="1" applyProtection="1">
      <alignment horizontal="center"/>
      <protection hidden="1"/>
    </xf>
    <xf numFmtId="3" fontId="6" fillId="3" borderId="5" xfId="1" applyNumberFormat="1" applyFont="1" applyFill="1" applyBorder="1" applyAlignment="1" applyProtection="1">
      <alignment horizontal="center"/>
      <protection hidden="1"/>
    </xf>
    <xf numFmtId="3" fontId="6" fillId="2" borderId="11" xfId="1" applyNumberFormat="1" applyFont="1" applyFill="1" applyBorder="1" applyAlignment="1" applyProtection="1">
      <alignment horizontal="center"/>
      <protection hidden="1"/>
    </xf>
    <xf numFmtId="3" fontId="6" fillId="3" borderId="11" xfId="1" applyNumberFormat="1" applyFont="1" applyFill="1" applyBorder="1" applyAlignment="1" applyProtection="1">
      <alignment horizontal="center"/>
      <protection hidden="1"/>
    </xf>
    <xf numFmtId="165" fontId="6" fillId="3" borderId="8" xfId="2" applyNumberFormat="1" applyFont="1" applyFill="1" applyBorder="1" applyAlignment="1" applyProtection="1">
      <alignment horizontal="center"/>
      <protection hidden="1"/>
    </xf>
    <xf numFmtId="0" fontId="13" fillId="4" borderId="22" xfId="0" applyFont="1" applyFill="1" applyBorder="1" applyAlignment="1" applyProtection="1">
      <alignment horizontal="left"/>
      <protection hidden="1"/>
    </xf>
    <xf numFmtId="3" fontId="13" fillId="4" borderId="4" xfId="0" applyNumberFormat="1" applyFont="1" applyFill="1" applyBorder="1" applyProtection="1">
      <protection hidden="1"/>
    </xf>
    <xf numFmtId="9" fontId="6" fillId="2" borderId="7" xfId="2" applyFont="1" applyFill="1" applyBorder="1" applyAlignment="1" applyProtection="1">
      <alignment horizontal="center"/>
      <protection hidden="1"/>
    </xf>
    <xf numFmtId="3" fontId="13" fillId="4" borderId="2" xfId="1" applyNumberFormat="1" applyFont="1" applyFill="1" applyBorder="1" applyAlignment="1" applyProtection="1">
      <alignment horizontal="center"/>
      <protection hidden="1"/>
    </xf>
    <xf numFmtId="165" fontId="13" fillId="4" borderId="2" xfId="2" applyNumberFormat="1" applyFont="1" applyFill="1" applyBorder="1" applyAlignment="1" applyProtection="1">
      <alignment horizontal="center"/>
      <protection hidden="1"/>
    </xf>
    <xf numFmtId="0" fontId="7" fillId="0" borderId="0" xfId="1" applyNumberFormat="1" applyFont="1" applyAlignment="1" applyProtection="1">
      <alignment horizontal="center"/>
      <protection hidden="1"/>
    </xf>
    <xf numFmtId="0" fontId="7" fillId="0" borderId="0" xfId="2" applyNumberFormat="1" applyFont="1" applyAlignment="1" applyProtection="1">
      <alignment horizontal="center"/>
      <protection hidden="1"/>
    </xf>
    <xf numFmtId="0" fontId="7" fillId="0" borderId="0" xfId="0" applyFont="1" applyProtection="1">
      <protection hidden="1"/>
    </xf>
    <xf numFmtId="0" fontId="6" fillId="5" borderId="10" xfId="0" applyFont="1" applyFill="1" applyBorder="1" applyAlignment="1" applyProtection="1">
      <alignment horizontal="left"/>
      <protection hidden="1"/>
    </xf>
    <xf numFmtId="164" fontId="6" fillId="5" borderId="10" xfId="1" applyFont="1" applyFill="1" applyBorder="1" applyAlignment="1" applyProtection="1">
      <alignment horizontal="center"/>
      <protection hidden="1"/>
    </xf>
    <xf numFmtId="164" fontId="6" fillId="3" borderId="10" xfId="1" applyFont="1" applyFill="1" applyBorder="1" applyAlignment="1" applyProtection="1">
      <alignment horizontal="center"/>
      <protection hidden="1"/>
    </xf>
    <xf numFmtId="0" fontId="7" fillId="0" borderId="10" xfId="0" applyFont="1" applyBorder="1" applyAlignment="1" applyProtection="1">
      <alignment horizontal="left"/>
      <protection hidden="1"/>
    </xf>
    <xf numFmtId="0" fontId="6" fillId="0" borderId="10" xfId="0" applyFont="1" applyBorder="1" applyAlignment="1" applyProtection="1">
      <alignment horizontal="left"/>
      <protection hidden="1"/>
    </xf>
    <xf numFmtId="164" fontId="6" fillId="0" borderId="10" xfId="1" applyFont="1" applyBorder="1" applyAlignment="1" applyProtection="1">
      <alignment horizontal="center"/>
      <protection hidden="1"/>
    </xf>
    <xf numFmtId="0" fontId="6" fillId="0" borderId="10" xfId="2" applyNumberFormat="1" applyFont="1" applyBorder="1" applyProtection="1">
      <protection hidden="1"/>
    </xf>
    <xf numFmtId="0" fontId="7" fillId="0" borderId="0" xfId="0" applyFont="1" applyAlignment="1" applyProtection="1">
      <alignment horizontal="center"/>
      <protection hidden="1"/>
    </xf>
    <xf numFmtId="0" fontId="6" fillId="3" borderId="10" xfId="0" applyFont="1" applyFill="1" applyBorder="1" applyAlignment="1" applyProtection="1">
      <alignment horizontal="left"/>
      <protection hidden="1"/>
    </xf>
    <xf numFmtId="3" fontId="6" fillId="5" borderId="10" xfId="1" applyNumberFormat="1" applyFont="1" applyFill="1" applyBorder="1" applyAlignment="1" applyProtection="1">
      <alignment horizontal="center"/>
      <protection hidden="1"/>
    </xf>
    <xf numFmtId="3" fontId="6" fillId="3" borderId="10" xfId="1" applyNumberFormat="1" applyFont="1" applyFill="1" applyBorder="1" applyAlignment="1" applyProtection="1">
      <alignment horizontal="center"/>
      <protection hidden="1"/>
    </xf>
    <xf numFmtId="3" fontId="6" fillId="3" borderId="10" xfId="0" applyNumberFormat="1" applyFont="1" applyFill="1" applyBorder="1" applyAlignment="1" applyProtection="1">
      <alignment horizontal="left"/>
      <protection hidden="1"/>
    </xf>
    <xf numFmtId="0" fontId="7" fillId="0" borderId="23" xfId="0" applyFont="1" applyBorder="1" applyAlignment="1" applyProtection="1">
      <alignment horizontal="left"/>
      <protection hidden="1"/>
    </xf>
    <xf numFmtId="3" fontId="6" fillId="0" borderId="10" xfId="1" applyNumberFormat="1" applyFont="1" applyBorder="1" applyAlignment="1" applyProtection="1">
      <alignment horizontal="center"/>
      <protection hidden="1"/>
    </xf>
    <xf numFmtId="0" fontId="10" fillId="0" borderId="0" xfId="1" applyNumberFormat="1" applyFont="1" applyAlignment="1" applyProtection="1">
      <alignment horizontal="center"/>
      <protection hidden="1"/>
    </xf>
    <xf numFmtId="0" fontId="6" fillId="5" borderId="29" xfId="0" applyFont="1" applyFill="1" applyBorder="1" applyAlignment="1" applyProtection="1">
      <alignment horizontal="center"/>
      <protection hidden="1"/>
    </xf>
    <xf numFmtId="165" fontId="6" fillId="5" borderId="29" xfId="0" applyNumberFormat="1" applyFont="1" applyFill="1" applyBorder="1" applyAlignment="1" applyProtection="1">
      <alignment horizontal="center"/>
      <protection hidden="1"/>
    </xf>
    <xf numFmtId="0" fontId="6" fillId="5" borderId="10" xfId="2" applyNumberFormat="1" applyFont="1" applyFill="1" applyBorder="1" applyAlignment="1" applyProtection="1">
      <alignment horizontal="center"/>
      <protection hidden="1"/>
    </xf>
    <xf numFmtId="0" fontId="6" fillId="5" borderId="23" xfId="0" applyFont="1" applyFill="1" applyBorder="1" applyProtection="1">
      <protection hidden="1"/>
    </xf>
    <xf numFmtId="0" fontId="6" fillId="5" borderId="24" xfId="0" applyFont="1" applyFill="1" applyBorder="1" applyProtection="1">
      <protection hidden="1"/>
    </xf>
    <xf numFmtId="0" fontId="6" fillId="5" borderId="25" xfId="0" applyFont="1" applyFill="1" applyBorder="1" applyProtection="1">
      <protection hidden="1"/>
    </xf>
    <xf numFmtId="0" fontId="6" fillId="5" borderId="19" xfId="0" applyFont="1" applyFill="1" applyBorder="1" applyProtection="1">
      <protection hidden="1"/>
    </xf>
    <xf numFmtId="0" fontId="6" fillId="5" borderId="20" xfId="0" applyFont="1" applyFill="1" applyBorder="1" applyProtection="1">
      <protection hidden="1"/>
    </xf>
    <xf numFmtId="0" fontId="6" fillId="5" borderId="21" xfId="0" applyFont="1" applyFill="1" applyBorder="1" applyProtection="1">
      <protection hidden="1"/>
    </xf>
    <xf numFmtId="0" fontId="6" fillId="5" borderId="21" xfId="0" applyFont="1" applyFill="1" applyBorder="1" applyAlignment="1" applyProtection="1">
      <alignment horizontal="center"/>
      <protection hidden="1"/>
    </xf>
    <xf numFmtId="165" fontId="6" fillId="5" borderId="21" xfId="0" applyNumberFormat="1" applyFont="1" applyFill="1" applyBorder="1" applyAlignment="1" applyProtection="1">
      <alignment horizontal="center"/>
      <protection hidden="1"/>
    </xf>
    <xf numFmtId="0" fontId="6" fillId="5" borderId="21" xfId="2" applyNumberFormat="1" applyFont="1" applyFill="1" applyBorder="1" applyAlignment="1" applyProtection="1">
      <alignment horizontal="center"/>
      <protection hidden="1"/>
    </xf>
    <xf numFmtId="0" fontId="7" fillId="0" borderId="29" xfId="0" applyFont="1" applyBorder="1" applyAlignment="1" applyProtection="1">
      <alignment horizontal="center"/>
      <protection hidden="1"/>
    </xf>
    <xf numFmtId="165" fontId="7" fillId="0" borderId="29" xfId="0" applyNumberFormat="1" applyFont="1" applyBorder="1" applyAlignment="1" applyProtection="1">
      <alignment horizontal="center"/>
      <protection hidden="1"/>
    </xf>
    <xf numFmtId="0" fontId="7" fillId="0" borderId="25" xfId="0" applyFont="1" applyBorder="1" applyProtection="1">
      <protection hidden="1"/>
    </xf>
    <xf numFmtId="165" fontId="7" fillId="0" borderId="0" xfId="2" applyNumberFormat="1" applyFont="1" applyAlignment="1" applyProtection="1">
      <alignment horizontal="center"/>
      <protection hidden="1"/>
    </xf>
    <xf numFmtId="4" fontId="6" fillId="5" borderId="10" xfId="2" applyNumberFormat="1" applyFont="1" applyFill="1" applyBorder="1" applyAlignment="1" applyProtection="1">
      <alignment horizontal="center"/>
      <protection hidden="1"/>
    </xf>
    <xf numFmtId="9" fontId="6" fillId="5" borderId="10" xfId="2" applyFont="1" applyFill="1" applyBorder="1" applyAlignment="1" applyProtection="1">
      <alignment horizontal="center"/>
      <protection hidden="1"/>
    </xf>
    <xf numFmtId="0" fontId="6" fillId="5" borderId="10" xfId="1" applyNumberFormat="1" applyFont="1" applyFill="1" applyBorder="1" applyAlignment="1" applyProtection="1">
      <alignment horizontal="center"/>
      <protection hidden="1"/>
    </xf>
    <xf numFmtId="165" fontId="6" fillId="5" borderId="10" xfId="2" applyNumberFormat="1" applyFont="1" applyFill="1" applyBorder="1" applyAlignment="1" applyProtection="1">
      <alignment horizontal="center"/>
      <protection hidden="1"/>
    </xf>
    <xf numFmtId="10" fontId="6" fillId="5" borderId="10" xfId="2" applyNumberFormat="1" applyFont="1" applyFill="1" applyBorder="1" applyAlignment="1" applyProtection="1">
      <alignment horizontal="center"/>
      <protection hidden="1"/>
    </xf>
    <xf numFmtId="4" fontId="7" fillId="0" borderId="10" xfId="0" applyNumberFormat="1" applyFont="1" applyBorder="1" applyProtection="1">
      <protection hidden="1"/>
    </xf>
    <xf numFmtId="0" fontId="7" fillId="0" borderId="10" xfId="0" applyFont="1" applyBorder="1" applyProtection="1">
      <protection hidden="1"/>
    </xf>
    <xf numFmtId="0" fontId="7" fillId="0" borderId="10" xfId="0" applyFont="1" applyBorder="1" applyAlignment="1" applyProtection="1">
      <alignment horizontal="center"/>
      <protection hidden="1"/>
    </xf>
    <xf numFmtId="0" fontId="6" fillId="0" borderId="10" xfId="1" applyNumberFormat="1" applyFont="1" applyFill="1" applyBorder="1" applyAlignment="1" applyProtection="1">
      <alignment horizontal="center"/>
      <protection hidden="1"/>
    </xf>
    <xf numFmtId="3" fontId="6" fillId="0" borderId="10" xfId="1" applyNumberFormat="1" applyFont="1" applyFill="1" applyBorder="1" applyAlignment="1" applyProtection="1">
      <alignment horizontal="center"/>
      <protection hidden="1"/>
    </xf>
    <xf numFmtId="165" fontId="6" fillId="0" borderId="10" xfId="2" applyNumberFormat="1" applyFont="1" applyFill="1" applyBorder="1" applyAlignment="1" applyProtection="1">
      <alignment horizontal="center"/>
      <protection hidden="1"/>
    </xf>
    <xf numFmtId="172" fontId="6" fillId="5" borderId="10" xfId="1" applyNumberFormat="1" applyFont="1" applyFill="1" applyBorder="1" applyAlignment="1" applyProtection="1">
      <alignment horizontal="center"/>
      <protection hidden="1"/>
    </xf>
    <xf numFmtId="172" fontId="6" fillId="0" borderId="10" xfId="1" applyNumberFormat="1" applyFont="1" applyFill="1" applyBorder="1" applyAlignment="1" applyProtection="1">
      <alignment horizontal="center"/>
      <protection hidden="1"/>
    </xf>
    <xf numFmtId="0" fontId="6" fillId="0" borderId="10" xfId="1" applyNumberFormat="1" applyFont="1" applyBorder="1" applyAlignment="1" applyProtection="1">
      <alignment horizontal="center"/>
      <protection hidden="1"/>
    </xf>
    <xf numFmtId="169" fontId="6" fillId="0" borderId="0" xfId="0" applyNumberFormat="1" applyFont="1" applyAlignment="1" applyProtection="1">
      <alignment horizontal="left"/>
      <protection hidden="1"/>
    </xf>
    <xf numFmtId="169" fontId="7" fillId="0" borderId="0" xfId="0" applyNumberFormat="1" applyFont="1" applyAlignment="1" applyProtection="1">
      <alignment horizontal="left"/>
      <protection hidden="1"/>
    </xf>
    <xf numFmtId="0" fontId="5" fillId="0" borderId="0" xfId="1" applyNumberFormat="1" applyFont="1" applyAlignment="1" applyProtection="1">
      <alignment horizontal="center"/>
      <protection hidden="1"/>
    </xf>
    <xf numFmtId="0" fontId="5" fillId="0" borderId="0" xfId="2" applyNumberFormat="1" applyFont="1" applyProtection="1">
      <protection hidden="1"/>
    </xf>
    <xf numFmtId="0" fontId="5" fillId="0" borderId="0" xfId="0" applyFont="1" applyProtection="1">
      <protection hidden="1"/>
    </xf>
    <xf numFmtId="164" fontId="6" fillId="0" borderId="0" xfId="1" applyFont="1" applyAlignment="1" applyProtection="1">
      <alignment horizontal="center"/>
      <protection hidden="1"/>
    </xf>
    <xf numFmtId="164" fontId="6" fillId="0" borderId="0" xfId="1" applyFont="1" applyProtection="1">
      <protection hidden="1"/>
    </xf>
    <xf numFmtId="0" fontId="6" fillId="3" borderId="10" xfId="0" applyFont="1" applyFill="1" applyBorder="1" applyAlignment="1" applyProtection="1">
      <alignment horizontal="center"/>
      <protection hidden="1"/>
    </xf>
    <xf numFmtId="0" fontId="6" fillId="3" borderId="10" xfId="1" applyNumberFormat="1" applyFont="1" applyFill="1" applyBorder="1" applyAlignment="1" applyProtection="1">
      <alignment horizontal="center"/>
      <protection hidden="1"/>
    </xf>
    <xf numFmtId="0" fontId="6" fillId="0" borderId="0" xfId="0" applyFont="1" applyAlignment="1" applyProtection="1">
      <alignment horizontal="center"/>
      <protection hidden="1"/>
    </xf>
    <xf numFmtId="0" fontId="6" fillId="3" borderId="10" xfId="2" applyNumberFormat="1" applyFont="1" applyFill="1" applyBorder="1" applyAlignment="1" applyProtection="1">
      <alignment horizontal="center"/>
      <protection hidden="1"/>
    </xf>
    <xf numFmtId="0" fontId="6" fillId="0" borderId="0" xfId="2" applyNumberFormat="1" applyFont="1" applyAlignment="1" applyProtection="1">
      <alignment horizontal="center"/>
      <protection hidden="1"/>
    </xf>
    <xf numFmtId="14" fontId="5" fillId="0" borderId="0" xfId="0" applyNumberFormat="1" applyFont="1" applyAlignment="1" applyProtection="1">
      <alignment horizontal="left"/>
      <protection hidden="1"/>
    </xf>
    <xf numFmtId="14" fontId="5" fillId="0" borderId="0" xfId="0" applyNumberFormat="1" applyFont="1" applyAlignment="1" applyProtection="1">
      <alignment horizontal="center"/>
      <protection hidden="1"/>
    </xf>
    <xf numFmtId="0" fontId="5" fillId="0" borderId="0" xfId="0" applyFont="1" applyAlignment="1" applyProtection="1">
      <alignment horizontal="center"/>
      <protection hidden="1"/>
    </xf>
    <xf numFmtId="1" fontId="5" fillId="0" borderId="0" xfId="0" applyNumberFormat="1" applyFont="1" applyAlignment="1" applyProtection="1">
      <alignment horizontal="left"/>
      <protection hidden="1"/>
    </xf>
    <xf numFmtId="4" fontId="6" fillId="0" borderId="0" xfId="2" applyNumberFormat="1" applyFont="1" applyFill="1" applyBorder="1" applyAlignment="1" applyProtection="1">
      <alignment horizontal="left" indent="1"/>
      <protection hidden="1"/>
    </xf>
    <xf numFmtId="164" fontId="6" fillId="0" borderId="0" xfId="1" applyFont="1" applyFill="1" applyBorder="1" applyAlignment="1" applyProtection="1">
      <alignment horizontal="left" indent="1"/>
      <protection hidden="1"/>
    </xf>
    <xf numFmtId="10" fontId="6" fillId="0" borderId="0" xfId="2" applyNumberFormat="1" applyFont="1" applyFill="1" applyBorder="1" applyProtection="1">
      <protection hidden="1"/>
    </xf>
    <xf numFmtId="164" fontId="6" fillId="0" borderId="0" xfId="1" applyFont="1" applyFill="1" applyBorder="1" applyProtection="1">
      <protection hidden="1"/>
    </xf>
    <xf numFmtId="14" fontId="7" fillId="0" borderId="0" xfId="0" applyNumberFormat="1" applyFont="1" applyAlignment="1" applyProtection="1">
      <alignment horizontal="left"/>
      <protection hidden="1"/>
    </xf>
    <xf numFmtId="165" fontId="6" fillId="0" borderId="0" xfId="2" applyNumberFormat="1" applyFont="1" applyFill="1" applyBorder="1" applyAlignment="1" applyProtection="1">
      <alignment horizontal="center"/>
      <protection hidden="1"/>
    </xf>
    <xf numFmtId="4" fontId="6" fillId="0" borderId="0" xfId="2" applyNumberFormat="1" applyFont="1" applyFill="1" applyBorder="1" applyProtection="1">
      <protection hidden="1"/>
    </xf>
    <xf numFmtId="14" fontId="8" fillId="0" borderId="0" xfId="0" applyNumberFormat="1" applyFont="1" applyAlignment="1" applyProtection="1">
      <alignment horizontal="center"/>
      <protection hidden="1"/>
    </xf>
    <xf numFmtId="0" fontId="8" fillId="0" borderId="0" xfId="0" applyFont="1" applyAlignment="1" applyProtection="1">
      <alignment horizontal="center"/>
      <protection hidden="1"/>
    </xf>
    <xf numFmtId="1" fontId="8" fillId="0" borderId="0" xfId="0" applyNumberFormat="1" applyFont="1" applyAlignment="1" applyProtection="1">
      <alignment horizontal="center"/>
      <protection hidden="1"/>
    </xf>
    <xf numFmtId="165" fontId="7" fillId="0" borderId="0" xfId="2" applyNumberFormat="1" applyFont="1" applyFill="1" applyBorder="1" applyAlignment="1" applyProtection="1">
      <alignment horizontal="center"/>
      <protection hidden="1"/>
    </xf>
    <xf numFmtId="164" fontId="7" fillId="0" borderId="0" xfId="1" applyFont="1" applyFill="1" applyBorder="1" applyAlignment="1" applyProtection="1">
      <alignment horizontal="center"/>
      <protection hidden="1"/>
    </xf>
    <xf numFmtId="10" fontId="7" fillId="0" borderId="0" xfId="2" applyNumberFormat="1" applyFont="1" applyFill="1" applyBorder="1" applyAlignment="1" applyProtection="1">
      <alignment horizontal="center"/>
      <protection hidden="1"/>
    </xf>
    <xf numFmtId="0" fontId="14" fillId="5" borderId="10" xfId="0" applyFont="1" applyFill="1" applyBorder="1" applyAlignment="1" applyProtection="1">
      <alignment horizontal="left" wrapText="1"/>
      <protection hidden="1"/>
    </xf>
    <xf numFmtId="0" fontId="14" fillId="5" borderId="10" xfId="0" applyFont="1" applyFill="1" applyBorder="1" applyAlignment="1" applyProtection="1">
      <alignment horizontal="center" wrapText="1"/>
      <protection hidden="1"/>
    </xf>
    <xf numFmtId="0" fontId="14" fillId="5" borderId="10" xfId="2" applyNumberFormat="1" applyFont="1" applyFill="1" applyBorder="1" applyAlignment="1" applyProtection="1">
      <alignment horizontal="center" wrapText="1"/>
      <protection hidden="1"/>
    </xf>
    <xf numFmtId="0" fontId="14" fillId="5" borderId="10" xfId="1" applyNumberFormat="1" applyFont="1" applyFill="1" applyBorder="1" applyAlignment="1" applyProtection="1">
      <alignment horizontal="center" wrapText="1"/>
      <protection hidden="1"/>
    </xf>
    <xf numFmtId="0" fontId="11" fillId="6" borderId="10" xfId="2" applyNumberFormat="1" applyFont="1" applyFill="1" applyBorder="1" applyAlignment="1" applyProtection="1">
      <alignment horizontal="center" wrapText="1"/>
      <protection hidden="1"/>
    </xf>
    <xf numFmtId="0" fontId="11" fillId="6" borderId="10" xfId="1" applyNumberFormat="1" applyFont="1" applyFill="1" applyBorder="1" applyAlignment="1" applyProtection="1">
      <alignment horizontal="center" wrapText="1"/>
      <protection hidden="1"/>
    </xf>
    <xf numFmtId="0" fontId="6" fillId="0" borderId="0" xfId="0" applyFont="1" applyAlignment="1" applyProtection="1">
      <alignment wrapText="1"/>
      <protection hidden="1"/>
    </xf>
    <xf numFmtId="14" fontId="6" fillId="0" borderId="0" xfId="1" applyNumberFormat="1" applyFont="1" applyFill="1" applyBorder="1" applyAlignment="1" applyProtection="1">
      <alignment horizontal="left"/>
      <protection hidden="1"/>
    </xf>
    <xf numFmtId="14" fontId="6" fillId="0" borderId="0" xfId="1" applyNumberFormat="1" applyFont="1" applyFill="1" applyBorder="1" applyAlignment="1" applyProtection="1">
      <alignment horizontal="center"/>
      <protection hidden="1"/>
    </xf>
    <xf numFmtId="0" fontId="6" fillId="0" borderId="0" xfId="1" applyNumberFormat="1" applyFont="1" applyFill="1" applyBorder="1" applyAlignment="1" applyProtection="1">
      <alignment horizontal="center"/>
      <protection hidden="1"/>
    </xf>
    <xf numFmtId="1" fontId="6" fillId="0" borderId="0" xfId="1" applyNumberFormat="1" applyFont="1" applyFill="1" applyBorder="1" applyAlignment="1" applyProtection="1">
      <alignment horizontal="left"/>
      <protection hidden="1"/>
    </xf>
    <xf numFmtId="4" fontId="6" fillId="0" borderId="0" xfId="2" applyNumberFormat="1" applyFont="1" applyFill="1" applyBorder="1" applyAlignment="1" applyProtection="1">
      <alignment horizontal="center"/>
      <protection hidden="1"/>
    </xf>
    <xf numFmtId="164" fontId="6" fillId="0" borderId="0" xfId="1" applyFont="1" applyFill="1" applyBorder="1" applyAlignment="1" applyProtection="1">
      <alignment horizontal="center"/>
      <protection hidden="1"/>
    </xf>
    <xf numFmtId="10" fontId="6" fillId="0" borderId="0" xfId="2" applyNumberFormat="1" applyFont="1" applyFill="1" applyBorder="1" applyAlignment="1" applyProtection="1">
      <alignment horizontal="center"/>
      <protection hidden="1"/>
    </xf>
    <xf numFmtId="167" fontId="6" fillId="0" borderId="0" xfId="0" applyNumberFormat="1" applyFont="1" applyProtection="1">
      <protection hidden="1"/>
    </xf>
    <xf numFmtId="167" fontId="6" fillId="0" borderId="0" xfId="0" applyNumberFormat="1" applyFont="1" applyAlignment="1" applyProtection="1">
      <alignment horizontal="center"/>
      <protection hidden="1"/>
    </xf>
    <xf numFmtId="14" fontId="6" fillId="0" borderId="0" xfId="0" applyNumberFormat="1" applyFont="1" applyAlignment="1" applyProtection="1">
      <alignment horizontal="center"/>
      <protection hidden="1"/>
    </xf>
    <xf numFmtId="1" fontId="6" fillId="0" borderId="0" xfId="0" applyNumberFormat="1" applyFont="1" applyAlignment="1" applyProtection="1">
      <alignment horizontal="left"/>
      <protection hidden="1"/>
    </xf>
    <xf numFmtId="164" fontId="6" fillId="0" borderId="0" xfId="1" applyFont="1" applyFill="1" applyProtection="1">
      <protection hidden="1"/>
    </xf>
    <xf numFmtId="164" fontId="6" fillId="0" borderId="0" xfId="1" applyFont="1" applyFill="1" applyAlignment="1" applyProtection="1">
      <alignment horizontal="right"/>
      <protection hidden="1"/>
    </xf>
    <xf numFmtId="164" fontId="7" fillId="0" borderId="0" xfId="1" applyFont="1" applyFill="1" applyAlignment="1" applyProtection="1">
      <alignment horizontal="center"/>
      <protection hidden="1"/>
    </xf>
    <xf numFmtId="3" fontId="6" fillId="0" borderId="0" xfId="1" applyNumberFormat="1" applyFont="1" applyFill="1" applyProtection="1">
      <protection hidden="1"/>
    </xf>
    <xf numFmtId="14" fontId="6" fillId="0" borderId="0" xfId="1" applyNumberFormat="1" applyFont="1" applyFill="1" applyProtection="1">
      <protection hidden="1"/>
    </xf>
    <xf numFmtId="171" fontId="6" fillId="0" borderId="0" xfId="1" applyNumberFormat="1" applyFont="1" applyFill="1" applyAlignment="1" applyProtection="1">
      <alignment horizontal="center"/>
      <protection hidden="1"/>
    </xf>
    <xf numFmtId="0" fontId="6" fillId="0" borderId="0" xfId="1" applyNumberFormat="1" applyFont="1" applyFill="1" applyAlignment="1" applyProtection="1">
      <alignment horizontal="center"/>
      <protection hidden="1"/>
    </xf>
    <xf numFmtId="3" fontId="6" fillId="0" borderId="0" xfId="1" applyNumberFormat="1" applyFont="1" applyFill="1" applyAlignment="1" applyProtection="1">
      <alignment horizontal="center"/>
      <protection hidden="1"/>
    </xf>
    <xf numFmtId="37" fontId="6" fillId="0" borderId="0" xfId="1" applyNumberFormat="1" applyFont="1" applyFill="1" applyAlignment="1" applyProtection="1">
      <alignment horizontal="center"/>
      <protection hidden="1"/>
    </xf>
    <xf numFmtId="166" fontId="6" fillId="0" borderId="0" xfId="1" applyNumberFormat="1" applyFont="1" applyFill="1" applyProtection="1">
      <protection hidden="1"/>
    </xf>
    <xf numFmtId="166" fontId="7" fillId="0" borderId="0" xfId="1" applyNumberFormat="1" applyFont="1" applyFill="1" applyAlignment="1" applyProtection="1">
      <alignment horizontal="center"/>
      <protection hidden="1"/>
    </xf>
    <xf numFmtId="165" fontId="6" fillId="0" borderId="0" xfId="2" applyNumberFormat="1" applyFont="1" applyFill="1" applyProtection="1">
      <protection hidden="1"/>
    </xf>
    <xf numFmtId="14" fontId="7" fillId="0" borderId="0" xfId="0" applyNumberFormat="1" applyFont="1" applyAlignment="1" applyProtection="1">
      <alignment horizontal="center"/>
      <protection hidden="1"/>
    </xf>
    <xf numFmtId="164" fontId="7" fillId="0" borderId="0" xfId="1" applyFont="1" applyFill="1" applyProtection="1">
      <protection hidden="1"/>
    </xf>
    <xf numFmtId="0" fontId="7" fillId="0" borderId="0" xfId="1" applyNumberFormat="1" applyFont="1" applyFill="1" applyAlignment="1" applyProtection="1">
      <alignment horizontal="right"/>
      <protection hidden="1"/>
    </xf>
    <xf numFmtId="0" fontId="7" fillId="0" borderId="0" xfId="1" applyNumberFormat="1" applyFont="1" applyFill="1" applyAlignment="1" applyProtection="1">
      <alignment horizontal="center"/>
      <protection hidden="1"/>
    </xf>
    <xf numFmtId="165" fontId="7" fillId="0" borderId="0" xfId="2" applyNumberFormat="1" applyFont="1" applyFill="1" applyAlignment="1" applyProtection="1">
      <alignment horizontal="center"/>
      <protection hidden="1"/>
    </xf>
    <xf numFmtId="3" fontId="7" fillId="0" borderId="0" xfId="1" applyNumberFormat="1" applyFont="1" applyFill="1" applyProtection="1">
      <protection hidden="1"/>
    </xf>
    <xf numFmtId="14" fontId="7" fillId="0" borderId="0" xfId="1" applyNumberFormat="1" applyFont="1" applyFill="1" applyProtection="1">
      <protection hidden="1"/>
    </xf>
    <xf numFmtId="171" fontId="7" fillId="0" borderId="0" xfId="1" applyNumberFormat="1" applyFont="1" applyFill="1" applyAlignment="1" applyProtection="1">
      <alignment horizontal="center"/>
      <protection hidden="1"/>
    </xf>
    <xf numFmtId="3" fontId="7" fillId="0" borderId="0" xfId="1" applyNumberFormat="1" applyFont="1" applyFill="1" applyAlignment="1" applyProtection="1">
      <alignment horizontal="center"/>
      <protection hidden="1"/>
    </xf>
    <xf numFmtId="37" fontId="7" fillId="0" borderId="0" xfId="1" applyNumberFormat="1" applyFont="1" applyFill="1" applyAlignment="1" applyProtection="1">
      <alignment horizontal="center"/>
      <protection hidden="1"/>
    </xf>
    <xf numFmtId="166" fontId="7" fillId="0" borderId="0" xfId="1" applyNumberFormat="1" applyFont="1" applyFill="1" applyProtection="1">
      <protection hidden="1"/>
    </xf>
    <xf numFmtId="165" fontId="7" fillId="0" borderId="0" xfId="2" applyNumberFormat="1" applyFont="1" applyFill="1" applyProtection="1">
      <protection hidden="1"/>
    </xf>
    <xf numFmtId="165" fontId="6" fillId="0" borderId="0" xfId="2" applyNumberFormat="1" applyFont="1" applyFill="1" applyAlignment="1" applyProtection="1">
      <alignment horizontal="center"/>
      <protection hidden="1"/>
    </xf>
    <xf numFmtId="37" fontId="7" fillId="0" borderId="0" xfId="1" applyNumberFormat="1" applyFont="1" applyFill="1" applyAlignment="1" applyProtection="1">
      <alignment horizontal="right"/>
      <protection hidden="1"/>
    </xf>
    <xf numFmtId="37" fontId="6" fillId="0" borderId="0" xfId="1" applyNumberFormat="1" applyFont="1" applyFill="1" applyProtection="1">
      <protection hidden="1"/>
    </xf>
    <xf numFmtId="14" fontId="10" fillId="8" borderId="0" xfId="0" applyNumberFormat="1" applyFont="1" applyFill="1" applyAlignment="1" applyProtection="1">
      <alignment horizontal="center"/>
      <protection hidden="1"/>
    </xf>
    <xf numFmtId="0" fontId="8" fillId="0" borderId="0" xfId="0" applyFont="1" applyAlignment="1" applyProtection="1">
      <alignment horizontal="left"/>
      <protection hidden="1"/>
    </xf>
    <xf numFmtId="0" fontId="7" fillId="0" borderId="0" xfId="1" applyNumberFormat="1" applyFont="1" applyFill="1" applyProtection="1">
      <protection hidden="1"/>
    </xf>
    <xf numFmtId="14" fontId="7" fillId="0" borderId="0" xfId="1" applyNumberFormat="1" applyFont="1" applyFill="1" applyAlignment="1" applyProtection="1">
      <alignment horizontal="center"/>
      <protection hidden="1"/>
    </xf>
    <xf numFmtId="0" fontId="14" fillId="3" borderId="10" xfId="1" applyNumberFormat="1" applyFont="1" applyFill="1" applyBorder="1" applyAlignment="1" applyProtection="1">
      <alignment horizontal="left" wrapText="1"/>
      <protection hidden="1"/>
    </xf>
    <xf numFmtId="0" fontId="14" fillId="3" borderId="10" xfId="0" applyFont="1" applyFill="1" applyBorder="1" applyAlignment="1" applyProtection="1">
      <alignment horizontal="center" wrapText="1"/>
      <protection hidden="1"/>
    </xf>
    <xf numFmtId="0" fontId="14" fillId="3" borderId="10" xfId="0" applyFont="1" applyFill="1" applyBorder="1" applyAlignment="1" applyProtection="1">
      <alignment horizontal="left" wrapText="1"/>
      <protection hidden="1"/>
    </xf>
    <xf numFmtId="0" fontId="14" fillId="3" borderId="10" xfId="1" applyNumberFormat="1" applyFont="1" applyFill="1" applyBorder="1" applyAlignment="1" applyProtection="1">
      <alignment horizontal="center" wrapText="1"/>
      <protection hidden="1"/>
    </xf>
    <xf numFmtId="0" fontId="14" fillId="3" borderId="17" xfId="1" applyNumberFormat="1" applyFont="1" applyFill="1" applyBorder="1" applyAlignment="1" applyProtection="1">
      <alignment horizontal="center" wrapText="1"/>
      <protection hidden="1"/>
    </xf>
    <xf numFmtId="14" fontId="14" fillId="3" borderId="17" xfId="1" applyNumberFormat="1" applyFont="1" applyFill="1" applyBorder="1" applyAlignment="1" applyProtection="1">
      <alignment horizontal="center" wrapText="1"/>
      <protection hidden="1"/>
    </xf>
    <xf numFmtId="3" fontId="14" fillId="3" borderId="17" xfId="1" applyNumberFormat="1" applyFont="1" applyFill="1" applyBorder="1" applyAlignment="1" applyProtection="1">
      <alignment horizontal="center" wrapText="1"/>
      <protection hidden="1"/>
    </xf>
    <xf numFmtId="0" fontId="14" fillId="3" borderId="17" xfId="0" applyFont="1" applyFill="1" applyBorder="1" applyAlignment="1" applyProtection="1">
      <alignment horizontal="center" wrapText="1"/>
      <protection hidden="1"/>
    </xf>
    <xf numFmtId="0" fontId="11" fillId="6" borderId="17" xfId="1" applyNumberFormat="1" applyFont="1" applyFill="1" applyBorder="1" applyAlignment="1" applyProtection="1">
      <alignment horizontal="center" wrapText="1"/>
      <protection hidden="1"/>
    </xf>
    <xf numFmtId="166" fontId="11" fillId="6" borderId="17" xfId="1" applyNumberFormat="1" applyFont="1" applyFill="1" applyBorder="1" applyAlignment="1" applyProtection="1">
      <alignment horizontal="center" wrapText="1"/>
      <protection hidden="1"/>
    </xf>
    <xf numFmtId="165" fontId="11" fillId="6" borderId="17" xfId="2" applyNumberFormat="1" applyFont="1" applyFill="1" applyBorder="1" applyAlignment="1" applyProtection="1">
      <alignment horizontal="center" wrapText="1"/>
      <protection hidden="1"/>
    </xf>
    <xf numFmtId="0" fontId="14" fillId="0" borderId="0" xfId="0" applyFont="1" applyAlignment="1" applyProtection="1">
      <alignment horizontal="center" wrapText="1"/>
      <protection hidden="1"/>
    </xf>
    <xf numFmtId="164" fontId="6" fillId="0" borderId="0" xfId="1" applyFont="1" applyFill="1" applyBorder="1" applyAlignment="1" applyProtection="1">
      <alignment horizontal="right"/>
      <protection hidden="1"/>
    </xf>
    <xf numFmtId="3" fontId="6" fillId="0" borderId="0" xfId="1" applyNumberFormat="1" applyFont="1" applyFill="1" applyBorder="1" applyAlignment="1" applyProtection="1">
      <alignment horizontal="center"/>
      <protection hidden="1"/>
    </xf>
    <xf numFmtId="171" fontId="6" fillId="0" borderId="0" xfId="1" applyNumberFormat="1" applyFont="1" applyFill="1" applyBorder="1" applyAlignment="1" applyProtection="1">
      <alignment horizontal="center"/>
      <protection hidden="1"/>
    </xf>
    <xf numFmtId="164" fontId="6" fillId="0" borderId="0" xfId="1" applyFont="1" applyFill="1" applyAlignment="1" applyProtection="1">
      <alignment horizontal="center"/>
      <protection hidden="1"/>
    </xf>
    <xf numFmtId="14" fontId="6" fillId="0" borderId="0" xfId="1" applyNumberFormat="1" applyFont="1" applyFill="1" applyAlignment="1" applyProtection="1">
      <alignment horizontal="center"/>
      <protection hidden="1"/>
    </xf>
    <xf numFmtId="37" fontId="6" fillId="0" borderId="0" xfId="1" applyNumberFormat="1" applyFont="1" applyFill="1" applyBorder="1" applyAlignment="1" applyProtection="1">
      <alignment horizontal="center"/>
      <protection hidden="1"/>
    </xf>
    <xf numFmtId="166" fontId="6" fillId="0" borderId="0" xfId="1" applyNumberFormat="1" applyFont="1" applyFill="1" applyBorder="1" applyProtection="1">
      <protection hidden="1"/>
    </xf>
    <xf numFmtId="165" fontId="6" fillId="0" borderId="0" xfId="2" applyNumberFormat="1" applyFont="1" applyFill="1" applyBorder="1" applyProtection="1">
      <protection hidden="1"/>
    </xf>
    <xf numFmtId="0" fontId="6" fillId="0" borderId="0" xfId="1" applyNumberFormat="1" applyFont="1" applyFill="1" applyBorder="1" applyProtection="1">
      <protection hidden="1"/>
    </xf>
    <xf numFmtId="14" fontId="6" fillId="0" borderId="0" xfId="1" applyNumberFormat="1" applyFont="1" applyFill="1" applyBorder="1" applyProtection="1">
      <protection hidden="1"/>
    </xf>
    <xf numFmtId="0" fontId="7" fillId="0" borderId="0" xfId="1" applyNumberFormat="1" applyFont="1" applyFill="1" applyBorder="1" applyAlignment="1" applyProtection="1">
      <alignment horizontal="center"/>
      <protection hidden="1"/>
    </xf>
    <xf numFmtId="14" fontId="7" fillId="0" borderId="0" xfId="1" applyNumberFormat="1" applyFont="1" applyFill="1" applyBorder="1" applyAlignment="1" applyProtection="1">
      <alignment horizontal="center"/>
      <protection hidden="1"/>
    </xf>
    <xf numFmtId="0" fontId="7" fillId="0" borderId="0" xfId="2" applyNumberFormat="1" applyFont="1" applyFill="1" applyBorder="1" applyAlignment="1" applyProtection="1">
      <alignment horizontal="left"/>
      <protection hidden="1"/>
    </xf>
    <xf numFmtId="14" fontId="14" fillId="5" borderId="10" xfId="1" applyNumberFormat="1" applyFont="1" applyFill="1" applyBorder="1" applyAlignment="1" applyProtection="1">
      <alignment horizontal="center" wrapText="1"/>
      <protection hidden="1"/>
    </xf>
    <xf numFmtId="14" fontId="14" fillId="3" borderId="31" xfId="0" applyNumberFormat="1" applyFont="1" applyFill="1" applyBorder="1" applyAlignment="1" applyProtection="1">
      <alignment horizontal="center" wrapText="1"/>
      <protection hidden="1"/>
    </xf>
    <xf numFmtId="4" fontId="6" fillId="0" borderId="0" xfId="1" applyNumberFormat="1" applyFont="1" applyFill="1" applyBorder="1" applyAlignment="1" applyProtection="1">
      <alignment horizontal="left"/>
      <protection hidden="1"/>
    </xf>
    <xf numFmtId="14" fontId="6" fillId="0" borderId="0" xfId="0" applyNumberFormat="1" applyFont="1" applyProtection="1">
      <protection hidden="1"/>
    </xf>
    <xf numFmtId="14" fontId="6" fillId="0" borderId="0" xfId="0" applyNumberFormat="1" applyFont="1" applyAlignment="1" applyProtection="1">
      <alignment horizontal="left"/>
      <protection hidden="1"/>
    </xf>
    <xf numFmtId="167" fontId="6" fillId="0" borderId="0" xfId="0" applyNumberFormat="1" applyFont="1" applyAlignment="1" applyProtection="1">
      <alignment horizontal="left"/>
      <protection hidden="1"/>
    </xf>
    <xf numFmtId="0" fontId="11" fillId="7" borderId="0" xfId="3" applyFont="1" applyFill="1" applyAlignment="1" applyProtection="1">
      <alignment vertical="center"/>
      <protection hidden="1"/>
    </xf>
    <xf numFmtId="0" fontId="5" fillId="0" borderId="0" xfId="3" applyFont="1" applyAlignment="1" applyProtection="1">
      <alignment vertical="center"/>
      <protection hidden="1"/>
    </xf>
    <xf numFmtId="164" fontId="6" fillId="0" borderId="0" xfId="1" applyFont="1" applyBorder="1" applyAlignment="1" applyProtection="1">
      <alignment horizontal="center" vertical="center"/>
      <protection hidden="1"/>
    </xf>
    <xf numFmtId="164" fontId="6" fillId="0" borderId="0" xfId="1" applyFont="1" applyBorder="1" applyAlignment="1" applyProtection="1">
      <alignment vertical="center"/>
      <protection hidden="1"/>
    </xf>
    <xf numFmtId="164" fontId="6" fillId="7" borderId="0" xfId="1" applyFont="1" applyFill="1" applyBorder="1" applyAlignment="1" applyProtection="1">
      <alignment vertical="center"/>
      <protection hidden="1"/>
    </xf>
    <xf numFmtId="0" fontId="6" fillId="7" borderId="0" xfId="3" applyFont="1" applyFill="1" applyAlignment="1" applyProtection="1">
      <alignment vertical="center"/>
      <protection hidden="1"/>
    </xf>
    <xf numFmtId="0" fontId="11" fillId="7" borderId="0" xfId="3" applyFont="1" applyFill="1" applyProtection="1">
      <protection hidden="1"/>
    </xf>
    <xf numFmtId="0" fontId="6" fillId="0" borderId="0" xfId="3" applyFont="1" applyProtection="1">
      <protection hidden="1"/>
    </xf>
    <xf numFmtId="164" fontId="6" fillId="0" borderId="0" xfId="1" applyFont="1" applyBorder="1" applyAlignment="1" applyProtection="1">
      <alignment horizontal="center"/>
      <protection hidden="1"/>
    </xf>
    <xf numFmtId="164" fontId="6" fillId="0" borderId="0" xfId="1" applyFont="1" applyBorder="1" applyAlignment="1" applyProtection="1">
      <alignment horizontal="right"/>
      <protection hidden="1"/>
    </xf>
    <xf numFmtId="164" fontId="6" fillId="7" borderId="0" xfId="1" applyFont="1" applyFill="1" applyBorder="1" applyAlignment="1" applyProtection="1">
      <protection hidden="1"/>
    </xf>
    <xf numFmtId="0" fontId="6" fillId="7" borderId="0" xfId="3" applyFont="1" applyFill="1" applyProtection="1">
      <protection hidden="1"/>
    </xf>
    <xf numFmtId="14" fontId="6" fillId="0" borderId="0" xfId="1" applyNumberFormat="1" applyFont="1" applyAlignment="1" applyProtection="1">
      <alignment horizontal="center"/>
      <protection hidden="1"/>
    </xf>
    <xf numFmtId="0" fontId="6" fillId="0" borderId="0" xfId="1" applyNumberFormat="1" applyFont="1" applyBorder="1" applyAlignment="1" applyProtection="1">
      <alignment horizontal="center"/>
      <protection hidden="1"/>
    </xf>
    <xf numFmtId="164" fontId="6" fillId="0" borderId="0" xfId="1" applyFont="1" applyBorder="1" applyAlignment="1" applyProtection="1">
      <protection hidden="1"/>
    </xf>
    <xf numFmtId="0" fontId="16" fillId="7" borderId="0" xfId="3" applyFont="1" applyFill="1" applyAlignment="1" applyProtection="1">
      <alignment vertical="center"/>
      <protection hidden="1"/>
    </xf>
    <xf numFmtId="164" fontId="5" fillId="7" borderId="0" xfId="1" applyFont="1" applyFill="1" applyBorder="1" applyAlignment="1" applyProtection="1">
      <alignment vertical="center"/>
      <protection hidden="1"/>
    </xf>
    <xf numFmtId="0" fontId="5" fillId="7" borderId="0" xfId="3" applyFont="1" applyFill="1" applyAlignment="1" applyProtection="1">
      <alignment vertical="center"/>
      <protection hidden="1"/>
    </xf>
    <xf numFmtId="0" fontId="5" fillId="0" borderId="27" xfId="3" applyFont="1" applyBorder="1" applyProtection="1">
      <protection hidden="1"/>
    </xf>
    <xf numFmtId="0" fontId="6" fillId="0" borderId="26" xfId="1" applyNumberFormat="1" applyFont="1" applyBorder="1" applyAlignment="1" applyProtection="1">
      <alignment horizontal="left"/>
      <protection hidden="1"/>
    </xf>
    <xf numFmtId="164" fontId="6" fillId="0" borderId="26" xfId="1" applyFont="1" applyFill="1" applyBorder="1" applyAlignment="1" applyProtection="1">
      <alignment horizontal="center"/>
      <protection hidden="1"/>
    </xf>
    <xf numFmtId="164" fontId="5" fillId="0" borderId="26" xfId="1" applyFont="1" applyBorder="1" applyAlignment="1" applyProtection="1">
      <protection hidden="1"/>
    </xf>
    <xf numFmtId="164" fontId="6" fillId="0" borderId="28" xfId="1" applyFont="1" applyBorder="1" applyAlignment="1" applyProtection="1">
      <protection hidden="1"/>
    </xf>
    <xf numFmtId="0" fontId="5" fillId="0" borderId="15" xfId="3" applyFont="1" applyBorder="1" applyProtection="1">
      <protection hidden="1"/>
    </xf>
    <xf numFmtId="0" fontId="6" fillId="0" borderId="0" xfId="1" applyNumberFormat="1" applyFont="1" applyBorder="1" applyAlignment="1" applyProtection="1">
      <alignment horizontal="left"/>
      <protection hidden="1"/>
    </xf>
    <xf numFmtId="164" fontId="5" fillId="0" borderId="0" xfId="1" applyFont="1" applyBorder="1" applyAlignment="1" applyProtection="1">
      <protection hidden="1"/>
    </xf>
    <xf numFmtId="164" fontId="6" fillId="0" borderId="13" xfId="1" applyFont="1" applyBorder="1" applyAlignment="1" applyProtection="1">
      <protection hidden="1"/>
    </xf>
    <xf numFmtId="0" fontId="5" fillId="0" borderId="0" xfId="3" applyFont="1" applyAlignment="1" applyProtection="1">
      <alignment horizontal="right" indent="1"/>
      <protection hidden="1"/>
    </xf>
    <xf numFmtId="0" fontId="6" fillId="0" borderId="13" xfId="1" applyNumberFormat="1" applyFont="1" applyBorder="1" applyAlignment="1" applyProtection="1">
      <alignment horizontal="left"/>
      <protection hidden="1"/>
    </xf>
    <xf numFmtId="14" fontId="6" fillId="0" borderId="0" xfId="1" applyNumberFormat="1" applyFont="1" applyBorder="1" applyAlignment="1" applyProtection="1">
      <alignment horizontal="left"/>
      <protection hidden="1"/>
    </xf>
    <xf numFmtId="0" fontId="5" fillId="0" borderId="16" xfId="3" applyFont="1" applyBorder="1" applyProtection="1">
      <protection hidden="1"/>
    </xf>
    <xf numFmtId="0" fontId="6" fillId="0" borderId="12" xfId="1" applyNumberFormat="1" applyFont="1" applyBorder="1" applyAlignment="1" applyProtection="1">
      <alignment horizontal="left"/>
      <protection hidden="1"/>
    </xf>
    <xf numFmtId="164" fontId="6" fillId="0" borderId="12" xfId="1" applyFont="1" applyFill="1" applyBorder="1" applyAlignment="1" applyProtection="1">
      <alignment horizontal="center"/>
      <protection hidden="1"/>
    </xf>
    <xf numFmtId="0" fontId="5" fillId="0" borderId="12" xfId="3" applyFont="1" applyBorder="1" applyAlignment="1" applyProtection="1">
      <alignment horizontal="right" indent="1"/>
      <protection hidden="1"/>
    </xf>
    <xf numFmtId="0" fontId="6" fillId="0" borderId="14" xfId="1" applyNumberFormat="1" applyFont="1" applyBorder="1" applyAlignment="1" applyProtection="1">
      <alignment horizontal="left"/>
      <protection hidden="1"/>
    </xf>
    <xf numFmtId="164" fontId="7" fillId="0" borderId="0" xfId="1" applyFont="1" applyBorder="1" applyAlignment="1" applyProtection="1">
      <protection hidden="1"/>
    </xf>
    <xf numFmtId="166" fontId="6" fillId="0" borderId="0" xfId="1" applyNumberFormat="1" applyFont="1" applyBorder="1" applyAlignment="1" applyProtection="1">
      <alignment horizontal="right"/>
      <protection hidden="1"/>
    </xf>
    <xf numFmtId="0" fontId="16" fillId="4" borderId="0" xfId="3" applyFont="1" applyFill="1" applyAlignment="1" applyProtection="1">
      <alignment vertical="center"/>
      <protection hidden="1"/>
    </xf>
    <xf numFmtId="164" fontId="16" fillId="4" borderId="0" xfId="1" applyFont="1" applyFill="1" applyBorder="1" applyAlignment="1" applyProtection="1">
      <alignment horizontal="center" vertical="center"/>
      <protection hidden="1"/>
    </xf>
    <xf numFmtId="164" fontId="16" fillId="4" borderId="0" xfId="1" applyFont="1" applyFill="1" applyBorder="1" applyAlignment="1" applyProtection="1">
      <alignment horizontal="right" vertical="center"/>
      <protection hidden="1"/>
    </xf>
    <xf numFmtId="164" fontId="16" fillId="7" borderId="0" xfId="1" applyFont="1" applyFill="1" applyBorder="1" applyAlignment="1" applyProtection="1">
      <alignment horizontal="center" vertical="center"/>
      <protection hidden="1"/>
    </xf>
    <xf numFmtId="0" fontId="16" fillId="7" borderId="0" xfId="3" applyFont="1" applyFill="1" applyProtection="1">
      <protection hidden="1"/>
    </xf>
    <xf numFmtId="164" fontId="5" fillId="0" borderId="27" xfId="1" applyFont="1" applyBorder="1" applyAlignment="1" applyProtection="1">
      <protection hidden="1"/>
    </xf>
    <xf numFmtId="0" fontId="5" fillId="0" borderId="26" xfId="3" applyFont="1" applyBorder="1" applyProtection="1">
      <protection hidden="1"/>
    </xf>
    <xf numFmtId="164" fontId="5" fillId="0" borderId="28" xfId="1" applyFont="1" applyBorder="1" applyAlignment="1" applyProtection="1">
      <alignment horizontal="center"/>
      <protection hidden="1"/>
    </xf>
    <xf numFmtId="164" fontId="5" fillId="0" borderId="28" xfId="1" applyFont="1" applyBorder="1" applyAlignment="1" applyProtection="1">
      <protection hidden="1"/>
    </xf>
    <xf numFmtId="164" fontId="5" fillId="7" borderId="0" xfId="1" applyFont="1" applyFill="1" applyBorder="1" applyAlignment="1" applyProtection="1">
      <protection hidden="1"/>
    </xf>
    <xf numFmtId="0" fontId="5" fillId="7" borderId="0" xfId="3" applyFont="1" applyFill="1" applyProtection="1">
      <protection hidden="1"/>
    </xf>
    <xf numFmtId="164" fontId="6" fillId="0" borderId="15" xfId="1" applyFont="1" applyBorder="1" applyAlignment="1" applyProtection="1">
      <alignment horizontal="left"/>
      <protection hidden="1"/>
    </xf>
    <xf numFmtId="0" fontId="5" fillId="0" borderId="0" xfId="3" applyFont="1" applyProtection="1">
      <protection hidden="1"/>
    </xf>
    <xf numFmtId="164" fontId="6" fillId="0" borderId="13" xfId="1" applyFont="1" applyBorder="1" applyAlignment="1" applyProtection="1">
      <alignment horizontal="center"/>
      <protection hidden="1"/>
    </xf>
    <xf numFmtId="164" fontId="6" fillId="0" borderId="0" xfId="1" applyFont="1" applyBorder="1" applyAlignment="1" applyProtection="1">
      <alignment horizontal="left"/>
      <protection hidden="1"/>
    </xf>
    <xf numFmtId="0" fontId="5" fillId="0" borderId="0" xfId="1" applyNumberFormat="1" applyFont="1" applyBorder="1" applyAlignment="1" applyProtection="1">
      <protection hidden="1"/>
    </xf>
    <xf numFmtId="164" fontId="5" fillId="0" borderId="19" xfId="1" applyFont="1" applyBorder="1" applyAlignment="1" applyProtection="1">
      <protection hidden="1"/>
    </xf>
    <xf numFmtId="0" fontId="5" fillId="0" borderId="24" xfId="3" applyFont="1" applyBorder="1" applyProtection="1">
      <protection hidden="1"/>
    </xf>
    <xf numFmtId="164" fontId="5" fillId="0" borderId="21" xfId="1" applyFont="1" applyBorder="1" applyAlignment="1" applyProtection="1">
      <alignment horizontal="center"/>
      <protection hidden="1"/>
    </xf>
    <xf numFmtId="164" fontId="5" fillId="0" borderId="24" xfId="1" applyFont="1" applyBorder="1" applyAlignment="1" applyProtection="1">
      <protection hidden="1"/>
    </xf>
    <xf numFmtId="164" fontId="5" fillId="0" borderId="21" xfId="1" applyFont="1" applyBorder="1" applyAlignment="1" applyProtection="1">
      <protection hidden="1"/>
    </xf>
    <xf numFmtId="164" fontId="6" fillId="0" borderId="26" xfId="1" applyFont="1" applyBorder="1" applyAlignment="1" applyProtection="1">
      <alignment horizontal="center"/>
      <protection hidden="1"/>
    </xf>
    <xf numFmtId="164" fontId="5" fillId="0" borderId="30" xfId="1" applyFont="1" applyBorder="1" applyAlignment="1" applyProtection="1">
      <alignment horizontal="center"/>
      <protection hidden="1"/>
    </xf>
    <xf numFmtId="164" fontId="5" fillId="0" borderId="30" xfId="1" applyFont="1" applyBorder="1" applyAlignment="1" applyProtection="1">
      <protection hidden="1"/>
    </xf>
    <xf numFmtId="0" fontId="6" fillId="0" borderId="0" xfId="3" applyFont="1" applyAlignment="1" applyProtection="1">
      <alignment horizontal="right" indent="1"/>
      <protection hidden="1"/>
    </xf>
    <xf numFmtId="0" fontId="6" fillId="0" borderId="0" xfId="1" applyNumberFormat="1" applyFont="1" applyBorder="1" applyAlignment="1" applyProtection="1">
      <alignment horizontal="right" indent="1"/>
      <protection hidden="1"/>
    </xf>
    <xf numFmtId="0" fontId="6" fillId="0" borderId="0" xfId="3" applyFont="1" applyAlignment="1" applyProtection="1">
      <alignment horizontal="left"/>
      <protection hidden="1"/>
    </xf>
    <xf numFmtId="164" fontId="6" fillId="0" borderId="0" xfId="1" applyFont="1" applyFill="1" applyAlignment="1" applyProtection="1">
      <alignment horizontal="left"/>
      <protection hidden="1"/>
    </xf>
    <xf numFmtId="164" fontId="6" fillId="0" borderId="0" xfId="1" applyFont="1" applyFill="1" applyAlignment="1" applyProtection="1">
      <protection hidden="1"/>
    </xf>
    <xf numFmtId="164" fontId="6" fillId="7" borderId="0" xfId="1" applyFont="1" applyFill="1" applyAlignment="1" applyProtection="1">
      <protection hidden="1"/>
    </xf>
    <xf numFmtId="164" fontId="6" fillId="7" borderId="0" xfId="1" applyFont="1" applyFill="1" applyAlignment="1" applyProtection="1">
      <alignment horizontal="center"/>
      <protection hidden="1"/>
    </xf>
    <xf numFmtId="164" fontId="11" fillId="0" borderId="0" xfId="1" applyFont="1" applyFill="1" applyBorder="1" applyAlignment="1" applyProtection="1">
      <alignment horizontal="center"/>
      <protection hidden="1"/>
    </xf>
    <xf numFmtId="0" fontId="11" fillId="4" borderId="10" xfId="1" applyNumberFormat="1" applyFont="1" applyFill="1" applyBorder="1" applyAlignment="1" applyProtection="1">
      <alignment horizontal="center"/>
      <protection hidden="1"/>
    </xf>
    <xf numFmtId="168" fontId="7" fillId="0" borderId="0" xfId="0" applyNumberFormat="1" applyFont="1" applyAlignment="1" applyProtection="1">
      <alignment horizontal="left"/>
      <protection hidden="1"/>
    </xf>
    <xf numFmtId="168" fontId="5" fillId="0" borderId="0" xfId="0" applyNumberFormat="1" applyFont="1" applyAlignment="1" applyProtection="1">
      <alignment horizontal="left"/>
      <protection hidden="1"/>
    </xf>
    <xf numFmtId="164" fontId="7" fillId="0" borderId="0" xfId="1" applyFont="1" applyFill="1" applyBorder="1" applyAlignment="1" applyProtection="1">
      <alignment horizontal="left" indent="1"/>
      <protection hidden="1"/>
    </xf>
    <xf numFmtId="164" fontId="7" fillId="0" borderId="0" xfId="1" applyFont="1" applyFill="1" applyBorder="1" applyAlignment="1" applyProtection="1">
      <alignment horizontal="left"/>
      <protection hidden="1"/>
    </xf>
    <xf numFmtId="164" fontId="7" fillId="0" borderId="0" xfId="1" applyFont="1" applyFill="1" applyBorder="1" applyProtection="1">
      <protection hidden="1"/>
    </xf>
    <xf numFmtId="0" fontId="17" fillId="0" borderId="0" xfId="0" applyFont="1" applyAlignment="1" applyProtection="1">
      <alignment horizontal="center"/>
      <protection hidden="1"/>
    </xf>
    <xf numFmtId="0" fontId="17" fillId="0" borderId="0" xfId="1" applyNumberFormat="1" applyFont="1" applyFill="1" applyBorder="1" applyAlignment="1" applyProtection="1">
      <alignment horizontal="center"/>
      <protection hidden="1"/>
    </xf>
    <xf numFmtId="0" fontId="17" fillId="0" borderId="0" xfId="1" applyNumberFormat="1" applyFont="1" applyFill="1" applyBorder="1" applyAlignment="1" applyProtection="1">
      <alignment horizontal="center" wrapText="1"/>
      <protection hidden="1"/>
    </xf>
    <xf numFmtId="0" fontId="17" fillId="5" borderId="10" xfId="1" applyNumberFormat="1" applyFont="1" applyFill="1" applyBorder="1" applyAlignment="1" applyProtection="1">
      <alignment horizontal="center"/>
      <protection hidden="1"/>
    </xf>
    <xf numFmtId="0" fontId="15" fillId="3" borderId="14" xfId="0" applyFont="1" applyFill="1" applyBorder="1" applyAlignment="1" applyProtection="1">
      <alignment horizontal="left" vertical="center" wrapText="1"/>
      <protection hidden="1"/>
    </xf>
    <xf numFmtId="0" fontId="16" fillId="6" borderId="17" xfId="1" applyNumberFormat="1" applyFont="1" applyFill="1" applyBorder="1" applyAlignment="1" applyProtection="1">
      <alignment horizontal="center" vertical="center" wrapText="1"/>
      <protection hidden="1"/>
    </xf>
    <xf numFmtId="0" fontId="15" fillId="3" borderId="17" xfId="1" applyNumberFormat="1" applyFont="1" applyFill="1" applyBorder="1" applyAlignment="1" applyProtection="1">
      <alignment horizontal="center" vertical="center" wrapText="1"/>
      <protection hidden="1"/>
    </xf>
    <xf numFmtId="0" fontId="6" fillId="0" borderId="0" xfId="1" applyNumberFormat="1" applyFont="1" applyFill="1" applyBorder="1" applyAlignment="1" applyProtection="1">
      <alignment horizontal="center" vertical="center" wrapText="1"/>
      <protection hidden="1"/>
    </xf>
    <xf numFmtId="0" fontId="6" fillId="0" borderId="0" xfId="0" applyFont="1" applyAlignment="1" applyProtection="1">
      <alignment horizontal="center" vertical="center" wrapText="1"/>
      <protection hidden="1"/>
    </xf>
    <xf numFmtId="168" fontId="6" fillId="0" borderId="0" xfId="0" applyNumberFormat="1" applyFont="1" applyAlignment="1" applyProtection="1">
      <alignment horizontal="left"/>
      <protection hidden="1"/>
    </xf>
    <xf numFmtId="168" fontId="6" fillId="0" borderId="0" xfId="0" applyNumberFormat="1" applyFont="1" applyProtection="1">
      <protection hidden="1"/>
    </xf>
    <xf numFmtId="14" fontId="11" fillId="0" borderId="0" xfId="1" applyNumberFormat="1" applyFont="1" applyFill="1" applyAlignment="1" applyProtection="1">
      <alignment horizontal="left" indent="1"/>
      <protection hidden="1"/>
    </xf>
    <xf numFmtId="0" fontId="11" fillId="0" borderId="0" xfId="1" applyNumberFormat="1" applyFont="1" applyFill="1" applyAlignment="1" applyProtection="1">
      <alignment horizontal="center"/>
      <protection hidden="1"/>
    </xf>
    <xf numFmtId="164" fontId="8" fillId="0" borderId="0" xfId="1" applyFont="1" applyFill="1" applyAlignment="1" applyProtection="1">
      <protection hidden="1"/>
    </xf>
    <xf numFmtId="170" fontId="8" fillId="0" borderId="0" xfId="0" applyNumberFormat="1" applyFont="1" applyProtection="1">
      <protection hidden="1"/>
    </xf>
    <xf numFmtId="170" fontId="7" fillId="0" borderId="0" xfId="1" applyNumberFormat="1" applyFont="1" applyFill="1" applyAlignment="1" applyProtection="1">
      <alignment horizontal="center"/>
      <protection hidden="1"/>
    </xf>
    <xf numFmtId="170" fontId="7" fillId="0" borderId="0" xfId="0" applyNumberFormat="1" applyFont="1" applyProtection="1">
      <protection hidden="1"/>
    </xf>
    <xf numFmtId="170" fontId="7" fillId="0" borderId="0" xfId="1" applyNumberFormat="1" applyFont="1" applyFill="1" applyProtection="1">
      <protection hidden="1"/>
    </xf>
    <xf numFmtId="0" fontId="15" fillId="3" borderId="10" xfId="0" applyFont="1" applyFill="1" applyBorder="1" applyAlignment="1" applyProtection="1">
      <alignment horizontal="left" vertical="center" wrapText="1"/>
      <protection hidden="1"/>
    </xf>
    <xf numFmtId="0" fontId="15" fillId="3" borderId="10" xfId="1" applyNumberFormat="1" applyFont="1" applyFill="1" applyBorder="1" applyAlignment="1" applyProtection="1">
      <alignment horizontal="center" vertical="center" wrapText="1"/>
      <protection hidden="1"/>
    </xf>
    <xf numFmtId="0" fontId="6" fillId="0" borderId="0" xfId="0" applyFont="1" applyAlignment="1" applyProtection="1">
      <alignment vertical="center" wrapText="1"/>
      <protection hidden="1"/>
    </xf>
    <xf numFmtId="0" fontId="6" fillId="0" borderId="0" xfId="1" applyNumberFormat="1" applyFont="1" applyFill="1" applyAlignment="1" applyProtection="1">
      <alignment vertical="center" wrapText="1"/>
      <protection hidden="1"/>
    </xf>
    <xf numFmtId="164" fontId="6" fillId="0" borderId="0" xfId="0" applyNumberFormat="1" applyFont="1" applyProtection="1">
      <protection hidden="1"/>
    </xf>
    <xf numFmtId="0" fontId="6" fillId="0" borderId="0" xfId="1" applyNumberFormat="1" applyFont="1" applyFill="1" applyAlignment="1" applyProtection="1">
      <alignment horizontal="left"/>
      <protection hidden="1"/>
    </xf>
    <xf numFmtId="0" fontId="8" fillId="0" borderId="0" xfId="1" applyNumberFormat="1" applyFont="1" applyFill="1" applyAlignment="1" applyProtection="1">
      <alignment horizontal="center"/>
      <protection hidden="1"/>
    </xf>
    <xf numFmtId="0" fontId="15" fillId="3" borderId="10" xfId="0" applyFont="1" applyFill="1" applyBorder="1" applyAlignment="1" applyProtection="1">
      <alignment horizontal="center" vertical="center" wrapText="1"/>
      <protection hidden="1"/>
    </xf>
    <xf numFmtId="0" fontId="9" fillId="0" borderId="0" xfId="0" applyFont="1" applyAlignment="1" applyProtection="1">
      <alignment horizontal="left"/>
      <protection hidden="1"/>
    </xf>
    <xf numFmtId="14" fontId="9" fillId="0" borderId="0" xfId="0" applyNumberFormat="1" applyFont="1" applyAlignment="1" applyProtection="1">
      <alignment horizontal="left"/>
      <protection hidden="1"/>
    </xf>
    <xf numFmtId="0" fontId="9" fillId="0" borderId="0" xfId="3" applyFont="1" applyAlignment="1" applyProtection="1">
      <alignment vertical="center"/>
      <protection hidden="1"/>
    </xf>
    <xf numFmtId="0" fontId="9" fillId="0" borderId="0" xfId="3" applyFont="1" applyAlignment="1" applyProtection="1">
      <alignment horizontal="right" vertical="center"/>
      <protection hidden="1"/>
    </xf>
    <xf numFmtId="0" fontId="18" fillId="0" borderId="0" xfId="0" applyFont="1" applyAlignment="1" applyProtection="1">
      <alignment horizontal="left" vertical="center" wrapText="1"/>
      <protection hidden="1"/>
    </xf>
    <xf numFmtId="0" fontId="1" fillId="0" borderId="0" xfId="0" applyFont="1" applyProtection="1">
      <protection hidden="1"/>
    </xf>
    <xf numFmtId="0" fontId="19" fillId="0" borderId="0" xfId="0" applyFont="1" applyAlignment="1" applyProtection="1">
      <alignment horizontal="left" wrapText="1"/>
      <protection hidden="1"/>
    </xf>
    <xf numFmtId="0" fontId="20" fillId="0" borderId="0" xfId="6" applyFont="1" applyAlignment="1" applyProtection="1">
      <alignment horizontal="left" wrapText="1"/>
      <protection hidden="1"/>
    </xf>
    <xf numFmtId="0" fontId="3" fillId="0" borderId="0" xfId="6" applyAlignment="1" applyProtection="1">
      <alignment horizontal="justify" vertical="center" wrapText="1"/>
      <protection hidden="1"/>
    </xf>
    <xf numFmtId="0" fontId="1" fillId="0" borderId="0" xfId="0" applyFont="1" applyAlignment="1" applyProtection="1">
      <alignment horizontal="justify" vertical="center" wrapText="1"/>
      <protection hidden="1"/>
    </xf>
    <xf numFmtId="0" fontId="19" fillId="0" borderId="0" xfId="0" applyFont="1" applyAlignment="1" applyProtection="1">
      <alignment horizontal="justify" wrapText="1"/>
      <protection hidden="1"/>
    </xf>
    <xf numFmtId="0" fontId="19" fillId="0" borderId="0" xfId="0" applyFont="1" applyAlignment="1" applyProtection="1">
      <alignment horizontal="justify" vertical="center" wrapText="1"/>
      <protection hidden="1"/>
    </xf>
    <xf numFmtId="0" fontId="21" fillId="0" borderId="0" xfId="0" applyFont="1" applyAlignment="1" applyProtection="1">
      <alignment horizontal="justify" wrapText="1"/>
      <protection hidden="1"/>
    </xf>
    <xf numFmtId="0" fontId="19" fillId="0" borderId="0" xfId="0" applyFont="1" applyProtection="1">
      <protection hidden="1"/>
    </xf>
    <xf numFmtId="0" fontId="1" fillId="0" borderId="0" xfId="0" applyFont="1" applyAlignment="1" applyProtection="1">
      <alignment horizontal="justify" wrapText="1"/>
      <protection hidden="1"/>
    </xf>
    <xf numFmtId="0" fontId="22" fillId="0" borderId="0" xfId="0" applyFont="1" applyAlignment="1" applyProtection="1">
      <alignment horizontal="justify" wrapText="1"/>
      <protection hidden="1"/>
    </xf>
    <xf numFmtId="14" fontId="14" fillId="5" borderId="10" xfId="0" applyNumberFormat="1" applyFont="1" applyFill="1" applyBorder="1" applyAlignment="1" applyProtection="1">
      <alignment horizontal="center" wrapText="1"/>
      <protection hidden="1"/>
    </xf>
    <xf numFmtId="14" fontId="14" fillId="3" borderId="10" xfId="0" applyNumberFormat="1" applyFont="1" applyFill="1" applyBorder="1" applyAlignment="1" applyProtection="1">
      <alignment horizontal="center" wrapText="1"/>
      <protection hidden="1"/>
    </xf>
    <xf numFmtId="14" fontId="14" fillId="5" borderId="10" xfId="0" applyNumberFormat="1" applyFont="1" applyFill="1" applyBorder="1" applyAlignment="1" applyProtection="1">
      <alignment horizontal="left" wrapText="1"/>
      <protection hidden="1"/>
    </xf>
    <xf numFmtId="0" fontId="6" fillId="5" borderId="23" xfId="0" applyFont="1" applyFill="1" applyBorder="1" applyProtection="1">
      <protection hidden="1"/>
    </xf>
    <xf numFmtId="0" fontId="6" fillId="5" borderId="24" xfId="0" applyFont="1" applyFill="1" applyBorder="1" applyProtection="1">
      <protection hidden="1"/>
    </xf>
    <xf numFmtId="0" fontId="6" fillId="5" borderId="29" xfId="0" applyFont="1" applyFill="1" applyBorder="1" applyProtection="1">
      <protection hidden="1"/>
    </xf>
    <xf numFmtId="0" fontId="6" fillId="5" borderId="25" xfId="0" applyFont="1" applyFill="1" applyBorder="1" applyProtection="1">
      <protection hidden="1"/>
    </xf>
    <xf numFmtId="0" fontId="7" fillId="0" borderId="23" xfId="0" applyFont="1" applyBorder="1" applyProtection="1">
      <protection hidden="1"/>
    </xf>
    <xf numFmtId="0" fontId="7" fillId="0" borderId="24" xfId="0" applyFont="1" applyBorder="1" applyProtection="1">
      <protection hidden="1"/>
    </xf>
    <xf numFmtId="0" fontId="7" fillId="0" borderId="25" xfId="0" applyFont="1" applyBorder="1" applyProtection="1">
      <protection hidden="1"/>
    </xf>
    <xf numFmtId="0" fontId="7" fillId="0" borderId="29" xfId="0" applyFont="1" applyBorder="1" applyProtection="1">
      <protection hidden="1"/>
    </xf>
    <xf numFmtId="0" fontId="6" fillId="3" borderId="10" xfId="0" applyFont="1" applyFill="1" applyBorder="1" applyAlignment="1" applyProtection="1">
      <alignment horizontal="left"/>
      <protection hidden="1"/>
    </xf>
    <xf numFmtId="0" fontId="6" fillId="3" borderId="19" xfId="0" applyFont="1" applyFill="1" applyBorder="1" applyAlignment="1" applyProtection="1">
      <alignment horizontal="left"/>
      <protection hidden="1"/>
    </xf>
    <xf numFmtId="0" fontId="6" fillId="3" borderId="20" xfId="0" applyFont="1" applyFill="1" applyBorder="1" applyAlignment="1" applyProtection="1">
      <alignment horizontal="left"/>
      <protection hidden="1"/>
    </xf>
    <xf numFmtId="0" fontId="6" fillId="3" borderId="21" xfId="0" applyFont="1" applyFill="1" applyBorder="1" applyAlignment="1" applyProtection="1">
      <alignment horizontal="left"/>
      <protection hidden="1"/>
    </xf>
    <xf numFmtId="0" fontId="6" fillId="5" borderId="27" xfId="1" applyNumberFormat="1" applyFont="1" applyFill="1" applyBorder="1" applyAlignment="1" applyProtection="1">
      <alignment horizontal="left"/>
      <protection hidden="1"/>
    </xf>
    <xf numFmtId="0" fontId="6" fillId="5" borderId="26" xfId="1" applyNumberFormat="1" applyFont="1" applyFill="1" applyBorder="1" applyAlignment="1" applyProtection="1">
      <alignment horizontal="left"/>
      <protection hidden="1"/>
    </xf>
    <xf numFmtId="0" fontId="6" fillId="5" borderId="28" xfId="1" applyNumberFormat="1" applyFont="1" applyFill="1" applyBorder="1" applyAlignment="1" applyProtection="1">
      <alignment horizontal="left"/>
      <protection hidden="1"/>
    </xf>
    <xf numFmtId="0" fontId="12" fillId="4" borderId="3" xfId="0" applyFont="1" applyFill="1" applyBorder="1" applyAlignment="1" applyProtection="1">
      <alignment horizontal="left" vertical="center" wrapText="1"/>
      <protection hidden="1"/>
    </xf>
    <xf numFmtId="0" fontId="12" fillId="4" borderId="4" xfId="0" applyFont="1" applyFill="1" applyBorder="1" applyAlignment="1" applyProtection="1">
      <alignment horizontal="left" vertical="center" wrapText="1"/>
      <protection hidden="1"/>
    </xf>
    <xf numFmtId="0" fontId="6" fillId="5" borderId="19" xfId="1" applyNumberFormat="1" applyFont="1" applyFill="1" applyBorder="1" applyAlignment="1" applyProtection="1">
      <alignment horizontal="left"/>
      <protection hidden="1"/>
    </xf>
    <xf numFmtId="0" fontId="6" fillId="5" borderId="24" xfId="1" applyNumberFormat="1" applyFont="1" applyFill="1" applyBorder="1" applyAlignment="1" applyProtection="1">
      <alignment horizontal="left"/>
      <protection hidden="1"/>
    </xf>
    <xf numFmtId="0" fontId="6" fillId="5" borderId="21" xfId="1" applyNumberFormat="1" applyFont="1" applyFill="1" applyBorder="1" applyAlignment="1" applyProtection="1">
      <alignment horizontal="left"/>
      <protection hidden="1"/>
    </xf>
    <xf numFmtId="0" fontId="6" fillId="5" borderId="19" xfId="1" quotePrefix="1" applyNumberFormat="1" applyFont="1" applyFill="1" applyBorder="1" applyAlignment="1" applyProtection="1">
      <alignment horizontal="left"/>
      <protection hidden="1"/>
    </xf>
    <xf numFmtId="0" fontId="12" fillId="4" borderId="2" xfId="0" applyFont="1" applyFill="1" applyBorder="1" applyAlignment="1" applyProtection="1">
      <alignment horizontal="left" vertical="center" wrapText="1"/>
      <protection hidden="1"/>
    </xf>
    <xf numFmtId="0" fontId="13" fillId="4" borderId="3" xfId="0" applyFont="1" applyFill="1" applyBorder="1" applyAlignment="1" applyProtection="1">
      <alignment horizontal="left"/>
      <protection hidden="1"/>
    </xf>
    <xf numFmtId="0" fontId="13" fillId="4" borderId="4" xfId="0" applyFont="1" applyFill="1" applyBorder="1" applyAlignment="1" applyProtection="1">
      <alignment horizontal="left"/>
      <protection hidden="1"/>
    </xf>
    <xf numFmtId="0" fontId="13" fillId="4" borderId="22" xfId="0" applyFont="1" applyFill="1" applyBorder="1" applyAlignment="1" applyProtection="1">
      <alignment horizontal="left"/>
      <protection hidden="1"/>
    </xf>
    <xf numFmtId="0" fontId="6" fillId="3" borderId="24" xfId="0" applyFont="1" applyFill="1" applyBorder="1" applyAlignment="1" applyProtection="1">
      <alignment horizontal="left"/>
      <protection hidden="1"/>
    </xf>
    <xf numFmtId="0" fontId="16" fillId="4" borderId="19" xfId="3" applyFont="1" applyFill="1" applyBorder="1" applyAlignment="1" applyProtection="1">
      <alignment vertical="center"/>
      <protection hidden="1"/>
    </xf>
    <xf numFmtId="0" fontId="16" fillId="4" borderId="24" xfId="3" applyFont="1" applyFill="1" applyBorder="1" applyAlignment="1" applyProtection="1">
      <alignment vertical="center"/>
      <protection hidden="1"/>
    </xf>
    <xf numFmtId="0" fontId="16" fillId="4" borderId="21" xfId="3" applyFont="1" applyFill="1" applyBorder="1" applyAlignment="1" applyProtection="1">
      <alignment vertical="center"/>
      <protection hidden="1"/>
    </xf>
    <xf numFmtId="14" fontId="6" fillId="0" borderId="0" xfId="1" applyNumberFormat="1" applyFont="1" applyBorder="1" applyAlignment="1" applyProtection="1">
      <alignment horizontal="left"/>
      <protection hidden="1"/>
    </xf>
    <xf numFmtId="164" fontId="11" fillId="4" borderId="19" xfId="1" applyFont="1" applyFill="1" applyBorder="1" applyAlignment="1" applyProtection="1">
      <alignment horizontal="center"/>
      <protection hidden="1"/>
    </xf>
    <xf numFmtId="164" fontId="11" fillId="4" borderId="21" xfId="1" applyFont="1" applyFill="1" applyBorder="1" applyAlignment="1" applyProtection="1">
      <alignment horizontal="center"/>
      <protection hidden="1"/>
    </xf>
    <xf numFmtId="14" fontId="6" fillId="5" borderId="19" xfId="1" applyNumberFormat="1" applyFont="1" applyFill="1" applyBorder="1" applyAlignment="1" applyProtection="1">
      <alignment horizontal="center"/>
      <protection hidden="1"/>
    </xf>
    <xf numFmtId="14" fontId="6" fillId="5" borderId="21" xfId="1" applyNumberFormat="1" applyFont="1" applyFill="1" applyBorder="1" applyAlignment="1" applyProtection="1">
      <alignment horizontal="center"/>
      <protection hidden="1"/>
    </xf>
  </cellXfs>
  <cellStyles count="7">
    <cellStyle name="Comma" xfId="1" builtinId="3"/>
    <cellStyle name="Comma 2" xfId="4" xr:uid="{00000000-0005-0000-0000-000001000000}"/>
    <cellStyle name="Hyperlink" xfId="6" builtinId="8"/>
    <cellStyle name="Normal" xfId="0" builtinId="0" customBuiltin="1"/>
    <cellStyle name="Normal 2" xfId="3" xr:uid="{00000000-0005-0000-0000-000004000000}"/>
    <cellStyle name="Percent" xfId="2" builtinId="5"/>
    <cellStyle name="Percent 2" xfId="5" xr:uid="{00000000-0005-0000-0000-000006000000}"/>
  </cellStyles>
  <dxfs count="277">
    <dxf>
      <font>
        <b/>
        <i val="0"/>
        <strike val="0"/>
        <condense val="0"/>
        <extend val="0"/>
        <outline val="0"/>
        <shadow val="0"/>
        <u val="none"/>
        <vertAlign val="baseline"/>
        <sz val="9.5"/>
        <color theme="1"/>
        <name val="Arial"/>
        <family val="2"/>
        <scheme val="none"/>
      </font>
      <numFmt numFmtId="164" formatCode="_ * #,##0.00_ ;_ * \-#,##0.00_ ;_ * &quot;-&quot;??_ ;_ @_ "/>
      <fill>
        <patternFill patternType="none">
          <fgColor indexed="64"/>
          <bgColor indexed="65"/>
        </patternFill>
      </fill>
      <alignment horizontal="center" vertical="bottom" textRotation="0" wrapText="0" indent="0" justifyLastLine="0" shrinkToFit="0" readingOrder="0"/>
      <border diagonalUp="0" diagonalDown="0" outline="0">
        <left/>
        <right/>
        <top/>
        <bottom/>
      </border>
      <protection locked="1" hidden="1"/>
    </dxf>
    <dxf>
      <font>
        <b val="0"/>
        <i val="0"/>
        <strike val="0"/>
        <condense val="0"/>
        <extend val="0"/>
        <outline val="0"/>
        <shadow val="0"/>
        <u val="none"/>
        <vertAlign val="baseline"/>
        <sz val="10"/>
        <color auto="1"/>
        <name val="Century Gothic"/>
        <family val="2"/>
        <scheme val="minor"/>
      </font>
      <numFmt numFmtId="164" formatCode="_ * #,##0.00_ ;_ * \-#,##0.00_ ;_ * &quot;-&quot;??_ ;_ @_ "/>
      <fill>
        <patternFill patternType="none">
          <fgColor indexed="64"/>
          <bgColor indexed="65"/>
        </patternFill>
      </fill>
      <alignment horizontal="center" vertical="bottom" textRotation="0" wrapText="0" indent="0" justifyLastLine="0" shrinkToFit="0" readingOrder="0"/>
      <protection locked="1" hidden="1"/>
    </dxf>
    <dxf>
      <font>
        <b/>
        <i val="0"/>
        <strike val="0"/>
        <condense val="0"/>
        <extend val="0"/>
        <outline val="0"/>
        <shadow val="0"/>
        <u val="none"/>
        <vertAlign val="baseline"/>
        <sz val="9.5"/>
        <color theme="1"/>
        <name val="Arial"/>
        <family val="2"/>
        <scheme val="none"/>
      </font>
      <numFmt numFmtId="164" formatCode="_ * #,##0.00_ ;_ * \-#,##0.00_ ;_ * &quot;-&quot;??_ ;_ @_ "/>
      <fill>
        <patternFill patternType="none">
          <fgColor indexed="64"/>
          <bgColor indexed="65"/>
        </patternFill>
      </fill>
      <alignment horizontal="center" vertical="bottom" textRotation="0" wrapText="0" indent="0" justifyLastLine="0" shrinkToFit="0" readingOrder="0"/>
      <border diagonalUp="0" diagonalDown="0" outline="0">
        <left/>
        <right/>
        <top/>
        <bottom/>
      </border>
      <protection locked="1" hidden="1"/>
    </dxf>
    <dxf>
      <font>
        <b val="0"/>
        <i val="0"/>
        <strike val="0"/>
        <condense val="0"/>
        <extend val="0"/>
        <outline val="0"/>
        <shadow val="0"/>
        <u val="none"/>
        <vertAlign val="baseline"/>
        <sz val="10"/>
        <color auto="1"/>
        <name val="Century Gothic"/>
        <family val="2"/>
        <scheme val="minor"/>
      </font>
      <numFmt numFmtId="164" formatCode="_ * #,##0.00_ ;_ * \-#,##0.00_ ;_ * &quot;-&quot;??_ ;_ @_ "/>
      <fill>
        <patternFill patternType="none">
          <fgColor indexed="64"/>
          <bgColor indexed="65"/>
        </patternFill>
      </fill>
      <alignment horizontal="center" vertical="bottom" textRotation="0" wrapText="0" indent="0" justifyLastLine="0" shrinkToFit="0" readingOrder="0"/>
      <protection locked="1" hidden="1"/>
    </dxf>
    <dxf>
      <font>
        <b/>
        <i val="0"/>
        <strike val="0"/>
        <condense val="0"/>
        <extend val="0"/>
        <outline val="0"/>
        <shadow val="0"/>
        <u val="none"/>
        <vertAlign val="baseline"/>
        <sz val="9.5"/>
        <color theme="1"/>
        <name val="Arial"/>
        <family val="2"/>
        <scheme val="none"/>
      </font>
      <numFmt numFmtId="164" formatCode="_ * #,##0.00_ ;_ * \-#,##0.00_ ;_ * &quot;-&quot;??_ ;_ @_ "/>
      <fill>
        <patternFill patternType="none">
          <fgColor indexed="64"/>
          <bgColor indexed="65"/>
        </patternFill>
      </fill>
      <alignment horizontal="center" vertical="bottom" textRotation="0" wrapText="0" indent="0" justifyLastLine="0" shrinkToFit="0" readingOrder="0"/>
      <border diagonalUp="0" diagonalDown="0" outline="0">
        <left/>
        <right/>
        <top/>
        <bottom/>
      </border>
      <protection locked="1" hidden="1"/>
    </dxf>
    <dxf>
      <font>
        <b val="0"/>
        <i val="0"/>
        <strike val="0"/>
        <condense val="0"/>
        <extend val="0"/>
        <outline val="0"/>
        <shadow val="0"/>
        <u val="none"/>
        <vertAlign val="baseline"/>
        <sz val="10"/>
        <color auto="1"/>
        <name val="Century Gothic"/>
        <family val="2"/>
        <scheme val="minor"/>
      </font>
      <numFmt numFmtId="164" formatCode="_ * #,##0.00_ ;_ * \-#,##0.00_ ;_ * &quot;-&quot;??_ ;_ @_ "/>
      <fill>
        <patternFill patternType="none">
          <fgColor indexed="64"/>
          <bgColor indexed="65"/>
        </patternFill>
      </fill>
      <alignment horizontal="center" vertical="bottom" textRotation="0" wrapText="0" indent="0" justifyLastLine="0" shrinkToFit="0" readingOrder="0"/>
      <protection locked="1" hidden="1"/>
    </dxf>
    <dxf>
      <font>
        <b/>
        <i val="0"/>
        <strike val="0"/>
        <condense val="0"/>
        <extend val="0"/>
        <outline val="0"/>
        <shadow val="0"/>
        <u val="none"/>
        <vertAlign val="baseline"/>
        <sz val="9.5"/>
        <color theme="1"/>
        <name val="Arial"/>
        <family val="2"/>
        <scheme val="none"/>
      </font>
      <numFmt numFmtId="164" formatCode="_ * #,##0.00_ ;_ * \-#,##0.00_ ;_ * &quot;-&quot;??_ ;_ @_ "/>
      <fill>
        <patternFill patternType="none">
          <fgColor indexed="64"/>
          <bgColor indexed="65"/>
        </patternFill>
      </fill>
      <alignment horizontal="center" vertical="bottom" textRotation="0" wrapText="0" indent="0" justifyLastLine="0" shrinkToFit="0" readingOrder="0"/>
      <border diagonalUp="0" diagonalDown="0" outline="0">
        <left/>
        <right/>
        <top/>
        <bottom/>
      </border>
      <protection locked="1" hidden="1"/>
    </dxf>
    <dxf>
      <font>
        <b val="0"/>
        <i val="0"/>
        <strike val="0"/>
        <condense val="0"/>
        <extend val="0"/>
        <outline val="0"/>
        <shadow val="0"/>
        <u val="none"/>
        <vertAlign val="baseline"/>
        <sz val="10"/>
        <color auto="1"/>
        <name val="Century Gothic"/>
        <family val="2"/>
        <scheme val="minor"/>
      </font>
      <numFmt numFmtId="164" formatCode="_ * #,##0.00_ ;_ * \-#,##0.00_ ;_ * &quot;-&quot;??_ ;_ @_ "/>
      <fill>
        <patternFill patternType="none">
          <fgColor indexed="64"/>
          <bgColor indexed="65"/>
        </patternFill>
      </fill>
      <alignment horizontal="center" vertical="bottom" textRotation="0" wrapText="0" indent="0" justifyLastLine="0" shrinkToFit="0" readingOrder="0"/>
      <protection locked="1" hidden="1"/>
    </dxf>
    <dxf>
      <font>
        <b/>
        <i val="0"/>
        <strike val="0"/>
        <condense val="0"/>
        <extend val="0"/>
        <outline val="0"/>
        <shadow val="0"/>
        <u val="none"/>
        <vertAlign val="baseline"/>
        <sz val="9.5"/>
        <color theme="1"/>
        <name val="Arial"/>
        <family val="2"/>
        <scheme val="none"/>
      </font>
      <numFmt numFmtId="164" formatCode="_ * #,##0.00_ ;_ * \-#,##0.00_ ;_ * &quot;-&quot;??_ ;_ @_ "/>
      <fill>
        <patternFill patternType="none">
          <fgColor indexed="64"/>
          <bgColor indexed="65"/>
        </patternFill>
      </fill>
      <alignment horizontal="center" vertical="bottom" textRotation="0" wrapText="0" indent="0" justifyLastLine="0" shrinkToFit="0" readingOrder="0"/>
      <border diagonalUp="0" diagonalDown="0" outline="0">
        <left/>
        <right/>
        <top/>
        <bottom/>
      </border>
      <protection locked="1" hidden="1"/>
    </dxf>
    <dxf>
      <font>
        <b val="0"/>
        <i val="0"/>
        <strike val="0"/>
        <condense val="0"/>
        <extend val="0"/>
        <outline val="0"/>
        <shadow val="0"/>
        <u val="none"/>
        <vertAlign val="baseline"/>
        <sz val="10"/>
        <color auto="1"/>
        <name val="Century Gothic"/>
        <family val="2"/>
        <scheme val="minor"/>
      </font>
      <numFmt numFmtId="164" formatCode="_ * #,##0.00_ ;_ * \-#,##0.00_ ;_ * &quot;-&quot;??_ ;_ @_ "/>
      <fill>
        <patternFill patternType="none">
          <fgColor indexed="64"/>
          <bgColor indexed="65"/>
        </patternFill>
      </fill>
      <alignment horizontal="center" vertical="bottom" textRotation="0" wrapText="0" indent="0" justifyLastLine="0" shrinkToFit="0" readingOrder="0"/>
      <protection locked="1" hidden="1"/>
    </dxf>
    <dxf>
      <font>
        <b/>
        <i val="0"/>
        <strike val="0"/>
        <condense val="0"/>
        <extend val="0"/>
        <outline val="0"/>
        <shadow val="0"/>
        <u val="none"/>
        <vertAlign val="baseline"/>
        <sz val="9.5"/>
        <color theme="1"/>
        <name val="Arial"/>
        <family val="2"/>
        <scheme val="none"/>
      </font>
      <numFmt numFmtId="164" formatCode="_ * #,##0.00_ ;_ * \-#,##0.00_ ;_ * &quot;-&quot;??_ ;_ @_ "/>
      <fill>
        <patternFill patternType="none">
          <fgColor indexed="64"/>
          <bgColor indexed="65"/>
        </patternFill>
      </fill>
      <alignment horizontal="center" vertical="bottom" textRotation="0" wrapText="0" indent="0" justifyLastLine="0" shrinkToFit="0" readingOrder="0"/>
      <border diagonalUp="0" diagonalDown="0" outline="0">
        <left/>
        <right/>
        <top/>
        <bottom/>
      </border>
      <protection locked="1" hidden="1"/>
    </dxf>
    <dxf>
      <font>
        <b val="0"/>
        <i val="0"/>
        <strike val="0"/>
        <condense val="0"/>
        <extend val="0"/>
        <outline val="0"/>
        <shadow val="0"/>
        <u val="none"/>
        <vertAlign val="baseline"/>
        <sz val="10"/>
        <color auto="1"/>
        <name val="Century Gothic"/>
        <family val="2"/>
        <scheme val="minor"/>
      </font>
      <numFmt numFmtId="164" formatCode="_ * #,##0.00_ ;_ * \-#,##0.00_ ;_ * &quot;-&quot;??_ ;_ @_ "/>
      <fill>
        <patternFill patternType="none">
          <fgColor indexed="64"/>
          <bgColor indexed="65"/>
        </patternFill>
      </fill>
      <alignment horizontal="center" vertical="bottom" textRotation="0" wrapText="0" indent="0" justifyLastLine="0" shrinkToFit="0" readingOrder="0"/>
      <protection locked="1" hidden="1"/>
    </dxf>
    <dxf>
      <font>
        <b/>
        <i val="0"/>
        <strike val="0"/>
        <condense val="0"/>
        <extend val="0"/>
        <outline val="0"/>
        <shadow val="0"/>
        <u val="none"/>
        <vertAlign val="baseline"/>
        <sz val="9.5"/>
        <color theme="1"/>
        <name val="Arial"/>
        <family val="2"/>
        <scheme val="none"/>
      </font>
      <numFmt numFmtId="164" formatCode="_ * #,##0.00_ ;_ * \-#,##0.00_ ;_ * &quot;-&quot;??_ ;_ @_ "/>
      <fill>
        <patternFill patternType="none">
          <fgColor indexed="64"/>
          <bgColor indexed="65"/>
        </patternFill>
      </fill>
      <alignment horizontal="center" vertical="bottom" textRotation="0" wrapText="0" indent="0" justifyLastLine="0" shrinkToFit="0" readingOrder="0"/>
      <border diagonalUp="0" diagonalDown="0" outline="0">
        <left/>
        <right/>
        <top/>
        <bottom/>
      </border>
      <protection locked="1" hidden="1"/>
    </dxf>
    <dxf>
      <font>
        <b val="0"/>
        <i val="0"/>
        <strike val="0"/>
        <condense val="0"/>
        <extend val="0"/>
        <outline val="0"/>
        <shadow val="0"/>
        <u val="none"/>
        <vertAlign val="baseline"/>
        <sz val="10"/>
        <color auto="1"/>
        <name val="Century Gothic"/>
        <family val="2"/>
        <scheme val="minor"/>
      </font>
      <numFmt numFmtId="164" formatCode="_ * #,##0.00_ ;_ * \-#,##0.00_ ;_ * &quot;-&quot;??_ ;_ @_ "/>
      <fill>
        <patternFill patternType="none">
          <fgColor indexed="64"/>
          <bgColor indexed="65"/>
        </patternFill>
      </fill>
      <alignment horizontal="center" vertical="bottom" textRotation="0" wrapText="0" indent="0" justifyLastLine="0" shrinkToFit="0" readingOrder="0"/>
      <protection locked="1" hidden="1"/>
    </dxf>
    <dxf>
      <font>
        <b/>
        <i val="0"/>
        <strike val="0"/>
        <condense val="0"/>
        <extend val="0"/>
        <outline val="0"/>
        <shadow val="0"/>
        <u val="none"/>
        <vertAlign val="baseline"/>
        <sz val="9.5"/>
        <color theme="1"/>
        <name val="Arial"/>
        <family val="2"/>
        <scheme val="none"/>
      </font>
      <numFmt numFmtId="164" formatCode="_ * #,##0.00_ ;_ * \-#,##0.00_ ;_ * &quot;-&quot;??_ ;_ @_ "/>
      <fill>
        <patternFill patternType="none">
          <fgColor indexed="64"/>
          <bgColor indexed="65"/>
        </patternFill>
      </fill>
      <alignment horizontal="center" vertical="bottom" textRotation="0" wrapText="0" indent="0" justifyLastLine="0" shrinkToFit="0" readingOrder="0"/>
      <border diagonalUp="0" diagonalDown="0" outline="0">
        <left/>
        <right/>
        <top/>
        <bottom/>
      </border>
      <protection locked="1" hidden="1"/>
    </dxf>
    <dxf>
      <font>
        <b val="0"/>
        <i val="0"/>
        <strike val="0"/>
        <condense val="0"/>
        <extend val="0"/>
        <outline val="0"/>
        <shadow val="0"/>
        <u val="none"/>
        <vertAlign val="baseline"/>
        <sz val="10"/>
        <color auto="1"/>
        <name val="Century Gothic"/>
        <family val="2"/>
        <scheme val="minor"/>
      </font>
      <numFmt numFmtId="164" formatCode="_ * #,##0.00_ ;_ * \-#,##0.00_ ;_ * &quot;-&quot;??_ ;_ @_ "/>
      <fill>
        <patternFill patternType="none">
          <fgColor indexed="64"/>
          <bgColor indexed="65"/>
        </patternFill>
      </fill>
      <alignment horizontal="center" vertical="bottom" textRotation="0" wrapText="0" indent="0" justifyLastLine="0" shrinkToFit="0" readingOrder="0"/>
      <protection locked="1" hidden="1"/>
    </dxf>
    <dxf>
      <font>
        <b/>
        <i val="0"/>
        <strike val="0"/>
        <condense val="0"/>
        <extend val="0"/>
        <outline val="0"/>
        <shadow val="0"/>
        <u val="none"/>
        <vertAlign val="baseline"/>
        <sz val="9.5"/>
        <color theme="1"/>
        <name val="Arial"/>
        <family val="2"/>
        <scheme val="none"/>
      </font>
      <numFmt numFmtId="164" formatCode="_ * #,##0.00_ ;_ * \-#,##0.00_ ;_ * &quot;-&quot;??_ ;_ @_ "/>
      <fill>
        <patternFill patternType="none">
          <fgColor indexed="64"/>
          <bgColor indexed="65"/>
        </patternFill>
      </fill>
      <alignment horizontal="center" vertical="bottom" textRotation="0" wrapText="0" indent="0" justifyLastLine="0" shrinkToFit="0" readingOrder="0"/>
      <border diagonalUp="0" diagonalDown="0" outline="0">
        <left/>
        <right/>
        <top/>
        <bottom/>
      </border>
      <protection locked="1" hidden="1"/>
    </dxf>
    <dxf>
      <font>
        <b val="0"/>
        <i val="0"/>
        <strike val="0"/>
        <condense val="0"/>
        <extend val="0"/>
        <outline val="0"/>
        <shadow val="0"/>
        <u val="none"/>
        <vertAlign val="baseline"/>
        <sz val="10"/>
        <color auto="1"/>
        <name val="Century Gothic"/>
        <family val="2"/>
        <scheme val="minor"/>
      </font>
      <numFmt numFmtId="164" formatCode="_ * #,##0.00_ ;_ * \-#,##0.00_ ;_ * &quot;-&quot;??_ ;_ @_ "/>
      <fill>
        <patternFill patternType="none">
          <fgColor indexed="64"/>
          <bgColor indexed="65"/>
        </patternFill>
      </fill>
      <alignment horizontal="center" vertical="bottom" textRotation="0" wrapText="0" indent="0" justifyLastLine="0" shrinkToFit="0" readingOrder="0"/>
      <protection locked="1" hidden="1"/>
    </dxf>
    <dxf>
      <font>
        <b/>
        <i val="0"/>
        <strike val="0"/>
        <condense val="0"/>
        <extend val="0"/>
        <outline val="0"/>
        <shadow val="0"/>
        <u val="none"/>
        <vertAlign val="baseline"/>
        <sz val="9.5"/>
        <color theme="1"/>
        <name val="Arial"/>
        <family val="2"/>
        <scheme val="none"/>
      </font>
      <numFmt numFmtId="164" formatCode="_ * #,##0.00_ ;_ * \-#,##0.00_ ;_ * &quot;-&quot;??_ ;_ @_ "/>
      <fill>
        <patternFill patternType="none">
          <fgColor indexed="64"/>
          <bgColor indexed="65"/>
        </patternFill>
      </fill>
      <alignment horizontal="center" vertical="bottom" textRotation="0" wrapText="0" indent="0" justifyLastLine="0" shrinkToFit="0" readingOrder="0"/>
      <border diagonalUp="0" diagonalDown="0" outline="0">
        <left/>
        <right/>
        <top/>
        <bottom/>
      </border>
      <protection locked="1" hidden="1"/>
    </dxf>
    <dxf>
      <font>
        <b val="0"/>
        <i val="0"/>
        <strike val="0"/>
        <condense val="0"/>
        <extend val="0"/>
        <outline val="0"/>
        <shadow val="0"/>
        <u val="none"/>
        <vertAlign val="baseline"/>
        <sz val="10"/>
        <color auto="1"/>
        <name val="Century Gothic"/>
        <family val="2"/>
        <scheme val="minor"/>
      </font>
      <numFmt numFmtId="164" formatCode="_ * #,##0.00_ ;_ * \-#,##0.00_ ;_ * &quot;-&quot;??_ ;_ @_ "/>
      <fill>
        <patternFill patternType="none">
          <fgColor indexed="64"/>
          <bgColor indexed="65"/>
        </patternFill>
      </fill>
      <alignment horizontal="center" vertical="bottom" textRotation="0" wrapText="0" indent="0" justifyLastLine="0" shrinkToFit="0" readingOrder="0"/>
      <protection locked="1" hidden="1"/>
    </dxf>
    <dxf>
      <font>
        <b/>
        <i val="0"/>
        <strike val="0"/>
        <condense val="0"/>
        <extend val="0"/>
        <outline val="0"/>
        <shadow val="0"/>
        <u val="none"/>
        <vertAlign val="baseline"/>
        <sz val="9.5"/>
        <color theme="1"/>
        <name val="Arial"/>
        <family val="2"/>
        <scheme val="none"/>
      </font>
      <numFmt numFmtId="164" formatCode="_ * #,##0.00_ ;_ * \-#,##0.00_ ;_ * &quot;-&quot;??_ ;_ @_ "/>
      <fill>
        <patternFill patternType="none">
          <fgColor indexed="64"/>
          <bgColor indexed="65"/>
        </patternFill>
      </fill>
      <alignment horizontal="center" vertical="bottom" textRotation="0" wrapText="0" indent="0" justifyLastLine="0" shrinkToFit="0" readingOrder="0"/>
      <border diagonalUp="0" diagonalDown="0" outline="0">
        <left/>
        <right/>
        <top/>
        <bottom/>
      </border>
      <protection locked="1" hidden="1"/>
    </dxf>
    <dxf>
      <font>
        <b val="0"/>
        <i val="0"/>
        <strike val="0"/>
        <condense val="0"/>
        <extend val="0"/>
        <outline val="0"/>
        <shadow val="0"/>
        <u val="none"/>
        <vertAlign val="baseline"/>
        <sz val="10"/>
        <color auto="1"/>
        <name val="Century Gothic"/>
        <family val="2"/>
        <scheme val="minor"/>
      </font>
      <numFmt numFmtId="164" formatCode="_ * #,##0.00_ ;_ * \-#,##0.00_ ;_ * &quot;-&quot;??_ ;_ @_ "/>
      <fill>
        <patternFill patternType="none">
          <fgColor indexed="64"/>
          <bgColor indexed="65"/>
        </patternFill>
      </fill>
      <alignment horizontal="center" vertical="bottom" textRotation="0" wrapText="0" indent="0" justifyLastLine="0" shrinkToFit="0" readingOrder="0"/>
      <protection locked="1" hidden="1"/>
    </dxf>
    <dxf>
      <font>
        <b/>
        <i val="0"/>
        <strike val="0"/>
        <condense val="0"/>
        <extend val="0"/>
        <outline val="0"/>
        <shadow val="0"/>
        <u val="none"/>
        <vertAlign val="baseline"/>
        <sz val="9.5"/>
        <color theme="1"/>
        <name val="Arial"/>
        <family val="2"/>
        <scheme val="none"/>
      </font>
      <numFmt numFmtId="164" formatCode="_ * #,##0.00_ ;_ * \-#,##0.00_ ;_ * &quot;-&quot;??_ ;_ @_ "/>
      <fill>
        <patternFill patternType="none">
          <fgColor indexed="64"/>
          <bgColor indexed="65"/>
        </patternFill>
      </fill>
      <alignment horizontal="center" vertical="bottom" textRotation="0" wrapText="0" indent="0" justifyLastLine="0" shrinkToFit="0" readingOrder="0"/>
      <border diagonalUp="0" diagonalDown="0" outline="0">
        <left/>
        <right/>
        <top/>
        <bottom/>
      </border>
      <protection locked="1" hidden="1"/>
    </dxf>
    <dxf>
      <font>
        <b val="0"/>
        <i val="0"/>
        <strike val="0"/>
        <condense val="0"/>
        <extend val="0"/>
        <outline val="0"/>
        <shadow val="0"/>
        <u val="none"/>
        <vertAlign val="baseline"/>
        <sz val="10"/>
        <color auto="1"/>
        <name val="Century Gothic"/>
        <family val="2"/>
        <scheme val="minor"/>
      </font>
      <numFmt numFmtId="164" formatCode="_ * #,##0.00_ ;_ * \-#,##0.00_ ;_ * &quot;-&quot;??_ ;_ @_ "/>
      <fill>
        <patternFill patternType="none">
          <fgColor indexed="64"/>
          <bgColor indexed="65"/>
        </patternFill>
      </fill>
      <alignment horizontal="center" vertical="bottom" textRotation="0" wrapText="0" indent="0" justifyLastLine="0" shrinkToFit="0" readingOrder="0"/>
      <protection locked="1" hidden="1"/>
    </dxf>
    <dxf>
      <font>
        <b/>
        <i val="0"/>
        <strike val="0"/>
        <condense val="0"/>
        <extend val="0"/>
        <outline val="0"/>
        <shadow val="0"/>
        <u val="none"/>
        <vertAlign val="baseline"/>
        <sz val="9.5"/>
        <color theme="1"/>
        <name val="Arial"/>
        <family val="2"/>
        <scheme val="none"/>
      </font>
      <numFmt numFmtId="164" formatCode="_ * #,##0.00_ ;_ * \-#,##0.00_ ;_ * &quot;-&quot;??_ ;_ @_ "/>
      <fill>
        <patternFill patternType="none">
          <fgColor indexed="64"/>
          <bgColor indexed="65"/>
        </patternFill>
      </fill>
      <alignment horizontal="left" vertical="bottom" textRotation="0" wrapText="0" indent="0" justifyLastLine="0" shrinkToFit="0" readingOrder="0"/>
      <border diagonalUp="0" diagonalDown="0" outline="0">
        <left/>
        <right/>
        <top/>
        <bottom/>
      </border>
      <protection locked="1" hidden="1"/>
    </dxf>
    <dxf>
      <font>
        <b val="0"/>
        <i val="0"/>
        <strike val="0"/>
        <condense val="0"/>
        <extend val="0"/>
        <outline val="0"/>
        <shadow val="0"/>
        <u val="none"/>
        <vertAlign val="baseline"/>
        <sz val="10"/>
        <color auto="1"/>
        <name val="Century Gothic"/>
        <family val="2"/>
        <scheme val="minor"/>
      </font>
      <numFmt numFmtId="0" formatCode="General"/>
      <fill>
        <patternFill patternType="none">
          <fgColor indexed="64"/>
          <bgColor indexed="65"/>
        </patternFill>
      </fill>
      <alignment horizontal="center" vertical="bottom" textRotation="0" wrapText="0" indent="0" justifyLastLine="0" shrinkToFit="0" readingOrder="0"/>
      <protection locked="1" hidden="1"/>
    </dxf>
    <dxf>
      <font>
        <b/>
        <i val="0"/>
        <strike val="0"/>
        <condense val="0"/>
        <extend val="0"/>
        <outline val="0"/>
        <shadow val="0"/>
        <u val="none"/>
        <vertAlign val="baseline"/>
        <sz val="9.5"/>
        <color theme="1"/>
        <name val="Arial"/>
        <family val="2"/>
        <scheme val="none"/>
      </font>
      <numFmt numFmtId="164" formatCode="_ * #,##0.00_ ;_ * \-#,##0.00_ ;_ * &quot;-&quot;??_ ;_ @_ "/>
      <fill>
        <patternFill patternType="none">
          <fgColor indexed="64"/>
          <bgColor indexed="65"/>
        </patternFill>
      </fill>
      <alignment horizontal="left" vertical="bottom" textRotation="0" wrapText="0" indent="0" justifyLastLine="0" shrinkToFit="0" readingOrder="0"/>
      <border diagonalUp="0" diagonalDown="0" outline="0">
        <left/>
        <right/>
        <top/>
        <bottom/>
      </border>
      <protection locked="1" hidden="1"/>
    </dxf>
    <dxf>
      <font>
        <b val="0"/>
        <i val="0"/>
        <strike val="0"/>
        <condense val="0"/>
        <extend val="0"/>
        <outline val="0"/>
        <shadow val="0"/>
        <u val="none"/>
        <vertAlign val="baseline"/>
        <sz val="10"/>
        <color auto="1"/>
        <name val="Century Gothic"/>
        <family val="2"/>
        <scheme val="minor"/>
      </font>
      <numFmt numFmtId="0" formatCode="General"/>
      <fill>
        <patternFill patternType="none">
          <fgColor indexed="64"/>
          <bgColor auto="1"/>
        </patternFill>
      </fill>
      <alignment horizontal="left" vertical="bottom" textRotation="0" wrapText="0" indent="0" justifyLastLine="0" shrinkToFit="0" readingOrder="0"/>
      <protection locked="1" hidden="1"/>
    </dxf>
    <dxf>
      <font>
        <b/>
        <i val="0"/>
        <strike val="0"/>
        <condense val="0"/>
        <extend val="0"/>
        <outline val="0"/>
        <shadow val="0"/>
        <u val="none"/>
        <vertAlign val="baseline"/>
        <sz val="9.5"/>
        <color theme="1"/>
        <name val="Arial"/>
        <family val="2"/>
        <scheme val="none"/>
      </font>
      <numFmt numFmtId="164" formatCode="_ * #,##0.00_ ;_ * \-#,##0.00_ ;_ * &quot;-&quot;??_ ;_ @_ "/>
      <fill>
        <patternFill patternType="none">
          <fgColor indexed="64"/>
          <bgColor indexed="65"/>
        </patternFill>
      </fill>
      <alignment horizontal="left" vertical="bottom" textRotation="0" wrapText="0" indent="0" justifyLastLine="0" shrinkToFit="0" readingOrder="0"/>
      <border diagonalUp="0" diagonalDown="0" outline="0">
        <left/>
        <right/>
        <top/>
        <bottom/>
      </border>
      <protection locked="1" hidden="1"/>
    </dxf>
    <dxf>
      <font>
        <b val="0"/>
        <i val="0"/>
        <strike val="0"/>
        <condense val="0"/>
        <extend val="0"/>
        <outline val="0"/>
        <shadow val="0"/>
        <u val="none"/>
        <vertAlign val="baseline"/>
        <sz val="10"/>
        <color auto="1"/>
        <name val="Century Gothic"/>
        <family val="2"/>
        <scheme val="minor"/>
      </font>
      <numFmt numFmtId="0" formatCode="General"/>
      <fill>
        <patternFill patternType="none">
          <fgColor indexed="64"/>
          <bgColor auto="1"/>
        </patternFill>
      </fill>
      <alignment horizontal="left" vertical="bottom" textRotation="0" wrapText="0" indent="0" justifyLastLine="0" shrinkToFit="0" readingOrder="0"/>
      <protection locked="1" hidden="1"/>
    </dxf>
    <dxf>
      <font>
        <b/>
        <strike val="0"/>
        <outline val="0"/>
        <shadow val="0"/>
        <u val="none"/>
        <vertAlign val="baseline"/>
        <sz val="10"/>
        <color rgb="FF000000"/>
        <name val="Century Gothic"/>
        <family val="2"/>
        <scheme val="minor"/>
      </font>
      <numFmt numFmtId="166" formatCode="_ * #,##0_ ;_ * \-#,##0_ ;_ * &quot;-&quot;??_ ;_ @_ "/>
      <fill>
        <patternFill patternType="none">
          <fgColor rgb="FF000000"/>
          <bgColor auto="1"/>
        </patternFill>
      </fill>
      <protection locked="1" hidden="1"/>
    </dxf>
    <dxf>
      <font>
        <strike val="0"/>
        <outline val="0"/>
        <shadow val="0"/>
        <u val="none"/>
        <vertAlign val="baseline"/>
        <sz val="10"/>
        <name val="Century Gothic"/>
        <family val="2"/>
        <scheme val="minor"/>
      </font>
      <numFmt numFmtId="166" formatCode="_ * #,##0_ ;_ * \-#,##0_ ;_ * &quot;-&quot;??_ ;_ @_ "/>
      <fill>
        <patternFill patternType="none">
          <fgColor rgb="FF000000"/>
          <bgColor auto="1"/>
        </patternFill>
      </fill>
      <protection locked="1" hidden="1"/>
    </dxf>
    <dxf>
      <border>
        <bottom style="thin">
          <color rgb="FF000000"/>
        </bottom>
      </border>
    </dxf>
    <dxf>
      <font>
        <b/>
        <i val="0"/>
        <strike val="0"/>
        <condense val="0"/>
        <extend val="0"/>
        <outline val="0"/>
        <shadow val="0"/>
        <u val="none"/>
        <vertAlign val="baseline"/>
        <sz val="10"/>
        <color theme="1"/>
        <name val="Century Gothic"/>
        <family val="2"/>
        <scheme val="minor"/>
      </font>
      <numFmt numFmtId="0" formatCode="General"/>
      <fill>
        <patternFill patternType="solid">
          <fgColor indexed="64"/>
          <bgColor rgb="FFCCFFFF"/>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protection locked="1" hidden="1"/>
    </dxf>
    <dxf>
      <font>
        <b/>
        <i val="0"/>
        <strike val="0"/>
        <condense val="0"/>
        <extend val="0"/>
        <outline val="0"/>
        <shadow val="0"/>
        <u val="none"/>
        <vertAlign val="baseline"/>
        <sz val="9.5"/>
        <color theme="1"/>
        <name val="Arial"/>
        <family val="2"/>
        <scheme val="none"/>
      </font>
      <numFmt numFmtId="164" formatCode="_ * #,##0.00_ ;_ * \-#,##0.00_ ;_ * &quot;-&quot;??_ ;_ @_ "/>
      <fill>
        <patternFill patternType="none">
          <fgColor indexed="64"/>
          <bgColor indexed="65"/>
        </patternFill>
      </fill>
      <alignment horizontal="center" vertical="bottom" textRotation="0" wrapText="0" indent="0" justifyLastLine="0" shrinkToFit="0" readingOrder="0"/>
      <border diagonalUp="0" diagonalDown="0" outline="0">
        <left/>
        <right/>
        <top/>
        <bottom/>
      </border>
      <protection locked="1" hidden="1"/>
    </dxf>
    <dxf>
      <font>
        <b val="0"/>
        <i val="0"/>
        <strike val="0"/>
        <condense val="0"/>
        <extend val="0"/>
        <outline val="0"/>
        <shadow val="0"/>
        <u val="none"/>
        <vertAlign val="baseline"/>
        <sz val="10"/>
        <color auto="1"/>
        <name val="Century Gothic"/>
        <family val="2"/>
        <scheme val="minor"/>
      </font>
      <numFmt numFmtId="164" formatCode="_ * #,##0.00_ ;_ * \-#,##0.00_ ;_ * &quot;-&quot;??_ ;_ @_ "/>
      <fill>
        <patternFill patternType="none">
          <fgColor indexed="64"/>
          <bgColor indexed="65"/>
        </patternFill>
      </fill>
      <alignment horizontal="center" vertical="bottom" textRotation="0" wrapText="0" indent="0" justifyLastLine="0" shrinkToFit="0" readingOrder="0"/>
      <protection locked="1" hidden="1"/>
    </dxf>
    <dxf>
      <font>
        <b/>
        <i val="0"/>
        <strike val="0"/>
        <condense val="0"/>
        <extend val="0"/>
        <outline val="0"/>
        <shadow val="0"/>
        <u val="none"/>
        <vertAlign val="baseline"/>
        <sz val="9.5"/>
        <color theme="1"/>
        <name val="Arial"/>
        <family val="2"/>
        <scheme val="none"/>
      </font>
      <numFmt numFmtId="164" formatCode="_ * #,##0.00_ ;_ * \-#,##0.00_ ;_ * &quot;-&quot;??_ ;_ @_ "/>
      <fill>
        <patternFill patternType="none">
          <fgColor indexed="64"/>
          <bgColor indexed="65"/>
        </patternFill>
      </fill>
      <alignment horizontal="center" vertical="bottom" textRotation="0" wrapText="0" indent="0" justifyLastLine="0" shrinkToFit="0" readingOrder="0"/>
      <border diagonalUp="0" diagonalDown="0" outline="0">
        <left/>
        <right/>
        <top/>
        <bottom/>
      </border>
      <protection locked="1" hidden="1"/>
    </dxf>
    <dxf>
      <font>
        <b val="0"/>
        <i val="0"/>
        <strike val="0"/>
        <condense val="0"/>
        <extend val="0"/>
        <outline val="0"/>
        <shadow val="0"/>
        <u val="none"/>
        <vertAlign val="baseline"/>
        <sz val="10"/>
        <color auto="1"/>
        <name val="Century Gothic"/>
        <family val="2"/>
        <scheme val="minor"/>
      </font>
      <numFmt numFmtId="164" formatCode="_ * #,##0.00_ ;_ * \-#,##0.00_ ;_ * &quot;-&quot;??_ ;_ @_ "/>
      <fill>
        <patternFill patternType="none">
          <fgColor indexed="64"/>
          <bgColor indexed="65"/>
        </patternFill>
      </fill>
      <alignment horizontal="center" vertical="bottom" textRotation="0" wrapText="0" indent="0" justifyLastLine="0" shrinkToFit="0" readingOrder="0"/>
      <protection locked="1" hidden="1"/>
    </dxf>
    <dxf>
      <font>
        <b/>
        <i val="0"/>
        <strike val="0"/>
        <condense val="0"/>
        <extend val="0"/>
        <outline val="0"/>
        <shadow val="0"/>
        <u val="none"/>
        <vertAlign val="baseline"/>
        <sz val="9.5"/>
        <color theme="1"/>
        <name val="Arial"/>
        <family val="2"/>
        <scheme val="none"/>
      </font>
      <numFmt numFmtId="164" formatCode="_ * #,##0.00_ ;_ * \-#,##0.00_ ;_ * &quot;-&quot;??_ ;_ @_ "/>
      <fill>
        <patternFill patternType="none">
          <fgColor indexed="64"/>
          <bgColor indexed="65"/>
        </patternFill>
      </fill>
      <alignment horizontal="center" vertical="bottom" textRotation="0" wrapText="0" indent="0" justifyLastLine="0" shrinkToFit="0" readingOrder="0"/>
      <border diagonalUp="0" diagonalDown="0" outline="0">
        <left/>
        <right/>
        <top/>
        <bottom/>
      </border>
      <protection locked="1" hidden="1"/>
    </dxf>
    <dxf>
      <font>
        <b val="0"/>
        <i val="0"/>
        <strike val="0"/>
        <condense val="0"/>
        <extend val="0"/>
        <outline val="0"/>
        <shadow val="0"/>
        <u val="none"/>
        <vertAlign val="baseline"/>
        <sz val="10"/>
        <color auto="1"/>
        <name val="Century Gothic"/>
        <family val="2"/>
        <scheme val="minor"/>
      </font>
      <numFmt numFmtId="164" formatCode="_ * #,##0.00_ ;_ * \-#,##0.00_ ;_ * &quot;-&quot;??_ ;_ @_ "/>
      <fill>
        <patternFill patternType="none">
          <fgColor indexed="64"/>
          <bgColor indexed="65"/>
        </patternFill>
      </fill>
      <alignment horizontal="center" vertical="bottom" textRotation="0" wrapText="0" indent="0" justifyLastLine="0" shrinkToFit="0" readingOrder="0"/>
      <protection locked="1" hidden="1"/>
    </dxf>
    <dxf>
      <font>
        <b/>
        <i val="0"/>
        <strike val="0"/>
        <condense val="0"/>
        <extend val="0"/>
        <outline val="0"/>
        <shadow val="0"/>
        <u val="none"/>
        <vertAlign val="baseline"/>
        <sz val="9.5"/>
        <color theme="1"/>
        <name val="Arial"/>
        <family val="2"/>
        <scheme val="none"/>
      </font>
      <numFmt numFmtId="164" formatCode="_ * #,##0.00_ ;_ * \-#,##0.00_ ;_ * &quot;-&quot;??_ ;_ @_ "/>
      <fill>
        <patternFill patternType="none">
          <fgColor indexed="64"/>
          <bgColor indexed="65"/>
        </patternFill>
      </fill>
      <alignment horizontal="center" vertical="bottom" textRotation="0" wrapText="0" indent="0" justifyLastLine="0" shrinkToFit="0" readingOrder="0"/>
      <border diagonalUp="0" diagonalDown="0" outline="0">
        <left/>
        <right/>
        <top/>
        <bottom/>
      </border>
      <protection locked="1" hidden="1"/>
    </dxf>
    <dxf>
      <font>
        <b val="0"/>
        <i val="0"/>
        <strike val="0"/>
        <condense val="0"/>
        <extend val="0"/>
        <outline val="0"/>
        <shadow val="0"/>
        <u val="none"/>
        <vertAlign val="baseline"/>
        <sz val="10"/>
        <color auto="1"/>
        <name val="Century Gothic"/>
        <family val="2"/>
        <scheme val="minor"/>
      </font>
      <numFmt numFmtId="164" formatCode="_ * #,##0.00_ ;_ * \-#,##0.00_ ;_ * &quot;-&quot;??_ ;_ @_ "/>
      <fill>
        <patternFill patternType="none">
          <fgColor indexed="64"/>
          <bgColor indexed="65"/>
        </patternFill>
      </fill>
      <alignment horizontal="center" vertical="bottom" textRotation="0" wrapText="0" indent="0" justifyLastLine="0" shrinkToFit="0" readingOrder="0"/>
      <protection locked="1" hidden="1"/>
    </dxf>
    <dxf>
      <font>
        <b/>
        <i val="0"/>
        <strike val="0"/>
        <condense val="0"/>
        <extend val="0"/>
        <outline val="0"/>
        <shadow val="0"/>
        <u val="none"/>
        <vertAlign val="baseline"/>
        <sz val="9.5"/>
        <color theme="1"/>
        <name val="Arial"/>
        <family val="2"/>
        <scheme val="none"/>
      </font>
      <numFmt numFmtId="164" formatCode="_ * #,##0.00_ ;_ * \-#,##0.00_ ;_ * &quot;-&quot;??_ ;_ @_ "/>
      <fill>
        <patternFill patternType="none">
          <fgColor indexed="64"/>
          <bgColor indexed="65"/>
        </patternFill>
      </fill>
      <alignment horizontal="center" vertical="bottom" textRotation="0" wrapText="0" indent="0" justifyLastLine="0" shrinkToFit="0" readingOrder="0"/>
      <border diagonalUp="0" diagonalDown="0" outline="0">
        <left/>
        <right/>
        <top/>
        <bottom/>
      </border>
      <protection locked="1" hidden="1"/>
    </dxf>
    <dxf>
      <font>
        <b val="0"/>
        <i val="0"/>
        <strike val="0"/>
        <condense val="0"/>
        <extend val="0"/>
        <outline val="0"/>
        <shadow val="0"/>
        <u val="none"/>
        <vertAlign val="baseline"/>
        <sz val="10"/>
        <color auto="1"/>
        <name val="Century Gothic"/>
        <family val="2"/>
        <scheme val="minor"/>
      </font>
      <numFmt numFmtId="164" formatCode="_ * #,##0.00_ ;_ * \-#,##0.00_ ;_ * &quot;-&quot;??_ ;_ @_ "/>
      <fill>
        <patternFill patternType="none">
          <fgColor indexed="64"/>
          <bgColor indexed="65"/>
        </patternFill>
      </fill>
      <alignment horizontal="center" vertical="bottom" textRotation="0" wrapText="0" indent="0" justifyLastLine="0" shrinkToFit="0" readingOrder="0"/>
      <protection locked="1" hidden="1"/>
    </dxf>
    <dxf>
      <font>
        <b/>
        <i val="0"/>
        <strike val="0"/>
        <condense val="0"/>
        <extend val="0"/>
        <outline val="0"/>
        <shadow val="0"/>
        <u val="none"/>
        <vertAlign val="baseline"/>
        <sz val="9.5"/>
        <color theme="1"/>
        <name val="Arial"/>
        <family val="2"/>
        <scheme val="none"/>
      </font>
      <numFmt numFmtId="164" formatCode="_ * #,##0.00_ ;_ * \-#,##0.00_ ;_ * &quot;-&quot;??_ ;_ @_ "/>
      <fill>
        <patternFill patternType="none">
          <fgColor indexed="64"/>
          <bgColor indexed="65"/>
        </patternFill>
      </fill>
      <alignment horizontal="center" vertical="bottom" textRotation="0" wrapText="0" indent="0" justifyLastLine="0" shrinkToFit="0" readingOrder="0"/>
      <border diagonalUp="0" diagonalDown="0" outline="0">
        <left/>
        <right/>
        <top/>
        <bottom/>
      </border>
      <protection locked="1" hidden="1"/>
    </dxf>
    <dxf>
      <font>
        <b val="0"/>
        <i val="0"/>
        <strike val="0"/>
        <condense val="0"/>
        <extend val="0"/>
        <outline val="0"/>
        <shadow val="0"/>
        <u val="none"/>
        <vertAlign val="baseline"/>
        <sz val="10"/>
        <color auto="1"/>
        <name val="Century Gothic"/>
        <family val="2"/>
        <scheme val="minor"/>
      </font>
      <numFmt numFmtId="164" formatCode="_ * #,##0.00_ ;_ * \-#,##0.00_ ;_ * &quot;-&quot;??_ ;_ @_ "/>
      <fill>
        <patternFill patternType="none">
          <fgColor indexed="64"/>
          <bgColor indexed="65"/>
        </patternFill>
      </fill>
      <alignment horizontal="center" vertical="bottom" textRotation="0" wrapText="0" indent="0" justifyLastLine="0" shrinkToFit="0" readingOrder="0"/>
      <protection locked="1" hidden="1"/>
    </dxf>
    <dxf>
      <font>
        <b/>
        <i val="0"/>
        <strike val="0"/>
        <condense val="0"/>
        <extend val="0"/>
        <outline val="0"/>
        <shadow val="0"/>
        <u val="none"/>
        <vertAlign val="baseline"/>
        <sz val="9.5"/>
        <color theme="1"/>
        <name val="Arial"/>
        <family val="2"/>
        <scheme val="none"/>
      </font>
      <numFmt numFmtId="164" formatCode="_ * #,##0.00_ ;_ * \-#,##0.00_ ;_ * &quot;-&quot;??_ ;_ @_ "/>
      <fill>
        <patternFill patternType="none">
          <fgColor indexed="64"/>
          <bgColor indexed="65"/>
        </patternFill>
      </fill>
      <alignment horizontal="center" vertical="bottom" textRotation="0" wrapText="0" indent="0" justifyLastLine="0" shrinkToFit="0" readingOrder="0"/>
      <border diagonalUp="0" diagonalDown="0" outline="0">
        <left/>
        <right/>
        <top/>
        <bottom/>
      </border>
      <protection locked="1" hidden="1"/>
    </dxf>
    <dxf>
      <font>
        <b val="0"/>
        <i val="0"/>
        <strike val="0"/>
        <condense val="0"/>
        <extend val="0"/>
        <outline val="0"/>
        <shadow val="0"/>
        <u val="none"/>
        <vertAlign val="baseline"/>
        <sz val="10"/>
        <color auto="1"/>
        <name val="Century Gothic"/>
        <family val="2"/>
        <scheme val="minor"/>
      </font>
      <numFmt numFmtId="164" formatCode="_ * #,##0.00_ ;_ * \-#,##0.00_ ;_ * &quot;-&quot;??_ ;_ @_ "/>
      <fill>
        <patternFill patternType="none">
          <fgColor indexed="64"/>
          <bgColor indexed="65"/>
        </patternFill>
      </fill>
      <alignment horizontal="center" vertical="bottom" textRotation="0" wrapText="0" indent="0" justifyLastLine="0" shrinkToFit="0" readingOrder="0"/>
      <protection locked="1" hidden="1"/>
    </dxf>
    <dxf>
      <font>
        <b/>
        <i val="0"/>
        <strike val="0"/>
        <condense val="0"/>
        <extend val="0"/>
        <outline val="0"/>
        <shadow val="0"/>
        <u val="none"/>
        <vertAlign val="baseline"/>
        <sz val="9.5"/>
        <color theme="1"/>
        <name val="Arial"/>
        <family val="2"/>
        <scheme val="none"/>
      </font>
      <numFmt numFmtId="164" formatCode="_ * #,##0.00_ ;_ * \-#,##0.00_ ;_ * &quot;-&quot;??_ ;_ @_ "/>
      <fill>
        <patternFill patternType="none">
          <fgColor indexed="64"/>
          <bgColor indexed="65"/>
        </patternFill>
      </fill>
      <alignment horizontal="center" vertical="bottom" textRotation="0" wrapText="0" indent="0" justifyLastLine="0" shrinkToFit="0" readingOrder="0"/>
      <border diagonalUp="0" diagonalDown="0" outline="0">
        <left/>
        <right/>
        <top/>
        <bottom/>
      </border>
      <protection locked="1" hidden="1"/>
    </dxf>
    <dxf>
      <font>
        <b val="0"/>
        <i val="0"/>
        <strike val="0"/>
        <condense val="0"/>
        <extend val="0"/>
        <outline val="0"/>
        <shadow val="0"/>
        <u val="none"/>
        <vertAlign val="baseline"/>
        <sz val="10"/>
        <color auto="1"/>
        <name val="Century Gothic"/>
        <family val="2"/>
        <scheme val="minor"/>
      </font>
      <numFmt numFmtId="164" formatCode="_ * #,##0.00_ ;_ * \-#,##0.00_ ;_ * &quot;-&quot;??_ ;_ @_ "/>
      <fill>
        <patternFill patternType="none">
          <fgColor indexed="64"/>
          <bgColor indexed="65"/>
        </patternFill>
      </fill>
      <alignment horizontal="center" vertical="bottom" textRotation="0" wrapText="0" indent="0" justifyLastLine="0" shrinkToFit="0" readingOrder="0"/>
      <protection locked="1" hidden="1"/>
    </dxf>
    <dxf>
      <font>
        <b/>
        <i val="0"/>
        <strike val="0"/>
        <condense val="0"/>
        <extend val="0"/>
        <outline val="0"/>
        <shadow val="0"/>
        <u val="none"/>
        <vertAlign val="baseline"/>
        <sz val="9.5"/>
        <color theme="1"/>
        <name val="Arial"/>
        <family val="2"/>
        <scheme val="none"/>
      </font>
      <numFmt numFmtId="164" formatCode="_ * #,##0.00_ ;_ * \-#,##0.00_ ;_ * &quot;-&quot;??_ ;_ @_ "/>
      <fill>
        <patternFill patternType="none">
          <fgColor indexed="64"/>
          <bgColor indexed="65"/>
        </patternFill>
      </fill>
      <alignment horizontal="center" vertical="bottom" textRotation="0" wrapText="0" indent="0" justifyLastLine="0" shrinkToFit="0" readingOrder="0"/>
      <border diagonalUp="0" diagonalDown="0" outline="0">
        <left/>
        <right/>
        <top/>
        <bottom/>
      </border>
      <protection locked="1" hidden="1"/>
    </dxf>
    <dxf>
      <font>
        <b val="0"/>
        <i val="0"/>
        <strike val="0"/>
        <condense val="0"/>
        <extend val="0"/>
        <outline val="0"/>
        <shadow val="0"/>
        <u val="none"/>
        <vertAlign val="baseline"/>
        <sz val="10"/>
        <color auto="1"/>
        <name val="Century Gothic"/>
        <family val="2"/>
        <scheme val="minor"/>
      </font>
      <numFmt numFmtId="164" formatCode="_ * #,##0.00_ ;_ * \-#,##0.00_ ;_ * &quot;-&quot;??_ ;_ @_ "/>
      <fill>
        <patternFill patternType="none">
          <fgColor indexed="64"/>
          <bgColor indexed="65"/>
        </patternFill>
      </fill>
      <alignment horizontal="center" vertical="bottom" textRotation="0" wrapText="0" indent="0" justifyLastLine="0" shrinkToFit="0" readingOrder="0"/>
      <protection locked="1" hidden="1"/>
    </dxf>
    <dxf>
      <font>
        <b/>
        <i val="0"/>
        <strike val="0"/>
        <condense val="0"/>
        <extend val="0"/>
        <outline val="0"/>
        <shadow val="0"/>
        <u val="none"/>
        <vertAlign val="baseline"/>
        <sz val="9.5"/>
        <color theme="1"/>
        <name val="Arial"/>
        <family val="2"/>
        <scheme val="none"/>
      </font>
      <numFmt numFmtId="164" formatCode="_ * #,##0.00_ ;_ * \-#,##0.00_ ;_ * &quot;-&quot;??_ ;_ @_ "/>
      <fill>
        <patternFill patternType="none">
          <fgColor indexed="64"/>
          <bgColor indexed="65"/>
        </patternFill>
      </fill>
      <alignment horizontal="center" vertical="bottom" textRotation="0" wrapText="0" indent="0" justifyLastLine="0" shrinkToFit="0" readingOrder="0"/>
      <border diagonalUp="0" diagonalDown="0" outline="0">
        <left/>
        <right/>
        <top/>
        <bottom/>
      </border>
      <protection locked="1" hidden="1"/>
    </dxf>
    <dxf>
      <font>
        <b val="0"/>
        <i val="0"/>
        <strike val="0"/>
        <condense val="0"/>
        <extend val="0"/>
        <outline val="0"/>
        <shadow val="0"/>
        <u val="none"/>
        <vertAlign val="baseline"/>
        <sz val="10"/>
        <color auto="1"/>
        <name val="Century Gothic"/>
        <family val="2"/>
        <scheme val="minor"/>
      </font>
      <numFmt numFmtId="164" formatCode="_ * #,##0.00_ ;_ * \-#,##0.00_ ;_ * &quot;-&quot;??_ ;_ @_ "/>
      <fill>
        <patternFill patternType="none">
          <fgColor indexed="64"/>
          <bgColor indexed="65"/>
        </patternFill>
      </fill>
      <alignment horizontal="center" vertical="bottom" textRotation="0" wrapText="0" indent="0" justifyLastLine="0" shrinkToFit="0" readingOrder="0"/>
      <protection locked="1" hidden="1"/>
    </dxf>
    <dxf>
      <font>
        <b/>
        <i val="0"/>
        <strike val="0"/>
        <condense val="0"/>
        <extend val="0"/>
        <outline val="0"/>
        <shadow val="0"/>
        <u val="none"/>
        <vertAlign val="baseline"/>
        <sz val="9.5"/>
        <color theme="1"/>
        <name val="Arial"/>
        <family val="2"/>
        <scheme val="none"/>
      </font>
      <numFmt numFmtId="164" formatCode="_ * #,##0.00_ ;_ * \-#,##0.00_ ;_ * &quot;-&quot;??_ ;_ @_ "/>
      <fill>
        <patternFill patternType="none">
          <fgColor indexed="64"/>
          <bgColor indexed="65"/>
        </patternFill>
      </fill>
      <alignment horizontal="center" vertical="bottom" textRotation="0" wrapText="0" indent="0" justifyLastLine="0" shrinkToFit="0" readingOrder="0"/>
      <border diagonalUp="0" diagonalDown="0" outline="0">
        <left/>
        <right/>
        <top/>
        <bottom/>
      </border>
      <protection locked="1" hidden="1"/>
    </dxf>
    <dxf>
      <font>
        <b val="0"/>
        <i val="0"/>
        <strike val="0"/>
        <condense val="0"/>
        <extend val="0"/>
        <outline val="0"/>
        <shadow val="0"/>
        <u val="none"/>
        <vertAlign val="baseline"/>
        <sz val="10"/>
        <color auto="1"/>
        <name val="Century Gothic"/>
        <family val="2"/>
        <scheme val="minor"/>
      </font>
      <numFmt numFmtId="164" formatCode="_ * #,##0.00_ ;_ * \-#,##0.00_ ;_ * &quot;-&quot;??_ ;_ @_ "/>
      <fill>
        <patternFill patternType="none">
          <fgColor indexed="64"/>
          <bgColor indexed="65"/>
        </patternFill>
      </fill>
      <alignment horizontal="center" vertical="bottom" textRotation="0" wrapText="0" indent="0" justifyLastLine="0" shrinkToFit="0" readingOrder="0"/>
      <protection locked="1" hidden="1"/>
    </dxf>
    <dxf>
      <font>
        <b/>
        <i val="0"/>
        <strike val="0"/>
        <condense val="0"/>
        <extend val="0"/>
        <outline val="0"/>
        <shadow val="0"/>
        <u val="none"/>
        <vertAlign val="baseline"/>
        <sz val="9.5"/>
        <color theme="1"/>
        <name val="Arial"/>
        <family val="2"/>
        <scheme val="none"/>
      </font>
      <numFmt numFmtId="164" formatCode="_ * #,##0.00_ ;_ * \-#,##0.00_ ;_ * &quot;-&quot;??_ ;_ @_ "/>
      <fill>
        <patternFill patternType="none">
          <fgColor indexed="64"/>
          <bgColor indexed="65"/>
        </patternFill>
      </fill>
      <alignment horizontal="center" vertical="bottom" textRotation="0" wrapText="0" indent="0" justifyLastLine="0" shrinkToFit="0" readingOrder="0"/>
      <border diagonalUp="0" diagonalDown="0" outline="0">
        <left/>
        <right/>
        <top/>
        <bottom/>
      </border>
      <protection locked="1" hidden="1"/>
    </dxf>
    <dxf>
      <font>
        <b val="0"/>
        <i val="0"/>
        <strike val="0"/>
        <condense val="0"/>
        <extend val="0"/>
        <outline val="0"/>
        <shadow val="0"/>
        <u val="none"/>
        <vertAlign val="baseline"/>
        <sz val="10"/>
        <color auto="1"/>
        <name val="Century Gothic"/>
        <family val="2"/>
        <scheme val="minor"/>
      </font>
      <numFmt numFmtId="164" formatCode="_ * #,##0.00_ ;_ * \-#,##0.00_ ;_ * &quot;-&quot;??_ ;_ @_ "/>
      <fill>
        <patternFill patternType="none">
          <fgColor indexed="64"/>
          <bgColor indexed="65"/>
        </patternFill>
      </fill>
      <alignment horizontal="center" vertical="bottom" textRotation="0" wrapText="0" indent="0" justifyLastLine="0" shrinkToFit="0" readingOrder="0"/>
      <protection locked="1" hidden="1"/>
    </dxf>
    <dxf>
      <font>
        <b/>
        <i val="0"/>
        <strike val="0"/>
        <condense val="0"/>
        <extend val="0"/>
        <outline val="0"/>
        <shadow val="0"/>
        <u val="none"/>
        <vertAlign val="baseline"/>
        <sz val="9.5"/>
        <color theme="1"/>
        <name val="Arial"/>
        <family val="2"/>
        <scheme val="none"/>
      </font>
      <numFmt numFmtId="164" formatCode="_ * #,##0.00_ ;_ * \-#,##0.00_ ;_ * &quot;-&quot;??_ ;_ @_ "/>
      <fill>
        <patternFill patternType="none">
          <fgColor indexed="64"/>
          <bgColor indexed="65"/>
        </patternFill>
      </fill>
      <alignment horizontal="left" vertical="bottom" textRotation="0" wrapText="0" indent="0" justifyLastLine="0" shrinkToFit="0" readingOrder="0"/>
      <border diagonalUp="0" diagonalDown="0" outline="0">
        <left/>
        <right/>
        <top/>
        <bottom/>
      </border>
      <protection locked="1" hidden="1"/>
    </dxf>
    <dxf>
      <font>
        <b val="0"/>
        <i val="0"/>
        <strike val="0"/>
        <condense val="0"/>
        <extend val="0"/>
        <outline val="0"/>
        <shadow val="0"/>
        <u val="none"/>
        <vertAlign val="baseline"/>
        <sz val="10"/>
        <color auto="1"/>
        <name val="Century Gothic"/>
        <family val="2"/>
        <scheme val="minor"/>
      </font>
      <numFmt numFmtId="0" formatCode="General"/>
      <fill>
        <patternFill patternType="none">
          <fgColor indexed="64"/>
          <bgColor auto="1"/>
        </patternFill>
      </fill>
      <alignment horizontal="left" vertical="bottom" textRotation="0" wrapText="0" indent="0" justifyLastLine="0" shrinkToFit="0" readingOrder="0"/>
      <protection locked="1" hidden="1"/>
    </dxf>
    <dxf>
      <font>
        <b/>
        <i val="0"/>
        <strike val="0"/>
        <condense val="0"/>
        <extend val="0"/>
        <outline val="0"/>
        <shadow val="0"/>
        <u val="none"/>
        <vertAlign val="baseline"/>
        <sz val="9.5"/>
        <color theme="1"/>
        <name val="Arial"/>
        <family val="2"/>
        <scheme val="none"/>
      </font>
      <numFmt numFmtId="164" formatCode="_ * #,##0.00_ ;_ * \-#,##0.00_ ;_ * &quot;-&quot;??_ ;_ @_ "/>
      <fill>
        <patternFill patternType="none">
          <fgColor indexed="64"/>
          <bgColor indexed="65"/>
        </patternFill>
      </fill>
      <alignment horizontal="left" vertical="bottom" textRotation="0" wrapText="0" indent="0" justifyLastLine="0" shrinkToFit="0" readingOrder="0"/>
      <border diagonalUp="0" diagonalDown="0" outline="0">
        <left/>
        <right/>
        <top/>
        <bottom/>
      </border>
      <protection locked="1" hidden="1"/>
    </dxf>
    <dxf>
      <font>
        <b val="0"/>
        <i val="0"/>
        <strike val="0"/>
        <condense val="0"/>
        <extend val="0"/>
        <outline val="0"/>
        <shadow val="0"/>
        <u val="none"/>
        <vertAlign val="baseline"/>
        <sz val="10"/>
        <color auto="1"/>
        <name val="Century Gothic"/>
        <family val="2"/>
        <scheme val="minor"/>
      </font>
      <numFmt numFmtId="0" formatCode="General"/>
      <fill>
        <patternFill patternType="none">
          <fgColor indexed="64"/>
          <bgColor auto="1"/>
        </patternFill>
      </fill>
      <alignment horizontal="left" vertical="bottom" textRotation="0" wrapText="0" indent="0" justifyLastLine="0" shrinkToFit="0" readingOrder="0"/>
      <protection locked="1" hidden="1"/>
    </dxf>
    <dxf>
      <font>
        <b/>
        <strike val="0"/>
        <outline val="0"/>
        <shadow val="0"/>
        <u val="none"/>
        <vertAlign val="baseline"/>
        <sz val="10"/>
        <color rgb="FF000000"/>
        <name val="Century Gothic"/>
        <family val="2"/>
        <scheme val="minor"/>
      </font>
      <numFmt numFmtId="166" formatCode="_ * #,##0_ ;_ * \-#,##0_ ;_ * &quot;-&quot;??_ ;_ @_ "/>
      <fill>
        <patternFill patternType="none">
          <fgColor indexed="64"/>
          <bgColor auto="1"/>
        </patternFill>
      </fill>
      <protection locked="1" hidden="1"/>
    </dxf>
    <dxf>
      <font>
        <strike val="0"/>
        <outline val="0"/>
        <shadow val="0"/>
        <u val="none"/>
        <vertAlign val="baseline"/>
        <sz val="10"/>
        <name val="Century Gothic"/>
        <family val="2"/>
        <scheme val="minor"/>
      </font>
      <numFmt numFmtId="166" formatCode="_ * #,##0_ ;_ * \-#,##0_ ;_ * &quot;-&quot;??_ ;_ @_ "/>
      <fill>
        <patternFill patternType="none">
          <fgColor indexed="64"/>
          <bgColor auto="1"/>
        </patternFill>
      </fill>
      <protection locked="1" hidden="1"/>
    </dxf>
    <dxf>
      <border>
        <bottom style="thin">
          <color indexed="64"/>
        </bottom>
      </border>
    </dxf>
    <dxf>
      <font>
        <b/>
        <i val="0"/>
        <strike val="0"/>
        <condense val="0"/>
        <extend val="0"/>
        <outline val="0"/>
        <shadow val="0"/>
        <u val="none"/>
        <vertAlign val="baseline"/>
        <sz val="10"/>
        <color theme="1"/>
        <name val="Century Gothic"/>
        <family val="2"/>
        <scheme val="minor"/>
      </font>
      <numFmt numFmtId="0" formatCode="General"/>
      <fill>
        <patternFill patternType="solid">
          <fgColor indexed="64"/>
          <bgColor rgb="FFCCFFFF"/>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protection locked="1" hidden="1"/>
    </dxf>
    <dxf>
      <font>
        <b/>
        <i val="0"/>
        <strike val="0"/>
        <condense val="0"/>
        <extend val="0"/>
        <outline val="0"/>
        <shadow val="0"/>
        <u val="none"/>
        <vertAlign val="baseline"/>
        <sz val="9.5"/>
        <color theme="1"/>
        <name val="Arial"/>
        <family val="2"/>
        <scheme val="none"/>
      </font>
      <fill>
        <patternFill patternType="none">
          <fgColor indexed="64"/>
          <bgColor auto="1"/>
        </patternFill>
      </fill>
      <alignment horizontal="center" vertical="bottom" textRotation="0" wrapText="0" indent="0" justifyLastLine="0" shrinkToFit="0" readingOrder="0"/>
      <border diagonalUp="0" diagonalDown="0">
        <left/>
        <right/>
        <top/>
        <bottom/>
      </border>
      <protection locked="1" hidden="0"/>
    </dxf>
    <dxf>
      <font>
        <strike val="0"/>
        <outline val="0"/>
        <shadow val="0"/>
        <u val="none"/>
        <vertAlign val="baseline"/>
        <sz val="10"/>
        <name val="Century Gothic"/>
        <family val="2"/>
        <scheme val="minor"/>
      </font>
      <numFmt numFmtId="164" formatCode="_ * #,##0.00_ ;_ * \-#,##0.00_ ;_ * &quot;-&quot;??_ ;_ @_ "/>
      <fill>
        <patternFill patternType="none">
          <fgColor indexed="64"/>
          <bgColor auto="1"/>
        </patternFill>
      </fill>
      <alignment horizontal="center" vertical="bottom" textRotation="0" wrapText="0" indent="0" justifyLastLine="0" shrinkToFit="0" readingOrder="0"/>
      <protection locked="1" hidden="1"/>
    </dxf>
    <dxf>
      <font>
        <b/>
        <i val="0"/>
        <strike val="0"/>
        <condense val="0"/>
        <extend val="0"/>
        <outline val="0"/>
        <shadow val="0"/>
        <u val="none"/>
        <vertAlign val="baseline"/>
        <sz val="9.5"/>
        <color theme="1"/>
        <name val="Arial"/>
        <family val="2"/>
        <scheme val="none"/>
      </font>
      <fill>
        <patternFill patternType="none">
          <fgColor indexed="64"/>
          <bgColor auto="1"/>
        </patternFill>
      </fill>
      <alignment horizontal="center" vertical="bottom" textRotation="0" wrapText="0" indent="0" justifyLastLine="0" shrinkToFit="0" readingOrder="0"/>
      <border diagonalUp="0" diagonalDown="0">
        <left/>
        <right/>
        <top/>
        <bottom/>
      </border>
      <protection locked="1" hidden="0"/>
    </dxf>
    <dxf>
      <font>
        <strike val="0"/>
        <outline val="0"/>
        <shadow val="0"/>
        <u val="none"/>
        <vertAlign val="baseline"/>
        <sz val="10"/>
        <name val="Century Gothic"/>
        <family val="2"/>
        <scheme val="minor"/>
      </font>
      <numFmt numFmtId="164" formatCode="_ * #,##0.00_ ;_ * \-#,##0.00_ ;_ * &quot;-&quot;??_ ;_ @_ "/>
      <fill>
        <patternFill patternType="none">
          <fgColor indexed="64"/>
          <bgColor auto="1"/>
        </patternFill>
      </fill>
      <alignment horizontal="center" vertical="bottom" textRotation="0" wrapText="0" indent="0" justifyLastLine="0" shrinkToFit="0" readingOrder="0"/>
      <protection locked="1" hidden="1"/>
    </dxf>
    <dxf>
      <font>
        <b/>
        <i val="0"/>
        <strike val="0"/>
        <condense val="0"/>
        <extend val="0"/>
        <outline val="0"/>
        <shadow val="0"/>
        <u val="none"/>
        <vertAlign val="baseline"/>
        <sz val="9.5"/>
        <color theme="1"/>
        <name val="Arial"/>
        <family val="2"/>
        <scheme val="none"/>
      </font>
      <fill>
        <patternFill patternType="none">
          <fgColor indexed="64"/>
          <bgColor auto="1"/>
        </patternFill>
      </fill>
      <alignment horizontal="center" vertical="bottom" textRotation="0" wrapText="0" indent="0" justifyLastLine="0" shrinkToFit="0" readingOrder="0"/>
      <border diagonalUp="0" diagonalDown="0">
        <left/>
        <right/>
        <top/>
        <bottom/>
      </border>
      <protection locked="1" hidden="0"/>
    </dxf>
    <dxf>
      <font>
        <strike val="0"/>
        <outline val="0"/>
        <shadow val="0"/>
        <u val="none"/>
        <vertAlign val="baseline"/>
        <sz val="10"/>
        <name val="Century Gothic"/>
        <family val="2"/>
        <scheme val="minor"/>
      </font>
      <numFmt numFmtId="164" formatCode="_ * #,##0.00_ ;_ * \-#,##0.00_ ;_ * &quot;-&quot;??_ ;_ @_ "/>
      <fill>
        <patternFill patternType="none">
          <fgColor indexed="64"/>
          <bgColor indexed="65"/>
        </patternFill>
      </fill>
      <alignment horizontal="center" vertical="bottom" textRotation="0" wrapText="0" indent="0" justifyLastLine="0" shrinkToFit="0" readingOrder="0"/>
      <protection locked="1" hidden="1"/>
    </dxf>
    <dxf>
      <font>
        <b/>
        <i val="0"/>
        <strike val="0"/>
        <condense val="0"/>
        <extend val="0"/>
        <outline val="0"/>
        <shadow val="0"/>
        <u val="none"/>
        <vertAlign val="baseline"/>
        <sz val="9.5"/>
        <color theme="1"/>
        <name val="Arial"/>
        <family val="2"/>
        <scheme val="none"/>
      </font>
      <numFmt numFmtId="164" formatCode="_ * #,##0.00_ ;_ * \-#,##0.00_ ;_ * &quot;-&quot;??_ ;_ @_ "/>
      <fill>
        <patternFill patternType="none">
          <fgColor indexed="64"/>
          <bgColor indexed="65"/>
        </patternFill>
      </fill>
      <alignment horizontal="center" vertical="bottom" textRotation="0" wrapText="0" indent="0" justifyLastLine="0" shrinkToFit="0" readingOrder="0"/>
      <border diagonalUp="0" diagonalDown="0" outline="0">
        <left/>
        <right/>
        <top/>
        <bottom/>
      </border>
      <protection locked="1" hidden="0"/>
    </dxf>
    <dxf>
      <font>
        <strike val="0"/>
        <outline val="0"/>
        <shadow val="0"/>
        <u val="none"/>
        <vertAlign val="baseline"/>
        <sz val="10"/>
        <name val="Century Gothic"/>
        <family val="2"/>
        <scheme val="minor"/>
      </font>
      <numFmt numFmtId="164" formatCode="_ * #,##0.00_ ;_ * \-#,##0.00_ ;_ * &quot;-&quot;??_ ;_ @_ "/>
      <fill>
        <patternFill patternType="none">
          <fgColor indexed="64"/>
          <bgColor auto="1"/>
        </patternFill>
      </fill>
      <alignment horizontal="center" vertical="bottom" textRotation="0" wrapText="0" indent="0" justifyLastLine="0" shrinkToFit="0" readingOrder="0"/>
      <protection locked="1" hidden="1"/>
    </dxf>
    <dxf>
      <font>
        <b/>
        <i val="0"/>
        <strike val="0"/>
        <condense val="0"/>
        <extend val="0"/>
        <outline val="0"/>
        <shadow val="0"/>
        <u val="none"/>
        <vertAlign val="baseline"/>
        <sz val="9.5"/>
        <color theme="1"/>
        <name val="Arial"/>
        <family val="2"/>
        <scheme val="none"/>
      </font>
      <numFmt numFmtId="164" formatCode="_ * #,##0.00_ ;_ * \-#,##0.00_ ;_ * &quot;-&quot;??_ ;_ @_ "/>
      <fill>
        <patternFill patternType="none">
          <fgColor indexed="64"/>
          <bgColor indexed="65"/>
        </patternFill>
      </fill>
      <alignment horizontal="center" vertical="bottom" textRotation="0" wrapText="0" indent="0" justifyLastLine="0" shrinkToFit="0" readingOrder="0"/>
      <border diagonalUp="0" diagonalDown="0" outline="0">
        <left/>
        <right/>
        <top/>
        <bottom/>
      </border>
      <protection locked="1" hidden="0"/>
    </dxf>
    <dxf>
      <font>
        <strike val="0"/>
        <outline val="0"/>
        <shadow val="0"/>
        <u val="none"/>
        <vertAlign val="baseline"/>
        <sz val="10"/>
        <name val="Century Gothic"/>
        <family val="2"/>
        <scheme val="minor"/>
      </font>
      <numFmt numFmtId="164" formatCode="_ * #,##0.00_ ;_ * \-#,##0.00_ ;_ * &quot;-&quot;??_ ;_ @_ "/>
      <fill>
        <patternFill patternType="none">
          <fgColor indexed="64"/>
          <bgColor indexed="65"/>
        </patternFill>
      </fill>
      <alignment horizontal="center" vertical="bottom" textRotation="0" wrapText="0" indent="0" justifyLastLine="0" shrinkToFit="0" readingOrder="0"/>
      <protection locked="1" hidden="1"/>
    </dxf>
    <dxf>
      <font>
        <b/>
        <i val="0"/>
        <strike val="0"/>
        <condense val="0"/>
        <extend val="0"/>
        <outline val="0"/>
        <shadow val="0"/>
        <u val="none"/>
        <vertAlign val="baseline"/>
        <sz val="9.5"/>
        <color theme="1"/>
        <name val="Arial"/>
        <family val="2"/>
        <scheme val="none"/>
      </font>
      <numFmt numFmtId="164" formatCode="_ * #,##0.00_ ;_ * \-#,##0.00_ ;_ * &quot;-&quot;??_ ;_ @_ "/>
      <fill>
        <patternFill patternType="none">
          <fgColor indexed="64"/>
          <bgColor indexed="65"/>
        </patternFill>
      </fill>
      <alignment horizontal="center" vertical="bottom" textRotation="0" wrapText="0" indent="0" justifyLastLine="0" shrinkToFit="0" readingOrder="0"/>
      <border diagonalUp="0" diagonalDown="0" outline="0">
        <left/>
        <right/>
        <top/>
        <bottom/>
      </border>
      <protection locked="1" hidden="0"/>
    </dxf>
    <dxf>
      <font>
        <strike val="0"/>
        <outline val="0"/>
        <shadow val="0"/>
        <u val="none"/>
        <vertAlign val="baseline"/>
        <sz val="10"/>
        <name val="Century Gothic"/>
        <family val="2"/>
        <scheme val="minor"/>
      </font>
      <numFmt numFmtId="164" formatCode="_ * #,##0.00_ ;_ * \-#,##0.00_ ;_ * &quot;-&quot;??_ ;_ @_ "/>
      <fill>
        <patternFill patternType="none">
          <fgColor indexed="64"/>
          <bgColor auto="1"/>
        </patternFill>
      </fill>
      <alignment horizontal="center" vertical="bottom" textRotation="0" wrapText="0" indent="0" justifyLastLine="0" shrinkToFit="0" readingOrder="0"/>
      <protection locked="1" hidden="1"/>
    </dxf>
    <dxf>
      <font>
        <b/>
        <i val="0"/>
        <strike val="0"/>
        <condense val="0"/>
        <extend val="0"/>
        <outline val="0"/>
        <shadow val="0"/>
        <u val="none"/>
        <vertAlign val="baseline"/>
        <sz val="9.5"/>
        <color theme="1"/>
        <name val="Arial"/>
        <family val="2"/>
        <scheme val="none"/>
      </font>
      <numFmt numFmtId="164" formatCode="_ * #,##0.00_ ;_ * \-#,##0.00_ ;_ * &quot;-&quot;??_ ;_ @_ "/>
      <fill>
        <patternFill patternType="none">
          <fgColor indexed="64"/>
          <bgColor indexed="65"/>
        </patternFill>
      </fill>
      <alignment horizontal="center" vertical="bottom" textRotation="0" wrapText="0" indent="0" justifyLastLine="0" shrinkToFit="0" readingOrder="0"/>
      <border diagonalUp="0" diagonalDown="0" outline="0">
        <left/>
        <right/>
        <top/>
        <bottom/>
      </border>
      <protection locked="1" hidden="0"/>
    </dxf>
    <dxf>
      <font>
        <strike val="0"/>
        <outline val="0"/>
        <shadow val="0"/>
        <u val="none"/>
        <vertAlign val="baseline"/>
        <sz val="10"/>
        <name val="Century Gothic"/>
        <family val="2"/>
        <scheme val="minor"/>
      </font>
      <numFmt numFmtId="164" formatCode="_ * #,##0.00_ ;_ * \-#,##0.00_ ;_ * &quot;-&quot;??_ ;_ @_ "/>
      <fill>
        <patternFill patternType="none">
          <fgColor indexed="64"/>
          <bgColor indexed="65"/>
        </patternFill>
      </fill>
      <alignment horizontal="center" vertical="bottom" textRotation="0" wrapText="0" indent="0" justifyLastLine="0" shrinkToFit="0" readingOrder="0"/>
      <protection locked="1" hidden="1"/>
    </dxf>
    <dxf>
      <font>
        <b/>
        <i val="0"/>
        <strike val="0"/>
        <condense val="0"/>
        <extend val="0"/>
        <outline val="0"/>
        <shadow val="0"/>
        <u val="none"/>
        <vertAlign val="baseline"/>
        <sz val="9.5"/>
        <color theme="1"/>
        <name val="Arial"/>
        <family val="2"/>
        <scheme val="none"/>
      </font>
      <numFmt numFmtId="164" formatCode="_ * #,##0.00_ ;_ * \-#,##0.00_ ;_ * &quot;-&quot;??_ ;_ @_ "/>
      <fill>
        <patternFill patternType="none">
          <fgColor indexed="64"/>
          <bgColor indexed="65"/>
        </patternFill>
      </fill>
      <alignment horizontal="center" vertical="bottom" textRotation="0" wrapText="0" indent="0" justifyLastLine="0" shrinkToFit="0" readingOrder="0"/>
      <border diagonalUp="0" diagonalDown="0" outline="0">
        <left/>
        <right/>
        <top/>
        <bottom/>
      </border>
      <protection locked="1" hidden="0"/>
    </dxf>
    <dxf>
      <font>
        <strike val="0"/>
        <outline val="0"/>
        <shadow val="0"/>
        <u val="none"/>
        <vertAlign val="baseline"/>
        <sz val="10"/>
        <name val="Century Gothic"/>
        <family val="2"/>
        <scheme val="minor"/>
      </font>
      <numFmt numFmtId="164" formatCode="_ * #,##0.00_ ;_ * \-#,##0.00_ ;_ * &quot;-&quot;??_ ;_ @_ "/>
      <fill>
        <patternFill patternType="none">
          <fgColor indexed="64"/>
          <bgColor indexed="65"/>
        </patternFill>
      </fill>
      <alignment horizontal="center" vertical="bottom" textRotation="0" wrapText="0" indent="0" justifyLastLine="0" shrinkToFit="0" readingOrder="0"/>
      <protection locked="1" hidden="1"/>
    </dxf>
    <dxf>
      <font>
        <b/>
        <i val="0"/>
        <strike val="0"/>
        <condense val="0"/>
        <extend val="0"/>
        <outline val="0"/>
        <shadow val="0"/>
        <u val="none"/>
        <vertAlign val="baseline"/>
        <sz val="9.5"/>
        <color theme="1"/>
        <name val="Arial"/>
        <family val="2"/>
        <scheme val="none"/>
      </font>
      <numFmt numFmtId="164" formatCode="_ * #,##0.00_ ;_ * \-#,##0.00_ ;_ * &quot;-&quot;??_ ;_ @_ "/>
      <fill>
        <patternFill patternType="none">
          <fgColor indexed="64"/>
          <bgColor indexed="65"/>
        </patternFill>
      </fill>
      <alignment horizontal="center" vertical="bottom" textRotation="0" wrapText="0" indent="0" justifyLastLine="0" shrinkToFit="0" readingOrder="0"/>
      <protection locked="1" hidden="0"/>
    </dxf>
    <dxf>
      <font>
        <b val="0"/>
        <i val="0"/>
        <strike val="0"/>
        <condense val="0"/>
        <extend val="0"/>
        <outline val="0"/>
        <shadow val="0"/>
        <u val="none"/>
        <vertAlign val="baseline"/>
        <sz val="10"/>
        <color auto="1"/>
        <name val="Century Gothic"/>
        <family val="2"/>
        <scheme val="minor"/>
      </font>
      <numFmt numFmtId="164" formatCode="_ * #,##0.00_ ;_ * \-#,##0.00_ ;_ * &quot;-&quot;??_ ;_ @_ "/>
      <fill>
        <patternFill patternType="none">
          <fgColor indexed="64"/>
          <bgColor indexed="65"/>
        </patternFill>
      </fill>
      <alignment horizontal="center" vertical="bottom" textRotation="0" wrapText="0" indent="0" justifyLastLine="0" shrinkToFit="0" readingOrder="0"/>
      <protection locked="1" hidden="1"/>
    </dxf>
    <dxf>
      <font>
        <b/>
        <i val="0"/>
        <strike val="0"/>
        <condense val="0"/>
        <extend val="0"/>
        <outline val="0"/>
        <shadow val="0"/>
        <u val="none"/>
        <vertAlign val="baseline"/>
        <sz val="9.5"/>
        <color theme="1"/>
        <name val="Arial"/>
        <family val="2"/>
        <scheme val="none"/>
      </font>
      <numFmt numFmtId="164" formatCode="_ * #,##0.00_ ;_ * \-#,##0.00_ ;_ * &quot;-&quot;??_ ;_ @_ "/>
      <fill>
        <patternFill patternType="none">
          <fgColor indexed="64"/>
          <bgColor indexed="65"/>
        </patternFill>
      </fill>
      <alignment horizontal="center" vertical="bottom" textRotation="0" wrapText="0" indent="0" justifyLastLine="0" shrinkToFit="0" readingOrder="0"/>
      <protection locked="1" hidden="0"/>
    </dxf>
    <dxf>
      <font>
        <b val="0"/>
        <i val="0"/>
        <strike val="0"/>
        <condense val="0"/>
        <extend val="0"/>
        <outline val="0"/>
        <shadow val="0"/>
        <u val="none"/>
        <vertAlign val="baseline"/>
        <sz val="10"/>
        <color auto="1"/>
        <name val="Century Gothic"/>
        <family val="2"/>
        <scheme val="minor"/>
      </font>
      <numFmt numFmtId="164" formatCode="_ * #,##0.00_ ;_ * \-#,##0.00_ ;_ * &quot;-&quot;??_ ;_ @_ "/>
      <fill>
        <patternFill patternType="none">
          <fgColor indexed="64"/>
          <bgColor indexed="65"/>
        </patternFill>
      </fill>
      <alignment horizontal="center" vertical="bottom" textRotation="0" wrapText="0" indent="0" justifyLastLine="0" shrinkToFit="0" readingOrder="0"/>
      <protection locked="1" hidden="1"/>
    </dxf>
    <dxf>
      <font>
        <b/>
        <i val="0"/>
        <strike val="0"/>
        <condense val="0"/>
        <extend val="0"/>
        <outline val="0"/>
        <shadow val="0"/>
        <u val="none"/>
        <vertAlign val="baseline"/>
        <sz val="9.5"/>
        <color theme="1"/>
        <name val="Arial"/>
        <family val="2"/>
        <scheme val="none"/>
      </font>
      <numFmt numFmtId="164" formatCode="_ * #,##0.00_ ;_ * \-#,##0.00_ ;_ * &quot;-&quot;??_ ;_ @_ "/>
      <fill>
        <patternFill patternType="none">
          <fgColor indexed="64"/>
          <bgColor indexed="65"/>
        </patternFill>
      </fill>
      <alignment horizontal="center" vertical="bottom" textRotation="0" wrapText="0" indent="0" justifyLastLine="0" shrinkToFit="0" readingOrder="0"/>
      <protection locked="1" hidden="0"/>
    </dxf>
    <dxf>
      <font>
        <b val="0"/>
        <i val="0"/>
        <strike val="0"/>
        <condense val="0"/>
        <extend val="0"/>
        <outline val="0"/>
        <shadow val="0"/>
        <u val="none"/>
        <vertAlign val="baseline"/>
        <sz val="10"/>
        <color auto="1"/>
        <name val="Century Gothic"/>
        <family val="2"/>
        <scheme val="minor"/>
      </font>
      <numFmt numFmtId="164" formatCode="_ * #,##0.00_ ;_ * \-#,##0.00_ ;_ * &quot;-&quot;??_ ;_ @_ "/>
      <fill>
        <patternFill patternType="none">
          <fgColor indexed="64"/>
          <bgColor indexed="65"/>
        </patternFill>
      </fill>
      <alignment horizontal="center" vertical="bottom" textRotation="0" wrapText="0" indent="0" justifyLastLine="0" shrinkToFit="0" readingOrder="0"/>
      <protection locked="1" hidden="1"/>
    </dxf>
    <dxf>
      <font>
        <b/>
        <i val="0"/>
        <strike val="0"/>
        <condense val="0"/>
        <extend val="0"/>
        <outline val="0"/>
        <shadow val="0"/>
        <u val="none"/>
        <vertAlign val="baseline"/>
        <sz val="9.5"/>
        <color theme="1"/>
        <name val="Arial"/>
        <family val="2"/>
        <scheme val="none"/>
      </font>
      <numFmt numFmtId="164" formatCode="_ * #,##0.00_ ;_ * \-#,##0.00_ ;_ * &quot;-&quot;??_ ;_ @_ "/>
      <fill>
        <patternFill patternType="none">
          <fgColor indexed="64"/>
          <bgColor indexed="65"/>
        </patternFill>
      </fill>
      <alignment horizontal="center" vertical="bottom" textRotation="0" wrapText="0" indent="0" justifyLastLine="0" shrinkToFit="0" readingOrder="0"/>
      <protection locked="1" hidden="0"/>
    </dxf>
    <dxf>
      <font>
        <b val="0"/>
        <i val="0"/>
        <strike val="0"/>
        <condense val="0"/>
        <extend val="0"/>
        <outline val="0"/>
        <shadow val="0"/>
        <u val="none"/>
        <vertAlign val="baseline"/>
        <sz val="10"/>
        <color auto="1"/>
        <name val="Century Gothic"/>
        <family val="2"/>
        <scheme val="minor"/>
      </font>
      <numFmt numFmtId="164" formatCode="_ * #,##0.00_ ;_ * \-#,##0.00_ ;_ * &quot;-&quot;??_ ;_ @_ "/>
      <fill>
        <patternFill patternType="none">
          <fgColor indexed="64"/>
          <bgColor indexed="65"/>
        </patternFill>
      </fill>
      <alignment horizontal="center" vertical="bottom" textRotation="0" wrapText="0" indent="0" justifyLastLine="0" shrinkToFit="0" readingOrder="0"/>
      <protection locked="1" hidden="1"/>
    </dxf>
    <dxf>
      <font>
        <b/>
        <i val="0"/>
        <strike val="0"/>
        <condense val="0"/>
        <extend val="0"/>
        <outline val="0"/>
        <shadow val="0"/>
        <u val="none"/>
        <vertAlign val="baseline"/>
        <sz val="9.5"/>
        <color theme="1"/>
        <name val="Arial"/>
        <family val="2"/>
        <scheme val="none"/>
      </font>
      <numFmt numFmtId="164" formatCode="_ * #,##0.00_ ;_ * \-#,##0.00_ ;_ * &quot;-&quot;??_ ;_ @_ "/>
      <fill>
        <patternFill patternType="none">
          <fgColor indexed="64"/>
          <bgColor indexed="65"/>
        </patternFill>
      </fill>
      <alignment horizontal="center"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0"/>
        <color auto="1"/>
        <name val="Century Gothic"/>
        <family val="2"/>
        <scheme val="minor"/>
      </font>
      <numFmt numFmtId="164" formatCode="_ * #,##0.00_ ;_ * \-#,##0.00_ ;_ * &quot;-&quot;??_ ;_ @_ "/>
      <fill>
        <patternFill patternType="none">
          <fgColor indexed="64"/>
          <bgColor indexed="65"/>
        </patternFill>
      </fill>
      <alignment horizontal="center" vertical="bottom" textRotation="0" wrapText="0" indent="0" justifyLastLine="0" shrinkToFit="0" readingOrder="0"/>
      <protection locked="1" hidden="1"/>
    </dxf>
    <dxf>
      <font>
        <b/>
        <i val="0"/>
        <strike val="0"/>
        <condense val="0"/>
        <extend val="0"/>
        <outline val="0"/>
        <shadow val="0"/>
        <u val="none"/>
        <vertAlign val="baseline"/>
        <sz val="9.5"/>
        <color theme="1"/>
        <name val="Arial"/>
        <family val="2"/>
        <scheme val="none"/>
      </font>
      <numFmt numFmtId="164" formatCode="_ * #,##0.00_ ;_ * \-#,##0.00_ ;_ * &quot;-&quot;??_ ;_ @_ "/>
      <fill>
        <patternFill patternType="none">
          <fgColor indexed="64"/>
          <bgColor indexed="65"/>
        </patternFill>
      </fill>
      <alignment horizontal="center"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0"/>
        <color auto="1"/>
        <name val="Century Gothic"/>
        <family val="2"/>
        <scheme val="minor"/>
      </font>
      <numFmt numFmtId="164" formatCode="_ * #,##0.00_ ;_ * \-#,##0.00_ ;_ * &quot;-&quot;??_ ;_ @_ "/>
      <fill>
        <patternFill patternType="none">
          <fgColor indexed="64"/>
          <bgColor indexed="65"/>
        </patternFill>
      </fill>
      <alignment horizontal="center" vertical="bottom" textRotation="0" wrapText="0" indent="0" justifyLastLine="0" shrinkToFit="0" readingOrder="0"/>
      <protection locked="1" hidden="1"/>
    </dxf>
    <dxf>
      <font>
        <b/>
        <i val="0"/>
        <strike val="0"/>
        <condense val="0"/>
        <extend val="0"/>
        <outline val="0"/>
        <shadow val="0"/>
        <u val="none"/>
        <vertAlign val="baseline"/>
        <sz val="9.5"/>
        <color theme="1"/>
        <name val="Arial"/>
        <family val="2"/>
        <scheme val="none"/>
      </font>
      <numFmt numFmtId="164" formatCode="_ * #,##0.00_ ;_ * \-#,##0.00_ ;_ * &quot;-&quot;??_ ;_ @_ "/>
      <fill>
        <patternFill patternType="none">
          <fgColor indexed="64"/>
          <bgColor indexed="65"/>
        </patternFill>
      </fill>
      <alignment horizontal="center" vertical="bottom" textRotation="0" wrapText="0" indent="0" justifyLastLine="0" shrinkToFit="0" readingOrder="0"/>
      <border diagonalUp="0" diagonalDown="0" outline="0">
        <left/>
        <right/>
        <top/>
        <bottom/>
      </border>
      <protection locked="1" hidden="0"/>
    </dxf>
    <dxf>
      <font>
        <strike val="0"/>
        <outline val="0"/>
        <shadow val="0"/>
        <u val="none"/>
        <vertAlign val="baseline"/>
        <sz val="10"/>
        <name val="Century Gothic"/>
        <family val="2"/>
        <scheme val="minor"/>
      </font>
      <numFmt numFmtId="164" formatCode="_ * #,##0.00_ ;_ * \-#,##0.00_ ;_ * &quot;-&quot;??_ ;_ @_ "/>
      <fill>
        <patternFill patternType="none">
          <fgColor indexed="64"/>
          <bgColor indexed="65"/>
        </patternFill>
      </fill>
      <alignment horizontal="center" vertical="bottom" textRotation="0" wrapText="0" indent="0" justifyLastLine="0" shrinkToFit="0" readingOrder="0"/>
      <protection locked="1" hidden="1"/>
    </dxf>
    <dxf>
      <font>
        <b/>
        <i val="0"/>
        <strike val="0"/>
        <condense val="0"/>
        <extend val="0"/>
        <outline val="0"/>
        <shadow val="0"/>
        <u val="none"/>
        <vertAlign val="baseline"/>
        <sz val="9.5"/>
        <color theme="1"/>
        <name val="Arial"/>
        <family val="2"/>
        <scheme val="none"/>
      </font>
      <numFmt numFmtId="164" formatCode="_ * #,##0.00_ ;_ * \-#,##0.00_ ;_ * &quot;-&quot;??_ ;_ @_ "/>
      <fill>
        <patternFill patternType="none">
          <fgColor indexed="64"/>
          <bgColor indexed="65"/>
        </patternFill>
      </fill>
      <alignment horizontal="center" vertical="bottom" textRotation="0" wrapText="0" indent="0" justifyLastLine="0" shrinkToFit="0" readingOrder="0"/>
      <border diagonalUp="0" diagonalDown="0" outline="0">
        <left/>
        <right/>
        <top/>
        <bottom/>
      </border>
      <protection locked="1" hidden="0"/>
    </dxf>
    <dxf>
      <font>
        <strike val="0"/>
        <outline val="0"/>
        <shadow val="0"/>
        <u val="none"/>
        <vertAlign val="baseline"/>
        <sz val="10"/>
        <name val="Century Gothic"/>
        <family val="2"/>
        <scheme val="minor"/>
      </font>
      <numFmt numFmtId="164" formatCode="_ * #,##0.00_ ;_ * \-#,##0.00_ ;_ * &quot;-&quot;??_ ;_ @_ "/>
      <fill>
        <patternFill patternType="none">
          <fgColor indexed="64"/>
          <bgColor indexed="65"/>
        </patternFill>
      </fill>
      <alignment horizontal="center" vertical="bottom" textRotation="0" wrapText="0" indent="0" justifyLastLine="0" shrinkToFit="0" readingOrder="0"/>
      <protection locked="1" hidden="1"/>
    </dxf>
    <dxf>
      <font>
        <b/>
        <i val="0"/>
        <strike val="0"/>
        <condense val="0"/>
        <extend val="0"/>
        <outline val="0"/>
        <shadow val="0"/>
        <u val="none"/>
        <vertAlign val="baseline"/>
        <sz val="9.5"/>
        <color theme="1"/>
        <name val="Arial"/>
        <family val="2"/>
        <scheme val="none"/>
      </font>
      <numFmt numFmtId="164" formatCode="_ * #,##0.00_ ;_ * \-#,##0.00_ ;_ * &quot;-&quot;??_ ;_ @_ "/>
      <fill>
        <patternFill patternType="none">
          <fgColor indexed="64"/>
          <bgColor indexed="65"/>
        </patternFill>
      </fill>
      <alignment horizontal="center"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0"/>
        <color auto="1"/>
        <name val="Century Gothic"/>
        <family val="2"/>
        <scheme val="minor"/>
      </font>
      <numFmt numFmtId="164" formatCode="_ * #,##0.00_ ;_ * \-#,##0.00_ ;_ * &quot;-&quot;??_ ;_ @_ "/>
      <fill>
        <patternFill patternType="none">
          <fgColor indexed="64"/>
          <bgColor auto="1"/>
        </patternFill>
      </fill>
      <alignment horizontal="center" vertical="bottom" textRotation="0" wrapText="0" indent="0" justifyLastLine="0" shrinkToFit="0" readingOrder="0"/>
      <protection locked="1" hidden="1"/>
    </dxf>
    <dxf>
      <font>
        <b/>
        <i val="0"/>
        <strike val="0"/>
        <condense val="0"/>
        <extend val="0"/>
        <outline val="0"/>
        <shadow val="0"/>
        <u val="none"/>
        <vertAlign val="baseline"/>
        <sz val="9.5"/>
        <color theme="1"/>
        <name val="Arial"/>
        <family val="2"/>
        <scheme val="none"/>
      </font>
      <numFmt numFmtId="164" formatCode="_ * #,##0.00_ ;_ * \-#,##0.00_ ;_ * &quot;-&quot;??_ ;_ @_ "/>
      <fill>
        <patternFill patternType="none">
          <fgColor indexed="64"/>
          <bgColor indexed="65"/>
        </patternFill>
      </fill>
      <alignment horizontal="center" vertical="bottom" textRotation="0" wrapText="0" indent="0" justifyLastLine="0" shrinkToFit="0" readingOrder="0"/>
      <border diagonalUp="0" diagonalDown="0" outline="0">
        <left/>
        <right/>
        <top/>
        <bottom/>
      </border>
      <protection locked="1" hidden="0"/>
    </dxf>
    <dxf>
      <font>
        <strike val="0"/>
        <outline val="0"/>
        <shadow val="0"/>
        <u val="none"/>
        <vertAlign val="baseline"/>
        <sz val="10"/>
        <name val="Century Gothic"/>
        <family val="2"/>
        <scheme val="minor"/>
      </font>
      <numFmt numFmtId="164" formatCode="_ * #,##0.00_ ;_ * \-#,##0.00_ ;_ * &quot;-&quot;??_ ;_ @_ "/>
      <fill>
        <patternFill patternType="none">
          <fgColor indexed="64"/>
          <bgColor auto="1"/>
        </patternFill>
      </fill>
      <protection locked="1" hidden="1"/>
    </dxf>
    <dxf>
      <font>
        <b/>
        <i val="0"/>
        <strike val="0"/>
        <condense val="0"/>
        <extend val="0"/>
        <outline val="0"/>
        <shadow val="0"/>
        <u val="none"/>
        <vertAlign val="baseline"/>
        <sz val="9.5"/>
        <color theme="1"/>
        <name val="Arial"/>
        <family val="2"/>
        <scheme val="none"/>
      </font>
      <numFmt numFmtId="164" formatCode="_ * #,##0.00_ ;_ * \-#,##0.00_ ;_ * &quot;-&quot;??_ ;_ @_ "/>
      <fill>
        <patternFill patternType="none">
          <fgColor indexed="64"/>
          <bgColor indexed="65"/>
        </patternFill>
      </fill>
      <alignment horizontal="center"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0"/>
        <color auto="1"/>
        <name val="Century Gothic"/>
        <family val="2"/>
        <scheme val="minor"/>
      </font>
      <numFmt numFmtId="164" formatCode="_ * #,##0.00_ ;_ * \-#,##0.00_ ;_ * &quot;-&quot;??_ ;_ @_ "/>
      <fill>
        <patternFill patternType="none">
          <fgColor indexed="64"/>
          <bgColor indexed="65"/>
        </patternFill>
      </fill>
      <alignment horizontal="center" vertical="bottom" textRotation="0" wrapText="0" indent="0" justifyLastLine="0" shrinkToFit="0" readingOrder="0"/>
      <protection locked="1" hidden="1"/>
    </dxf>
    <dxf>
      <font>
        <b/>
        <i val="0"/>
        <strike val="0"/>
        <condense val="0"/>
        <extend val="0"/>
        <outline val="0"/>
        <shadow val="0"/>
        <u val="none"/>
        <vertAlign val="baseline"/>
        <sz val="9.5"/>
        <color theme="1"/>
        <name val="Arial"/>
        <family val="2"/>
        <scheme val="none"/>
      </font>
      <numFmt numFmtId="164" formatCode="_ * #,##0.00_ ;_ * \-#,##0.00_ ;_ * &quot;-&quot;??_ ;_ @_ "/>
      <fill>
        <patternFill patternType="none">
          <fgColor indexed="64"/>
          <bgColor indexed="65"/>
        </patternFill>
      </fill>
      <alignment horizontal="center"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0"/>
        <color auto="1"/>
        <name val="Century Gothic"/>
        <family val="2"/>
        <scheme val="minor"/>
      </font>
      <numFmt numFmtId="164" formatCode="_ * #,##0.00_ ;_ * \-#,##0.00_ ;_ * &quot;-&quot;??_ ;_ @_ "/>
      <fill>
        <patternFill patternType="none">
          <fgColor indexed="64"/>
          <bgColor indexed="65"/>
        </patternFill>
      </fill>
      <alignment horizontal="center" vertical="bottom" textRotation="0" wrapText="0" indent="0" justifyLastLine="0" shrinkToFit="0" readingOrder="0"/>
      <protection locked="1" hidden="1"/>
    </dxf>
    <dxf>
      <font>
        <b/>
        <i val="0"/>
        <strike val="0"/>
        <condense val="0"/>
        <extend val="0"/>
        <outline val="0"/>
        <shadow val="0"/>
        <u val="none"/>
        <vertAlign val="baseline"/>
        <sz val="9.5"/>
        <color theme="1"/>
        <name val="Arial"/>
        <family val="2"/>
        <scheme val="none"/>
      </font>
      <numFmt numFmtId="164" formatCode="_ * #,##0.00_ ;_ * \-#,##0.00_ ;_ * &quot;-&quot;??_ ;_ @_ "/>
      <fill>
        <patternFill patternType="none">
          <fgColor indexed="64"/>
          <bgColor indexed="65"/>
        </patternFill>
      </fill>
      <alignment horizontal="center"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0"/>
        <color auto="1"/>
        <name val="Century Gothic"/>
        <family val="2"/>
        <scheme val="minor"/>
      </font>
      <numFmt numFmtId="164" formatCode="_ * #,##0.00_ ;_ * \-#,##0.00_ ;_ * &quot;-&quot;??_ ;_ @_ "/>
      <fill>
        <patternFill patternType="none">
          <fgColor indexed="64"/>
          <bgColor indexed="65"/>
        </patternFill>
      </fill>
      <alignment horizontal="center" vertical="bottom" textRotation="0" wrapText="0" indent="0" justifyLastLine="0" shrinkToFit="0" readingOrder="0"/>
      <protection locked="1" hidden="1"/>
    </dxf>
    <dxf>
      <font>
        <b/>
        <i val="0"/>
        <strike val="0"/>
        <condense val="0"/>
        <extend val="0"/>
        <outline val="0"/>
        <shadow val="0"/>
        <u val="none"/>
        <vertAlign val="baseline"/>
        <sz val="9.5"/>
        <color theme="1"/>
        <name val="Arial"/>
        <family val="2"/>
        <scheme val="none"/>
      </font>
      <numFmt numFmtId="164" formatCode="_ * #,##0.00_ ;_ * \-#,##0.00_ ;_ * &quot;-&quot;??_ ;_ @_ "/>
      <fill>
        <patternFill patternType="none">
          <fgColor indexed="64"/>
          <bgColor indexed="65"/>
        </patternFill>
      </fill>
      <alignment horizontal="center"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0"/>
        <color auto="1"/>
        <name val="Century Gothic"/>
        <family val="2"/>
        <scheme val="minor"/>
      </font>
      <numFmt numFmtId="164" formatCode="_ * #,##0.00_ ;_ * \-#,##0.00_ ;_ * &quot;-&quot;??_ ;_ @_ "/>
      <fill>
        <patternFill patternType="none">
          <fgColor indexed="64"/>
          <bgColor indexed="65"/>
        </patternFill>
      </fill>
      <alignment horizontal="center" vertical="bottom" textRotation="0" wrapText="0" indent="0" justifyLastLine="0" shrinkToFit="0" readingOrder="0"/>
      <protection locked="1" hidden="1"/>
    </dxf>
    <dxf>
      <font>
        <b/>
        <i val="0"/>
        <strike val="0"/>
        <condense val="0"/>
        <extend val="0"/>
        <outline val="0"/>
        <shadow val="0"/>
        <u val="none"/>
        <vertAlign val="baseline"/>
        <sz val="9.5"/>
        <color theme="1"/>
        <name val="Arial"/>
        <family val="2"/>
        <scheme val="none"/>
      </font>
      <numFmt numFmtId="164" formatCode="_ * #,##0.00_ ;_ * \-#,##0.00_ ;_ * &quot;-&quot;??_ ;_ @_ "/>
      <fill>
        <patternFill patternType="none">
          <fgColor indexed="64"/>
          <bgColor indexed="65"/>
        </patternFill>
      </fill>
      <alignment horizontal="center" vertical="bottom" textRotation="0" wrapText="0" indent="0" justifyLastLine="0" shrinkToFit="0" readingOrder="0"/>
      <border diagonalUp="0" diagonalDown="0" outline="0">
        <left/>
        <right/>
        <top/>
        <bottom/>
      </border>
      <protection locked="1" hidden="0"/>
    </dxf>
    <dxf>
      <font>
        <strike val="0"/>
        <outline val="0"/>
        <shadow val="0"/>
        <u val="none"/>
        <vertAlign val="baseline"/>
        <sz val="10"/>
        <name val="Century Gothic"/>
        <family val="2"/>
        <scheme val="minor"/>
      </font>
      <numFmt numFmtId="164" formatCode="_ * #,##0.00_ ;_ * \-#,##0.00_ ;_ * &quot;-&quot;??_ ;_ @_ "/>
      <fill>
        <patternFill patternType="none">
          <fgColor indexed="64"/>
          <bgColor indexed="65"/>
        </patternFill>
      </fill>
      <alignment horizontal="center" vertical="bottom" textRotation="0" wrapText="0" indent="0" justifyLastLine="0" shrinkToFit="0" readingOrder="0"/>
      <protection locked="1" hidden="1"/>
    </dxf>
    <dxf>
      <font>
        <b/>
        <i val="0"/>
        <strike val="0"/>
        <condense val="0"/>
        <extend val="0"/>
        <outline val="0"/>
        <shadow val="0"/>
        <u val="none"/>
        <vertAlign val="baseline"/>
        <sz val="9.5"/>
        <color theme="1"/>
        <name val="Arial"/>
        <family val="2"/>
        <scheme val="none"/>
      </font>
      <numFmt numFmtId="164" formatCode="_ * #,##0.00_ ;_ * \-#,##0.00_ ;_ * &quot;-&quot;??_ ;_ @_ "/>
      <fill>
        <patternFill patternType="none">
          <fgColor indexed="64"/>
          <bgColor indexed="65"/>
        </patternFill>
      </fill>
      <alignment horizontal="left"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0"/>
        <color auto="1"/>
        <name val="Century Gothic"/>
        <family val="2"/>
        <scheme val="minor"/>
      </font>
      <numFmt numFmtId="168" formatCode="mmm\-yyyy"/>
      <fill>
        <patternFill patternType="none">
          <fgColor indexed="64"/>
          <bgColor auto="1"/>
        </patternFill>
      </fill>
      <alignment horizontal="left" vertical="bottom" textRotation="0" wrapText="0" indent="0" justifyLastLine="0" shrinkToFit="0" readingOrder="0"/>
      <protection locked="1" hidden="1"/>
    </dxf>
    <dxf>
      <font>
        <b/>
        <strike val="0"/>
        <outline val="0"/>
        <shadow val="0"/>
        <u val="none"/>
        <vertAlign val="baseline"/>
        <sz val="10"/>
        <color theme="1"/>
        <name val="Century Gothic"/>
        <family val="2"/>
        <scheme val="minor"/>
      </font>
      <numFmt numFmtId="166" formatCode="_ * #,##0_ ;_ * \-#,##0_ ;_ * &quot;-&quot;??_ ;_ @_ "/>
      <fill>
        <patternFill patternType="none">
          <fgColor indexed="64"/>
          <bgColor auto="1"/>
        </patternFill>
      </fill>
      <protection locked="1" hidden="1"/>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name val="Century Gothic"/>
        <family val="2"/>
        <scheme val="minor"/>
      </font>
      <numFmt numFmtId="166" formatCode="_ * #,##0_ ;_ * \-#,##0_ ;_ * &quot;-&quot;??_ ;_ @_ "/>
      <fill>
        <patternFill patternType="none">
          <fgColor indexed="64"/>
          <bgColor auto="1"/>
        </patternFill>
      </fill>
      <protection locked="1" hidden="1"/>
    </dxf>
    <dxf>
      <border>
        <bottom style="thin">
          <color indexed="64"/>
        </bottom>
      </border>
    </dxf>
    <dxf>
      <font>
        <b/>
        <i val="0"/>
        <strike val="0"/>
        <condense val="0"/>
        <extend val="0"/>
        <outline val="0"/>
        <shadow val="0"/>
        <u val="none"/>
        <vertAlign val="baseline"/>
        <sz val="10"/>
        <color theme="1"/>
        <name val="Century Gothic"/>
        <family val="2"/>
        <scheme val="minor"/>
      </font>
      <numFmt numFmtId="0" formatCode="General"/>
      <fill>
        <patternFill patternType="solid">
          <fgColor indexed="64"/>
          <bgColor rgb="FFCCFFFF"/>
        </patternFill>
      </fill>
      <alignment horizontal="center" vertical="center" textRotation="0" wrapText="1" indent="0" justifyLastLine="0" shrinkToFit="0" readingOrder="0"/>
      <border diagonalUp="0" diagonalDown="0">
        <left style="thin">
          <color indexed="64"/>
        </left>
        <right style="thin">
          <color indexed="64"/>
        </right>
        <top/>
        <bottom/>
      </border>
      <protection locked="1" hidden="1"/>
    </dxf>
    <dxf>
      <font>
        <color theme="0"/>
      </font>
    </dxf>
    <dxf>
      <font>
        <color theme="0"/>
      </font>
    </dxf>
    <dxf>
      <font>
        <strike val="0"/>
        <outline val="0"/>
        <shadow val="0"/>
        <u val="none"/>
        <vertAlign val="baseline"/>
        <sz val="10"/>
        <color auto="1"/>
        <name val="Century Gothic"/>
        <family val="2"/>
        <scheme val="minor"/>
      </font>
      <numFmt numFmtId="173" formatCode="yyyy/mm/dd"/>
      <alignment horizontal="center" vertical="bottom" textRotation="0" indent="0" justifyLastLine="0" shrinkToFit="0" readingOrder="0"/>
      <protection locked="1" hidden="1"/>
    </dxf>
    <dxf>
      <font>
        <b val="0"/>
        <i val="0"/>
        <strike val="0"/>
        <condense val="0"/>
        <extend val="0"/>
        <outline val="0"/>
        <shadow val="0"/>
        <u val="none"/>
        <vertAlign val="baseline"/>
        <sz val="10"/>
        <color auto="1"/>
        <name val="Century Gothic"/>
        <family val="2"/>
        <scheme val="minor"/>
      </font>
      <numFmt numFmtId="4" formatCode="#,##0.00"/>
      <fill>
        <patternFill patternType="none">
          <fgColor indexed="64"/>
          <bgColor indexed="65"/>
        </patternFill>
      </fill>
      <alignment horizontal="left" vertical="bottom" textRotation="0" wrapText="0" indent="0" justifyLastLine="0" shrinkToFit="0" readingOrder="0"/>
      <protection locked="1" hidden="1"/>
    </dxf>
    <dxf>
      <font>
        <b val="0"/>
        <i val="0"/>
        <strike val="0"/>
        <condense val="0"/>
        <extend val="0"/>
        <outline val="0"/>
        <shadow val="0"/>
        <u val="none"/>
        <vertAlign val="baseline"/>
        <sz val="10"/>
        <color auto="1"/>
        <name val="Century Gothic"/>
        <family val="2"/>
        <scheme val="minor"/>
      </font>
      <numFmt numFmtId="173" formatCode="yyyy/mm/dd"/>
      <fill>
        <patternFill patternType="none">
          <fgColor indexed="64"/>
          <bgColor indexed="65"/>
        </patternFill>
      </fill>
      <protection locked="1" hidden="1"/>
    </dxf>
    <dxf>
      <font>
        <strike val="0"/>
        <outline val="0"/>
        <shadow val="0"/>
        <u val="none"/>
        <vertAlign val="baseline"/>
        <sz val="10"/>
        <color auto="1"/>
        <name val="Century Gothic"/>
        <family val="2"/>
        <scheme val="minor"/>
      </font>
      <protection locked="1" hidden="1"/>
    </dxf>
    <dxf>
      <font>
        <b val="0"/>
        <i val="0"/>
        <strike val="0"/>
        <condense val="0"/>
        <extend val="0"/>
        <outline val="0"/>
        <shadow val="0"/>
        <u val="none"/>
        <vertAlign val="baseline"/>
        <sz val="10"/>
        <color auto="1"/>
        <name val="Century Gothic"/>
        <family val="2"/>
        <scheme val="minor"/>
      </font>
      <numFmt numFmtId="173" formatCode="yyyy/mm/dd"/>
      <fill>
        <patternFill patternType="none">
          <fgColor indexed="64"/>
          <bgColor indexed="65"/>
        </patternFill>
      </fill>
      <alignment horizontal="left" vertical="bottom" textRotation="0" wrapText="0" indent="0" justifyLastLine="0" shrinkToFit="0" readingOrder="0"/>
      <protection locked="1" hidden="1"/>
    </dxf>
    <dxf>
      <font>
        <strike val="0"/>
        <outline val="0"/>
        <shadow val="0"/>
        <u val="none"/>
        <vertAlign val="baseline"/>
        <sz val="10"/>
        <color auto="1"/>
        <name val="Century Gothic"/>
        <family val="2"/>
        <scheme val="minor"/>
      </font>
      <protection locked="1" hidden="1"/>
    </dxf>
    <dxf>
      <font>
        <b val="0"/>
        <i val="0"/>
        <strike val="0"/>
        <condense val="0"/>
        <extend val="0"/>
        <outline val="0"/>
        <shadow val="0"/>
        <u val="none"/>
        <vertAlign val="baseline"/>
        <sz val="10"/>
        <color auto="1"/>
        <name val="Century Gothic"/>
        <family val="2"/>
        <scheme val="minor"/>
      </font>
      <numFmt numFmtId="173" formatCode="yyyy/mm/dd"/>
      <fill>
        <patternFill patternType="none">
          <fgColor indexed="64"/>
          <bgColor indexed="65"/>
        </patternFill>
      </fill>
      <alignment horizontal="left" vertical="bottom" textRotation="0" wrapText="0" indent="0" justifyLastLine="0" shrinkToFit="0" readingOrder="0"/>
      <protection locked="1" hidden="1"/>
    </dxf>
    <dxf>
      <font>
        <b val="0"/>
        <i val="0"/>
        <strike val="0"/>
        <condense val="0"/>
        <extend val="0"/>
        <outline val="0"/>
        <shadow val="0"/>
        <u val="none"/>
        <vertAlign val="baseline"/>
        <sz val="10"/>
        <color auto="1"/>
        <name val="Century Gothic"/>
        <family val="2"/>
        <scheme val="minor"/>
      </font>
      <numFmt numFmtId="173" formatCode="yyyy/mm/dd"/>
      <fill>
        <patternFill patternType="none">
          <fgColor indexed="64"/>
          <bgColor indexed="65"/>
        </patternFill>
      </fill>
      <alignment horizontal="left" vertical="bottom" textRotation="0" wrapText="0" indent="0" justifyLastLine="0" shrinkToFit="0" readingOrder="0"/>
      <protection locked="1" hidden="1"/>
    </dxf>
    <dxf>
      <font>
        <b val="0"/>
        <i val="0"/>
        <strike val="0"/>
        <condense val="0"/>
        <extend val="0"/>
        <outline val="0"/>
        <shadow val="0"/>
        <u val="none"/>
        <vertAlign val="baseline"/>
        <sz val="10"/>
        <color auto="1"/>
        <name val="Century Gothic"/>
        <family val="2"/>
        <scheme val="minor"/>
      </font>
      <numFmt numFmtId="173" formatCode="yyyy/mm/dd"/>
      <fill>
        <patternFill patternType="none">
          <fgColor indexed="64"/>
          <bgColor indexed="65"/>
        </patternFill>
      </fill>
      <alignment horizontal="left" vertical="bottom" textRotation="0" wrapText="0" indent="0" justifyLastLine="0" shrinkToFit="0" readingOrder="0"/>
      <protection locked="1" hidden="1"/>
    </dxf>
    <dxf>
      <font>
        <strike val="0"/>
        <outline val="0"/>
        <shadow val="0"/>
        <u val="none"/>
        <vertAlign val="baseline"/>
        <sz val="10"/>
        <color auto="1"/>
        <name val="Century Gothic"/>
        <family val="2"/>
        <scheme val="minor"/>
      </font>
      <protection locked="1" hidden="1"/>
    </dxf>
    <dxf>
      <font>
        <strike val="0"/>
        <outline val="0"/>
        <shadow val="0"/>
        <u val="none"/>
        <vertAlign val="baseline"/>
        <sz val="10"/>
        <color auto="1"/>
        <name val="Century Gothic"/>
        <family val="2"/>
        <scheme val="minor"/>
      </font>
      <numFmt numFmtId="173" formatCode="yyyy/mm/dd"/>
      <alignment horizontal="left" vertical="bottom" textRotation="0" indent="0" justifyLastLine="0" shrinkToFit="0" readingOrder="0"/>
      <protection locked="1" hidden="1"/>
    </dxf>
    <dxf>
      <font>
        <strike val="0"/>
        <outline val="0"/>
        <shadow val="0"/>
        <u val="none"/>
        <vertAlign val="baseline"/>
        <sz val="10"/>
        <color auto="1"/>
        <name val="Century Gothic"/>
        <family val="2"/>
        <scheme val="minor"/>
      </font>
      <numFmt numFmtId="0" formatCode="General"/>
      <protection locked="1" hidden="1"/>
    </dxf>
    <dxf>
      <border>
        <bottom style="thin">
          <color rgb="FF000000"/>
        </bottom>
      </border>
    </dxf>
    <dxf>
      <font>
        <strike val="0"/>
        <outline val="0"/>
        <shadow val="0"/>
        <u val="none"/>
        <vertAlign val="baseline"/>
        <sz val="10"/>
        <color theme="1"/>
        <name val="Century Gothic"/>
        <family val="2"/>
        <scheme val="minor"/>
      </font>
      <numFmt numFmtId="0" formatCode="General"/>
      <fill>
        <patternFill patternType="solid">
          <fgColor indexed="64"/>
          <bgColor rgb="FFFFFF99"/>
        </patternFill>
      </fill>
      <alignment vertical="bottom" textRotation="0" wrapText="1" indent="0" justifyLastLine="0" shrinkToFit="0" readingOrder="0"/>
      <border diagonalUp="0" diagonalDown="0">
        <left style="thin">
          <color indexed="64"/>
        </left>
        <right style="thin">
          <color indexed="64"/>
        </right>
        <top/>
        <bottom/>
      </border>
      <protection locked="1" hidden="1"/>
    </dxf>
    <dxf>
      <font>
        <b val="0"/>
        <i val="0"/>
        <strike val="0"/>
        <condense val="0"/>
        <extend val="0"/>
        <outline val="0"/>
        <shadow val="0"/>
        <u val="none"/>
        <vertAlign val="baseline"/>
        <sz val="9.5"/>
        <color auto="1"/>
        <name val="Arial"/>
        <family val="2"/>
        <scheme val="none"/>
      </font>
      <fill>
        <patternFill patternType="none">
          <fgColor indexed="64"/>
          <bgColor indexed="65"/>
        </patternFill>
      </fill>
      <alignment horizontal="center" vertical="bottom" textRotation="0" wrapText="0" indent="0" justifyLastLine="0" shrinkToFit="0" readingOrder="0"/>
      <border diagonalUp="0" diagonalDown="0">
        <left/>
        <right/>
        <top/>
        <bottom/>
      </border>
      <protection locked="1" hidden="1"/>
    </dxf>
    <dxf>
      <font>
        <b val="0"/>
        <i val="0"/>
        <strike val="0"/>
        <condense val="0"/>
        <extend val="0"/>
        <outline val="0"/>
        <shadow val="0"/>
        <u val="none"/>
        <vertAlign val="baseline"/>
        <sz val="10"/>
        <color auto="1"/>
        <name val="Century Gothic"/>
        <family val="2"/>
        <scheme val="minor"/>
      </font>
      <numFmt numFmtId="166" formatCode="_ * #,##0_ ;_ * \-#,##0_ ;_ * &quot;-&quot;??_ ;_ @_ "/>
      <fill>
        <patternFill patternType="none">
          <fgColor indexed="64"/>
          <bgColor indexed="65"/>
        </patternFill>
      </fill>
      <protection locked="1" hidden="1"/>
    </dxf>
    <dxf>
      <font>
        <b val="0"/>
        <i val="0"/>
        <strike val="0"/>
        <condense val="0"/>
        <extend val="0"/>
        <outline val="0"/>
        <shadow val="0"/>
        <u val="none"/>
        <vertAlign val="baseline"/>
        <sz val="9.5"/>
        <color auto="1"/>
        <name val="Arial"/>
        <family val="2"/>
        <scheme val="none"/>
      </font>
      <fill>
        <patternFill patternType="none">
          <fgColor indexed="64"/>
          <bgColor indexed="65"/>
        </patternFill>
      </fill>
      <alignment horizontal="center" vertical="bottom" textRotation="0" wrapText="0" indent="0" justifyLastLine="0" shrinkToFit="0" readingOrder="0"/>
      <border diagonalUp="0" diagonalDown="0">
        <left/>
        <right/>
        <top/>
        <bottom/>
      </border>
      <protection locked="1" hidden="1"/>
    </dxf>
    <dxf>
      <font>
        <b val="0"/>
        <i val="0"/>
        <strike val="0"/>
        <condense val="0"/>
        <extend val="0"/>
        <outline val="0"/>
        <shadow val="0"/>
        <u val="none"/>
        <vertAlign val="baseline"/>
        <sz val="10"/>
        <color auto="1"/>
        <name val="Century Gothic"/>
        <family val="2"/>
        <scheme val="minor"/>
      </font>
      <numFmt numFmtId="165" formatCode="0.0%"/>
      <fill>
        <patternFill patternType="none">
          <fgColor indexed="64"/>
          <bgColor indexed="65"/>
        </patternFill>
      </fill>
      <protection locked="1" hidden="1"/>
    </dxf>
    <dxf>
      <font>
        <b val="0"/>
        <i val="0"/>
        <strike val="0"/>
        <condense val="0"/>
        <extend val="0"/>
        <outline val="0"/>
        <shadow val="0"/>
        <u val="none"/>
        <vertAlign val="baseline"/>
        <sz val="9.5"/>
        <color auto="1"/>
        <name val="Arial"/>
        <family val="2"/>
        <scheme val="none"/>
      </font>
      <fill>
        <patternFill patternType="none">
          <fgColor indexed="64"/>
          <bgColor indexed="65"/>
        </patternFill>
      </fill>
      <alignment horizontal="center" vertical="bottom" textRotation="0" wrapText="0" indent="0" justifyLastLine="0" shrinkToFit="0" readingOrder="0"/>
      <border diagonalUp="0" diagonalDown="0">
        <left/>
        <right/>
        <top/>
        <bottom/>
      </border>
      <protection locked="1" hidden="1"/>
    </dxf>
    <dxf>
      <font>
        <b val="0"/>
        <i val="0"/>
        <strike val="0"/>
        <condense val="0"/>
        <extend val="0"/>
        <outline val="0"/>
        <shadow val="0"/>
        <u val="none"/>
        <vertAlign val="baseline"/>
        <sz val="10"/>
        <color auto="1"/>
        <name val="Century Gothic"/>
        <family val="2"/>
        <scheme val="minor"/>
      </font>
      <numFmt numFmtId="165" formatCode="0.0%"/>
      <fill>
        <patternFill patternType="none">
          <fgColor indexed="64"/>
          <bgColor indexed="65"/>
        </patternFill>
      </fill>
      <protection locked="1" hidden="1"/>
    </dxf>
    <dxf>
      <font>
        <b val="0"/>
        <i val="0"/>
        <strike val="0"/>
        <condense val="0"/>
        <extend val="0"/>
        <outline val="0"/>
        <shadow val="0"/>
        <u val="none"/>
        <vertAlign val="baseline"/>
        <sz val="9.5"/>
        <color auto="1"/>
        <name val="Arial"/>
        <family val="2"/>
        <scheme val="none"/>
      </font>
      <fill>
        <patternFill patternType="none">
          <fgColor indexed="64"/>
          <bgColor indexed="65"/>
        </patternFill>
      </fill>
      <alignment horizontal="center" vertical="bottom" textRotation="0" wrapText="0" indent="0" justifyLastLine="0" shrinkToFit="0" readingOrder="0"/>
      <border diagonalUp="0" diagonalDown="0">
        <left/>
        <right/>
        <top/>
        <bottom/>
      </border>
      <protection locked="1" hidden="1"/>
    </dxf>
    <dxf>
      <font>
        <strike val="0"/>
        <outline val="0"/>
        <shadow val="0"/>
        <u val="none"/>
        <vertAlign val="baseline"/>
        <sz val="10"/>
        <color auto="1"/>
        <name val="Century Gothic"/>
        <family val="2"/>
        <scheme val="minor"/>
      </font>
      <numFmt numFmtId="166" formatCode="_ * #,##0_ ;_ * \-#,##0_ ;_ * &quot;-&quot;??_ ;_ @_ "/>
      <protection locked="1" hidden="1"/>
    </dxf>
    <dxf>
      <font>
        <b val="0"/>
        <i val="0"/>
        <strike val="0"/>
        <condense val="0"/>
        <extend val="0"/>
        <outline val="0"/>
        <shadow val="0"/>
        <u val="none"/>
        <vertAlign val="baseline"/>
        <sz val="9.5"/>
        <color auto="1"/>
        <name val="Arial"/>
        <family val="2"/>
        <scheme val="none"/>
      </font>
      <fill>
        <patternFill patternType="none">
          <fgColor indexed="64"/>
          <bgColor indexed="65"/>
        </patternFill>
      </fill>
      <alignment horizontal="center" vertical="bottom" textRotation="0" wrapText="0" indent="0" justifyLastLine="0" shrinkToFit="0" readingOrder="0"/>
      <border diagonalUp="0" diagonalDown="0">
        <left/>
        <right/>
        <top/>
        <bottom/>
      </border>
      <protection locked="1" hidden="1"/>
    </dxf>
    <dxf>
      <font>
        <b val="0"/>
        <i val="0"/>
        <strike val="0"/>
        <condense val="0"/>
        <extend val="0"/>
        <outline val="0"/>
        <shadow val="0"/>
        <u val="none"/>
        <vertAlign val="baseline"/>
        <sz val="10"/>
        <color auto="1"/>
        <name val="Century Gothic"/>
        <family val="2"/>
        <scheme val="minor"/>
      </font>
      <numFmt numFmtId="166" formatCode="_ * #,##0_ ;_ * \-#,##0_ ;_ * &quot;-&quot;??_ ;_ @_ "/>
      <fill>
        <patternFill patternType="none">
          <fgColor indexed="64"/>
          <bgColor indexed="65"/>
        </patternFill>
      </fill>
      <protection locked="1" hidden="1"/>
    </dxf>
    <dxf>
      <font>
        <b val="0"/>
        <i val="0"/>
        <strike val="0"/>
        <condense val="0"/>
        <extend val="0"/>
        <outline val="0"/>
        <shadow val="0"/>
        <u val="none"/>
        <vertAlign val="baseline"/>
        <sz val="9.5"/>
        <color auto="1"/>
        <name val="Arial"/>
        <family val="2"/>
        <scheme val="none"/>
      </font>
      <fill>
        <patternFill patternType="none">
          <fgColor indexed="64"/>
          <bgColor indexed="65"/>
        </patternFill>
      </fill>
      <alignment horizontal="center" vertical="bottom" textRotation="0" wrapText="0" indent="0" justifyLastLine="0" shrinkToFit="0" readingOrder="0"/>
      <border diagonalUp="0" diagonalDown="0">
        <left/>
        <right/>
        <top/>
        <bottom/>
      </border>
      <protection locked="1" hidden="1"/>
    </dxf>
    <dxf>
      <font>
        <b val="0"/>
        <i val="0"/>
        <strike val="0"/>
        <condense val="0"/>
        <extend val="0"/>
        <outline val="0"/>
        <shadow val="0"/>
        <u val="none"/>
        <vertAlign val="baseline"/>
        <sz val="10"/>
        <color auto="1"/>
        <name val="Century Gothic"/>
        <family val="2"/>
        <scheme val="minor"/>
      </font>
      <numFmt numFmtId="166" formatCode="_ * #,##0_ ;_ * \-#,##0_ ;_ * &quot;-&quot;??_ ;_ @_ "/>
      <fill>
        <patternFill patternType="none">
          <fgColor indexed="64"/>
          <bgColor indexed="65"/>
        </patternFill>
      </fill>
      <protection locked="1" hidden="1"/>
    </dxf>
    <dxf>
      <font>
        <b val="0"/>
        <i val="0"/>
        <strike val="0"/>
        <condense val="0"/>
        <extend val="0"/>
        <outline val="0"/>
        <shadow val="0"/>
        <u val="none"/>
        <vertAlign val="baseline"/>
        <sz val="9.5"/>
        <color auto="1"/>
        <name val="Arial"/>
        <family val="2"/>
        <scheme val="none"/>
      </font>
      <fill>
        <patternFill patternType="none">
          <fgColor indexed="64"/>
          <bgColor indexed="65"/>
        </patternFill>
      </fill>
      <alignment horizontal="center" vertical="bottom" textRotation="0" wrapText="0" indent="0" justifyLastLine="0" shrinkToFit="0" readingOrder="0"/>
      <border diagonalUp="0" diagonalDown="0">
        <left/>
        <right/>
        <top/>
        <bottom/>
      </border>
      <protection locked="1" hidden="1"/>
    </dxf>
    <dxf>
      <font>
        <strike val="0"/>
        <outline val="0"/>
        <shadow val="0"/>
        <u val="none"/>
        <vertAlign val="baseline"/>
        <sz val="10"/>
        <color auto="1"/>
        <name val="Century Gothic"/>
        <family val="2"/>
        <scheme val="minor"/>
      </font>
      <numFmt numFmtId="166" formatCode="_ * #,##0_ ;_ * \-#,##0_ ;_ * &quot;-&quot;??_ ;_ @_ "/>
      <fill>
        <patternFill patternType="none">
          <fgColor indexed="64"/>
          <bgColor indexed="65"/>
        </patternFill>
      </fill>
      <protection locked="1" hidden="1"/>
    </dxf>
    <dxf>
      <font>
        <b val="0"/>
        <i val="0"/>
        <strike val="0"/>
        <condense val="0"/>
        <extend val="0"/>
        <outline val="0"/>
        <shadow val="0"/>
        <u val="none"/>
        <vertAlign val="baseline"/>
        <sz val="9.5"/>
        <color auto="1"/>
        <name val="Arial"/>
        <family val="2"/>
        <scheme val="none"/>
      </font>
      <fill>
        <patternFill patternType="none">
          <fgColor indexed="64"/>
          <bgColor indexed="65"/>
        </patternFill>
      </fill>
      <alignment horizontal="center" vertical="bottom" textRotation="0" wrapText="0" indent="0" justifyLastLine="0" shrinkToFit="0" readingOrder="0"/>
      <border diagonalUp="0" diagonalDown="0">
        <left/>
        <right/>
        <top/>
        <bottom/>
      </border>
      <protection locked="1" hidden="1"/>
    </dxf>
    <dxf>
      <font>
        <b val="0"/>
        <i val="0"/>
        <strike val="0"/>
        <condense val="0"/>
        <extend val="0"/>
        <outline val="0"/>
        <shadow val="0"/>
        <u val="none"/>
        <vertAlign val="baseline"/>
        <sz val="10"/>
        <color auto="1"/>
        <name val="Century Gothic"/>
        <family val="2"/>
        <scheme val="minor"/>
      </font>
      <numFmt numFmtId="166" formatCode="_ * #,##0_ ;_ * \-#,##0_ ;_ * &quot;-&quot;??_ ;_ @_ "/>
      <fill>
        <patternFill patternType="none">
          <fgColor indexed="64"/>
          <bgColor indexed="65"/>
        </patternFill>
      </fill>
      <protection locked="1" hidden="1"/>
    </dxf>
    <dxf>
      <font>
        <b val="0"/>
        <i val="0"/>
        <strike val="0"/>
        <condense val="0"/>
        <extend val="0"/>
        <outline val="0"/>
        <shadow val="0"/>
        <u val="none"/>
        <vertAlign val="baseline"/>
        <sz val="9.5"/>
        <color auto="1"/>
        <name val="Arial"/>
        <family val="2"/>
        <scheme val="none"/>
      </font>
      <fill>
        <patternFill patternType="none">
          <fgColor indexed="64"/>
          <bgColor indexed="65"/>
        </patternFill>
      </fill>
      <alignment horizontal="center" vertical="bottom" textRotation="0" wrapText="0" indent="0" justifyLastLine="0" shrinkToFit="0" readingOrder="0"/>
      <border diagonalUp="0" diagonalDown="0">
        <left/>
        <right/>
        <top/>
        <bottom/>
      </border>
      <protection locked="1" hidden="1"/>
    </dxf>
    <dxf>
      <font>
        <b val="0"/>
        <i val="0"/>
        <strike val="0"/>
        <condense val="0"/>
        <extend val="0"/>
        <outline val="0"/>
        <shadow val="0"/>
        <u val="none"/>
        <vertAlign val="baseline"/>
        <sz val="10"/>
        <color auto="1"/>
        <name val="Century Gothic"/>
        <family val="2"/>
        <scheme val="minor"/>
      </font>
      <numFmt numFmtId="166" formatCode="_ * #,##0_ ;_ * \-#,##0_ ;_ * &quot;-&quot;??_ ;_ @_ "/>
      <fill>
        <patternFill patternType="none">
          <fgColor indexed="64"/>
          <bgColor indexed="65"/>
        </patternFill>
      </fill>
      <protection locked="1" hidden="1"/>
    </dxf>
    <dxf>
      <font>
        <b val="0"/>
        <i val="0"/>
        <strike val="0"/>
        <condense val="0"/>
        <extend val="0"/>
        <outline val="0"/>
        <shadow val="0"/>
        <u val="none"/>
        <vertAlign val="baseline"/>
        <sz val="9.5"/>
        <color auto="1"/>
        <name val="Arial"/>
        <family val="2"/>
        <scheme val="none"/>
      </font>
      <fill>
        <patternFill patternType="none">
          <fgColor indexed="64"/>
          <bgColor indexed="65"/>
        </patternFill>
      </fill>
      <alignment horizontal="center" vertical="bottom" textRotation="0" wrapText="0" indent="0" justifyLastLine="0" shrinkToFit="0" readingOrder="0"/>
      <border diagonalUp="0" diagonalDown="0">
        <left/>
        <right/>
        <top/>
        <bottom/>
      </border>
      <protection locked="1" hidden="1"/>
    </dxf>
    <dxf>
      <font>
        <b val="0"/>
        <i val="0"/>
        <strike val="0"/>
        <condense val="0"/>
        <extend val="0"/>
        <outline val="0"/>
        <shadow val="0"/>
        <u val="none"/>
        <vertAlign val="baseline"/>
        <sz val="10"/>
        <color auto="1"/>
        <name val="Century Gothic"/>
        <family val="2"/>
        <scheme val="minor"/>
      </font>
      <numFmt numFmtId="166" formatCode="_ * #,##0_ ;_ * \-#,##0_ ;_ * &quot;-&quot;??_ ;_ @_ "/>
      <fill>
        <patternFill patternType="none">
          <fgColor indexed="64"/>
          <bgColor indexed="65"/>
        </patternFill>
      </fill>
      <protection locked="1" hidden="1"/>
    </dxf>
    <dxf>
      <font>
        <b val="0"/>
        <i val="0"/>
        <strike val="0"/>
        <condense val="0"/>
        <extend val="0"/>
        <outline val="0"/>
        <shadow val="0"/>
        <u val="none"/>
        <vertAlign val="baseline"/>
        <sz val="9.5"/>
        <color auto="1"/>
        <name val="Arial"/>
        <family val="2"/>
        <scheme val="none"/>
      </font>
      <fill>
        <patternFill patternType="none">
          <fgColor indexed="64"/>
          <bgColor indexed="65"/>
        </patternFill>
      </fill>
      <alignment horizontal="center" vertical="bottom" textRotation="0" wrapText="0" indent="0" justifyLastLine="0" shrinkToFit="0" readingOrder="0"/>
      <border diagonalUp="0" diagonalDown="0">
        <left/>
        <right/>
        <top/>
        <bottom/>
      </border>
      <protection locked="1" hidden="1"/>
    </dxf>
    <dxf>
      <font>
        <b val="0"/>
        <i val="0"/>
        <strike val="0"/>
        <condense val="0"/>
        <extend val="0"/>
        <outline val="0"/>
        <shadow val="0"/>
        <u val="none"/>
        <vertAlign val="baseline"/>
        <sz val="10"/>
        <color auto="1"/>
        <name val="Century Gothic"/>
        <family val="2"/>
        <scheme val="minor"/>
      </font>
      <numFmt numFmtId="166" formatCode="_ * #,##0_ ;_ * \-#,##0_ ;_ * &quot;-&quot;??_ ;_ @_ "/>
      <fill>
        <patternFill patternType="none">
          <fgColor indexed="64"/>
          <bgColor indexed="65"/>
        </patternFill>
      </fill>
      <protection locked="1" hidden="1"/>
    </dxf>
    <dxf>
      <font>
        <b val="0"/>
        <i val="0"/>
        <strike val="0"/>
        <condense val="0"/>
        <extend val="0"/>
        <outline val="0"/>
        <shadow val="0"/>
        <u val="none"/>
        <vertAlign val="baseline"/>
        <sz val="9.5"/>
        <color auto="1"/>
        <name val="Arial"/>
        <family val="2"/>
        <scheme val="none"/>
      </font>
      <fill>
        <patternFill patternType="none">
          <fgColor indexed="64"/>
          <bgColor indexed="65"/>
        </patternFill>
      </fill>
      <alignment horizontal="center" vertical="bottom" textRotation="0" wrapText="0" indent="0" justifyLastLine="0" shrinkToFit="0" readingOrder="0"/>
      <border diagonalUp="0" diagonalDown="0">
        <left/>
        <right/>
        <top/>
        <bottom/>
      </border>
      <protection locked="1" hidden="1"/>
    </dxf>
    <dxf>
      <font>
        <b val="0"/>
        <i val="0"/>
        <strike val="0"/>
        <condense val="0"/>
        <extend val="0"/>
        <outline val="0"/>
        <shadow val="0"/>
        <u val="none"/>
        <vertAlign val="baseline"/>
        <sz val="10"/>
        <color auto="1"/>
        <name val="Century Gothic"/>
        <family val="2"/>
        <scheme val="minor"/>
      </font>
      <numFmt numFmtId="166" formatCode="_ * #,##0_ ;_ * \-#,##0_ ;_ * &quot;-&quot;??_ ;_ @_ "/>
      <fill>
        <patternFill patternType="none">
          <fgColor indexed="64"/>
          <bgColor indexed="65"/>
        </patternFill>
      </fill>
      <protection locked="1" hidden="1"/>
    </dxf>
    <dxf>
      <font>
        <b val="0"/>
        <i val="0"/>
        <strike val="0"/>
        <condense val="0"/>
        <extend val="0"/>
        <outline val="0"/>
        <shadow val="0"/>
        <u val="none"/>
        <vertAlign val="baseline"/>
        <sz val="9.5"/>
        <color auto="1"/>
        <name val="Arial"/>
        <family val="2"/>
        <scheme val="none"/>
      </font>
      <fill>
        <patternFill patternType="none">
          <fgColor indexed="64"/>
          <bgColor indexed="65"/>
        </patternFill>
      </fill>
      <alignment horizontal="center" vertical="bottom" textRotation="0" wrapText="0" indent="0" justifyLastLine="0" shrinkToFit="0" readingOrder="0"/>
      <border diagonalUp="0" diagonalDown="0">
        <left/>
        <right/>
        <top/>
        <bottom/>
      </border>
      <protection locked="1" hidden="1"/>
    </dxf>
    <dxf>
      <font>
        <b val="0"/>
        <i val="0"/>
        <strike val="0"/>
        <condense val="0"/>
        <extend val="0"/>
        <outline val="0"/>
        <shadow val="0"/>
        <u val="none"/>
        <vertAlign val="baseline"/>
        <sz val="10"/>
        <color auto="1"/>
        <name val="Century Gothic"/>
        <family val="2"/>
        <scheme val="minor"/>
      </font>
      <numFmt numFmtId="166" formatCode="_ * #,##0_ ;_ * \-#,##0_ ;_ * &quot;-&quot;??_ ;_ @_ "/>
      <fill>
        <patternFill patternType="none">
          <fgColor indexed="64"/>
          <bgColor indexed="65"/>
        </patternFill>
      </fill>
      <protection locked="1" hidden="1"/>
    </dxf>
    <dxf>
      <font>
        <b val="0"/>
        <i val="0"/>
        <strike val="0"/>
        <condense val="0"/>
        <extend val="0"/>
        <outline val="0"/>
        <shadow val="0"/>
        <u val="none"/>
        <vertAlign val="baseline"/>
        <sz val="9.5"/>
        <color auto="1"/>
        <name val="Arial"/>
        <family val="2"/>
        <scheme val="none"/>
      </font>
      <fill>
        <patternFill patternType="none">
          <fgColor indexed="64"/>
          <bgColor indexed="65"/>
        </patternFill>
      </fill>
      <alignment horizontal="center" vertical="bottom" textRotation="0" wrapText="0" indent="0" justifyLastLine="0" shrinkToFit="0" readingOrder="0"/>
      <border diagonalUp="0" diagonalDown="0">
        <left/>
        <right/>
        <top/>
        <bottom/>
      </border>
      <protection locked="1" hidden="1"/>
    </dxf>
    <dxf>
      <font>
        <strike val="0"/>
        <outline val="0"/>
        <shadow val="0"/>
        <u val="none"/>
        <vertAlign val="baseline"/>
        <sz val="10"/>
        <color auto="1"/>
        <name val="Century Gothic"/>
        <family val="2"/>
        <scheme val="minor"/>
      </font>
      <numFmt numFmtId="166" formatCode="_ * #,##0_ ;_ * \-#,##0_ ;_ * &quot;-&quot;??_ ;_ @_ "/>
      <fill>
        <patternFill patternType="none">
          <fgColor indexed="64"/>
          <bgColor indexed="65"/>
        </patternFill>
      </fill>
      <protection locked="1" hidden="1"/>
    </dxf>
    <dxf>
      <font>
        <b val="0"/>
        <i val="0"/>
        <strike val="0"/>
        <condense val="0"/>
        <extend val="0"/>
        <outline val="0"/>
        <shadow val="0"/>
        <u val="none"/>
        <vertAlign val="baseline"/>
        <sz val="9.5"/>
        <color auto="1"/>
        <name val="Arial"/>
        <family val="2"/>
        <scheme val="none"/>
      </font>
      <fill>
        <patternFill patternType="none">
          <fgColor indexed="64"/>
          <bgColor indexed="65"/>
        </patternFill>
      </fill>
      <alignment horizontal="center" vertical="bottom" textRotation="0" wrapText="0" indent="0" justifyLastLine="0" shrinkToFit="0" readingOrder="0"/>
      <border diagonalUp="0" diagonalDown="0">
        <left/>
        <right/>
        <top/>
        <bottom/>
      </border>
      <protection locked="1" hidden="1"/>
    </dxf>
    <dxf>
      <font>
        <b val="0"/>
        <i val="0"/>
        <strike val="0"/>
        <condense val="0"/>
        <extend val="0"/>
        <outline val="0"/>
        <shadow val="0"/>
        <u val="none"/>
        <vertAlign val="baseline"/>
        <sz val="10"/>
        <color auto="1"/>
        <name val="Century Gothic"/>
        <family val="2"/>
        <scheme val="minor"/>
      </font>
      <numFmt numFmtId="166" formatCode="_ * #,##0_ ;_ * \-#,##0_ ;_ * &quot;-&quot;??_ ;_ @_ "/>
      <fill>
        <patternFill patternType="none">
          <fgColor indexed="64"/>
          <bgColor indexed="65"/>
        </patternFill>
      </fill>
      <protection locked="1" hidden="1"/>
    </dxf>
    <dxf>
      <font>
        <b val="0"/>
        <i val="0"/>
        <strike val="0"/>
        <condense val="0"/>
        <extend val="0"/>
        <outline val="0"/>
        <shadow val="0"/>
        <u val="none"/>
        <vertAlign val="baseline"/>
        <sz val="9.5"/>
        <color auto="1"/>
        <name val="Arial"/>
        <family val="2"/>
        <scheme val="none"/>
      </font>
      <fill>
        <patternFill patternType="none">
          <fgColor indexed="64"/>
          <bgColor indexed="65"/>
        </patternFill>
      </fill>
      <alignment horizontal="center" vertical="bottom" textRotation="0" wrapText="0" indent="0" justifyLastLine="0" shrinkToFit="0" readingOrder="0"/>
      <border diagonalUp="0" diagonalDown="0">
        <left/>
        <right/>
        <top/>
        <bottom/>
      </border>
      <protection locked="1" hidden="1"/>
    </dxf>
    <dxf>
      <font>
        <b val="0"/>
        <i val="0"/>
        <strike val="0"/>
        <condense val="0"/>
        <extend val="0"/>
        <outline val="0"/>
        <shadow val="0"/>
        <u val="none"/>
        <vertAlign val="baseline"/>
        <sz val="10"/>
        <color auto="1"/>
        <name val="Century Gothic"/>
        <family val="2"/>
        <scheme val="minor"/>
      </font>
      <numFmt numFmtId="166" formatCode="_ * #,##0_ ;_ * \-#,##0_ ;_ * &quot;-&quot;??_ ;_ @_ "/>
      <fill>
        <patternFill patternType="none">
          <fgColor indexed="64"/>
          <bgColor indexed="65"/>
        </patternFill>
      </fill>
      <protection locked="1" hidden="1"/>
    </dxf>
    <dxf>
      <font>
        <b val="0"/>
        <i val="0"/>
        <strike val="0"/>
        <condense val="0"/>
        <extend val="0"/>
        <outline val="0"/>
        <shadow val="0"/>
        <u val="none"/>
        <vertAlign val="baseline"/>
        <sz val="9.5"/>
        <color auto="1"/>
        <name val="Arial"/>
        <family val="2"/>
        <scheme val="none"/>
      </font>
      <fill>
        <patternFill patternType="none">
          <fgColor indexed="64"/>
          <bgColor indexed="65"/>
        </patternFill>
      </fill>
      <alignment horizontal="center" vertical="bottom" textRotation="0" wrapText="0" indent="0" justifyLastLine="0" shrinkToFit="0" readingOrder="0"/>
      <border diagonalUp="0" diagonalDown="0">
        <left/>
        <right/>
        <top/>
        <bottom/>
      </border>
      <protection locked="1" hidden="1"/>
    </dxf>
    <dxf>
      <font>
        <b val="0"/>
        <i val="0"/>
        <strike val="0"/>
        <condense val="0"/>
        <extend val="0"/>
        <outline val="0"/>
        <shadow val="0"/>
        <u val="none"/>
        <vertAlign val="baseline"/>
        <sz val="10"/>
        <color auto="1"/>
        <name val="Century Gothic"/>
        <family val="2"/>
        <scheme val="minor"/>
      </font>
      <numFmt numFmtId="166" formatCode="_ * #,##0_ ;_ * \-#,##0_ ;_ * &quot;-&quot;??_ ;_ @_ "/>
      <fill>
        <patternFill patternType="none">
          <fgColor indexed="64"/>
          <bgColor indexed="65"/>
        </patternFill>
      </fill>
      <protection locked="1" hidden="1"/>
    </dxf>
    <dxf>
      <font>
        <b val="0"/>
        <i val="0"/>
        <strike val="0"/>
        <condense val="0"/>
        <extend val="0"/>
        <outline val="0"/>
        <shadow val="0"/>
        <u val="none"/>
        <vertAlign val="baseline"/>
        <sz val="10"/>
        <color auto="1"/>
        <name val="Century Gothic"/>
        <family val="2"/>
        <scheme val="minor"/>
      </font>
      <numFmt numFmtId="166" formatCode="_ * #,##0_ ;_ * \-#,##0_ ;_ * &quot;-&quot;??_ ;_ @_ "/>
      <fill>
        <patternFill patternType="none">
          <fgColor indexed="64"/>
          <bgColor indexed="65"/>
        </patternFill>
      </fill>
      <protection locked="1" hidden="1"/>
    </dxf>
    <dxf>
      <font>
        <b val="0"/>
        <i val="0"/>
        <strike val="0"/>
        <condense val="0"/>
        <extend val="0"/>
        <outline val="0"/>
        <shadow val="0"/>
        <u val="none"/>
        <vertAlign val="baseline"/>
        <sz val="9.5"/>
        <color auto="1"/>
        <name val="Arial"/>
        <family val="2"/>
        <scheme val="none"/>
      </font>
      <fill>
        <patternFill patternType="none">
          <fgColor indexed="64"/>
          <bgColor indexed="65"/>
        </patternFill>
      </fill>
      <alignment horizontal="center" vertical="bottom" textRotation="0" wrapText="0" indent="0" justifyLastLine="0" shrinkToFit="0" readingOrder="0"/>
      <border diagonalUp="0" diagonalDown="0">
        <left/>
        <right/>
        <top/>
        <bottom/>
      </border>
      <protection locked="1" hidden="1"/>
    </dxf>
    <dxf>
      <font>
        <b val="0"/>
        <i val="0"/>
        <strike val="0"/>
        <condense val="0"/>
        <extend val="0"/>
        <outline val="0"/>
        <shadow val="0"/>
        <u val="none"/>
        <vertAlign val="baseline"/>
        <sz val="10"/>
        <color auto="1"/>
        <name val="Century Gothic"/>
        <family val="2"/>
        <scheme val="minor"/>
      </font>
      <numFmt numFmtId="166" formatCode="_ * #,##0_ ;_ * \-#,##0_ ;_ * &quot;-&quot;??_ ;_ @_ "/>
      <fill>
        <patternFill patternType="none">
          <fgColor indexed="64"/>
          <bgColor indexed="65"/>
        </patternFill>
      </fill>
      <protection locked="1" hidden="1"/>
    </dxf>
    <dxf>
      <font>
        <b val="0"/>
        <i val="0"/>
        <strike val="0"/>
        <condense val="0"/>
        <extend val="0"/>
        <outline val="0"/>
        <shadow val="0"/>
        <u val="none"/>
        <vertAlign val="baseline"/>
        <sz val="9.5"/>
        <color auto="1"/>
        <name val="Arial"/>
        <family val="2"/>
        <scheme val="none"/>
      </font>
      <fill>
        <patternFill patternType="none">
          <fgColor indexed="64"/>
          <bgColor indexed="65"/>
        </patternFill>
      </fill>
      <alignment horizontal="center" vertical="bottom" textRotation="0" wrapText="0" indent="0" justifyLastLine="0" shrinkToFit="0" readingOrder="0"/>
      <border diagonalUp="0" diagonalDown="0">
        <left/>
        <right/>
        <top/>
        <bottom/>
      </border>
      <protection locked="1" hidden="1"/>
    </dxf>
    <dxf>
      <font>
        <strike val="0"/>
        <outline val="0"/>
        <shadow val="0"/>
        <u val="none"/>
        <vertAlign val="baseline"/>
        <sz val="10"/>
        <color auto="1"/>
        <name val="Century Gothic"/>
        <family val="2"/>
        <scheme val="minor"/>
      </font>
      <numFmt numFmtId="0" formatCode="General"/>
      <alignment horizontal="center" vertical="bottom" textRotation="0" indent="0" justifyLastLine="0" shrinkToFit="0" readingOrder="0"/>
      <protection locked="1" hidden="1"/>
    </dxf>
    <dxf>
      <font>
        <b val="0"/>
        <i val="0"/>
        <strike val="0"/>
        <condense val="0"/>
        <extend val="0"/>
        <outline val="0"/>
        <shadow val="0"/>
        <u val="none"/>
        <vertAlign val="baseline"/>
        <sz val="9.5"/>
        <color auto="1"/>
        <name val="Arial"/>
        <family val="2"/>
        <scheme val="none"/>
      </font>
      <fill>
        <patternFill patternType="none">
          <fgColor indexed="64"/>
          <bgColor indexed="65"/>
        </patternFill>
      </fill>
      <alignment horizontal="center" vertical="bottom" textRotation="0" wrapText="0" indent="0" justifyLastLine="0" shrinkToFit="0" readingOrder="0"/>
      <border diagonalUp="0" diagonalDown="0">
        <left/>
        <right/>
        <top/>
        <bottom/>
      </border>
      <protection locked="1" hidden="1"/>
    </dxf>
    <dxf>
      <font>
        <b val="0"/>
        <i val="0"/>
        <strike val="0"/>
        <condense val="0"/>
        <extend val="0"/>
        <outline val="0"/>
        <shadow val="0"/>
        <u val="none"/>
        <vertAlign val="baseline"/>
        <sz val="10"/>
        <color auto="1"/>
        <name val="Century Gothic"/>
        <family val="2"/>
        <scheme val="minor"/>
      </font>
      <numFmt numFmtId="174" formatCode="#,##0;\-#,##0"/>
      <fill>
        <patternFill patternType="none">
          <fgColor indexed="64"/>
          <bgColor indexed="65"/>
        </patternFill>
      </fill>
      <alignment horizontal="center" vertical="bottom" textRotation="0" wrapText="0" indent="0" justifyLastLine="0" shrinkToFit="0" readingOrder="0"/>
      <protection locked="1" hidden="1"/>
    </dxf>
    <dxf>
      <font>
        <b val="0"/>
        <i val="0"/>
        <strike val="0"/>
        <condense val="0"/>
        <extend val="0"/>
        <outline val="0"/>
        <shadow val="0"/>
        <u val="none"/>
        <vertAlign val="baseline"/>
        <sz val="9.5"/>
        <color auto="1"/>
        <name val="Arial"/>
        <family val="2"/>
        <scheme val="none"/>
      </font>
      <fill>
        <patternFill patternType="none">
          <fgColor indexed="64"/>
          <bgColor indexed="65"/>
        </patternFill>
      </fill>
      <alignment horizontal="center" vertical="bottom" textRotation="0" wrapText="0" indent="0" justifyLastLine="0" shrinkToFit="0" readingOrder="0"/>
      <border diagonalUp="0" diagonalDown="0">
        <left/>
        <right/>
        <top/>
        <bottom/>
      </border>
      <protection locked="1" hidden="1"/>
    </dxf>
    <dxf>
      <font>
        <strike val="0"/>
        <outline val="0"/>
        <shadow val="0"/>
        <u val="none"/>
        <vertAlign val="baseline"/>
        <sz val="10"/>
        <color auto="1"/>
        <name val="Century Gothic"/>
        <family val="2"/>
        <scheme val="minor"/>
      </font>
      <numFmt numFmtId="0" formatCode="General"/>
      <alignment horizontal="center" vertical="bottom" textRotation="0" indent="0" justifyLastLine="0" shrinkToFit="0" readingOrder="0"/>
      <protection locked="1" hidden="1"/>
    </dxf>
    <dxf>
      <font>
        <b val="0"/>
        <i val="0"/>
        <strike val="0"/>
        <condense val="0"/>
        <extend val="0"/>
        <outline val="0"/>
        <shadow val="0"/>
        <u val="none"/>
        <vertAlign val="baseline"/>
        <sz val="9.5"/>
        <color auto="1"/>
        <name val="Arial"/>
        <family val="2"/>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bottom/>
      </border>
      <protection locked="1" hidden="1"/>
    </dxf>
    <dxf>
      <font>
        <b val="0"/>
        <i val="0"/>
        <strike val="0"/>
        <condense val="0"/>
        <extend val="0"/>
        <outline val="0"/>
        <shadow val="0"/>
        <u val="none"/>
        <vertAlign val="baseline"/>
        <sz val="10"/>
        <color auto="1"/>
        <name val="Century Gothic"/>
        <family val="2"/>
        <scheme val="minor"/>
      </font>
      <numFmt numFmtId="3" formatCode="#,##0"/>
      <fill>
        <patternFill patternType="none">
          <fgColor indexed="64"/>
          <bgColor indexed="65"/>
        </patternFill>
      </fill>
      <alignment horizontal="center" vertical="bottom" textRotation="0" wrapText="0" indent="0" justifyLastLine="0" shrinkToFit="0" readingOrder="0"/>
      <protection locked="1" hidden="1"/>
    </dxf>
    <dxf>
      <font>
        <b val="0"/>
        <i val="0"/>
        <strike val="0"/>
        <condense val="0"/>
        <extend val="0"/>
        <outline val="0"/>
        <shadow val="0"/>
        <u val="none"/>
        <vertAlign val="baseline"/>
        <sz val="9.5"/>
        <color auto="1"/>
        <name val="Arial"/>
        <family val="2"/>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bottom/>
      </border>
      <protection locked="1" hidden="1"/>
    </dxf>
    <dxf>
      <font>
        <b val="0"/>
        <i val="0"/>
        <strike val="0"/>
        <condense val="0"/>
        <extend val="0"/>
        <outline val="0"/>
        <shadow val="0"/>
        <u val="none"/>
        <vertAlign val="baseline"/>
        <sz val="10"/>
        <color auto="1"/>
        <name val="Century Gothic"/>
        <family val="2"/>
        <scheme val="minor"/>
      </font>
      <numFmt numFmtId="3" formatCode="#,##0"/>
      <fill>
        <patternFill patternType="none">
          <fgColor indexed="64"/>
          <bgColor indexed="65"/>
        </patternFill>
      </fill>
      <alignment horizontal="center" vertical="bottom" textRotation="0" wrapText="0" indent="0" justifyLastLine="0" shrinkToFit="0" readingOrder="0"/>
      <protection locked="1" hidden="1"/>
    </dxf>
    <dxf>
      <font>
        <b val="0"/>
        <i val="0"/>
        <strike val="0"/>
        <condense val="0"/>
        <extend val="0"/>
        <outline val="0"/>
        <shadow val="0"/>
        <u val="none"/>
        <vertAlign val="baseline"/>
        <sz val="9.5"/>
        <color auto="1"/>
        <name val="Arial"/>
        <family val="2"/>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bottom/>
      </border>
      <protection locked="1" hidden="1"/>
    </dxf>
    <dxf>
      <font>
        <b val="0"/>
        <i val="0"/>
        <strike val="0"/>
        <condense val="0"/>
        <extend val="0"/>
        <outline val="0"/>
        <shadow val="0"/>
        <u val="none"/>
        <vertAlign val="baseline"/>
        <sz val="10"/>
        <color auto="1"/>
        <name val="Century Gothic"/>
        <family val="2"/>
        <scheme val="minor"/>
      </font>
      <numFmt numFmtId="0" formatCode="General"/>
      <fill>
        <patternFill patternType="none">
          <fgColor indexed="64"/>
          <bgColor indexed="65"/>
        </patternFill>
      </fill>
      <alignment horizontal="center" vertical="bottom" textRotation="0" wrapText="0" indent="0" justifyLastLine="0" shrinkToFit="0" readingOrder="0"/>
      <protection locked="1" hidden="1"/>
    </dxf>
    <dxf>
      <font>
        <b val="0"/>
        <i val="0"/>
        <strike val="0"/>
        <condense val="0"/>
        <extend val="0"/>
        <outline val="0"/>
        <shadow val="0"/>
        <u val="none"/>
        <vertAlign val="baseline"/>
        <sz val="9.5"/>
        <color auto="1"/>
        <name val="Arial"/>
        <family val="2"/>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bottom/>
      </border>
      <protection locked="1" hidden="1"/>
    </dxf>
    <dxf>
      <font>
        <b val="0"/>
        <i val="0"/>
        <strike val="0"/>
        <condense val="0"/>
        <extend val="0"/>
        <outline val="0"/>
        <shadow val="0"/>
        <u val="none"/>
        <vertAlign val="baseline"/>
        <sz val="10"/>
        <color auto="1"/>
        <name val="Century Gothic"/>
        <family val="2"/>
        <scheme val="minor"/>
      </font>
      <numFmt numFmtId="0" formatCode="General"/>
      <fill>
        <patternFill patternType="none">
          <fgColor indexed="64"/>
          <bgColor indexed="65"/>
        </patternFill>
      </fill>
      <alignment horizontal="center" vertical="bottom" textRotation="0" wrapText="0" indent="0" justifyLastLine="0" shrinkToFit="0" readingOrder="0"/>
      <protection locked="1" hidden="1"/>
    </dxf>
    <dxf>
      <font>
        <b val="0"/>
        <i val="0"/>
        <strike val="0"/>
        <condense val="0"/>
        <extend val="0"/>
        <outline val="0"/>
        <shadow val="0"/>
        <u val="none"/>
        <vertAlign val="baseline"/>
        <sz val="9.5"/>
        <color auto="1"/>
        <name val="Arial"/>
        <family val="2"/>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bottom/>
      </border>
      <protection locked="1" hidden="1"/>
    </dxf>
    <dxf>
      <font>
        <b val="0"/>
        <i val="0"/>
        <strike val="0"/>
        <condense val="0"/>
        <extend val="0"/>
        <outline val="0"/>
        <shadow val="0"/>
        <u val="none"/>
        <vertAlign val="baseline"/>
        <sz val="10"/>
        <color auto="1"/>
        <name val="Century Gothic"/>
        <family val="2"/>
        <scheme val="minor"/>
      </font>
      <numFmt numFmtId="171" formatCode="yyyy/mm"/>
      <fill>
        <patternFill patternType="none">
          <fgColor indexed="64"/>
          <bgColor indexed="65"/>
        </patternFill>
      </fill>
      <alignment horizontal="center" vertical="bottom" textRotation="0" wrapText="0" indent="0" justifyLastLine="0" shrinkToFit="0" readingOrder="0"/>
      <protection locked="1" hidden="1"/>
    </dxf>
    <dxf>
      <font>
        <b val="0"/>
        <i val="0"/>
        <strike val="0"/>
        <condense val="0"/>
        <extend val="0"/>
        <outline val="0"/>
        <shadow val="0"/>
        <u val="none"/>
        <vertAlign val="baseline"/>
        <sz val="9.5"/>
        <color auto="1"/>
        <name val="Arial"/>
        <family val="2"/>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bottom/>
      </border>
      <protection locked="1" hidden="1"/>
    </dxf>
    <dxf>
      <font>
        <b val="0"/>
        <i val="0"/>
        <strike val="0"/>
        <condense val="0"/>
        <extend val="0"/>
        <outline val="0"/>
        <shadow val="0"/>
        <u val="none"/>
        <vertAlign val="baseline"/>
        <sz val="10"/>
        <color auto="1"/>
        <name val="Century Gothic"/>
        <family val="2"/>
        <scheme val="minor"/>
      </font>
      <numFmt numFmtId="171" formatCode="yyyy/mm"/>
      <fill>
        <patternFill patternType="none">
          <fgColor indexed="64"/>
          <bgColor indexed="65"/>
        </patternFill>
      </fill>
      <alignment horizontal="center" vertical="bottom" textRotation="0" indent="0" justifyLastLine="0" shrinkToFit="0" readingOrder="0"/>
      <protection locked="1" hidden="1"/>
    </dxf>
    <dxf>
      <font>
        <b val="0"/>
        <i val="0"/>
        <strike val="0"/>
        <condense val="0"/>
        <extend val="0"/>
        <outline val="0"/>
        <shadow val="0"/>
        <u val="none"/>
        <vertAlign val="baseline"/>
        <sz val="10"/>
        <color auto="1"/>
        <name val="Century Gothic"/>
        <family val="2"/>
        <scheme val="minor"/>
      </font>
      <numFmt numFmtId="173" formatCode="yyyy/mm/dd"/>
      <fill>
        <patternFill patternType="none">
          <fgColor indexed="64"/>
          <bgColor indexed="65"/>
        </patternFill>
      </fill>
      <alignment horizontal="center" vertical="bottom" textRotation="0" wrapText="0" indent="0" justifyLastLine="0" shrinkToFit="0" readingOrder="0"/>
      <protection locked="1" hidden="1"/>
    </dxf>
    <dxf>
      <font>
        <b val="0"/>
        <i val="0"/>
        <strike val="0"/>
        <condense val="0"/>
        <extend val="0"/>
        <outline val="0"/>
        <shadow val="0"/>
        <u val="none"/>
        <vertAlign val="baseline"/>
        <sz val="9.5"/>
        <color auto="1"/>
        <name val="Arial"/>
        <family val="2"/>
        <scheme val="none"/>
      </font>
      <numFmt numFmtId="0" formatCode="General"/>
      <fill>
        <patternFill patternType="none">
          <fgColor indexed="64"/>
          <bgColor indexed="65"/>
        </patternFill>
      </fill>
      <alignment horizontal="center" vertical="bottom" textRotation="0" wrapText="0" indent="0" justifyLastLine="0" shrinkToFit="0" readingOrder="0"/>
      <border diagonalUp="0" diagonalDown="0" outline="0">
        <left/>
        <right/>
        <top/>
        <bottom/>
      </border>
      <protection locked="1" hidden="1"/>
    </dxf>
    <dxf>
      <font>
        <b val="0"/>
        <i val="0"/>
        <strike val="0"/>
        <condense val="0"/>
        <extend val="0"/>
        <outline val="0"/>
        <shadow val="0"/>
        <u val="none"/>
        <vertAlign val="baseline"/>
        <sz val="10"/>
        <color auto="1"/>
        <name val="Century Gothic"/>
        <family val="2"/>
        <scheme val="minor"/>
      </font>
      <numFmt numFmtId="3" formatCode="#,##0"/>
      <fill>
        <patternFill patternType="none">
          <fgColor indexed="64"/>
          <bgColor indexed="65"/>
        </patternFill>
      </fill>
      <alignment horizontal="center" vertical="bottom" textRotation="0" wrapText="0" indent="0" justifyLastLine="0" shrinkToFit="0" readingOrder="0"/>
      <protection locked="1" hidden="1"/>
    </dxf>
    <dxf>
      <font>
        <b val="0"/>
        <i val="0"/>
        <strike val="0"/>
        <condense val="0"/>
        <extend val="0"/>
        <outline val="0"/>
        <shadow val="0"/>
        <u val="none"/>
        <vertAlign val="baseline"/>
        <sz val="9.5"/>
        <color auto="1"/>
        <name val="Arial"/>
        <family val="2"/>
        <scheme val="none"/>
      </font>
      <numFmt numFmtId="0" formatCode="General"/>
      <fill>
        <patternFill patternType="none">
          <fgColor indexed="64"/>
          <bgColor indexed="65"/>
        </patternFill>
      </fill>
      <alignment horizontal="center" vertical="bottom" textRotation="0" wrapText="0" indent="0" justifyLastLine="0" shrinkToFit="0" readingOrder="0"/>
      <border diagonalUp="0" diagonalDown="0" outline="0">
        <left/>
        <right/>
        <top/>
        <bottom/>
      </border>
      <protection locked="1" hidden="1"/>
    </dxf>
    <dxf>
      <font>
        <strike val="0"/>
        <outline val="0"/>
        <shadow val="0"/>
        <u val="none"/>
        <vertAlign val="baseline"/>
        <sz val="10"/>
        <color auto="1"/>
        <name val="Century Gothic"/>
        <family val="2"/>
        <scheme val="minor"/>
      </font>
      <numFmt numFmtId="3" formatCode="#,##0"/>
      <fill>
        <patternFill patternType="none">
          <fgColor indexed="64"/>
          <bgColor indexed="65"/>
        </patternFill>
      </fill>
      <alignment horizontal="center" vertical="bottom" textRotation="0" wrapText="0" indent="0" justifyLastLine="0" shrinkToFit="0" readingOrder="0"/>
      <protection locked="1" hidden="1"/>
    </dxf>
    <dxf>
      <font>
        <b val="0"/>
        <i val="0"/>
        <strike val="0"/>
        <condense val="0"/>
        <extend val="0"/>
        <outline val="0"/>
        <shadow val="0"/>
        <u val="none"/>
        <vertAlign val="baseline"/>
        <sz val="9.5"/>
        <color auto="1"/>
        <name val="Arial"/>
        <family val="2"/>
        <scheme val="none"/>
      </font>
      <numFmt numFmtId="164" formatCode="_ * #,##0.00_ ;_ * \-#,##0.00_ ;_ * &quot;-&quot;??_ ;_ @_ "/>
      <fill>
        <patternFill patternType="none">
          <fgColor indexed="64"/>
          <bgColor indexed="65"/>
        </patternFill>
      </fill>
      <alignment horizontal="center" vertical="bottom" textRotation="0" wrapText="0" indent="0" justifyLastLine="0" shrinkToFit="0" readingOrder="0"/>
      <border diagonalUp="0" diagonalDown="0" outline="0">
        <left/>
        <right/>
        <top/>
        <bottom/>
      </border>
      <protection locked="1" hidden="1"/>
    </dxf>
    <dxf>
      <font>
        <strike val="0"/>
        <outline val="0"/>
        <shadow val="0"/>
        <u val="none"/>
        <vertAlign val="baseline"/>
        <sz val="10"/>
        <color auto="1"/>
        <name val="Century Gothic"/>
        <family val="2"/>
        <scheme val="minor"/>
      </font>
      <numFmt numFmtId="164" formatCode="_ * #,##0.00_ ;_ * \-#,##0.00_ ;_ * &quot;-&quot;??_ ;_ @_ "/>
      <protection locked="1" hidden="1"/>
    </dxf>
    <dxf>
      <font>
        <b val="0"/>
        <i val="0"/>
        <strike val="0"/>
        <condense val="0"/>
        <extend val="0"/>
        <outline val="0"/>
        <shadow val="0"/>
        <u val="none"/>
        <vertAlign val="baseline"/>
        <sz val="9.5"/>
        <color auto="1"/>
        <name val="Arial"/>
        <family val="2"/>
        <scheme val="none"/>
      </font>
      <numFmt numFmtId="164" formatCode="_ * #,##0.00_ ;_ * \-#,##0.00_ ;_ * &quot;-&quot;??_ ;_ @_ "/>
      <fill>
        <patternFill patternType="none">
          <fgColor indexed="64"/>
          <bgColor indexed="65"/>
        </patternFill>
      </fill>
      <alignment horizontal="center" vertical="bottom" textRotation="0" wrapText="0" indent="0" justifyLastLine="0" shrinkToFit="0" readingOrder="0"/>
      <border diagonalUp="0" diagonalDown="0" outline="0">
        <left/>
        <right/>
        <top/>
        <bottom/>
      </border>
      <protection locked="1" hidden="1"/>
    </dxf>
    <dxf>
      <font>
        <strike val="0"/>
        <outline val="0"/>
        <shadow val="0"/>
        <u val="none"/>
        <vertAlign val="baseline"/>
        <sz val="10"/>
        <color auto="1"/>
        <name val="Century Gothic"/>
        <family val="2"/>
        <scheme val="minor"/>
      </font>
      <numFmt numFmtId="164" formatCode="_ * #,##0.00_ ;_ * \-#,##0.00_ ;_ * &quot;-&quot;??_ ;_ @_ "/>
      <protection locked="1" hidden="1"/>
    </dxf>
    <dxf>
      <font>
        <b val="0"/>
        <i val="0"/>
        <strike val="0"/>
        <condense val="0"/>
        <extend val="0"/>
        <outline val="0"/>
        <shadow val="0"/>
        <u val="none"/>
        <vertAlign val="baseline"/>
        <sz val="9.5"/>
        <color auto="1"/>
        <name val="Arial"/>
        <family val="2"/>
        <scheme val="none"/>
      </font>
      <numFmt numFmtId="164" formatCode="_ * #,##0.00_ ;_ * \-#,##0.00_ ;_ * &quot;-&quot;??_ ;_ @_ "/>
      <fill>
        <patternFill patternType="none">
          <fgColor indexed="64"/>
          <bgColor indexed="65"/>
        </patternFill>
      </fill>
      <alignment horizontal="center" vertical="bottom" textRotation="0" wrapText="0" indent="0" justifyLastLine="0" shrinkToFit="0" readingOrder="0"/>
      <border diagonalUp="0" diagonalDown="0" outline="0">
        <left/>
        <right/>
        <top/>
        <bottom/>
      </border>
      <protection locked="1" hidden="1"/>
    </dxf>
    <dxf>
      <font>
        <strike val="0"/>
        <outline val="0"/>
        <shadow val="0"/>
        <u val="none"/>
        <vertAlign val="baseline"/>
        <sz val="10"/>
        <color auto="1"/>
        <name val="Century Gothic"/>
        <family val="2"/>
        <scheme val="minor"/>
      </font>
      <numFmt numFmtId="164" formatCode="_ * #,##0.00_ ;_ * \-#,##0.00_ ;_ * &quot;-&quot;??_ ;_ @_ "/>
      <fill>
        <patternFill patternType="none">
          <fgColor indexed="64"/>
          <bgColor indexed="65"/>
        </patternFill>
      </fill>
      <alignment horizontal="center" vertical="bottom" textRotation="0" wrapText="0" indent="0" justifyLastLine="0" shrinkToFit="0" readingOrder="0"/>
      <protection locked="1" hidden="1"/>
    </dxf>
    <dxf>
      <font>
        <b val="0"/>
        <i val="0"/>
        <strike val="0"/>
        <condense val="0"/>
        <extend val="0"/>
        <outline val="0"/>
        <shadow val="0"/>
        <u val="none"/>
        <vertAlign val="baseline"/>
        <sz val="9.5"/>
        <color auto="1"/>
        <name val="Arial"/>
        <family val="2"/>
        <scheme val="none"/>
      </font>
      <numFmt numFmtId="164" formatCode="_ * #,##0.00_ ;_ * \-#,##0.00_ ;_ * &quot;-&quot;??_ ;_ @_ "/>
      <fill>
        <patternFill patternType="none">
          <fgColor indexed="64"/>
          <bgColor indexed="65"/>
        </patternFill>
      </fill>
      <alignment horizontal="center" vertical="bottom" textRotation="0" wrapText="0" indent="0" justifyLastLine="0" shrinkToFit="0" readingOrder="0"/>
      <border diagonalUp="0" diagonalDown="0" outline="0">
        <left/>
        <right/>
        <top/>
        <bottom/>
      </border>
      <protection locked="1" hidden="1"/>
    </dxf>
    <dxf>
      <font>
        <b val="0"/>
        <i val="0"/>
        <strike val="0"/>
        <condense val="0"/>
        <extend val="0"/>
        <outline val="0"/>
        <shadow val="0"/>
        <u val="none"/>
        <vertAlign val="baseline"/>
        <sz val="10"/>
        <color auto="1"/>
        <name val="Century Gothic"/>
        <family val="2"/>
        <scheme val="minor"/>
      </font>
      <numFmt numFmtId="164" formatCode="_ * #,##0.00_ ;_ * \-#,##0.00_ ;_ * &quot;-&quot;??_ ;_ @_ "/>
      <fill>
        <patternFill patternType="none">
          <fgColor indexed="64"/>
          <bgColor indexed="65"/>
        </patternFill>
      </fill>
      <alignment horizontal="center" vertical="bottom" textRotation="0" wrapText="0" indent="0" justifyLastLine="0" shrinkToFit="0" readingOrder="0"/>
      <protection locked="1" hidden="1"/>
    </dxf>
    <dxf>
      <font>
        <b val="0"/>
        <i val="0"/>
        <strike val="0"/>
        <condense val="0"/>
        <extend val="0"/>
        <outline val="0"/>
        <shadow val="0"/>
        <u val="none"/>
        <vertAlign val="baseline"/>
        <sz val="9.5"/>
        <color auto="1"/>
        <name val="Arial"/>
        <family val="2"/>
        <scheme val="none"/>
      </font>
      <numFmt numFmtId="164" formatCode="_ * #,##0.00_ ;_ * \-#,##0.00_ ;_ * &quot;-&quot;??_ ;_ @_ "/>
      <fill>
        <patternFill patternType="none">
          <fgColor indexed="64"/>
          <bgColor indexed="65"/>
        </patternFill>
      </fill>
      <alignment horizontal="center" vertical="bottom" textRotation="0" wrapText="0" indent="0" justifyLastLine="0" shrinkToFit="0" readingOrder="0"/>
      <border diagonalUp="0" diagonalDown="0" outline="0">
        <left/>
        <right/>
        <top/>
        <bottom/>
      </border>
      <protection locked="1" hidden="1"/>
    </dxf>
    <dxf>
      <font>
        <b val="0"/>
        <i val="0"/>
        <strike val="0"/>
        <condense val="0"/>
        <extend val="0"/>
        <outline val="0"/>
        <shadow val="0"/>
        <u val="none"/>
        <vertAlign val="baseline"/>
        <sz val="10"/>
        <color auto="1"/>
        <name val="Century Gothic"/>
        <family val="2"/>
        <scheme val="minor"/>
      </font>
      <numFmt numFmtId="164" formatCode="_ * #,##0.00_ ;_ * \-#,##0.00_ ;_ * &quot;-&quot;??_ ;_ @_ "/>
      <fill>
        <patternFill patternType="none">
          <fgColor indexed="64"/>
          <bgColor indexed="65"/>
        </patternFill>
      </fill>
      <alignment horizontal="center" vertical="bottom" textRotation="0" wrapText="0" indent="0" justifyLastLine="0" shrinkToFit="0" readingOrder="0"/>
      <protection locked="1" hidden="1"/>
    </dxf>
    <dxf>
      <font>
        <b val="0"/>
        <i val="0"/>
        <strike val="0"/>
        <condense val="0"/>
        <extend val="0"/>
        <outline val="0"/>
        <shadow val="0"/>
        <u val="none"/>
        <vertAlign val="baseline"/>
        <sz val="9.5"/>
        <color auto="1"/>
        <name val="Arial"/>
        <family val="2"/>
        <scheme val="none"/>
      </font>
      <numFmt numFmtId="164" formatCode="_ * #,##0.00_ ;_ * \-#,##0.00_ ;_ * &quot;-&quot;??_ ;_ @_ "/>
      <fill>
        <patternFill patternType="none">
          <fgColor indexed="64"/>
          <bgColor indexed="65"/>
        </patternFill>
      </fill>
      <alignment horizontal="center" vertical="bottom" textRotation="0" wrapText="0" indent="0" justifyLastLine="0" shrinkToFit="0" readingOrder="0"/>
      <border diagonalUp="0" diagonalDown="0" outline="0">
        <left/>
        <right/>
        <top/>
        <bottom/>
      </border>
      <protection locked="1" hidden="1"/>
    </dxf>
    <dxf>
      <font>
        <b val="0"/>
        <i val="0"/>
        <strike val="0"/>
        <condense val="0"/>
        <extend val="0"/>
        <outline val="0"/>
        <shadow val="0"/>
        <u val="none"/>
        <vertAlign val="baseline"/>
        <sz val="10"/>
        <color auto="1"/>
        <name val="Century Gothic"/>
        <family val="2"/>
        <scheme val="minor"/>
      </font>
      <numFmt numFmtId="164" formatCode="_ * #,##0.00_ ;_ * \-#,##0.00_ ;_ * &quot;-&quot;??_ ;_ @_ "/>
      <fill>
        <patternFill patternType="none">
          <fgColor indexed="64"/>
          <bgColor indexed="65"/>
        </patternFill>
      </fill>
      <alignment horizontal="center" vertical="bottom" textRotation="0" wrapText="0" indent="0" justifyLastLine="0" shrinkToFit="0" readingOrder="0"/>
      <protection locked="1" hidden="1"/>
    </dxf>
    <dxf>
      <font>
        <b val="0"/>
        <i val="0"/>
        <strike val="0"/>
        <condense val="0"/>
        <extend val="0"/>
        <outline val="0"/>
        <shadow val="0"/>
        <u val="none"/>
        <vertAlign val="baseline"/>
        <sz val="9.5"/>
        <color auto="1"/>
        <name val="Arial"/>
        <family val="2"/>
        <scheme val="none"/>
      </font>
      <numFmt numFmtId="164" formatCode="_ * #,##0.00_ ;_ * \-#,##0.00_ ;_ * &quot;-&quot;??_ ;_ @_ "/>
      <fill>
        <patternFill patternType="none">
          <fgColor indexed="64"/>
          <bgColor indexed="65"/>
        </patternFill>
      </fill>
      <alignment horizontal="center" vertical="bottom" textRotation="0" wrapText="0" indent="0" justifyLastLine="0" shrinkToFit="0" readingOrder="0"/>
      <border diagonalUp="0" diagonalDown="0" outline="0">
        <left/>
        <right/>
        <top/>
        <bottom/>
      </border>
      <protection locked="1" hidden="1"/>
    </dxf>
    <dxf>
      <font>
        <b val="0"/>
        <i val="0"/>
        <strike val="0"/>
        <condense val="0"/>
        <extend val="0"/>
        <outline val="0"/>
        <shadow val="0"/>
        <u val="none"/>
        <vertAlign val="baseline"/>
        <sz val="10"/>
        <color auto="1"/>
        <name val="Century Gothic"/>
        <family val="2"/>
        <scheme val="minor"/>
      </font>
      <numFmt numFmtId="164" formatCode="_ * #,##0.00_ ;_ * \-#,##0.00_ ;_ * &quot;-&quot;??_ ;_ @_ "/>
      <fill>
        <patternFill patternType="none">
          <fgColor indexed="64"/>
          <bgColor indexed="65"/>
        </patternFill>
      </fill>
      <alignment horizontal="center" vertical="bottom" textRotation="0" wrapText="0" indent="0" justifyLastLine="0" shrinkToFit="0" readingOrder="0"/>
      <protection locked="1" hidden="1"/>
    </dxf>
    <dxf>
      <font>
        <b val="0"/>
        <i val="0"/>
        <strike val="0"/>
        <condense val="0"/>
        <extend val="0"/>
        <outline val="0"/>
        <shadow val="0"/>
        <u val="none"/>
        <vertAlign val="baseline"/>
        <sz val="9.5"/>
        <color auto="1"/>
        <name val="Arial"/>
        <family val="2"/>
        <scheme val="none"/>
      </font>
      <numFmt numFmtId="164" formatCode="_ * #,##0.00_ ;_ * \-#,##0.00_ ;_ * &quot;-&quot;??_ ;_ @_ "/>
      <fill>
        <patternFill patternType="none">
          <fgColor indexed="64"/>
          <bgColor indexed="65"/>
        </patternFill>
      </fill>
      <alignment horizontal="center" vertical="bottom" textRotation="0" wrapText="0" indent="0" justifyLastLine="0" shrinkToFit="0" readingOrder="0"/>
      <border diagonalUp="0" diagonalDown="0" outline="0">
        <left/>
        <right/>
        <top/>
        <bottom/>
      </border>
      <protection locked="1" hidden="1"/>
    </dxf>
    <dxf>
      <font>
        <strike val="0"/>
        <outline val="0"/>
        <shadow val="0"/>
        <u val="none"/>
        <vertAlign val="baseline"/>
        <sz val="10"/>
        <color auto="1"/>
        <name val="Century Gothic"/>
        <family val="2"/>
        <scheme val="minor"/>
      </font>
      <numFmt numFmtId="164" formatCode="_ * #,##0.00_ ;_ * \-#,##0.00_ ;_ * &quot;-&quot;??_ ;_ @_ "/>
      <protection locked="1" hidden="1"/>
    </dxf>
    <dxf>
      <font>
        <b val="0"/>
        <i val="0"/>
        <strike val="0"/>
        <condense val="0"/>
        <extend val="0"/>
        <outline val="0"/>
        <shadow val="0"/>
        <u val="none"/>
        <vertAlign val="baseline"/>
        <sz val="9.5"/>
        <color auto="1"/>
        <name val="Arial"/>
        <family val="2"/>
        <scheme val="none"/>
      </font>
      <numFmt numFmtId="164" formatCode="_ * #,##0.00_ ;_ * \-#,##0.00_ ;_ * &quot;-&quot;??_ ;_ @_ "/>
      <fill>
        <patternFill patternType="none">
          <fgColor indexed="64"/>
          <bgColor indexed="65"/>
        </patternFill>
      </fill>
      <alignment horizontal="center" vertical="bottom" textRotation="0" wrapText="0" indent="0" justifyLastLine="0" shrinkToFit="0" readingOrder="0"/>
      <border diagonalUp="0" diagonalDown="0" outline="0">
        <left/>
        <right/>
        <top/>
        <bottom/>
      </border>
      <protection locked="1" hidden="1"/>
    </dxf>
    <dxf>
      <font>
        <strike val="0"/>
        <outline val="0"/>
        <shadow val="0"/>
        <u val="none"/>
        <vertAlign val="baseline"/>
        <sz val="10"/>
        <color auto="1"/>
        <name val="Century Gothic"/>
        <family val="2"/>
        <scheme val="minor"/>
      </font>
      <numFmt numFmtId="164" formatCode="_ * #,##0.00_ ;_ * \-#,##0.00_ ;_ * &quot;-&quot;??_ ;_ @_ "/>
      <fill>
        <patternFill patternType="none">
          <fgColor indexed="64"/>
          <bgColor indexed="65"/>
        </patternFill>
      </fill>
      <alignment horizontal="center" vertical="bottom" textRotation="0" wrapText="0" indent="0" justifyLastLine="0" shrinkToFit="0" readingOrder="0"/>
      <protection locked="1" hidden="1"/>
    </dxf>
    <dxf>
      <font>
        <b val="0"/>
        <i val="0"/>
        <strike val="0"/>
        <condense val="0"/>
        <extend val="0"/>
        <outline val="0"/>
        <shadow val="0"/>
        <u val="none"/>
        <vertAlign val="baseline"/>
        <sz val="9.5"/>
        <color auto="1"/>
        <name val="Arial"/>
        <family val="2"/>
        <scheme val="none"/>
      </font>
      <numFmt numFmtId="164" formatCode="_ * #,##0.00_ ;_ * \-#,##0.00_ ;_ * &quot;-&quot;??_ ;_ @_ "/>
      <fill>
        <patternFill patternType="none">
          <fgColor indexed="64"/>
          <bgColor indexed="65"/>
        </patternFill>
      </fill>
      <alignment horizontal="center" vertical="bottom" textRotation="0" wrapText="0" indent="0" justifyLastLine="0" shrinkToFit="0" readingOrder="0"/>
      <border diagonalUp="0" diagonalDown="0" outline="0">
        <left/>
        <right/>
        <top/>
        <bottom/>
      </border>
      <protection locked="1" hidden="1"/>
    </dxf>
    <dxf>
      <font>
        <b val="0"/>
        <i val="0"/>
        <strike val="0"/>
        <condense val="0"/>
        <extend val="0"/>
        <outline val="0"/>
        <shadow val="0"/>
        <u val="none"/>
        <vertAlign val="baseline"/>
        <sz val="10"/>
        <color auto="1"/>
        <name val="Century Gothic"/>
        <family val="2"/>
        <scheme val="minor"/>
      </font>
      <numFmt numFmtId="164" formatCode="_ * #,##0.00_ ;_ * \-#,##0.00_ ;_ * &quot;-&quot;??_ ;_ @_ "/>
      <fill>
        <patternFill patternType="none">
          <fgColor indexed="64"/>
          <bgColor indexed="65"/>
        </patternFill>
      </fill>
      <alignment horizontal="center" vertical="bottom" textRotation="0" wrapText="0" indent="0" justifyLastLine="0" shrinkToFit="0" readingOrder="0"/>
      <protection locked="1" hidden="1"/>
    </dxf>
    <dxf>
      <font>
        <b val="0"/>
        <i val="0"/>
        <strike val="0"/>
        <condense val="0"/>
        <extend val="0"/>
        <outline val="0"/>
        <shadow val="0"/>
        <u val="none"/>
        <vertAlign val="baseline"/>
        <sz val="9.5"/>
        <color auto="1"/>
        <name val="Arial"/>
        <family val="2"/>
        <scheme val="none"/>
      </font>
      <numFmt numFmtId="164" formatCode="_ * #,##0.00_ ;_ * \-#,##0.00_ ;_ * &quot;-&quot;??_ ;_ @_ "/>
      <fill>
        <patternFill patternType="none">
          <fgColor indexed="64"/>
          <bgColor indexed="65"/>
        </patternFill>
      </fill>
      <alignment horizontal="center" vertical="bottom" textRotation="0" wrapText="0" indent="0" justifyLastLine="0" shrinkToFit="0" readingOrder="0"/>
      <border diagonalUp="0" diagonalDown="0" outline="0">
        <left/>
        <right/>
        <top/>
        <bottom/>
      </border>
      <protection locked="1" hidden="1"/>
    </dxf>
    <dxf>
      <font>
        <b val="0"/>
        <i val="0"/>
        <strike val="0"/>
        <condense val="0"/>
        <extend val="0"/>
        <outline val="0"/>
        <shadow val="0"/>
        <u val="none"/>
        <vertAlign val="baseline"/>
        <sz val="10"/>
        <color auto="1"/>
        <name val="Century Gothic"/>
        <family val="2"/>
        <scheme val="minor"/>
      </font>
      <numFmt numFmtId="164" formatCode="_ * #,##0.00_ ;_ * \-#,##0.00_ ;_ * &quot;-&quot;??_ ;_ @_ "/>
      <fill>
        <patternFill patternType="none">
          <fgColor indexed="64"/>
          <bgColor indexed="65"/>
        </patternFill>
      </fill>
      <alignment horizontal="center" vertical="bottom" textRotation="0" wrapText="0" indent="0" justifyLastLine="0" shrinkToFit="0" readingOrder="0"/>
      <protection locked="1" hidden="1"/>
    </dxf>
    <dxf>
      <font>
        <b val="0"/>
        <i val="0"/>
        <strike val="0"/>
        <condense val="0"/>
        <extend val="0"/>
        <outline val="0"/>
        <shadow val="0"/>
        <u val="none"/>
        <vertAlign val="baseline"/>
        <sz val="9.5"/>
        <color auto="1"/>
        <name val="Arial"/>
        <family val="2"/>
        <scheme val="none"/>
      </font>
      <numFmt numFmtId="164" formatCode="_ * #,##0.00_ ;_ * \-#,##0.00_ ;_ * &quot;-&quot;??_ ;_ @_ "/>
      <fill>
        <patternFill patternType="none">
          <fgColor indexed="64"/>
          <bgColor indexed="65"/>
        </patternFill>
      </fill>
      <alignment horizontal="center" vertical="bottom" textRotation="0" wrapText="0" indent="0" justifyLastLine="0" shrinkToFit="0" readingOrder="0"/>
      <border diagonalUp="0" diagonalDown="0" outline="0">
        <left/>
        <right/>
        <top/>
        <bottom/>
      </border>
      <protection locked="1" hidden="1"/>
    </dxf>
    <dxf>
      <font>
        <strike val="0"/>
        <outline val="0"/>
        <shadow val="0"/>
        <u val="none"/>
        <vertAlign val="baseline"/>
        <sz val="10"/>
        <color auto="1"/>
        <name val="Century Gothic"/>
        <family val="2"/>
        <scheme val="minor"/>
      </font>
      <numFmt numFmtId="164" formatCode="_ * #,##0.00_ ;_ * \-#,##0.00_ ;_ * &quot;-&quot;??_ ;_ @_ "/>
      <fill>
        <patternFill patternType="none">
          <fgColor indexed="64"/>
          <bgColor indexed="65"/>
        </patternFill>
      </fill>
      <alignment horizontal="center" vertical="bottom" textRotation="0" wrapText="0" indent="0" justifyLastLine="0" shrinkToFit="0" readingOrder="0"/>
      <protection locked="1" hidden="1"/>
    </dxf>
    <dxf>
      <font>
        <b val="0"/>
        <i val="0"/>
        <strike val="0"/>
        <condense val="0"/>
        <extend val="0"/>
        <outline val="0"/>
        <shadow val="0"/>
        <u val="none"/>
        <vertAlign val="baseline"/>
        <sz val="9.5"/>
        <color auto="1"/>
        <name val="Arial"/>
        <family val="2"/>
        <scheme val="none"/>
      </font>
      <numFmt numFmtId="164" formatCode="_ * #,##0.00_ ;_ * \-#,##0.00_ ;_ * &quot;-&quot;??_ ;_ @_ "/>
      <fill>
        <patternFill patternType="none">
          <fgColor indexed="64"/>
          <bgColor indexed="65"/>
        </patternFill>
      </fill>
      <alignment horizontal="center" vertical="bottom" textRotation="0" wrapText="0" indent="0" justifyLastLine="0" shrinkToFit="0" readingOrder="0"/>
      <border diagonalUp="0" diagonalDown="0" outline="0">
        <left/>
        <right/>
        <top/>
        <bottom/>
      </border>
      <protection locked="1" hidden="1"/>
    </dxf>
    <dxf>
      <font>
        <strike val="0"/>
        <outline val="0"/>
        <shadow val="0"/>
        <u val="none"/>
        <vertAlign val="baseline"/>
        <sz val="10"/>
        <color auto="1"/>
        <name val="Century Gothic"/>
        <family val="2"/>
        <scheme val="minor"/>
      </font>
      <numFmt numFmtId="164" formatCode="_ * #,##0.00_ ;_ * \-#,##0.00_ ;_ * &quot;-&quot;??_ ;_ @_ "/>
      <fill>
        <patternFill patternType="none">
          <fgColor indexed="64"/>
          <bgColor indexed="65"/>
        </patternFill>
      </fill>
      <alignment horizontal="center" vertical="bottom" textRotation="0" wrapText="0" indent="0" justifyLastLine="0" shrinkToFit="0" readingOrder="0"/>
      <protection locked="1" hidden="1"/>
    </dxf>
    <dxf>
      <font>
        <b val="0"/>
        <i val="0"/>
        <strike val="0"/>
        <condense val="0"/>
        <extend val="0"/>
        <outline val="0"/>
        <shadow val="0"/>
        <u val="none"/>
        <vertAlign val="baseline"/>
        <sz val="9.5"/>
        <color auto="1"/>
        <name val="Arial"/>
        <family val="2"/>
        <scheme val="none"/>
      </font>
      <numFmt numFmtId="164" formatCode="_ * #,##0.00_ ;_ * \-#,##0.00_ ;_ * &quot;-&quot;??_ ;_ @_ "/>
      <fill>
        <patternFill patternType="none">
          <fgColor indexed="64"/>
          <bgColor indexed="65"/>
        </patternFill>
      </fill>
      <alignment horizontal="center" vertical="bottom" textRotation="0" wrapText="0" indent="0" justifyLastLine="0" shrinkToFit="0" readingOrder="0"/>
      <border diagonalUp="0" diagonalDown="0" outline="0">
        <left/>
        <right/>
        <top/>
        <bottom/>
      </border>
      <protection locked="1" hidden="1"/>
    </dxf>
    <dxf>
      <font>
        <strike val="0"/>
        <outline val="0"/>
        <shadow val="0"/>
        <u val="none"/>
        <vertAlign val="baseline"/>
        <sz val="10"/>
        <color auto="1"/>
        <name val="Century Gothic"/>
        <family val="2"/>
        <scheme val="minor"/>
      </font>
      <numFmt numFmtId="164" formatCode="_ * #,##0.00_ ;_ * \-#,##0.00_ ;_ * &quot;-&quot;??_ ;_ @_ "/>
      <fill>
        <patternFill patternType="none">
          <fgColor indexed="64"/>
          <bgColor indexed="65"/>
        </patternFill>
      </fill>
      <alignment horizontal="right" vertical="bottom" textRotation="0" wrapText="0" indent="0" justifyLastLine="0" shrinkToFit="0" readingOrder="0"/>
      <protection locked="1" hidden="1"/>
    </dxf>
    <dxf>
      <font>
        <b val="0"/>
        <i val="0"/>
        <strike val="0"/>
        <condense val="0"/>
        <extend val="0"/>
        <outline val="0"/>
        <shadow val="0"/>
        <u val="none"/>
        <vertAlign val="baseline"/>
        <sz val="9.5"/>
        <color auto="1"/>
        <name val="Arial"/>
        <family val="2"/>
        <scheme val="none"/>
      </font>
      <numFmt numFmtId="164" formatCode="_ * #,##0.00_ ;_ * \-#,##0.00_ ;_ * &quot;-&quot;??_ ;_ @_ "/>
      <fill>
        <patternFill patternType="none">
          <fgColor indexed="64"/>
          <bgColor indexed="65"/>
        </patternFill>
      </fill>
      <alignment horizontal="center" vertical="bottom" textRotation="0" wrapText="0" indent="0" justifyLastLine="0" shrinkToFit="0" readingOrder="0"/>
      <border diagonalUp="0" diagonalDown="0" outline="0">
        <left/>
        <right/>
        <top/>
        <bottom/>
      </border>
      <protection locked="1" hidden="1"/>
    </dxf>
    <dxf>
      <font>
        <strike val="0"/>
        <outline val="0"/>
        <shadow val="0"/>
        <u val="none"/>
        <vertAlign val="baseline"/>
        <sz val="10"/>
        <color auto="1"/>
        <name val="Century Gothic"/>
        <family val="2"/>
        <scheme val="minor"/>
      </font>
      <numFmt numFmtId="164" formatCode="_ * #,##0.00_ ;_ * \-#,##0.00_ ;_ * &quot;-&quot;??_ ;_ @_ "/>
      <fill>
        <patternFill patternType="none">
          <fgColor indexed="64"/>
          <bgColor indexed="65"/>
        </patternFill>
      </fill>
      <alignment horizontal="center" vertical="bottom" textRotation="0" wrapText="0" indent="0" justifyLastLine="0" shrinkToFit="0" readingOrder="0"/>
      <protection locked="1" hidden="1"/>
    </dxf>
    <dxf>
      <font>
        <b val="0"/>
        <i val="0"/>
        <strike val="0"/>
        <condense val="0"/>
        <extend val="0"/>
        <outline val="0"/>
        <shadow val="0"/>
        <u val="none"/>
        <vertAlign val="baseline"/>
        <sz val="9.5"/>
        <color auto="1"/>
        <name val="Arial"/>
        <family val="2"/>
        <scheme val="none"/>
      </font>
      <numFmt numFmtId="164" formatCode="_ * #,##0.00_ ;_ * \-#,##0.00_ ;_ * &quot;-&quot;??_ ;_ @_ "/>
      <fill>
        <patternFill patternType="none">
          <fgColor indexed="64"/>
          <bgColor indexed="65"/>
        </patternFill>
      </fill>
      <alignment horizontal="center" vertical="bottom" textRotation="0" wrapText="0" indent="0" justifyLastLine="0" shrinkToFit="0" readingOrder="0"/>
      <border diagonalUp="0" diagonalDown="0" outline="0">
        <left/>
        <right/>
        <top/>
        <bottom/>
      </border>
      <protection locked="1" hidden="1"/>
    </dxf>
    <dxf>
      <font>
        <b val="0"/>
        <i val="0"/>
        <strike val="0"/>
        <condense val="0"/>
        <extend val="0"/>
        <outline val="0"/>
        <shadow val="0"/>
        <u val="none"/>
        <vertAlign val="baseline"/>
        <sz val="10"/>
        <color auto="1"/>
        <name val="Century Gothic"/>
        <family val="2"/>
        <scheme val="minor"/>
      </font>
      <fill>
        <patternFill patternType="none">
          <fgColor indexed="64"/>
          <bgColor indexed="65"/>
        </patternFill>
      </fill>
      <alignment horizontal="center" vertical="bottom" textRotation="0" wrapText="0" indent="0" justifyLastLine="0" shrinkToFit="0" readingOrder="0"/>
      <protection locked="1" hidden="1"/>
    </dxf>
    <dxf>
      <font>
        <b val="0"/>
        <i val="0"/>
        <strike val="0"/>
        <condense val="0"/>
        <extend val="0"/>
        <outline val="0"/>
        <shadow val="0"/>
        <u val="none"/>
        <vertAlign val="baseline"/>
        <sz val="9.5"/>
        <color auto="1"/>
        <name val="Arial"/>
        <family val="2"/>
        <scheme val="none"/>
      </font>
      <numFmt numFmtId="164" formatCode="_ * #,##0.00_ ;_ * \-#,##0.00_ ;_ * &quot;-&quot;??_ ;_ @_ "/>
      <fill>
        <patternFill patternType="none">
          <fgColor indexed="64"/>
          <bgColor indexed="65"/>
        </patternFill>
      </fill>
      <alignment horizontal="center" vertical="bottom" textRotation="0" wrapText="0" indent="0" justifyLastLine="0" shrinkToFit="0" readingOrder="0"/>
      <border diagonalUp="0" diagonalDown="0" outline="0">
        <left/>
        <right/>
        <top/>
        <bottom/>
      </border>
      <protection locked="1" hidden="1"/>
    </dxf>
    <dxf>
      <font>
        <b val="0"/>
        <i val="0"/>
        <strike val="0"/>
        <condense val="0"/>
        <extend val="0"/>
        <outline val="0"/>
        <shadow val="0"/>
        <u val="none"/>
        <vertAlign val="baseline"/>
        <sz val="10"/>
        <color auto="1"/>
        <name val="Century Gothic"/>
        <family val="2"/>
        <scheme val="minor"/>
      </font>
      <numFmt numFmtId="164" formatCode="_ * #,##0.00_ ;_ * \-#,##0.00_ ;_ * &quot;-&quot;??_ ;_ @_ "/>
      <fill>
        <patternFill patternType="none">
          <fgColor indexed="64"/>
          <bgColor indexed="65"/>
        </patternFill>
      </fill>
      <alignment horizontal="center" vertical="bottom" textRotation="0" wrapText="0" indent="0" justifyLastLine="0" shrinkToFit="0" readingOrder="0"/>
      <protection locked="1" hidden="1"/>
    </dxf>
    <dxf>
      <font>
        <b val="0"/>
        <i val="0"/>
        <strike val="0"/>
        <condense val="0"/>
        <extend val="0"/>
        <outline val="0"/>
        <shadow val="0"/>
        <u val="none"/>
        <vertAlign val="baseline"/>
        <sz val="9.5"/>
        <color auto="1"/>
        <name val="Arial"/>
        <family val="2"/>
        <scheme val="none"/>
      </font>
      <numFmt numFmtId="164" formatCode="_ * #,##0.00_ ;_ * \-#,##0.00_ ;_ * &quot;-&quot;??_ ;_ @_ "/>
      <fill>
        <patternFill patternType="none">
          <fgColor indexed="64"/>
          <bgColor indexed="65"/>
        </patternFill>
      </fill>
      <alignment horizontal="center" vertical="bottom" textRotation="0" wrapText="0" indent="0" justifyLastLine="0" shrinkToFit="0" readingOrder="0"/>
      <border diagonalUp="0" diagonalDown="0" outline="0">
        <left/>
        <right/>
        <top/>
        <bottom/>
      </border>
      <protection locked="1" hidden="1"/>
    </dxf>
    <dxf>
      <font>
        <strike val="0"/>
        <outline val="0"/>
        <shadow val="0"/>
        <u val="none"/>
        <vertAlign val="baseline"/>
        <sz val="10"/>
        <color auto="1"/>
        <name val="Century Gothic"/>
        <family val="2"/>
        <scheme val="minor"/>
      </font>
      <numFmt numFmtId="164" formatCode="_ * #,##0.00_ ;_ * \-#,##0.00_ ;_ * &quot;-&quot;??_ ;_ @_ "/>
      <fill>
        <patternFill patternType="none">
          <fgColor indexed="64"/>
          <bgColor indexed="65"/>
        </patternFill>
      </fill>
      <alignment horizontal="center" vertical="bottom" textRotation="0" wrapText="0" indent="0" justifyLastLine="0" shrinkToFit="0" readingOrder="0"/>
      <protection locked="1" hidden="1"/>
    </dxf>
    <dxf>
      <font>
        <b val="0"/>
        <i val="0"/>
        <strike val="0"/>
        <condense val="0"/>
        <extend val="0"/>
        <outline val="0"/>
        <shadow val="0"/>
        <u val="none"/>
        <vertAlign val="baseline"/>
        <sz val="9.5"/>
        <color auto="1"/>
        <name val="Arial"/>
        <family val="2"/>
        <scheme val="none"/>
      </font>
      <numFmt numFmtId="164" formatCode="_ * #,##0.00_ ;_ * \-#,##0.00_ ;_ * &quot;-&quot;??_ ;_ @_ "/>
      <fill>
        <patternFill patternType="none">
          <fgColor indexed="64"/>
          <bgColor indexed="65"/>
        </patternFill>
      </fill>
      <alignment horizontal="center" vertical="bottom" textRotation="0" wrapText="0" indent="0" justifyLastLine="0" shrinkToFit="0" readingOrder="0"/>
      <border diagonalUp="0" diagonalDown="0" outline="0">
        <left/>
        <right/>
        <top/>
        <bottom/>
      </border>
      <protection locked="1" hidden="1"/>
    </dxf>
    <dxf>
      <font>
        <strike val="0"/>
        <outline val="0"/>
        <shadow val="0"/>
        <u val="none"/>
        <vertAlign val="baseline"/>
        <sz val="10"/>
        <color auto="1"/>
        <name val="Century Gothic"/>
        <family val="2"/>
        <scheme val="minor"/>
      </font>
      <numFmt numFmtId="164" formatCode="_ * #,##0.00_ ;_ * \-#,##0.00_ ;_ * &quot;-&quot;??_ ;_ @_ "/>
      <fill>
        <patternFill patternType="none">
          <fgColor indexed="64"/>
          <bgColor indexed="65"/>
        </patternFill>
      </fill>
      <alignment horizontal="center" vertical="bottom" textRotation="0" wrapText="0" indent="0" justifyLastLine="0" shrinkToFit="0" readingOrder="0"/>
      <protection locked="1" hidden="1"/>
    </dxf>
    <dxf>
      <font>
        <b val="0"/>
        <i val="0"/>
        <strike val="0"/>
        <condense val="0"/>
        <extend val="0"/>
        <outline val="0"/>
        <shadow val="0"/>
        <u val="none"/>
        <vertAlign val="baseline"/>
        <sz val="9.5"/>
        <color auto="1"/>
        <name val="Arial"/>
        <family val="2"/>
        <scheme val="none"/>
      </font>
      <numFmt numFmtId="164" formatCode="_ * #,##0.00_ ;_ * \-#,##0.00_ ;_ * &quot;-&quot;??_ ;_ @_ "/>
      <fill>
        <patternFill patternType="none">
          <fgColor indexed="64"/>
          <bgColor indexed="65"/>
        </patternFill>
      </fill>
      <alignment horizontal="center" vertical="bottom" textRotation="0" wrapText="0" indent="0" justifyLastLine="0" shrinkToFit="0" readingOrder="0"/>
      <border diagonalUp="0" diagonalDown="0" outline="0">
        <left/>
        <right/>
        <top/>
        <bottom/>
      </border>
      <protection locked="1" hidden="1"/>
    </dxf>
    <dxf>
      <font>
        <strike val="0"/>
        <outline val="0"/>
        <shadow val="0"/>
        <u val="none"/>
        <vertAlign val="baseline"/>
        <sz val="10"/>
        <color auto="1"/>
        <name val="Century Gothic"/>
        <family val="2"/>
        <scheme val="minor"/>
      </font>
      <numFmt numFmtId="164" formatCode="_ * #,##0.00_ ;_ * \-#,##0.00_ ;_ * &quot;-&quot;??_ ;_ @_ "/>
      <fill>
        <patternFill patternType="none">
          <fgColor indexed="64"/>
          <bgColor indexed="65"/>
        </patternFill>
      </fill>
      <alignment horizontal="center" vertical="bottom" textRotation="0" wrapText="0" indent="0" justifyLastLine="0" shrinkToFit="0" readingOrder="0"/>
      <protection locked="1" hidden="1"/>
    </dxf>
    <dxf>
      <font>
        <b val="0"/>
        <i val="0"/>
        <strike val="0"/>
        <condense val="0"/>
        <extend val="0"/>
        <outline val="0"/>
        <shadow val="0"/>
        <u val="none"/>
        <vertAlign val="baseline"/>
        <sz val="9.5"/>
        <color auto="1"/>
        <name val="Arial"/>
        <family val="2"/>
        <scheme val="none"/>
      </font>
      <numFmt numFmtId="164" formatCode="_ * #,##0.00_ ;_ * \-#,##0.00_ ;_ * &quot;-&quot;??_ ;_ @_ "/>
      <fill>
        <patternFill patternType="none">
          <fgColor indexed="64"/>
          <bgColor indexed="65"/>
        </patternFill>
      </fill>
      <alignment horizontal="center" vertical="bottom" textRotation="0" wrapText="0" indent="0" justifyLastLine="0" shrinkToFit="0" readingOrder="0"/>
      <border diagonalUp="0" diagonalDown="0" outline="0">
        <left/>
        <right/>
        <top/>
        <bottom/>
      </border>
      <protection locked="1" hidden="1"/>
    </dxf>
    <dxf>
      <font>
        <strike val="0"/>
        <outline val="0"/>
        <shadow val="0"/>
        <u val="none"/>
        <vertAlign val="baseline"/>
        <sz val="10"/>
        <color auto="1"/>
        <name val="Century Gothic"/>
        <family val="2"/>
        <scheme val="minor"/>
      </font>
      <numFmt numFmtId="0" formatCode="General"/>
      <protection locked="1" hidden="1"/>
    </dxf>
    <dxf>
      <font>
        <b val="0"/>
        <i val="0"/>
        <strike val="0"/>
        <condense val="0"/>
        <extend val="0"/>
        <outline val="0"/>
        <shadow val="0"/>
        <u val="none"/>
        <vertAlign val="baseline"/>
        <sz val="9.5"/>
        <color auto="1"/>
        <name val="Arial"/>
        <family val="2"/>
        <scheme val="none"/>
      </font>
      <numFmt numFmtId="164" formatCode="_ * #,##0.00_ ;_ * \-#,##0.00_ ;_ * &quot;-&quot;??_ ;_ @_ "/>
      <fill>
        <patternFill patternType="none">
          <fgColor indexed="64"/>
          <bgColor indexed="65"/>
        </patternFill>
      </fill>
      <alignment horizontal="left" vertical="bottom" textRotation="0" wrapText="0" indent="0" justifyLastLine="0" shrinkToFit="0" readingOrder="0"/>
      <border diagonalUp="0" diagonalDown="0" outline="0">
        <left/>
        <right/>
        <top/>
        <bottom/>
      </border>
      <protection locked="1" hidden="1"/>
    </dxf>
    <dxf>
      <font>
        <b val="0"/>
        <i val="0"/>
        <strike val="0"/>
        <condense val="0"/>
        <extend val="0"/>
        <outline val="0"/>
        <shadow val="0"/>
        <u val="none"/>
        <vertAlign val="baseline"/>
        <sz val="10"/>
        <color auto="1"/>
        <name val="Century Gothic"/>
        <family val="2"/>
        <scheme val="minor"/>
      </font>
      <numFmt numFmtId="0" formatCode="General"/>
      <fill>
        <patternFill patternType="none">
          <fgColor indexed="64"/>
          <bgColor indexed="65"/>
        </patternFill>
      </fill>
      <alignment horizontal="center" vertical="bottom" textRotation="0" wrapText="0" indent="0" justifyLastLine="0" shrinkToFit="0" readingOrder="0"/>
      <protection locked="1" hidden="1"/>
    </dxf>
    <dxf>
      <font>
        <b val="0"/>
        <i val="0"/>
        <strike val="0"/>
        <condense val="0"/>
        <extend val="0"/>
        <outline val="0"/>
        <shadow val="0"/>
        <u val="none"/>
        <vertAlign val="baseline"/>
        <sz val="9.5"/>
        <color auto="1"/>
        <name val="Arial"/>
        <family val="2"/>
        <scheme val="none"/>
      </font>
      <numFmt numFmtId="164" formatCode="_ * #,##0.00_ ;_ * \-#,##0.00_ ;_ * &quot;-&quot;??_ ;_ @_ "/>
      <fill>
        <patternFill patternType="none">
          <fgColor indexed="64"/>
          <bgColor indexed="65"/>
        </patternFill>
      </fill>
      <alignment horizontal="left" vertical="bottom" textRotation="0" wrapText="0" indent="0" justifyLastLine="0" shrinkToFit="0" readingOrder="0"/>
      <border diagonalUp="0" diagonalDown="0" outline="0">
        <left/>
        <right/>
        <top/>
        <bottom/>
      </border>
      <protection locked="1" hidden="1"/>
    </dxf>
    <dxf>
      <font>
        <strike val="0"/>
        <outline val="0"/>
        <shadow val="0"/>
        <u val="none"/>
        <vertAlign val="baseline"/>
        <sz val="10"/>
        <color auto="1"/>
        <name val="Century Gothic"/>
        <family val="2"/>
        <scheme val="minor"/>
      </font>
      <numFmt numFmtId="0" formatCode="General"/>
      <protection locked="1" hidden="1"/>
    </dxf>
    <dxf>
      <font>
        <strike val="0"/>
        <outline val="0"/>
        <shadow val="0"/>
        <u val="none"/>
        <vertAlign val="baseline"/>
        <sz val="10"/>
        <color auto="1"/>
        <name val="Century Gothic"/>
        <family val="2"/>
        <scheme val="minor"/>
      </font>
      <numFmt numFmtId="0" formatCode="General"/>
      <protection locked="1" hidden="1"/>
    </dxf>
    <dxf>
      <font>
        <strike val="0"/>
        <outline val="0"/>
        <shadow val="0"/>
        <u val="none"/>
        <vertAlign val="baseline"/>
        <sz val="10"/>
        <color auto="1"/>
        <name val="Century Gothic"/>
        <family val="2"/>
        <scheme val="minor"/>
      </font>
      <numFmt numFmtId="173" formatCode="yyyy/mm/dd"/>
      <alignment horizontal="center" vertical="bottom" textRotation="0" indent="0" justifyLastLine="0" shrinkToFit="0" readingOrder="0"/>
      <protection locked="1" hidden="1"/>
    </dxf>
    <dxf>
      <font>
        <b val="0"/>
        <i val="0"/>
        <strike val="0"/>
        <condense val="0"/>
        <extend val="0"/>
        <outline val="0"/>
        <shadow val="0"/>
        <u val="none"/>
        <vertAlign val="baseline"/>
        <sz val="9.5"/>
        <color auto="1"/>
        <name val="Arial"/>
        <family val="2"/>
        <scheme val="none"/>
      </font>
      <numFmt numFmtId="164" formatCode="_ * #,##0.00_ ;_ * \-#,##0.00_ ;_ * &quot;-&quot;??_ ;_ @_ "/>
      <fill>
        <patternFill patternType="none">
          <fgColor indexed="64"/>
          <bgColor indexed="65"/>
        </patternFill>
      </fill>
      <alignment horizontal="center" vertical="bottom" textRotation="0" wrapText="0" indent="0" justifyLastLine="0" shrinkToFit="0" readingOrder="0"/>
      <border diagonalUp="0" diagonalDown="0" outline="0">
        <left/>
        <right/>
        <top/>
        <bottom/>
      </border>
      <protection locked="1" hidden="1"/>
    </dxf>
    <dxf>
      <font>
        <strike val="0"/>
        <outline val="0"/>
        <shadow val="0"/>
        <u val="none"/>
        <vertAlign val="baseline"/>
        <sz val="10"/>
        <color auto="1"/>
        <name val="Century Gothic"/>
        <family val="2"/>
        <scheme val="minor"/>
      </font>
      <numFmt numFmtId="0" formatCode="General"/>
      <alignment horizontal="left" textRotation="0" indent="0" justifyLastLine="0" shrinkToFit="0" readingOrder="0"/>
      <protection locked="1" hidden="1"/>
    </dxf>
    <dxf>
      <font>
        <strike val="0"/>
        <outline val="0"/>
        <shadow val="0"/>
        <u val="none"/>
        <vertAlign val="baseline"/>
        <sz val="10"/>
        <color auto="1"/>
        <name val="Century Gothic"/>
        <family val="2"/>
        <scheme val="minor"/>
      </font>
      <numFmt numFmtId="0" formatCode="General"/>
      <protection locked="1" hidden="1"/>
    </dxf>
    <dxf>
      <font>
        <strike val="0"/>
        <outline val="0"/>
        <shadow val="0"/>
        <u val="none"/>
        <vertAlign val="baseline"/>
        <sz val="10"/>
        <color auto="1"/>
        <name val="Century Gothic"/>
        <family val="2"/>
        <scheme val="minor"/>
      </font>
      <numFmt numFmtId="0" formatCode="General"/>
      <protection locked="1" hidden="1"/>
    </dxf>
    <dxf>
      <border>
        <bottom style="thin">
          <color indexed="64"/>
        </bottom>
      </border>
    </dxf>
    <dxf>
      <font>
        <strike val="0"/>
        <outline val="0"/>
        <shadow val="0"/>
        <u val="none"/>
        <vertAlign val="baseline"/>
        <sz val="10"/>
        <color theme="1"/>
        <name val="Century Gothic"/>
        <family val="2"/>
        <scheme val="minor"/>
      </font>
      <numFmt numFmtId="0" formatCode="General"/>
      <fill>
        <patternFill patternType="solid">
          <fgColor indexed="64"/>
          <bgColor rgb="FFFFFF99"/>
        </patternFill>
      </fill>
      <alignment vertical="bottom" textRotation="0" wrapText="1" indent="0" justifyLastLine="0" shrinkToFit="0" readingOrder="0"/>
      <border diagonalUp="0" diagonalDown="0">
        <left style="thin">
          <color indexed="64"/>
        </left>
        <right style="thin">
          <color indexed="64"/>
        </right>
        <top/>
        <bottom/>
      </border>
      <protection locked="1" hidden="1"/>
    </dxf>
    <dxf>
      <fill>
        <patternFill>
          <bgColor rgb="FFFF0000"/>
        </patternFill>
      </fill>
    </dxf>
    <dxf>
      <font>
        <strike val="0"/>
        <outline val="0"/>
        <shadow val="0"/>
        <u val="none"/>
        <vertAlign val="baseline"/>
        <sz val="10"/>
        <color auto="1"/>
        <name val="Century Gothic"/>
        <family val="2"/>
        <scheme val="minor"/>
      </font>
      <numFmt numFmtId="0" formatCode="General"/>
      <alignment horizontal="center" vertical="bottom" textRotation="0" indent="0" justifyLastLine="0" shrinkToFit="0" readingOrder="0"/>
      <protection locked="1" hidden="1"/>
    </dxf>
    <dxf>
      <font>
        <b val="0"/>
        <i val="0"/>
        <strike val="0"/>
        <condense val="0"/>
        <extend val="0"/>
        <outline val="0"/>
        <shadow val="0"/>
        <u val="none"/>
        <vertAlign val="baseline"/>
        <sz val="10"/>
        <color auto="1"/>
        <name val="Century Gothic"/>
        <family val="2"/>
        <scheme val="minor"/>
      </font>
      <fill>
        <patternFill patternType="none">
          <fgColor indexed="64"/>
          <bgColor indexed="65"/>
        </patternFill>
      </fill>
      <alignment horizontal="center" vertical="bottom" textRotation="0" wrapText="0" indent="0" justifyLastLine="0" shrinkToFit="0" readingOrder="0"/>
      <protection locked="1" hidden="1"/>
    </dxf>
    <dxf>
      <font>
        <strike val="0"/>
        <outline val="0"/>
        <shadow val="0"/>
        <u val="none"/>
        <vertAlign val="baseline"/>
        <sz val="10"/>
        <color auto="1"/>
        <name val="Century Gothic"/>
        <family val="2"/>
        <scheme val="minor"/>
      </font>
      <protection locked="1" hidden="1"/>
    </dxf>
    <dxf>
      <font>
        <strike val="0"/>
        <outline val="0"/>
        <shadow val="0"/>
        <u val="none"/>
        <vertAlign val="baseline"/>
        <sz val="10"/>
        <color auto="1"/>
        <name val="Century Gothic"/>
        <family val="2"/>
        <scheme val="minor"/>
      </font>
      <numFmt numFmtId="14" formatCode="0.00%"/>
      <protection locked="1" hidden="1"/>
    </dxf>
    <dxf>
      <font>
        <strike val="0"/>
        <outline val="0"/>
        <shadow val="0"/>
        <u val="none"/>
        <vertAlign val="baseline"/>
        <sz val="10"/>
        <color auto="1"/>
        <name val="Century Gothic"/>
        <family val="2"/>
        <scheme val="minor"/>
      </font>
      <numFmt numFmtId="14" formatCode="0.00%"/>
      <protection locked="1" hidden="1"/>
    </dxf>
    <dxf>
      <font>
        <b val="0"/>
        <i val="0"/>
        <strike val="0"/>
        <condense val="0"/>
        <extend val="0"/>
        <outline val="0"/>
        <shadow val="0"/>
        <u val="none"/>
        <vertAlign val="baseline"/>
        <sz val="10"/>
        <color auto="1"/>
        <name val="Century Gothic"/>
        <family val="2"/>
        <scheme val="minor"/>
      </font>
      <fill>
        <patternFill patternType="none">
          <fgColor indexed="64"/>
          <bgColor indexed="65"/>
        </patternFill>
      </fill>
      <alignment horizontal="center" vertical="bottom" textRotation="0" wrapText="0" indent="0" justifyLastLine="0" shrinkToFit="0" readingOrder="0"/>
      <protection locked="1" hidden="1"/>
    </dxf>
    <dxf>
      <font>
        <b val="0"/>
        <i val="0"/>
        <strike val="0"/>
        <condense val="0"/>
        <extend val="0"/>
        <outline val="0"/>
        <shadow val="0"/>
        <u val="none"/>
        <vertAlign val="baseline"/>
        <sz val="10"/>
        <color auto="1"/>
        <name val="Century Gothic"/>
        <family val="2"/>
        <scheme val="minor"/>
      </font>
      <fill>
        <patternFill patternType="none">
          <fgColor indexed="64"/>
          <bgColor indexed="65"/>
        </patternFill>
      </fill>
      <alignment horizontal="center" vertical="bottom" textRotation="0" wrapText="0" indent="0" justifyLastLine="0" shrinkToFit="0" readingOrder="0"/>
      <protection locked="1" hidden="1"/>
    </dxf>
    <dxf>
      <font>
        <b val="0"/>
        <i val="0"/>
        <strike val="0"/>
        <condense val="0"/>
        <extend val="0"/>
        <outline val="0"/>
        <shadow val="0"/>
        <u val="none"/>
        <vertAlign val="baseline"/>
        <sz val="10"/>
        <color auto="1"/>
        <name val="Century Gothic"/>
        <family val="2"/>
        <scheme val="minor"/>
      </font>
      <fill>
        <patternFill patternType="none">
          <fgColor indexed="64"/>
          <bgColor indexed="65"/>
        </patternFill>
      </fill>
      <alignment horizontal="center" vertical="bottom" textRotation="0" wrapText="0" indent="0" justifyLastLine="0" shrinkToFit="0" readingOrder="0"/>
      <protection locked="1" hidden="1"/>
    </dxf>
    <dxf>
      <font>
        <b val="0"/>
        <i val="0"/>
        <strike val="0"/>
        <condense val="0"/>
        <extend val="0"/>
        <outline val="0"/>
        <shadow val="0"/>
        <u val="none"/>
        <vertAlign val="baseline"/>
        <sz val="10"/>
        <color auto="1"/>
        <name val="Century Gothic"/>
        <family val="2"/>
        <scheme val="minor"/>
      </font>
      <numFmt numFmtId="4" formatCode="#,##0.00"/>
      <fill>
        <patternFill patternType="none">
          <fgColor indexed="64"/>
          <bgColor indexed="65"/>
        </patternFill>
      </fill>
      <alignment horizontal="center" vertical="bottom" textRotation="0" wrapText="0" indent="0" justifyLastLine="0" shrinkToFit="0" readingOrder="0"/>
      <protection locked="1" hidden="1"/>
    </dxf>
    <dxf>
      <font>
        <strike val="0"/>
        <outline val="0"/>
        <shadow val="0"/>
        <u val="none"/>
        <vertAlign val="baseline"/>
        <sz val="10"/>
        <color auto="1"/>
        <name val="Century Gothic"/>
        <family val="2"/>
        <scheme val="minor"/>
      </font>
      <numFmt numFmtId="165" formatCode="0.0%"/>
      <alignment horizontal="center" vertical="bottom" textRotation="0" indent="0" justifyLastLine="0" shrinkToFit="0" readingOrder="0"/>
      <protection locked="1" hidden="1"/>
    </dxf>
    <dxf>
      <font>
        <b val="0"/>
        <i val="0"/>
        <strike val="0"/>
        <condense val="0"/>
        <extend val="0"/>
        <outline val="0"/>
        <shadow val="0"/>
        <u val="none"/>
        <vertAlign val="baseline"/>
        <sz val="10"/>
        <color auto="1"/>
        <name val="Century Gothic"/>
        <family val="2"/>
        <scheme val="minor"/>
      </font>
      <numFmt numFmtId="0" formatCode="General"/>
      <fill>
        <patternFill patternType="none">
          <fgColor indexed="64"/>
          <bgColor indexed="65"/>
        </patternFill>
      </fill>
      <alignment horizontal="center" vertical="bottom" textRotation="0" wrapText="0" indent="0" justifyLastLine="0" shrinkToFit="0" readingOrder="0"/>
      <protection locked="1" hidden="1"/>
    </dxf>
    <dxf>
      <font>
        <strike val="0"/>
        <outline val="0"/>
        <shadow val="0"/>
        <u val="none"/>
        <vertAlign val="baseline"/>
        <sz val="10"/>
        <color auto="1"/>
        <name val="Century Gothic"/>
        <family val="2"/>
        <scheme val="minor"/>
      </font>
      <protection locked="1" hidden="1"/>
    </dxf>
    <dxf>
      <font>
        <strike val="0"/>
        <outline val="0"/>
        <shadow val="0"/>
        <u val="none"/>
        <vertAlign val="baseline"/>
        <sz val="10"/>
        <color auto="1"/>
        <name val="Century Gothic"/>
        <family val="2"/>
        <scheme val="minor"/>
      </font>
      <numFmt numFmtId="1" formatCode="0"/>
      <protection locked="1" hidden="1"/>
    </dxf>
    <dxf>
      <font>
        <strike val="0"/>
        <outline val="0"/>
        <shadow val="0"/>
        <u val="none"/>
        <vertAlign val="baseline"/>
        <sz val="10"/>
        <color auto="1"/>
        <name val="Century Gothic"/>
        <family val="2"/>
        <scheme val="minor"/>
      </font>
      <numFmt numFmtId="1" formatCode="0"/>
      <protection locked="1" hidden="1"/>
    </dxf>
    <dxf>
      <font>
        <strike val="0"/>
        <outline val="0"/>
        <shadow val="0"/>
        <u val="none"/>
        <vertAlign val="baseline"/>
        <sz val="10"/>
        <color auto="1"/>
        <name val="Century Gothic"/>
        <family val="2"/>
        <scheme val="minor"/>
      </font>
      <numFmt numFmtId="0" formatCode="General"/>
      <protection locked="1" hidden="1"/>
    </dxf>
    <dxf>
      <font>
        <b val="0"/>
        <i val="0"/>
        <strike val="0"/>
        <condense val="0"/>
        <extend val="0"/>
        <outline val="0"/>
        <shadow val="0"/>
        <u val="none"/>
        <vertAlign val="baseline"/>
        <sz val="10"/>
        <color auto="1"/>
        <name val="Century Gothic"/>
        <family val="2"/>
        <scheme val="minor"/>
      </font>
      <numFmt numFmtId="0" formatCode="General"/>
      <fill>
        <patternFill patternType="none">
          <fgColor indexed="64"/>
          <bgColor indexed="65"/>
        </patternFill>
      </fill>
      <alignment horizontal="center" vertical="bottom" textRotation="0" wrapText="0" indent="0" justifyLastLine="0" shrinkToFit="0" readingOrder="0"/>
      <protection locked="1" hidden="1"/>
    </dxf>
    <dxf>
      <font>
        <b val="0"/>
        <i val="0"/>
        <strike val="0"/>
        <condense val="0"/>
        <extend val="0"/>
        <outline val="0"/>
        <shadow val="0"/>
        <u val="none"/>
        <vertAlign val="baseline"/>
        <sz val="10"/>
        <color auto="1"/>
        <name val="Century Gothic"/>
        <family val="2"/>
        <scheme val="minor"/>
      </font>
      <numFmt numFmtId="173" formatCode="yyyy/mm/dd"/>
      <fill>
        <patternFill patternType="none">
          <fgColor indexed="64"/>
          <bgColor indexed="65"/>
        </patternFill>
      </fill>
      <alignment horizontal="center" vertical="bottom" textRotation="0" wrapText="0" indent="0" justifyLastLine="0" shrinkToFit="0" readingOrder="0"/>
      <protection locked="1" hidden="1"/>
    </dxf>
    <dxf>
      <font>
        <b val="0"/>
        <i val="0"/>
        <strike val="0"/>
        <condense val="0"/>
        <extend val="0"/>
        <outline val="0"/>
        <shadow val="0"/>
        <u val="none"/>
        <vertAlign val="baseline"/>
        <sz val="10"/>
        <color auto="1"/>
        <name val="Century Gothic"/>
        <family val="2"/>
        <scheme val="minor"/>
      </font>
      <numFmt numFmtId="173" formatCode="yyyy/mm/dd"/>
      <fill>
        <patternFill patternType="none">
          <fgColor indexed="64"/>
          <bgColor indexed="65"/>
        </patternFill>
      </fill>
      <alignment horizontal="center" vertical="bottom" textRotation="0" wrapText="0" indent="0" justifyLastLine="0" shrinkToFit="0" readingOrder="0"/>
      <protection locked="1" hidden="1"/>
    </dxf>
    <dxf>
      <font>
        <strike val="0"/>
        <outline val="0"/>
        <shadow val="0"/>
        <u val="none"/>
        <vertAlign val="baseline"/>
        <sz val="10"/>
        <color auto="1"/>
        <name val="Century Gothic"/>
        <family val="2"/>
        <scheme val="minor"/>
      </font>
      <numFmt numFmtId="173" formatCode="yyyy/mm/dd"/>
      <alignment horizontal="center" vertical="bottom" textRotation="0" indent="0" justifyLastLine="0" shrinkToFit="0" readingOrder="0"/>
      <protection locked="1" hidden="1"/>
    </dxf>
    <dxf>
      <font>
        <strike val="0"/>
        <outline val="0"/>
        <shadow val="0"/>
        <u val="none"/>
        <vertAlign val="baseline"/>
        <sz val="10"/>
        <color auto="1"/>
        <name val="Century Gothic"/>
        <family val="2"/>
        <scheme val="minor"/>
      </font>
      <protection locked="1" hidden="1"/>
    </dxf>
    <dxf>
      <font>
        <strike val="0"/>
        <outline val="0"/>
        <shadow val="0"/>
        <u val="none"/>
        <vertAlign val="baseline"/>
        <sz val="10"/>
        <color auto="1"/>
        <name val="Century Gothic"/>
        <family val="2"/>
        <scheme val="minor"/>
      </font>
      <protection locked="1" hidden="1"/>
    </dxf>
    <dxf>
      <font>
        <strike val="0"/>
        <outline val="0"/>
        <shadow val="0"/>
        <u val="none"/>
        <vertAlign val="baseline"/>
        <sz val="10"/>
        <color auto="1"/>
        <name val="Century Gothic"/>
        <family val="2"/>
        <scheme val="minor"/>
      </font>
      <protection locked="1" hidden="1"/>
    </dxf>
    <dxf>
      <font>
        <strike val="0"/>
        <outline val="0"/>
        <shadow val="0"/>
        <u val="none"/>
        <vertAlign val="baseline"/>
        <sz val="10"/>
        <color auto="1"/>
        <name val="Century Gothic"/>
        <family val="2"/>
        <scheme val="minor"/>
      </font>
      <numFmt numFmtId="0" formatCode="General"/>
      <protection locked="1" hidden="1"/>
    </dxf>
    <dxf>
      <border>
        <bottom style="thin">
          <color indexed="64"/>
        </bottom>
      </border>
    </dxf>
    <dxf>
      <font>
        <strike val="0"/>
        <outline val="0"/>
        <shadow val="0"/>
        <u val="none"/>
        <vertAlign val="baseline"/>
        <sz val="10"/>
        <color theme="1"/>
        <name val="Century Gothic"/>
        <family val="2"/>
        <scheme val="minor"/>
      </font>
      <numFmt numFmtId="0" formatCode="General"/>
      <fill>
        <patternFill patternType="solid">
          <fgColor indexed="64"/>
          <bgColor rgb="FFFFFF99"/>
        </patternFill>
      </fill>
      <alignment vertical="bottom" textRotation="0" wrapText="1" indent="0" justifyLastLine="0" shrinkToFit="0" readingOrder="0"/>
      <border diagonalUp="0" diagonalDown="0">
        <left style="thin">
          <color indexed="64"/>
        </left>
        <right style="thin">
          <color indexed="64"/>
        </right>
        <top/>
        <bottom/>
      </border>
      <protection locked="1" hidden="1"/>
    </dxf>
    <dxf>
      <font>
        <color rgb="FF00B050"/>
      </font>
      <fill>
        <patternFill>
          <bgColor rgb="FF00B050"/>
        </patternFill>
      </fill>
    </dxf>
    <dxf>
      <font>
        <color rgb="FFFF0000"/>
      </font>
      <fill>
        <patternFill>
          <bgColor rgb="FFFF0000"/>
        </patternFill>
      </fill>
    </dxf>
  </dxfs>
  <tableStyles count="0" defaultTableStyle="TableStyleMedium9" defaultPivotStyle="PivotStyleLight16"/>
  <colors>
    <mruColors>
      <color rgb="FFCCFFFF"/>
      <color rgb="FFFFFF99"/>
      <color rgb="FF008000"/>
      <color rgb="FF99FF99"/>
      <color rgb="FFFF99FF"/>
      <color rgb="FFC0C0C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hyperlink" Target="https://www.excel-skills.com/macro.php?tempno=55" TargetMode="Externa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excel-skills.com/salary-sheet-in-excel.php" TargetMode="External"/></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https://youtu.be/D3PXWU2mQHE" TargetMode="External"/></Relationships>
</file>

<file path=xl/drawings/drawing1.xml><?xml version="1.0" encoding="utf-8"?>
<xdr:wsDr xmlns:xdr="http://schemas.openxmlformats.org/drawingml/2006/spreadsheetDrawing" xmlns:a="http://schemas.openxmlformats.org/drawingml/2006/main">
  <xdr:twoCellAnchor>
    <xdr:from>
      <xdr:col>0</xdr:col>
      <xdr:colOff>22860</xdr:colOff>
      <xdr:row>0</xdr:row>
      <xdr:rowOff>22860</xdr:rowOff>
    </xdr:from>
    <xdr:to>
      <xdr:col>15</xdr:col>
      <xdr:colOff>130860</xdr:colOff>
      <xdr:row>21</xdr:row>
      <xdr:rowOff>14010</xdr:rowOff>
    </xdr:to>
    <xdr:grpSp>
      <xdr:nvGrpSpPr>
        <xdr:cNvPr id="4" name="Group 3">
          <a:extLst>
            <a:ext uri="{FF2B5EF4-FFF2-40B4-BE49-F238E27FC236}">
              <a16:creationId xmlns:a16="http://schemas.microsoft.com/office/drawing/2014/main" id="{BAE4D3AD-6F74-46E2-A92A-350F7B0765E1}"/>
            </a:ext>
          </a:extLst>
        </xdr:cNvPr>
        <xdr:cNvGrpSpPr/>
      </xdr:nvGrpSpPr>
      <xdr:grpSpPr>
        <a:xfrm>
          <a:off x="22860" y="22860"/>
          <a:ext cx="8966250" cy="4391700"/>
          <a:chOff x="17134" y="17145"/>
          <a:chExt cx="9252000" cy="3671610"/>
        </a:xfrm>
      </xdr:grpSpPr>
      <xdr:sp macro="" textlink="" fLocksText="0">
        <xdr:nvSpPr>
          <xdr:cNvPr id="5" name="Rectangle 1">
            <a:extLst>
              <a:ext uri="{FF2B5EF4-FFF2-40B4-BE49-F238E27FC236}">
                <a16:creationId xmlns:a16="http://schemas.microsoft.com/office/drawing/2014/main" id="{C214B2F3-C998-4584-8E5E-5DC34C77AE60}"/>
              </a:ext>
            </a:extLst>
          </xdr:cNvPr>
          <xdr:cNvSpPr>
            <a:spLocks noChangeArrowheads="1"/>
          </xdr:cNvSpPr>
        </xdr:nvSpPr>
        <xdr:spPr bwMode="auto">
          <a:xfrm>
            <a:off x="17134" y="17145"/>
            <a:ext cx="9252000" cy="3671610"/>
          </a:xfrm>
          <a:prstGeom prst="rect">
            <a:avLst/>
          </a:prstGeom>
          <a:solidFill>
            <a:schemeClr val="accent1">
              <a:lumMod val="50000"/>
            </a:schemeClr>
          </a:solidFill>
          <a:ln w="9525">
            <a:noFill/>
            <a:miter lim="800000"/>
            <a:headEnd/>
            <a:tailEnd/>
          </a:ln>
          <a:effectLst>
            <a:outerShdw blurRad="50800" dist="38100" dir="2700000" algn="tl" rotWithShape="0">
              <a:prstClr val="black">
                <a:alpha val="40000"/>
              </a:prstClr>
            </a:outerShdw>
          </a:effectLst>
        </xdr:spPr>
        <xdr:txBody>
          <a:bodyPr vertOverflow="clip" horzOverflow="clip" wrap="square" lIns="180000" tIns="180000" rIns="180000" bIns="180000" anchor="t" anchorCtr="0" upright="1">
            <a:noAutofit/>
          </a:bodyPr>
          <a:lstStyle/>
          <a:p>
            <a:pPr algn="l" rtl="0">
              <a:lnSpc>
                <a:spcPct val="100000"/>
              </a:lnSpc>
              <a:spcAft>
                <a:spcPts val="0"/>
              </a:spcAft>
              <a:defRPr sz="1000"/>
            </a:pPr>
            <a:r>
              <a:rPr lang="en-US" sz="1200" b="1" i="0" u="none" strike="noStrike" baseline="0">
                <a:solidFill>
                  <a:schemeClr val="bg1"/>
                </a:solidFill>
                <a:latin typeface="+mn-lt"/>
                <a:cs typeface="Arial" panose="020B0604020202020204" pitchFamily="34" charset="0"/>
              </a:rPr>
              <a:t>EXCEL-SKILLS.COM</a:t>
            </a:r>
          </a:p>
          <a:p>
            <a:pPr algn="l" rtl="0">
              <a:lnSpc>
                <a:spcPct val="100000"/>
              </a:lnSpc>
              <a:defRPr sz="1000"/>
            </a:pPr>
            <a:r>
              <a:rPr lang="en-US" sz="2400" b="1" i="0" u="none" strike="noStrike" baseline="0">
                <a:solidFill>
                  <a:srgbClr val="FFFFFF"/>
                </a:solidFill>
                <a:latin typeface="Berlin Sans FB Demi" panose="020E0802020502020306" pitchFamily="34" charset="0"/>
                <a:cs typeface="Arial"/>
              </a:rPr>
              <a:t>How to activate our trial version</a:t>
            </a:r>
          </a:p>
          <a:p>
            <a:pPr algn="just" rtl="0">
              <a:lnSpc>
                <a:spcPts val="1500"/>
              </a:lnSpc>
              <a:spcBef>
                <a:spcPts val="300"/>
              </a:spcBef>
              <a:spcAft>
                <a:spcPts val="300"/>
              </a:spcAft>
              <a:defRPr sz="1000"/>
            </a:pPr>
            <a:r>
              <a:rPr lang="en-US" sz="1100" b="0" i="0" u="none" strike="noStrike" baseline="0">
                <a:solidFill>
                  <a:srgbClr val="FFFFFF"/>
                </a:solidFill>
                <a:latin typeface="+mn-lt"/>
                <a:cs typeface="Arial" panose="020B0604020202020204" pitchFamily="34" charset="0"/>
              </a:rPr>
              <a:t>Enable our 100% secure trial version macro to display the full version of the template. You should see a security warning message indicating that macros have been disabled - the trail version can be activated by enabling the macro content. Once you enable the macro, all the sheets included in the full version will be visible and you will be able to test the template features.</a:t>
            </a:r>
          </a:p>
          <a:p>
            <a:pPr marL="0" algn="just" rtl="0">
              <a:lnSpc>
                <a:spcPct val="100000"/>
              </a:lnSpc>
              <a:spcBef>
                <a:spcPts val="300"/>
              </a:spcBef>
              <a:spcAft>
                <a:spcPts val="300"/>
              </a:spcAft>
              <a:defRPr sz="1000"/>
            </a:pPr>
            <a:r>
              <a:rPr lang="en-US" sz="1200" b="1" i="0" u="none" strike="noStrike" baseline="0">
                <a:solidFill>
                  <a:srgbClr val="FFFFFF"/>
                </a:solidFill>
                <a:latin typeface="+mn-lt"/>
                <a:cs typeface="Arial" panose="020B0604020202020204" pitchFamily="34" charset="0"/>
              </a:rPr>
              <a:t>Trial version restrictions</a:t>
            </a:r>
          </a:p>
          <a:p>
            <a:pPr marL="0" algn="just" rtl="0">
              <a:lnSpc>
                <a:spcPts val="1500"/>
              </a:lnSpc>
              <a:spcBef>
                <a:spcPts val="0"/>
              </a:spcBef>
              <a:spcAft>
                <a:spcPts val="300"/>
              </a:spcAft>
              <a:defRPr sz="1000"/>
            </a:pPr>
            <a:r>
              <a:rPr lang="en-US" sz="1100" b="0" i="0" u="none" strike="noStrike" baseline="0">
                <a:solidFill>
                  <a:srgbClr val="FFFFFF"/>
                </a:solidFill>
                <a:latin typeface="+mn-lt"/>
                <a:cs typeface="Arial" panose="020B0604020202020204" pitchFamily="34" charset="0"/>
              </a:rPr>
              <a:t>The trial version includes all the functionality of the full version but you cannot save the template or print any of the worksheets. You will also not be able to move or copy any of the worksheets. The aim of the trial version is to illustrate the functionality which is included in the full version and the trial can therefore only be used to try out the template functionality for one session at a time. We only use macros for the trial versions of our templates - none of the full versions of our templates contain any macros!</a:t>
            </a:r>
          </a:p>
        </xdr:txBody>
      </xdr:sp>
      <xdr:sp macro="" textlink="" fLocksText="0">
        <xdr:nvSpPr>
          <xdr:cNvPr id="6" name="TextBox 5">
            <a:hlinkClick xmlns:r="http://schemas.openxmlformats.org/officeDocument/2006/relationships" r:id="rId1"/>
            <a:extLst>
              <a:ext uri="{FF2B5EF4-FFF2-40B4-BE49-F238E27FC236}">
                <a16:creationId xmlns:a16="http://schemas.microsoft.com/office/drawing/2014/main" id="{BD939FCC-0877-43CC-B3A4-5B07248D50AB}"/>
              </a:ext>
            </a:extLst>
          </xdr:cNvPr>
          <xdr:cNvSpPr txBox="1"/>
        </xdr:nvSpPr>
        <xdr:spPr>
          <a:xfrm>
            <a:off x="2011680" y="2901317"/>
            <a:ext cx="4680000" cy="485145"/>
          </a:xfrm>
          <a:prstGeom prst="rect">
            <a:avLst/>
          </a:prstGeom>
          <a:solidFill>
            <a:srgbClr val="FE4A49"/>
          </a:solidFill>
          <a:ln w="50800" cap="rnd" cmpd="sng">
            <a:solidFill>
              <a:srgbClr val="FE4A49"/>
            </a:solidFill>
          </a:ln>
          <a:effectLst/>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ZA" sz="1400" b="1" u="none">
                <a:solidFill>
                  <a:schemeClr val="bg1"/>
                </a:solidFill>
                <a:latin typeface="+mn-lt"/>
              </a:rPr>
              <a:t>Go</a:t>
            </a:r>
            <a:r>
              <a:rPr lang="en-ZA" sz="1400" b="1" u="none" baseline="0">
                <a:solidFill>
                  <a:schemeClr val="bg1"/>
                </a:solidFill>
                <a:latin typeface="+mn-lt"/>
              </a:rPr>
              <a:t> to step-by-step macro instructions</a:t>
            </a:r>
            <a:endParaRPr lang="en-ZA" sz="1400" b="1" u="none">
              <a:solidFill>
                <a:schemeClr val="bg1"/>
              </a:solidFill>
              <a:latin typeface="+mn-lt"/>
            </a:endParaRPr>
          </a:p>
        </xdr:txBody>
      </xdr:sp>
      <xdr:sp macro="" textlink="" fLocksText="0">
        <xdr:nvSpPr>
          <xdr:cNvPr id="7" name="TextBox 6">
            <a:extLst>
              <a:ext uri="{FF2B5EF4-FFF2-40B4-BE49-F238E27FC236}">
                <a16:creationId xmlns:a16="http://schemas.microsoft.com/office/drawing/2014/main" id="{45D6E75F-3440-4D8B-94F0-5B47E0A0CF60}"/>
              </a:ext>
            </a:extLst>
          </xdr:cNvPr>
          <xdr:cNvSpPr txBox="1"/>
        </xdr:nvSpPr>
        <xdr:spPr>
          <a:xfrm>
            <a:off x="2004060" y="3413760"/>
            <a:ext cx="4680000" cy="2514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ZA" sz="1000" i="1">
                <a:solidFill>
                  <a:schemeClr val="bg1">
                    <a:lumMod val="75000"/>
                  </a:schemeClr>
                </a:solidFill>
              </a:rPr>
              <a:t>enable editing to activate the link</a:t>
            </a:r>
          </a:p>
        </xdr:txBody>
      </xdr:sp>
    </xdr:grpSp>
    <xdr:clientData/>
  </xdr:twoCellAnchor>
</xdr:wsDr>
</file>

<file path=xl/drawings/drawing10.xml><?xml version="1.0" encoding="utf-8"?>
<xdr:wsDr xmlns:xdr="http://schemas.openxmlformats.org/drawingml/2006/spreadsheetDrawing" xmlns:a="http://schemas.openxmlformats.org/drawingml/2006/main">
  <xdr:oneCellAnchor>
    <xdr:from>
      <xdr:col>2</xdr:col>
      <xdr:colOff>160419</xdr:colOff>
      <xdr:row>15</xdr:row>
      <xdr:rowOff>39962</xdr:rowOff>
    </xdr:from>
    <xdr:ext cx="6585285" cy="1692982"/>
    <xdr:sp macro="" textlink="">
      <xdr:nvSpPr>
        <xdr:cNvPr id="3" name="Rectangle 17">
          <a:extLst>
            <a:ext uri="{FF2B5EF4-FFF2-40B4-BE49-F238E27FC236}">
              <a16:creationId xmlns:a16="http://schemas.microsoft.com/office/drawing/2014/main" id="{81F94A9D-04C3-4D2F-898A-DA7A6EEB8087}"/>
            </a:ext>
          </a:extLst>
        </xdr:cNvPr>
        <xdr:cNvSpPr>
          <a:spLocks noChangeArrowheads="1"/>
        </xdr:cNvSpPr>
      </xdr:nvSpPr>
      <xdr:spPr bwMode="auto">
        <a:xfrm>
          <a:off x="2991851" y="3168173"/>
          <a:ext cx="6585285" cy="1692982"/>
        </a:xfrm>
        <a:prstGeom prst="rect">
          <a:avLst/>
        </a:prstGeom>
        <a:solidFill>
          <a:schemeClr val="accent1">
            <a:lumMod val="50000"/>
          </a:schemeClr>
        </a:solidFill>
        <a:ln w="9525">
          <a:noFill/>
          <a:miter lim="800000"/>
          <a:headEnd/>
          <a:tailEnd/>
        </a:ln>
        <a:effectLst>
          <a:outerShdw blurRad="50800" dist="38100" dir="2700000" algn="tl" rotWithShape="0">
            <a:prstClr val="black">
              <a:alpha val="40000"/>
            </a:prstClr>
          </a:outerShdw>
        </a:effectLst>
      </xdr:spPr>
      <xdr:txBody>
        <a:bodyPr vertOverflow="clip" wrap="square" lIns="180000" tIns="180000" rIns="180000" bIns="180000" anchor="ctr" anchorCtr="0" upright="1">
          <a:spAutoFit/>
        </a:bodyPr>
        <a:lstStyle/>
        <a:p>
          <a:pPr algn="ctr" rtl="0">
            <a:lnSpc>
              <a:spcPts val="1500"/>
            </a:lnSpc>
            <a:defRPr sz="1000"/>
          </a:pPr>
          <a:r>
            <a:rPr lang="en-US" sz="900" b="1" i="0" u="none" strike="noStrike" baseline="0">
              <a:solidFill>
                <a:schemeClr val="accent1">
                  <a:lumMod val="20000"/>
                  <a:lumOff val="80000"/>
                </a:schemeClr>
              </a:solidFill>
              <a:latin typeface="+mn-lt"/>
              <a:cs typeface="Arial"/>
            </a:rPr>
            <a:t>On this sheet:</a:t>
          </a:r>
        </a:p>
        <a:p>
          <a:pPr algn="just" rtl="0">
            <a:lnSpc>
              <a:spcPts val="1500"/>
            </a:lnSpc>
            <a:defRPr sz="1000"/>
          </a:pPr>
          <a:r>
            <a:rPr lang="en-US" sz="1100" b="1" i="0" u="none" strike="noStrike" baseline="0">
              <a:solidFill>
                <a:schemeClr val="bg1"/>
              </a:solidFill>
              <a:latin typeface="+mn-lt"/>
              <a:cs typeface="Arial"/>
            </a:rPr>
            <a:t>This sheet contains a monthly summary of payroll data by employee. All the calculations are based on the amounts on the Payroll sheet and the sheet requires no user input. The appropriate measurement on which the calculations should be based can be selected from the yellow cell at the top of the sheet. Available measurements include gross pay, income tax, total deductions, net pay, total company contributions, total deductions &amp; company contributions and total cost to company.</a:t>
          </a:r>
        </a:p>
      </xdr:txBody>
    </xdr:sp>
    <xdr:clientData fLocksWithSheet="0" fPrintsWithSheet="0"/>
  </xdr:oneCellAnchor>
</xdr:wsDr>
</file>

<file path=xl/drawings/drawing11.xml><?xml version="1.0" encoding="utf-8"?>
<xdr:wsDr xmlns:xdr="http://schemas.openxmlformats.org/drawingml/2006/spreadsheetDrawing" xmlns:a="http://schemas.openxmlformats.org/drawingml/2006/main">
  <xdr:oneCellAnchor>
    <xdr:from>
      <xdr:col>1</xdr:col>
      <xdr:colOff>368968</xdr:colOff>
      <xdr:row>9</xdr:row>
      <xdr:rowOff>39961</xdr:rowOff>
    </xdr:from>
    <xdr:ext cx="6946232" cy="1692982"/>
    <xdr:sp macro="" textlink="">
      <xdr:nvSpPr>
        <xdr:cNvPr id="3" name="Rectangle 17">
          <a:extLst>
            <a:ext uri="{FF2B5EF4-FFF2-40B4-BE49-F238E27FC236}">
              <a16:creationId xmlns:a16="http://schemas.microsoft.com/office/drawing/2014/main" id="{2E642D40-A436-4EF2-8DDE-12D1F70555C5}"/>
            </a:ext>
          </a:extLst>
        </xdr:cNvPr>
        <xdr:cNvSpPr>
          <a:spLocks noChangeArrowheads="1"/>
        </xdr:cNvSpPr>
      </xdr:nvSpPr>
      <xdr:spPr bwMode="auto">
        <a:xfrm>
          <a:off x="1235242" y="1965014"/>
          <a:ext cx="6946232" cy="1692982"/>
        </a:xfrm>
        <a:prstGeom prst="rect">
          <a:avLst/>
        </a:prstGeom>
        <a:solidFill>
          <a:schemeClr val="accent1">
            <a:lumMod val="50000"/>
          </a:schemeClr>
        </a:solidFill>
        <a:ln w="9525">
          <a:noFill/>
          <a:miter lim="800000"/>
          <a:headEnd/>
          <a:tailEnd/>
        </a:ln>
        <a:effectLst>
          <a:outerShdw blurRad="50800" dist="38100" dir="2700000" algn="tl" rotWithShape="0">
            <a:prstClr val="black">
              <a:alpha val="40000"/>
            </a:prstClr>
          </a:outerShdw>
        </a:effectLst>
      </xdr:spPr>
      <xdr:txBody>
        <a:bodyPr vertOverflow="clip" wrap="square" lIns="180000" tIns="180000" rIns="180000" bIns="180000" anchor="ctr" anchorCtr="0" upright="1">
          <a:spAutoFit/>
        </a:bodyPr>
        <a:lstStyle/>
        <a:p>
          <a:pPr algn="ctr" rtl="0">
            <a:lnSpc>
              <a:spcPts val="1500"/>
            </a:lnSpc>
            <a:defRPr sz="1000"/>
          </a:pPr>
          <a:r>
            <a:rPr lang="en-US" sz="900" b="1" i="0" u="none" strike="noStrike" baseline="0">
              <a:solidFill>
                <a:schemeClr val="accent1">
                  <a:lumMod val="20000"/>
                  <a:lumOff val="80000"/>
                </a:schemeClr>
              </a:solidFill>
              <a:latin typeface="+mn-lt"/>
              <a:cs typeface="Arial"/>
            </a:rPr>
            <a:t>On this sheet:</a:t>
          </a:r>
        </a:p>
        <a:p>
          <a:pPr algn="just" rtl="0">
            <a:lnSpc>
              <a:spcPts val="1500"/>
            </a:lnSpc>
            <a:defRPr sz="1000"/>
          </a:pPr>
          <a:r>
            <a:rPr lang="en-US" sz="1100" b="1" i="0" u="none" strike="noStrike" baseline="0">
              <a:solidFill>
                <a:schemeClr val="bg1"/>
              </a:solidFill>
              <a:latin typeface="+mn-lt"/>
              <a:cs typeface="Arial"/>
            </a:rPr>
            <a:t>This sheet contains a monthly summary of payroll data by department. All the calculations are based on the amounts on the Payroll sheet and the sheet requires no user input. The appropriate measurement on which the calculations should be based can be selected from the yellow cell at the top of the sheet. Available measurements include gross pay, income tax, total deductions, net pay, total company contributions, total deductions &amp; company contributions and total cost to company. If you do not use departments, you can safely delete this sheet.</a:t>
          </a:r>
        </a:p>
      </xdr:txBody>
    </xdr:sp>
    <xdr:clientData fLocksWithSheet="0" fPrintsWithSheet="0"/>
  </xdr:oneCellAnchor>
</xdr:wsDr>
</file>

<file path=xl/drawings/drawing2.xml><?xml version="1.0" encoding="utf-8"?>
<xdr:wsDr xmlns:xdr="http://schemas.openxmlformats.org/drawingml/2006/spreadsheetDrawing" xmlns:a="http://schemas.openxmlformats.org/drawingml/2006/main">
  <xdr:twoCellAnchor editAs="absolute">
    <xdr:from>
      <xdr:col>0</xdr:col>
      <xdr:colOff>22860</xdr:colOff>
      <xdr:row>0</xdr:row>
      <xdr:rowOff>22860</xdr:rowOff>
    </xdr:from>
    <xdr:to>
      <xdr:col>15</xdr:col>
      <xdr:colOff>130860</xdr:colOff>
      <xdr:row>21</xdr:row>
      <xdr:rowOff>14010</xdr:rowOff>
    </xdr:to>
    <xdr:grpSp>
      <xdr:nvGrpSpPr>
        <xdr:cNvPr id="4" name="Group 3">
          <a:extLst>
            <a:ext uri="{FF2B5EF4-FFF2-40B4-BE49-F238E27FC236}">
              <a16:creationId xmlns:a16="http://schemas.microsoft.com/office/drawing/2014/main" id="{B173804F-CA06-484B-8A3C-65E130A12694}"/>
            </a:ext>
          </a:extLst>
        </xdr:cNvPr>
        <xdr:cNvGrpSpPr/>
      </xdr:nvGrpSpPr>
      <xdr:grpSpPr>
        <a:xfrm>
          <a:off x="22860" y="22860"/>
          <a:ext cx="8966250" cy="4391700"/>
          <a:chOff x="17134" y="17145"/>
          <a:chExt cx="9252000" cy="3671610"/>
        </a:xfrm>
      </xdr:grpSpPr>
      <xdr:sp macro="" textlink="" fLocksText="0">
        <xdr:nvSpPr>
          <xdr:cNvPr id="5" name="Rectangle 1">
            <a:extLst>
              <a:ext uri="{FF2B5EF4-FFF2-40B4-BE49-F238E27FC236}">
                <a16:creationId xmlns:a16="http://schemas.microsoft.com/office/drawing/2014/main" id="{AD3E33E8-B6F2-4695-8845-6114D4F5223C}"/>
              </a:ext>
            </a:extLst>
          </xdr:cNvPr>
          <xdr:cNvSpPr>
            <a:spLocks noChangeArrowheads="1"/>
          </xdr:cNvSpPr>
        </xdr:nvSpPr>
        <xdr:spPr bwMode="auto">
          <a:xfrm>
            <a:off x="17134" y="17145"/>
            <a:ext cx="9252000" cy="3671610"/>
          </a:xfrm>
          <a:prstGeom prst="rect">
            <a:avLst/>
          </a:prstGeom>
          <a:solidFill>
            <a:schemeClr val="accent1">
              <a:lumMod val="50000"/>
            </a:schemeClr>
          </a:solidFill>
          <a:ln w="9525">
            <a:noFill/>
            <a:miter lim="800000"/>
            <a:headEnd/>
            <a:tailEnd/>
          </a:ln>
          <a:effectLst>
            <a:outerShdw blurRad="50800" dist="38100" dir="2700000" algn="tl" rotWithShape="0">
              <a:prstClr val="black">
                <a:alpha val="40000"/>
              </a:prstClr>
            </a:outerShdw>
          </a:effectLst>
        </xdr:spPr>
        <xdr:txBody>
          <a:bodyPr vertOverflow="clip" horzOverflow="clip" wrap="square" lIns="180000" tIns="180000" rIns="180000" bIns="180000" anchor="t" anchorCtr="0" upright="1">
            <a:noAutofit/>
          </a:bodyPr>
          <a:lstStyle/>
          <a:p>
            <a:pPr algn="l" rtl="0">
              <a:lnSpc>
                <a:spcPct val="100000"/>
              </a:lnSpc>
              <a:spcAft>
                <a:spcPts val="0"/>
              </a:spcAft>
              <a:defRPr sz="1000"/>
            </a:pPr>
            <a:r>
              <a:rPr lang="en-US" sz="1200" b="1" i="0" u="none" strike="noStrike" baseline="0">
                <a:solidFill>
                  <a:schemeClr val="bg1"/>
                </a:solidFill>
                <a:latin typeface="+mn-lt"/>
                <a:cs typeface="Arial" panose="020B0604020202020204" pitchFamily="34" charset="0"/>
              </a:rPr>
              <a:t>EXCEL-SKILLS.COM</a:t>
            </a:r>
          </a:p>
          <a:p>
            <a:pPr algn="l" rtl="0">
              <a:lnSpc>
                <a:spcPct val="100000"/>
              </a:lnSpc>
              <a:defRPr sz="1000"/>
            </a:pPr>
            <a:r>
              <a:rPr lang="en-US" sz="2400" b="1" i="0" u="none" strike="noStrike" baseline="0">
                <a:solidFill>
                  <a:srgbClr val="FFFFFF"/>
                </a:solidFill>
                <a:latin typeface="Berlin Sans FB Demi" panose="020E0802020502020306" pitchFamily="34" charset="0"/>
                <a:cs typeface="Arial"/>
              </a:rPr>
              <a:t>BASIC MONTHLY SALARY TEMPLATE</a:t>
            </a:r>
          </a:p>
          <a:p>
            <a:pPr algn="just" rtl="0">
              <a:lnSpc>
                <a:spcPts val="1500"/>
              </a:lnSpc>
              <a:spcBef>
                <a:spcPts val="300"/>
              </a:spcBef>
              <a:spcAft>
                <a:spcPts val="300"/>
              </a:spcAft>
              <a:defRPr sz="1000"/>
            </a:pPr>
            <a:r>
              <a:rPr lang="en-US" sz="1100" b="0" i="0" u="none" strike="noStrike" baseline="0">
                <a:solidFill>
                  <a:srgbClr val="FFFFFF"/>
                </a:solidFill>
                <a:latin typeface="+mn-lt"/>
                <a:cs typeface="Arial" panose="020B0604020202020204" pitchFamily="34" charset="0"/>
              </a:rPr>
              <a:t>This template is a simpler version of our comprehensive monthly payroll template for businesses with less than 50 employees and who only require a payroll solution with basic earnings &amp; deductions. Where the monthly payroll template requires users to enter monthly earnings for all 12 months in the tax year, this template automates the inclusion of earnings based on fixed monthly basic salaries, one annual bonus and one annual salary increase. The template is therefore very easy to use while still providing sufficient flexibility to accommodate most international payroll requirements.</a:t>
            </a:r>
          </a:p>
          <a:p>
            <a:pPr marL="1800000" algn="just" rtl="0">
              <a:lnSpc>
                <a:spcPct val="100000"/>
              </a:lnSpc>
              <a:spcBef>
                <a:spcPts val="1200"/>
              </a:spcBef>
              <a:spcAft>
                <a:spcPts val="300"/>
              </a:spcAft>
              <a:defRPr sz="1000"/>
            </a:pPr>
            <a:r>
              <a:rPr lang="en-US" sz="1200" b="1" i="0" u="none" strike="noStrike" baseline="0">
                <a:solidFill>
                  <a:srgbClr val="FFFFFF"/>
                </a:solidFill>
                <a:latin typeface="+mn-lt"/>
                <a:cs typeface="Arial" panose="020B0604020202020204" pitchFamily="34" charset="0"/>
              </a:rPr>
              <a:t>Get the full version of the template to unlock all the functionality!</a:t>
            </a:r>
          </a:p>
          <a:p>
            <a:pPr marL="1800000" algn="just" rtl="0">
              <a:lnSpc>
                <a:spcPts val="1500"/>
              </a:lnSpc>
              <a:spcBef>
                <a:spcPts val="0"/>
              </a:spcBef>
              <a:spcAft>
                <a:spcPts val="300"/>
              </a:spcAft>
              <a:defRPr sz="1000"/>
            </a:pPr>
            <a:r>
              <a:rPr lang="en-US" sz="1100" b="0" i="0" u="none" strike="noStrike" baseline="0">
                <a:solidFill>
                  <a:srgbClr val="FFFFFF"/>
                </a:solidFill>
                <a:latin typeface="+mn-lt"/>
                <a:cs typeface="Arial" panose="020B0604020202020204" pitchFamily="34" charset="0"/>
              </a:rPr>
              <a:t>This is a trial version of the template created to enable you to try out the template functionality. You will not be able to save or print any of your changes. Get the full version for a fully unprotected version of the template where you have full access to all the template functionality.</a:t>
            </a:r>
          </a:p>
        </xdr:txBody>
      </xdr:sp>
      <xdr:sp macro="" textlink="" fLocksText="0">
        <xdr:nvSpPr>
          <xdr:cNvPr id="6" name="TextBox 5">
            <a:hlinkClick xmlns:r="http://schemas.openxmlformats.org/officeDocument/2006/relationships" r:id="rId1"/>
            <a:extLst>
              <a:ext uri="{FF2B5EF4-FFF2-40B4-BE49-F238E27FC236}">
                <a16:creationId xmlns:a16="http://schemas.microsoft.com/office/drawing/2014/main" id="{E83FB28F-9643-4225-A579-95F8140B4C38}"/>
              </a:ext>
            </a:extLst>
          </xdr:cNvPr>
          <xdr:cNvSpPr txBox="1"/>
        </xdr:nvSpPr>
        <xdr:spPr>
          <a:xfrm>
            <a:off x="2011680" y="2901317"/>
            <a:ext cx="4680000" cy="485145"/>
          </a:xfrm>
          <a:prstGeom prst="rect">
            <a:avLst/>
          </a:prstGeom>
          <a:solidFill>
            <a:srgbClr val="FE4A49"/>
          </a:solidFill>
          <a:ln w="50800" cap="rnd" cmpd="sng">
            <a:solidFill>
              <a:srgbClr val="FE4A49"/>
            </a:solidFill>
          </a:ln>
          <a:effectLst/>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ZA" sz="1400" b="1" u="none">
                <a:solidFill>
                  <a:schemeClr val="bg1"/>
                </a:solidFill>
                <a:latin typeface="+mn-lt"/>
              </a:rPr>
              <a:t>Get</a:t>
            </a:r>
            <a:r>
              <a:rPr lang="en-ZA" sz="1400" b="1" u="none" baseline="0">
                <a:solidFill>
                  <a:schemeClr val="bg1"/>
                </a:solidFill>
                <a:latin typeface="+mn-lt"/>
              </a:rPr>
              <a:t> the full version of this template!</a:t>
            </a:r>
            <a:endParaRPr lang="en-ZA" sz="1400" b="1" u="none">
              <a:solidFill>
                <a:schemeClr val="bg1"/>
              </a:solidFill>
              <a:latin typeface="+mn-lt"/>
            </a:endParaRPr>
          </a:p>
        </xdr:txBody>
      </xdr:sp>
      <xdr:sp macro="" textlink="" fLocksText="0">
        <xdr:nvSpPr>
          <xdr:cNvPr id="7" name="TextBox 6">
            <a:extLst>
              <a:ext uri="{FF2B5EF4-FFF2-40B4-BE49-F238E27FC236}">
                <a16:creationId xmlns:a16="http://schemas.microsoft.com/office/drawing/2014/main" id="{BA234EA9-8E0D-43B9-8BB4-594AB4C86CD2}"/>
              </a:ext>
            </a:extLst>
          </xdr:cNvPr>
          <xdr:cNvSpPr txBox="1"/>
        </xdr:nvSpPr>
        <xdr:spPr>
          <a:xfrm>
            <a:off x="2004060" y="3413760"/>
            <a:ext cx="4680000" cy="2514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ZA" sz="1000" i="1">
                <a:solidFill>
                  <a:schemeClr val="bg1">
                    <a:lumMod val="75000"/>
                  </a:schemeClr>
                </a:solidFill>
              </a:rPr>
              <a:t>enable editing to activate the link</a:t>
            </a:r>
          </a:p>
        </xdr:txBody>
      </xdr:sp>
      <xdr:pic>
        <xdr:nvPicPr>
          <xdr:cNvPr id="8" name="Picture 7">
            <a:extLst>
              <a:ext uri="{FF2B5EF4-FFF2-40B4-BE49-F238E27FC236}">
                <a16:creationId xmlns:a16="http://schemas.microsoft.com/office/drawing/2014/main" id="{D763FFF4-5A1D-445A-A2AF-3C724CBF413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36220" y="1912620"/>
            <a:ext cx="1524000" cy="1524000"/>
          </a:xfrm>
          <a:prstGeom prst="rect">
            <a:avLst/>
          </a:prstGeom>
        </xdr:spPr>
      </xdr:pic>
    </xdr:grpSp>
    <xdr:clientData fPrintsWithSheet="0"/>
  </xdr:twoCellAnchor>
</xdr:wsDr>
</file>

<file path=xl/drawings/drawing3.xml><?xml version="1.0" encoding="utf-8"?>
<xdr:wsDr xmlns:xdr="http://schemas.openxmlformats.org/drawingml/2006/spreadsheetDrawing" xmlns:a="http://schemas.openxmlformats.org/drawingml/2006/main">
  <xdr:oneCellAnchor>
    <xdr:from>
      <xdr:col>1</xdr:col>
      <xdr:colOff>205740</xdr:colOff>
      <xdr:row>4</xdr:row>
      <xdr:rowOff>160020</xdr:rowOff>
    </xdr:from>
    <xdr:ext cx="3512820" cy="1306851"/>
    <xdr:sp macro="" textlink="">
      <xdr:nvSpPr>
        <xdr:cNvPr id="10" name="Rectangle 17">
          <a:extLst>
            <a:ext uri="{FF2B5EF4-FFF2-40B4-BE49-F238E27FC236}">
              <a16:creationId xmlns:a16="http://schemas.microsoft.com/office/drawing/2014/main" id="{8C991844-4BA4-479A-AC8B-505B583D261D}"/>
            </a:ext>
          </a:extLst>
        </xdr:cNvPr>
        <xdr:cNvSpPr>
          <a:spLocks noChangeArrowheads="1"/>
        </xdr:cNvSpPr>
      </xdr:nvSpPr>
      <xdr:spPr bwMode="auto">
        <a:xfrm>
          <a:off x="8831580" y="899160"/>
          <a:ext cx="3512820" cy="1306851"/>
        </a:xfrm>
        <a:prstGeom prst="rect">
          <a:avLst/>
        </a:prstGeom>
        <a:solidFill>
          <a:schemeClr val="accent1">
            <a:lumMod val="50000"/>
          </a:schemeClr>
        </a:solidFill>
        <a:ln w="9525">
          <a:noFill/>
          <a:miter lim="800000"/>
          <a:headEnd/>
          <a:tailEnd/>
        </a:ln>
        <a:effectLst>
          <a:outerShdw blurRad="50800" dist="38100" dir="2700000" algn="tl" rotWithShape="0">
            <a:prstClr val="black">
              <a:alpha val="40000"/>
            </a:prstClr>
          </a:outerShdw>
        </a:effectLst>
      </xdr:spPr>
      <xdr:txBody>
        <a:bodyPr vertOverflow="clip" wrap="square" lIns="180000" tIns="180000" rIns="180000" bIns="180000" anchor="ctr" anchorCtr="0" upright="1">
          <a:spAutoFit/>
        </a:bodyPr>
        <a:lstStyle/>
        <a:p>
          <a:pPr algn="ctr" rtl="0">
            <a:lnSpc>
              <a:spcPts val="1500"/>
            </a:lnSpc>
            <a:defRPr sz="1000"/>
          </a:pPr>
          <a:r>
            <a:rPr lang="en-US" sz="800" b="1" i="0" u="none" strike="noStrike" baseline="0">
              <a:solidFill>
                <a:schemeClr val="accent1">
                  <a:lumMod val="20000"/>
                  <a:lumOff val="80000"/>
                </a:schemeClr>
              </a:solidFill>
              <a:latin typeface="+mn-lt"/>
              <a:cs typeface="Arial"/>
            </a:rPr>
            <a:t>On this sheet:</a:t>
          </a:r>
        </a:p>
        <a:p>
          <a:pPr algn="ctr" rtl="0">
            <a:lnSpc>
              <a:spcPts val="1500"/>
            </a:lnSpc>
            <a:defRPr sz="1000"/>
          </a:pPr>
          <a:r>
            <a:rPr lang="en-US" sz="1050" b="1" i="0" u="none" strike="noStrike" baseline="0">
              <a:solidFill>
                <a:schemeClr val="bg1"/>
              </a:solidFill>
              <a:latin typeface="+mn-lt"/>
              <a:cs typeface="Arial"/>
            </a:rPr>
            <a:t>This sheet includes detailed instructions on setting up and using this template. You can also click the YouTube logo to view our quick start and support videos.</a:t>
          </a:r>
        </a:p>
      </xdr:txBody>
    </xdr:sp>
    <xdr:clientData fLocksWithSheet="0" fPrintsWithSheet="0"/>
  </xdr:oneCellAnchor>
  <xdr:twoCellAnchor editAs="oneCell">
    <xdr:from>
      <xdr:col>0</xdr:col>
      <xdr:colOff>6301740</xdr:colOff>
      <xdr:row>1</xdr:row>
      <xdr:rowOff>0</xdr:rowOff>
    </xdr:from>
    <xdr:to>
      <xdr:col>0</xdr:col>
      <xdr:colOff>7435215</xdr:colOff>
      <xdr:row>2</xdr:row>
      <xdr:rowOff>59055</xdr:rowOff>
    </xdr:to>
    <xdr:pic>
      <xdr:nvPicPr>
        <xdr:cNvPr id="5" name="Picture 4">
          <a:hlinkClick xmlns:r="http://schemas.openxmlformats.org/officeDocument/2006/relationships" r:id="rId1"/>
          <a:extLst>
            <a:ext uri="{FF2B5EF4-FFF2-40B4-BE49-F238E27FC236}">
              <a16:creationId xmlns:a16="http://schemas.microsoft.com/office/drawing/2014/main" id="{5C7316CB-C44E-4B4F-B69C-C35265034DA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01740" y="190500"/>
          <a:ext cx="1133475" cy="249555"/>
        </a:xfrm>
        <a:prstGeom prst="rect">
          <a:avLst/>
        </a:prstGeom>
        <a:solidFill>
          <a:schemeClr val="bg1"/>
        </a:solidFill>
      </xdr:spPr>
    </xdr:pic>
    <xdr:clientData fPrintsWithSheet="0"/>
  </xdr:twoCellAnchor>
</xdr:wsDr>
</file>

<file path=xl/drawings/drawing4.xml><?xml version="1.0" encoding="utf-8"?>
<xdr:wsDr xmlns:xdr="http://schemas.openxmlformats.org/drawingml/2006/spreadsheetDrawing" xmlns:a="http://schemas.openxmlformats.org/drawingml/2006/main">
  <xdr:oneCellAnchor>
    <xdr:from>
      <xdr:col>6</xdr:col>
      <xdr:colOff>88229</xdr:colOff>
      <xdr:row>3</xdr:row>
      <xdr:rowOff>64242</xdr:rowOff>
    </xdr:from>
    <xdr:ext cx="5662866" cy="1500622"/>
    <xdr:sp macro="" textlink="">
      <xdr:nvSpPr>
        <xdr:cNvPr id="11" name="Rectangle 17">
          <a:extLst>
            <a:ext uri="{FF2B5EF4-FFF2-40B4-BE49-F238E27FC236}">
              <a16:creationId xmlns:a16="http://schemas.microsoft.com/office/drawing/2014/main" id="{C6461EBB-F94C-42CF-9F49-4F2C31CC63C2}"/>
            </a:ext>
          </a:extLst>
        </xdr:cNvPr>
        <xdr:cNvSpPr>
          <a:spLocks noChangeArrowheads="1"/>
        </xdr:cNvSpPr>
      </xdr:nvSpPr>
      <xdr:spPr bwMode="auto">
        <a:xfrm>
          <a:off x="6489029" y="665821"/>
          <a:ext cx="5662866" cy="1500622"/>
        </a:xfrm>
        <a:prstGeom prst="rect">
          <a:avLst/>
        </a:prstGeom>
        <a:solidFill>
          <a:schemeClr val="accent1">
            <a:lumMod val="50000"/>
          </a:schemeClr>
        </a:solidFill>
        <a:ln w="9525">
          <a:noFill/>
          <a:miter lim="800000"/>
          <a:headEnd/>
          <a:tailEnd/>
        </a:ln>
        <a:effectLst>
          <a:outerShdw blurRad="50800" dist="38100" dir="2700000" algn="tl" rotWithShape="0">
            <a:prstClr val="black">
              <a:alpha val="40000"/>
            </a:prstClr>
          </a:outerShdw>
        </a:effectLst>
      </xdr:spPr>
      <xdr:txBody>
        <a:bodyPr vertOverflow="clip" wrap="square" lIns="180000" tIns="180000" rIns="180000" bIns="180000" anchor="ctr" anchorCtr="0" upright="1">
          <a:spAutoFit/>
        </a:bodyPr>
        <a:lstStyle/>
        <a:p>
          <a:pPr algn="ctr" rtl="0">
            <a:lnSpc>
              <a:spcPts val="1500"/>
            </a:lnSpc>
            <a:defRPr sz="1000"/>
          </a:pPr>
          <a:r>
            <a:rPr lang="en-US" sz="900" b="1" i="0" u="none" strike="noStrike" baseline="0">
              <a:solidFill>
                <a:schemeClr val="accent1">
                  <a:lumMod val="20000"/>
                  <a:lumOff val="80000"/>
                </a:schemeClr>
              </a:solidFill>
              <a:latin typeface="+mn-lt"/>
              <a:cs typeface="Arial"/>
            </a:rPr>
            <a:t>On this sheet:</a:t>
          </a:r>
        </a:p>
        <a:p>
          <a:pPr algn="just" rtl="0">
            <a:lnSpc>
              <a:spcPts val="1500"/>
            </a:lnSpc>
            <a:defRPr sz="1000"/>
          </a:pPr>
          <a:r>
            <a:rPr lang="en-US" sz="1100" b="1" i="0" u="none" strike="noStrike" baseline="0">
              <a:solidFill>
                <a:schemeClr val="bg1"/>
              </a:solidFill>
              <a:latin typeface="+mn-lt"/>
              <a:cs typeface="Arial"/>
            </a:rPr>
            <a:t>All the business &amp; payroll settings for the template needs to be included on this sheet. Enter your business details, select your year-end month, enter the tax year and edit the settings for the salary payment date, annual bonus month and salary increase month. Only the cells with yellow cell backgrounds are input cells.</a:t>
          </a:r>
        </a:p>
      </xdr:txBody>
    </xdr:sp>
    <xdr:clientData fLocksWithSheet="0" fPrintsWithSheet="0"/>
  </xdr:oneCellAnchor>
  <xdr:oneCellAnchor>
    <xdr:from>
      <xdr:col>6</xdr:col>
      <xdr:colOff>96250</xdr:colOff>
      <xdr:row>18</xdr:row>
      <xdr:rowOff>56220</xdr:rowOff>
    </xdr:from>
    <xdr:ext cx="6264445" cy="1500622"/>
    <xdr:sp macro="" textlink="">
      <xdr:nvSpPr>
        <xdr:cNvPr id="12" name="Rectangle 17">
          <a:extLst>
            <a:ext uri="{FF2B5EF4-FFF2-40B4-BE49-F238E27FC236}">
              <a16:creationId xmlns:a16="http://schemas.microsoft.com/office/drawing/2014/main" id="{D9E23252-67F6-4BB9-A5B8-AB7AD206E654}"/>
            </a:ext>
          </a:extLst>
        </xdr:cNvPr>
        <xdr:cNvSpPr>
          <a:spLocks noChangeArrowheads="1"/>
        </xdr:cNvSpPr>
      </xdr:nvSpPr>
      <xdr:spPr bwMode="auto">
        <a:xfrm>
          <a:off x="6497050" y="3505273"/>
          <a:ext cx="6264445" cy="1500622"/>
        </a:xfrm>
        <a:prstGeom prst="rect">
          <a:avLst/>
        </a:prstGeom>
        <a:solidFill>
          <a:schemeClr val="accent1">
            <a:lumMod val="50000"/>
          </a:schemeClr>
        </a:solidFill>
        <a:ln w="9525">
          <a:noFill/>
          <a:miter lim="800000"/>
          <a:headEnd/>
          <a:tailEnd/>
        </a:ln>
        <a:effectLst>
          <a:outerShdw blurRad="50800" dist="38100" dir="2700000" algn="tl" rotWithShape="0">
            <a:prstClr val="black">
              <a:alpha val="40000"/>
            </a:prstClr>
          </a:outerShdw>
        </a:effectLst>
      </xdr:spPr>
      <xdr:txBody>
        <a:bodyPr vertOverflow="clip" wrap="square" lIns="180000" tIns="180000" rIns="180000" bIns="180000" anchor="ctr" anchorCtr="0" upright="1">
          <a:spAutoFit/>
        </a:bodyPr>
        <a:lstStyle/>
        <a:p>
          <a:pPr algn="just" rtl="0">
            <a:lnSpc>
              <a:spcPts val="1500"/>
            </a:lnSpc>
            <a:defRPr sz="1000"/>
          </a:pPr>
          <a:r>
            <a:rPr lang="en-US" sz="1100" b="1" i="0" u="none" strike="noStrike" baseline="0">
              <a:solidFill>
                <a:schemeClr val="bg1"/>
              </a:solidFill>
              <a:latin typeface="+mn-lt"/>
              <a:cs typeface="Arial"/>
            </a:rPr>
            <a:t>Income tax amounts are automatically calculated based on the two income tax tables and the income tax rebates which are included in the list below the tables. If you only need to use one table, the tax rates in the second table can be set to nil. Each employee on the Emp sheet is linked to the appropriate income tax table and rebate code. Income tax rates usually change on an annual basis and need to be updated after saving a new copy of the template for the next tax year.</a:t>
          </a:r>
        </a:p>
      </xdr:txBody>
    </xdr:sp>
    <xdr:clientData fLocksWithSheet="0" fPrintsWithSheet="0"/>
  </xdr:oneCellAnchor>
  <xdr:oneCellAnchor>
    <xdr:from>
      <xdr:col>3</xdr:col>
      <xdr:colOff>120315</xdr:colOff>
      <xdr:row>48</xdr:row>
      <xdr:rowOff>55930</xdr:rowOff>
    </xdr:from>
    <xdr:ext cx="4588043" cy="923541"/>
    <xdr:sp macro="" textlink="">
      <xdr:nvSpPr>
        <xdr:cNvPr id="13" name="Rectangle 17">
          <a:extLst>
            <a:ext uri="{FF2B5EF4-FFF2-40B4-BE49-F238E27FC236}">
              <a16:creationId xmlns:a16="http://schemas.microsoft.com/office/drawing/2014/main" id="{624AD9C4-BFEE-4C57-AD51-D666AFEFF0E1}"/>
            </a:ext>
          </a:extLst>
        </xdr:cNvPr>
        <xdr:cNvSpPr>
          <a:spLocks noChangeArrowheads="1"/>
        </xdr:cNvSpPr>
      </xdr:nvSpPr>
      <xdr:spPr bwMode="auto">
        <a:xfrm>
          <a:off x="3080083" y="9280141"/>
          <a:ext cx="4588043" cy="923541"/>
        </a:xfrm>
        <a:prstGeom prst="rect">
          <a:avLst/>
        </a:prstGeom>
        <a:solidFill>
          <a:schemeClr val="accent1">
            <a:lumMod val="50000"/>
          </a:schemeClr>
        </a:solidFill>
        <a:ln w="9525">
          <a:noFill/>
          <a:miter lim="800000"/>
          <a:headEnd/>
          <a:tailEnd/>
        </a:ln>
        <a:effectLst>
          <a:outerShdw blurRad="50800" dist="38100" dir="2700000" algn="tl" rotWithShape="0">
            <a:prstClr val="black">
              <a:alpha val="40000"/>
            </a:prstClr>
          </a:outerShdw>
        </a:effectLst>
      </xdr:spPr>
      <xdr:txBody>
        <a:bodyPr vertOverflow="clip" wrap="square" lIns="180000" tIns="180000" rIns="180000" bIns="180000" anchor="ctr" anchorCtr="0" upright="1">
          <a:spAutoFit/>
        </a:bodyPr>
        <a:lstStyle/>
        <a:p>
          <a:pPr algn="just" rtl="0">
            <a:lnSpc>
              <a:spcPts val="1500"/>
            </a:lnSpc>
            <a:defRPr sz="1000"/>
          </a:pPr>
          <a:r>
            <a:rPr lang="en-US" sz="1100" b="1" i="0" u="none" strike="noStrike" baseline="0">
              <a:solidFill>
                <a:schemeClr val="bg1"/>
              </a:solidFill>
              <a:latin typeface="+mn-lt"/>
              <a:cs typeface="Arial"/>
            </a:rPr>
            <a:t>Medical tax credit rates need to be entered in this table. If medical tax credits are not applicable in your country, simply enter nil values in column B.</a:t>
          </a:r>
        </a:p>
      </xdr:txBody>
    </xdr:sp>
    <xdr:clientData fLocksWithSheet="0" fPrintsWithSheet="0"/>
  </xdr:oneCellAnchor>
  <xdr:oneCellAnchor>
    <xdr:from>
      <xdr:col>7</xdr:col>
      <xdr:colOff>80210</xdr:colOff>
      <xdr:row>63</xdr:row>
      <xdr:rowOff>64024</xdr:rowOff>
    </xdr:from>
    <xdr:ext cx="6529138" cy="1115901"/>
    <xdr:sp macro="" textlink="">
      <xdr:nvSpPr>
        <xdr:cNvPr id="14" name="Rectangle 17">
          <a:extLst>
            <a:ext uri="{FF2B5EF4-FFF2-40B4-BE49-F238E27FC236}">
              <a16:creationId xmlns:a16="http://schemas.microsoft.com/office/drawing/2014/main" id="{3102051D-07A0-4DF2-8017-C7A27E162127}"/>
            </a:ext>
          </a:extLst>
        </xdr:cNvPr>
        <xdr:cNvSpPr>
          <a:spLocks noChangeArrowheads="1"/>
        </xdr:cNvSpPr>
      </xdr:nvSpPr>
      <xdr:spPr bwMode="auto">
        <a:xfrm>
          <a:off x="7628021" y="12175813"/>
          <a:ext cx="6529138" cy="1115901"/>
        </a:xfrm>
        <a:prstGeom prst="rect">
          <a:avLst/>
        </a:prstGeom>
        <a:solidFill>
          <a:schemeClr val="accent1">
            <a:lumMod val="50000"/>
          </a:schemeClr>
        </a:solidFill>
        <a:ln w="9525">
          <a:noFill/>
          <a:miter lim="800000"/>
          <a:headEnd/>
          <a:tailEnd/>
        </a:ln>
        <a:effectLst>
          <a:outerShdw blurRad="50800" dist="38100" dir="2700000" algn="tl" rotWithShape="0">
            <a:prstClr val="black">
              <a:alpha val="40000"/>
            </a:prstClr>
          </a:outerShdw>
        </a:effectLst>
      </xdr:spPr>
      <xdr:txBody>
        <a:bodyPr vertOverflow="clip" wrap="square" lIns="180000" tIns="180000" rIns="180000" bIns="180000" anchor="ctr" anchorCtr="0" upright="1">
          <a:spAutoFit/>
        </a:bodyPr>
        <a:lstStyle/>
        <a:p>
          <a:pPr algn="just" rtl="0">
            <a:lnSpc>
              <a:spcPts val="1500"/>
            </a:lnSpc>
            <a:defRPr sz="1000"/>
          </a:pPr>
          <a:r>
            <a:rPr lang="en-US" sz="1100" b="1" i="0" u="none" strike="noStrike" baseline="0">
              <a:solidFill>
                <a:schemeClr val="bg1"/>
              </a:solidFill>
              <a:latin typeface="+mn-lt"/>
              <a:cs typeface="Arial"/>
            </a:rPr>
            <a:t>Each type of earning which is applicable to your business needs to be added to this list. Enter an earnings code, description, short name, the taxable % and specify whether the earning type is applied on a monthly or annual basis. The default list includes 5 earning types but you can add, edit or remove items based on your requirements.</a:t>
          </a:r>
        </a:p>
      </xdr:txBody>
    </xdr:sp>
    <xdr:clientData fLocksWithSheet="0" fPrintsWithSheet="0"/>
  </xdr:oneCellAnchor>
  <xdr:oneCellAnchor>
    <xdr:from>
      <xdr:col>11</xdr:col>
      <xdr:colOff>72187</xdr:colOff>
      <xdr:row>70</xdr:row>
      <xdr:rowOff>104276</xdr:rowOff>
    </xdr:from>
    <xdr:ext cx="7307179" cy="1500622"/>
    <xdr:sp macro="" textlink="">
      <xdr:nvSpPr>
        <xdr:cNvPr id="15" name="Rectangle 17">
          <a:extLst>
            <a:ext uri="{FF2B5EF4-FFF2-40B4-BE49-F238E27FC236}">
              <a16:creationId xmlns:a16="http://schemas.microsoft.com/office/drawing/2014/main" id="{6852E113-3202-458A-BDC3-60A49820B79C}"/>
            </a:ext>
          </a:extLst>
        </xdr:cNvPr>
        <xdr:cNvSpPr>
          <a:spLocks noChangeArrowheads="1"/>
        </xdr:cNvSpPr>
      </xdr:nvSpPr>
      <xdr:spPr bwMode="auto">
        <a:xfrm>
          <a:off x="12208040" y="13563602"/>
          <a:ext cx="7307179" cy="1500622"/>
        </a:xfrm>
        <a:prstGeom prst="rect">
          <a:avLst/>
        </a:prstGeom>
        <a:solidFill>
          <a:schemeClr val="accent1">
            <a:lumMod val="50000"/>
          </a:schemeClr>
        </a:solidFill>
        <a:ln w="9525">
          <a:noFill/>
          <a:miter lim="800000"/>
          <a:headEnd/>
          <a:tailEnd/>
        </a:ln>
        <a:effectLst>
          <a:outerShdw blurRad="50800" dist="38100" dir="2700000" algn="tl" rotWithShape="0">
            <a:prstClr val="black">
              <a:alpha val="40000"/>
            </a:prstClr>
          </a:outerShdw>
        </a:effectLst>
      </xdr:spPr>
      <xdr:txBody>
        <a:bodyPr vertOverflow="clip" wrap="square" lIns="180000" tIns="180000" rIns="180000" bIns="180000" anchor="ctr" anchorCtr="0" upright="1">
          <a:spAutoFit/>
        </a:bodyPr>
        <a:lstStyle/>
        <a:p>
          <a:pPr algn="just" rtl="0">
            <a:lnSpc>
              <a:spcPts val="1500"/>
            </a:lnSpc>
            <a:defRPr sz="1000"/>
          </a:pPr>
          <a:r>
            <a:rPr lang="en-US" sz="1100" b="1" i="0" u="none" strike="noStrike" baseline="0">
              <a:solidFill>
                <a:schemeClr val="bg1"/>
              </a:solidFill>
              <a:latin typeface="+mn-lt"/>
              <a:cs typeface="Arial"/>
            </a:rPr>
            <a:t>Each type of salary deduction which is applicable to your business needs to be added to this list. Enter the code, description, rate, basis, earnings inclusion basis, earning exclusion codes, earning maximum value, taxable % and an annual tax limit. The default list includes only 4 deductions but you can add, edit or remove items based on your requirements. The rates in this table are applied to all employees but can be overridden by the employee specific rates which are specified on the Emp sheet. All monthly deduction amounts on the Payroll sheet are automatically calculated.</a:t>
          </a:r>
        </a:p>
      </xdr:txBody>
    </xdr:sp>
    <xdr:clientData fLocksWithSheet="0" fPrintsWithSheet="0"/>
  </xdr:oneCellAnchor>
  <xdr:oneCellAnchor>
    <xdr:from>
      <xdr:col>9</xdr:col>
      <xdr:colOff>80208</xdr:colOff>
      <xdr:row>79</xdr:row>
      <xdr:rowOff>64169</xdr:rowOff>
    </xdr:from>
    <xdr:ext cx="7307179" cy="1500622"/>
    <xdr:sp macro="" textlink="">
      <xdr:nvSpPr>
        <xdr:cNvPr id="16" name="Rectangle 17">
          <a:extLst>
            <a:ext uri="{FF2B5EF4-FFF2-40B4-BE49-F238E27FC236}">
              <a16:creationId xmlns:a16="http://schemas.microsoft.com/office/drawing/2014/main" id="{43F03EB1-FE12-48DF-9B14-784B03A20E93}"/>
            </a:ext>
          </a:extLst>
        </xdr:cNvPr>
        <xdr:cNvSpPr>
          <a:spLocks noChangeArrowheads="1"/>
        </xdr:cNvSpPr>
      </xdr:nvSpPr>
      <xdr:spPr bwMode="auto">
        <a:xfrm>
          <a:off x="9922040" y="15256043"/>
          <a:ext cx="7307179" cy="1500622"/>
        </a:xfrm>
        <a:prstGeom prst="rect">
          <a:avLst/>
        </a:prstGeom>
        <a:solidFill>
          <a:schemeClr val="accent1">
            <a:lumMod val="50000"/>
          </a:schemeClr>
        </a:solidFill>
        <a:ln w="9525">
          <a:noFill/>
          <a:miter lim="800000"/>
          <a:headEnd/>
          <a:tailEnd/>
        </a:ln>
        <a:effectLst>
          <a:outerShdw blurRad="50800" dist="38100" dir="2700000" algn="tl" rotWithShape="0">
            <a:prstClr val="black">
              <a:alpha val="40000"/>
            </a:prstClr>
          </a:outerShdw>
        </a:effectLst>
      </xdr:spPr>
      <xdr:txBody>
        <a:bodyPr vertOverflow="clip" wrap="square" lIns="180000" tIns="180000" rIns="180000" bIns="180000" anchor="ctr" anchorCtr="0" upright="1">
          <a:spAutoFit/>
        </a:bodyPr>
        <a:lstStyle/>
        <a:p>
          <a:pPr algn="just" rtl="0">
            <a:lnSpc>
              <a:spcPts val="1500"/>
            </a:lnSpc>
            <a:defRPr sz="1000"/>
          </a:pPr>
          <a:r>
            <a:rPr lang="en-US" sz="1100" b="1" i="0" u="none" strike="noStrike" baseline="0">
              <a:solidFill>
                <a:schemeClr val="bg1"/>
              </a:solidFill>
              <a:latin typeface="+mn-lt"/>
              <a:cs typeface="Arial"/>
            </a:rPr>
            <a:t>Each type of company contribution which is applicable to your business needs to be added to this list. Enter a code, description, rate, basis, earning exclusion basis and an earnings maximum value. Company contributions can be based on gross salaries, fixed values or can be linked to a particular salary deduction code. The default list includes 4 company contributions but you can add, edit or remove items based on your requirements. All the monthly company contributions on the Payroll sheet are automatically calculated.</a:t>
          </a:r>
        </a:p>
      </xdr:txBody>
    </xdr:sp>
    <xdr:clientData fLocksWithSheet="0" fPrintsWithSheet="0"/>
  </xdr:oneCellAnchor>
  <xdr:oneCellAnchor>
    <xdr:from>
      <xdr:col>5</xdr:col>
      <xdr:colOff>88231</xdr:colOff>
      <xdr:row>88</xdr:row>
      <xdr:rowOff>64024</xdr:rowOff>
    </xdr:from>
    <xdr:ext cx="5895476" cy="1115901"/>
    <xdr:sp macro="" textlink="">
      <xdr:nvSpPr>
        <xdr:cNvPr id="17" name="Rectangle 17">
          <a:extLst>
            <a:ext uri="{FF2B5EF4-FFF2-40B4-BE49-F238E27FC236}">
              <a16:creationId xmlns:a16="http://schemas.microsoft.com/office/drawing/2014/main" id="{C5C62656-5927-441A-B866-71AAF619ED8F}"/>
            </a:ext>
          </a:extLst>
        </xdr:cNvPr>
        <xdr:cNvSpPr>
          <a:spLocks noChangeArrowheads="1"/>
        </xdr:cNvSpPr>
      </xdr:nvSpPr>
      <xdr:spPr bwMode="auto">
        <a:xfrm>
          <a:off x="5342020" y="16988445"/>
          <a:ext cx="5895476" cy="1115901"/>
        </a:xfrm>
        <a:prstGeom prst="rect">
          <a:avLst/>
        </a:prstGeom>
        <a:solidFill>
          <a:schemeClr val="accent1">
            <a:lumMod val="50000"/>
          </a:schemeClr>
        </a:solidFill>
        <a:ln w="9525">
          <a:noFill/>
          <a:miter lim="800000"/>
          <a:headEnd/>
          <a:tailEnd/>
        </a:ln>
        <a:effectLst>
          <a:outerShdw blurRad="50800" dist="38100" dir="2700000" algn="tl" rotWithShape="0">
            <a:prstClr val="black">
              <a:alpha val="40000"/>
            </a:prstClr>
          </a:outerShdw>
        </a:effectLst>
      </xdr:spPr>
      <xdr:txBody>
        <a:bodyPr vertOverflow="clip" wrap="square" lIns="180000" tIns="180000" rIns="180000" bIns="180000" anchor="ctr" anchorCtr="0" upright="1">
          <a:spAutoFit/>
        </a:bodyPr>
        <a:lstStyle/>
        <a:p>
          <a:pPr algn="just" rtl="0">
            <a:lnSpc>
              <a:spcPts val="1500"/>
            </a:lnSpc>
            <a:defRPr sz="1000"/>
          </a:pPr>
          <a:r>
            <a:rPr lang="en-US" sz="1100" b="1" i="0" u="none" strike="noStrike" baseline="0">
              <a:solidFill>
                <a:schemeClr val="bg1"/>
              </a:solidFill>
              <a:latin typeface="+mn-lt"/>
              <a:cs typeface="Arial"/>
            </a:rPr>
            <a:t>Add all your department codes to this list. The list makes provision for a code, description and cost centre. The default list includes 3 items but you can add, edit or remove items based on your requirements. All the departments which are included here are automatically included on the MonthDept sheet.</a:t>
          </a:r>
        </a:p>
      </xdr:txBody>
    </xdr:sp>
    <xdr:clientData fLocksWithSheet="0" fPrintsWithSheet="0"/>
  </xdr:oneCellAnchor>
  <xdr:oneCellAnchor>
    <xdr:from>
      <xdr:col>4</xdr:col>
      <xdr:colOff>72188</xdr:colOff>
      <xdr:row>144</xdr:row>
      <xdr:rowOff>56292</xdr:rowOff>
    </xdr:from>
    <xdr:ext cx="8005012" cy="1885342"/>
    <xdr:sp macro="" textlink="">
      <xdr:nvSpPr>
        <xdr:cNvPr id="18" name="Rectangle 17">
          <a:extLst>
            <a:ext uri="{FF2B5EF4-FFF2-40B4-BE49-F238E27FC236}">
              <a16:creationId xmlns:a16="http://schemas.microsoft.com/office/drawing/2014/main" id="{F01A3DF7-048D-47FC-9EDB-E944BABFB633}"/>
            </a:ext>
          </a:extLst>
        </xdr:cNvPr>
        <xdr:cNvSpPr>
          <a:spLocks noChangeArrowheads="1"/>
        </xdr:cNvSpPr>
      </xdr:nvSpPr>
      <xdr:spPr bwMode="auto">
        <a:xfrm>
          <a:off x="4178967" y="19948503"/>
          <a:ext cx="8005012" cy="1885342"/>
        </a:xfrm>
        <a:prstGeom prst="rect">
          <a:avLst/>
        </a:prstGeom>
        <a:solidFill>
          <a:schemeClr val="accent1">
            <a:lumMod val="50000"/>
          </a:schemeClr>
        </a:solidFill>
        <a:ln w="9525">
          <a:noFill/>
          <a:miter lim="800000"/>
          <a:headEnd/>
          <a:tailEnd/>
        </a:ln>
        <a:effectLst>
          <a:outerShdw blurRad="50800" dist="38100" dir="2700000" algn="tl" rotWithShape="0">
            <a:prstClr val="black">
              <a:alpha val="40000"/>
            </a:prstClr>
          </a:outerShdw>
        </a:effectLst>
      </xdr:spPr>
      <xdr:txBody>
        <a:bodyPr vertOverflow="clip" wrap="square" lIns="180000" tIns="180000" rIns="180000" bIns="180000" anchor="ctr" anchorCtr="0" upright="1">
          <a:spAutoFit/>
        </a:bodyPr>
        <a:lstStyle/>
        <a:p>
          <a:pPr algn="just" rtl="0">
            <a:lnSpc>
              <a:spcPts val="1500"/>
            </a:lnSpc>
            <a:defRPr sz="1000"/>
          </a:pPr>
          <a:r>
            <a:rPr lang="en-US" sz="1100" b="1" i="0" u="none" strike="noStrike" baseline="0">
              <a:solidFill>
                <a:schemeClr val="bg1"/>
              </a:solidFill>
              <a:latin typeface="+mn-lt"/>
              <a:cs typeface="Arial"/>
            </a:rPr>
            <a:t>This column &amp; row matrix manages the addition of earnings, deductions, company contributions, employees and departments. For example, if you add more than 5 salary deductions to the list on this sheet, you will manually need to include additional columns on some of the other sheets in this template. If you do not complete this step, some of the template calculations may become inaccurate. This matrix has therefore been designed to show users if there are any rows or columns that they need to add to the template. If there are, the appropriate status cell will be highlighted in red. It is therefore important that users ensure that all of the status cells are always green. Note that you only need to refer to this matrix if you increase the number of entries in any of the lists on this sheet or if you have deleted some of the default columns on the other sheets.</a:t>
          </a:r>
        </a:p>
      </xdr:txBody>
    </xdr:sp>
    <xdr:clientData fLocksWithSheet="0" fPrintsWithSheet="0"/>
  </xdr:oneCellAnchor>
</xdr:wsDr>
</file>

<file path=xl/drawings/drawing5.xml><?xml version="1.0" encoding="utf-8"?>
<xdr:wsDr xmlns:xdr="http://schemas.openxmlformats.org/drawingml/2006/spreadsheetDrawing" xmlns:a="http://schemas.openxmlformats.org/drawingml/2006/main">
  <xdr:oneCellAnchor>
    <xdr:from>
      <xdr:col>11</xdr:col>
      <xdr:colOff>72188</xdr:colOff>
      <xdr:row>14</xdr:row>
      <xdr:rowOff>56364</xdr:rowOff>
    </xdr:from>
    <xdr:ext cx="9288380" cy="2077703"/>
    <xdr:sp macro="" textlink="">
      <xdr:nvSpPr>
        <xdr:cNvPr id="3" name="Rectangle 17">
          <a:extLst>
            <a:ext uri="{FF2B5EF4-FFF2-40B4-BE49-F238E27FC236}">
              <a16:creationId xmlns:a16="http://schemas.microsoft.com/office/drawing/2014/main" id="{508C6C3B-6AF9-4078-AF23-533B6102B6BE}"/>
            </a:ext>
          </a:extLst>
        </xdr:cNvPr>
        <xdr:cNvSpPr>
          <a:spLocks noChangeArrowheads="1"/>
        </xdr:cNvSpPr>
      </xdr:nvSpPr>
      <xdr:spPr bwMode="auto">
        <a:xfrm>
          <a:off x="15135725" y="2863732"/>
          <a:ext cx="9288380" cy="2077703"/>
        </a:xfrm>
        <a:prstGeom prst="rect">
          <a:avLst/>
        </a:prstGeom>
        <a:solidFill>
          <a:schemeClr val="accent1">
            <a:lumMod val="50000"/>
          </a:schemeClr>
        </a:solidFill>
        <a:ln w="9525">
          <a:noFill/>
          <a:miter lim="800000"/>
          <a:headEnd/>
          <a:tailEnd/>
        </a:ln>
        <a:effectLst>
          <a:outerShdw blurRad="50800" dist="38100" dir="2700000" algn="tl" rotWithShape="0">
            <a:prstClr val="black">
              <a:alpha val="40000"/>
            </a:prstClr>
          </a:outerShdw>
        </a:effectLst>
      </xdr:spPr>
      <xdr:txBody>
        <a:bodyPr vertOverflow="clip" wrap="square" lIns="180000" tIns="180000" rIns="180000" bIns="180000" anchor="ctr" anchorCtr="0" upright="1">
          <a:spAutoFit/>
        </a:bodyPr>
        <a:lstStyle/>
        <a:p>
          <a:pPr algn="ctr" rtl="0">
            <a:lnSpc>
              <a:spcPts val="1500"/>
            </a:lnSpc>
            <a:defRPr sz="1000"/>
          </a:pPr>
          <a:r>
            <a:rPr lang="en-US" sz="900" b="1" i="0" u="none" strike="noStrike" baseline="0">
              <a:solidFill>
                <a:schemeClr val="accent1">
                  <a:lumMod val="20000"/>
                  <a:lumOff val="80000"/>
                </a:schemeClr>
              </a:solidFill>
              <a:latin typeface="+mn-lt"/>
              <a:cs typeface="Arial"/>
            </a:rPr>
            <a:t>On this sheet:</a:t>
          </a:r>
        </a:p>
        <a:p>
          <a:pPr algn="just" rtl="0">
            <a:lnSpc>
              <a:spcPts val="1500"/>
            </a:lnSpc>
            <a:defRPr sz="1000"/>
          </a:pPr>
          <a:r>
            <a:rPr lang="en-US" sz="1100" b="1" i="0" u="none" strike="noStrike" baseline="0">
              <a:solidFill>
                <a:schemeClr val="bg1"/>
              </a:solidFill>
              <a:latin typeface="+mn-lt"/>
              <a:cs typeface="Arial"/>
            </a:rPr>
            <a:t>Add a unique employee code for each employee and enter data into all the employee information columns (columns B to K). Each employee needs to be linked to an income tax table and income tax rebate code which is used in the automated income tax calculations. The number of medical aid members is used in the automated medical tax credit calculations. The basic monthly salary, annual bonus and salary increase amounts are used to automate the calculations on the Payroll sheet. The deduction rate columns on this sheet can be used to override the rates on the Setup sheet for a particular employee. There is no limit on the number of employees that can be added to the template but the template has been designed for businesses with 50 or less monthly paid employees and due to the complexity of the calculations, the calculation speed of the template could slow down considerably if more than 50 employees are added.</a:t>
          </a:r>
        </a:p>
      </xdr:txBody>
    </xdr:sp>
    <xdr:clientData fLocksWithSheet="0" fPrintsWithSheet="0"/>
  </xdr:oneCellAnchor>
</xdr:wsDr>
</file>

<file path=xl/drawings/drawing6.xml><?xml version="1.0" encoding="utf-8"?>
<xdr:wsDr xmlns:xdr="http://schemas.openxmlformats.org/drawingml/2006/spreadsheetDrawing" xmlns:a="http://schemas.openxmlformats.org/drawingml/2006/main">
  <xdr:oneCellAnchor>
    <xdr:from>
      <xdr:col>4</xdr:col>
      <xdr:colOff>96254</xdr:colOff>
      <xdr:row>12</xdr:row>
      <xdr:rowOff>40033</xdr:rowOff>
    </xdr:from>
    <xdr:ext cx="7403432" cy="1885342"/>
    <xdr:sp macro="" textlink="">
      <xdr:nvSpPr>
        <xdr:cNvPr id="3" name="Rectangle 17">
          <a:extLst>
            <a:ext uri="{FF2B5EF4-FFF2-40B4-BE49-F238E27FC236}">
              <a16:creationId xmlns:a16="http://schemas.microsoft.com/office/drawing/2014/main" id="{79FBA7EE-4B79-4F67-BD37-417899A9C029}"/>
            </a:ext>
          </a:extLst>
        </xdr:cNvPr>
        <xdr:cNvSpPr>
          <a:spLocks noChangeArrowheads="1"/>
        </xdr:cNvSpPr>
      </xdr:nvSpPr>
      <xdr:spPr bwMode="auto">
        <a:xfrm>
          <a:off x="5277854" y="2446349"/>
          <a:ext cx="7403432" cy="1885342"/>
        </a:xfrm>
        <a:prstGeom prst="rect">
          <a:avLst/>
        </a:prstGeom>
        <a:solidFill>
          <a:schemeClr val="accent1">
            <a:lumMod val="50000"/>
          </a:schemeClr>
        </a:solidFill>
        <a:ln w="9525">
          <a:noFill/>
          <a:miter lim="800000"/>
          <a:headEnd/>
          <a:tailEnd/>
        </a:ln>
        <a:effectLst>
          <a:outerShdw blurRad="50800" dist="38100" dir="2700000" algn="tl" rotWithShape="0">
            <a:prstClr val="black">
              <a:alpha val="40000"/>
            </a:prstClr>
          </a:outerShdw>
        </a:effectLst>
      </xdr:spPr>
      <xdr:txBody>
        <a:bodyPr vertOverflow="clip" wrap="square" lIns="180000" tIns="180000" rIns="180000" bIns="180000" anchor="ctr" anchorCtr="0" upright="1">
          <a:spAutoFit/>
        </a:bodyPr>
        <a:lstStyle/>
        <a:p>
          <a:pPr algn="ctr" rtl="0">
            <a:lnSpc>
              <a:spcPts val="1500"/>
            </a:lnSpc>
            <a:defRPr sz="1000"/>
          </a:pPr>
          <a:r>
            <a:rPr lang="en-US" sz="900" b="1" i="0" u="none" strike="noStrike" baseline="0">
              <a:solidFill>
                <a:schemeClr val="accent1">
                  <a:lumMod val="20000"/>
                  <a:lumOff val="80000"/>
                </a:schemeClr>
              </a:solidFill>
              <a:latin typeface="+mn-lt"/>
              <a:cs typeface="Arial"/>
            </a:rPr>
            <a:t>On this sheet:</a:t>
          </a:r>
        </a:p>
        <a:p>
          <a:pPr algn="just" rtl="0">
            <a:lnSpc>
              <a:spcPts val="1500"/>
            </a:lnSpc>
            <a:defRPr sz="1000"/>
          </a:pPr>
          <a:r>
            <a:rPr lang="en-US" sz="1100" b="1" i="0" u="none" strike="noStrike" baseline="0">
              <a:solidFill>
                <a:schemeClr val="bg1"/>
              </a:solidFill>
              <a:latin typeface="+mn-lt"/>
              <a:cs typeface="Arial"/>
            </a:rPr>
            <a:t>Monthly employee earnings values are included in the payroll calculations based on the monthly basic salaries, annual bonus and salary increase amounts which are specified on the Emp sheet. Monthly salary deductions are calculated based on total monthly earnings values. All the payroll calculations on this sheet are automated. All you need to do is to ensure that there are sufficient rows in the Excel table on this sheet as indicated by the sheet status in cell B4. All earnings amounts are based on the values specified on the Emp sheet and all deductions are calculated based on the default settings on the Setup sheet and the individual employee values on the Emp sheet.</a:t>
          </a:r>
        </a:p>
      </xdr:txBody>
    </xdr:sp>
    <xdr:clientData fLocksWithSheet="0" fPrintsWithSheet="0"/>
  </xdr:oneCellAnchor>
</xdr:wsDr>
</file>

<file path=xl/drawings/drawing7.xml><?xml version="1.0" encoding="utf-8"?>
<xdr:wsDr xmlns:xdr="http://schemas.openxmlformats.org/drawingml/2006/spreadsheetDrawing" xmlns:a="http://schemas.openxmlformats.org/drawingml/2006/main">
  <xdr:oneCellAnchor>
    <xdr:from>
      <xdr:col>0</xdr:col>
      <xdr:colOff>376990</xdr:colOff>
      <xdr:row>9</xdr:row>
      <xdr:rowOff>120097</xdr:rowOff>
    </xdr:from>
    <xdr:ext cx="7226968" cy="1500622"/>
    <xdr:sp macro="" textlink="">
      <xdr:nvSpPr>
        <xdr:cNvPr id="3" name="Rectangle 17">
          <a:extLst>
            <a:ext uri="{FF2B5EF4-FFF2-40B4-BE49-F238E27FC236}">
              <a16:creationId xmlns:a16="http://schemas.microsoft.com/office/drawing/2014/main" id="{6DD8255D-FFFD-43BA-BFC2-3DA66C28C6E2}"/>
            </a:ext>
          </a:extLst>
        </xdr:cNvPr>
        <xdr:cNvSpPr>
          <a:spLocks noChangeArrowheads="1"/>
        </xdr:cNvSpPr>
      </xdr:nvSpPr>
      <xdr:spPr bwMode="auto">
        <a:xfrm>
          <a:off x="376990" y="2061192"/>
          <a:ext cx="7226968" cy="1500622"/>
        </a:xfrm>
        <a:prstGeom prst="rect">
          <a:avLst/>
        </a:prstGeom>
        <a:solidFill>
          <a:schemeClr val="accent1">
            <a:lumMod val="50000"/>
          </a:schemeClr>
        </a:solidFill>
        <a:ln w="9525">
          <a:noFill/>
          <a:miter lim="800000"/>
          <a:headEnd/>
          <a:tailEnd/>
        </a:ln>
        <a:effectLst>
          <a:outerShdw blurRad="50800" dist="38100" dir="2700000" algn="tl" rotWithShape="0">
            <a:prstClr val="black">
              <a:alpha val="40000"/>
            </a:prstClr>
          </a:outerShdw>
        </a:effectLst>
      </xdr:spPr>
      <xdr:txBody>
        <a:bodyPr vertOverflow="clip" wrap="square" lIns="180000" tIns="180000" rIns="180000" bIns="180000" anchor="ctr" anchorCtr="0" upright="1">
          <a:spAutoFit/>
        </a:bodyPr>
        <a:lstStyle/>
        <a:p>
          <a:pPr algn="ctr" rtl="0">
            <a:lnSpc>
              <a:spcPts val="1500"/>
            </a:lnSpc>
            <a:defRPr sz="1000"/>
          </a:pPr>
          <a:r>
            <a:rPr lang="en-US" sz="900" b="1" i="0" u="none" strike="noStrike" baseline="0">
              <a:solidFill>
                <a:schemeClr val="accent1">
                  <a:lumMod val="20000"/>
                  <a:lumOff val="80000"/>
                </a:schemeClr>
              </a:solidFill>
              <a:latin typeface="+mn-lt"/>
              <a:cs typeface="Arial"/>
            </a:rPr>
            <a:t>On this sheet:</a:t>
          </a:r>
        </a:p>
        <a:p>
          <a:pPr algn="just" rtl="0">
            <a:lnSpc>
              <a:spcPts val="1500"/>
            </a:lnSpc>
            <a:defRPr sz="1000"/>
          </a:pPr>
          <a:r>
            <a:rPr lang="en-US" sz="1100" b="1" i="0" u="none" strike="noStrike" baseline="0">
              <a:solidFill>
                <a:schemeClr val="bg1"/>
              </a:solidFill>
              <a:latin typeface="+mn-lt"/>
              <a:cs typeface="Arial"/>
            </a:rPr>
            <a:t>Monthly payroll values are calculated based on the monthly basic salaries which are specified on the Emp sheet. If you need to add ad hoc values to any month or if you want to override the default earnings or deduction values which are automatically calculated, you can do so by adding the approrpiate items to this sheet. You can override values for a single month or you can set the override end date in order to override values for multiple periods or until the end of the tax year.</a:t>
          </a:r>
        </a:p>
      </xdr:txBody>
    </xdr:sp>
    <xdr:clientData fLocksWithSheet="0" fPrintsWithSheet="0"/>
  </xdr:oneCellAnchor>
</xdr:wsDr>
</file>

<file path=xl/drawings/drawing8.xml><?xml version="1.0" encoding="utf-8"?>
<xdr:wsDr xmlns:xdr="http://schemas.openxmlformats.org/drawingml/2006/spreadsheetDrawing" xmlns:a="http://schemas.openxmlformats.org/drawingml/2006/main">
  <xdr:oneCellAnchor>
    <xdr:from>
      <xdr:col>1</xdr:col>
      <xdr:colOff>344905</xdr:colOff>
      <xdr:row>18</xdr:row>
      <xdr:rowOff>103911</xdr:rowOff>
    </xdr:from>
    <xdr:ext cx="5670884" cy="1115901"/>
    <xdr:sp macro="" textlink="">
      <xdr:nvSpPr>
        <xdr:cNvPr id="3" name="Rectangle 17">
          <a:extLst>
            <a:ext uri="{FF2B5EF4-FFF2-40B4-BE49-F238E27FC236}">
              <a16:creationId xmlns:a16="http://schemas.microsoft.com/office/drawing/2014/main" id="{4B2813C0-82B4-4DC5-802A-DAA89495FB1F}"/>
            </a:ext>
          </a:extLst>
        </xdr:cNvPr>
        <xdr:cNvSpPr>
          <a:spLocks noChangeArrowheads="1"/>
        </xdr:cNvSpPr>
      </xdr:nvSpPr>
      <xdr:spPr bwMode="auto">
        <a:xfrm>
          <a:off x="1074821" y="3625153"/>
          <a:ext cx="5670884" cy="1115901"/>
        </a:xfrm>
        <a:prstGeom prst="rect">
          <a:avLst/>
        </a:prstGeom>
        <a:solidFill>
          <a:schemeClr val="accent1">
            <a:lumMod val="50000"/>
          </a:schemeClr>
        </a:solidFill>
        <a:ln w="9525">
          <a:noFill/>
          <a:miter lim="800000"/>
          <a:headEnd/>
          <a:tailEnd/>
        </a:ln>
        <a:effectLst>
          <a:outerShdw blurRad="50800" dist="38100" dir="2700000" algn="tl" rotWithShape="0">
            <a:prstClr val="black">
              <a:alpha val="40000"/>
            </a:prstClr>
          </a:outerShdw>
        </a:effectLst>
      </xdr:spPr>
      <xdr:txBody>
        <a:bodyPr vertOverflow="clip" wrap="square" lIns="180000" tIns="180000" rIns="180000" bIns="180000" anchor="ctr" anchorCtr="0" upright="1">
          <a:spAutoFit/>
        </a:bodyPr>
        <a:lstStyle/>
        <a:p>
          <a:pPr algn="ctr" rtl="0">
            <a:lnSpc>
              <a:spcPts val="1500"/>
            </a:lnSpc>
            <a:defRPr sz="1000"/>
          </a:pPr>
          <a:r>
            <a:rPr lang="en-US" sz="900" b="1" i="0" u="none" strike="noStrike" baseline="0">
              <a:solidFill>
                <a:schemeClr val="accent1">
                  <a:lumMod val="20000"/>
                  <a:lumOff val="80000"/>
                </a:schemeClr>
              </a:solidFill>
              <a:latin typeface="+mn-lt"/>
              <a:cs typeface="Arial"/>
            </a:rPr>
            <a:t>On this sheet:</a:t>
          </a:r>
        </a:p>
        <a:p>
          <a:pPr algn="just" rtl="0">
            <a:lnSpc>
              <a:spcPts val="1500"/>
            </a:lnSpc>
            <a:defRPr sz="1000"/>
          </a:pPr>
          <a:r>
            <a:rPr lang="en-US" sz="1100" b="1" i="0" u="none" strike="noStrike" baseline="0">
              <a:solidFill>
                <a:schemeClr val="bg1"/>
              </a:solidFill>
              <a:latin typeface="+mn-lt"/>
              <a:cs typeface="Arial"/>
            </a:rPr>
            <a:t>This sheet contains an automated monthly pay slip. All the calculations on this sheet are automated and you only need to select the appropriate pay slip number in cell G3 in order to view the appropriate pay slip.</a:t>
          </a:r>
        </a:p>
      </xdr:txBody>
    </xdr:sp>
    <xdr:clientData fLocksWithSheet="0" fPrintsWithSheet="0"/>
  </xdr:oneCellAnchor>
</xdr:wsDr>
</file>

<file path=xl/drawings/drawing9.xml><?xml version="1.0" encoding="utf-8"?>
<xdr:wsDr xmlns:xdr="http://schemas.openxmlformats.org/drawingml/2006/spreadsheetDrawing" xmlns:a="http://schemas.openxmlformats.org/drawingml/2006/main">
  <xdr:oneCellAnchor>
    <xdr:from>
      <xdr:col>1</xdr:col>
      <xdr:colOff>601579</xdr:colOff>
      <xdr:row>17</xdr:row>
      <xdr:rowOff>87943</xdr:rowOff>
    </xdr:from>
    <xdr:ext cx="6609347" cy="1308261"/>
    <xdr:sp macro="" textlink="">
      <xdr:nvSpPr>
        <xdr:cNvPr id="3" name="Rectangle 17">
          <a:extLst>
            <a:ext uri="{FF2B5EF4-FFF2-40B4-BE49-F238E27FC236}">
              <a16:creationId xmlns:a16="http://schemas.microsoft.com/office/drawing/2014/main" id="{BA39D36F-45EB-4CCA-AF39-C248CE847435}"/>
            </a:ext>
          </a:extLst>
        </xdr:cNvPr>
        <xdr:cNvSpPr>
          <a:spLocks noChangeArrowheads="1"/>
        </xdr:cNvSpPr>
      </xdr:nvSpPr>
      <xdr:spPr bwMode="auto">
        <a:xfrm>
          <a:off x="1604211" y="3472827"/>
          <a:ext cx="6609347" cy="1308261"/>
        </a:xfrm>
        <a:prstGeom prst="rect">
          <a:avLst/>
        </a:prstGeom>
        <a:solidFill>
          <a:schemeClr val="accent1">
            <a:lumMod val="50000"/>
          </a:schemeClr>
        </a:solidFill>
        <a:ln w="9525">
          <a:noFill/>
          <a:miter lim="800000"/>
          <a:headEnd/>
          <a:tailEnd/>
        </a:ln>
        <a:effectLst>
          <a:outerShdw blurRad="50800" dist="38100" dir="2700000" algn="tl" rotWithShape="0">
            <a:prstClr val="black">
              <a:alpha val="40000"/>
            </a:prstClr>
          </a:outerShdw>
        </a:effectLst>
      </xdr:spPr>
      <xdr:txBody>
        <a:bodyPr vertOverflow="clip" wrap="square" lIns="180000" tIns="180000" rIns="180000" bIns="180000" anchor="ctr" anchorCtr="0" upright="1">
          <a:spAutoFit/>
        </a:bodyPr>
        <a:lstStyle/>
        <a:p>
          <a:pPr algn="ctr" rtl="0">
            <a:lnSpc>
              <a:spcPts val="1500"/>
            </a:lnSpc>
            <a:defRPr sz="1000"/>
          </a:pPr>
          <a:r>
            <a:rPr lang="en-US" sz="900" b="1" i="0" u="none" strike="noStrike" baseline="0">
              <a:solidFill>
                <a:schemeClr val="accent1">
                  <a:lumMod val="20000"/>
                  <a:lumOff val="80000"/>
                </a:schemeClr>
              </a:solidFill>
              <a:latin typeface="+mn-lt"/>
              <a:cs typeface="Arial"/>
            </a:rPr>
            <a:t>On this sheet:</a:t>
          </a:r>
        </a:p>
        <a:p>
          <a:pPr algn="just" rtl="0">
            <a:lnSpc>
              <a:spcPts val="1500"/>
            </a:lnSpc>
            <a:defRPr sz="1000"/>
          </a:pPr>
          <a:r>
            <a:rPr lang="en-US" sz="1100" b="1" i="0" u="none" strike="noStrike" baseline="0">
              <a:solidFill>
                <a:schemeClr val="bg1"/>
              </a:solidFill>
              <a:latin typeface="+mn-lt"/>
              <a:cs typeface="Arial"/>
            </a:rPr>
            <a:t>This sheet contains a summary of all the monthly payroll amounts which have been calculated on the Payroll sheet. The sheet requires no user input and the data can even be filtered by department or individual employee by selecting the appropriate entries from the yellow cells at the top of the sheet.</a:t>
          </a:r>
        </a:p>
      </xdr:txBody>
    </xdr:sp>
    <xdr:clientData fLocksWithSheet="0" fPrintsWithSheet="0"/>
  </xdr:one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Employees" displayName="Employees" ref="A4:V19" totalsRowShown="0" headerRowDxfId="274" dataDxfId="272" headerRowBorderDxfId="273">
  <autoFilter ref="A4:V19" xr:uid="{00000000-0009-0000-0100-000001000000}"/>
  <sortState xmlns:xlrd2="http://schemas.microsoft.com/office/spreadsheetml/2017/richdata2" ref="A5:T19">
    <sortCondition ref="A4:A19"/>
  </sortState>
  <tableColumns count="22">
    <tableColumn id="9" xr3:uid="{00000000-0010-0000-0000-000009000000}" name="Employee Number" dataDxfId="271"/>
    <tableColumn id="1" xr3:uid="{00000000-0010-0000-0000-000001000000}" name="Employee Name" dataDxfId="270"/>
    <tableColumn id="11" xr3:uid="{00000000-0010-0000-0000-00000B000000}" name="Dept" dataDxfId="269"/>
    <tableColumn id="2" xr3:uid="{00000000-0010-0000-0000-000002000000}" name="Date Employed" dataDxfId="268"/>
    <tableColumn id="23" xr3:uid="{00000000-0010-0000-0000-000017000000}" name="1st Payment Date" dataDxfId="267" dataCellStyle="Comma"/>
    <tableColumn id="8" xr3:uid="{00000000-0010-0000-0000-000008000000}" name="Date Terminated" dataDxfId="266" dataCellStyle="Comma"/>
    <tableColumn id="25" xr3:uid="{00000000-0010-0000-0000-000019000000}" name="Pay Period Override" dataDxfId="265" dataCellStyle="Comma"/>
    <tableColumn id="3" xr3:uid="{00000000-0010-0000-0000-000003000000}" name="Job Title" dataDxfId="264"/>
    <tableColumn id="7" xr3:uid="{00000000-0010-0000-0000-000007000000}" name="ID Number" dataDxfId="263"/>
    <tableColumn id="4" xr3:uid="{00000000-0010-0000-0000-000004000000}" name="Income Tax Number" dataDxfId="262"/>
    <tableColumn id="10" xr3:uid="{00000000-0010-0000-0000-00000A000000}" name="Residential Address" dataDxfId="261"/>
    <tableColumn id="20" xr3:uid="{00000000-0010-0000-0000-000014000000}" name="IT Rebate Code" dataDxfId="260" dataCellStyle="Comma"/>
    <tableColumn id="5" xr3:uid="{00000000-0010-0000-0000-000005000000}" name="Income Tax Rate" dataDxfId="259" dataCellStyle="Percent"/>
    <tableColumn id="12" xr3:uid="{00000000-0010-0000-0000-00000C000000}" name="Medical Aid Members" dataDxfId="258" dataCellStyle="Percent"/>
    <tableColumn id="16" xr3:uid="{5F77A3FE-B01E-4306-B71C-6826066D71AC}" name="Basic Monthly Salary" dataDxfId="257" dataCellStyle="Comma"/>
    <tableColumn id="15" xr3:uid="{A499A0E1-249D-45A9-9F02-5423FD4F3EED}" name="Annual Bonus Amount" dataDxfId="256" dataCellStyle="Comma"/>
    <tableColumn id="14" xr3:uid="{AD7676B9-5907-499E-AE61-479F203E0F06}" name="One Increase Amount" dataDxfId="255" dataCellStyle="Comma"/>
    <tableColumn id="6" xr3:uid="{00000000-0010-0000-0000-000006000000}" name="Deduction 1 Rate" dataDxfId="254" dataCellStyle="Percent"/>
    <tableColumn id="17" xr3:uid="{00000000-0010-0000-0000-000011000000}" name="Deduction 2 Rate" dataDxfId="253" dataCellStyle="Percent"/>
    <tableColumn id="22" xr3:uid="{00000000-0010-0000-0000-000016000000}" name="Deduction 3 Rate" dataDxfId="252" dataCellStyle="Comma"/>
    <tableColumn id="18" xr3:uid="{11333D67-6298-4E09-A6C6-0C7657BBCB20}" name="Deduction 4 Rate" dataDxfId="251" dataCellStyle="Comma"/>
    <tableColumn id="13" xr3:uid="{AAE7880A-3A42-4FB3-9F26-91905A347479}" name="Period Count" dataDxfId="250" dataCellStyle="Comma">
      <calculatedColumnFormula>COUNTIFS(PayEmp,$A5)</calculatedColumnFormula>
    </tableColumn>
  </tableColumns>
  <tableStyleInfo name="TableStyleLight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Payroll" displayName="Payroll" ref="A6:BE246" headerRowDxfId="248" dataDxfId="246" totalsRowDxfId="245" headerRowBorderDxfId="247">
  <autoFilter ref="A6:BE246" xr:uid="{00000000-0009-0000-0100-000002000000}"/>
  <tableColumns count="57">
    <tableColumn id="10" xr3:uid="{00000000-0010-0000-0100-00000A000000}" name="Pay Slip Reference No" dataDxfId="244" totalsRowDxfId="243">
      <calculatedColumnFormula array="1">IF(ROW($A7)-ROW($A$6)&gt;EmpCount*12,"-",TEXT($B7,"yyyy")&amp;TEXT($B7,"mm")&amp;"-"&amp;$C7)</calculatedColumnFormula>
    </tableColumn>
    <tableColumn id="1" xr3:uid="{00000000-0010-0000-0100-000001000000}" name="Payment Run Date" dataDxfId="242">
      <calculatedColumnFormula array="1">IF(ROW($A7)-ROW($A$6)&gt;EmpCount*12,Setup!$D$12,DATE(YEAR(Setup!$F$12),MONTH(Setup!$F$12)+ROUNDDOWN((ROW($A7)-ROW($A$6)-1)/EmpCount,0),IF(Setup!$C$14&gt;DAY(DATE(YEAR(Setup!$F$12),MONTH(Setup!$F$12)+ROUNDDOWN((ROW($A7)-ROW($A$6)-1)/EmpCount,0)+1,0)),DAY(DATE(YEAR(Setup!$F$12),MONTH(Setup!$F$12)+ROUNDDOWN((ROW($A7)-ROW($A$6)-1)/EmpCount,0)+1,0)),Setup!$C$14)))</calculatedColumnFormula>
    </tableColumn>
    <tableColumn id="11" xr3:uid="{00000000-0010-0000-0100-00000B000000}" name="Employee Number" dataDxfId="241">
      <calculatedColumnFormula array="1">IF(ROW($A7)-ROW($A$6)&gt;EmpCount*12,"-",OFFSET(Emp!$A$4,ROW($A7)-ROW($A$6)-IF(ROW($A7)-ROW($A$6)&gt;EmpCount,ROUNDDOWN((ROW($A7)-ROW($A$6)-1)/EmpCount,0)*EmpCount,0),0,1,1))</calculatedColumnFormula>
    </tableColumn>
    <tableColumn id="2" xr3:uid="{00000000-0010-0000-0100-000002000000}" name="Employee Name" dataDxfId="240" totalsRowDxfId="239">
      <calculatedColumnFormula>IF(ISNA(VLOOKUP($C7,EmpAll,COLUMN(Emp!$B$4),0)),"-",VLOOKUP($C7,EmpAll,COLUMN(Emp!$B$4),0))</calculatedColumnFormula>
    </tableColumn>
    <tableColumn id="61" xr3:uid="{00000000-0010-0000-0100-00003D000000}" name="Dept" dataDxfId="238" totalsRowDxfId="237" dataCellStyle="Comma">
      <calculatedColumnFormula>IF(ISNA(VLOOKUP($C7,EmpAll,COLUMN(Emp!$C$4),0)),"-",VLOOKUP($C7,EmpAll,COLUMN(Emp!$C$4),0))</calculatedColumnFormula>
    </tableColumn>
    <tableColumn id="28" xr3:uid="{00000000-0010-0000-0100-00001C000000}" name="Status" dataDxfId="236" totalsRowDxfId="235">
      <calculatedColumnFormula>IF(ISNA(VLOOKUP($C7,EmpAll,COLUMN(Emp!$A$4),0)),"-",IF(AND(VLOOKUP($C7,EmpAll,COLUMN(Emp!$E$4),0)&lt;&gt;0,VLOOKUP($C7,EmpAll,COLUMN(Emp!$E$4),0)&gt;=DATE(YEAR($AC7),MONTH($AC7)+1,0)),"Inactive",IF(AND(VLOOKUP($C7,EmpAll,COLUMN(Emp!$F$4),0)&lt;&gt;0,VLOOKUP($C7,EmpAll,COLUMN(Emp!$F$4),0)&lt;=DATE(YEAR($AC7),MONTH($AC7),0)),"Terminated","Active")))</calculatedColumnFormula>
    </tableColumn>
    <tableColumn id="3" xr3:uid="{00000000-0010-0000-0100-000003000000}" name="Earnings1" totalsRowFunction="sum" dataDxfId="234" totalsRowDxfId="233" dataCellStyle="Comma">
      <calculatedColumnFormula array="1">IF($F7&lt;&gt;"Active",0,IF(COUNTIFS(OverEmp,$C7,OverEarn,G$2,OverDate,"&lt;"&amp;DATE(YEAR($AC7),MONTH($AC7)+1,1),OverEnd,"&gt;="&amp;DATE(YEAR($AC7),MONTH($AC7),1))&gt;0,SUMIFS(OverValue,OverEmp,$C7,OverEarn,G$2,OverDate,"&lt;"&amp;DATE(YEAR($AC7),MONTH($AC7)+1,1),OverEnd,"&gt;="&amp;DATE(YEAR($AC7),MONTH($AC7),1)),IF(AND($AC7&gt;=Setup!$E$10,SUMIFS(EmpIncrease,EmpCode,$C7)&gt;0),SUMIFS(EmpIncrease,EmpCode,$C7),SUMIFS(EmpSalary,EmpCode,$C7))))</calculatedColumnFormula>
    </tableColumn>
    <tableColumn id="25" xr3:uid="{00000000-0010-0000-0100-000019000000}" name="Earnings2" totalsRowFunction="sum" dataDxfId="232" totalsRowDxfId="231" dataCellStyle="Comma">
      <calculatedColumnFormula array="1">IF($F7&lt;&gt;"Active",0,IF(COUNTIFS(OverEmp,$C7,OverEarn,H$2,OverDate,"&lt;"&amp;DATE(YEAR($AC7),MONTH($AC7)+1,1),OverEnd,"&gt;="&amp;DATE(YEAR($AC7),MONTH($AC7),1))&gt;0,SUMIFS(OverValue,OverEmp,$C7,OverEarn,H$2,OverDate,"&lt;"&amp;DATE(YEAR($AC7),MONTH($AC7)+1,1),OverEnd,"&gt;="&amp;DATE(YEAR($AC7),MONTH($AC7),1)),0))</calculatedColumnFormula>
    </tableColumn>
    <tableColumn id="19" xr3:uid="{00000000-0010-0000-0100-000013000000}" name="Earnings3" totalsRowFunction="sum" dataDxfId="230" totalsRowDxfId="229" dataCellStyle="Comma">
      <calculatedColumnFormula array="1">IF($F7&lt;&gt;"Active",0,IF(COUNTIFS(OverEmp,$C7,OverEarn,I$2,OverDate,"&lt;"&amp;DATE(YEAR($AC7),MONTH($AC7)+1,1),OverEnd,"&gt;="&amp;DATE(YEAR($AC7),MONTH($AC7),1))&gt;0,SUMIFS(OverValue,OverEmp,$C7,OverEarn,I$2,OverDate,"&lt;"&amp;DATE(YEAR($AC7),MONTH($AC7)+1,1),OverEnd,"&gt;="&amp;DATE(YEAR($AC7),MONTH($AC7),1)),IF(MONTH(B7)=Setup!$C$15,SUMIFS(EmpBonus,EmpCode,$C7),0)))</calculatedColumnFormula>
    </tableColumn>
    <tableColumn id="40" xr3:uid="{00000000-0010-0000-0100-000028000000}" name="Earnings4" dataDxfId="228" totalsRowDxfId="227" dataCellStyle="Comma">
      <calculatedColumnFormula array="1">IF($F7&lt;&gt;"Active",0,IF(COUNTIFS(OverEmp,$C7,OverEarn,J$2,OverDate,"&lt;"&amp;DATE(YEAR($AC7),MONTH($AC7)+1,1),OverEnd,"&gt;="&amp;DATE(YEAR($AC7),MONTH($AC7),1))&gt;0,SUMIFS(OverValue,OverEmp,$C7,OverEarn,J$2,OverDate,"&lt;"&amp;DATE(YEAR($AC7),MONTH($AC7)+1,1),OverEnd,"&gt;="&amp;DATE(YEAR($AC7),MONTH($AC7),1)),0))</calculatedColumnFormula>
    </tableColumn>
    <tableColumn id="17" xr3:uid="{16CEA700-6917-40A0-97A7-563343ABAFAC}" name="Earnings5" dataDxfId="226" totalsRowDxfId="225" dataCellStyle="Comma">
      <calculatedColumnFormula array="1">IF($F7&lt;&gt;"Active",0,IF(COUNTIFS(OverEmp,$C7,OverEarn,K$2,OverDate,"&lt;"&amp;DATE(YEAR($AC7),MONTH($AC7)+1,1),OverEnd,"&gt;="&amp;DATE(YEAR($AC7),MONTH($AC7),1))&gt;0,SUMIFS(OverValue,OverEmp,$C7,OverEarn,K$2,OverDate,"&lt;"&amp;DATE(YEAR($AC7),MONTH($AC7)+1,1),OverEnd,"&gt;="&amp;DATE(YEAR($AC7),MONTH($AC7),1)),0))</calculatedColumnFormula>
    </tableColumn>
    <tableColumn id="18" xr3:uid="{00000000-0010-0000-0100-000012000000}" name="Gross Pay" totalsRowFunction="sum" dataDxfId="224" totalsRowDxfId="223" dataCellStyle="Comma">
      <calculatedColumnFormula>IF($AA7=0,0,SUM(OFFSET($G7,0,0,1,COLUMN($L$6)-COLUMN($G$6))))</calculatedColumnFormula>
    </tableColumn>
    <tableColumn id="4" xr3:uid="{00000000-0010-0000-0100-000004000000}" name="Income Tax (PAYE)" totalsRowFunction="sum" dataDxfId="222" totalsRowDxfId="221" dataCellStyle="Comma">
      <calculatedColumnFormula array="1">IF(COUNTIFS(OverEmp,$C7,OverTax,M$5,OverDate,"&lt;"&amp;DATE(YEAR($AC7),MONTH($AC7)+1,1),OverEnd,"&gt;="&amp;DATE(YEAR($AC7),MONTH($AC7),1))&gt;0,SUMIFS(OverValue,OverEmp,$C7,OverTax,M$5,OverDate,"&lt;"&amp;DATE(YEAR($AC7),MONTH($AC7)+1,1),OverEnd,"&gt;="&amp;DATE(YEAR($AC7),MONTH($AC7),1)),(($BA7/12*$AA7)+(BB7*IF(1-$BC7=0,0,BD7/(1-$BC7))))-IF($F7="Terminated",0,SUMIFS(PayTaxDeduct,PayDate,"&lt;"&amp;$AC7,PayEmp,$C7)))</calculatedColumnFormula>
    </tableColumn>
    <tableColumn id="7" xr3:uid="{00000000-0010-0000-0100-000007000000}" name="Deduct1" totalsRowFunction="sum" dataDxfId="220" totalsRowDxfId="219" dataCellStyle="Comma">
      <calculatedColumnFormula array="1">IF($F7="Terminated",0,IF($AA7=0,0,IF(ISNA(MATCH(N$5,DedListItem,0)),0,IF(COUNTIFS(OverEmp,$C7,OverDeduct,N$5,OverDate,"&lt;"&amp;DATE(YEAR($AC7),MONTH($AC7)+1,1),OverEnd,"&gt;="&amp;DATE(YEAR($AC7),MONTH($AC7),1))&gt;0,SUMIFS(OverValue,OverEmp,$C7,OverDeduct,N$5,OverDate,"&lt;"&amp;DATE(YEAR($AC7),MONTH($AC7)+1,1),OverEnd,"&gt;="&amp;DATE(YEAR($AC7),MONTH($AC7),1)),IF(OR(N$2="Fixed",N$2="Not Used"),(IF(COUNTIFS(EmpNo,$C7,OFFSET(Emp!$R$4,1,MATCH(N$5,DedListItem,0)-1,EmpCount,1),"&lt;&gt;")&gt;0,VLOOKUP($C7,EmpAll,COLUMN(Emp!$R$4)+MATCH(N$5,DedListItem,0)-1,0),OFFSET(Setup!$E$73,MATCH(N$5,DedListItem,0),0,1,1))*$AA7)-SUMIFS(OFFSET(N$6,1,0,PayCount,1),PayDate,"&lt;"&amp;$AC7,PayEmp,$C7),IF(ISNA(MATCH(N$2,EarnListItem,0))=FALSE,IF(OFFSET(Setup!$G$73,MATCH(N$5,DedListItem,0),0,1,1)="Taxable",SUMPRODUCT((PayEmp=$C7)*(PayDate&lt;=$AC7)*(PayEarnCode=N$2)*(PayEarnTax)*(PayEarnValues)),SUMPRODUCT((PayEmp=$C7)*(PayDate&lt;=$AC7)*(PayEarnCode=N$2)*(PayEarnValues)))*IF(COUNTIFS(EmpNo,$C7,OFFSET(Emp!$R$4,1,MATCH(N$5,DedListItem,0)-1,EmpCount,1),"&lt;&gt;")&gt;0,VLOOKUP($C7,EmpAll,COLUMN(Emp!$R$4)+MATCH(N$5,DedListItem,0)-1,0),OFFSET(Setup!$E$73,MATCH(N$5,DedListItem,0),0,1,1)),(MIN(IF(OFFSET(Setup!$G$73,MATCH(N$5,DedListItem,0),0,1,1)="Taxable",SUMPRODUCT((PayEmp=$C7)*(PayDate&lt;=$AC7)*(ISERROR(SEARCH(PayEarnCode,N$4)))*(PayEarnTax)*(PayEarnValues)),SUMPRODUCT((PayEmp=$C7)*(PayDate&lt;=$AC7)*(ISERROR(SEARCH(PayEarnCode,N$4)))*(PayEarnValues))),IF(ISNUMBER(N$3),N$3/12*$AA7,IgnoreMin)))*IF(COUNTIFS(EmpNo,$C7,OFFSET(Emp!$R$4,1,MATCH(N$5,DedListItem,0)-1,EmpCount,1),"&lt;&gt;")&gt;0,VLOOKUP($C7,EmpAll,COLUMN(Emp!$R$4)+MATCH(N$5,DedListItem,0)-1,0),OFFSET(Setup!$E$73,MATCH(N$5,DedListItem,0),0,1,1)))-SUMIFS(OFFSET(N$6,1,0,PayCount,1),PayDate,"&lt;"&amp;$AC7,PayEmp,$C7))))))</calculatedColumnFormula>
    </tableColumn>
    <tableColumn id="33" xr3:uid="{00000000-0010-0000-0100-000021000000}" name="Deduct2" totalsRowFunction="sum" dataDxfId="218" totalsRowDxfId="217" dataCellStyle="Comma">
      <calculatedColumnFormula array="1">IF($F7="Terminated",0,IF($AA7=0,0,IF(ISNA(MATCH(O$5,DedListItem,0)),0,IF(COUNTIFS(OverEmp,$C7,OverDeduct,O$5,OverDate,"&lt;"&amp;DATE(YEAR($AC7),MONTH($AC7)+1,1),OverEnd,"&gt;="&amp;DATE(YEAR($AC7),MONTH($AC7),1))&gt;0,SUMIFS(OverValue,OverEmp,$C7,OverDeduct,O$5,OverDate,"&lt;"&amp;DATE(YEAR($AC7),MONTH($AC7)+1,1),OverEnd,"&gt;="&amp;DATE(YEAR($AC7),MONTH($AC7),1)),IF(OR(O$2="Fixed",O$2="Not Used"),(IF(COUNTIFS(EmpNo,$C7,OFFSET(Emp!$R$4,1,MATCH(O$5,DedListItem,0)-1,EmpCount,1),"&lt;&gt;")&gt;0,VLOOKUP($C7,EmpAll,COLUMN(Emp!$R$4)+MATCH(O$5,DedListItem,0)-1,0),OFFSET(Setup!$E$73,MATCH(O$5,DedListItem,0),0,1,1))*$AA7)-SUMIFS(OFFSET(O$6,1,0,PayCount,1),PayDate,"&lt;"&amp;$AC7,PayEmp,$C7),IF(ISNA(MATCH(O$2,EarnListItem,0))=FALSE,IF(OFFSET(Setup!$G$73,MATCH(O$5,DedListItem,0),0,1,1)="Taxable",SUMPRODUCT((PayEmp=$C7)*(PayDate&lt;=$AC7)*(PayEarnCode=O$2)*(PayEarnTax)*(PayEarnValues)),SUMPRODUCT((PayEmp=$C7)*(PayDate&lt;=$AC7)*(PayEarnCode=O$2)*(PayEarnValues)))*IF(COUNTIFS(EmpNo,$C7,OFFSET(Emp!$R$4,1,MATCH(O$5,DedListItem,0)-1,EmpCount,1),"&lt;&gt;")&gt;0,VLOOKUP($C7,EmpAll,COLUMN(Emp!$R$4)+MATCH(O$5,DedListItem,0)-1,0),OFFSET(Setup!$E$73,MATCH(O$5,DedListItem,0),0,1,1)),(MIN(IF(OFFSET(Setup!$G$73,MATCH(O$5,DedListItem,0),0,1,1)="Taxable",SUMPRODUCT((PayEmp=$C7)*(PayDate&lt;=$AC7)*(ISERROR(SEARCH(PayEarnCode,O$4)))*(PayEarnTax)*(PayEarnValues)),SUMPRODUCT((PayEmp=$C7)*(PayDate&lt;=$AC7)*(ISERROR(SEARCH(PayEarnCode,O$4)))*(PayEarnValues))),IF(ISNUMBER(O$3),O$3/12*$AA7,IgnoreMin)))*IF(COUNTIFS(EmpNo,$C7,OFFSET(Emp!$R$4,1,MATCH(O$5,DedListItem,0)-1,EmpCount,1),"&lt;&gt;")&gt;0,VLOOKUP($C7,EmpAll,COLUMN(Emp!$R$4)+MATCH(O$5,DedListItem,0)-1,0),OFFSET(Setup!$E$73,MATCH(O$5,DedListItem,0),0,1,1)))-SUMIFS(OFFSET(O$6,1,0,PayCount,1),PayDate,"&lt;"&amp;$AC7,PayEmp,$C7))))))</calculatedColumnFormula>
    </tableColumn>
    <tableColumn id="50" xr3:uid="{00000000-0010-0000-0100-000032000000}" name="Deduct3" dataDxfId="216" totalsRowDxfId="215" dataCellStyle="Comma">
      <calculatedColumnFormula array="1">IF($F7="Terminated",0,IF($AA7=0,0,IF(ISNA(MATCH(P$5,DedListItem,0)),0,IF(COUNTIFS(OverEmp,$C7,OverDeduct,P$5,OverDate,"&lt;"&amp;DATE(YEAR($AC7),MONTH($AC7)+1,1),OverEnd,"&gt;="&amp;DATE(YEAR($AC7),MONTH($AC7),1))&gt;0,SUMIFS(OverValue,OverEmp,$C7,OverDeduct,P$5,OverDate,"&lt;"&amp;DATE(YEAR($AC7),MONTH($AC7)+1,1),OverEnd,"&gt;="&amp;DATE(YEAR($AC7),MONTH($AC7),1)),IF(OR(P$2="Fixed",P$2="Not Used"),(IF(COUNTIFS(EmpNo,$C7,OFFSET(Emp!$R$4,1,MATCH(P$5,DedListItem,0)-1,EmpCount,1),"&lt;&gt;")&gt;0,VLOOKUP($C7,EmpAll,COLUMN(Emp!$R$4)+MATCH(P$5,DedListItem,0)-1,0),OFFSET(Setup!$E$73,MATCH(P$5,DedListItem,0),0,1,1))*$AA7)-SUMIFS(OFFSET(P$6,1,0,PayCount,1),PayDate,"&lt;"&amp;$AC7,PayEmp,$C7),IF(ISNA(MATCH(P$2,EarnListItem,0))=FALSE,IF(OFFSET(Setup!$G$73,MATCH(P$5,DedListItem,0),0,1,1)="Taxable",SUMPRODUCT((PayEmp=$C7)*(PayDate&lt;=$AC7)*(PayEarnCode=P$2)*(PayEarnTax)*(PayEarnValues)),SUMPRODUCT((PayEmp=$C7)*(PayDate&lt;=$AC7)*(PayEarnCode=P$2)*(PayEarnValues)))*IF(COUNTIFS(EmpNo,$C7,OFFSET(Emp!$R$4,1,MATCH(P$5,DedListItem,0)-1,EmpCount,1),"&lt;&gt;")&gt;0,VLOOKUP($C7,EmpAll,COLUMN(Emp!$R$4)+MATCH(P$5,DedListItem,0)-1,0),OFFSET(Setup!$E$73,MATCH(P$5,DedListItem,0),0,1,1)),(MIN(IF(OFFSET(Setup!$G$73,MATCH(P$5,DedListItem,0),0,1,1)="Taxable",SUMPRODUCT((PayEmp=$C7)*(PayDate&lt;=$AC7)*(ISERROR(SEARCH(PayEarnCode,P$4)))*(PayEarnTax)*(PayEarnValues)),SUMPRODUCT((PayEmp=$C7)*(PayDate&lt;=$AC7)*(ISERROR(SEARCH(PayEarnCode,P$4)))*(PayEarnValues))),IF(ISNUMBER(P$3),P$3/12*$AA7,IgnoreMin)))*IF(COUNTIFS(EmpNo,$C7,OFFSET(Emp!$R$4,1,MATCH(P$5,DedListItem,0)-1,EmpCount,1),"&lt;&gt;")&gt;0,VLOOKUP($C7,EmpAll,COLUMN(Emp!$R$4)+MATCH(P$5,DedListItem,0)-1,0),OFFSET(Setup!$E$73,MATCH(P$5,DedListItem,0),0,1,1)))-SUMIFS(OFFSET(P$6,1,0,PayCount,1),PayDate,"&lt;"&amp;$AC7,PayEmp,$C7))))))</calculatedColumnFormula>
    </tableColumn>
    <tableColumn id="8" xr3:uid="{13240C11-2A9A-499E-BD14-27B3BB21B979}" name="Deduct4" dataDxfId="214" totalsRowDxfId="213" dataCellStyle="Comma">
      <calculatedColumnFormula array="1">IF($F7="Terminated",0,IF($AA7=0,0,IF(ISNA(MATCH(Q$5,DedListItem,0)),0,IF(COUNTIFS(OverEmp,$C7,OverDeduct,Q$5,OverDate,"&lt;"&amp;DATE(YEAR($AC7),MONTH($AC7)+1,1),OverEnd,"&gt;="&amp;DATE(YEAR($AC7),MONTH($AC7),1))&gt;0,SUMIFS(OverValue,OverEmp,$C7,OverDeduct,Q$5,OverDate,"&lt;"&amp;DATE(YEAR($AC7),MONTH($AC7)+1,1),OverEnd,"&gt;="&amp;DATE(YEAR($AC7),MONTH($AC7),1)),IF(OR(Q$2="Fixed",Q$2="Not Used"),(IF(COUNTIFS(EmpNo,$C7,OFFSET(Emp!$R$4,1,MATCH(Q$5,DedListItem,0)-1,EmpCount,1),"&lt;&gt;")&gt;0,VLOOKUP($C7,EmpAll,COLUMN(Emp!$R$4)+MATCH(Q$5,DedListItem,0)-1,0),OFFSET(Setup!$E$73,MATCH(Q$5,DedListItem,0),0,1,1))*$AA7)-SUMIFS(OFFSET(Q$6,1,0,PayCount,1),PayDate,"&lt;"&amp;$AC7,PayEmp,$C7),IF(ISNA(MATCH(Q$2,EarnListItem,0))=FALSE,IF(OFFSET(Setup!$G$73,MATCH(Q$5,DedListItem,0),0,1,1)="Taxable",SUMPRODUCT((PayEmp=$C7)*(PayDate&lt;=$AC7)*(PayEarnCode=Q$2)*(PayEarnTax)*(PayEarnValues)),SUMPRODUCT((PayEmp=$C7)*(PayDate&lt;=$AC7)*(PayEarnCode=Q$2)*(PayEarnValues)))*IF(COUNTIFS(EmpNo,$C7,OFFSET(Emp!$R$4,1,MATCH(Q$5,DedListItem,0)-1,EmpCount,1),"&lt;&gt;")&gt;0,VLOOKUP($C7,EmpAll,COLUMN(Emp!$R$4)+MATCH(Q$5,DedListItem,0)-1,0),OFFSET(Setup!$E$73,MATCH(Q$5,DedListItem,0),0,1,1)),(MIN(IF(OFFSET(Setup!$G$73,MATCH(Q$5,DedListItem,0),0,1,1)="Taxable",SUMPRODUCT((PayEmp=$C7)*(PayDate&lt;=$AC7)*(ISERROR(SEARCH(PayEarnCode,Q$4)))*(PayEarnTax)*(PayEarnValues)),SUMPRODUCT((PayEmp=$C7)*(PayDate&lt;=$AC7)*(ISERROR(SEARCH(PayEarnCode,Q$4)))*(PayEarnValues))),IF(ISNUMBER(Q$3),Q$3/12*$AA7,IgnoreMin)))*IF(COUNTIFS(EmpNo,$C7,OFFSET(Emp!$R$4,1,MATCH(Q$5,DedListItem,0)-1,EmpCount,1),"&lt;&gt;")&gt;0,VLOOKUP($C7,EmpAll,COLUMN(Emp!$R$4)+MATCH(Q$5,DedListItem,0)-1,0),OFFSET(Setup!$E$73,MATCH(Q$5,DedListItem,0),0,1,1)))-SUMIFS(OFFSET(Q$6,1,0,PayCount,1),PayDate,"&lt;"&amp;$AC7,PayEmp,$C7))))))</calculatedColumnFormula>
    </tableColumn>
    <tableColumn id="23" xr3:uid="{00000000-0010-0000-0100-000017000000}" name="Total Deductions" totalsRowFunction="sum" dataDxfId="212" totalsRowDxfId="211" dataCellStyle="Comma">
      <calculatedColumnFormula>SUM(OFFSET(M7,0,0,1,COLUMN($R$6)-COLUMN($M$6)))</calculatedColumnFormula>
    </tableColumn>
    <tableColumn id="6" xr3:uid="{00000000-0010-0000-0100-000006000000}" name="Net Pay" totalsRowFunction="sum" dataDxfId="210" totalsRowDxfId="209" dataCellStyle="Comma">
      <calculatedColumnFormula>ROUND(SUM(L7,-R7),2)</calculatedColumnFormula>
    </tableColumn>
    <tableColumn id="100" xr3:uid="{00000000-0010-0000-0100-000064000000}" name="Co-Contrib1" dataDxfId="208" totalsRowDxfId="207" dataCellStyle="Comma">
      <calculatedColumnFormula array="1">IF($F7="Terminated",0,IF($AA7=0,0,IF(ISNA(MATCH(T$5,CompListItem,0)),0,IF(COUNTIFS(OverEmp,$C7,OverComp,T$5,OverDate,"&lt;"&amp;DATE(YEAR($AC7),MONTH($AC7)+1,1),OverEnd,"&gt;="&amp;DATE(YEAR($AC7),MONTH($AC7),1))&gt;0,SUMIFS(OverValue,OverEmp,$C7,OverComp,T$5,OverDate,"&lt;"&amp;DATE(YEAR($AC7),MONTH($AC7)+1,1),OverEnd,"&gt;="&amp;DATE(YEAR($AC7),MONTH($AC7),1)),IF(OR(T$2="Fixed",T$2="Not Used"),(OFFSET(Setup!$E$81,MATCH(T$5,CompListItem,0),0,1,1)*$AA7)-SUMIFS(OFFSET(T$6,1,0,PayCount,1),PayDate,"&lt;"&amp;$AC7,PayEmp,$C7),IF(ISNA(MATCH(T$2,DedListItem,0))=FALSE,(SUMPRODUCT((PayEmp=$C7)*(PayDate&lt;=$AC7)*(PayDedList=T$2)*(PayDedValues))*OFFSET(Setup!$E$81,MATCH(T$5,CompListItem,0),0,1,1))-SUMIFS(OFFSET(T$6,1,0,PayCount,1),PayDate,"&lt;"&amp;$AC7,PayEmp,$C7),(MIN(IF(OFFSET(Setup!$G$81,MATCH(T$5,CompListItem,0),0,1,1)="Taxable",SUMPRODUCT((PayEmp=$C7)*(PayDate&lt;=$AC7)*(ISERROR(SEARCH(PayEarnCode,T$4)))*(PayEarnTax)*(PayEarnValues)),SUMPRODUCT((PayEmp=$C7)*(PayDate&lt;=$AC7)*(ISERROR(SEARCH(PayEarnCode,T$4)))*(PayEarnValues))),IF(ISNUMBER(T$3),T$3/12*$AA7,IgnoreMin)))*OFFSET(Setup!$E$81,MATCH(T$5,CompListItem,0),0,1,1)-SUMIFS(OFFSET(T$6,1,0,PayCount,1),PayDate,"&lt;"&amp;$AC7,PayEmp,$C7)))))))</calculatedColumnFormula>
    </tableColumn>
    <tableColumn id="97" xr3:uid="{00000000-0010-0000-0100-000061000000}" name="Co-Contrib2" dataDxfId="206" totalsRowDxfId="205" dataCellStyle="Comma">
      <calculatedColumnFormula array="1">IF($F7="Terminated",0,IF($AA7=0,0,IF(ISNA(MATCH(U$5,CompListItem,0)),0,IF(COUNTIFS(OverEmp,$C7,OverComp,U$5,OverDate,"&lt;"&amp;DATE(YEAR($AC7),MONTH($AC7)+1,1),OverEnd,"&gt;="&amp;DATE(YEAR($AC7),MONTH($AC7),1))&gt;0,SUMIFS(OverValue,OverEmp,$C7,OverComp,U$5,OverDate,"&lt;"&amp;DATE(YEAR($AC7),MONTH($AC7)+1,1),OverEnd,"&gt;="&amp;DATE(YEAR($AC7),MONTH($AC7),1)),IF(OR(U$2="Fixed",U$2="Not Used"),(OFFSET(Setup!$E$81,MATCH(U$5,CompListItem,0),0,1,1)*$AA7)-SUMIFS(OFFSET(U$6,1,0,PayCount,1),PayDate,"&lt;"&amp;$AC7,PayEmp,$C7),IF(ISNA(MATCH(U$2,DedListItem,0))=FALSE,(SUMPRODUCT((PayEmp=$C7)*(PayDate&lt;=$AC7)*(PayDedList=U$2)*(PayDedValues))*OFFSET(Setup!$E$81,MATCH(U$5,CompListItem,0),0,1,1))-SUMIFS(OFFSET(U$6,1,0,PayCount,1),PayDate,"&lt;"&amp;$AC7,PayEmp,$C7),(MIN(IF(OFFSET(Setup!$G$81,MATCH(U$5,CompListItem,0),0,1,1)="Taxable",SUMPRODUCT((PayEmp=$C7)*(PayDate&lt;=$AC7)*(ISERROR(SEARCH(PayEarnCode,U$4)))*(PayEarnTax)*(PayEarnValues)),SUMPRODUCT((PayEmp=$C7)*(PayDate&lt;=$AC7)*(ISERROR(SEARCH(PayEarnCode,U$4)))*(PayEarnValues))),IF(ISNUMBER(U$3),U$3/12*$AA7,IgnoreMin)))*OFFSET(Setup!$E$81,MATCH(U$5,CompListItem,0),0,1,1)-SUMIFS(OFFSET(U$6,1,0,PayCount,1),PayDate,"&lt;"&amp;$AC7,PayEmp,$C7)))))))</calculatedColumnFormula>
    </tableColumn>
    <tableColumn id="13" xr3:uid="{6F099F47-3A1E-495E-9AD6-0343E11200FF}" name="Co-Contrib3" dataDxfId="204" totalsRowDxfId="203" dataCellStyle="Comma">
      <calculatedColumnFormula array="1">IF($F7="Terminated",0,IF($AA7=0,0,IF(ISNA(MATCH(V$5,CompListItem,0)),0,IF(COUNTIFS(OverEmp,$C7,OverComp,V$5,OverDate,"&lt;"&amp;DATE(YEAR($AC7),MONTH($AC7)+1,1),OverEnd,"&gt;="&amp;DATE(YEAR($AC7),MONTH($AC7),1))&gt;0,SUMIFS(OverValue,OverEmp,$C7,OverComp,V$5,OverDate,"&lt;"&amp;DATE(YEAR($AC7),MONTH($AC7)+1,1),OverEnd,"&gt;="&amp;DATE(YEAR($AC7),MONTH($AC7),1)),IF(OR(V$2="Fixed",V$2="Not Used"),(OFFSET(Setup!$E$81,MATCH(V$5,CompListItem,0),0,1,1)*$AA7)-SUMIFS(OFFSET(V$6,1,0,PayCount,1),PayDate,"&lt;"&amp;$AC7,PayEmp,$C7),IF(ISNA(MATCH(V$2,DedListItem,0))=FALSE,(SUMPRODUCT((PayEmp=$C7)*(PayDate&lt;=$AC7)*(PayDedList=V$2)*(PayDedValues))*OFFSET(Setup!$E$81,MATCH(V$5,CompListItem,0),0,1,1))-SUMIFS(OFFSET(V$6,1,0,PayCount,1),PayDate,"&lt;"&amp;$AC7,PayEmp,$C7),(MIN(IF(OFFSET(Setup!$G$81,MATCH(V$5,CompListItem,0),0,1,1)="Taxable",SUMPRODUCT((PayEmp=$C7)*(PayDate&lt;=$AC7)*(ISERROR(SEARCH(PayEarnCode,V$4)))*(PayEarnTax)*(PayEarnValues)),SUMPRODUCT((PayEmp=$C7)*(PayDate&lt;=$AC7)*(ISERROR(SEARCH(PayEarnCode,V$4)))*(PayEarnValues))),IF(ISNUMBER(V$3),V$3/12*$AA7,IgnoreMin)))*OFFSET(Setup!$E$81,MATCH(V$5,CompListItem,0),0,1,1)-SUMIFS(OFFSET(V$6,1,0,PayCount,1),PayDate,"&lt;"&amp;$AC7,PayEmp,$C7)))))))</calculatedColumnFormula>
    </tableColumn>
    <tableColumn id="9" xr3:uid="{6041A931-C27C-40F8-93E1-46ADF564EBAE}" name="Co-Contrib4" dataDxfId="202" totalsRowDxfId="201" dataCellStyle="Comma">
      <calculatedColumnFormula array="1">IF($F7="Terminated",0,IF($AA7=0,0,IF(ISNA(MATCH(W$5,CompListItem,0)),0,IF(COUNTIFS(OverEmp,$C7,OverComp,W$5,OverDate,"&lt;"&amp;DATE(YEAR($AC7),MONTH($AC7)+1,1),OverEnd,"&gt;="&amp;DATE(YEAR($AC7),MONTH($AC7),1))&gt;0,SUMIFS(OverValue,OverEmp,$C7,OverComp,W$5,OverDate,"&lt;"&amp;DATE(YEAR($AC7),MONTH($AC7)+1,1),OverEnd,"&gt;="&amp;DATE(YEAR($AC7),MONTH($AC7),1)),IF(OR(W$2="Fixed",W$2="Not Used"),(OFFSET(Setup!$E$81,MATCH(W$5,CompListItem,0),0,1,1)*$AA7)-SUMIFS(OFFSET(W$6,1,0,PayCount,1),PayDate,"&lt;"&amp;$AC7,PayEmp,$C7),IF(ISNA(MATCH(W$2,DedListItem,0))=FALSE,(SUMPRODUCT((PayEmp=$C7)*(PayDate&lt;=$AC7)*(PayDedList=W$2)*(PayDedValues))*OFFSET(Setup!$E$81,MATCH(W$5,CompListItem,0),0,1,1))-SUMIFS(OFFSET(W$6,1,0,PayCount,1),PayDate,"&lt;"&amp;$AC7,PayEmp,$C7),(MIN(IF(OFFSET(Setup!$G$81,MATCH(W$5,CompListItem,0),0,1,1)="Taxable",SUMPRODUCT((PayEmp=$C7)*(PayDate&lt;=$AC7)*(ISERROR(SEARCH(PayEarnCode,W$4)))*(PayEarnTax)*(PayEarnValues)),SUMPRODUCT((PayEmp=$C7)*(PayDate&lt;=$AC7)*(ISERROR(SEARCH(PayEarnCode,W$4)))*(PayEarnValues))),IF(ISNUMBER(W$3),W$3/12*$AA7,IgnoreMin)))*OFFSET(Setup!$E$81,MATCH(W$5,CompListItem,0),0,1,1)-SUMIFS(OFFSET(W$6,1,0,PayCount,1),PayDate,"&lt;"&amp;$AC7,PayEmp,$C7)))))))</calculatedColumnFormula>
    </tableColumn>
    <tableColumn id="24" xr3:uid="{00000000-0010-0000-0100-000018000000}" name="Total Co Contributions" totalsRowFunction="sum" dataDxfId="200" totalsRowDxfId="199" dataCellStyle="Comma">
      <calculatedColumnFormula>SUM(OFFSET($T7,0,0,1,COLUMN($X$6)-COLUMN($T$7)))</calculatedColumnFormula>
    </tableColumn>
    <tableColumn id="15" xr3:uid="{00000000-0010-0000-0100-00000F000000}" name="Total Cost To Company" totalsRowFunction="sum" dataDxfId="198" totalsRowDxfId="197" dataCellStyle="Comma">
      <calculatedColumnFormula>L7+X7</calculatedColumnFormula>
    </tableColumn>
    <tableColumn id="21" xr3:uid="{00000000-0010-0000-0100-000015000000}" name="Deductions &amp; Co-Contrib" totalsRowFunction="sum" dataDxfId="196" totalsRowDxfId="195" dataCellStyle="Comma">
      <calculatedColumnFormula>ROUND(SUM(R7,X7),2)</calculatedColumnFormula>
    </tableColumn>
    <tableColumn id="14" xr3:uid="{00000000-0010-0000-0100-00000E000000}" name="Employee Pay Period" dataDxfId="194" totalsRowDxfId="193" dataCellStyle="Comma">
      <calculatedColumnFormula>IF(OR($B7&lt;=Setup!$E$12,$B7&gt;=Setup!$D$12+1),0,IF($F7&lt;&gt;"Active",0,IF($AE7="Yes",$AB7,((YEAR($AC7)*12)+MONTH($AC7))-((YEAR($AD7)*12)+MONTH($AD7)-1))))</calculatedColumnFormula>
    </tableColumn>
    <tableColumn id="53" xr3:uid="{00000000-0010-0000-0100-000035000000}" name="Business Pay Period" dataDxfId="192" totalsRowDxfId="191" dataCellStyle="Comma">
      <calculatedColumnFormula>IF(OR($B7&lt;=Setup!$E$12,$B7&gt;=Setup!$D$12+1),0,((YEAR($AC7)*12)+MONTH($AC7))-((YEAR(Setup!$E$12)*12)+MONTH(Setup!$E$12)))</calculatedColumnFormula>
    </tableColumn>
    <tableColumn id="55" xr3:uid="{00000000-0010-0000-0100-000037000000}" name="Unique Pay Date" dataDxfId="190" dataCellStyle="Comma">
      <calculatedColumnFormula>DATE(YEAR($B7),MONTH($B7),DAY($B7))</calculatedColumnFormula>
    </tableColumn>
    <tableColumn id="60" xr3:uid="{00000000-0010-0000-0100-00003C000000}" name="1st Pay Period" dataDxfId="189" totalsRowDxfId="188" dataCellStyle="Comma">
      <calculatedColumnFormula>IF(ISNA(VLOOKUP($C7,EmpAll,COLUMN(Emp!$E$4),0)),$AC7,IF(VLOOKUP($C7,EmpAll,COLUMN(Emp!$E$4),0)&lt;=Setup!$E$12,DATE(YEAR(Setup!$E$12),MONTH(Setup!$E$12)+1,1),VLOOKUP($C7,EmpAll,COLUMN(Emp!$E$4),0)))</calculatedColumnFormula>
    </tableColumn>
    <tableColumn id="85" xr3:uid="{00000000-0010-0000-0100-000055000000}" name="Pay Period Override" dataDxfId="187" totalsRowDxfId="186" dataCellStyle="Comma">
      <calculatedColumnFormula>IF(ISNA(VLOOKUP($C7,EmpAll,COLUMN(Emp!$G$1),0)),"-",IF(VLOOKUP($C7,EmpAll,COLUMN(Emp!$G$1),0)=0,"-",VLOOKUP($C7,EmpAll,COLUMN(Emp!$G$1),0)))</calculatedColumnFormula>
    </tableColumn>
    <tableColumn id="12" xr3:uid="{00000000-0010-0000-0100-00000C000000}" name="PaySlip Status" dataDxfId="185" totalsRowDxfId="184" dataCellStyle="Comma">
      <calculatedColumnFormula>IF(A7=PaySlip!$G$3,1,0)</calculatedColumnFormula>
    </tableColumn>
    <tableColumn id="105" xr3:uid="{00000000-0010-0000-0100-000069000000}" name="Medical Aid Members" dataDxfId="183" totalsRowDxfId="182" dataCellStyle="Comma">
      <calculatedColumnFormula array="1">IF(COUNTIFS(OverEmp,$C7,OverMed,"MED",OverDate,"&lt;"&amp;DATE(YEAR($AC7),MONTH($AC7)+1,1),OverEnd,"&gt;="&amp;DATE(YEAR($AC7),MONTH($AC7),1))&gt;0,SUMIFS(OverValue,OverEmp,$C7,OverMed,"MED",OverDate,"&lt;"&amp;DATE(YEAR($AC7),MONTH($AC7)+1,1),OverEnd,"&gt;="&amp;DATE(YEAR($AC7),MONTH($AC7),1)),IF(ISNA(VLOOKUP($C7,EmpAll,COLUMN(Emp!$N$4),0)),0,VLOOKUP($C7,EmpAll,COLUMN(Emp!$N$4),0)))</calculatedColumnFormula>
    </tableColumn>
    <tableColumn id="106" xr3:uid="{00000000-0010-0000-0100-00006A000000}" name="MedTaxCredit Monthly" dataDxfId="181" totalsRowDxfId="180" dataCellStyle="Comma">
      <calculatedColumnFormula>VLOOKUP($AG7,MedList,COLUMN(Setup!$C$49),1)</calculatedColumnFormula>
    </tableColumn>
    <tableColumn id="101" xr3:uid="{00000000-0010-0000-0100-000065000000}" name="MedTaxCredit Annual" dataDxfId="179" totalsRowDxfId="178" dataCellStyle="Comma">
      <calculatedColumnFormula>SUMIFS(PayMedDeduct,PayDate,"&lt;"&amp;$AC7,PayEmp,$C7)+$AH7+($AH7*(12-$AA7))</calculatedColumnFormula>
    </tableColumn>
    <tableColumn id="34" xr3:uid="{00000000-0010-0000-0100-000022000000}" name="IT Rebate Code" dataDxfId="177" totalsRowDxfId="176">
      <calculatedColumnFormula>IF(ISNA(VLOOKUP($C7,EmpAll,COLUMN(Emp!$L$4),0)),"None!",VLOOKUP($C7,EmpAll,COLUMN(Emp!$L$4),0))</calculatedColumnFormula>
    </tableColumn>
    <tableColumn id="31" xr3:uid="{00000000-0010-0000-0100-00001F000000}" name="IT Rebate Value" dataDxfId="175" totalsRowDxfId="174" dataCellStyle="Comma">
      <calculatedColumnFormula>IF(ISNA(VLOOKUP($AJ7,RebateList,4,0)),VLOOKUP("A",RebateList,3,0),VLOOKUP($AJ7,RebateList,4,0))</calculatedColumnFormula>
    </tableColumn>
    <tableColumn id="35" xr3:uid="{00000000-0010-0000-0100-000023000000}" name="IT Rate" dataDxfId="173" totalsRowDxfId="172">
      <calculatedColumnFormula>IF(ISNA(VLOOKUP($C7,Employees[],COLUMN(Emp!$M$4),0))=TRUE,"Error!",IF(VLOOKUP($C7,Employees[],COLUMN(Emp!$M$4),0)=0,"Yes",VLOOKUP($C7,Employees[],COLUMN(Emp!$M$4),0)))</calculatedColumnFormula>
    </tableColumn>
    <tableColumn id="66" xr3:uid="{00000000-0010-0000-0100-000042000000}" name="Annual Gross Tax Income" dataDxfId="171" totalsRowDxfId="170" dataCellStyle="Comma">
      <calculatedColumnFormula>IF($AA7=0,0,((SUMPRODUCT((PayEmp=$C7)*(PayDate&lt;=$AC7)*(PayEarnType="Monthly")*(PayEarnTax)*(PayEarnValues))/$AA7*12)+(SUMPRODUCT((PayEmp=$C7)*(PayDate&lt;=$AC7)*(PayEarnType="Quarterly")*(PayEarnTax)*(PayEarnValues))/MAX(1,ROUNDDOWN($AB7/3,0))*4)+(SUMPRODUCT((PayEmp=$C7)*(PayDate&lt;=$AC7)*(PayEarnType="Bi-Annual")*(PayEarnTax)*(PayEarnValues))/MAX(1,ROUNDDOWN($AB7/6,0))*2)+(SUMPRODUCT((PayEmp=$C7)*(PayDate&lt;=$AC7)*(PayEarnType="Annual")*(PayEarnTax)*(PayEarnValues)))))</calculatedColumnFormula>
    </tableColumn>
    <tableColumn id="95" xr3:uid="{00000000-0010-0000-0100-00005F000000}" name="Annual Tax Deduct1" dataDxfId="169" dataCellStyle="Comma">
      <calculatedColumnFormula array="1">-IF($F7="Terminated",0,IF($AA7=0,0,IF(ISNA(MATCH(AN$5,PayDedList,0)),0,MIN(IF(COUNTIFS(OverEmp,$C7,OverDeduct,AN$5,OverDate,"&lt;"&amp;DATE(YEAR($AC7),MONTH($AC7)+1,1),OverEnd,"&gt;="&amp;DATE(YEAR($AC7),MONTH($AC7),1))&gt;0,SUMPRODUCT((PayEmp=$C7)*(PayDate&lt;=$AC7)*(OFFSET($N$6,1,MATCH(AN$5,PayDedList,0)-1,PayCount,1)))/$AA7*12*AN$3,IF(OR(AN$1="Fixed",AN$1="Not Used"),SUMPRODUCT((PayEmp=$C7)*(PayDate&lt;=$AC7)*(OFFSET($N$6,1,MATCH(AN$5,PayDedList,0)-1,PayCount,1)))/$AA7*12*AN$3,IF(ISNA(MATCH(AN$1,EarnListItem,0))=FALSE,SUMPRODUCT((PayEmp=$C7)*(PayDate&lt;=$AC7)*(OFFSET($N$6,1,MATCH(AN$5,PayDedList,0)-1,PayCount,1)))/$AA7*12*AN$3,(MIN(((SUMPRODUCT((PayEmp=$C7)*(PayDate&lt;=$AC7)*(ISERROR(SEARCH(PayEarnCode,AN$2)))*(PayEarnType="Monthly")*(PayEarnValues))/$AA7*12)+(SUMPRODUCT((PayEmp=$C7)*(PayDate&lt;=$AC7)*(ISERROR(SEARCH(PayEarnCode,AN$2)))*(PayEarnType="Quarterly")*(PayEarnValues))/MAX(1,ROUNDDOWN($AB7/3,0))*4)+(SUMPRODUCT((PayEmp=$C7)*(PayDate&lt;=$AC7)*(ISERROR(SEARCH(PayEarnCode,AN$2)))*(PayEarnType="Bi-Annual")*(PayEarnValues))/MAX(1,ROUNDDOWN($AB7/6,0))*2)+(SUMPRODUCT((PayEmp=$C7)*(PayDate&lt;=$AC7)*(ISERROR(SEARCH(PayEarnCode,AN$2)))*(PayEarnType="Annual")*(PayEarnValues)))),IF(ISNUMBER(OFFSET($N$3,0,MATCH(AN$5,PayDedList,0)-1,1,1)),OFFSET($N$3,0,MATCH(AN$5,PayDedList,0)-1,1,1),IgnoreMin)))*IF(COUNTIFS(EmpNo,$C7,OFFSET(Emp!$R$4,1,MATCH(AN$5,DedListItem,0)-1,EmpCount,1),"&lt;&gt;")&gt;0,VLOOKUP($C7,EmpAll,COLUMN(Emp!$R$4)+MATCH(AN$5,DedListItem,0)-1,0),OFFSET(Setup!$E$73,MATCH(AN$5,DedListItem,0),0,1,1))*AN$3))),IF(ISNUMBER(AN$4),AN$4,IgnoreMin)))))</calculatedColumnFormula>
    </tableColumn>
    <tableColumn id="94" xr3:uid="{00000000-0010-0000-0100-00005E000000}" name="Annual Tax Deduct2" dataDxfId="168" totalsRowDxfId="167" dataCellStyle="Comma">
      <calculatedColumnFormula array="1">-IF($F7="Terminated",0,IF($AA7=0,0,IF(ISNA(MATCH(AO$5,PayDedList,0)),0,MIN(IF(COUNTIFS(OverEmp,$C7,OverDeduct,AO$5,OverDate,"&lt;"&amp;DATE(YEAR($AC7),MONTH($AC7)+1,1),OverEnd,"&gt;="&amp;DATE(YEAR($AC7),MONTH($AC7),1))&gt;0,SUMPRODUCT((PayEmp=$C7)*(PayDate&lt;=$AC7)*(OFFSET($N$6,1,MATCH(AO$5,PayDedList,0)-1,PayCount,1)))/$AA7*12*AO$3,IF(OR(AO$1="Fixed",AO$1="Not Used"),SUMPRODUCT((PayEmp=$C7)*(PayDate&lt;=$AC7)*(OFFSET($N$6,1,MATCH(AO$5,PayDedList,0)-1,PayCount,1)))/$AA7*12*AO$3,IF(ISNA(MATCH(AO$1,EarnListItem,0))=FALSE,SUMPRODUCT((PayEmp=$C7)*(PayDate&lt;=$AC7)*(OFFSET($N$6,1,MATCH(AO$5,PayDedList,0)-1,PayCount,1)))/$AA7*12*AO$3,(MIN(((SUMPRODUCT((PayEmp=$C7)*(PayDate&lt;=$AC7)*(ISERROR(SEARCH(PayEarnCode,AO$2)))*(PayEarnType="Monthly")*(PayEarnValues))/$AA7*12)+(SUMPRODUCT((PayEmp=$C7)*(PayDate&lt;=$AC7)*(ISERROR(SEARCH(PayEarnCode,AO$2)))*(PayEarnType="Quarterly")*(PayEarnValues))/MAX(1,ROUNDDOWN($AB7/3,0))*4)+(SUMPRODUCT((PayEmp=$C7)*(PayDate&lt;=$AC7)*(ISERROR(SEARCH(PayEarnCode,AO$2)))*(PayEarnType="Bi-Annual")*(PayEarnValues))/MAX(1,ROUNDDOWN($AB7/6,0))*2)+(SUMPRODUCT((PayEmp=$C7)*(PayDate&lt;=$AC7)*(ISERROR(SEARCH(PayEarnCode,AO$2)))*(PayEarnType="Annual")*(PayEarnValues)))),IF(ISNUMBER(OFFSET($N$3,0,MATCH(AO$5,PayDedList,0)-1,1,1)),OFFSET($N$3,0,MATCH(AO$5,PayDedList,0)-1,1,1),IgnoreMin)))*IF(COUNTIFS(EmpNo,$C7,OFFSET(Emp!$R$4,1,MATCH(AO$5,DedListItem,0)-1,EmpCount,1),"&lt;&gt;")&gt;0,VLOOKUP($C7,EmpAll,COLUMN(Emp!$R$4)+MATCH(AO$5,DedListItem,0)-1,0),OFFSET(Setup!$E$73,MATCH(AO$5,DedListItem,0),0,1,1))*AO$3))),IF(ISNUMBER(AO$4),AO$4,IgnoreMin)))))</calculatedColumnFormula>
    </tableColumn>
    <tableColumn id="91" xr3:uid="{00000000-0010-0000-0100-00005B000000}" name="Annual Tax Deduct3" dataDxfId="166" totalsRowDxfId="165" dataCellStyle="Comma">
      <calculatedColumnFormula array="1">-IF($F7="Terminated",0,IF($AA7=0,0,IF(ISNA(MATCH(AP$5,PayDedList,0)),0,MIN(IF(COUNTIFS(OverEmp,$C7,OverDeduct,AP$5,OverDate,"&lt;"&amp;DATE(YEAR($AC7),MONTH($AC7)+1,1),OverEnd,"&gt;="&amp;DATE(YEAR($AC7),MONTH($AC7),1))&gt;0,SUMPRODUCT((PayEmp=$C7)*(PayDate&lt;=$AC7)*(OFFSET($N$6,1,MATCH(AP$5,PayDedList,0)-1,PayCount,1)))/$AA7*12*AP$3,IF(OR(AP$1="Fixed",AP$1="Not Used"),SUMPRODUCT((PayEmp=$C7)*(PayDate&lt;=$AC7)*(OFFSET($N$6,1,MATCH(AP$5,PayDedList,0)-1,PayCount,1)))/$AA7*12*AP$3,IF(ISNA(MATCH(AP$1,EarnListItem,0))=FALSE,SUMPRODUCT((PayEmp=$C7)*(PayDate&lt;=$AC7)*(OFFSET($N$6,1,MATCH(AP$5,PayDedList,0)-1,PayCount,1)))/$AA7*12*AP$3,(MIN(((SUMPRODUCT((PayEmp=$C7)*(PayDate&lt;=$AC7)*(ISERROR(SEARCH(PayEarnCode,AP$2)))*(PayEarnType="Monthly")*(PayEarnValues))/$AA7*12)+(SUMPRODUCT((PayEmp=$C7)*(PayDate&lt;=$AC7)*(ISERROR(SEARCH(PayEarnCode,AP$2)))*(PayEarnType="Quarterly")*(PayEarnValues))/MAX(1,ROUNDDOWN($AB7/3,0))*4)+(SUMPRODUCT((PayEmp=$C7)*(PayDate&lt;=$AC7)*(ISERROR(SEARCH(PayEarnCode,AP$2)))*(PayEarnType="Bi-Annual")*(PayEarnValues))/MAX(1,ROUNDDOWN($AB7/6,0))*2)+(SUMPRODUCT((PayEmp=$C7)*(PayDate&lt;=$AC7)*(ISERROR(SEARCH(PayEarnCode,AP$2)))*(PayEarnType="Annual")*(PayEarnValues)))),IF(ISNUMBER(OFFSET($N$3,0,MATCH(AP$5,PayDedList,0)-1,1,1)),OFFSET($N$3,0,MATCH(AP$5,PayDedList,0)-1,1,1),IgnoreMin)))*IF(COUNTIFS(EmpNo,$C7,OFFSET(Emp!$R$4,1,MATCH(AP$5,DedListItem,0)-1,EmpCount,1),"&lt;&gt;")&gt;0,VLOOKUP($C7,EmpAll,COLUMN(Emp!$R$4)+MATCH(AP$5,DedListItem,0)-1,0),OFFSET(Setup!$E$73,MATCH(AP$5,DedListItem,0),0,1,1))*AP$3))),IF(ISNUMBER(AP$4),AP$4,IgnoreMin)))))</calculatedColumnFormula>
    </tableColumn>
    <tableColumn id="16" xr3:uid="{C63ACE46-0663-4FBC-82BB-D9CC843B18EC}" name="Annual Tax Deduct4" dataDxfId="164" totalsRowDxfId="163" dataCellStyle="Comma">
      <calculatedColumnFormula array="1">-IF($F7="Terminated",0,IF($AA7=0,0,IF(ISNA(MATCH(AQ$5,PayDedList,0)),0,MIN(IF(COUNTIFS(OverEmp,$C7,OverDeduct,AQ$5,OverDate,"&lt;"&amp;DATE(YEAR($AC7),MONTH($AC7)+1,1),OverEnd,"&gt;="&amp;DATE(YEAR($AC7),MONTH($AC7),1))&gt;0,SUMPRODUCT((PayEmp=$C7)*(PayDate&lt;=$AC7)*(OFFSET($N$6,1,MATCH(AQ$5,PayDedList,0)-1,PayCount,1)))/$AA7*12*AQ$3,IF(OR(AQ$1="Fixed",AQ$1="Not Used"),SUMPRODUCT((PayEmp=$C7)*(PayDate&lt;=$AC7)*(OFFSET($N$6,1,MATCH(AQ$5,PayDedList,0)-1,PayCount,1)))/$AA7*12*AQ$3,IF(ISNA(MATCH(AQ$1,EarnListItem,0))=FALSE,SUMPRODUCT((PayEmp=$C7)*(PayDate&lt;=$AC7)*(OFFSET($N$6,1,MATCH(AQ$5,PayDedList,0)-1,PayCount,1)))/$AA7*12*AQ$3,(MIN(((SUMPRODUCT((PayEmp=$C7)*(PayDate&lt;=$AC7)*(ISERROR(SEARCH(PayEarnCode,AQ$2)))*(PayEarnType="Monthly")*(PayEarnValues))/$AA7*12)+(SUMPRODUCT((PayEmp=$C7)*(PayDate&lt;=$AC7)*(ISERROR(SEARCH(PayEarnCode,AQ$2)))*(PayEarnType="Quarterly")*(PayEarnValues))/MAX(1,ROUNDDOWN($AB7/3,0))*4)+(SUMPRODUCT((PayEmp=$C7)*(PayDate&lt;=$AC7)*(ISERROR(SEARCH(PayEarnCode,AQ$2)))*(PayEarnType="Bi-Annual")*(PayEarnValues))/MAX(1,ROUNDDOWN($AB7/6,0))*2)+(SUMPRODUCT((PayEmp=$C7)*(PayDate&lt;=$AC7)*(ISERROR(SEARCH(PayEarnCode,AQ$2)))*(PayEarnType="Annual")*(PayEarnValues)))),IF(ISNUMBER(OFFSET($N$3,0,MATCH(AQ$5,PayDedList,0)-1,1,1)),OFFSET($N$3,0,MATCH(AQ$5,PayDedList,0)-1,1,1),IgnoreMin)))*IF(COUNTIFS(EmpNo,$C7,OFFSET(Emp!$R$4,1,MATCH(AQ$5,DedListItem,0)-1,EmpCount,1),"&lt;&gt;")&gt;0,VLOOKUP($C7,EmpAll,COLUMN(Emp!$R$4)+MATCH(AQ$5,DedListItem,0)-1,0),OFFSET(Setup!$E$73,MATCH(AQ$5,DedListItem,0),0,1,1))*AQ$3))),IF(ISNUMBER(AQ$4),AQ$4,IgnoreMin)))))</calculatedColumnFormula>
    </tableColumn>
    <tableColumn id="37" xr3:uid="{00000000-0010-0000-0100-000025000000}" name="Annual Taxable Income" dataDxfId="162" totalsRowDxfId="161" dataCellStyle="Comma">
      <calculatedColumnFormula>$AM7+SUM(OFFSET($AM7,0,1,1,COLUMN($AR$2)-COLUMN($AM$2)-1))</calculatedColumnFormula>
    </tableColumn>
    <tableColumn id="124" xr3:uid="{00000000-0010-0000-0100-00007C000000}" name="Tax Monthly EQV" dataDxfId="160" totalsRowDxfId="159" dataCellStyle="Comma">
      <calculatedColumnFormula>IF($AA7=0,0,(SUMPRODUCT((PayEmp=$C7)*(PayDate&lt;=$AC7)*(PayEarnType="Monthly")*(PayEarnTax)*(PayEarnValues))/$AA7*12))</calculatedColumnFormula>
    </tableColumn>
    <tableColumn id="123" xr3:uid="{00000000-0010-0000-0100-00007B000000}" name="Monthly EQV Deduct1" dataDxfId="158" totalsRowDxfId="157" dataCellStyle="Comma">
      <calculatedColumnFormula array="1">-IF($F7="Terminated",0,IF($AA7=0,0,IF(ISNA(MATCH(AT$5,PayDedList,0)),0,MIN(IF(COUNTIFS(OverEmp,$C7,OverDeduct,AT$5,OverDate,"&lt;"&amp;DATE(YEAR($AC7),MONTH($AC7)+1,1),OverEnd,"&gt;="&amp;DATE(YEAR($AC7),MONTH($AC7),1))&gt;0,SUMPRODUCT((PayEmp=$C7)*(PayDate&lt;=$AC7)*(OFFSET($N$6,1,MATCH(AT$5,PayDedList,0)-1,PayCount,1)))/$AA7*12*AT$3,IF(OR(AT$1="Fixed",AT$1="Not Used"),SUMPRODUCT((PayEmp=$C7)*(PayDate&lt;=$AC7)*(OFFSET($N$6,1,MATCH(AT$5,PayDedList,0)-1,PayCount,1)))/$AA7*12*AT$3,IF(ISNA(MATCH(OFFSET($N$2,0,MATCH(AT$5,PayDedList,0)-1,1,1),EarnListItem,0))=FALSE,SUMPRODUCT((PayEmp=$C7)*(PayDate&lt;=$AC7)*(OFFSET($N$6,1,MATCH(AT$5,PayDedList,0)-1,PayCount,1)))/$AA7*12*AT$3,(MIN(SUMPRODUCT((PayEmp=$C7)*(PayDate&lt;=$AC7)*(ISERROR(SEARCH(PayEarnCode,AT$2)))*(PayEarnType="Monthly")*(PayEarnValues))/$AA7*12,IF(ISNUMBER(OFFSET($N$3,0,MATCH(AT$5,PayDedList,0)-1,1,1)),OFFSET($N$3,0,MATCH(AT$5,PayDedList,0)-1,1,1),IgnoreMin)))*IF(COUNTIFS(EmpNo,$C7,OFFSET(Emp!$R$4,1,MATCH(AT$5,DedListItem,0)-1,EmpCount,1),"&lt;&gt;")&gt;0,VLOOKUP($C7,EmpAll,COLUMN(Emp!$R$4)+MATCH(AT$5,DedListItem,0)-1,0),OFFSET(Setup!$E$73,MATCH(AT$5,DedListItem,0),0,1,1))*AT$3))),IF(ISNUMBER(AT$4),AT$4,IgnoreMin)))))</calculatedColumnFormula>
    </tableColumn>
    <tableColumn id="122" xr3:uid="{00000000-0010-0000-0100-00007A000000}" name="Monthly EQV Deduct2" dataDxfId="156" totalsRowDxfId="155" dataCellStyle="Comma">
      <calculatedColumnFormula array="1">-IF($F7="Terminated",0,IF($AA7=0,0,IF(ISNA(MATCH(AU$5,PayDedList,0)),0,MIN(IF(COUNTIFS(OverEmp,$C7,OverDeduct,AU$5,OverDate,"&lt;"&amp;DATE(YEAR($AC7),MONTH($AC7)+1,1),OverEnd,"&gt;="&amp;DATE(YEAR($AC7),MONTH($AC7),1))&gt;0,SUMPRODUCT((PayEmp=$C7)*(PayDate&lt;=$AC7)*(OFFSET($N$6,1,MATCH(AU$5,PayDedList,0)-1,PayCount,1)))/$AA7*12*AU$3,IF(OR(AU$1="Fixed",AU$1="Not Used"),SUMPRODUCT((PayEmp=$C7)*(PayDate&lt;=$AC7)*(OFFSET($N$6,1,MATCH(AU$5,PayDedList,0)-1,PayCount,1)))/$AA7*12*AU$3,IF(ISNA(MATCH(OFFSET($N$2,0,MATCH(AU$5,PayDedList,0)-1,1,1),EarnListItem,0))=FALSE,SUMPRODUCT((PayEmp=$C7)*(PayDate&lt;=$AC7)*(OFFSET($N$6,1,MATCH(AU$5,PayDedList,0)-1,PayCount,1)))/$AA7*12*AU$3,(MIN(SUMPRODUCT((PayEmp=$C7)*(PayDate&lt;=$AC7)*(ISERROR(SEARCH(PayEarnCode,AU$2)))*(PayEarnType="Monthly")*(PayEarnValues))/$AA7*12,IF(ISNUMBER(OFFSET($N$3,0,MATCH(AU$5,PayDedList,0)-1,1,1)),OFFSET($N$3,0,MATCH(AU$5,PayDedList,0)-1,1,1),IgnoreMin)))*IF(COUNTIFS(EmpNo,$C7,OFFSET(Emp!$R$4,1,MATCH(AU$5,DedListItem,0)-1,EmpCount,1),"&lt;&gt;")&gt;0,VLOOKUP($C7,EmpAll,COLUMN(Emp!$R$4)+MATCH(AU$5,DedListItem,0)-1,0),OFFSET(Setup!$E$73,MATCH(AU$5,DedListItem,0),0,1,1))*AU$3))),IF(ISNUMBER(AU$4),AU$4,IgnoreMin)))))</calculatedColumnFormula>
    </tableColumn>
    <tableColumn id="121" xr3:uid="{00000000-0010-0000-0100-000079000000}" name="Monthly EQV Deduct3" dataDxfId="154" totalsRowDxfId="153" dataCellStyle="Comma">
      <calculatedColumnFormula array="1">-IF($F7="Terminated",0,IF($AA7=0,0,IF(ISNA(MATCH(AV$5,PayDedList,0)),0,MIN(IF(COUNTIFS(OverEmp,$C7,OverDeduct,AV$5,OverDate,"&lt;"&amp;DATE(YEAR($AC7),MONTH($AC7)+1,1),OverEnd,"&gt;="&amp;DATE(YEAR($AC7),MONTH($AC7),1))&gt;0,SUMPRODUCT((PayEmp=$C7)*(PayDate&lt;=$AC7)*(OFFSET($N$6,1,MATCH(AV$5,PayDedList,0)-1,PayCount,1)))/$AA7*12*AV$3,IF(OR(AV$1="Fixed",AV$1="Not Used"),SUMPRODUCT((PayEmp=$C7)*(PayDate&lt;=$AC7)*(OFFSET($N$6,1,MATCH(AV$5,PayDedList,0)-1,PayCount,1)))/$AA7*12*AV$3,IF(ISNA(MATCH(OFFSET($N$2,0,MATCH(AV$5,PayDedList,0)-1,1,1),EarnListItem,0))=FALSE,SUMPRODUCT((PayEmp=$C7)*(PayDate&lt;=$AC7)*(OFFSET($N$6,1,MATCH(AV$5,PayDedList,0)-1,PayCount,1)))/$AA7*12*AV$3,(MIN(SUMPRODUCT((PayEmp=$C7)*(PayDate&lt;=$AC7)*(ISERROR(SEARCH(PayEarnCode,AV$2)))*(PayEarnType="Monthly")*(PayEarnValues))/$AA7*12,IF(ISNUMBER(OFFSET($N$3,0,MATCH(AV$5,PayDedList,0)-1,1,1)),OFFSET($N$3,0,MATCH(AV$5,PayDedList,0)-1,1,1),IgnoreMin)))*IF(COUNTIFS(EmpNo,$C7,OFFSET(Emp!$R$4,1,MATCH(AV$5,DedListItem,0)-1,EmpCount,1),"&lt;&gt;")&gt;0,VLOOKUP($C7,EmpAll,COLUMN(Emp!$R$4)+MATCH(AV$5,DedListItem,0)-1,0),OFFSET(Setup!$E$73,MATCH(AV$5,DedListItem,0),0,1,1))*AV$3))),IF(ISNUMBER(AV$4),AV$4,IgnoreMin)))))</calculatedColumnFormula>
    </tableColumn>
    <tableColumn id="120" xr3:uid="{00000000-0010-0000-0100-000078000000}" name="Monthly EQV Deduct4" dataDxfId="152" totalsRowDxfId="151" dataCellStyle="Comma">
      <calculatedColumnFormula array="1">-IF($F7="Terminated",0,IF($AA7=0,0,IF(ISNA(MATCH(AW$5,PayDedList,0)),0,MIN(IF(COUNTIFS(OverEmp,$C7,OverDeduct,AW$5,OverDate,"&lt;"&amp;DATE(YEAR($AC7),MONTH($AC7)+1,1),OverEnd,"&gt;="&amp;DATE(YEAR($AC7),MONTH($AC7),1))&gt;0,SUMPRODUCT((PayEmp=$C7)*(PayDate&lt;=$AC7)*(OFFSET($N$6,1,MATCH(AW$5,PayDedList,0)-1,PayCount,1)))/$AA7*12*AW$3,IF(OR(AW$1="Fixed",AW$1="Not Used"),SUMPRODUCT((PayEmp=$C7)*(PayDate&lt;=$AC7)*(OFFSET($N$6,1,MATCH(AW$5,PayDedList,0)-1,PayCount,1)))/$AA7*12*AW$3,IF(ISNA(MATCH(OFFSET($N$2,0,MATCH(AW$5,PayDedList,0)-1,1,1),EarnListItem,0))=FALSE,SUMPRODUCT((PayEmp=$C7)*(PayDate&lt;=$AC7)*(OFFSET($N$6,1,MATCH(AW$5,PayDedList,0)-1,PayCount,1)))/$AA7*12*AW$3,(MIN(SUMPRODUCT((PayEmp=$C7)*(PayDate&lt;=$AC7)*(ISERROR(SEARCH(PayEarnCode,AW$2)))*(PayEarnType="Monthly")*(PayEarnValues))/$AA7*12,IF(ISNUMBER(OFFSET($N$3,0,MATCH(AW$5,PayDedList,0)-1,1,1)),OFFSET($N$3,0,MATCH(AW$5,PayDedList,0)-1,1,1),IgnoreMin)))*IF(COUNTIFS(EmpNo,$C7,OFFSET(Emp!$R$4,1,MATCH(AW$5,DedListItem,0)-1,EmpCount,1),"&lt;&gt;")&gt;0,VLOOKUP($C7,EmpAll,COLUMN(Emp!$R$4)+MATCH(AW$5,DedListItem,0)-1,0),OFFSET(Setup!$E$73,MATCH(AW$5,DedListItem,0),0,1,1))*AW$3))),IF(ISNUMBER(AW$4),AW$4,IgnoreMin)))))</calculatedColumnFormula>
    </tableColumn>
    <tableColumn id="102" xr3:uid="{00000000-0010-0000-0100-000066000000}" name="Taxable Income Monthly EQV" dataDxfId="150" totalsRowDxfId="149" dataCellStyle="Comma">
      <calculatedColumnFormula>$AS7+SUM(OFFSET($AT7,0,0,1,COLUMN($AX$2)-COLUMN($AT$2)))</calculatedColumnFormula>
    </tableColumn>
    <tableColumn id="98" xr3:uid="{00000000-0010-0000-0100-000062000000}" name="Taxable Income Non-Monthly" dataDxfId="148" totalsRowDxfId="147" dataCellStyle="Comma">
      <calculatedColumnFormula>AR7-AX7</calculatedColumnFormula>
    </tableColumn>
    <tableColumn id="104" xr3:uid="{00000000-0010-0000-0100-000068000000}" name="Total Annual Taxation" dataDxfId="146" totalsRowDxfId="145" dataCellStyle="Comma">
      <calculatedColumnFormula>IF(ISNUMBER($AL7),($AR7*$AL7)-$AI7-$AK7,MAX(0,IF($AL7="B",IF($AR7&lt;Setup!$C$32,($AR7*Setup!$D$32)-$AI7-$AK7,(($AR7-VLOOKUP($AR7,TaxAll2,1,1))*OFFSET(Setup!$D$32,MATCH($AR7,TaxBracket2,1),0,1,1))+OFFSET(Setup!$E$31,MATCH($AR7,TaxBracket2,1),0,1,1)-$AI7-$AK7),IF($AR7&lt;Setup!$C$21,($AR7*Setup!$D$21)-$AI7-$AK7,(($AR7-VLOOKUP($AR7,TaxAll1,1,1))*OFFSET(Setup!$D$21,MATCH($AR7,TaxBracket1,1),0,1,1))+OFFSET(Setup!$E$20,MATCH($AR7,TaxBracket1,1),0,1,1)-$AI7-$AK7))))</calculatedColumnFormula>
    </tableColumn>
    <tableColumn id="103" xr3:uid="{00000000-0010-0000-0100-000067000000}" name="Tax On Monthly Income" dataDxfId="144" totalsRowDxfId="143" dataCellStyle="Comma">
      <calculatedColumnFormula>IF(ISNUMBER($AL7),($AX7*$AL7)-$AI7-$AK7,MAX(0,IF($AL7="B",IF($AX7&lt;Setup!$C$32,($AX7*Setup!$D$32)-$AI7-$AK7,(($AX7-VLOOKUP($AX7,TaxAll2,1,1))*OFFSET(Setup!$D$32,MATCH($AX7,TaxBracket2,1),0,1,1))+OFFSET(Setup!$E$31,MATCH($AX7,TaxBracket2,1),0,1,1)-$AI7-$AK7),IF($AX7&lt;Setup!$C$21,($AX7*Setup!$D$21)-$AI7-$AK7,(($AX7-VLOOKUP($AX7,TaxAll1,1,1))*OFFSET(Setup!$D$21,MATCH($AX7,TaxBracket1,1),0,1,1))+OFFSET(Setup!$E$20,MATCH($AX7,TaxBracket1,1),0,1,1)-$AI7-$AK7))))</calculatedColumnFormula>
    </tableColumn>
    <tableColumn id="99" xr3:uid="{00000000-0010-0000-0100-000063000000}" name="Tax On Non-Monthly Inc" dataDxfId="142" totalsRowDxfId="141" dataCellStyle="Comma">
      <calculatedColumnFormula>AZ7-BA7</calculatedColumnFormula>
    </tableColumn>
    <tableColumn id="22" xr3:uid="{00000000-0010-0000-0100-000016000000}" name="Earnings % _x000a_Month" dataDxfId="140" totalsRowDxfId="139" dataCellStyle="Percent">
      <calculatedColumnFormula>IF($AA7=0,0,IF($BE7=0,0,(SUMPRODUCT((PayEmp=$C7)*(PayDate&lt;=$AC7)*(ISERROR(SEARCH(PayEarnCode,O$4)))*(PayEarnType="Monthly")*(PayEarnValues))/$AA7*12)/$BE7))</calculatedColumnFormula>
    </tableColumn>
    <tableColumn id="36" xr3:uid="{00000000-0010-0000-0100-000024000000}" name="Earnings % _x000a_Annual" dataDxfId="138" totalsRowDxfId="137" dataCellStyle="Percent">
      <calculatedColumnFormula>IF($BE7=0,0,(SUMPRODUCT((PayEmp=$C7)*(PayDate&lt;=$AC7)*(ISERROR(SEARCH(PayEarnCode,N$4)))*(PayEarnType="Annual")*(PayEarnValues)))/$BE7)</calculatedColumnFormula>
    </tableColumn>
    <tableColumn id="54" xr3:uid="{00000000-0010-0000-0100-000036000000}" name="Earnings Total Amount" dataDxfId="136" totalsRowDxfId="135" dataCellStyle="Comma">
      <calculatedColumnFormula>IF($AA7=0,0,((SUMPRODUCT((PayEmp=$C7)*(PayDate&lt;=$AC7)*(ISERROR(SEARCH(PayEarnCode,O$4)))*(PayEarnType="Monthly")*(PayEarnValues))/$AA7*12)+(SUMPRODUCT((PayEmp=$C7)*(PayDate&lt;=$AC7)*(ISERROR(SEARCH(PayEarnCode,N$4)))*(PayEarnType="Annual")*(PayEarnValues)))))</calculatedColumnFormula>
    </tableColumn>
  </tableColumns>
  <tableStyleInfo name="TableStyleLight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2000000}" name="Override" displayName="Override" ref="A4:K11" totalsRowShown="0" headerRowDxfId="134" dataDxfId="132" headerRowBorderDxfId="133">
  <autoFilter ref="A4:K11" xr:uid="{00000000-0009-0000-0100-000005000000}"/>
  <sortState xmlns:xlrd2="http://schemas.microsoft.com/office/spreadsheetml/2017/richdata2" ref="A5:J8">
    <sortCondition ref="A4:A8"/>
  </sortState>
  <tableColumns count="11">
    <tableColumn id="9" xr3:uid="{00000000-0010-0000-0200-000009000000}" name="Override Date" dataDxfId="131"/>
    <tableColumn id="1" xr3:uid="{00000000-0010-0000-0200-000001000000}" name="Employee Number" dataDxfId="130"/>
    <tableColumn id="8" xr3:uid="{1761034D-F15C-401B-9BFF-EA020BBC4B3C}" name="Earnings Code" dataDxfId="129" dataCellStyle="Comma"/>
    <tableColumn id="2" xr3:uid="{00000000-0010-0000-0200-000002000000}" name="Income Tax Code" dataDxfId="128" dataCellStyle="Comma"/>
    <tableColumn id="4" xr3:uid="{00000000-0010-0000-0200-000004000000}" name="Medical Tax Credit Code" dataDxfId="127" dataCellStyle="Comma"/>
    <tableColumn id="3" xr3:uid="{00000000-0010-0000-0200-000003000000}" name="Deduction Code" dataDxfId="126"/>
    <tableColumn id="5" xr3:uid="{00000000-0010-0000-0200-000005000000}" name="Co-Contrib Code" dataDxfId="125" dataCellStyle="Comma"/>
    <tableColumn id="21" xr3:uid="{00000000-0010-0000-0200-000015000000}" name="Override Value" dataDxfId="124" dataCellStyle="Comma"/>
    <tableColumn id="6" xr3:uid="{00000000-0010-0000-0200-000006000000}" name="Override End Date" dataDxfId="123" dataCellStyle="Comma"/>
    <tableColumn id="14" xr3:uid="{00000000-0010-0000-0200-00000E000000}" name="Employee Name" dataDxfId="122" dataCellStyle="Comma">
      <calculatedColumnFormula>IF(ISNA(VLOOKUP($B5,EmpAll,COLUMN(Emp!$B$4),0)),"-",VLOOKUP($B5,EmpAll,COLUMN(Emp!$B$4),0))</calculatedColumnFormula>
    </tableColumn>
    <tableColumn id="7" xr3:uid="{00000000-0010-0000-0200-000007000000}" name="End Date" dataDxfId="121">
      <calculatedColumnFormula>IF(ISBLANK(A5),Setup!$D$12,IF(ISBLANK(I5),DATE(YEAR(A5),MONTH(A5)+1,0),DATE(YEAR(I5),MONTH(I5)+1,0)))</calculatedColumnFormula>
    </tableColumn>
  </tableColumns>
  <tableStyleInfo name="TableStyleLight9"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3000000}" name="Summary" displayName="Summary" ref="A5:X17" headerRowDxfId="118" dataDxfId="116" totalsRowDxfId="114" headerRowBorderDxfId="117" tableBorderDxfId="115" headerRowCellStyle="Comma">
  <autoFilter ref="A5:X17" xr:uid="{00000000-0009-0000-0100-000003000000}"/>
  <sortState xmlns:xlrd2="http://schemas.microsoft.com/office/spreadsheetml/2017/richdata2" ref="A6:F15">
    <sortCondition ref="A6:A15"/>
  </sortState>
  <tableColumns count="24">
    <tableColumn id="1" xr3:uid="{00000000-0010-0000-0300-000001000000}" name="Month" totalsRowLabel="Total" dataDxfId="113" totalsRowDxfId="112" dataCellStyle="Comma"/>
    <tableColumn id="3" xr3:uid="{00000000-0010-0000-0300-000003000000}" name="Earnings1" totalsRowFunction="sum" dataDxfId="111" totalsRowDxfId="110" dataCellStyle="Comma">
      <calculatedColumnFormula array="1">IF(OR(ISBLANK(B$4),B$4="Not Used"),0,SUMIFS(OFFSET(Payroll!$G$6,1,COLUMN(B$1)-COLUMN($B$1),PayCount,1),PayDate,"&gt;="&amp;DATE(YEAR($A6),MONTH($A6),1),PayDate,"&lt;"&amp;DATE(YEAR($A6),MONTH($A6)+1,1),PayDept,$C$1,PayEmp,$C$2))</calculatedColumnFormula>
    </tableColumn>
    <tableColumn id="20" xr3:uid="{00000000-0010-0000-0300-000014000000}" name="Earnings2" totalsRowFunction="sum" dataDxfId="109" totalsRowDxfId="108" dataCellStyle="Comma">
      <calculatedColumnFormula array="1">IF(OR(ISBLANK(C$4),C$4="Not Used"),0,SUMIFS(OFFSET(Payroll!$G$6,1,COLUMN(C$1)-COLUMN($B$1),PayCount,1),PayDate,"&gt;="&amp;DATE(YEAR($A6),MONTH($A6),1),PayDate,"&lt;"&amp;DATE(YEAR($A6),MONTH($A6)+1,1),PayDept,$C$1,PayEmp,$C$2))</calculatedColumnFormula>
    </tableColumn>
    <tableColumn id="11" xr3:uid="{00000000-0010-0000-0300-00000B000000}" name="Earnings3" totalsRowFunction="sum" dataDxfId="107" totalsRowDxfId="106" dataCellStyle="Comma">
      <calculatedColumnFormula array="1">IF(OR(ISBLANK(D$4),D$4="Not Used"),0,SUMIFS(OFFSET(Payroll!$G$6,1,COLUMN(D$1)-COLUMN($B$1),PayCount,1),PayDate,"&gt;="&amp;DATE(YEAR($A6),MONTH($A6),1),PayDate,"&lt;"&amp;DATE(YEAR($A6),MONTH($A6)+1,1),PayDept,$C$1,PayEmp,$C$2))</calculatedColumnFormula>
    </tableColumn>
    <tableColumn id="29" xr3:uid="{00000000-0010-0000-0300-00001D000000}" name="Earnings4" totalsRowFunction="sum" dataDxfId="105" totalsRowDxfId="104" dataCellStyle="Comma">
      <calculatedColumnFormula array="1">IF(OR(ISBLANK(E$4),E$4="Not Used"),0,SUMIFS(OFFSET(Payroll!$G$6,1,COLUMN(E$1)-COLUMN($B$1),PayCount,1),PayDate,"&gt;="&amp;DATE(YEAR($A6),MONTH($A6),1),PayDate,"&lt;"&amp;DATE(YEAR($A6),MONTH($A6)+1,1),PayDept,$C$1,PayEmp,$C$2))</calculatedColumnFormula>
    </tableColumn>
    <tableColumn id="2" xr3:uid="{00000000-0010-0000-0300-000002000000}" name="Earnings5" totalsRowFunction="sum" dataDxfId="103" totalsRowDxfId="102" dataCellStyle="Comma">
      <calculatedColumnFormula array="1">IF(OR(ISBLANK(F$4),F$4="Not Used"),0,SUMIFS(OFFSET(Payroll!$G$6,1,COLUMN(F$1)-COLUMN($B$1),PayCount,1),PayDate,"&gt;="&amp;DATE(YEAR($A6),MONTH($A6),1),PayDate,"&lt;"&amp;DATE(YEAR($A6),MONTH($A6)+1,1),PayDept,$C$1,PayEmp,$C$2))</calculatedColumnFormula>
    </tableColumn>
    <tableColumn id="9" xr3:uid="{00000000-0010-0000-0300-000009000000}" name="Gross Pay" totalsRowFunction="sum" dataDxfId="101" totalsRowDxfId="100" dataCellStyle="Comma">
      <calculatedColumnFormula>SUM(OFFSET($B6,0,0,1,COLUMN(G$1)-COLUMN($B$1)))</calculatedColumnFormula>
    </tableColumn>
    <tableColumn id="15" xr3:uid="{00000000-0010-0000-0300-00000F000000}" name="Income Tax (PAYE)" totalsRowFunction="sum" dataDxfId="99" totalsRowDxfId="98" dataCellStyle="Comma">
      <calculatedColumnFormula>SUMIFS(PayTaxDeduct,PayDate,"&gt;="&amp;DATE(YEAR($A6),MONTH($A6),1),PayDate,"&lt;"&amp;DATE(YEAR($A6),MONTH($A6)+1,1),PayDept,$C$1,PayEmp,$C$2)</calculatedColumnFormula>
    </tableColumn>
    <tableColumn id="17" xr3:uid="{00000000-0010-0000-0300-000011000000}" name="Deduct1" totalsRowFunction="sum" dataDxfId="97" totalsRowDxfId="96" dataCellStyle="Comma">
      <calculatedColumnFormula array="1">IF(OR(ISBLANK(I$4),I$4="Not Used"),0,SUMIFS(OFFSET(Payroll!$N$6,1,COLUMN(I$1)-COLUMN($I$1),PayCount,1),PayDate,"&gt;="&amp;DATE(YEAR($A6),MONTH($A6),1),PayDate,"&lt;"&amp;DATE(YEAR($A6),MONTH($A6)+1,1),PayDept,$C$1,PayEmp,$C$2))</calculatedColumnFormula>
    </tableColumn>
    <tableColumn id="18" xr3:uid="{00000000-0010-0000-0300-000012000000}" name="Deduct2" totalsRowFunction="sum" dataDxfId="95" totalsRowDxfId="94" dataCellStyle="Comma">
      <calculatedColumnFormula array="1">IF(OR(ISBLANK(J$4),J$4="Not Used"),0,SUMIFS(OFFSET(Payroll!$N$6,1,COLUMN(J$1)-COLUMN($I$1),PayCount,1),PayDate,"&gt;="&amp;DATE(YEAR($A6),MONTH($A6),1),PayDate,"&lt;"&amp;DATE(YEAR($A6),MONTH($A6)+1,1),PayDept,$C$1,PayEmp,$C$2))</calculatedColumnFormula>
    </tableColumn>
    <tableColumn id="25" xr3:uid="{00000000-0010-0000-0300-000019000000}" name="Deduct3" totalsRowFunction="sum" dataDxfId="93" totalsRowDxfId="92" dataCellStyle="Comma">
      <calculatedColumnFormula array="1">IF(OR(ISBLANK(K$4),K$4="Not Used"),0,SUMIFS(OFFSET(Payroll!$N$6,1,COLUMN(K$1)-COLUMN($I$1),PayCount,1),PayDate,"&gt;="&amp;DATE(YEAR($A6),MONTH($A6),1),PayDate,"&lt;"&amp;DATE(YEAR($A6),MONTH($A6)+1,1),PayDept,$C$1,PayEmp,$C$2))</calculatedColumnFormula>
    </tableColumn>
    <tableColumn id="24" xr3:uid="{00000000-0010-0000-0300-000018000000}" name="Deduct4" totalsRowFunction="sum" dataDxfId="91" totalsRowDxfId="90" dataCellStyle="Comma">
      <calculatedColumnFormula array="1">IF(OR(ISBLANK(L$4),L$4="Not Used"),0,SUMIFS(OFFSET(Payroll!$N$6,1,COLUMN(L$1)-COLUMN($I$1),PayCount,1),PayDate,"&gt;="&amp;DATE(YEAR($A6),MONTH($A6),1),PayDate,"&lt;"&amp;DATE(YEAR($A6),MONTH($A6)+1,1),PayDept,$C$1,PayEmp,$C$2))</calculatedColumnFormula>
    </tableColumn>
    <tableColumn id="35" xr3:uid="{00000000-0010-0000-0300-000023000000}" name="Total Deductions" dataDxfId="89" totalsRowDxfId="88" dataCellStyle="Comma">
      <calculatedColumnFormula>SUM(OFFSET($H6,0,0,1,COLUMN(M$1)-COLUMN($H$1)))</calculatedColumnFormula>
    </tableColumn>
    <tableColumn id="34" xr3:uid="{00000000-0010-0000-0300-000022000000}" name="Net Pay" dataDxfId="87" totalsRowDxfId="86" dataCellStyle="Comma">
      <calculatedColumnFormula>SUM(G6,-M6)</calculatedColumnFormula>
    </tableColumn>
    <tableColumn id="33" xr3:uid="{00000000-0010-0000-0300-000021000000}" name="Co-Contrib1" dataDxfId="85" totalsRowDxfId="84" dataCellStyle="Comma">
      <calculatedColumnFormula array="1">IF(OR(ISBLANK(O$4),O$4="Not Used"),0,SUMIFS(OFFSET(Payroll!$T$6,1,COLUMN(O$1)-COLUMN($O$1),PayCount,1),PayDate,"&gt;="&amp;DATE(YEAR($A6),MONTH($A6),1),PayDate,"&lt;"&amp;DATE(YEAR($A6),MONTH($A6)+1,1),PayDept,$C$1,PayEmp,$C$2))</calculatedColumnFormula>
    </tableColumn>
    <tableColumn id="32" xr3:uid="{00000000-0010-0000-0300-000020000000}" name="Co-Contrib2" dataDxfId="83" totalsRowDxfId="82" dataCellStyle="Comma">
      <calculatedColumnFormula array="1">IF(OR(ISBLANK(P$4),P$4="Not Used"),0,SUMIFS(OFFSET(Payroll!$T$6,1,COLUMN(P$1)-COLUMN($O$1),PayCount,1),PayDate,"&gt;="&amp;DATE(YEAR($A6),MONTH($A6),1),PayDate,"&lt;"&amp;DATE(YEAR($A6),MONTH($A6)+1,1),PayDept,$C$1,PayEmp,$C$2))</calculatedColumnFormula>
    </tableColumn>
    <tableColumn id="7" xr3:uid="{00000000-0010-0000-0300-000007000000}" name="Co-Contrib3" totalsRowFunction="sum" dataDxfId="81" totalsRowDxfId="80" dataCellStyle="Comma">
      <calculatedColumnFormula array="1">IF(OR(ISBLANK(Q$4),Q$4="Not Used"),0,SUMIFS(OFFSET(Payroll!$T$6,1,COLUMN(Q$1)-COLUMN($O$1),PayCount,1),PayDate,"&gt;="&amp;DATE(YEAR($A6),MONTH($A6),1),PayDate,"&lt;"&amp;DATE(YEAR($A6),MONTH($A6)+1,1),PayDept,$C$1,PayEmp,$C$2))</calculatedColumnFormula>
    </tableColumn>
    <tableColumn id="8" xr3:uid="{00000000-0010-0000-0300-000008000000}" name="Co-Contrib4" totalsRowFunction="sum" dataDxfId="79" totalsRowDxfId="78" dataCellStyle="Comma">
      <calculatedColumnFormula array="1">IF(OR(ISBLANK(R$4),R$4="Not Used"),0,SUMIFS(OFFSET(Payroll!$T$6,1,COLUMN(R$1)-COLUMN($O$1),PayCount,1),PayDate,"&gt;="&amp;DATE(YEAR($A6),MONTH($A6),1),PayDate,"&lt;"&amp;DATE(YEAR($A6),MONTH($A6)+1,1),PayDept,$C$1,PayEmp,$C$2))</calculatedColumnFormula>
    </tableColumn>
    <tableColumn id="26" xr3:uid="{00000000-0010-0000-0300-00001A000000}" name="Total Co Contributions" totalsRowFunction="sum" dataDxfId="77" totalsRowDxfId="76" dataCellStyle="Comma">
      <calculatedColumnFormula>SUM(OFFSET($O6,0,0,1,COLUMN(S$1)-COLUMN($O$1)))</calculatedColumnFormula>
    </tableColumn>
    <tableColumn id="28" xr3:uid="{00000000-0010-0000-0300-00001C000000}" name="Deductions &amp; Co-Contrib" totalsRowFunction="sum" dataDxfId="75" totalsRowDxfId="74" dataCellStyle="Comma">
      <calculatedColumnFormula>M6+S6</calculatedColumnFormula>
    </tableColumn>
    <tableColumn id="27" xr3:uid="{00000000-0010-0000-0300-00001B000000}" name="Total Cost To Company" totalsRowFunction="sum" dataDxfId="73" totalsRowDxfId="72" dataCellStyle="Comma">
      <calculatedColumnFormula>G6+S6</calculatedColumnFormula>
    </tableColumn>
    <tableColumn id="41" xr3:uid="{00000000-0010-0000-0300-000029000000}" name="User _x000a_Defined1" dataDxfId="71" totalsRowDxfId="70" dataCellStyle="Comma">
      <calculatedColumnFormula>IF(ISBLANK(V$4),0,SUMIFS(OFFSET($H6,0,0,1,COLUMN($U$1)-COLUMN($H$1)),OFFSET($H$4,0,0,1,COLUMN($U$1)-COLUMN($H$1)),V$4))</calculatedColumnFormula>
    </tableColumn>
    <tableColumn id="42" xr3:uid="{00000000-0010-0000-0300-00002A000000}" name="User _x000a_Defined2" dataDxfId="69" totalsRowDxfId="68" dataCellStyle="Comma">
      <calculatedColumnFormula>IF(ISBLANK(W$4),0,SUMIFS(OFFSET($H6,0,0,1,COLUMN($U$1)-COLUMN($H$1)),OFFSET($H$4,0,0,1,COLUMN($U$1)-COLUMN($H$1)),W$4))</calculatedColumnFormula>
    </tableColumn>
    <tableColumn id="43" xr3:uid="{00000000-0010-0000-0300-00002B000000}" name="User _x000a_Defined3" dataDxfId="67" totalsRowDxfId="66" dataCellStyle="Comma">
      <calculatedColumnFormula>IF(ISBLANK(X$4),0,SUMIFS(OFFSET($H6,0,0,1,COLUMN($U$1)-COLUMN($H$1)),OFFSET($H$4,0,0,1,COLUMN($U$1)-COLUMN($H$1)),X$4))</calculatedColumnFormula>
    </tableColumn>
  </tableColumns>
  <tableStyleInfo name="TableStyleLight9"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4000000}" name="MonthlyEmp" displayName="MonthlyEmp" ref="A5:N55" headerRowDxfId="65" dataDxfId="63" totalsRowDxfId="62" headerRowBorderDxfId="64" headerRowCellStyle="Comma">
  <autoFilter ref="A5:N55" xr:uid="{00000000-0009-0000-0100-000004000000}"/>
  <tableColumns count="14">
    <tableColumn id="11" xr3:uid="{00000000-0010-0000-0400-00000B000000}" name="Employee Number" dataDxfId="61" totalsRowDxfId="60" dataCellStyle="Comma">
      <calculatedColumnFormula>IF(OFFSET(Emp!$A$4,ROW($C6)-ROW($C$5),0,1,1)=0,"-",OFFSET(Emp!$A$4,ROW($C6)-ROW($C$5),0,1,1))</calculatedColumnFormula>
    </tableColumn>
    <tableColumn id="2" xr3:uid="{00000000-0010-0000-0400-000002000000}" name="Employee Name" dataDxfId="59" totalsRowDxfId="58" dataCellStyle="Comma">
      <calculatedColumnFormula>IF(ISNA(VLOOKUP($A6,EmpAll,COLUMN(Emp!$B$1),0))=TRUE,"-",VLOOKUP($A6,EmpAll,COLUMN(Emp!$B$1),0))</calculatedColumnFormula>
    </tableColumn>
    <tableColumn id="3" xr3:uid="{00000000-0010-0000-0400-000003000000}" name="Month1" totalsRowFunction="sum" dataDxfId="57" totalsRowDxfId="56" dataCellStyle="Comma">
      <calculatedColumnFormula array="1">SUMIFS(OFFSET(Payroll!$A$6,1,$F$2-1,PayCount,1),PayEmp,$A6,PayDate,"&gt;="&amp;DATE(YEAR(C$4),MONTH(C$4),1),PayDate,"&lt;"&amp;DATE(YEAR(C$4),MONTH(C$4)+1,1))</calculatedColumnFormula>
    </tableColumn>
    <tableColumn id="27" xr3:uid="{00000000-0010-0000-0400-00001B000000}" name="Month2" totalsRowFunction="sum" dataDxfId="55" totalsRowDxfId="54" dataCellStyle="Comma">
      <calculatedColumnFormula array="1">SUMIFS(OFFSET(Payroll!$A$6,1,$F$2-1,PayCount,1),PayEmp,$A6,PayDate,"&gt;="&amp;DATE(YEAR(D$4),MONTH(D$4),1),PayDate,"&lt;"&amp;DATE(YEAR(D$4),MONTH(D$4)+1,1))</calculatedColumnFormula>
    </tableColumn>
    <tableColumn id="26" xr3:uid="{00000000-0010-0000-0400-00001A000000}" name="Month3" totalsRowFunction="sum" dataDxfId="53" totalsRowDxfId="52" dataCellStyle="Comma">
      <calculatedColumnFormula array="1">SUMIFS(OFFSET(Payroll!$A$6,1,$F$2-1,PayCount,1),PayEmp,$A6,PayDate,"&gt;="&amp;DATE(YEAR(E$4),MONTH(E$4),1),PayDate,"&lt;"&amp;DATE(YEAR(E$4),MONTH(E$4)+1,1))</calculatedColumnFormula>
    </tableColumn>
    <tableColumn id="25" xr3:uid="{00000000-0010-0000-0400-000019000000}" name="Month4" totalsRowFunction="sum" dataDxfId="51" totalsRowDxfId="50" dataCellStyle="Comma">
      <calculatedColumnFormula array="1">SUMIFS(OFFSET(Payroll!$A$6,1,$F$2-1,PayCount,1),PayEmp,$A6,PayDate,"&gt;="&amp;DATE(YEAR(F$4),MONTH(F$4),1),PayDate,"&lt;"&amp;DATE(YEAR(F$4),MONTH(F$4)+1,1))</calculatedColumnFormula>
    </tableColumn>
    <tableColumn id="20" xr3:uid="{00000000-0010-0000-0400-000014000000}" name="Month5" totalsRowFunction="sum" dataDxfId="49" totalsRowDxfId="48" dataCellStyle="Comma">
      <calculatedColumnFormula array="1">SUMIFS(OFFSET(Payroll!$A$6,1,$F$2-1,PayCount,1),PayEmp,$A6,PayDate,"&gt;="&amp;DATE(YEAR(G$4),MONTH(G$4),1),PayDate,"&lt;"&amp;DATE(YEAR(G$4),MONTH(G$4)+1,1))</calculatedColumnFormula>
    </tableColumn>
    <tableColumn id="32" xr3:uid="{00000000-0010-0000-0400-000020000000}" name="Month6" totalsRowFunction="sum" dataDxfId="47" totalsRowDxfId="46" dataCellStyle="Comma">
      <calculatedColumnFormula array="1">SUMIFS(OFFSET(Payroll!$A$6,1,$F$2-1,PayCount,1),PayEmp,$A6,PayDate,"&gt;="&amp;DATE(YEAR(H$4),MONTH(H$4),1),PayDate,"&lt;"&amp;DATE(YEAR(H$4),MONTH(H$4)+1,1))</calculatedColumnFormula>
    </tableColumn>
    <tableColumn id="31" xr3:uid="{00000000-0010-0000-0400-00001F000000}" name="Month7" totalsRowFunction="sum" dataDxfId="45" totalsRowDxfId="44" dataCellStyle="Comma">
      <calculatedColumnFormula array="1">SUMIFS(OFFSET(Payroll!$A$6,1,$F$2-1,PayCount,1),PayEmp,$A6,PayDate,"&gt;="&amp;DATE(YEAR(I$4),MONTH(I$4),1),PayDate,"&lt;"&amp;DATE(YEAR(I$4),MONTH(I$4)+1,1))</calculatedColumnFormula>
    </tableColumn>
    <tableColumn id="29" xr3:uid="{00000000-0010-0000-0400-00001D000000}" name="Month8" totalsRowFunction="sum" dataDxfId="43" totalsRowDxfId="42" dataCellStyle="Comma">
      <calculatedColumnFormula array="1">SUMIFS(OFFSET(Payroll!$A$6,1,$F$2-1,PayCount,1),PayEmp,$A6,PayDate,"&gt;="&amp;DATE(YEAR(J$4),MONTH(J$4),1),PayDate,"&lt;"&amp;DATE(YEAR(J$4),MONTH(J$4)+1,1))</calculatedColumnFormula>
    </tableColumn>
    <tableColumn id="28" xr3:uid="{00000000-0010-0000-0400-00001C000000}" name="Month9" totalsRowFunction="sum" dataDxfId="41" totalsRowDxfId="40" dataCellStyle="Comma">
      <calculatedColumnFormula array="1">SUMIFS(OFFSET(Payroll!$A$6,1,$F$2-1,PayCount,1),PayEmp,$A6,PayDate,"&gt;="&amp;DATE(YEAR(K$4),MONTH(K$4),1),PayDate,"&lt;"&amp;DATE(YEAR(K$4),MONTH(K$4)+1,1))</calculatedColumnFormula>
    </tableColumn>
    <tableColumn id="10" xr3:uid="{00000000-0010-0000-0400-00000A000000}" name="Month10" totalsRowFunction="sum" dataDxfId="39" totalsRowDxfId="38" dataCellStyle="Comma">
      <calculatedColumnFormula array="1">SUMIFS(OFFSET(Payroll!$A$6,1,$F$2-1,PayCount,1),PayEmp,$A6,PayDate,"&gt;="&amp;DATE(YEAR(L$4),MONTH(L$4),1),PayDate,"&lt;"&amp;DATE(YEAR(L$4),MONTH(L$4)+1,1))</calculatedColumnFormula>
    </tableColumn>
    <tableColumn id="9" xr3:uid="{00000000-0010-0000-0400-000009000000}" name="Month11" totalsRowFunction="sum" dataDxfId="37" totalsRowDxfId="36" dataCellStyle="Comma">
      <calculatedColumnFormula array="1">SUMIFS(OFFSET(Payroll!$A$6,1,$F$2-1,PayCount,1),PayEmp,$A6,PayDate,"&gt;="&amp;DATE(YEAR(M$4),MONTH(M$4),1),PayDate,"&lt;"&amp;DATE(YEAR(M$4),MONTH(M$4)+1,1))</calculatedColumnFormula>
    </tableColumn>
    <tableColumn id="8" xr3:uid="{00000000-0010-0000-0400-000008000000}" name="Month12" totalsRowFunction="sum" dataDxfId="35" totalsRowDxfId="34" dataCellStyle="Comma">
      <calculatedColumnFormula array="1">SUMIFS(OFFSET(Payroll!$A$6,1,$F$2-1,PayCount,1),PayEmp,$A6,PayDate,"&gt;="&amp;DATE(YEAR(N$4),MONTH(N$4),1),PayDate,"&lt;"&amp;DATE(YEAR(N$4),MONTH(N$4)+1,1))</calculatedColumnFormula>
    </tableColumn>
  </tableColumns>
  <tableStyleInfo name="TableStyleLight9"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5000000}" name="MonthlyDept" displayName="MonthlyDept" ref="A5:O20" headerRowDxfId="33" dataDxfId="31" totalsRowDxfId="30" headerRowBorderDxfId="32" headerRowCellStyle="Comma">
  <autoFilter ref="A5:O20" xr:uid="{00000000-0009-0000-0100-000008000000}"/>
  <tableColumns count="15">
    <tableColumn id="11" xr3:uid="{00000000-0010-0000-0500-00000B000000}" name="Department Code" dataDxfId="29" totalsRowDxfId="28" dataCellStyle="Comma">
      <calculatedColumnFormula>IF(ROW($D6)-ROW($D$6)+1&gt;DeptCount,"-",OFFSET(Setup!$A$89,ROW($D6)-ROW($D$5),0,1,1))</calculatedColumnFormula>
    </tableColumn>
    <tableColumn id="2" xr3:uid="{00000000-0010-0000-0500-000002000000}" name="Department Name" dataDxfId="27" totalsRowDxfId="26" dataCellStyle="Comma">
      <calculatedColumnFormula>IF(ISNA(VLOOKUP($A6,DeptAll,COLUMN(Emp!$B$1),0))=TRUE,"-",VLOOKUP($A6,DeptAll,COLUMN(Emp!$B$1),0))</calculatedColumnFormula>
    </tableColumn>
    <tableColumn id="1" xr3:uid="{00000000-0010-0000-0500-000001000000}" name="Cost Centre" dataDxfId="25" totalsRowDxfId="24" dataCellStyle="Comma">
      <calculatedColumnFormula>IF(ISNA(VLOOKUP($A6,DeptAll,COLUMN(Emp!$E$1),0))=TRUE,"-",VLOOKUP($A6,DeptAll,COLUMN(Emp!$E$1),0))</calculatedColumnFormula>
    </tableColumn>
    <tableColumn id="3" xr3:uid="{00000000-0010-0000-0500-000003000000}" name="Month1" totalsRowFunction="sum" dataDxfId="23" totalsRowDxfId="22" dataCellStyle="Comma">
      <calculatedColumnFormula array="1">SUMIFS(OFFSET(Payroll!$A$6,1,$G$2-1,PayCount,1),PayDept,$A6,PayDate,"&gt;="&amp;DATE(YEAR(D$4),MONTH(D$4),1),PayDate,"&lt;"&amp;DATE(YEAR(D$4),MONTH(D$4)+1,1))</calculatedColumnFormula>
    </tableColumn>
    <tableColumn id="27" xr3:uid="{00000000-0010-0000-0500-00001B000000}" name="Month2" totalsRowFunction="sum" dataDxfId="21" totalsRowDxfId="20" dataCellStyle="Comma">
      <calculatedColumnFormula array="1">SUMIFS(OFFSET(Payroll!$A$6,1,$G$2-1,PayCount,1),PayDept,$A6,PayDate,"&gt;="&amp;DATE(YEAR(E$4),MONTH(E$4),1),PayDate,"&lt;"&amp;DATE(YEAR(E$4),MONTH(E$4)+1,1))</calculatedColumnFormula>
    </tableColumn>
    <tableColumn id="26" xr3:uid="{00000000-0010-0000-0500-00001A000000}" name="Month3" totalsRowFunction="sum" dataDxfId="19" totalsRowDxfId="18" dataCellStyle="Comma">
      <calculatedColumnFormula array="1">SUMIFS(OFFSET(Payroll!$A$6,1,$G$2-1,PayCount,1),PayDept,$A6,PayDate,"&gt;="&amp;DATE(YEAR(F$4),MONTH(F$4),1),PayDate,"&lt;"&amp;DATE(YEAR(F$4),MONTH(F$4)+1,1))</calculatedColumnFormula>
    </tableColumn>
    <tableColumn id="25" xr3:uid="{00000000-0010-0000-0500-000019000000}" name="Month4" totalsRowFunction="sum" dataDxfId="17" totalsRowDxfId="16" dataCellStyle="Comma">
      <calculatedColumnFormula array="1">SUMIFS(OFFSET(Payroll!$A$6,1,$G$2-1,PayCount,1),PayDept,$A6,PayDate,"&gt;="&amp;DATE(YEAR(G$4),MONTH(G$4),1),PayDate,"&lt;"&amp;DATE(YEAR(G$4),MONTH(G$4)+1,1))</calculatedColumnFormula>
    </tableColumn>
    <tableColumn id="20" xr3:uid="{00000000-0010-0000-0500-000014000000}" name="Month5" totalsRowFunction="sum" dataDxfId="15" totalsRowDxfId="14" dataCellStyle="Comma">
      <calculatedColumnFormula array="1">SUMIFS(OFFSET(Payroll!$A$6,1,$G$2-1,PayCount,1),PayDept,$A6,PayDate,"&gt;="&amp;DATE(YEAR(H$4),MONTH(H$4),1),PayDate,"&lt;"&amp;DATE(YEAR(H$4),MONTH(H$4)+1,1))</calculatedColumnFormula>
    </tableColumn>
    <tableColumn id="32" xr3:uid="{00000000-0010-0000-0500-000020000000}" name="Month6" totalsRowFunction="sum" dataDxfId="13" totalsRowDxfId="12" dataCellStyle="Comma">
      <calculatedColumnFormula array="1">SUMIFS(OFFSET(Payroll!$A$6,1,$G$2-1,PayCount,1),PayDept,$A6,PayDate,"&gt;="&amp;DATE(YEAR(I$4),MONTH(I$4),1),PayDate,"&lt;"&amp;DATE(YEAR(I$4),MONTH(I$4)+1,1))</calculatedColumnFormula>
    </tableColumn>
    <tableColumn id="31" xr3:uid="{00000000-0010-0000-0500-00001F000000}" name="Month7" totalsRowFunction="sum" dataDxfId="11" totalsRowDxfId="10" dataCellStyle="Comma">
      <calculatedColumnFormula array="1">SUMIFS(OFFSET(Payroll!$A$6,1,$G$2-1,PayCount,1),PayDept,$A6,PayDate,"&gt;="&amp;DATE(YEAR(J$4),MONTH(J$4),1),PayDate,"&lt;"&amp;DATE(YEAR(J$4),MONTH(J$4)+1,1))</calculatedColumnFormula>
    </tableColumn>
    <tableColumn id="29" xr3:uid="{00000000-0010-0000-0500-00001D000000}" name="Month8" totalsRowFunction="sum" dataDxfId="9" totalsRowDxfId="8" dataCellStyle="Comma">
      <calculatedColumnFormula array="1">SUMIFS(OFFSET(Payroll!$A$6,1,$G$2-1,PayCount,1),PayDept,$A6,PayDate,"&gt;="&amp;DATE(YEAR(K$4),MONTH(K$4),1),PayDate,"&lt;"&amp;DATE(YEAR(K$4),MONTH(K$4)+1,1))</calculatedColumnFormula>
    </tableColumn>
    <tableColumn id="28" xr3:uid="{00000000-0010-0000-0500-00001C000000}" name="Month9" totalsRowFunction="sum" dataDxfId="7" totalsRowDxfId="6" dataCellStyle="Comma">
      <calculatedColumnFormula array="1">SUMIFS(OFFSET(Payroll!$A$6,1,$G$2-1,PayCount,1),PayDept,$A6,PayDate,"&gt;="&amp;DATE(YEAR(L$4),MONTH(L$4),1),PayDate,"&lt;"&amp;DATE(YEAR(L$4),MONTH(L$4)+1,1))</calculatedColumnFormula>
    </tableColumn>
    <tableColumn id="10" xr3:uid="{00000000-0010-0000-0500-00000A000000}" name="Month10" totalsRowFunction="sum" dataDxfId="5" totalsRowDxfId="4" dataCellStyle="Comma">
      <calculatedColumnFormula array="1">SUMIFS(OFFSET(Payroll!$A$6,1,$G$2-1,PayCount,1),PayDept,$A6,PayDate,"&gt;="&amp;DATE(YEAR(M$4),MONTH(M$4),1),PayDate,"&lt;"&amp;DATE(YEAR(M$4),MONTH(M$4)+1,1))</calculatedColumnFormula>
    </tableColumn>
    <tableColumn id="9" xr3:uid="{00000000-0010-0000-0500-000009000000}" name="Month11" totalsRowFunction="sum" dataDxfId="3" totalsRowDxfId="2" dataCellStyle="Comma">
      <calculatedColumnFormula array="1">SUMIFS(OFFSET(Payroll!$A$6,1,$G$2-1,PayCount,1),PayDept,$A6,PayDate,"&gt;="&amp;DATE(YEAR(N$4),MONTH(N$4),1),PayDate,"&lt;"&amp;DATE(YEAR(N$4),MONTH(N$4)+1,1))</calculatedColumnFormula>
    </tableColumn>
    <tableColumn id="8" xr3:uid="{00000000-0010-0000-0500-000008000000}" name="Month12" totalsRowFunction="sum" dataDxfId="1" totalsRowDxfId="0" dataCellStyle="Comma">
      <calculatedColumnFormula array="1">SUMIFS(OFFSET(Payroll!$A$6,1,$G$2-1,PayCount,1),PayDept,$A6,PayDate,"&gt;="&amp;DATE(YEAR(O$4),MONTH(O$4),1),PayDate,"&lt;"&amp;DATE(YEAR(O$4),MONTH(O$4)+1,1))</calculatedColumnFormula>
    </tableColumn>
  </tableColumns>
  <tableStyleInfo name="TableStyleLight9" showFirstColumn="0" showLastColumn="0" showRowStripes="1" showColumnStripes="0"/>
</table>
</file>

<file path=xl/theme/_rels/theme1.x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Quotable">
  <a:themeElements>
    <a:clrScheme name="Quotable">
      <a:dk1>
        <a:sysClr val="windowText" lastClr="000000"/>
      </a:dk1>
      <a:lt1>
        <a:sysClr val="window" lastClr="FFFFFF"/>
      </a:lt1>
      <a:dk2>
        <a:srgbClr val="212121"/>
      </a:dk2>
      <a:lt2>
        <a:srgbClr val="636363"/>
      </a:lt2>
      <a:accent1>
        <a:srgbClr val="00C6BB"/>
      </a:accent1>
      <a:accent2>
        <a:srgbClr val="6FEBA0"/>
      </a:accent2>
      <a:accent3>
        <a:srgbClr val="B6DF5E"/>
      </a:accent3>
      <a:accent4>
        <a:srgbClr val="EFB251"/>
      </a:accent4>
      <a:accent5>
        <a:srgbClr val="EF755F"/>
      </a:accent5>
      <a:accent6>
        <a:srgbClr val="ED515C"/>
      </a:accent6>
      <a:hlink>
        <a:srgbClr val="8F8F8F"/>
      </a:hlink>
      <a:folHlink>
        <a:srgbClr val="A5A5A5"/>
      </a:folHlink>
    </a:clrScheme>
    <a:fontScheme name="Quotable">
      <a:majorFont>
        <a:latin typeface="Century Gothic" panose="020B0502020202020204"/>
        <a:ea typeface=""/>
        <a:cs typeface=""/>
        <a:font script="Jpan" typeface="ＭＳ ゴシック"/>
        <a:font script="Hang" typeface="맑은 고딕"/>
        <a:font script="Hans" typeface="宋体"/>
        <a:font script="Hant" typeface="新細明體"/>
        <a:font script="Arab" typeface="Tahoma"/>
        <a:font script="Hebr" typeface="Gisha"/>
        <a:font script="Thai" typeface="Dillenia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entury Gothic" panose="020B0502020202020204"/>
        <a:ea typeface=""/>
        <a:cs typeface=""/>
        <a:font script="Jpan" typeface="ＭＳ ゴシック"/>
        <a:font script="Hang" typeface="맑은 고딕"/>
        <a:font script="Hans" typeface="宋体"/>
        <a:font script="Hant" typeface="新細明體"/>
        <a:font script="Arab" typeface="Tahoma"/>
        <a:font script="Hebr" typeface="Gisha"/>
        <a:font script="Thai" typeface="Dillenia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Verdana"/>
        <a:font script="Uigh" typeface="Microsoft Uighur"/>
        <a:font script="Geor" typeface="Sylfaen"/>
      </a:minorFont>
    </a:fontScheme>
    <a:fmtScheme name="Quotable">
      <a:fillStyleLst>
        <a:solidFill>
          <a:schemeClr val="phClr"/>
        </a:solidFill>
        <a:gradFill rotWithShape="1">
          <a:gsLst>
            <a:gs pos="0">
              <a:schemeClr val="phClr">
                <a:tint val="80000"/>
                <a:lumMod val="105000"/>
              </a:schemeClr>
            </a:gs>
            <a:gs pos="100000">
              <a:schemeClr val="phClr">
                <a:tint val="90000"/>
              </a:schemeClr>
            </a:gs>
          </a:gsLst>
          <a:lin ang="5400000" scaled="0"/>
        </a:gradFill>
        <a:blipFill rotWithShape="1">
          <a:blip xmlns:r="http://schemas.openxmlformats.org/officeDocument/2006/relationships" r:embed="rId1">
            <a:duotone>
              <a:schemeClr val="phClr">
                <a:tint val="98000"/>
                <a:lumMod val="102000"/>
              </a:schemeClr>
              <a:schemeClr val="phClr">
                <a:shade val="98000"/>
                <a:lumMod val="98000"/>
              </a:schemeClr>
            </a:duotone>
          </a:blip>
          <a:tile tx="0" ty="0" sx="100000" sy="100000" flip="none" algn="tl"/>
        </a:blipFill>
      </a:fillStyleLst>
      <a:lnStyleLst>
        <a:ln w="9525" cap="rnd" cmpd="sng" algn="ctr">
          <a:solidFill>
            <a:schemeClr val="phClr"/>
          </a:solidFill>
          <a:prstDash val="solid"/>
        </a:ln>
        <a:ln w="15875" cap="rnd" cmpd="sng" algn="ctr">
          <a:solidFill>
            <a:schemeClr val="phClr"/>
          </a:solidFill>
          <a:prstDash val="solid"/>
        </a:ln>
        <a:ln w="25400" cap="rnd" cmpd="sng" algn="ctr">
          <a:solidFill>
            <a:schemeClr val="phClr"/>
          </a:solidFill>
          <a:prstDash val="solid"/>
        </a:ln>
      </a:lnStyleLst>
      <a:effectStyleLst>
        <a:effectStyle>
          <a:effectLst/>
        </a:effectStyle>
        <a:effectStyle>
          <a:effectLst/>
        </a:effectStyle>
        <a:effectStyle>
          <a:effectLst>
            <a:innerShdw blurRad="63500" dist="25400" dir="13500000">
              <a:srgbClr val="000000">
                <a:alpha val="75000"/>
              </a:srgbClr>
            </a:innerShdw>
          </a:effectLst>
        </a:effectStyle>
      </a:effectStyleLst>
      <a:bgFillStyleLst>
        <a:solidFill>
          <a:schemeClr val="phClr"/>
        </a:solidFill>
        <a:gradFill rotWithShape="1">
          <a:gsLst>
            <a:gs pos="0">
              <a:schemeClr val="phClr">
                <a:tint val="100000"/>
              </a:schemeClr>
            </a:gs>
            <a:gs pos="100000">
              <a:schemeClr val="phClr">
                <a:tint val="84000"/>
                <a:shade val="84000"/>
                <a:lumMod val="90000"/>
              </a:schemeClr>
            </a:gs>
          </a:gsLst>
          <a:lin ang="5400000" scaled="0"/>
        </a:gradFill>
        <a:gradFill rotWithShape="1">
          <a:gsLst>
            <a:gs pos="0">
              <a:schemeClr val="phClr">
                <a:tint val="84000"/>
                <a:shade val="90000"/>
                <a:satMod val="120000"/>
                <a:lumMod val="90000"/>
              </a:schemeClr>
            </a:gs>
            <a:gs pos="100000">
              <a:schemeClr val="phClr"/>
            </a:gs>
          </a:gsLst>
          <a:lin ang="5400000" scaled="0"/>
        </a:gradFill>
      </a:bgFillStyleLst>
    </a:fmtScheme>
  </a:themeElements>
  <a:objectDefaults/>
  <a:extraClrSchemeLst/>
  <a:extLst>
    <a:ext uri="{05A4C25C-085E-4340-85A3-A5531E510DB2}">
      <thm15:themeFamily xmlns:thm15="http://schemas.microsoft.com/office/thememl/2012/main" name="Quotable" id="{39EC5628-30ED-4578-ACD8-9820EDB8E15A}" vid="{6F3559E9-1A4C-49D8-94D4-F41003531C49}"/>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table" Target="../tables/table5.xml"/><Relationship Id="rId2" Type="http://schemas.openxmlformats.org/officeDocument/2006/relationships/drawing" Target="../drawings/drawing10.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drawing" Target="../drawings/drawing11.xml"/><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1.bin"/><Relationship Id="rId1" Type="http://schemas.openxmlformats.org/officeDocument/2006/relationships/hyperlink" Target="https://www.excel-skills.com/"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
  <sheetViews>
    <sheetView tabSelected="1" workbookViewId="0">
      <selection activeCell="B2" sqref="B2"/>
    </sheetView>
  </sheetViews>
  <sheetFormatPr defaultColWidth="8.85546875" defaultRowHeight="16.5" x14ac:dyDescent="0.3"/>
  <cols>
    <col min="1" max="16384" width="8.85546875" style="1"/>
  </cols>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pageSetUpPr fitToPage="1"/>
  </sheetPr>
  <dimension ref="A1:Q55"/>
  <sheetViews>
    <sheetView zoomScale="95" zoomScaleNormal="95" zoomScaleSheetLayoutView="100" workbookViewId="0">
      <pane ySplit="5" topLeftCell="A6" activePane="bottomLeft" state="frozen"/>
      <selection pane="bottomLeft" activeCell="A5" sqref="A5"/>
    </sheetView>
  </sheetViews>
  <sheetFormatPr defaultColWidth="9.140625" defaultRowHeight="16.149999999999999" customHeight="1" x14ac:dyDescent="0.25"/>
  <cols>
    <col min="1" max="1" width="10.7109375" style="10" customWidth="1"/>
    <col min="2" max="2" width="30.7109375" style="139" customWidth="1"/>
    <col min="3" max="13" width="13.7109375" style="139" customWidth="1"/>
    <col min="14" max="14" width="13.7109375" style="2" customWidth="1"/>
    <col min="15" max="15" width="15.7109375" style="139" customWidth="1"/>
    <col min="16" max="16" width="15.7109375" style="2" customWidth="1"/>
    <col min="17" max="16384" width="9.140625" style="2"/>
  </cols>
  <sheetData>
    <row r="1" spans="1:17" ht="16.149999999999999" customHeight="1" x14ac:dyDescent="0.25">
      <c r="A1" s="302" t="str">
        <f>Setup!$C$4</f>
        <v>Example (Pty) Limited</v>
      </c>
      <c r="C1" s="351" t="s">
        <v>143</v>
      </c>
      <c r="D1" s="352"/>
    </row>
    <row r="2" spans="1:17" ht="16.149999999999999" customHeight="1" x14ac:dyDescent="0.25">
      <c r="A2" s="6" t="s">
        <v>173</v>
      </c>
      <c r="B2" s="199"/>
      <c r="C2" s="353" t="s">
        <v>16</v>
      </c>
      <c r="D2" s="354"/>
      <c r="E2" s="287" t="str">
        <f>IF(ISBLANK($C$2),"Net Pay",$C$2)</f>
        <v>Net Pay</v>
      </c>
      <c r="F2" s="288">
        <f>IF(ISNA(VLOOKUP($E$2,MonthMeasure,COLUMN(Setup!$C$110)-1,0)),Setup!$C$111,VLOOKUP($E$2,MonthMeasure,COLUMN(Setup!$C$110)-1,0))</f>
        <v>19</v>
      </c>
      <c r="G2" s="143"/>
      <c r="H2" s="143"/>
      <c r="I2" s="143"/>
      <c r="J2" s="143"/>
      <c r="K2" s="143"/>
      <c r="L2" s="143"/>
      <c r="M2" s="143"/>
    </row>
    <row r="3" spans="1:17" s="152" customFormat="1" ht="16.149999999999999" customHeight="1" x14ac:dyDescent="0.2">
      <c r="A3" s="7" t="s">
        <v>168</v>
      </c>
      <c r="B3" s="289"/>
      <c r="C3" s="141" cm="1">
        <f t="array" aca="1" ref="C3" ca="1">SUBTOTAL(109,OFFSET(C$5,1,0,MonthCount,1))</f>
        <v>286615.53000000003</v>
      </c>
      <c r="D3" s="141" cm="1">
        <f t="array" aca="1" ref="D3" ca="1">SUBTOTAL(109,OFFSET(D$5,1,0,MonthCount,1))</f>
        <v>283681.77</v>
      </c>
      <c r="E3" s="141" cm="1">
        <f t="array" aca="1" ref="E3" ca="1">SUBTOTAL(109,OFFSET(E$5,1,0,MonthCount,1))</f>
        <v>283690.65000000002</v>
      </c>
      <c r="F3" s="141" cm="1">
        <f t="array" aca="1" ref="F3" ca="1">SUBTOTAL(109,OFFSET(F$5,1,0,MonthCount,1))</f>
        <v>286761.64999999997</v>
      </c>
      <c r="G3" s="141" cm="1">
        <f t="array" aca="1" ref="G3" ca="1">SUBTOTAL(109,OFFSET(G$5,1,0,MonthCount,1))</f>
        <v>287581.64999999997</v>
      </c>
      <c r="H3" s="141" cm="1">
        <f t="array" aca="1" ref="H3" ca="1">SUBTOTAL(109,OFFSET(H$5,1,0,MonthCount,1))</f>
        <v>286925.64999999997</v>
      </c>
      <c r="I3" s="141" cm="1">
        <f t="array" aca="1" ref="I3" ca="1">SUBTOTAL(109,OFFSET(I$5,1,0,MonthCount,1))</f>
        <v>296925.64999999997</v>
      </c>
      <c r="J3" s="141" cm="1">
        <f t="array" aca="1" ref="J3" ca="1">SUBTOTAL(109,OFFSET(J$5,1,0,MonthCount,1))</f>
        <v>284925.65000000002</v>
      </c>
      <c r="K3" s="141" cm="1">
        <f t="array" aca="1" ref="K3" ca="1">SUBTOTAL(109,OFFSET(K$5,1,0,MonthCount,1))</f>
        <v>284925.65000000002</v>
      </c>
      <c r="L3" s="141" cm="1">
        <f t="array" aca="1" ref="L3" ca="1">SUBTOTAL(109,OFFSET(L$5,1,0,MonthCount,1))</f>
        <v>514814.14999999997</v>
      </c>
      <c r="M3" s="141" cm="1">
        <f t="array" aca="1" ref="M3" ca="1">SUBTOTAL(109,OFFSET(M$5,1,0,MonthCount,1))</f>
        <v>310620.19</v>
      </c>
      <c r="N3" s="141" cm="1">
        <f t="array" aca="1" ref="N3" ca="1">SUBTOTAL(109,OFFSET(N$5,1,0,MonthCount,1))</f>
        <v>310191.59999999998</v>
      </c>
    </row>
    <row r="4" spans="1:17" s="292" customFormat="1" ht="16.149999999999999" customHeight="1" x14ac:dyDescent="0.2">
      <c r="A4" s="6"/>
      <c r="B4" s="290"/>
      <c r="C4" s="291">
        <f t="shared" ref="C4:L4" ca="1" si="0">DATE(YEAR(D$4),MONTH(D$4),0)</f>
        <v>45016</v>
      </c>
      <c r="D4" s="291">
        <f t="shared" ca="1" si="0"/>
        <v>45046</v>
      </c>
      <c r="E4" s="291">
        <f t="shared" ca="1" si="0"/>
        <v>45077</v>
      </c>
      <c r="F4" s="291">
        <f t="shared" ca="1" si="0"/>
        <v>45107</v>
      </c>
      <c r="G4" s="291">
        <f t="shared" ca="1" si="0"/>
        <v>45138</v>
      </c>
      <c r="H4" s="291">
        <f t="shared" ca="1" si="0"/>
        <v>45169</v>
      </c>
      <c r="I4" s="291">
        <f t="shared" ca="1" si="0"/>
        <v>45199</v>
      </c>
      <c r="J4" s="291">
        <f t="shared" ca="1" si="0"/>
        <v>45230</v>
      </c>
      <c r="K4" s="291">
        <f t="shared" ca="1" si="0"/>
        <v>45260</v>
      </c>
      <c r="L4" s="291">
        <f t="shared" ca="1" si="0"/>
        <v>45291</v>
      </c>
      <c r="M4" s="291">
        <f ca="1">DATE(YEAR(N$4),MONTH(N$4),0)</f>
        <v>45322</v>
      </c>
      <c r="N4" s="291">
        <f ca="1">Setup!$D$12</f>
        <v>45351</v>
      </c>
      <c r="P4" s="293"/>
    </row>
    <row r="5" spans="1:17" s="296" customFormat="1" ht="25.5" x14ac:dyDescent="0.25">
      <c r="A5" s="294" t="s">
        <v>23</v>
      </c>
      <c r="B5" s="294" t="s">
        <v>5</v>
      </c>
      <c r="C5" s="295" t="s">
        <v>131</v>
      </c>
      <c r="D5" s="295" t="s">
        <v>132</v>
      </c>
      <c r="E5" s="295" t="s">
        <v>133</v>
      </c>
      <c r="F5" s="295" t="s">
        <v>134</v>
      </c>
      <c r="G5" s="295" t="s">
        <v>135</v>
      </c>
      <c r="H5" s="295" t="s">
        <v>136</v>
      </c>
      <c r="I5" s="295" t="s">
        <v>137</v>
      </c>
      <c r="J5" s="295" t="s">
        <v>138</v>
      </c>
      <c r="K5" s="295" t="s">
        <v>139</v>
      </c>
      <c r="L5" s="295" t="s">
        <v>140</v>
      </c>
      <c r="M5" s="295" t="s">
        <v>141</v>
      </c>
      <c r="N5" s="295" t="s">
        <v>142</v>
      </c>
      <c r="P5" s="297"/>
    </row>
    <row r="6" spans="1:17" ht="16.149999999999999" customHeight="1" x14ac:dyDescent="0.25">
      <c r="A6" s="9" t="str">
        <f ca="1">IF(OFFSET(Emp!$A$4,ROW($C6)-ROW($C$5),0,1,1)=0,"-",OFFSET(Emp!$A$4,ROW($C6)-ROW($C$5),0,1,1))</f>
        <v>EXS001</v>
      </c>
      <c r="B6" s="9" t="str">
        <f ca="1">IF(ISNA(VLOOKUP($A6,EmpAll,COLUMN(Emp!$B$1),0))=TRUE,"-",VLOOKUP($A6,EmpAll,COLUMN(Emp!$B$1),0))</f>
        <v>Taylor AE</v>
      </c>
      <c r="C6" s="133" cm="1">
        <f t="array" aca="1" ref="C6" ca="1">SUMIFS(OFFSET(Payroll!$A$6,1,$F$2-1,PayCount,1),PayEmp,$A6,PayDate,"&gt;="&amp;DATE(YEAR(C$4),MONTH(C$4),1),PayDate,"&lt;"&amp;DATE(YEAR(C$4),MONTH(C$4)+1,1))</f>
        <v>92961.05</v>
      </c>
      <c r="D6" s="133" cm="1">
        <f t="array" aca="1" ref="D6" ca="1">SUMIFS(OFFSET(Payroll!$A$6,1,$F$2-1,PayCount,1),PayEmp,$A6,PayDate,"&gt;="&amp;DATE(YEAR(D$4),MONTH(D$4),1),PayDate,"&lt;"&amp;DATE(YEAR(D$4),MONTH(D$4)+1,1))</f>
        <v>92961.05</v>
      </c>
      <c r="E6" s="133" cm="1">
        <f t="array" aca="1" ref="E6" ca="1">SUMIFS(OFFSET(Payroll!$A$6,1,$F$2-1,PayCount,1),PayEmp,$A6,PayDate,"&gt;="&amp;DATE(YEAR(E$4),MONTH(E$4),1),PayDate,"&lt;"&amp;DATE(YEAR(E$4),MONTH(E$4)+1,1))</f>
        <v>92961.05</v>
      </c>
      <c r="F6" s="133" cm="1">
        <f t="array" aca="1" ref="F6" ca="1">SUMIFS(OFFSET(Payroll!$A$6,1,$F$2-1,PayCount,1),PayEmp,$A6,PayDate,"&gt;="&amp;DATE(YEAR(F$4),MONTH(F$4),1),PayDate,"&lt;"&amp;DATE(YEAR(F$4),MONTH(F$4)+1,1))</f>
        <v>92961.05</v>
      </c>
      <c r="G6" s="133" cm="1">
        <f t="array" aca="1" ref="G6" ca="1">SUMIFS(OFFSET(Payroll!$A$6,1,$F$2-1,PayCount,1),PayEmp,$A6,PayDate,"&gt;="&amp;DATE(YEAR(G$4),MONTH(G$4),1),PayDate,"&lt;"&amp;DATE(YEAR(G$4),MONTH(G$4)+1,1))</f>
        <v>92961.05</v>
      </c>
      <c r="H6" s="133" cm="1">
        <f t="array" aca="1" ref="H6" ca="1">SUMIFS(OFFSET(Payroll!$A$6,1,$F$2-1,PayCount,1),PayEmp,$A6,PayDate,"&gt;="&amp;DATE(YEAR(H$4),MONTH(H$4),1),PayDate,"&lt;"&amp;DATE(YEAR(H$4),MONTH(H$4)+1,1))</f>
        <v>92961.05</v>
      </c>
      <c r="I6" s="133" cm="1">
        <f t="array" aca="1" ref="I6" ca="1">SUMIFS(OFFSET(Payroll!$A$6,1,$F$2-1,PayCount,1),PayEmp,$A6,PayDate,"&gt;="&amp;DATE(YEAR(I$4),MONTH(I$4),1),PayDate,"&lt;"&amp;DATE(YEAR(I$4),MONTH(I$4)+1,1))</f>
        <v>92961.05</v>
      </c>
      <c r="J6" s="133" cm="1">
        <f t="array" aca="1" ref="J6" ca="1">SUMIFS(OFFSET(Payroll!$A$6,1,$F$2-1,PayCount,1),PayEmp,$A6,PayDate,"&gt;="&amp;DATE(YEAR(J$4),MONTH(J$4),1),PayDate,"&lt;"&amp;DATE(YEAR(J$4),MONTH(J$4)+1,1))</f>
        <v>92961.05</v>
      </c>
      <c r="K6" s="133" cm="1">
        <f t="array" aca="1" ref="K6" ca="1">SUMIFS(OFFSET(Payroll!$A$6,1,$F$2-1,PayCount,1),PayEmp,$A6,PayDate,"&gt;="&amp;DATE(YEAR(K$4),MONTH(K$4),1),PayDate,"&lt;"&amp;DATE(YEAR(K$4),MONTH(K$4)+1,1))</f>
        <v>92961.05</v>
      </c>
      <c r="L6" s="133" cm="1">
        <f t="array" aca="1" ref="L6" ca="1">SUMIFS(OFFSET(Payroll!$A$6,1,$F$2-1,PayCount,1),PayEmp,$A6,PayDate,"&gt;="&amp;DATE(YEAR(L$4),MONTH(L$4),1),PayDate,"&lt;"&amp;DATE(YEAR(L$4),MONTH(L$4)+1,1))</f>
        <v>174823.55</v>
      </c>
      <c r="M6" s="133" cm="1">
        <f t="array" aca="1" ref="M6" ca="1">SUMIFS(OFFSET(Payroll!$A$6,1,$F$2-1,PayCount,1),PayEmp,$A6,PayDate,"&gt;="&amp;DATE(YEAR(M$4),MONTH(M$4),1),PayDate,"&lt;"&amp;DATE(YEAR(M$4),MONTH(M$4)+1,1))</f>
        <v>101071.84</v>
      </c>
      <c r="N6" s="133" cm="1">
        <f t="array" aca="1" ref="N6" ca="1">SUMIFS(OFFSET(Payroll!$A$6,1,$F$2-1,PayCount,1),PayEmp,$A6,PayDate,"&gt;="&amp;DATE(YEAR(N$4),MONTH(N$4),1),PayDate,"&lt;"&amp;DATE(YEAR(N$4),MONTH(N$4)+1,1))</f>
        <v>100642.75</v>
      </c>
      <c r="O6" s="2"/>
      <c r="P6" s="139"/>
      <c r="Q6" s="298"/>
    </row>
    <row r="7" spans="1:17" ht="16.149999999999999" customHeight="1" x14ac:dyDescent="0.25">
      <c r="A7" s="9" t="str">
        <f ca="1">IF(OFFSET(Emp!$A$4,ROW($C7)-ROW($C$5),0,1,1)=0,"-",OFFSET(Emp!$A$4,ROW($C7)-ROW($C$5),0,1,1))</f>
        <v>EXS002</v>
      </c>
      <c r="B7" s="9" t="str">
        <f ca="1">IF(ISNA(VLOOKUP($A7,EmpAll,COLUMN(Emp!$B$1),0))=TRUE,"-",VLOOKUP($A7,EmpAll,COLUMN(Emp!$B$1),0))</f>
        <v>Smith F</v>
      </c>
      <c r="C7" s="133" cm="1">
        <f t="array" aca="1" ref="C7" ca="1">SUMIFS(OFFSET(Payroll!$A$6,1,$F$2-1,PayCount,1),PayEmp,$A7,PayDate,"&gt;="&amp;DATE(YEAR(C$4),MONTH(C$4),1),PayDate,"&lt;"&amp;DATE(YEAR(C$4),MONTH(C$4)+1,1))</f>
        <v>81160.55</v>
      </c>
      <c r="D7" s="133" cm="1">
        <f t="array" aca="1" ref="D7" ca="1">SUMIFS(OFFSET(Payroll!$A$6,1,$F$2-1,PayCount,1),PayEmp,$A7,PayDate,"&gt;="&amp;DATE(YEAR(D$4),MONTH(D$4),1),PayDate,"&lt;"&amp;DATE(YEAR(D$4),MONTH(D$4)+1,1))</f>
        <v>81160.55</v>
      </c>
      <c r="E7" s="133" cm="1">
        <f t="array" aca="1" ref="E7" ca="1">SUMIFS(OFFSET(Payroll!$A$6,1,$F$2-1,PayCount,1),PayEmp,$A7,PayDate,"&gt;="&amp;DATE(YEAR(E$4),MONTH(E$4),1),PayDate,"&lt;"&amp;DATE(YEAR(E$4),MONTH(E$4)+1,1))</f>
        <v>81160.55</v>
      </c>
      <c r="F7" s="133" cm="1">
        <f t="array" aca="1" ref="F7" ca="1">SUMIFS(OFFSET(Payroll!$A$6,1,$F$2-1,PayCount,1),PayEmp,$A7,PayDate,"&gt;="&amp;DATE(YEAR(F$4),MONTH(F$4),1),PayDate,"&lt;"&amp;DATE(YEAR(F$4),MONTH(F$4)+1,1))</f>
        <v>81160.55</v>
      </c>
      <c r="G7" s="133" cm="1">
        <f t="array" aca="1" ref="G7" ca="1">SUMIFS(OFFSET(Payroll!$A$6,1,$F$2-1,PayCount,1),PayEmp,$A7,PayDate,"&gt;="&amp;DATE(YEAR(G$4),MONTH(G$4),1),PayDate,"&lt;"&amp;DATE(YEAR(G$4),MONTH(G$4)+1,1))</f>
        <v>81980.55</v>
      </c>
      <c r="H7" s="133" cm="1">
        <f t="array" aca="1" ref="H7" ca="1">SUMIFS(OFFSET(Payroll!$A$6,1,$F$2-1,PayCount,1),PayEmp,$A7,PayDate,"&gt;="&amp;DATE(YEAR(H$4),MONTH(H$4),1),PayDate,"&lt;"&amp;DATE(YEAR(H$4),MONTH(H$4)+1,1))</f>
        <v>81324.55</v>
      </c>
      <c r="I7" s="133" cm="1">
        <f t="array" aca="1" ref="I7" ca="1">SUMIFS(OFFSET(Payroll!$A$6,1,$F$2-1,PayCount,1),PayEmp,$A7,PayDate,"&gt;="&amp;DATE(YEAR(I$4),MONTH(I$4),1),PayDate,"&lt;"&amp;DATE(YEAR(I$4),MONTH(I$4)+1,1))</f>
        <v>81324.55</v>
      </c>
      <c r="J7" s="133" cm="1">
        <f t="array" aca="1" ref="J7" ca="1">SUMIFS(OFFSET(Payroll!$A$6,1,$F$2-1,PayCount,1),PayEmp,$A7,PayDate,"&gt;="&amp;DATE(YEAR(J$4),MONTH(J$4),1),PayDate,"&lt;"&amp;DATE(YEAR(J$4),MONTH(J$4)+1,1))</f>
        <v>81324.55</v>
      </c>
      <c r="K7" s="133" cm="1">
        <f t="array" aca="1" ref="K7" ca="1">SUMIFS(OFFSET(Payroll!$A$6,1,$F$2-1,PayCount,1),PayEmp,$A7,PayDate,"&gt;="&amp;DATE(YEAR(K$4),MONTH(K$4),1),PayDate,"&lt;"&amp;DATE(YEAR(K$4),MONTH(K$4)+1,1))</f>
        <v>81324.55</v>
      </c>
      <c r="L7" s="133" cm="1">
        <f t="array" aca="1" ref="L7" ca="1">SUMIFS(OFFSET(Payroll!$A$6,1,$F$2-1,PayCount,1),PayEmp,$A7,PayDate,"&gt;="&amp;DATE(YEAR(L$4),MONTH(L$4),1),PayDate,"&lt;"&amp;DATE(YEAR(L$4),MONTH(L$4)+1,1))</f>
        <v>152124.54999999999</v>
      </c>
      <c r="M7" s="133" cm="1">
        <f t="array" aca="1" ref="M7" ca="1">SUMIFS(OFFSET(Payroll!$A$6,1,$F$2-1,PayCount,1),PayEmp,$A7,PayDate,"&gt;="&amp;DATE(YEAR(M$4),MONTH(M$4),1),PayDate,"&lt;"&amp;DATE(YEAR(M$4),MONTH(M$4)+1,1))</f>
        <v>88404.55</v>
      </c>
      <c r="N7" s="133" cm="1">
        <f t="array" aca="1" ref="N7" ca="1">SUMIFS(OFFSET(Payroll!$A$6,1,$F$2-1,PayCount,1),PayEmp,$A7,PayDate,"&gt;="&amp;DATE(YEAR(N$4),MONTH(N$4),1),PayDate,"&lt;"&amp;DATE(YEAR(N$4),MONTH(N$4)+1,1))</f>
        <v>88404.55</v>
      </c>
      <c r="O7" s="2"/>
      <c r="P7" s="139"/>
      <c r="Q7" s="298"/>
    </row>
    <row r="8" spans="1:17" ht="16.149999999999999" customHeight="1" x14ac:dyDescent="0.25">
      <c r="A8" s="9" t="str">
        <f ca="1">IF(OFFSET(Emp!$A$4,ROW($C8)-ROW($C$5),0,1,1)=0,"-",OFFSET(Emp!$A$4,ROW($C8)-ROW($C$5),0,1,1))</f>
        <v>EXS003</v>
      </c>
      <c r="B8" s="9" t="str">
        <f ca="1">IF(ISNA(VLOOKUP($A8,EmpAll,COLUMN(Emp!$B$1),0))=TRUE,"-",VLOOKUP($A8,EmpAll,COLUMN(Emp!$B$1),0))</f>
        <v>Wilson PG</v>
      </c>
      <c r="C8" s="133" cm="1">
        <f t="array" aca="1" ref="C8" ca="1">SUMIFS(OFFSET(Payroll!$A$6,1,$F$2-1,PayCount,1),PayEmp,$A8,PayDate,"&gt;="&amp;DATE(YEAR(C$4),MONTH(C$4),1),PayDate,"&lt;"&amp;DATE(YEAR(C$4),MONTH(C$4)+1,1))</f>
        <v>13950.25</v>
      </c>
      <c r="D8" s="133" cm="1">
        <f t="array" aca="1" ref="D8" ca="1">SUMIFS(OFFSET(Payroll!$A$6,1,$F$2-1,PayCount,1),PayEmp,$A8,PayDate,"&gt;="&amp;DATE(YEAR(D$4),MONTH(D$4),1),PayDate,"&lt;"&amp;DATE(YEAR(D$4),MONTH(D$4)+1,1))</f>
        <v>13950.25</v>
      </c>
      <c r="E8" s="133" cm="1">
        <f t="array" aca="1" ref="E8" ca="1">SUMIFS(OFFSET(Payroll!$A$6,1,$F$2-1,PayCount,1),PayEmp,$A8,PayDate,"&gt;="&amp;DATE(YEAR(E$4),MONTH(E$4),1),PayDate,"&lt;"&amp;DATE(YEAR(E$4),MONTH(E$4)+1,1))</f>
        <v>13950.25</v>
      </c>
      <c r="F8" s="133" cm="1">
        <f t="array" aca="1" ref="F8" ca="1">SUMIFS(OFFSET(Payroll!$A$6,1,$F$2-1,PayCount,1),PayEmp,$A8,PayDate,"&gt;="&amp;DATE(YEAR(F$4),MONTH(F$4),1),PayDate,"&lt;"&amp;DATE(YEAR(F$4),MONTH(F$4)+1,1))</f>
        <v>13950.25</v>
      </c>
      <c r="G8" s="133" cm="1">
        <f t="array" aca="1" ref="G8" ca="1">SUMIFS(OFFSET(Payroll!$A$6,1,$F$2-1,PayCount,1),PayEmp,$A8,PayDate,"&gt;="&amp;DATE(YEAR(G$4),MONTH(G$4),1),PayDate,"&lt;"&amp;DATE(YEAR(G$4),MONTH(G$4)+1,1))</f>
        <v>13950.25</v>
      </c>
      <c r="H8" s="133" cm="1">
        <f t="array" aca="1" ref="H8" ca="1">SUMIFS(OFFSET(Payroll!$A$6,1,$F$2-1,PayCount,1),PayEmp,$A8,PayDate,"&gt;="&amp;DATE(YEAR(H$4),MONTH(H$4),1),PayDate,"&lt;"&amp;DATE(YEAR(H$4),MONTH(H$4)+1,1))</f>
        <v>13950.25</v>
      </c>
      <c r="I8" s="133" cm="1">
        <f t="array" aca="1" ref="I8" ca="1">SUMIFS(OFFSET(Payroll!$A$6,1,$F$2-1,PayCount,1),PayEmp,$A8,PayDate,"&gt;="&amp;DATE(YEAR(I$4),MONTH(I$4),1),PayDate,"&lt;"&amp;DATE(YEAR(I$4),MONTH(I$4)+1,1))</f>
        <v>23950.25</v>
      </c>
      <c r="J8" s="133" cm="1">
        <f t="array" aca="1" ref="J8" ca="1">SUMIFS(OFFSET(Payroll!$A$6,1,$F$2-1,PayCount,1),PayEmp,$A8,PayDate,"&gt;="&amp;DATE(YEAR(J$4),MONTH(J$4),1),PayDate,"&lt;"&amp;DATE(YEAR(J$4),MONTH(J$4)+1,1))</f>
        <v>11950.25</v>
      </c>
      <c r="K8" s="133" cm="1">
        <f t="array" aca="1" ref="K8" ca="1">SUMIFS(OFFSET(Payroll!$A$6,1,$F$2-1,PayCount,1),PayEmp,$A8,PayDate,"&gt;="&amp;DATE(YEAR(K$4),MONTH(K$4),1),PayDate,"&lt;"&amp;DATE(YEAR(K$4),MONTH(K$4)+1,1))</f>
        <v>11950.25</v>
      </c>
      <c r="L8" s="133" cm="1">
        <f t="array" aca="1" ref="L8" ca="1">SUMIFS(OFFSET(Payroll!$A$6,1,$F$2-1,PayCount,1),PayEmp,$A8,PayDate,"&gt;="&amp;DATE(YEAR(L$4),MONTH(L$4),1),PayDate,"&lt;"&amp;DATE(YEAR(L$4),MONTH(L$4)+1,1))</f>
        <v>24100.25</v>
      </c>
      <c r="M8" s="133" cm="1">
        <f t="array" aca="1" ref="M8" ca="1">SUMIFS(OFFSET(Payroll!$A$6,1,$F$2-1,PayCount,1),PayEmp,$A8,PayDate,"&gt;="&amp;DATE(YEAR(M$4),MONTH(M$4),1),PayDate,"&lt;"&amp;DATE(YEAR(M$4),MONTH(M$4)+1,1))</f>
        <v>13165.25</v>
      </c>
      <c r="N8" s="133" cm="1">
        <f t="array" aca="1" ref="N8" ca="1">SUMIFS(OFFSET(Payroll!$A$6,1,$F$2-1,PayCount,1),PayEmp,$A8,PayDate,"&gt;="&amp;DATE(YEAR(N$4),MONTH(N$4),1),PayDate,"&lt;"&amp;DATE(YEAR(N$4),MONTH(N$4)+1,1))</f>
        <v>13165.25</v>
      </c>
      <c r="O8" s="2"/>
      <c r="P8" s="139"/>
      <c r="Q8" s="298"/>
    </row>
    <row r="9" spans="1:17" ht="16.149999999999999" customHeight="1" x14ac:dyDescent="0.25">
      <c r="A9" s="9" t="str">
        <f ca="1">IF(OFFSET(Emp!$A$4,ROW($C9)-ROW($C$5),0,1,1)=0,"-",OFFSET(Emp!$A$4,ROW($C9)-ROW($C$5),0,1,1))</f>
        <v>EXS004</v>
      </c>
      <c r="B9" s="9" t="str">
        <f ca="1">IF(ISNA(VLOOKUP($A9,EmpAll,COLUMN(Emp!$B$1),0))=TRUE,"-",VLOOKUP($A9,EmpAll,COLUMN(Emp!$B$1),0))</f>
        <v>Osborne S</v>
      </c>
      <c r="C9" s="133" cm="1">
        <f t="array" aca="1" ref="C9" ca="1">SUMIFS(OFFSET(Payroll!$A$6,1,$F$2-1,PayCount,1),PayEmp,$A9,PayDate,"&gt;="&amp;DATE(YEAR(C$4),MONTH(C$4),1),PayDate,"&lt;"&amp;DATE(YEAR(C$4),MONTH(C$4)+1,1))</f>
        <v>16375.13</v>
      </c>
      <c r="D9" s="133" cm="1">
        <f t="array" aca="1" ref="D9" ca="1">SUMIFS(OFFSET(Payroll!$A$6,1,$F$2-1,PayCount,1),PayEmp,$A9,PayDate,"&gt;="&amp;DATE(YEAR(D$4),MONTH(D$4),1),PayDate,"&lt;"&amp;DATE(YEAR(D$4),MONTH(D$4)+1,1))</f>
        <v>13441.37</v>
      </c>
      <c r="E9" s="133" cm="1">
        <f t="array" aca="1" ref="E9" ca="1">SUMIFS(OFFSET(Payroll!$A$6,1,$F$2-1,PayCount,1),PayEmp,$A9,PayDate,"&gt;="&amp;DATE(YEAR(E$4),MONTH(E$4),1),PayDate,"&lt;"&amp;DATE(YEAR(E$4),MONTH(E$4)+1,1))</f>
        <v>13450.25</v>
      </c>
      <c r="F9" s="133" cm="1">
        <f t="array" aca="1" ref="F9" ca="1">SUMIFS(OFFSET(Payroll!$A$6,1,$F$2-1,PayCount,1),PayEmp,$A9,PayDate,"&gt;="&amp;DATE(YEAR(F$4),MONTH(F$4),1),PayDate,"&lt;"&amp;DATE(YEAR(F$4),MONTH(F$4)+1,1))</f>
        <v>13450.25</v>
      </c>
      <c r="G9" s="133" cm="1">
        <f t="array" aca="1" ref="G9" ca="1">SUMIFS(OFFSET(Payroll!$A$6,1,$F$2-1,PayCount,1),PayEmp,$A9,PayDate,"&gt;="&amp;DATE(YEAR(G$4),MONTH(G$4),1),PayDate,"&lt;"&amp;DATE(YEAR(G$4),MONTH(G$4)+1,1))</f>
        <v>13450.25</v>
      </c>
      <c r="H9" s="133" cm="1">
        <f t="array" aca="1" ref="H9" ca="1">SUMIFS(OFFSET(Payroll!$A$6,1,$F$2-1,PayCount,1),PayEmp,$A9,PayDate,"&gt;="&amp;DATE(YEAR(H$4),MONTH(H$4),1),PayDate,"&lt;"&amp;DATE(YEAR(H$4),MONTH(H$4)+1,1))</f>
        <v>13450.25</v>
      </c>
      <c r="I9" s="133" cm="1">
        <f t="array" aca="1" ref="I9" ca="1">SUMIFS(OFFSET(Payroll!$A$6,1,$F$2-1,PayCount,1),PayEmp,$A9,PayDate,"&gt;="&amp;DATE(YEAR(I$4),MONTH(I$4),1),PayDate,"&lt;"&amp;DATE(YEAR(I$4),MONTH(I$4)+1,1))</f>
        <v>13450.25</v>
      </c>
      <c r="J9" s="133" cm="1">
        <f t="array" aca="1" ref="J9" ca="1">SUMIFS(OFFSET(Payroll!$A$6,1,$F$2-1,PayCount,1),PayEmp,$A9,PayDate,"&gt;="&amp;DATE(YEAR(J$4),MONTH(J$4),1),PayDate,"&lt;"&amp;DATE(YEAR(J$4),MONTH(J$4)+1,1))</f>
        <v>13450.25</v>
      </c>
      <c r="K9" s="133" cm="1">
        <f t="array" aca="1" ref="K9" ca="1">SUMIFS(OFFSET(Payroll!$A$6,1,$F$2-1,PayCount,1),PayEmp,$A9,PayDate,"&gt;="&amp;DATE(YEAR(K$4),MONTH(K$4),1),PayDate,"&lt;"&amp;DATE(YEAR(K$4),MONTH(K$4)+1,1))</f>
        <v>13450.25</v>
      </c>
      <c r="L9" s="133" cm="1">
        <f t="array" aca="1" ref="L9" ca="1">SUMIFS(OFFSET(Payroll!$A$6,1,$F$2-1,PayCount,1),PayEmp,$A9,PayDate,"&gt;="&amp;DATE(YEAR(L$4),MONTH(L$4),1),PayDate,"&lt;"&amp;DATE(YEAR(L$4),MONTH(L$4)+1,1))</f>
        <v>25600.25</v>
      </c>
      <c r="M9" s="133" cm="1">
        <f t="array" aca="1" ref="M9" ca="1">SUMIFS(OFFSET(Payroll!$A$6,1,$F$2-1,PayCount,1),PayEmp,$A9,PayDate,"&gt;="&amp;DATE(YEAR(M$4),MONTH(M$4),1),PayDate,"&lt;"&amp;DATE(YEAR(M$4),MONTH(M$4)+1,1))</f>
        <v>14665.25</v>
      </c>
      <c r="N9" s="133" cm="1">
        <f t="array" aca="1" ref="N9" ca="1">SUMIFS(OFFSET(Payroll!$A$6,1,$F$2-1,PayCount,1),PayEmp,$A9,PayDate,"&gt;="&amp;DATE(YEAR(N$4),MONTH(N$4),1),PayDate,"&lt;"&amp;DATE(YEAR(N$4),MONTH(N$4)+1,1))</f>
        <v>14665.25</v>
      </c>
      <c r="O9" s="2"/>
      <c r="P9" s="139"/>
      <c r="Q9" s="298"/>
    </row>
    <row r="10" spans="1:17" ht="16.149999999999999" customHeight="1" x14ac:dyDescent="0.25">
      <c r="A10" s="9" t="str">
        <f ca="1">IF(OFFSET(Emp!$A$4,ROW($C10)-ROW($C$5),0,1,1)=0,"-",OFFSET(Emp!$A$4,ROW($C10)-ROW($C$5),0,1,1))</f>
        <v>EXS005</v>
      </c>
      <c r="B10" s="9" t="str">
        <f ca="1">IF(ISNA(VLOOKUP($A10,EmpAll,COLUMN(Emp!$B$1),0))=TRUE,"-",VLOOKUP($A10,EmpAll,COLUMN(Emp!$B$1),0))</f>
        <v>Miller R</v>
      </c>
      <c r="C10" s="133" cm="1">
        <f t="array" aca="1" ref="C10" ca="1">SUMIFS(OFFSET(Payroll!$A$6,1,$F$2-1,PayCount,1),PayEmp,$A10,PayDate,"&gt;="&amp;DATE(YEAR(C$4),MONTH(C$4),1),PayDate,"&lt;"&amp;DATE(YEAR(C$4),MONTH(C$4)+1,1))</f>
        <v>9900</v>
      </c>
      <c r="D10" s="133" cm="1">
        <f t="array" aca="1" ref="D10" ca="1">SUMIFS(OFFSET(Payroll!$A$6,1,$F$2-1,PayCount,1),PayEmp,$A10,PayDate,"&gt;="&amp;DATE(YEAR(D$4),MONTH(D$4),1),PayDate,"&lt;"&amp;DATE(YEAR(D$4),MONTH(D$4)+1,1))</f>
        <v>9900</v>
      </c>
      <c r="E10" s="133" cm="1">
        <f t="array" aca="1" ref="E10" ca="1">SUMIFS(OFFSET(Payroll!$A$6,1,$F$2-1,PayCount,1),PayEmp,$A10,PayDate,"&gt;="&amp;DATE(YEAR(E$4),MONTH(E$4),1),PayDate,"&lt;"&amp;DATE(YEAR(E$4),MONTH(E$4)+1,1))</f>
        <v>9900</v>
      </c>
      <c r="F10" s="133" cm="1">
        <f t="array" aca="1" ref="F10" ca="1">SUMIFS(OFFSET(Payroll!$A$6,1,$F$2-1,PayCount,1),PayEmp,$A10,PayDate,"&gt;="&amp;DATE(YEAR(F$4),MONTH(F$4),1),PayDate,"&lt;"&amp;DATE(YEAR(F$4),MONTH(F$4)+1,1))</f>
        <v>9900</v>
      </c>
      <c r="G10" s="133" cm="1">
        <f t="array" aca="1" ref="G10" ca="1">SUMIFS(OFFSET(Payroll!$A$6,1,$F$2-1,PayCount,1),PayEmp,$A10,PayDate,"&gt;="&amp;DATE(YEAR(G$4),MONTH(G$4),1),PayDate,"&lt;"&amp;DATE(YEAR(G$4),MONTH(G$4)+1,1))</f>
        <v>9900</v>
      </c>
      <c r="H10" s="133" cm="1">
        <f t="array" aca="1" ref="H10" ca="1">SUMIFS(OFFSET(Payroll!$A$6,1,$F$2-1,PayCount,1),PayEmp,$A10,PayDate,"&gt;="&amp;DATE(YEAR(H$4),MONTH(H$4),1),PayDate,"&lt;"&amp;DATE(YEAR(H$4),MONTH(H$4)+1,1))</f>
        <v>9900</v>
      </c>
      <c r="I10" s="133" cm="1">
        <f t="array" aca="1" ref="I10" ca="1">SUMIFS(OFFSET(Payroll!$A$6,1,$F$2-1,PayCount,1),PayEmp,$A10,PayDate,"&gt;="&amp;DATE(YEAR(I$4),MONTH(I$4),1),PayDate,"&lt;"&amp;DATE(YEAR(I$4),MONTH(I$4)+1,1))</f>
        <v>9900</v>
      </c>
      <c r="J10" s="133" cm="1">
        <f t="array" aca="1" ref="J10" ca="1">SUMIFS(OFFSET(Payroll!$A$6,1,$F$2-1,PayCount,1),PayEmp,$A10,PayDate,"&gt;="&amp;DATE(YEAR(J$4),MONTH(J$4),1),PayDate,"&lt;"&amp;DATE(YEAR(J$4),MONTH(J$4)+1,1))</f>
        <v>9900</v>
      </c>
      <c r="K10" s="133" cm="1">
        <f t="array" aca="1" ref="K10" ca="1">SUMIFS(OFFSET(Payroll!$A$6,1,$F$2-1,PayCount,1),PayEmp,$A10,PayDate,"&gt;="&amp;DATE(YEAR(K$4),MONTH(K$4),1),PayDate,"&lt;"&amp;DATE(YEAR(K$4),MONTH(K$4)+1,1))</f>
        <v>9900</v>
      </c>
      <c r="L10" s="133" cm="1">
        <f t="array" aca="1" ref="L10" ca="1">SUMIFS(OFFSET(Payroll!$A$6,1,$F$2-1,PayCount,1),PayEmp,$A10,PayDate,"&gt;="&amp;DATE(YEAR(L$4),MONTH(L$4),1),PayDate,"&lt;"&amp;DATE(YEAR(L$4),MONTH(L$4)+1,1))</f>
        <v>18003</v>
      </c>
      <c r="M10" s="133" cm="1">
        <f t="array" aca="1" ref="M10" ca="1">SUMIFS(OFFSET(Payroll!$A$6,1,$F$2-1,PayCount,1),PayEmp,$A10,PayDate,"&gt;="&amp;DATE(YEAR(M$4),MONTH(M$4),1),PayDate,"&lt;"&amp;DATE(YEAR(M$4),MONTH(M$4)+1,1))</f>
        <v>0</v>
      </c>
      <c r="N10" s="133" cm="1">
        <f t="array" aca="1" ref="N10" ca="1">SUMIFS(OFFSET(Payroll!$A$6,1,$F$2-1,PayCount,1),PayEmp,$A10,PayDate,"&gt;="&amp;DATE(YEAR(N$4),MONTH(N$4),1),PayDate,"&lt;"&amp;DATE(YEAR(N$4),MONTH(N$4)+1,1))</f>
        <v>0</v>
      </c>
      <c r="O10" s="2"/>
      <c r="P10" s="139"/>
      <c r="Q10" s="298"/>
    </row>
    <row r="11" spans="1:17" ht="16.149999999999999" customHeight="1" x14ac:dyDescent="0.25">
      <c r="A11" s="9" t="str">
        <f ca="1">IF(OFFSET(Emp!$A$4,ROW($C11)-ROW($C$5),0,1,1)=0,"-",OFFSET(Emp!$A$4,ROW($C11)-ROW($C$5),0,1,1))</f>
        <v>EXS006</v>
      </c>
      <c r="B11" s="9" t="str">
        <f ca="1">IF(ISNA(VLOOKUP($A11,EmpAll,COLUMN(Emp!$B$1),0))=TRUE,"-",VLOOKUP($A11,EmpAll,COLUMN(Emp!$B$1),0))</f>
        <v>Andrews MS</v>
      </c>
      <c r="C11" s="133" cm="1">
        <f t="array" aca="1" ref="C11" ca="1">SUMIFS(OFFSET(Payroll!$A$6,1,$F$2-1,PayCount,1),PayEmp,$A11,PayDate,"&gt;="&amp;DATE(YEAR(C$4),MONTH(C$4),1),PayDate,"&lt;"&amp;DATE(YEAR(C$4),MONTH(C$4)+1,1))</f>
        <v>9900</v>
      </c>
      <c r="D11" s="133" cm="1">
        <f t="array" aca="1" ref="D11" ca="1">SUMIFS(OFFSET(Payroll!$A$6,1,$F$2-1,PayCount,1),PayEmp,$A11,PayDate,"&gt;="&amp;DATE(YEAR(D$4),MONTH(D$4),1),PayDate,"&lt;"&amp;DATE(YEAR(D$4),MONTH(D$4)+1,1))</f>
        <v>9900</v>
      </c>
      <c r="E11" s="133" cm="1">
        <f t="array" aca="1" ref="E11" ca="1">SUMIFS(OFFSET(Payroll!$A$6,1,$F$2-1,PayCount,1),PayEmp,$A11,PayDate,"&gt;="&amp;DATE(YEAR(E$4),MONTH(E$4),1),PayDate,"&lt;"&amp;DATE(YEAR(E$4),MONTH(E$4)+1,1))</f>
        <v>9900</v>
      </c>
      <c r="F11" s="133" cm="1">
        <f t="array" aca="1" ref="F11" ca="1">SUMIFS(OFFSET(Payroll!$A$6,1,$F$2-1,PayCount,1),PayEmp,$A11,PayDate,"&gt;="&amp;DATE(YEAR(F$4),MONTH(F$4),1),PayDate,"&lt;"&amp;DATE(YEAR(F$4),MONTH(F$4)+1,1))</f>
        <v>9900</v>
      </c>
      <c r="G11" s="133" cm="1">
        <f t="array" aca="1" ref="G11" ca="1">SUMIFS(OFFSET(Payroll!$A$6,1,$F$2-1,PayCount,1),PayEmp,$A11,PayDate,"&gt;="&amp;DATE(YEAR(G$4),MONTH(G$4),1),PayDate,"&lt;"&amp;DATE(YEAR(G$4),MONTH(G$4)+1,1))</f>
        <v>9900</v>
      </c>
      <c r="H11" s="133" cm="1">
        <f t="array" aca="1" ref="H11" ca="1">SUMIFS(OFFSET(Payroll!$A$6,1,$F$2-1,PayCount,1),PayEmp,$A11,PayDate,"&gt;="&amp;DATE(YEAR(H$4),MONTH(H$4),1),PayDate,"&lt;"&amp;DATE(YEAR(H$4),MONTH(H$4)+1,1))</f>
        <v>9900</v>
      </c>
      <c r="I11" s="133" cm="1">
        <f t="array" aca="1" ref="I11" ca="1">SUMIFS(OFFSET(Payroll!$A$6,1,$F$2-1,PayCount,1),PayEmp,$A11,PayDate,"&gt;="&amp;DATE(YEAR(I$4),MONTH(I$4),1),PayDate,"&lt;"&amp;DATE(YEAR(I$4),MONTH(I$4)+1,1))</f>
        <v>9900</v>
      </c>
      <c r="J11" s="133" cm="1">
        <f t="array" aca="1" ref="J11" ca="1">SUMIFS(OFFSET(Payroll!$A$6,1,$F$2-1,PayCount,1),PayEmp,$A11,PayDate,"&gt;="&amp;DATE(YEAR(J$4),MONTH(J$4),1),PayDate,"&lt;"&amp;DATE(YEAR(J$4),MONTH(J$4)+1,1))</f>
        <v>9900</v>
      </c>
      <c r="K11" s="133" cm="1">
        <f t="array" aca="1" ref="K11" ca="1">SUMIFS(OFFSET(Payroll!$A$6,1,$F$2-1,PayCount,1),PayEmp,$A11,PayDate,"&gt;="&amp;DATE(YEAR(K$4),MONTH(K$4),1),PayDate,"&lt;"&amp;DATE(YEAR(K$4),MONTH(K$4)+1,1))</f>
        <v>9900</v>
      </c>
      <c r="L11" s="133" cm="1">
        <f t="array" aca="1" ref="L11" ca="1">SUMIFS(OFFSET(Payroll!$A$6,1,$F$2-1,PayCount,1),PayEmp,$A11,PayDate,"&gt;="&amp;DATE(YEAR(L$4),MONTH(L$4),1),PayDate,"&lt;"&amp;DATE(YEAR(L$4),MONTH(L$4)+1,1))</f>
        <v>18003</v>
      </c>
      <c r="M11" s="133" cm="1">
        <f t="array" aca="1" ref="M11" ca="1">SUMIFS(OFFSET(Payroll!$A$6,1,$F$2-1,PayCount,1),PayEmp,$A11,PayDate,"&gt;="&amp;DATE(YEAR(M$4),MONTH(M$4),1),PayDate,"&lt;"&amp;DATE(YEAR(M$4),MONTH(M$4)+1,1))</f>
        <v>10709.75</v>
      </c>
      <c r="N11" s="133" cm="1">
        <f t="array" aca="1" ref="N11" ca="1">SUMIFS(OFFSET(Payroll!$A$6,1,$F$2-1,PayCount,1),PayEmp,$A11,PayDate,"&gt;="&amp;DATE(YEAR(N$4),MONTH(N$4),1),PayDate,"&lt;"&amp;DATE(YEAR(N$4),MONTH(N$4)+1,1))</f>
        <v>10710.25</v>
      </c>
      <c r="O11" s="2"/>
      <c r="P11" s="139"/>
      <c r="Q11" s="298"/>
    </row>
    <row r="12" spans="1:17" ht="16.149999999999999" customHeight="1" x14ac:dyDescent="0.25">
      <c r="A12" s="9" t="str">
        <f ca="1">IF(OFFSET(Emp!$A$4,ROW($C12)-ROW($C$5),0,1,1)=0,"-",OFFSET(Emp!$A$4,ROW($C12)-ROW($C$5),0,1,1))</f>
        <v>EXS007</v>
      </c>
      <c r="B12" s="9" t="str">
        <f ca="1">IF(ISNA(VLOOKUP($A12,EmpAll,COLUMN(Emp!$B$1),0))=TRUE,"-",VLOOKUP($A12,EmpAll,COLUMN(Emp!$B$1),0))</f>
        <v>Phillips KE</v>
      </c>
      <c r="C12" s="133" cm="1">
        <f t="array" aca="1" ref="C12" ca="1">SUMIFS(OFFSET(Payroll!$A$6,1,$F$2-1,PayCount,1),PayEmp,$A12,PayDate,"&gt;="&amp;DATE(YEAR(C$4),MONTH(C$4),1),PayDate,"&lt;"&amp;DATE(YEAR(C$4),MONTH(C$4)+1,1))</f>
        <v>21339.8</v>
      </c>
      <c r="D12" s="133" cm="1">
        <f t="array" aca="1" ref="D12" ca="1">SUMIFS(OFFSET(Payroll!$A$6,1,$F$2-1,PayCount,1),PayEmp,$A12,PayDate,"&gt;="&amp;DATE(YEAR(D$4),MONTH(D$4),1),PayDate,"&lt;"&amp;DATE(YEAR(D$4),MONTH(D$4)+1,1))</f>
        <v>21339.8</v>
      </c>
      <c r="E12" s="133" cm="1">
        <f t="array" aca="1" ref="E12" ca="1">SUMIFS(OFFSET(Payroll!$A$6,1,$F$2-1,PayCount,1),PayEmp,$A12,PayDate,"&gt;="&amp;DATE(YEAR(E$4),MONTH(E$4),1),PayDate,"&lt;"&amp;DATE(YEAR(E$4),MONTH(E$4)+1,1))</f>
        <v>21339.8</v>
      </c>
      <c r="F12" s="133" cm="1">
        <f t="array" aca="1" ref="F12" ca="1">SUMIFS(OFFSET(Payroll!$A$6,1,$F$2-1,PayCount,1),PayEmp,$A12,PayDate,"&gt;="&amp;DATE(YEAR(F$4),MONTH(F$4),1),PayDate,"&lt;"&amp;DATE(YEAR(F$4),MONTH(F$4)+1,1))</f>
        <v>0</v>
      </c>
      <c r="G12" s="133" cm="1">
        <f t="array" aca="1" ref="G12" ca="1">SUMIFS(OFFSET(Payroll!$A$6,1,$F$2-1,PayCount,1),PayEmp,$A12,PayDate,"&gt;="&amp;DATE(YEAR(G$4),MONTH(G$4),1),PayDate,"&lt;"&amp;DATE(YEAR(G$4),MONTH(G$4)+1,1))</f>
        <v>0</v>
      </c>
      <c r="H12" s="133" cm="1">
        <f t="array" aca="1" ref="H12" ca="1">SUMIFS(OFFSET(Payroll!$A$6,1,$F$2-1,PayCount,1),PayEmp,$A12,PayDate,"&gt;="&amp;DATE(YEAR(H$4),MONTH(H$4),1),PayDate,"&lt;"&amp;DATE(YEAR(H$4),MONTH(H$4)+1,1))</f>
        <v>0</v>
      </c>
      <c r="I12" s="133" cm="1">
        <f t="array" aca="1" ref="I12" ca="1">SUMIFS(OFFSET(Payroll!$A$6,1,$F$2-1,PayCount,1),PayEmp,$A12,PayDate,"&gt;="&amp;DATE(YEAR(I$4),MONTH(I$4),1),PayDate,"&lt;"&amp;DATE(YEAR(I$4),MONTH(I$4)+1,1))</f>
        <v>0</v>
      </c>
      <c r="J12" s="133" cm="1">
        <f t="array" aca="1" ref="J12" ca="1">SUMIFS(OFFSET(Payroll!$A$6,1,$F$2-1,PayCount,1),PayEmp,$A12,PayDate,"&gt;="&amp;DATE(YEAR(J$4),MONTH(J$4),1),PayDate,"&lt;"&amp;DATE(YEAR(J$4),MONTH(J$4)+1,1))</f>
        <v>0</v>
      </c>
      <c r="K12" s="133" cm="1">
        <f t="array" aca="1" ref="K12" ca="1">SUMIFS(OFFSET(Payroll!$A$6,1,$F$2-1,PayCount,1),PayEmp,$A12,PayDate,"&gt;="&amp;DATE(YEAR(K$4),MONTH(K$4),1),PayDate,"&lt;"&amp;DATE(YEAR(K$4),MONTH(K$4)+1,1))</f>
        <v>0</v>
      </c>
      <c r="L12" s="133" cm="1">
        <f t="array" aca="1" ref="L12" ca="1">SUMIFS(OFFSET(Payroll!$A$6,1,$F$2-1,PayCount,1),PayEmp,$A12,PayDate,"&gt;="&amp;DATE(YEAR(L$4),MONTH(L$4),1),PayDate,"&lt;"&amp;DATE(YEAR(L$4),MONTH(L$4)+1,1))</f>
        <v>0</v>
      </c>
      <c r="M12" s="133" cm="1">
        <f t="array" aca="1" ref="M12" ca="1">SUMIFS(OFFSET(Payroll!$A$6,1,$F$2-1,PayCount,1),PayEmp,$A12,PayDate,"&gt;="&amp;DATE(YEAR(M$4),MONTH(M$4),1),PayDate,"&lt;"&amp;DATE(YEAR(M$4),MONTH(M$4)+1,1))</f>
        <v>0</v>
      </c>
      <c r="N12" s="133" cm="1">
        <f t="array" aca="1" ref="N12" ca="1">SUMIFS(OFFSET(Payroll!$A$6,1,$F$2-1,PayCount,1),PayEmp,$A12,PayDate,"&gt;="&amp;DATE(YEAR(N$4),MONTH(N$4),1),PayDate,"&lt;"&amp;DATE(YEAR(N$4),MONTH(N$4)+1,1))</f>
        <v>0</v>
      </c>
      <c r="O12" s="2"/>
      <c r="P12" s="139"/>
      <c r="Q12" s="298"/>
    </row>
    <row r="13" spans="1:17" ht="16.149999999999999" customHeight="1" x14ac:dyDescent="0.25">
      <c r="A13" s="9" t="str">
        <f ca="1">IF(OFFSET(Emp!$A$4,ROW($C13)-ROW($C$5),0,1,1)=0,"-",OFFSET(Emp!$A$4,ROW($C13)-ROW($C$5),0,1,1))</f>
        <v>EXS008</v>
      </c>
      <c r="B13" s="9" t="str">
        <f ca="1">IF(ISNA(VLOOKUP($A13,EmpAll,COLUMN(Emp!$B$1),0))=TRUE,"-",VLOOKUP($A13,EmpAll,COLUMN(Emp!$B$1),0))</f>
        <v>Matthews B</v>
      </c>
      <c r="C13" s="133" cm="1">
        <f t="array" aca="1" ref="C13" ca="1">SUMIFS(OFFSET(Payroll!$A$6,1,$F$2-1,PayCount,1),PayEmp,$A13,PayDate,"&gt;="&amp;DATE(YEAR(C$4),MONTH(C$4),1),PayDate,"&lt;"&amp;DATE(YEAR(C$4),MONTH(C$4)+1,1))</f>
        <v>8726.25</v>
      </c>
      <c r="D13" s="133" cm="1">
        <f t="array" aca="1" ref="D13" ca="1">SUMIFS(OFFSET(Payroll!$A$6,1,$F$2-1,PayCount,1),PayEmp,$A13,PayDate,"&gt;="&amp;DATE(YEAR(D$4),MONTH(D$4),1),PayDate,"&lt;"&amp;DATE(YEAR(D$4),MONTH(D$4)+1,1))</f>
        <v>8726.25</v>
      </c>
      <c r="E13" s="133" cm="1">
        <f t="array" aca="1" ref="E13" ca="1">SUMIFS(OFFSET(Payroll!$A$6,1,$F$2-1,PayCount,1),PayEmp,$A13,PayDate,"&gt;="&amp;DATE(YEAR(E$4),MONTH(E$4),1),PayDate,"&lt;"&amp;DATE(YEAR(E$4),MONTH(E$4)+1,1))</f>
        <v>8726.25</v>
      </c>
      <c r="F13" s="133" cm="1">
        <f t="array" aca="1" ref="F13" ca="1">SUMIFS(OFFSET(Payroll!$A$6,1,$F$2-1,PayCount,1),PayEmp,$A13,PayDate,"&gt;="&amp;DATE(YEAR(F$4),MONTH(F$4),1),PayDate,"&lt;"&amp;DATE(YEAR(F$4),MONTH(F$4)+1,1))</f>
        <v>8726.25</v>
      </c>
      <c r="G13" s="133" cm="1">
        <f t="array" aca="1" ref="G13" ca="1">SUMIFS(OFFSET(Payroll!$A$6,1,$F$2-1,PayCount,1),PayEmp,$A13,PayDate,"&gt;="&amp;DATE(YEAR(G$4),MONTH(G$4),1),PayDate,"&lt;"&amp;DATE(YEAR(G$4),MONTH(G$4)+1,1))</f>
        <v>8726.25</v>
      </c>
      <c r="H13" s="133" cm="1">
        <f t="array" aca="1" ref="H13" ca="1">SUMIFS(OFFSET(Payroll!$A$6,1,$F$2-1,PayCount,1),PayEmp,$A13,PayDate,"&gt;="&amp;DATE(YEAR(H$4),MONTH(H$4),1),PayDate,"&lt;"&amp;DATE(YEAR(H$4),MONTH(H$4)+1,1))</f>
        <v>8726.25</v>
      </c>
      <c r="I13" s="133" cm="1">
        <f t="array" aca="1" ref="I13" ca="1">SUMIFS(OFFSET(Payroll!$A$6,1,$F$2-1,PayCount,1),PayEmp,$A13,PayDate,"&gt;="&amp;DATE(YEAR(I$4),MONTH(I$4),1),PayDate,"&lt;"&amp;DATE(YEAR(I$4),MONTH(I$4)+1,1))</f>
        <v>8726.25</v>
      </c>
      <c r="J13" s="133" cm="1">
        <f t="array" aca="1" ref="J13" ca="1">SUMIFS(OFFSET(Payroll!$A$6,1,$F$2-1,PayCount,1),PayEmp,$A13,PayDate,"&gt;="&amp;DATE(YEAR(J$4),MONTH(J$4),1),PayDate,"&lt;"&amp;DATE(YEAR(J$4),MONTH(J$4)+1,1))</f>
        <v>8726.25</v>
      </c>
      <c r="K13" s="133" cm="1">
        <f t="array" aca="1" ref="K13" ca="1">SUMIFS(OFFSET(Payroll!$A$6,1,$F$2-1,PayCount,1),PayEmp,$A13,PayDate,"&gt;="&amp;DATE(YEAR(K$4),MONTH(K$4),1),PayDate,"&lt;"&amp;DATE(YEAR(K$4),MONTH(K$4)+1,1))</f>
        <v>8726.25</v>
      </c>
      <c r="L13" s="133" cm="1">
        <f t="array" aca="1" ref="L13" ca="1">SUMIFS(OFFSET(Payroll!$A$6,1,$F$2-1,PayCount,1),PayEmp,$A13,PayDate,"&gt;="&amp;DATE(YEAR(L$4),MONTH(L$4),1),PayDate,"&lt;"&amp;DATE(YEAR(L$4),MONTH(L$4)+1,1))</f>
        <v>16016.25</v>
      </c>
      <c r="M13" s="133" cm="1">
        <f t="array" aca="1" ref="M13" ca="1">SUMIFS(OFFSET(Payroll!$A$6,1,$F$2-1,PayCount,1),PayEmp,$A13,PayDate,"&gt;="&amp;DATE(YEAR(M$4),MONTH(M$4),1),PayDate,"&lt;"&amp;DATE(YEAR(M$4),MONTH(M$4)+1,1))</f>
        <v>9536.25</v>
      </c>
      <c r="N13" s="133" cm="1">
        <f t="array" aca="1" ref="N13" ca="1">SUMIFS(OFFSET(Payroll!$A$6,1,$F$2-1,PayCount,1),PayEmp,$A13,PayDate,"&gt;="&amp;DATE(YEAR(N$4),MONTH(N$4),1),PayDate,"&lt;"&amp;DATE(YEAR(N$4),MONTH(N$4)+1,1))</f>
        <v>9536.25</v>
      </c>
      <c r="O13" s="2"/>
      <c r="P13" s="139"/>
      <c r="Q13" s="298"/>
    </row>
    <row r="14" spans="1:17" ht="16.149999999999999" customHeight="1" x14ac:dyDescent="0.25">
      <c r="A14" s="9" t="str">
        <f ca="1">IF(OFFSET(Emp!$A$4,ROW($C14)-ROW($C$5),0,1,1)=0,"-",OFFSET(Emp!$A$4,ROW($C14)-ROW($C$5),0,1,1))</f>
        <v>EXS009</v>
      </c>
      <c r="B14" s="9" t="str">
        <f ca="1">IF(ISNA(VLOOKUP($A14,EmpAll,COLUMN(Emp!$B$1),0))=TRUE,"-",VLOOKUP($A14,EmpAll,COLUMN(Emp!$B$1),0))</f>
        <v>Brown JT</v>
      </c>
      <c r="C14" s="133" cm="1">
        <f t="array" aca="1" ref="C14" ca="1">SUMIFS(OFFSET(Payroll!$A$6,1,$F$2-1,PayCount,1),PayEmp,$A14,PayDate,"&gt;="&amp;DATE(YEAR(C$4),MONTH(C$4),1),PayDate,"&lt;"&amp;DATE(YEAR(C$4),MONTH(C$4)+1,1))</f>
        <v>8726.25</v>
      </c>
      <c r="D14" s="133" cm="1">
        <f t="array" aca="1" ref="D14" ca="1">SUMIFS(OFFSET(Payroll!$A$6,1,$F$2-1,PayCount,1),PayEmp,$A14,PayDate,"&gt;="&amp;DATE(YEAR(D$4),MONTH(D$4),1),PayDate,"&lt;"&amp;DATE(YEAR(D$4),MONTH(D$4)+1,1))</f>
        <v>8726.25</v>
      </c>
      <c r="E14" s="133" cm="1">
        <f t="array" aca="1" ref="E14" ca="1">SUMIFS(OFFSET(Payroll!$A$6,1,$F$2-1,PayCount,1),PayEmp,$A14,PayDate,"&gt;="&amp;DATE(YEAR(E$4),MONTH(E$4),1),PayDate,"&lt;"&amp;DATE(YEAR(E$4),MONTH(E$4)+1,1))</f>
        <v>8726.25</v>
      </c>
      <c r="F14" s="133" cm="1">
        <f t="array" aca="1" ref="F14" ca="1">SUMIFS(OFFSET(Payroll!$A$6,1,$F$2-1,PayCount,1),PayEmp,$A14,PayDate,"&gt;="&amp;DATE(YEAR(F$4),MONTH(F$4),1),PayDate,"&lt;"&amp;DATE(YEAR(F$4),MONTH(F$4)+1,1))</f>
        <v>8726.25</v>
      </c>
      <c r="G14" s="133" cm="1">
        <f t="array" aca="1" ref="G14" ca="1">SUMIFS(OFFSET(Payroll!$A$6,1,$F$2-1,PayCount,1),PayEmp,$A14,PayDate,"&gt;="&amp;DATE(YEAR(G$4),MONTH(G$4),1),PayDate,"&lt;"&amp;DATE(YEAR(G$4),MONTH(G$4)+1,1))</f>
        <v>8726.25</v>
      </c>
      <c r="H14" s="133" cm="1">
        <f t="array" aca="1" ref="H14" ca="1">SUMIFS(OFFSET(Payroll!$A$6,1,$F$2-1,PayCount,1),PayEmp,$A14,PayDate,"&gt;="&amp;DATE(YEAR(H$4),MONTH(H$4),1),PayDate,"&lt;"&amp;DATE(YEAR(H$4),MONTH(H$4)+1,1))</f>
        <v>8726.25</v>
      </c>
      <c r="I14" s="133" cm="1">
        <f t="array" aca="1" ref="I14" ca="1">SUMIFS(OFFSET(Payroll!$A$6,1,$F$2-1,PayCount,1),PayEmp,$A14,PayDate,"&gt;="&amp;DATE(YEAR(I$4),MONTH(I$4),1),PayDate,"&lt;"&amp;DATE(YEAR(I$4),MONTH(I$4)+1,1))</f>
        <v>8726.25</v>
      </c>
      <c r="J14" s="133" cm="1">
        <f t="array" aca="1" ref="J14" ca="1">SUMIFS(OFFSET(Payroll!$A$6,1,$F$2-1,PayCount,1),PayEmp,$A14,PayDate,"&gt;="&amp;DATE(YEAR(J$4),MONTH(J$4),1),PayDate,"&lt;"&amp;DATE(YEAR(J$4),MONTH(J$4)+1,1))</f>
        <v>8726.25</v>
      </c>
      <c r="K14" s="133" cm="1">
        <f t="array" aca="1" ref="K14" ca="1">SUMIFS(OFFSET(Payroll!$A$6,1,$F$2-1,PayCount,1),PayEmp,$A14,PayDate,"&gt;="&amp;DATE(YEAR(K$4),MONTH(K$4),1),PayDate,"&lt;"&amp;DATE(YEAR(K$4),MONTH(K$4)+1,1))</f>
        <v>8726.25</v>
      </c>
      <c r="L14" s="133" cm="1">
        <f t="array" aca="1" ref="L14" ca="1">SUMIFS(OFFSET(Payroll!$A$6,1,$F$2-1,PayCount,1),PayEmp,$A14,PayDate,"&gt;="&amp;DATE(YEAR(L$4),MONTH(L$4),1),PayDate,"&lt;"&amp;DATE(YEAR(L$4),MONTH(L$4)+1,1))</f>
        <v>16016.25</v>
      </c>
      <c r="M14" s="133" cm="1">
        <f t="array" aca="1" ref="M14" ca="1">SUMIFS(OFFSET(Payroll!$A$6,1,$F$2-1,PayCount,1),PayEmp,$A14,PayDate,"&gt;="&amp;DATE(YEAR(M$4),MONTH(M$4),1),PayDate,"&lt;"&amp;DATE(YEAR(M$4),MONTH(M$4)+1,1))</f>
        <v>9536.25</v>
      </c>
      <c r="N14" s="133" cm="1">
        <f t="array" aca="1" ref="N14" ca="1">SUMIFS(OFFSET(Payroll!$A$6,1,$F$2-1,PayCount,1),PayEmp,$A14,PayDate,"&gt;="&amp;DATE(YEAR(N$4),MONTH(N$4),1),PayDate,"&lt;"&amp;DATE(YEAR(N$4),MONTH(N$4)+1,1))</f>
        <v>9536.25</v>
      </c>
      <c r="O14" s="2"/>
      <c r="P14" s="139"/>
      <c r="Q14" s="298"/>
    </row>
    <row r="15" spans="1:17" ht="16.149999999999999" customHeight="1" x14ac:dyDescent="0.25">
      <c r="A15" s="9" t="str">
        <f ca="1">IF(OFFSET(Emp!$A$4,ROW($C15)-ROW($C$5),0,1,1)=0,"-",OFFSET(Emp!$A$4,ROW($C15)-ROW($C$5),0,1,1))</f>
        <v>EXS010</v>
      </c>
      <c r="B15" s="9" t="str">
        <f ca="1">IF(ISNA(VLOOKUP($A15,EmpAll,COLUMN(Emp!$B$1),0))=TRUE,"-",VLOOKUP($A15,EmpAll,COLUMN(Emp!$B$1),0))</f>
        <v>Lewis I</v>
      </c>
      <c r="C15" s="133" cm="1">
        <f t="array" aca="1" ref="C15" ca="1">SUMIFS(OFFSET(Payroll!$A$6,1,$F$2-1,PayCount,1),PayEmp,$A15,PayDate,"&gt;="&amp;DATE(YEAR(C$4),MONTH(C$4),1),PayDate,"&lt;"&amp;DATE(YEAR(C$4),MONTH(C$4)+1,1))</f>
        <v>8726.25</v>
      </c>
      <c r="D15" s="133" cm="1">
        <f t="array" aca="1" ref="D15" ca="1">SUMIFS(OFFSET(Payroll!$A$6,1,$F$2-1,PayCount,1),PayEmp,$A15,PayDate,"&gt;="&amp;DATE(YEAR(D$4),MONTH(D$4),1),PayDate,"&lt;"&amp;DATE(YEAR(D$4),MONTH(D$4)+1,1))</f>
        <v>8726.25</v>
      </c>
      <c r="E15" s="133" cm="1">
        <f t="array" aca="1" ref="E15" ca="1">SUMIFS(OFFSET(Payroll!$A$6,1,$F$2-1,PayCount,1),PayEmp,$A15,PayDate,"&gt;="&amp;DATE(YEAR(E$4),MONTH(E$4),1),PayDate,"&lt;"&amp;DATE(YEAR(E$4),MONTH(E$4)+1,1))</f>
        <v>8726.25</v>
      </c>
      <c r="F15" s="133" cm="1">
        <f t="array" aca="1" ref="F15" ca="1">SUMIFS(OFFSET(Payroll!$A$6,1,$F$2-1,PayCount,1),PayEmp,$A15,PayDate,"&gt;="&amp;DATE(YEAR(F$4),MONTH(F$4),1),PayDate,"&lt;"&amp;DATE(YEAR(F$4),MONTH(F$4)+1,1))</f>
        <v>8726.25</v>
      </c>
      <c r="G15" s="133" cm="1">
        <f t="array" aca="1" ref="G15" ca="1">SUMIFS(OFFSET(Payroll!$A$6,1,$F$2-1,PayCount,1),PayEmp,$A15,PayDate,"&gt;="&amp;DATE(YEAR(G$4),MONTH(G$4),1),PayDate,"&lt;"&amp;DATE(YEAR(G$4),MONTH(G$4)+1,1))</f>
        <v>8726.25</v>
      </c>
      <c r="H15" s="133" cm="1">
        <f t="array" aca="1" ref="H15" ca="1">SUMIFS(OFFSET(Payroll!$A$6,1,$F$2-1,PayCount,1),PayEmp,$A15,PayDate,"&gt;="&amp;DATE(YEAR(H$4),MONTH(H$4),1),PayDate,"&lt;"&amp;DATE(YEAR(H$4),MONTH(H$4)+1,1))</f>
        <v>8726.25</v>
      </c>
      <c r="I15" s="133" cm="1">
        <f t="array" aca="1" ref="I15" ca="1">SUMIFS(OFFSET(Payroll!$A$6,1,$F$2-1,PayCount,1),PayEmp,$A15,PayDate,"&gt;="&amp;DATE(YEAR(I$4),MONTH(I$4),1),PayDate,"&lt;"&amp;DATE(YEAR(I$4),MONTH(I$4)+1,1))</f>
        <v>8726.25</v>
      </c>
      <c r="J15" s="133" cm="1">
        <f t="array" aca="1" ref="J15" ca="1">SUMIFS(OFFSET(Payroll!$A$6,1,$F$2-1,PayCount,1),PayEmp,$A15,PayDate,"&gt;="&amp;DATE(YEAR(J$4),MONTH(J$4),1),PayDate,"&lt;"&amp;DATE(YEAR(J$4),MONTH(J$4)+1,1))</f>
        <v>8726.25</v>
      </c>
      <c r="K15" s="133" cm="1">
        <f t="array" aca="1" ref="K15" ca="1">SUMIFS(OFFSET(Payroll!$A$6,1,$F$2-1,PayCount,1),PayEmp,$A15,PayDate,"&gt;="&amp;DATE(YEAR(K$4),MONTH(K$4),1),PayDate,"&lt;"&amp;DATE(YEAR(K$4),MONTH(K$4)+1,1))</f>
        <v>8726.25</v>
      </c>
      <c r="L15" s="133" cm="1">
        <f t="array" aca="1" ref="L15" ca="1">SUMIFS(OFFSET(Payroll!$A$6,1,$F$2-1,PayCount,1),PayEmp,$A15,PayDate,"&gt;="&amp;DATE(YEAR(L$4),MONTH(L$4),1),PayDate,"&lt;"&amp;DATE(YEAR(L$4),MONTH(L$4)+1,1))</f>
        <v>16016.25</v>
      </c>
      <c r="M15" s="133" cm="1">
        <f t="array" aca="1" ref="M15" ca="1">SUMIFS(OFFSET(Payroll!$A$6,1,$F$2-1,PayCount,1),PayEmp,$A15,PayDate,"&gt;="&amp;DATE(YEAR(M$4),MONTH(M$4),1),PayDate,"&lt;"&amp;DATE(YEAR(M$4),MONTH(M$4)+1,1))</f>
        <v>9536.25</v>
      </c>
      <c r="N15" s="133" cm="1">
        <f t="array" aca="1" ref="N15" ca="1">SUMIFS(OFFSET(Payroll!$A$6,1,$F$2-1,PayCount,1),PayEmp,$A15,PayDate,"&gt;="&amp;DATE(YEAR(N$4),MONTH(N$4),1),PayDate,"&lt;"&amp;DATE(YEAR(N$4),MONTH(N$4)+1,1))</f>
        <v>9536.25</v>
      </c>
      <c r="O15" s="2"/>
      <c r="P15" s="139"/>
      <c r="Q15" s="298"/>
    </row>
    <row r="16" spans="1:17" ht="16.149999999999999" customHeight="1" x14ac:dyDescent="0.25">
      <c r="A16" s="9" t="str">
        <f ca="1">IF(OFFSET(Emp!$A$4,ROW($C16)-ROW($C$5),0,1,1)=0,"-",OFFSET(Emp!$A$4,ROW($C16)-ROW($C$5),0,1,1))</f>
        <v>EXS011</v>
      </c>
      <c r="B16" s="9" t="str">
        <f ca="1">IF(ISNA(VLOOKUP($A16,EmpAll,COLUMN(Emp!$B$1),0))=TRUE,"-",VLOOKUP($A16,EmpAll,COLUMN(Emp!$B$1),0))</f>
        <v>Newport GD</v>
      </c>
      <c r="C16" s="133" cm="1">
        <f t="array" aca="1" ref="C16" ca="1">SUMIFS(OFFSET(Payroll!$A$6,1,$F$2-1,PayCount,1),PayEmp,$A16,PayDate,"&gt;="&amp;DATE(YEAR(C$4),MONTH(C$4),1),PayDate,"&lt;"&amp;DATE(YEAR(C$4),MONTH(C$4)+1,1))</f>
        <v>4950</v>
      </c>
      <c r="D16" s="133" cm="1">
        <f t="array" aca="1" ref="D16" ca="1">SUMIFS(OFFSET(Payroll!$A$6,1,$F$2-1,PayCount,1),PayEmp,$A16,PayDate,"&gt;="&amp;DATE(YEAR(D$4),MONTH(D$4),1),PayDate,"&lt;"&amp;DATE(YEAR(D$4),MONTH(D$4)+1,1))</f>
        <v>4950</v>
      </c>
      <c r="E16" s="133" cm="1">
        <f t="array" aca="1" ref="E16" ca="1">SUMIFS(OFFSET(Payroll!$A$6,1,$F$2-1,PayCount,1),PayEmp,$A16,PayDate,"&gt;="&amp;DATE(YEAR(E$4),MONTH(E$4),1),PayDate,"&lt;"&amp;DATE(YEAR(E$4),MONTH(E$4)+1,1))</f>
        <v>4950</v>
      </c>
      <c r="F16" s="133" cm="1">
        <f t="array" aca="1" ref="F16" ca="1">SUMIFS(OFFSET(Payroll!$A$6,1,$F$2-1,PayCount,1),PayEmp,$A16,PayDate,"&gt;="&amp;DATE(YEAR(F$4),MONTH(F$4),1),PayDate,"&lt;"&amp;DATE(YEAR(F$4),MONTH(F$4)+1,1))</f>
        <v>4950</v>
      </c>
      <c r="G16" s="133" cm="1">
        <f t="array" aca="1" ref="G16" ca="1">SUMIFS(OFFSET(Payroll!$A$6,1,$F$2-1,PayCount,1),PayEmp,$A16,PayDate,"&gt;="&amp;DATE(YEAR(G$4),MONTH(G$4),1),PayDate,"&lt;"&amp;DATE(YEAR(G$4),MONTH(G$4)+1,1))</f>
        <v>4950</v>
      </c>
      <c r="H16" s="133" cm="1">
        <f t="array" aca="1" ref="H16" ca="1">SUMIFS(OFFSET(Payroll!$A$6,1,$F$2-1,PayCount,1),PayEmp,$A16,PayDate,"&gt;="&amp;DATE(YEAR(H$4),MONTH(H$4),1),PayDate,"&lt;"&amp;DATE(YEAR(H$4),MONTH(H$4)+1,1))</f>
        <v>4950</v>
      </c>
      <c r="I16" s="133" cm="1">
        <f t="array" aca="1" ref="I16" ca="1">SUMIFS(OFFSET(Payroll!$A$6,1,$F$2-1,PayCount,1),PayEmp,$A16,PayDate,"&gt;="&amp;DATE(YEAR(I$4),MONTH(I$4),1),PayDate,"&lt;"&amp;DATE(YEAR(I$4),MONTH(I$4)+1,1))</f>
        <v>4950</v>
      </c>
      <c r="J16" s="133" cm="1">
        <f t="array" aca="1" ref="J16" ca="1">SUMIFS(OFFSET(Payroll!$A$6,1,$F$2-1,PayCount,1),PayEmp,$A16,PayDate,"&gt;="&amp;DATE(YEAR(J$4),MONTH(J$4),1),PayDate,"&lt;"&amp;DATE(YEAR(J$4),MONTH(J$4)+1,1))</f>
        <v>4950</v>
      </c>
      <c r="K16" s="133" cm="1">
        <f t="array" aca="1" ref="K16" ca="1">SUMIFS(OFFSET(Payroll!$A$6,1,$F$2-1,PayCount,1),PayEmp,$A16,PayDate,"&gt;="&amp;DATE(YEAR(K$4),MONTH(K$4),1),PayDate,"&lt;"&amp;DATE(YEAR(K$4),MONTH(K$4)+1,1))</f>
        <v>4950</v>
      </c>
      <c r="L16" s="133" cm="1">
        <f t="array" aca="1" ref="L16" ca="1">SUMIFS(OFFSET(Payroll!$A$6,1,$F$2-1,PayCount,1),PayEmp,$A16,PayDate,"&gt;="&amp;DATE(YEAR(L$4),MONTH(L$4),1),PayDate,"&lt;"&amp;DATE(YEAR(L$4),MONTH(L$4)+1,1))</f>
        <v>9900</v>
      </c>
      <c r="M16" s="133" cm="1">
        <f t="array" aca="1" ref="M16" ca="1">SUMIFS(OFFSET(Payroll!$A$6,1,$F$2-1,PayCount,1),PayEmp,$A16,PayDate,"&gt;="&amp;DATE(YEAR(M$4),MONTH(M$4),1),PayDate,"&lt;"&amp;DATE(YEAR(M$4),MONTH(M$4)+1,1))</f>
        <v>5940</v>
      </c>
      <c r="N16" s="133" cm="1">
        <f t="array" aca="1" ref="N16" ca="1">SUMIFS(OFFSET(Payroll!$A$6,1,$F$2-1,PayCount,1),PayEmp,$A16,PayDate,"&gt;="&amp;DATE(YEAR(N$4),MONTH(N$4),1),PayDate,"&lt;"&amp;DATE(YEAR(N$4),MONTH(N$4)+1,1))</f>
        <v>5940</v>
      </c>
      <c r="O16" s="2"/>
      <c r="P16" s="139"/>
      <c r="Q16" s="298"/>
    </row>
    <row r="17" spans="1:17" ht="16.149999999999999" customHeight="1" x14ac:dyDescent="0.25">
      <c r="A17" s="9" t="str">
        <f ca="1">IF(OFFSET(Emp!$A$4,ROW($C17)-ROW($C$5),0,1,1)=0,"-",OFFSET(Emp!$A$4,ROW($C17)-ROW($C$5),0,1,1))</f>
        <v>EXS012</v>
      </c>
      <c r="B17" s="9" t="str">
        <f ca="1">IF(ISNA(VLOOKUP($A17,EmpAll,COLUMN(Emp!$B$1),0))=TRUE,"-",VLOOKUP($A17,EmpAll,COLUMN(Emp!$B$1),0))</f>
        <v>Williams VS</v>
      </c>
      <c r="C17" s="133" cm="1">
        <f t="array" aca="1" ref="C17" ca="1">SUMIFS(OFFSET(Payroll!$A$6,1,$F$2-1,PayCount,1),PayEmp,$A17,PayDate,"&gt;="&amp;DATE(YEAR(C$4),MONTH(C$4),1),PayDate,"&lt;"&amp;DATE(YEAR(C$4),MONTH(C$4)+1,1))</f>
        <v>4950</v>
      </c>
      <c r="D17" s="133" cm="1">
        <f t="array" aca="1" ref="D17" ca="1">SUMIFS(OFFSET(Payroll!$A$6,1,$F$2-1,PayCount,1),PayEmp,$A17,PayDate,"&gt;="&amp;DATE(YEAR(D$4),MONTH(D$4),1),PayDate,"&lt;"&amp;DATE(YEAR(D$4),MONTH(D$4)+1,1))</f>
        <v>4950</v>
      </c>
      <c r="E17" s="133" cm="1">
        <f t="array" aca="1" ref="E17" ca="1">SUMIFS(OFFSET(Payroll!$A$6,1,$F$2-1,PayCount,1),PayEmp,$A17,PayDate,"&gt;="&amp;DATE(YEAR(E$4),MONTH(E$4),1),PayDate,"&lt;"&amp;DATE(YEAR(E$4),MONTH(E$4)+1,1))</f>
        <v>4950</v>
      </c>
      <c r="F17" s="133" cm="1">
        <f t="array" aca="1" ref="F17" ca="1">SUMIFS(OFFSET(Payroll!$A$6,1,$F$2-1,PayCount,1),PayEmp,$A17,PayDate,"&gt;="&amp;DATE(YEAR(F$4),MONTH(F$4),1),PayDate,"&lt;"&amp;DATE(YEAR(F$4),MONTH(F$4)+1,1))</f>
        <v>4950</v>
      </c>
      <c r="G17" s="133" cm="1">
        <f t="array" aca="1" ref="G17" ca="1">SUMIFS(OFFSET(Payroll!$A$6,1,$F$2-1,PayCount,1),PayEmp,$A17,PayDate,"&gt;="&amp;DATE(YEAR(G$4),MONTH(G$4),1),PayDate,"&lt;"&amp;DATE(YEAR(G$4),MONTH(G$4)+1,1))</f>
        <v>4950</v>
      </c>
      <c r="H17" s="133" cm="1">
        <f t="array" aca="1" ref="H17" ca="1">SUMIFS(OFFSET(Payroll!$A$6,1,$F$2-1,PayCount,1),PayEmp,$A17,PayDate,"&gt;="&amp;DATE(YEAR(H$4),MONTH(H$4),1),PayDate,"&lt;"&amp;DATE(YEAR(H$4),MONTH(H$4)+1,1))</f>
        <v>4950</v>
      </c>
      <c r="I17" s="133" cm="1">
        <f t="array" aca="1" ref="I17" ca="1">SUMIFS(OFFSET(Payroll!$A$6,1,$F$2-1,PayCount,1),PayEmp,$A17,PayDate,"&gt;="&amp;DATE(YEAR(I$4),MONTH(I$4),1),PayDate,"&lt;"&amp;DATE(YEAR(I$4),MONTH(I$4)+1,1))</f>
        <v>4950</v>
      </c>
      <c r="J17" s="133" cm="1">
        <f t="array" aca="1" ref="J17" ca="1">SUMIFS(OFFSET(Payroll!$A$6,1,$F$2-1,PayCount,1),PayEmp,$A17,PayDate,"&gt;="&amp;DATE(YEAR(J$4),MONTH(J$4),1),PayDate,"&lt;"&amp;DATE(YEAR(J$4),MONTH(J$4)+1,1))</f>
        <v>4950</v>
      </c>
      <c r="K17" s="133" cm="1">
        <f t="array" aca="1" ref="K17" ca="1">SUMIFS(OFFSET(Payroll!$A$6,1,$F$2-1,PayCount,1),PayEmp,$A17,PayDate,"&gt;="&amp;DATE(YEAR(K$4),MONTH(K$4),1),PayDate,"&lt;"&amp;DATE(YEAR(K$4),MONTH(K$4)+1,1))</f>
        <v>4950</v>
      </c>
      <c r="L17" s="133" cm="1">
        <f t="array" aca="1" ref="L17" ca="1">SUMIFS(OFFSET(Payroll!$A$6,1,$F$2-1,PayCount,1),PayEmp,$A17,PayDate,"&gt;="&amp;DATE(YEAR(L$4),MONTH(L$4),1),PayDate,"&lt;"&amp;DATE(YEAR(L$4),MONTH(L$4)+1,1))</f>
        <v>9900</v>
      </c>
      <c r="M17" s="133" cm="1">
        <f t="array" aca="1" ref="M17" ca="1">SUMIFS(OFFSET(Payroll!$A$6,1,$F$2-1,PayCount,1),PayEmp,$A17,PayDate,"&gt;="&amp;DATE(YEAR(M$4),MONTH(M$4),1),PayDate,"&lt;"&amp;DATE(YEAR(M$4),MONTH(M$4)+1,1))</f>
        <v>5940</v>
      </c>
      <c r="N17" s="133" cm="1">
        <f t="array" aca="1" ref="N17" ca="1">SUMIFS(OFFSET(Payroll!$A$6,1,$F$2-1,PayCount,1),PayEmp,$A17,PayDate,"&gt;="&amp;DATE(YEAR(N$4),MONTH(N$4),1),PayDate,"&lt;"&amp;DATE(YEAR(N$4),MONTH(N$4)+1,1))</f>
        <v>5940</v>
      </c>
      <c r="O17" s="2"/>
      <c r="P17" s="139"/>
      <c r="Q17" s="298"/>
    </row>
    <row r="18" spans="1:17" ht="16.149999999999999" customHeight="1" x14ac:dyDescent="0.25">
      <c r="A18" s="9" t="str">
        <f ca="1">IF(OFFSET(Emp!$A$4,ROW($C18)-ROW($C$5),0,1,1)=0,"-",OFFSET(Emp!$A$4,ROW($C18)-ROW($C$5),0,1,1))</f>
        <v>EXS013</v>
      </c>
      <c r="B18" s="9" t="str">
        <f ca="1">IF(ISNA(VLOOKUP($A18,EmpAll,COLUMN(Emp!$B$1),0))=TRUE,"-",VLOOKUP($A18,EmpAll,COLUMN(Emp!$B$1),0))</f>
        <v>East WD</v>
      </c>
      <c r="C18" s="133" cm="1">
        <f t="array" aca="1" ref="C18" ca="1">SUMIFS(OFFSET(Payroll!$A$6,1,$F$2-1,PayCount,1),PayEmp,$A18,PayDate,"&gt;="&amp;DATE(YEAR(C$4),MONTH(C$4),1),PayDate,"&lt;"&amp;DATE(YEAR(C$4),MONTH(C$4)+1,1))</f>
        <v>4950</v>
      </c>
      <c r="D18" s="133" cm="1">
        <f t="array" aca="1" ref="D18" ca="1">SUMIFS(OFFSET(Payroll!$A$6,1,$F$2-1,PayCount,1),PayEmp,$A18,PayDate,"&gt;="&amp;DATE(YEAR(D$4),MONTH(D$4),1),PayDate,"&lt;"&amp;DATE(YEAR(D$4),MONTH(D$4)+1,1))</f>
        <v>4950</v>
      </c>
      <c r="E18" s="133" cm="1">
        <f t="array" aca="1" ref="E18" ca="1">SUMIFS(OFFSET(Payroll!$A$6,1,$F$2-1,PayCount,1),PayEmp,$A18,PayDate,"&gt;="&amp;DATE(YEAR(E$4),MONTH(E$4),1),PayDate,"&lt;"&amp;DATE(YEAR(E$4),MONTH(E$4)+1,1))</f>
        <v>4950</v>
      </c>
      <c r="F18" s="133" cm="1">
        <f t="array" aca="1" ref="F18" ca="1">SUMIFS(OFFSET(Payroll!$A$6,1,$F$2-1,PayCount,1),PayEmp,$A18,PayDate,"&gt;="&amp;DATE(YEAR(F$4),MONTH(F$4),1),PayDate,"&lt;"&amp;DATE(YEAR(F$4),MONTH(F$4)+1,1))</f>
        <v>4950</v>
      </c>
      <c r="G18" s="133" cm="1">
        <f t="array" aca="1" ref="G18" ca="1">SUMIFS(OFFSET(Payroll!$A$6,1,$F$2-1,PayCount,1),PayEmp,$A18,PayDate,"&gt;="&amp;DATE(YEAR(G$4),MONTH(G$4),1),PayDate,"&lt;"&amp;DATE(YEAR(G$4),MONTH(G$4)+1,1))</f>
        <v>4950</v>
      </c>
      <c r="H18" s="133" cm="1">
        <f t="array" aca="1" ref="H18" ca="1">SUMIFS(OFFSET(Payroll!$A$6,1,$F$2-1,PayCount,1),PayEmp,$A18,PayDate,"&gt;="&amp;DATE(YEAR(H$4),MONTH(H$4),1),PayDate,"&lt;"&amp;DATE(YEAR(H$4),MONTH(H$4)+1,1))</f>
        <v>4950</v>
      </c>
      <c r="I18" s="133" cm="1">
        <f t="array" aca="1" ref="I18" ca="1">SUMIFS(OFFSET(Payroll!$A$6,1,$F$2-1,PayCount,1),PayEmp,$A18,PayDate,"&gt;="&amp;DATE(YEAR(I$4),MONTH(I$4),1),PayDate,"&lt;"&amp;DATE(YEAR(I$4),MONTH(I$4)+1,1))</f>
        <v>4950</v>
      </c>
      <c r="J18" s="133" cm="1">
        <f t="array" aca="1" ref="J18" ca="1">SUMIFS(OFFSET(Payroll!$A$6,1,$F$2-1,PayCount,1),PayEmp,$A18,PayDate,"&gt;="&amp;DATE(YEAR(J$4),MONTH(J$4),1),PayDate,"&lt;"&amp;DATE(YEAR(J$4),MONTH(J$4)+1,1))</f>
        <v>4950</v>
      </c>
      <c r="K18" s="133" cm="1">
        <f t="array" aca="1" ref="K18" ca="1">SUMIFS(OFFSET(Payroll!$A$6,1,$F$2-1,PayCount,1),PayEmp,$A18,PayDate,"&gt;="&amp;DATE(YEAR(K$4),MONTH(K$4),1),PayDate,"&lt;"&amp;DATE(YEAR(K$4),MONTH(K$4)+1,1))</f>
        <v>4950</v>
      </c>
      <c r="L18" s="133" cm="1">
        <f t="array" aca="1" ref="L18" ca="1">SUMIFS(OFFSET(Payroll!$A$6,1,$F$2-1,PayCount,1),PayEmp,$A18,PayDate,"&gt;="&amp;DATE(YEAR(L$4),MONTH(L$4),1),PayDate,"&lt;"&amp;DATE(YEAR(L$4),MONTH(L$4)+1,1))</f>
        <v>9900</v>
      </c>
      <c r="M18" s="133" cm="1">
        <f t="array" aca="1" ref="M18" ca="1">SUMIFS(OFFSET(Payroll!$A$6,1,$F$2-1,PayCount,1),PayEmp,$A18,PayDate,"&gt;="&amp;DATE(YEAR(M$4),MONTH(M$4),1),PayDate,"&lt;"&amp;DATE(YEAR(M$4),MONTH(M$4)+1,1))</f>
        <v>5940</v>
      </c>
      <c r="N18" s="133" cm="1">
        <f t="array" aca="1" ref="N18" ca="1">SUMIFS(OFFSET(Payroll!$A$6,1,$F$2-1,PayCount,1),PayEmp,$A18,PayDate,"&gt;="&amp;DATE(YEAR(N$4),MONTH(N$4),1),PayDate,"&lt;"&amp;DATE(YEAR(N$4),MONTH(N$4)+1,1))</f>
        <v>5940</v>
      </c>
      <c r="O18" s="2"/>
      <c r="P18" s="139"/>
      <c r="Q18" s="298"/>
    </row>
    <row r="19" spans="1:17" ht="16.149999999999999" customHeight="1" x14ac:dyDescent="0.25">
      <c r="A19" s="9" t="str">
        <f ca="1">IF(OFFSET(Emp!$A$4,ROW($C19)-ROW($C$5),0,1,1)=0,"-",OFFSET(Emp!$A$4,ROW($C19)-ROW($C$5),0,1,1))</f>
        <v>EXS014</v>
      </c>
      <c r="B19" s="9" t="str">
        <f ca="1">IF(ISNA(VLOOKUP($A19,EmpAll,COLUMN(Emp!$B$1),0))=TRUE,"-",VLOOKUP($A19,EmpAll,COLUMN(Emp!$B$1),0))</f>
        <v>Ross Q</v>
      </c>
      <c r="C19" s="133" cm="1">
        <f t="array" aca="1" ref="C19" ca="1">SUMIFS(OFFSET(Payroll!$A$6,1,$F$2-1,PayCount,1),PayEmp,$A19,PayDate,"&gt;="&amp;DATE(YEAR(C$4),MONTH(C$4),1),PayDate,"&lt;"&amp;DATE(YEAR(C$4),MONTH(C$4)+1,1))</f>
        <v>0</v>
      </c>
      <c r="D19" s="133" cm="1">
        <f t="array" aca="1" ref="D19" ca="1">SUMIFS(OFFSET(Payroll!$A$6,1,$F$2-1,PayCount,1),PayEmp,$A19,PayDate,"&gt;="&amp;DATE(YEAR(D$4),MONTH(D$4),1),PayDate,"&lt;"&amp;DATE(YEAR(D$4),MONTH(D$4)+1,1))</f>
        <v>0</v>
      </c>
      <c r="E19" s="133" cm="1">
        <f t="array" aca="1" ref="E19" ca="1">SUMIFS(OFFSET(Payroll!$A$6,1,$F$2-1,PayCount,1),PayEmp,$A19,PayDate,"&gt;="&amp;DATE(YEAR(E$4),MONTH(E$4),1),PayDate,"&lt;"&amp;DATE(YEAR(E$4),MONTH(E$4)+1,1))</f>
        <v>0</v>
      </c>
      <c r="F19" s="133" cm="1">
        <f t="array" aca="1" ref="F19" ca="1">SUMIFS(OFFSET(Payroll!$A$6,1,$F$2-1,PayCount,1),PayEmp,$A19,PayDate,"&gt;="&amp;DATE(YEAR(F$4),MONTH(F$4),1),PayDate,"&lt;"&amp;DATE(YEAR(F$4),MONTH(F$4)+1,1))</f>
        <v>24410.799999999999</v>
      </c>
      <c r="G19" s="133" cm="1">
        <f t="array" aca="1" ref="G19" ca="1">SUMIFS(OFFSET(Payroll!$A$6,1,$F$2-1,PayCount,1),PayEmp,$A19,PayDate,"&gt;="&amp;DATE(YEAR(G$4),MONTH(G$4),1),PayDate,"&lt;"&amp;DATE(YEAR(G$4),MONTH(G$4)+1,1))</f>
        <v>24410.799999999999</v>
      </c>
      <c r="H19" s="133" cm="1">
        <f t="array" aca="1" ref="H19" ca="1">SUMIFS(OFFSET(Payroll!$A$6,1,$F$2-1,PayCount,1),PayEmp,$A19,PayDate,"&gt;="&amp;DATE(YEAR(H$4),MONTH(H$4),1),PayDate,"&lt;"&amp;DATE(YEAR(H$4),MONTH(H$4)+1,1))</f>
        <v>24410.799999999999</v>
      </c>
      <c r="I19" s="133" cm="1">
        <f t="array" aca="1" ref="I19" ca="1">SUMIFS(OFFSET(Payroll!$A$6,1,$F$2-1,PayCount,1),PayEmp,$A19,PayDate,"&gt;="&amp;DATE(YEAR(I$4),MONTH(I$4),1),PayDate,"&lt;"&amp;DATE(YEAR(I$4),MONTH(I$4)+1,1))</f>
        <v>24410.799999999999</v>
      </c>
      <c r="J19" s="133" cm="1">
        <f t="array" aca="1" ref="J19" ca="1">SUMIFS(OFFSET(Payroll!$A$6,1,$F$2-1,PayCount,1),PayEmp,$A19,PayDate,"&gt;="&amp;DATE(YEAR(J$4),MONTH(J$4),1),PayDate,"&lt;"&amp;DATE(YEAR(J$4),MONTH(J$4)+1,1))</f>
        <v>24410.799999999999</v>
      </c>
      <c r="K19" s="133" cm="1">
        <f t="array" aca="1" ref="K19" ca="1">SUMIFS(OFFSET(Payroll!$A$6,1,$F$2-1,PayCount,1),PayEmp,$A19,PayDate,"&gt;="&amp;DATE(YEAR(K$4),MONTH(K$4),1),PayDate,"&lt;"&amp;DATE(YEAR(K$4),MONTH(K$4)+1,1))</f>
        <v>24410.799999999999</v>
      </c>
      <c r="L19" s="133" cm="1">
        <f t="array" aca="1" ref="L19" ca="1">SUMIFS(OFFSET(Payroll!$A$6,1,$F$2-1,PayCount,1),PayEmp,$A19,PayDate,"&gt;="&amp;DATE(YEAR(L$4),MONTH(L$4),1),PayDate,"&lt;"&amp;DATE(YEAR(L$4),MONTH(L$4)+1,1))</f>
        <v>24410.799999999999</v>
      </c>
      <c r="M19" s="133" cm="1">
        <f t="array" aca="1" ref="M19" ca="1">SUMIFS(OFFSET(Payroll!$A$6,1,$F$2-1,PayCount,1),PayEmp,$A19,PayDate,"&gt;="&amp;DATE(YEAR(M$4),MONTH(M$4),1),PayDate,"&lt;"&amp;DATE(YEAR(M$4),MONTH(M$4)+1,1))</f>
        <v>25779.8</v>
      </c>
      <c r="N19" s="133" cm="1">
        <f t="array" aca="1" ref="N19" ca="1">SUMIFS(OFFSET(Payroll!$A$6,1,$F$2-1,PayCount,1),PayEmp,$A19,PayDate,"&gt;="&amp;DATE(YEAR(N$4),MONTH(N$4),1),PayDate,"&lt;"&amp;DATE(YEAR(N$4),MONTH(N$4)+1,1))</f>
        <v>25779.8</v>
      </c>
      <c r="O19" s="2"/>
      <c r="P19" s="139"/>
      <c r="Q19" s="298"/>
    </row>
    <row r="20" spans="1:17" ht="16.149999999999999" customHeight="1" x14ac:dyDescent="0.25">
      <c r="A20" s="9" t="str">
        <f ca="1">IF(OFFSET(Emp!$A$4,ROW($C20)-ROW($C$5),0,1,1)=0,"-",OFFSET(Emp!$A$4,ROW($C20)-ROW($C$5),0,1,1))</f>
        <v>EXS015</v>
      </c>
      <c r="B20" s="9" t="str">
        <f ca="1">IF(ISNA(VLOOKUP($A20,EmpAll,COLUMN(Emp!$B$1),0))=TRUE,"-",VLOOKUP($A20,EmpAll,COLUMN(Emp!$B$1),0))</f>
        <v>Graham L</v>
      </c>
      <c r="C20" s="133" cm="1">
        <f t="array" aca="1" ref="C20" ca="1">SUMIFS(OFFSET(Payroll!$A$6,1,$F$2-1,PayCount,1),PayEmp,$A20,PayDate,"&gt;="&amp;DATE(YEAR(C$4),MONTH(C$4),1),PayDate,"&lt;"&amp;DATE(YEAR(C$4),MONTH(C$4)+1,1))</f>
        <v>0</v>
      </c>
      <c r="D20" s="133" cm="1">
        <f t="array" aca="1" ref="D20" ca="1">SUMIFS(OFFSET(Payroll!$A$6,1,$F$2-1,PayCount,1),PayEmp,$A20,PayDate,"&gt;="&amp;DATE(YEAR(D$4),MONTH(D$4),1),PayDate,"&lt;"&amp;DATE(YEAR(D$4),MONTH(D$4)+1,1))</f>
        <v>0</v>
      </c>
      <c r="E20" s="133" cm="1">
        <f t="array" aca="1" ref="E20" ca="1">SUMIFS(OFFSET(Payroll!$A$6,1,$F$2-1,PayCount,1),PayEmp,$A20,PayDate,"&gt;="&amp;DATE(YEAR(E$4),MONTH(E$4),1),PayDate,"&lt;"&amp;DATE(YEAR(E$4),MONTH(E$4)+1,1))</f>
        <v>0</v>
      </c>
      <c r="F20" s="133" cm="1">
        <f t="array" aca="1" ref="F20" ca="1">SUMIFS(OFFSET(Payroll!$A$6,1,$F$2-1,PayCount,1),PayEmp,$A20,PayDate,"&gt;="&amp;DATE(YEAR(F$4),MONTH(F$4),1),PayDate,"&lt;"&amp;DATE(YEAR(F$4),MONTH(F$4)+1,1))</f>
        <v>0</v>
      </c>
      <c r="G20" s="133" cm="1">
        <f t="array" aca="1" ref="G20" ca="1">SUMIFS(OFFSET(Payroll!$A$6,1,$F$2-1,PayCount,1),PayEmp,$A20,PayDate,"&gt;="&amp;DATE(YEAR(G$4),MONTH(G$4),1),PayDate,"&lt;"&amp;DATE(YEAR(G$4),MONTH(G$4)+1,1))</f>
        <v>0</v>
      </c>
      <c r="H20" s="133" cm="1">
        <f t="array" aca="1" ref="H20" ca="1">SUMIFS(OFFSET(Payroll!$A$6,1,$F$2-1,PayCount,1),PayEmp,$A20,PayDate,"&gt;="&amp;DATE(YEAR(H$4),MONTH(H$4),1),PayDate,"&lt;"&amp;DATE(YEAR(H$4),MONTH(H$4)+1,1))</f>
        <v>0</v>
      </c>
      <c r="I20" s="133" cm="1">
        <f t="array" aca="1" ref="I20" ca="1">SUMIFS(OFFSET(Payroll!$A$6,1,$F$2-1,PayCount,1),PayEmp,$A20,PayDate,"&gt;="&amp;DATE(YEAR(I$4),MONTH(I$4),1),PayDate,"&lt;"&amp;DATE(YEAR(I$4),MONTH(I$4)+1,1))</f>
        <v>0</v>
      </c>
      <c r="J20" s="133" cm="1">
        <f t="array" aca="1" ref="J20" ca="1">SUMIFS(OFFSET(Payroll!$A$6,1,$F$2-1,PayCount,1),PayEmp,$A20,PayDate,"&gt;="&amp;DATE(YEAR(J$4),MONTH(J$4),1),PayDate,"&lt;"&amp;DATE(YEAR(J$4),MONTH(J$4)+1,1))</f>
        <v>0</v>
      </c>
      <c r="K20" s="133" cm="1">
        <f t="array" aca="1" ref="K20" ca="1">SUMIFS(OFFSET(Payroll!$A$6,1,$F$2-1,PayCount,1),PayEmp,$A20,PayDate,"&gt;="&amp;DATE(YEAR(K$4),MONTH(K$4),1),PayDate,"&lt;"&amp;DATE(YEAR(K$4),MONTH(K$4)+1,1))</f>
        <v>0</v>
      </c>
      <c r="L20" s="133" cm="1">
        <f t="array" aca="1" ref="L20" ca="1">SUMIFS(OFFSET(Payroll!$A$6,1,$F$2-1,PayCount,1),PayEmp,$A20,PayDate,"&gt;="&amp;DATE(YEAR(L$4),MONTH(L$4),1),PayDate,"&lt;"&amp;DATE(YEAR(L$4),MONTH(L$4)+1,1))</f>
        <v>0</v>
      </c>
      <c r="M20" s="133" cm="1">
        <f t="array" aca="1" ref="M20" ca="1">SUMIFS(OFFSET(Payroll!$A$6,1,$F$2-1,PayCount,1),PayEmp,$A20,PayDate,"&gt;="&amp;DATE(YEAR(M$4),MONTH(M$4),1),PayDate,"&lt;"&amp;DATE(YEAR(M$4),MONTH(M$4)+1,1))</f>
        <v>10395</v>
      </c>
      <c r="N20" s="133" cm="1">
        <f t="array" aca="1" ref="N20" ca="1">SUMIFS(OFFSET(Payroll!$A$6,1,$F$2-1,PayCount,1),PayEmp,$A20,PayDate,"&gt;="&amp;DATE(YEAR(N$4),MONTH(N$4),1),PayDate,"&lt;"&amp;DATE(YEAR(N$4),MONTH(N$4)+1,1))</f>
        <v>10395</v>
      </c>
      <c r="O20" s="2"/>
      <c r="P20" s="139"/>
      <c r="Q20" s="298"/>
    </row>
    <row r="21" spans="1:17" ht="16.149999999999999" customHeight="1" x14ac:dyDescent="0.25">
      <c r="A21" s="9" t="str">
        <f ca="1">IF(OFFSET(Emp!$A$4,ROW($C21)-ROW($C$5),0,1,1)=0,"-",OFFSET(Emp!$A$4,ROW($C21)-ROW($C$5),0,1,1))</f>
        <v>-</v>
      </c>
      <c r="B21" s="9" t="str">
        <f ca="1">IF(ISNA(VLOOKUP($A21,EmpAll,COLUMN(Emp!$B$1),0))=TRUE,"-",VLOOKUP($A21,EmpAll,COLUMN(Emp!$B$1),0))</f>
        <v>-</v>
      </c>
      <c r="C21" s="133" cm="1">
        <f t="array" aca="1" ref="C21" ca="1">SUMIFS(OFFSET(Payroll!$A$6,1,$F$2-1,PayCount,1),PayEmp,$A21,PayDate,"&gt;="&amp;DATE(YEAR(C$4),MONTH(C$4),1),PayDate,"&lt;"&amp;DATE(YEAR(C$4),MONTH(C$4)+1,1))</f>
        <v>0</v>
      </c>
      <c r="D21" s="133" cm="1">
        <f t="array" aca="1" ref="D21" ca="1">SUMIFS(OFFSET(Payroll!$A$6,1,$F$2-1,PayCount,1),PayEmp,$A21,PayDate,"&gt;="&amp;DATE(YEAR(D$4),MONTH(D$4),1),PayDate,"&lt;"&amp;DATE(YEAR(D$4),MONTH(D$4)+1,1))</f>
        <v>0</v>
      </c>
      <c r="E21" s="133" cm="1">
        <f t="array" aca="1" ref="E21" ca="1">SUMIFS(OFFSET(Payroll!$A$6,1,$F$2-1,PayCount,1),PayEmp,$A21,PayDate,"&gt;="&amp;DATE(YEAR(E$4),MONTH(E$4),1),PayDate,"&lt;"&amp;DATE(YEAR(E$4),MONTH(E$4)+1,1))</f>
        <v>0</v>
      </c>
      <c r="F21" s="133" cm="1">
        <f t="array" aca="1" ref="F21" ca="1">SUMIFS(OFFSET(Payroll!$A$6,1,$F$2-1,PayCount,1),PayEmp,$A21,PayDate,"&gt;="&amp;DATE(YEAR(F$4),MONTH(F$4),1),PayDate,"&lt;"&amp;DATE(YEAR(F$4),MONTH(F$4)+1,1))</f>
        <v>0</v>
      </c>
      <c r="G21" s="133" cm="1">
        <f t="array" aca="1" ref="G21" ca="1">SUMIFS(OFFSET(Payroll!$A$6,1,$F$2-1,PayCount,1),PayEmp,$A21,PayDate,"&gt;="&amp;DATE(YEAR(G$4),MONTH(G$4),1),PayDate,"&lt;"&amp;DATE(YEAR(G$4),MONTH(G$4)+1,1))</f>
        <v>0</v>
      </c>
      <c r="H21" s="133" cm="1">
        <f t="array" aca="1" ref="H21" ca="1">SUMIFS(OFFSET(Payroll!$A$6,1,$F$2-1,PayCount,1),PayEmp,$A21,PayDate,"&gt;="&amp;DATE(YEAR(H$4),MONTH(H$4),1),PayDate,"&lt;"&amp;DATE(YEAR(H$4),MONTH(H$4)+1,1))</f>
        <v>0</v>
      </c>
      <c r="I21" s="133" cm="1">
        <f t="array" aca="1" ref="I21" ca="1">SUMIFS(OFFSET(Payroll!$A$6,1,$F$2-1,PayCount,1),PayEmp,$A21,PayDate,"&gt;="&amp;DATE(YEAR(I$4),MONTH(I$4),1),PayDate,"&lt;"&amp;DATE(YEAR(I$4),MONTH(I$4)+1,1))</f>
        <v>0</v>
      </c>
      <c r="J21" s="133" cm="1">
        <f t="array" aca="1" ref="J21" ca="1">SUMIFS(OFFSET(Payroll!$A$6,1,$F$2-1,PayCount,1),PayEmp,$A21,PayDate,"&gt;="&amp;DATE(YEAR(J$4),MONTH(J$4),1),PayDate,"&lt;"&amp;DATE(YEAR(J$4),MONTH(J$4)+1,1))</f>
        <v>0</v>
      </c>
      <c r="K21" s="133" cm="1">
        <f t="array" aca="1" ref="K21" ca="1">SUMIFS(OFFSET(Payroll!$A$6,1,$F$2-1,PayCount,1),PayEmp,$A21,PayDate,"&gt;="&amp;DATE(YEAR(K$4),MONTH(K$4),1),PayDate,"&lt;"&amp;DATE(YEAR(K$4),MONTH(K$4)+1,1))</f>
        <v>0</v>
      </c>
      <c r="L21" s="133" cm="1">
        <f t="array" aca="1" ref="L21" ca="1">SUMIFS(OFFSET(Payroll!$A$6,1,$F$2-1,PayCount,1),PayEmp,$A21,PayDate,"&gt;="&amp;DATE(YEAR(L$4),MONTH(L$4),1),PayDate,"&lt;"&amp;DATE(YEAR(L$4),MONTH(L$4)+1,1))</f>
        <v>0</v>
      </c>
      <c r="M21" s="133" cm="1">
        <f t="array" aca="1" ref="M21" ca="1">SUMIFS(OFFSET(Payroll!$A$6,1,$F$2-1,PayCount,1),PayEmp,$A21,PayDate,"&gt;="&amp;DATE(YEAR(M$4),MONTH(M$4),1),PayDate,"&lt;"&amp;DATE(YEAR(M$4),MONTH(M$4)+1,1))</f>
        <v>0</v>
      </c>
      <c r="N21" s="133" cm="1">
        <f t="array" aca="1" ref="N21" ca="1">SUMIFS(OFFSET(Payroll!$A$6,1,$F$2-1,PayCount,1),PayEmp,$A21,PayDate,"&gt;="&amp;DATE(YEAR(N$4),MONTH(N$4),1),PayDate,"&lt;"&amp;DATE(YEAR(N$4),MONTH(N$4)+1,1))</f>
        <v>0</v>
      </c>
      <c r="O21" s="2"/>
      <c r="P21" s="139"/>
      <c r="Q21" s="298"/>
    </row>
    <row r="22" spans="1:17" ht="16.149999999999999" customHeight="1" x14ac:dyDescent="0.25">
      <c r="A22" s="9" t="str">
        <f ca="1">IF(OFFSET(Emp!$A$4,ROW($C22)-ROW($C$5),0,1,1)=0,"-",OFFSET(Emp!$A$4,ROW($C22)-ROW($C$5),0,1,1))</f>
        <v>-</v>
      </c>
      <c r="B22" s="9" t="str">
        <f ca="1">IF(ISNA(VLOOKUP($A22,EmpAll,COLUMN(Emp!$B$1),0))=TRUE,"-",VLOOKUP($A22,EmpAll,COLUMN(Emp!$B$1),0))</f>
        <v>-</v>
      </c>
      <c r="C22" s="133" cm="1">
        <f t="array" aca="1" ref="C22" ca="1">SUMIFS(OFFSET(Payroll!$A$6,1,$F$2-1,PayCount,1),PayEmp,$A22,PayDate,"&gt;="&amp;DATE(YEAR(C$4),MONTH(C$4),1),PayDate,"&lt;"&amp;DATE(YEAR(C$4),MONTH(C$4)+1,1))</f>
        <v>0</v>
      </c>
      <c r="D22" s="133" cm="1">
        <f t="array" aca="1" ref="D22" ca="1">SUMIFS(OFFSET(Payroll!$A$6,1,$F$2-1,PayCount,1),PayEmp,$A22,PayDate,"&gt;="&amp;DATE(YEAR(D$4),MONTH(D$4),1),PayDate,"&lt;"&amp;DATE(YEAR(D$4),MONTH(D$4)+1,1))</f>
        <v>0</v>
      </c>
      <c r="E22" s="133" cm="1">
        <f t="array" aca="1" ref="E22" ca="1">SUMIFS(OFFSET(Payroll!$A$6,1,$F$2-1,PayCount,1),PayEmp,$A22,PayDate,"&gt;="&amp;DATE(YEAR(E$4),MONTH(E$4),1),PayDate,"&lt;"&amp;DATE(YEAR(E$4),MONTH(E$4)+1,1))</f>
        <v>0</v>
      </c>
      <c r="F22" s="133" cm="1">
        <f t="array" aca="1" ref="F22" ca="1">SUMIFS(OFFSET(Payroll!$A$6,1,$F$2-1,PayCount,1),PayEmp,$A22,PayDate,"&gt;="&amp;DATE(YEAR(F$4),MONTH(F$4),1),PayDate,"&lt;"&amp;DATE(YEAR(F$4),MONTH(F$4)+1,1))</f>
        <v>0</v>
      </c>
      <c r="G22" s="133" cm="1">
        <f t="array" aca="1" ref="G22" ca="1">SUMIFS(OFFSET(Payroll!$A$6,1,$F$2-1,PayCount,1),PayEmp,$A22,PayDate,"&gt;="&amp;DATE(YEAR(G$4),MONTH(G$4),1),PayDate,"&lt;"&amp;DATE(YEAR(G$4),MONTH(G$4)+1,1))</f>
        <v>0</v>
      </c>
      <c r="H22" s="133" cm="1">
        <f t="array" aca="1" ref="H22" ca="1">SUMIFS(OFFSET(Payroll!$A$6,1,$F$2-1,PayCount,1),PayEmp,$A22,PayDate,"&gt;="&amp;DATE(YEAR(H$4),MONTH(H$4),1),PayDate,"&lt;"&amp;DATE(YEAR(H$4),MONTH(H$4)+1,1))</f>
        <v>0</v>
      </c>
      <c r="I22" s="133" cm="1">
        <f t="array" aca="1" ref="I22" ca="1">SUMIFS(OFFSET(Payroll!$A$6,1,$F$2-1,PayCount,1),PayEmp,$A22,PayDate,"&gt;="&amp;DATE(YEAR(I$4),MONTH(I$4),1),PayDate,"&lt;"&amp;DATE(YEAR(I$4),MONTH(I$4)+1,1))</f>
        <v>0</v>
      </c>
      <c r="J22" s="133" cm="1">
        <f t="array" aca="1" ref="J22" ca="1">SUMIFS(OFFSET(Payroll!$A$6,1,$F$2-1,PayCount,1),PayEmp,$A22,PayDate,"&gt;="&amp;DATE(YEAR(J$4),MONTH(J$4),1),PayDate,"&lt;"&amp;DATE(YEAR(J$4),MONTH(J$4)+1,1))</f>
        <v>0</v>
      </c>
      <c r="K22" s="133" cm="1">
        <f t="array" aca="1" ref="K22" ca="1">SUMIFS(OFFSET(Payroll!$A$6,1,$F$2-1,PayCount,1),PayEmp,$A22,PayDate,"&gt;="&amp;DATE(YEAR(K$4),MONTH(K$4),1),PayDate,"&lt;"&amp;DATE(YEAR(K$4),MONTH(K$4)+1,1))</f>
        <v>0</v>
      </c>
      <c r="L22" s="133" cm="1">
        <f t="array" aca="1" ref="L22" ca="1">SUMIFS(OFFSET(Payroll!$A$6,1,$F$2-1,PayCount,1),PayEmp,$A22,PayDate,"&gt;="&amp;DATE(YEAR(L$4),MONTH(L$4),1),PayDate,"&lt;"&amp;DATE(YEAR(L$4),MONTH(L$4)+1,1))</f>
        <v>0</v>
      </c>
      <c r="M22" s="133" cm="1">
        <f t="array" aca="1" ref="M22" ca="1">SUMIFS(OFFSET(Payroll!$A$6,1,$F$2-1,PayCount,1),PayEmp,$A22,PayDate,"&gt;="&amp;DATE(YEAR(M$4),MONTH(M$4),1),PayDate,"&lt;"&amp;DATE(YEAR(M$4),MONTH(M$4)+1,1))</f>
        <v>0</v>
      </c>
      <c r="N22" s="133" cm="1">
        <f t="array" aca="1" ref="N22" ca="1">SUMIFS(OFFSET(Payroll!$A$6,1,$F$2-1,PayCount,1),PayEmp,$A22,PayDate,"&gt;="&amp;DATE(YEAR(N$4),MONTH(N$4),1),PayDate,"&lt;"&amp;DATE(YEAR(N$4),MONTH(N$4)+1,1))</f>
        <v>0</v>
      </c>
      <c r="O22" s="2"/>
      <c r="P22" s="139"/>
      <c r="Q22" s="298"/>
    </row>
    <row r="23" spans="1:17" ht="16.149999999999999" customHeight="1" x14ac:dyDescent="0.25">
      <c r="A23" s="9" t="str">
        <f ca="1">IF(OFFSET(Emp!$A$4,ROW($C23)-ROW($C$5),0,1,1)=0,"-",OFFSET(Emp!$A$4,ROW($C23)-ROW($C$5),0,1,1))</f>
        <v>-</v>
      </c>
      <c r="B23" s="9" t="str">
        <f ca="1">IF(ISNA(VLOOKUP($A23,EmpAll,COLUMN(Emp!$B$1),0))=TRUE,"-",VLOOKUP($A23,EmpAll,COLUMN(Emp!$B$1),0))</f>
        <v>-</v>
      </c>
      <c r="C23" s="133" cm="1">
        <f t="array" aca="1" ref="C23" ca="1">SUMIFS(OFFSET(Payroll!$A$6,1,$F$2-1,PayCount,1),PayEmp,$A23,PayDate,"&gt;="&amp;DATE(YEAR(C$4),MONTH(C$4),1),PayDate,"&lt;"&amp;DATE(YEAR(C$4),MONTH(C$4)+1,1))</f>
        <v>0</v>
      </c>
      <c r="D23" s="133" cm="1">
        <f t="array" aca="1" ref="D23" ca="1">SUMIFS(OFFSET(Payroll!$A$6,1,$F$2-1,PayCount,1),PayEmp,$A23,PayDate,"&gt;="&amp;DATE(YEAR(D$4),MONTH(D$4),1),PayDate,"&lt;"&amp;DATE(YEAR(D$4),MONTH(D$4)+1,1))</f>
        <v>0</v>
      </c>
      <c r="E23" s="133" cm="1">
        <f t="array" aca="1" ref="E23" ca="1">SUMIFS(OFFSET(Payroll!$A$6,1,$F$2-1,PayCount,1),PayEmp,$A23,PayDate,"&gt;="&amp;DATE(YEAR(E$4),MONTH(E$4),1),PayDate,"&lt;"&amp;DATE(YEAR(E$4),MONTH(E$4)+1,1))</f>
        <v>0</v>
      </c>
      <c r="F23" s="133" cm="1">
        <f t="array" aca="1" ref="F23" ca="1">SUMIFS(OFFSET(Payroll!$A$6,1,$F$2-1,PayCount,1),PayEmp,$A23,PayDate,"&gt;="&amp;DATE(YEAR(F$4),MONTH(F$4),1),PayDate,"&lt;"&amp;DATE(YEAR(F$4),MONTH(F$4)+1,1))</f>
        <v>0</v>
      </c>
      <c r="G23" s="133" cm="1">
        <f t="array" aca="1" ref="G23" ca="1">SUMIFS(OFFSET(Payroll!$A$6,1,$F$2-1,PayCount,1),PayEmp,$A23,PayDate,"&gt;="&amp;DATE(YEAR(G$4),MONTH(G$4),1),PayDate,"&lt;"&amp;DATE(YEAR(G$4),MONTH(G$4)+1,1))</f>
        <v>0</v>
      </c>
      <c r="H23" s="133" cm="1">
        <f t="array" aca="1" ref="H23" ca="1">SUMIFS(OFFSET(Payroll!$A$6,1,$F$2-1,PayCount,1),PayEmp,$A23,PayDate,"&gt;="&amp;DATE(YEAR(H$4),MONTH(H$4),1),PayDate,"&lt;"&amp;DATE(YEAR(H$4),MONTH(H$4)+1,1))</f>
        <v>0</v>
      </c>
      <c r="I23" s="133" cm="1">
        <f t="array" aca="1" ref="I23" ca="1">SUMIFS(OFFSET(Payroll!$A$6,1,$F$2-1,PayCount,1),PayEmp,$A23,PayDate,"&gt;="&amp;DATE(YEAR(I$4),MONTH(I$4),1),PayDate,"&lt;"&amp;DATE(YEAR(I$4),MONTH(I$4)+1,1))</f>
        <v>0</v>
      </c>
      <c r="J23" s="133" cm="1">
        <f t="array" aca="1" ref="J23" ca="1">SUMIFS(OFFSET(Payroll!$A$6,1,$F$2-1,PayCount,1),PayEmp,$A23,PayDate,"&gt;="&amp;DATE(YEAR(J$4),MONTH(J$4),1),PayDate,"&lt;"&amp;DATE(YEAR(J$4),MONTH(J$4)+1,1))</f>
        <v>0</v>
      </c>
      <c r="K23" s="133" cm="1">
        <f t="array" aca="1" ref="K23" ca="1">SUMIFS(OFFSET(Payroll!$A$6,1,$F$2-1,PayCount,1),PayEmp,$A23,PayDate,"&gt;="&amp;DATE(YEAR(K$4),MONTH(K$4),1),PayDate,"&lt;"&amp;DATE(YEAR(K$4),MONTH(K$4)+1,1))</f>
        <v>0</v>
      </c>
      <c r="L23" s="133" cm="1">
        <f t="array" aca="1" ref="L23" ca="1">SUMIFS(OFFSET(Payroll!$A$6,1,$F$2-1,PayCount,1),PayEmp,$A23,PayDate,"&gt;="&amp;DATE(YEAR(L$4),MONTH(L$4),1),PayDate,"&lt;"&amp;DATE(YEAR(L$4),MONTH(L$4)+1,1))</f>
        <v>0</v>
      </c>
      <c r="M23" s="133" cm="1">
        <f t="array" aca="1" ref="M23" ca="1">SUMIFS(OFFSET(Payroll!$A$6,1,$F$2-1,PayCount,1),PayEmp,$A23,PayDate,"&gt;="&amp;DATE(YEAR(M$4),MONTH(M$4),1),PayDate,"&lt;"&amp;DATE(YEAR(M$4),MONTH(M$4)+1,1))</f>
        <v>0</v>
      </c>
      <c r="N23" s="133" cm="1">
        <f t="array" aca="1" ref="N23" ca="1">SUMIFS(OFFSET(Payroll!$A$6,1,$F$2-1,PayCount,1),PayEmp,$A23,PayDate,"&gt;="&amp;DATE(YEAR(N$4),MONTH(N$4),1),PayDate,"&lt;"&amp;DATE(YEAR(N$4),MONTH(N$4)+1,1))</f>
        <v>0</v>
      </c>
      <c r="O23" s="2"/>
      <c r="P23" s="139"/>
      <c r="Q23" s="298"/>
    </row>
    <row r="24" spans="1:17" ht="16.149999999999999" customHeight="1" x14ac:dyDescent="0.25">
      <c r="A24" s="9" t="str">
        <f ca="1">IF(OFFSET(Emp!$A$4,ROW($C24)-ROW($C$5),0,1,1)=0,"-",OFFSET(Emp!$A$4,ROW($C24)-ROW($C$5),0,1,1))</f>
        <v>-</v>
      </c>
      <c r="B24" s="9" t="str">
        <f ca="1">IF(ISNA(VLOOKUP($A24,EmpAll,COLUMN(Emp!$B$1),0))=TRUE,"-",VLOOKUP($A24,EmpAll,COLUMN(Emp!$B$1),0))</f>
        <v>-</v>
      </c>
      <c r="C24" s="133" cm="1">
        <f t="array" aca="1" ref="C24" ca="1">SUMIFS(OFFSET(Payroll!$A$6,1,$F$2-1,PayCount,1),PayEmp,$A24,PayDate,"&gt;="&amp;DATE(YEAR(C$4),MONTH(C$4),1),PayDate,"&lt;"&amp;DATE(YEAR(C$4),MONTH(C$4)+1,1))</f>
        <v>0</v>
      </c>
      <c r="D24" s="133" cm="1">
        <f t="array" aca="1" ref="D24" ca="1">SUMIFS(OFFSET(Payroll!$A$6,1,$F$2-1,PayCount,1),PayEmp,$A24,PayDate,"&gt;="&amp;DATE(YEAR(D$4),MONTH(D$4),1),PayDate,"&lt;"&amp;DATE(YEAR(D$4),MONTH(D$4)+1,1))</f>
        <v>0</v>
      </c>
      <c r="E24" s="133" cm="1">
        <f t="array" aca="1" ref="E24" ca="1">SUMIFS(OFFSET(Payroll!$A$6,1,$F$2-1,PayCount,1),PayEmp,$A24,PayDate,"&gt;="&amp;DATE(YEAR(E$4),MONTH(E$4),1),PayDate,"&lt;"&amp;DATE(YEAR(E$4),MONTH(E$4)+1,1))</f>
        <v>0</v>
      </c>
      <c r="F24" s="133" cm="1">
        <f t="array" aca="1" ref="F24" ca="1">SUMIFS(OFFSET(Payroll!$A$6,1,$F$2-1,PayCount,1),PayEmp,$A24,PayDate,"&gt;="&amp;DATE(YEAR(F$4),MONTH(F$4),1),PayDate,"&lt;"&amp;DATE(YEAR(F$4),MONTH(F$4)+1,1))</f>
        <v>0</v>
      </c>
      <c r="G24" s="133" cm="1">
        <f t="array" aca="1" ref="G24" ca="1">SUMIFS(OFFSET(Payroll!$A$6,1,$F$2-1,PayCount,1),PayEmp,$A24,PayDate,"&gt;="&amp;DATE(YEAR(G$4),MONTH(G$4),1),PayDate,"&lt;"&amp;DATE(YEAR(G$4),MONTH(G$4)+1,1))</f>
        <v>0</v>
      </c>
      <c r="H24" s="133" cm="1">
        <f t="array" aca="1" ref="H24" ca="1">SUMIFS(OFFSET(Payroll!$A$6,1,$F$2-1,PayCount,1),PayEmp,$A24,PayDate,"&gt;="&amp;DATE(YEAR(H$4),MONTH(H$4),1),PayDate,"&lt;"&amp;DATE(YEAR(H$4),MONTH(H$4)+1,1))</f>
        <v>0</v>
      </c>
      <c r="I24" s="133" cm="1">
        <f t="array" aca="1" ref="I24" ca="1">SUMIFS(OFFSET(Payroll!$A$6,1,$F$2-1,PayCount,1),PayEmp,$A24,PayDate,"&gt;="&amp;DATE(YEAR(I$4),MONTH(I$4),1),PayDate,"&lt;"&amp;DATE(YEAR(I$4),MONTH(I$4)+1,1))</f>
        <v>0</v>
      </c>
      <c r="J24" s="133" cm="1">
        <f t="array" aca="1" ref="J24" ca="1">SUMIFS(OFFSET(Payroll!$A$6,1,$F$2-1,PayCount,1),PayEmp,$A24,PayDate,"&gt;="&amp;DATE(YEAR(J$4),MONTH(J$4),1),PayDate,"&lt;"&amp;DATE(YEAR(J$4),MONTH(J$4)+1,1))</f>
        <v>0</v>
      </c>
      <c r="K24" s="133" cm="1">
        <f t="array" aca="1" ref="K24" ca="1">SUMIFS(OFFSET(Payroll!$A$6,1,$F$2-1,PayCount,1),PayEmp,$A24,PayDate,"&gt;="&amp;DATE(YEAR(K$4),MONTH(K$4),1),PayDate,"&lt;"&amp;DATE(YEAR(K$4),MONTH(K$4)+1,1))</f>
        <v>0</v>
      </c>
      <c r="L24" s="133" cm="1">
        <f t="array" aca="1" ref="L24" ca="1">SUMIFS(OFFSET(Payroll!$A$6,1,$F$2-1,PayCount,1),PayEmp,$A24,PayDate,"&gt;="&amp;DATE(YEAR(L$4),MONTH(L$4),1),PayDate,"&lt;"&amp;DATE(YEAR(L$4),MONTH(L$4)+1,1))</f>
        <v>0</v>
      </c>
      <c r="M24" s="133" cm="1">
        <f t="array" aca="1" ref="M24" ca="1">SUMIFS(OFFSET(Payroll!$A$6,1,$F$2-1,PayCount,1),PayEmp,$A24,PayDate,"&gt;="&amp;DATE(YEAR(M$4),MONTH(M$4),1),PayDate,"&lt;"&amp;DATE(YEAR(M$4),MONTH(M$4)+1,1))</f>
        <v>0</v>
      </c>
      <c r="N24" s="133" cm="1">
        <f t="array" aca="1" ref="N24" ca="1">SUMIFS(OFFSET(Payroll!$A$6,1,$F$2-1,PayCount,1),PayEmp,$A24,PayDate,"&gt;="&amp;DATE(YEAR(N$4),MONTH(N$4),1),PayDate,"&lt;"&amp;DATE(YEAR(N$4),MONTH(N$4)+1,1))</f>
        <v>0</v>
      </c>
      <c r="O24" s="2"/>
      <c r="P24" s="139"/>
      <c r="Q24" s="298"/>
    </row>
    <row r="25" spans="1:17" ht="16.149999999999999" customHeight="1" x14ac:dyDescent="0.25">
      <c r="A25" s="9" t="str">
        <f ca="1">IF(OFFSET(Emp!$A$4,ROW($C25)-ROW($C$5),0,1,1)=0,"-",OFFSET(Emp!$A$4,ROW($C25)-ROW($C$5),0,1,1))</f>
        <v>-</v>
      </c>
      <c r="B25" s="9" t="str">
        <f ca="1">IF(ISNA(VLOOKUP($A25,EmpAll,COLUMN(Emp!$B$1),0))=TRUE,"-",VLOOKUP($A25,EmpAll,COLUMN(Emp!$B$1),0))</f>
        <v>-</v>
      </c>
      <c r="C25" s="133" cm="1">
        <f t="array" aca="1" ref="C25" ca="1">SUMIFS(OFFSET(Payroll!$A$6,1,$F$2-1,PayCount,1),PayEmp,$A25,PayDate,"&gt;="&amp;DATE(YEAR(C$4),MONTH(C$4),1),PayDate,"&lt;"&amp;DATE(YEAR(C$4),MONTH(C$4)+1,1))</f>
        <v>0</v>
      </c>
      <c r="D25" s="133" cm="1">
        <f t="array" aca="1" ref="D25" ca="1">SUMIFS(OFFSET(Payroll!$A$6,1,$F$2-1,PayCount,1),PayEmp,$A25,PayDate,"&gt;="&amp;DATE(YEAR(D$4),MONTH(D$4),1),PayDate,"&lt;"&amp;DATE(YEAR(D$4),MONTH(D$4)+1,1))</f>
        <v>0</v>
      </c>
      <c r="E25" s="133" cm="1">
        <f t="array" aca="1" ref="E25" ca="1">SUMIFS(OFFSET(Payroll!$A$6,1,$F$2-1,PayCount,1),PayEmp,$A25,PayDate,"&gt;="&amp;DATE(YEAR(E$4),MONTH(E$4),1),PayDate,"&lt;"&amp;DATE(YEAR(E$4),MONTH(E$4)+1,1))</f>
        <v>0</v>
      </c>
      <c r="F25" s="133" cm="1">
        <f t="array" aca="1" ref="F25" ca="1">SUMIFS(OFFSET(Payroll!$A$6,1,$F$2-1,PayCount,1),PayEmp,$A25,PayDate,"&gt;="&amp;DATE(YEAR(F$4),MONTH(F$4),1),PayDate,"&lt;"&amp;DATE(YEAR(F$4),MONTH(F$4)+1,1))</f>
        <v>0</v>
      </c>
      <c r="G25" s="133" cm="1">
        <f t="array" aca="1" ref="G25" ca="1">SUMIFS(OFFSET(Payroll!$A$6,1,$F$2-1,PayCount,1),PayEmp,$A25,PayDate,"&gt;="&amp;DATE(YEAR(G$4),MONTH(G$4),1),PayDate,"&lt;"&amp;DATE(YEAR(G$4),MONTH(G$4)+1,1))</f>
        <v>0</v>
      </c>
      <c r="H25" s="133" cm="1">
        <f t="array" aca="1" ref="H25" ca="1">SUMIFS(OFFSET(Payroll!$A$6,1,$F$2-1,PayCount,1),PayEmp,$A25,PayDate,"&gt;="&amp;DATE(YEAR(H$4),MONTH(H$4),1),PayDate,"&lt;"&amp;DATE(YEAR(H$4),MONTH(H$4)+1,1))</f>
        <v>0</v>
      </c>
      <c r="I25" s="133" cm="1">
        <f t="array" aca="1" ref="I25" ca="1">SUMIFS(OFFSET(Payroll!$A$6,1,$F$2-1,PayCount,1),PayEmp,$A25,PayDate,"&gt;="&amp;DATE(YEAR(I$4),MONTH(I$4),1),PayDate,"&lt;"&amp;DATE(YEAR(I$4),MONTH(I$4)+1,1))</f>
        <v>0</v>
      </c>
      <c r="J25" s="133" cm="1">
        <f t="array" aca="1" ref="J25" ca="1">SUMIFS(OFFSET(Payroll!$A$6,1,$F$2-1,PayCount,1),PayEmp,$A25,PayDate,"&gt;="&amp;DATE(YEAR(J$4),MONTH(J$4),1),PayDate,"&lt;"&amp;DATE(YEAR(J$4),MONTH(J$4)+1,1))</f>
        <v>0</v>
      </c>
      <c r="K25" s="133" cm="1">
        <f t="array" aca="1" ref="K25" ca="1">SUMIFS(OFFSET(Payroll!$A$6,1,$F$2-1,PayCount,1),PayEmp,$A25,PayDate,"&gt;="&amp;DATE(YEAR(K$4),MONTH(K$4),1),PayDate,"&lt;"&amp;DATE(YEAR(K$4),MONTH(K$4)+1,1))</f>
        <v>0</v>
      </c>
      <c r="L25" s="133" cm="1">
        <f t="array" aca="1" ref="L25" ca="1">SUMIFS(OFFSET(Payroll!$A$6,1,$F$2-1,PayCount,1),PayEmp,$A25,PayDate,"&gt;="&amp;DATE(YEAR(L$4),MONTH(L$4),1),PayDate,"&lt;"&amp;DATE(YEAR(L$4),MONTH(L$4)+1,1))</f>
        <v>0</v>
      </c>
      <c r="M25" s="133" cm="1">
        <f t="array" aca="1" ref="M25" ca="1">SUMIFS(OFFSET(Payroll!$A$6,1,$F$2-1,PayCount,1),PayEmp,$A25,PayDate,"&gt;="&amp;DATE(YEAR(M$4),MONTH(M$4),1),PayDate,"&lt;"&amp;DATE(YEAR(M$4),MONTH(M$4)+1,1))</f>
        <v>0</v>
      </c>
      <c r="N25" s="133" cm="1">
        <f t="array" aca="1" ref="N25" ca="1">SUMIFS(OFFSET(Payroll!$A$6,1,$F$2-1,PayCount,1),PayEmp,$A25,PayDate,"&gt;="&amp;DATE(YEAR(N$4),MONTH(N$4),1),PayDate,"&lt;"&amp;DATE(YEAR(N$4),MONTH(N$4)+1,1))</f>
        <v>0</v>
      </c>
      <c r="O25" s="2"/>
      <c r="P25" s="139"/>
      <c r="Q25" s="298"/>
    </row>
    <row r="26" spans="1:17" ht="16.149999999999999" customHeight="1" x14ac:dyDescent="0.25">
      <c r="A26" s="9" t="str">
        <f ca="1">IF(OFFSET(Emp!$A$4,ROW($C26)-ROW($C$5),0,1,1)=0,"-",OFFSET(Emp!$A$4,ROW($C26)-ROW($C$5),0,1,1))</f>
        <v>-</v>
      </c>
      <c r="B26" s="9" t="str">
        <f ca="1">IF(ISNA(VLOOKUP($A26,EmpAll,COLUMN(Emp!$B$1),0))=TRUE,"-",VLOOKUP($A26,EmpAll,COLUMN(Emp!$B$1),0))</f>
        <v>-</v>
      </c>
      <c r="C26" s="133" cm="1">
        <f t="array" aca="1" ref="C26" ca="1">SUMIFS(OFFSET(Payroll!$A$6,1,$F$2-1,PayCount,1),PayEmp,$A26,PayDate,"&gt;="&amp;DATE(YEAR(C$4),MONTH(C$4),1),PayDate,"&lt;"&amp;DATE(YEAR(C$4),MONTH(C$4)+1,1))</f>
        <v>0</v>
      </c>
      <c r="D26" s="133" cm="1">
        <f t="array" aca="1" ref="D26" ca="1">SUMIFS(OFFSET(Payroll!$A$6,1,$F$2-1,PayCount,1),PayEmp,$A26,PayDate,"&gt;="&amp;DATE(YEAR(D$4),MONTH(D$4),1),PayDate,"&lt;"&amp;DATE(YEAR(D$4),MONTH(D$4)+1,1))</f>
        <v>0</v>
      </c>
      <c r="E26" s="133" cm="1">
        <f t="array" aca="1" ref="E26" ca="1">SUMIFS(OFFSET(Payroll!$A$6,1,$F$2-1,PayCount,1),PayEmp,$A26,PayDate,"&gt;="&amp;DATE(YEAR(E$4),MONTH(E$4),1),PayDate,"&lt;"&amp;DATE(YEAR(E$4),MONTH(E$4)+1,1))</f>
        <v>0</v>
      </c>
      <c r="F26" s="133" cm="1">
        <f t="array" aca="1" ref="F26" ca="1">SUMIFS(OFFSET(Payroll!$A$6,1,$F$2-1,PayCount,1),PayEmp,$A26,PayDate,"&gt;="&amp;DATE(YEAR(F$4),MONTH(F$4),1),PayDate,"&lt;"&amp;DATE(YEAR(F$4),MONTH(F$4)+1,1))</f>
        <v>0</v>
      </c>
      <c r="G26" s="133" cm="1">
        <f t="array" aca="1" ref="G26" ca="1">SUMIFS(OFFSET(Payroll!$A$6,1,$F$2-1,PayCount,1),PayEmp,$A26,PayDate,"&gt;="&amp;DATE(YEAR(G$4),MONTH(G$4),1),PayDate,"&lt;"&amp;DATE(YEAR(G$4),MONTH(G$4)+1,1))</f>
        <v>0</v>
      </c>
      <c r="H26" s="133" cm="1">
        <f t="array" aca="1" ref="H26" ca="1">SUMIFS(OFFSET(Payroll!$A$6,1,$F$2-1,PayCount,1),PayEmp,$A26,PayDate,"&gt;="&amp;DATE(YEAR(H$4),MONTH(H$4),1),PayDate,"&lt;"&amp;DATE(YEAR(H$4),MONTH(H$4)+1,1))</f>
        <v>0</v>
      </c>
      <c r="I26" s="133" cm="1">
        <f t="array" aca="1" ref="I26" ca="1">SUMIFS(OFFSET(Payroll!$A$6,1,$F$2-1,PayCount,1),PayEmp,$A26,PayDate,"&gt;="&amp;DATE(YEAR(I$4),MONTH(I$4),1),PayDate,"&lt;"&amp;DATE(YEAR(I$4),MONTH(I$4)+1,1))</f>
        <v>0</v>
      </c>
      <c r="J26" s="133" cm="1">
        <f t="array" aca="1" ref="J26" ca="1">SUMIFS(OFFSET(Payroll!$A$6,1,$F$2-1,PayCount,1),PayEmp,$A26,PayDate,"&gt;="&amp;DATE(YEAR(J$4),MONTH(J$4),1),PayDate,"&lt;"&amp;DATE(YEAR(J$4),MONTH(J$4)+1,1))</f>
        <v>0</v>
      </c>
      <c r="K26" s="133" cm="1">
        <f t="array" aca="1" ref="K26" ca="1">SUMIFS(OFFSET(Payroll!$A$6,1,$F$2-1,PayCount,1),PayEmp,$A26,PayDate,"&gt;="&amp;DATE(YEAR(K$4),MONTH(K$4),1),PayDate,"&lt;"&amp;DATE(YEAR(K$4),MONTH(K$4)+1,1))</f>
        <v>0</v>
      </c>
      <c r="L26" s="133" cm="1">
        <f t="array" aca="1" ref="L26" ca="1">SUMIFS(OFFSET(Payroll!$A$6,1,$F$2-1,PayCount,1),PayEmp,$A26,PayDate,"&gt;="&amp;DATE(YEAR(L$4),MONTH(L$4),1),PayDate,"&lt;"&amp;DATE(YEAR(L$4),MONTH(L$4)+1,1))</f>
        <v>0</v>
      </c>
      <c r="M26" s="133" cm="1">
        <f t="array" aca="1" ref="M26" ca="1">SUMIFS(OFFSET(Payroll!$A$6,1,$F$2-1,PayCount,1),PayEmp,$A26,PayDate,"&gt;="&amp;DATE(YEAR(M$4),MONTH(M$4),1),PayDate,"&lt;"&amp;DATE(YEAR(M$4),MONTH(M$4)+1,1))</f>
        <v>0</v>
      </c>
      <c r="N26" s="133" cm="1">
        <f t="array" aca="1" ref="N26" ca="1">SUMIFS(OFFSET(Payroll!$A$6,1,$F$2-1,PayCount,1),PayEmp,$A26,PayDate,"&gt;="&amp;DATE(YEAR(N$4),MONTH(N$4),1),PayDate,"&lt;"&amp;DATE(YEAR(N$4),MONTH(N$4)+1,1))</f>
        <v>0</v>
      </c>
      <c r="O26" s="2"/>
      <c r="P26" s="139"/>
      <c r="Q26" s="298"/>
    </row>
    <row r="27" spans="1:17" ht="16.149999999999999" customHeight="1" x14ac:dyDescent="0.25">
      <c r="A27" s="9" t="str">
        <f ca="1">IF(OFFSET(Emp!$A$4,ROW($C27)-ROW($C$5),0,1,1)=0,"-",OFFSET(Emp!$A$4,ROW($C27)-ROW($C$5),0,1,1))</f>
        <v>-</v>
      </c>
      <c r="B27" s="9" t="str">
        <f ca="1">IF(ISNA(VLOOKUP($A27,EmpAll,COLUMN(Emp!$B$1),0))=TRUE,"-",VLOOKUP($A27,EmpAll,COLUMN(Emp!$B$1),0))</f>
        <v>-</v>
      </c>
      <c r="C27" s="133" cm="1">
        <f t="array" aca="1" ref="C27" ca="1">SUMIFS(OFFSET(Payroll!$A$6,1,$F$2-1,PayCount,1),PayEmp,$A27,PayDate,"&gt;="&amp;DATE(YEAR(C$4),MONTH(C$4),1),PayDate,"&lt;"&amp;DATE(YEAR(C$4),MONTH(C$4)+1,1))</f>
        <v>0</v>
      </c>
      <c r="D27" s="133" cm="1">
        <f t="array" aca="1" ref="D27" ca="1">SUMIFS(OFFSET(Payroll!$A$6,1,$F$2-1,PayCount,1),PayEmp,$A27,PayDate,"&gt;="&amp;DATE(YEAR(D$4),MONTH(D$4),1),PayDate,"&lt;"&amp;DATE(YEAR(D$4),MONTH(D$4)+1,1))</f>
        <v>0</v>
      </c>
      <c r="E27" s="133" cm="1">
        <f t="array" aca="1" ref="E27" ca="1">SUMIFS(OFFSET(Payroll!$A$6,1,$F$2-1,PayCount,1),PayEmp,$A27,PayDate,"&gt;="&amp;DATE(YEAR(E$4),MONTH(E$4),1),PayDate,"&lt;"&amp;DATE(YEAR(E$4),MONTH(E$4)+1,1))</f>
        <v>0</v>
      </c>
      <c r="F27" s="133" cm="1">
        <f t="array" aca="1" ref="F27" ca="1">SUMIFS(OFFSET(Payroll!$A$6,1,$F$2-1,PayCount,1),PayEmp,$A27,PayDate,"&gt;="&amp;DATE(YEAR(F$4),MONTH(F$4),1),PayDate,"&lt;"&amp;DATE(YEAR(F$4),MONTH(F$4)+1,1))</f>
        <v>0</v>
      </c>
      <c r="G27" s="133" cm="1">
        <f t="array" aca="1" ref="G27" ca="1">SUMIFS(OFFSET(Payroll!$A$6,1,$F$2-1,PayCount,1),PayEmp,$A27,PayDate,"&gt;="&amp;DATE(YEAR(G$4),MONTH(G$4),1),PayDate,"&lt;"&amp;DATE(YEAR(G$4),MONTH(G$4)+1,1))</f>
        <v>0</v>
      </c>
      <c r="H27" s="133" cm="1">
        <f t="array" aca="1" ref="H27" ca="1">SUMIFS(OFFSET(Payroll!$A$6,1,$F$2-1,PayCount,1),PayEmp,$A27,PayDate,"&gt;="&amp;DATE(YEAR(H$4),MONTH(H$4),1),PayDate,"&lt;"&amp;DATE(YEAR(H$4),MONTH(H$4)+1,1))</f>
        <v>0</v>
      </c>
      <c r="I27" s="133" cm="1">
        <f t="array" aca="1" ref="I27" ca="1">SUMIFS(OFFSET(Payroll!$A$6,1,$F$2-1,PayCount,1),PayEmp,$A27,PayDate,"&gt;="&amp;DATE(YEAR(I$4),MONTH(I$4),1),PayDate,"&lt;"&amp;DATE(YEAR(I$4),MONTH(I$4)+1,1))</f>
        <v>0</v>
      </c>
      <c r="J27" s="133" cm="1">
        <f t="array" aca="1" ref="J27" ca="1">SUMIFS(OFFSET(Payroll!$A$6,1,$F$2-1,PayCount,1),PayEmp,$A27,PayDate,"&gt;="&amp;DATE(YEAR(J$4),MONTH(J$4),1),PayDate,"&lt;"&amp;DATE(YEAR(J$4),MONTH(J$4)+1,1))</f>
        <v>0</v>
      </c>
      <c r="K27" s="133" cm="1">
        <f t="array" aca="1" ref="K27" ca="1">SUMIFS(OFFSET(Payroll!$A$6,1,$F$2-1,PayCount,1),PayEmp,$A27,PayDate,"&gt;="&amp;DATE(YEAR(K$4),MONTH(K$4),1),PayDate,"&lt;"&amp;DATE(YEAR(K$4),MONTH(K$4)+1,1))</f>
        <v>0</v>
      </c>
      <c r="L27" s="133" cm="1">
        <f t="array" aca="1" ref="L27" ca="1">SUMIFS(OFFSET(Payroll!$A$6,1,$F$2-1,PayCount,1),PayEmp,$A27,PayDate,"&gt;="&amp;DATE(YEAR(L$4),MONTH(L$4),1),PayDate,"&lt;"&amp;DATE(YEAR(L$4),MONTH(L$4)+1,1))</f>
        <v>0</v>
      </c>
      <c r="M27" s="133" cm="1">
        <f t="array" aca="1" ref="M27" ca="1">SUMIFS(OFFSET(Payroll!$A$6,1,$F$2-1,PayCount,1),PayEmp,$A27,PayDate,"&gt;="&amp;DATE(YEAR(M$4),MONTH(M$4),1),PayDate,"&lt;"&amp;DATE(YEAR(M$4),MONTH(M$4)+1,1))</f>
        <v>0</v>
      </c>
      <c r="N27" s="133" cm="1">
        <f t="array" aca="1" ref="N27" ca="1">SUMIFS(OFFSET(Payroll!$A$6,1,$F$2-1,PayCount,1),PayEmp,$A27,PayDate,"&gt;="&amp;DATE(YEAR(N$4),MONTH(N$4),1),PayDate,"&lt;"&amp;DATE(YEAR(N$4),MONTH(N$4)+1,1))</f>
        <v>0</v>
      </c>
      <c r="O27" s="2"/>
      <c r="P27" s="139"/>
      <c r="Q27" s="298"/>
    </row>
    <row r="28" spans="1:17" ht="16.149999999999999" customHeight="1" x14ac:dyDescent="0.25">
      <c r="A28" s="9" t="str">
        <f ca="1">IF(OFFSET(Emp!$A$4,ROW($C28)-ROW($C$5),0,1,1)=0,"-",OFFSET(Emp!$A$4,ROW($C28)-ROW($C$5),0,1,1))</f>
        <v>-</v>
      </c>
      <c r="B28" s="9" t="str">
        <f ca="1">IF(ISNA(VLOOKUP($A28,EmpAll,COLUMN(Emp!$B$1),0))=TRUE,"-",VLOOKUP($A28,EmpAll,COLUMN(Emp!$B$1),0))</f>
        <v>-</v>
      </c>
      <c r="C28" s="133" cm="1">
        <f t="array" aca="1" ref="C28" ca="1">SUMIFS(OFFSET(Payroll!$A$6,1,$F$2-1,PayCount,1),PayEmp,$A28,PayDate,"&gt;="&amp;DATE(YEAR(C$4),MONTH(C$4),1),PayDate,"&lt;"&amp;DATE(YEAR(C$4),MONTH(C$4)+1,1))</f>
        <v>0</v>
      </c>
      <c r="D28" s="133" cm="1">
        <f t="array" aca="1" ref="D28" ca="1">SUMIFS(OFFSET(Payroll!$A$6,1,$F$2-1,PayCount,1),PayEmp,$A28,PayDate,"&gt;="&amp;DATE(YEAR(D$4),MONTH(D$4),1),PayDate,"&lt;"&amp;DATE(YEAR(D$4),MONTH(D$4)+1,1))</f>
        <v>0</v>
      </c>
      <c r="E28" s="133" cm="1">
        <f t="array" aca="1" ref="E28" ca="1">SUMIFS(OFFSET(Payroll!$A$6,1,$F$2-1,PayCount,1),PayEmp,$A28,PayDate,"&gt;="&amp;DATE(YEAR(E$4),MONTH(E$4),1),PayDate,"&lt;"&amp;DATE(YEAR(E$4),MONTH(E$4)+1,1))</f>
        <v>0</v>
      </c>
      <c r="F28" s="133" cm="1">
        <f t="array" aca="1" ref="F28" ca="1">SUMIFS(OFFSET(Payroll!$A$6,1,$F$2-1,PayCount,1),PayEmp,$A28,PayDate,"&gt;="&amp;DATE(YEAR(F$4),MONTH(F$4),1),PayDate,"&lt;"&amp;DATE(YEAR(F$4),MONTH(F$4)+1,1))</f>
        <v>0</v>
      </c>
      <c r="G28" s="133" cm="1">
        <f t="array" aca="1" ref="G28" ca="1">SUMIFS(OFFSET(Payroll!$A$6,1,$F$2-1,PayCount,1),PayEmp,$A28,PayDate,"&gt;="&amp;DATE(YEAR(G$4),MONTH(G$4),1),PayDate,"&lt;"&amp;DATE(YEAR(G$4),MONTH(G$4)+1,1))</f>
        <v>0</v>
      </c>
      <c r="H28" s="133" cm="1">
        <f t="array" aca="1" ref="H28" ca="1">SUMIFS(OFFSET(Payroll!$A$6,1,$F$2-1,PayCount,1),PayEmp,$A28,PayDate,"&gt;="&amp;DATE(YEAR(H$4),MONTH(H$4),1),PayDate,"&lt;"&amp;DATE(YEAR(H$4),MONTH(H$4)+1,1))</f>
        <v>0</v>
      </c>
      <c r="I28" s="133" cm="1">
        <f t="array" aca="1" ref="I28" ca="1">SUMIFS(OFFSET(Payroll!$A$6,1,$F$2-1,PayCount,1),PayEmp,$A28,PayDate,"&gt;="&amp;DATE(YEAR(I$4),MONTH(I$4),1),PayDate,"&lt;"&amp;DATE(YEAR(I$4),MONTH(I$4)+1,1))</f>
        <v>0</v>
      </c>
      <c r="J28" s="133" cm="1">
        <f t="array" aca="1" ref="J28" ca="1">SUMIFS(OFFSET(Payroll!$A$6,1,$F$2-1,PayCount,1),PayEmp,$A28,PayDate,"&gt;="&amp;DATE(YEAR(J$4),MONTH(J$4),1),PayDate,"&lt;"&amp;DATE(YEAR(J$4),MONTH(J$4)+1,1))</f>
        <v>0</v>
      </c>
      <c r="K28" s="133" cm="1">
        <f t="array" aca="1" ref="K28" ca="1">SUMIFS(OFFSET(Payroll!$A$6,1,$F$2-1,PayCount,1),PayEmp,$A28,PayDate,"&gt;="&amp;DATE(YEAR(K$4),MONTH(K$4),1),PayDate,"&lt;"&amp;DATE(YEAR(K$4),MONTH(K$4)+1,1))</f>
        <v>0</v>
      </c>
      <c r="L28" s="133" cm="1">
        <f t="array" aca="1" ref="L28" ca="1">SUMIFS(OFFSET(Payroll!$A$6,1,$F$2-1,PayCount,1),PayEmp,$A28,PayDate,"&gt;="&amp;DATE(YEAR(L$4),MONTH(L$4),1),PayDate,"&lt;"&amp;DATE(YEAR(L$4),MONTH(L$4)+1,1))</f>
        <v>0</v>
      </c>
      <c r="M28" s="133" cm="1">
        <f t="array" aca="1" ref="M28" ca="1">SUMIFS(OFFSET(Payroll!$A$6,1,$F$2-1,PayCount,1),PayEmp,$A28,PayDate,"&gt;="&amp;DATE(YEAR(M$4),MONTH(M$4),1),PayDate,"&lt;"&amp;DATE(YEAR(M$4),MONTH(M$4)+1,1))</f>
        <v>0</v>
      </c>
      <c r="N28" s="133" cm="1">
        <f t="array" aca="1" ref="N28" ca="1">SUMIFS(OFFSET(Payroll!$A$6,1,$F$2-1,PayCount,1),PayEmp,$A28,PayDate,"&gt;="&amp;DATE(YEAR(N$4),MONTH(N$4),1),PayDate,"&lt;"&amp;DATE(YEAR(N$4),MONTH(N$4)+1,1))</f>
        <v>0</v>
      </c>
      <c r="O28" s="2"/>
      <c r="P28" s="139"/>
      <c r="Q28" s="298"/>
    </row>
    <row r="29" spans="1:17" ht="16.149999999999999" customHeight="1" x14ac:dyDescent="0.25">
      <c r="A29" s="9" t="str">
        <f ca="1">IF(OFFSET(Emp!$A$4,ROW($C29)-ROW($C$5),0,1,1)=0,"-",OFFSET(Emp!$A$4,ROW($C29)-ROW($C$5),0,1,1))</f>
        <v>-</v>
      </c>
      <c r="B29" s="9" t="str">
        <f ca="1">IF(ISNA(VLOOKUP($A29,EmpAll,COLUMN(Emp!$B$1),0))=TRUE,"-",VLOOKUP($A29,EmpAll,COLUMN(Emp!$B$1),0))</f>
        <v>-</v>
      </c>
      <c r="C29" s="133" cm="1">
        <f t="array" aca="1" ref="C29" ca="1">SUMIFS(OFFSET(Payroll!$A$6,1,$F$2-1,PayCount,1),PayEmp,$A29,PayDate,"&gt;="&amp;DATE(YEAR(C$4),MONTH(C$4),1),PayDate,"&lt;"&amp;DATE(YEAR(C$4),MONTH(C$4)+1,1))</f>
        <v>0</v>
      </c>
      <c r="D29" s="133" cm="1">
        <f t="array" aca="1" ref="D29" ca="1">SUMIFS(OFFSET(Payroll!$A$6,1,$F$2-1,PayCount,1),PayEmp,$A29,PayDate,"&gt;="&amp;DATE(YEAR(D$4),MONTH(D$4),1),PayDate,"&lt;"&amp;DATE(YEAR(D$4),MONTH(D$4)+1,1))</f>
        <v>0</v>
      </c>
      <c r="E29" s="133" cm="1">
        <f t="array" aca="1" ref="E29" ca="1">SUMIFS(OFFSET(Payroll!$A$6,1,$F$2-1,PayCount,1),PayEmp,$A29,PayDate,"&gt;="&amp;DATE(YEAR(E$4),MONTH(E$4),1),PayDate,"&lt;"&amp;DATE(YEAR(E$4),MONTH(E$4)+1,1))</f>
        <v>0</v>
      </c>
      <c r="F29" s="133" cm="1">
        <f t="array" aca="1" ref="F29" ca="1">SUMIFS(OFFSET(Payroll!$A$6,1,$F$2-1,PayCount,1),PayEmp,$A29,PayDate,"&gt;="&amp;DATE(YEAR(F$4),MONTH(F$4),1),PayDate,"&lt;"&amp;DATE(YEAR(F$4),MONTH(F$4)+1,1))</f>
        <v>0</v>
      </c>
      <c r="G29" s="133" cm="1">
        <f t="array" aca="1" ref="G29" ca="1">SUMIFS(OFFSET(Payroll!$A$6,1,$F$2-1,PayCount,1),PayEmp,$A29,PayDate,"&gt;="&amp;DATE(YEAR(G$4),MONTH(G$4),1),PayDate,"&lt;"&amp;DATE(YEAR(G$4),MONTH(G$4)+1,1))</f>
        <v>0</v>
      </c>
      <c r="H29" s="133" cm="1">
        <f t="array" aca="1" ref="H29" ca="1">SUMIFS(OFFSET(Payroll!$A$6,1,$F$2-1,PayCount,1),PayEmp,$A29,PayDate,"&gt;="&amp;DATE(YEAR(H$4),MONTH(H$4),1),PayDate,"&lt;"&amp;DATE(YEAR(H$4),MONTH(H$4)+1,1))</f>
        <v>0</v>
      </c>
      <c r="I29" s="133" cm="1">
        <f t="array" aca="1" ref="I29" ca="1">SUMIFS(OFFSET(Payroll!$A$6,1,$F$2-1,PayCount,1),PayEmp,$A29,PayDate,"&gt;="&amp;DATE(YEAR(I$4),MONTH(I$4),1),PayDate,"&lt;"&amp;DATE(YEAR(I$4),MONTH(I$4)+1,1))</f>
        <v>0</v>
      </c>
      <c r="J29" s="133" cm="1">
        <f t="array" aca="1" ref="J29" ca="1">SUMIFS(OFFSET(Payroll!$A$6,1,$F$2-1,PayCount,1),PayEmp,$A29,PayDate,"&gt;="&amp;DATE(YEAR(J$4),MONTH(J$4),1),PayDate,"&lt;"&amp;DATE(YEAR(J$4),MONTH(J$4)+1,1))</f>
        <v>0</v>
      </c>
      <c r="K29" s="133" cm="1">
        <f t="array" aca="1" ref="K29" ca="1">SUMIFS(OFFSET(Payroll!$A$6,1,$F$2-1,PayCount,1),PayEmp,$A29,PayDate,"&gt;="&amp;DATE(YEAR(K$4),MONTH(K$4),1),PayDate,"&lt;"&amp;DATE(YEAR(K$4),MONTH(K$4)+1,1))</f>
        <v>0</v>
      </c>
      <c r="L29" s="133" cm="1">
        <f t="array" aca="1" ref="L29" ca="1">SUMIFS(OFFSET(Payroll!$A$6,1,$F$2-1,PayCount,1),PayEmp,$A29,PayDate,"&gt;="&amp;DATE(YEAR(L$4),MONTH(L$4),1),PayDate,"&lt;"&amp;DATE(YEAR(L$4),MONTH(L$4)+1,1))</f>
        <v>0</v>
      </c>
      <c r="M29" s="133" cm="1">
        <f t="array" aca="1" ref="M29" ca="1">SUMIFS(OFFSET(Payroll!$A$6,1,$F$2-1,PayCount,1),PayEmp,$A29,PayDate,"&gt;="&amp;DATE(YEAR(M$4),MONTH(M$4),1),PayDate,"&lt;"&amp;DATE(YEAR(M$4),MONTH(M$4)+1,1))</f>
        <v>0</v>
      </c>
      <c r="N29" s="133" cm="1">
        <f t="array" aca="1" ref="N29" ca="1">SUMIFS(OFFSET(Payroll!$A$6,1,$F$2-1,PayCount,1),PayEmp,$A29,PayDate,"&gt;="&amp;DATE(YEAR(N$4),MONTH(N$4),1),PayDate,"&lt;"&amp;DATE(YEAR(N$4),MONTH(N$4)+1,1))</f>
        <v>0</v>
      </c>
      <c r="O29" s="2"/>
      <c r="P29" s="139"/>
      <c r="Q29" s="298"/>
    </row>
    <row r="30" spans="1:17" ht="16.149999999999999" customHeight="1" x14ac:dyDescent="0.25">
      <c r="A30" s="9" t="str">
        <f ca="1">IF(OFFSET(Emp!$A$4,ROW($C30)-ROW($C$5),0,1,1)=0,"-",OFFSET(Emp!$A$4,ROW($C30)-ROW($C$5),0,1,1))</f>
        <v>-</v>
      </c>
      <c r="B30" s="9" t="str">
        <f ca="1">IF(ISNA(VLOOKUP($A30,EmpAll,COLUMN(Emp!$B$1),0))=TRUE,"-",VLOOKUP($A30,EmpAll,COLUMN(Emp!$B$1),0))</f>
        <v>-</v>
      </c>
      <c r="C30" s="133" cm="1">
        <f t="array" aca="1" ref="C30" ca="1">SUMIFS(OFFSET(Payroll!$A$6,1,$F$2-1,PayCount,1),PayEmp,$A30,PayDate,"&gt;="&amp;DATE(YEAR(C$4),MONTH(C$4),1),PayDate,"&lt;"&amp;DATE(YEAR(C$4),MONTH(C$4)+1,1))</f>
        <v>0</v>
      </c>
      <c r="D30" s="133" cm="1">
        <f t="array" aca="1" ref="D30" ca="1">SUMIFS(OFFSET(Payroll!$A$6,1,$F$2-1,PayCount,1),PayEmp,$A30,PayDate,"&gt;="&amp;DATE(YEAR(D$4),MONTH(D$4),1),PayDate,"&lt;"&amp;DATE(YEAR(D$4),MONTH(D$4)+1,1))</f>
        <v>0</v>
      </c>
      <c r="E30" s="133" cm="1">
        <f t="array" aca="1" ref="E30" ca="1">SUMIFS(OFFSET(Payroll!$A$6,1,$F$2-1,PayCount,1),PayEmp,$A30,PayDate,"&gt;="&amp;DATE(YEAR(E$4),MONTH(E$4),1),PayDate,"&lt;"&amp;DATE(YEAR(E$4),MONTH(E$4)+1,1))</f>
        <v>0</v>
      </c>
      <c r="F30" s="133" cm="1">
        <f t="array" aca="1" ref="F30" ca="1">SUMIFS(OFFSET(Payroll!$A$6,1,$F$2-1,PayCount,1),PayEmp,$A30,PayDate,"&gt;="&amp;DATE(YEAR(F$4),MONTH(F$4),1),PayDate,"&lt;"&amp;DATE(YEAR(F$4),MONTH(F$4)+1,1))</f>
        <v>0</v>
      </c>
      <c r="G30" s="133" cm="1">
        <f t="array" aca="1" ref="G30" ca="1">SUMIFS(OFFSET(Payroll!$A$6,1,$F$2-1,PayCount,1),PayEmp,$A30,PayDate,"&gt;="&amp;DATE(YEAR(G$4),MONTH(G$4),1),PayDate,"&lt;"&amp;DATE(YEAR(G$4),MONTH(G$4)+1,1))</f>
        <v>0</v>
      </c>
      <c r="H30" s="133" cm="1">
        <f t="array" aca="1" ref="H30" ca="1">SUMIFS(OFFSET(Payroll!$A$6,1,$F$2-1,PayCount,1),PayEmp,$A30,PayDate,"&gt;="&amp;DATE(YEAR(H$4),MONTH(H$4),1),PayDate,"&lt;"&amp;DATE(YEAR(H$4),MONTH(H$4)+1,1))</f>
        <v>0</v>
      </c>
      <c r="I30" s="133" cm="1">
        <f t="array" aca="1" ref="I30" ca="1">SUMIFS(OFFSET(Payroll!$A$6,1,$F$2-1,PayCount,1),PayEmp,$A30,PayDate,"&gt;="&amp;DATE(YEAR(I$4),MONTH(I$4),1),PayDate,"&lt;"&amp;DATE(YEAR(I$4),MONTH(I$4)+1,1))</f>
        <v>0</v>
      </c>
      <c r="J30" s="133" cm="1">
        <f t="array" aca="1" ref="J30" ca="1">SUMIFS(OFFSET(Payroll!$A$6,1,$F$2-1,PayCount,1),PayEmp,$A30,PayDate,"&gt;="&amp;DATE(YEAR(J$4),MONTH(J$4),1),PayDate,"&lt;"&amp;DATE(YEAR(J$4),MONTH(J$4)+1,1))</f>
        <v>0</v>
      </c>
      <c r="K30" s="133" cm="1">
        <f t="array" aca="1" ref="K30" ca="1">SUMIFS(OFFSET(Payroll!$A$6,1,$F$2-1,PayCount,1),PayEmp,$A30,PayDate,"&gt;="&amp;DATE(YEAR(K$4),MONTH(K$4),1),PayDate,"&lt;"&amp;DATE(YEAR(K$4),MONTH(K$4)+1,1))</f>
        <v>0</v>
      </c>
      <c r="L30" s="133" cm="1">
        <f t="array" aca="1" ref="L30" ca="1">SUMIFS(OFFSET(Payroll!$A$6,1,$F$2-1,PayCount,1),PayEmp,$A30,PayDate,"&gt;="&amp;DATE(YEAR(L$4),MONTH(L$4),1),PayDate,"&lt;"&amp;DATE(YEAR(L$4),MONTH(L$4)+1,1))</f>
        <v>0</v>
      </c>
      <c r="M30" s="133" cm="1">
        <f t="array" aca="1" ref="M30" ca="1">SUMIFS(OFFSET(Payroll!$A$6,1,$F$2-1,PayCount,1),PayEmp,$A30,PayDate,"&gt;="&amp;DATE(YEAR(M$4),MONTH(M$4),1),PayDate,"&lt;"&amp;DATE(YEAR(M$4),MONTH(M$4)+1,1))</f>
        <v>0</v>
      </c>
      <c r="N30" s="133" cm="1">
        <f t="array" aca="1" ref="N30" ca="1">SUMIFS(OFFSET(Payroll!$A$6,1,$F$2-1,PayCount,1),PayEmp,$A30,PayDate,"&gt;="&amp;DATE(YEAR(N$4),MONTH(N$4),1),PayDate,"&lt;"&amp;DATE(YEAR(N$4),MONTH(N$4)+1,1))</f>
        <v>0</v>
      </c>
      <c r="O30" s="2"/>
      <c r="P30" s="139"/>
      <c r="Q30" s="298"/>
    </row>
    <row r="31" spans="1:17" ht="16.149999999999999" customHeight="1" x14ac:dyDescent="0.25">
      <c r="A31" s="9" t="str">
        <f ca="1">IF(OFFSET(Emp!$A$4,ROW($C31)-ROW($C$5),0,1,1)=0,"-",OFFSET(Emp!$A$4,ROW($C31)-ROW($C$5),0,1,1))</f>
        <v>-</v>
      </c>
      <c r="B31" s="9" t="str">
        <f ca="1">IF(ISNA(VLOOKUP($A31,EmpAll,COLUMN(Emp!$B$1),0))=TRUE,"-",VLOOKUP($A31,EmpAll,COLUMN(Emp!$B$1),0))</f>
        <v>-</v>
      </c>
      <c r="C31" s="133" cm="1">
        <f t="array" aca="1" ref="C31" ca="1">SUMIFS(OFFSET(Payroll!$A$6,1,$F$2-1,PayCount,1),PayEmp,$A31,PayDate,"&gt;="&amp;DATE(YEAR(C$4),MONTH(C$4),1),PayDate,"&lt;"&amp;DATE(YEAR(C$4),MONTH(C$4)+1,1))</f>
        <v>0</v>
      </c>
      <c r="D31" s="133" cm="1">
        <f t="array" aca="1" ref="D31" ca="1">SUMIFS(OFFSET(Payroll!$A$6,1,$F$2-1,PayCount,1),PayEmp,$A31,PayDate,"&gt;="&amp;DATE(YEAR(D$4),MONTH(D$4),1),PayDate,"&lt;"&amp;DATE(YEAR(D$4),MONTH(D$4)+1,1))</f>
        <v>0</v>
      </c>
      <c r="E31" s="133" cm="1">
        <f t="array" aca="1" ref="E31" ca="1">SUMIFS(OFFSET(Payroll!$A$6,1,$F$2-1,PayCount,1),PayEmp,$A31,PayDate,"&gt;="&amp;DATE(YEAR(E$4),MONTH(E$4),1),PayDate,"&lt;"&amp;DATE(YEAR(E$4),MONTH(E$4)+1,1))</f>
        <v>0</v>
      </c>
      <c r="F31" s="133" cm="1">
        <f t="array" aca="1" ref="F31" ca="1">SUMIFS(OFFSET(Payroll!$A$6,1,$F$2-1,PayCount,1),PayEmp,$A31,PayDate,"&gt;="&amp;DATE(YEAR(F$4),MONTH(F$4),1),PayDate,"&lt;"&amp;DATE(YEAR(F$4),MONTH(F$4)+1,1))</f>
        <v>0</v>
      </c>
      <c r="G31" s="133" cm="1">
        <f t="array" aca="1" ref="G31" ca="1">SUMIFS(OFFSET(Payroll!$A$6,1,$F$2-1,PayCount,1),PayEmp,$A31,PayDate,"&gt;="&amp;DATE(YEAR(G$4),MONTH(G$4),1),PayDate,"&lt;"&amp;DATE(YEAR(G$4),MONTH(G$4)+1,1))</f>
        <v>0</v>
      </c>
      <c r="H31" s="133" cm="1">
        <f t="array" aca="1" ref="H31" ca="1">SUMIFS(OFFSET(Payroll!$A$6,1,$F$2-1,PayCount,1),PayEmp,$A31,PayDate,"&gt;="&amp;DATE(YEAR(H$4),MONTH(H$4),1),PayDate,"&lt;"&amp;DATE(YEAR(H$4),MONTH(H$4)+1,1))</f>
        <v>0</v>
      </c>
      <c r="I31" s="133" cm="1">
        <f t="array" aca="1" ref="I31" ca="1">SUMIFS(OFFSET(Payroll!$A$6,1,$F$2-1,PayCount,1),PayEmp,$A31,PayDate,"&gt;="&amp;DATE(YEAR(I$4),MONTH(I$4),1),PayDate,"&lt;"&amp;DATE(YEAR(I$4),MONTH(I$4)+1,1))</f>
        <v>0</v>
      </c>
      <c r="J31" s="133" cm="1">
        <f t="array" aca="1" ref="J31" ca="1">SUMIFS(OFFSET(Payroll!$A$6,1,$F$2-1,PayCount,1),PayEmp,$A31,PayDate,"&gt;="&amp;DATE(YEAR(J$4),MONTH(J$4),1),PayDate,"&lt;"&amp;DATE(YEAR(J$4),MONTH(J$4)+1,1))</f>
        <v>0</v>
      </c>
      <c r="K31" s="133" cm="1">
        <f t="array" aca="1" ref="K31" ca="1">SUMIFS(OFFSET(Payroll!$A$6,1,$F$2-1,PayCount,1),PayEmp,$A31,PayDate,"&gt;="&amp;DATE(YEAR(K$4),MONTH(K$4),1),PayDate,"&lt;"&amp;DATE(YEAR(K$4),MONTH(K$4)+1,1))</f>
        <v>0</v>
      </c>
      <c r="L31" s="133" cm="1">
        <f t="array" aca="1" ref="L31" ca="1">SUMIFS(OFFSET(Payroll!$A$6,1,$F$2-1,PayCount,1),PayEmp,$A31,PayDate,"&gt;="&amp;DATE(YEAR(L$4),MONTH(L$4),1),PayDate,"&lt;"&amp;DATE(YEAR(L$4),MONTH(L$4)+1,1))</f>
        <v>0</v>
      </c>
      <c r="M31" s="133" cm="1">
        <f t="array" aca="1" ref="M31" ca="1">SUMIFS(OFFSET(Payroll!$A$6,1,$F$2-1,PayCount,1),PayEmp,$A31,PayDate,"&gt;="&amp;DATE(YEAR(M$4),MONTH(M$4),1),PayDate,"&lt;"&amp;DATE(YEAR(M$4),MONTH(M$4)+1,1))</f>
        <v>0</v>
      </c>
      <c r="N31" s="133" cm="1">
        <f t="array" aca="1" ref="N31" ca="1">SUMIFS(OFFSET(Payroll!$A$6,1,$F$2-1,PayCount,1),PayEmp,$A31,PayDate,"&gt;="&amp;DATE(YEAR(N$4),MONTH(N$4),1),PayDate,"&lt;"&amp;DATE(YEAR(N$4),MONTH(N$4)+1,1))</f>
        <v>0</v>
      </c>
      <c r="O31" s="2"/>
      <c r="P31" s="139"/>
      <c r="Q31" s="298"/>
    </row>
    <row r="32" spans="1:17" ht="16.149999999999999" customHeight="1" x14ac:dyDescent="0.25">
      <c r="A32" s="9" t="str">
        <f ca="1">IF(OFFSET(Emp!$A$4,ROW($C32)-ROW($C$5),0,1,1)=0,"-",OFFSET(Emp!$A$4,ROW($C32)-ROW($C$5),0,1,1))</f>
        <v>-</v>
      </c>
      <c r="B32" s="9" t="str">
        <f ca="1">IF(ISNA(VLOOKUP($A32,EmpAll,COLUMN(Emp!$B$1),0))=TRUE,"-",VLOOKUP($A32,EmpAll,COLUMN(Emp!$B$1),0))</f>
        <v>-</v>
      </c>
      <c r="C32" s="133" cm="1">
        <f t="array" aca="1" ref="C32" ca="1">SUMIFS(OFFSET(Payroll!$A$6,1,$F$2-1,PayCount,1),PayEmp,$A32,PayDate,"&gt;="&amp;DATE(YEAR(C$4),MONTH(C$4),1),PayDate,"&lt;"&amp;DATE(YEAR(C$4),MONTH(C$4)+1,1))</f>
        <v>0</v>
      </c>
      <c r="D32" s="133" cm="1">
        <f t="array" aca="1" ref="D32" ca="1">SUMIFS(OFFSET(Payroll!$A$6,1,$F$2-1,PayCount,1),PayEmp,$A32,PayDate,"&gt;="&amp;DATE(YEAR(D$4),MONTH(D$4),1),PayDate,"&lt;"&amp;DATE(YEAR(D$4),MONTH(D$4)+1,1))</f>
        <v>0</v>
      </c>
      <c r="E32" s="133" cm="1">
        <f t="array" aca="1" ref="E32" ca="1">SUMIFS(OFFSET(Payroll!$A$6,1,$F$2-1,PayCount,1),PayEmp,$A32,PayDate,"&gt;="&amp;DATE(YEAR(E$4),MONTH(E$4),1),PayDate,"&lt;"&amp;DATE(YEAR(E$4),MONTH(E$4)+1,1))</f>
        <v>0</v>
      </c>
      <c r="F32" s="133" cm="1">
        <f t="array" aca="1" ref="F32" ca="1">SUMIFS(OFFSET(Payroll!$A$6,1,$F$2-1,PayCount,1),PayEmp,$A32,PayDate,"&gt;="&amp;DATE(YEAR(F$4),MONTH(F$4),1),PayDate,"&lt;"&amp;DATE(YEAR(F$4),MONTH(F$4)+1,1))</f>
        <v>0</v>
      </c>
      <c r="G32" s="133" cm="1">
        <f t="array" aca="1" ref="G32" ca="1">SUMIFS(OFFSET(Payroll!$A$6,1,$F$2-1,PayCount,1),PayEmp,$A32,PayDate,"&gt;="&amp;DATE(YEAR(G$4),MONTH(G$4),1),PayDate,"&lt;"&amp;DATE(YEAR(G$4),MONTH(G$4)+1,1))</f>
        <v>0</v>
      </c>
      <c r="H32" s="133" cm="1">
        <f t="array" aca="1" ref="H32" ca="1">SUMIFS(OFFSET(Payroll!$A$6,1,$F$2-1,PayCount,1),PayEmp,$A32,PayDate,"&gt;="&amp;DATE(YEAR(H$4),MONTH(H$4),1),PayDate,"&lt;"&amp;DATE(YEAR(H$4),MONTH(H$4)+1,1))</f>
        <v>0</v>
      </c>
      <c r="I32" s="133" cm="1">
        <f t="array" aca="1" ref="I32" ca="1">SUMIFS(OFFSET(Payroll!$A$6,1,$F$2-1,PayCount,1),PayEmp,$A32,PayDate,"&gt;="&amp;DATE(YEAR(I$4),MONTH(I$4),1),PayDate,"&lt;"&amp;DATE(YEAR(I$4),MONTH(I$4)+1,1))</f>
        <v>0</v>
      </c>
      <c r="J32" s="133" cm="1">
        <f t="array" aca="1" ref="J32" ca="1">SUMIFS(OFFSET(Payroll!$A$6,1,$F$2-1,PayCount,1),PayEmp,$A32,PayDate,"&gt;="&amp;DATE(YEAR(J$4),MONTH(J$4),1),PayDate,"&lt;"&amp;DATE(YEAR(J$4),MONTH(J$4)+1,1))</f>
        <v>0</v>
      </c>
      <c r="K32" s="133" cm="1">
        <f t="array" aca="1" ref="K32" ca="1">SUMIFS(OFFSET(Payroll!$A$6,1,$F$2-1,PayCount,1),PayEmp,$A32,PayDate,"&gt;="&amp;DATE(YEAR(K$4),MONTH(K$4),1),PayDate,"&lt;"&amp;DATE(YEAR(K$4),MONTH(K$4)+1,1))</f>
        <v>0</v>
      </c>
      <c r="L32" s="133" cm="1">
        <f t="array" aca="1" ref="L32" ca="1">SUMIFS(OFFSET(Payroll!$A$6,1,$F$2-1,PayCount,1),PayEmp,$A32,PayDate,"&gt;="&amp;DATE(YEAR(L$4),MONTH(L$4),1),PayDate,"&lt;"&amp;DATE(YEAR(L$4),MONTH(L$4)+1,1))</f>
        <v>0</v>
      </c>
      <c r="M32" s="133" cm="1">
        <f t="array" aca="1" ref="M32" ca="1">SUMIFS(OFFSET(Payroll!$A$6,1,$F$2-1,PayCount,1),PayEmp,$A32,PayDate,"&gt;="&amp;DATE(YEAR(M$4),MONTH(M$4),1),PayDate,"&lt;"&amp;DATE(YEAR(M$4),MONTH(M$4)+1,1))</f>
        <v>0</v>
      </c>
      <c r="N32" s="133" cm="1">
        <f t="array" aca="1" ref="N32" ca="1">SUMIFS(OFFSET(Payroll!$A$6,1,$F$2-1,PayCount,1),PayEmp,$A32,PayDate,"&gt;="&amp;DATE(YEAR(N$4),MONTH(N$4),1),PayDate,"&lt;"&amp;DATE(YEAR(N$4),MONTH(N$4)+1,1))</f>
        <v>0</v>
      </c>
      <c r="O32" s="2"/>
      <c r="P32" s="139"/>
    </row>
    <row r="33" spans="1:16" ht="16.149999999999999" customHeight="1" x14ac:dyDescent="0.25">
      <c r="A33" s="9" t="str">
        <f ca="1">IF(OFFSET(Emp!$A$4,ROW($C33)-ROW($C$5),0,1,1)=0,"-",OFFSET(Emp!$A$4,ROW($C33)-ROW($C$5),0,1,1))</f>
        <v>-</v>
      </c>
      <c r="B33" s="9" t="str">
        <f ca="1">IF(ISNA(VLOOKUP($A33,EmpAll,COLUMN(Emp!$B$1),0))=TRUE,"-",VLOOKUP($A33,EmpAll,COLUMN(Emp!$B$1),0))</f>
        <v>-</v>
      </c>
      <c r="C33" s="133" cm="1">
        <f t="array" aca="1" ref="C33" ca="1">SUMIFS(OFFSET(Payroll!$A$6,1,$F$2-1,PayCount,1),PayEmp,$A33,PayDate,"&gt;="&amp;DATE(YEAR(C$4),MONTH(C$4),1),PayDate,"&lt;"&amp;DATE(YEAR(C$4),MONTH(C$4)+1,1))</f>
        <v>0</v>
      </c>
      <c r="D33" s="133" cm="1">
        <f t="array" aca="1" ref="D33" ca="1">SUMIFS(OFFSET(Payroll!$A$6,1,$F$2-1,PayCount,1),PayEmp,$A33,PayDate,"&gt;="&amp;DATE(YEAR(D$4),MONTH(D$4),1),PayDate,"&lt;"&amp;DATE(YEAR(D$4),MONTH(D$4)+1,1))</f>
        <v>0</v>
      </c>
      <c r="E33" s="133" cm="1">
        <f t="array" aca="1" ref="E33" ca="1">SUMIFS(OFFSET(Payroll!$A$6,1,$F$2-1,PayCount,1),PayEmp,$A33,PayDate,"&gt;="&amp;DATE(YEAR(E$4),MONTH(E$4),1),PayDate,"&lt;"&amp;DATE(YEAR(E$4),MONTH(E$4)+1,1))</f>
        <v>0</v>
      </c>
      <c r="F33" s="133" cm="1">
        <f t="array" aca="1" ref="F33" ca="1">SUMIFS(OFFSET(Payroll!$A$6,1,$F$2-1,PayCount,1),PayEmp,$A33,PayDate,"&gt;="&amp;DATE(YEAR(F$4),MONTH(F$4),1),PayDate,"&lt;"&amp;DATE(YEAR(F$4),MONTH(F$4)+1,1))</f>
        <v>0</v>
      </c>
      <c r="G33" s="133" cm="1">
        <f t="array" aca="1" ref="G33" ca="1">SUMIFS(OFFSET(Payroll!$A$6,1,$F$2-1,PayCount,1),PayEmp,$A33,PayDate,"&gt;="&amp;DATE(YEAR(G$4),MONTH(G$4),1),PayDate,"&lt;"&amp;DATE(YEAR(G$4),MONTH(G$4)+1,1))</f>
        <v>0</v>
      </c>
      <c r="H33" s="133" cm="1">
        <f t="array" aca="1" ref="H33" ca="1">SUMIFS(OFFSET(Payroll!$A$6,1,$F$2-1,PayCount,1),PayEmp,$A33,PayDate,"&gt;="&amp;DATE(YEAR(H$4),MONTH(H$4),1),PayDate,"&lt;"&amp;DATE(YEAR(H$4),MONTH(H$4)+1,1))</f>
        <v>0</v>
      </c>
      <c r="I33" s="133" cm="1">
        <f t="array" aca="1" ref="I33" ca="1">SUMIFS(OFFSET(Payroll!$A$6,1,$F$2-1,PayCount,1),PayEmp,$A33,PayDate,"&gt;="&amp;DATE(YEAR(I$4),MONTH(I$4),1),PayDate,"&lt;"&amp;DATE(YEAR(I$4),MONTH(I$4)+1,1))</f>
        <v>0</v>
      </c>
      <c r="J33" s="133" cm="1">
        <f t="array" aca="1" ref="J33" ca="1">SUMIFS(OFFSET(Payroll!$A$6,1,$F$2-1,PayCount,1),PayEmp,$A33,PayDate,"&gt;="&amp;DATE(YEAR(J$4),MONTH(J$4),1),PayDate,"&lt;"&amp;DATE(YEAR(J$4),MONTH(J$4)+1,1))</f>
        <v>0</v>
      </c>
      <c r="K33" s="133" cm="1">
        <f t="array" aca="1" ref="K33" ca="1">SUMIFS(OFFSET(Payroll!$A$6,1,$F$2-1,PayCount,1),PayEmp,$A33,PayDate,"&gt;="&amp;DATE(YEAR(K$4),MONTH(K$4),1),PayDate,"&lt;"&amp;DATE(YEAR(K$4),MONTH(K$4)+1,1))</f>
        <v>0</v>
      </c>
      <c r="L33" s="133" cm="1">
        <f t="array" aca="1" ref="L33" ca="1">SUMIFS(OFFSET(Payroll!$A$6,1,$F$2-1,PayCount,1),PayEmp,$A33,PayDate,"&gt;="&amp;DATE(YEAR(L$4),MONTH(L$4),1),PayDate,"&lt;"&amp;DATE(YEAR(L$4),MONTH(L$4)+1,1))</f>
        <v>0</v>
      </c>
      <c r="M33" s="133" cm="1">
        <f t="array" aca="1" ref="M33" ca="1">SUMIFS(OFFSET(Payroll!$A$6,1,$F$2-1,PayCount,1),PayEmp,$A33,PayDate,"&gt;="&amp;DATE(YEAR(M$4),MONTH(M$4),1),PayDate,"&lt;"&amp;DATE(YEAR(M$4),MONTH(M$4)+1,1))</f>
        <v>0</v>
      </c>
      <c r="N33" s="133" cm="1">
        <f t="array" aca="1" ref="N33" ca="1">SUMIFS(OFFSET(Payroll!$A$6,1,$F$2-1,PayCount,1),PayEmp,$A33,PayDate,"&gt;="&amp;DATE(YEAR(N$4),MONTH(N$4),1),PayDate,"&lt;"&amp;DATE(YEAR(N$4),MONTH(N$4)+1,1))</f>
        <v>0</v>
      </c>
      <c r="O33" s="2"/>
      <c r="P33" s="139"/>
    </row>
    <row r="34" spans="1:16" ht="16.149999999999999" customHeight="1" x14ac:dyDescent="0.25">
      <c r="A34" s="9" t="str">
        <f ca="1">IF(OFFSET(Emp!$A$4,ROW($C34)-ROW($C$5),0,1,1)=0,"-",OFFSET(Emp!$A$4,ROW($C34)-ROW($C$5),0,1,1))</f>
        <v>-</v>
      </c>
      <c r="B34" s="9" t="str">
        <f ca="1">IF(ISNA(VLOOKUP($A34,EmpAll,COLUMN(Emp!$B$1),0))=TRUE,"-",VLOOKUP($A34,EmpAll,COLUMN(Emp!$B$1),0))</f>
        <v>-</v>
      </c>
      <c r="C34" s="133" cm="1">
        <f t="array" aca="1" ref="C34" ca="1">SUMIFS(OFFSET(Payroll!$A$6,1,$F$2-1,PayCount,1),PayEmp,$A34,PayDate,"&gt;="&amp;DATE(YEAR(C$4),MONTH(C$4),1),PayDate,"&lt;"&amp;DATE(YEAR(C$4),MONTH(C$4)+1,1))</f>
        <v>0</v>
      </c>
      <c r="D34" s="133" cm="1">
        <f t="array" aca="1" ref="D34" ca="1">SUMIFS(OFFSET(Payroll!$A$6,1,$F$2-1,PayCount,1),PayEmp,$A34,PayDate,"&gt;="&amp;DATE(YEAR(D$4),MONTH(D$4),1),PayDate,"&lt;"&amp;DATE(YEAR(D$4),MONTH(D$4)+1,1))</f>
        <v>0</v>
      </c>
      <c r="E34" s="133" cm="1">
        <f t="array" aca="1" ref="E34" ca="1">SUMIFS(OFFSET(Payroll!$A$6,1,$F$2-1,PayCount,1),PayEmp,$A34,PayDate,"&gt;="&amp;DATE(YEAR(E$4),MONTH(E$4),1),PayDate,"&lt;"&amp;DATE(YEAR(E$4),MONTH(E$4)+1,1))</f>
        <v>0</v>
      </c>
      <c r="F34" s="133" cm="1">
        <f t="array" aca="1" ref="F34" ca="1">SUMIFS(OFFSET(Payroll!$A$6,1,$F$2-1,PayCount,1),PayEmp,$A34,PayDate,"&gt;="&amp;DATE(YEAR(F$4),MONTH(F$4),1),PayDate,"&lt;"&amp;DATE(YEAR(F$4),MONTH(F$4)+1,1))</f>
        <v>0</v>
      </c>
      <c r="G34" s="133" cm="1">
        <f t="array" aca="1" ref="G34" ca="1">SUMIFS(OFFSET(Payroll!$A$6,1,$F$2-1,PayCount,1),PayEmp,$A34,PayDate,"&gt;="&amp;DATE(YEAR(G$4),MONTH(G$4),1),PayDate,"&lt;"&amp;DATE(YEAR(G$4),MONTH(G$4)+1,1))</f>
        <v>0</v>
      </c>
      <c r="H34" s="133" cm="1">
        <f t="array" aca="1" ref="H34" ca="1">SUMIFS(OFFSET(Payroll!$A$6,1,$F$2-1,PayCount,1),PayEmp,$A34,PayDate,"&gt;="&amp;DATE(YEAR(H$4),MONTH(H$4),1),PayDate,"&lt;"&amp;DATE(YEAR(H$4),MONTH(H$4)+1,1))</f>
        <v>0</v>
      </c>
      <c r="I34" s="133" cm="1">
        <f t="array" aca="1" ref="I34" ca="1">SUMIFS(OFFSET(Payroll!$A$6,1,$F$2-1,PayCount,1),PayEmp,$A34,PayDate,"&gt;="&amp;DATE(YEAR(I$4),MONTH(I$4),1),PayDate,"&lt;"&amp;DATE(YEAR(I$4),MONTH(I$4)+1,1))</f>
        <v>0</v>
      </c>
      <c r="J34" s="133" cm="1">
        <f t="array" aca="1" ref="J34" ca="1">SUMIFS(OFFSET(Payroll!$A$6,1,$F$2-1,PayCount,1),PayEmp,$A34,PayDate,"&gt;="&amp;DATE(YEAR(J$4),MONTH(J$4),1),PayDate,"&lt;"&amp;DATE(YEAR(J$4),MONTH(J$4)+1,1))</f>
        <v>0</v>
      </c>
      <c r="K34" s="133" cm="1">
        <f t="array" aca="1" ref="K34" ca="1">SUMIFS(OFFSET(Payroll!$A$6,1,$F$2-1,PayCount,1),PayEmp,$A34,PayDate,"&gt;="&amp;DATE(YEAR(K$4),MONTH(K$4),1),PayDate,"&lt;"&amp;DATE(YEAR(K$4),MONTH(K$4)+1,1))</f>
        <v>0</v>
      </c>
      <c r="L34" s="133" cm="1">
        <f t="array" aca="1" ref="L34" ca="1">SUMIFS(OFFSET(Payroll!$A$6,1,$F$2-1,PayCount,1),PayEmp,$A34,PayDate,"&gt;="&amp;DATE(YEAR(L$4),MONTH(L$4),1),PayDate,"&lt;"&amp;DATE(YEAR(L$4),MONTH(L$4)+1,1))</f>
        <v>0</v>
      </c>
      <c r="M34" s="133" cm="1">
        <f t="array" aca="1" ref="M34" ca="1">SUMIFS(OFFSET(Payroll!$A$6,1,$F$2-1,PayCount,1),PayEmp,$A34,PayDate,"&gt;="&amp;DATE(YEAR(M$4),MONTH(M$4),1),PayDate,"&lt;"&amp;DATE(YEAR(M$4),MONTH(M$4)+1,1))</f>
        <v>0</v>
      </c>
      <c r="N34" s="133" cm="1">
        <f t="array" aca="1" ref="N34" ca="1">SUMIFS(OFFSET(Payroll!$A$6,1,$F$2-1,PayCount,1),PayEmp,$A34,PayDate,"&gt;="&amp;DATE(YEAR(N$4),MONTH(N$4),1),PayDate,"&lt;"&amp;DATE(YEAR(N$4),MONTH(N$4)+1,1))</f>
        <v>0</v>
      </c>
      <c r="O34" s="2"/>
      <c r="P34" s="139"/>
    </row>
    <row r="35" spans="1:16" ht="16.149999999999999" customHeight="1" x14ac:dyDescent="0.25">
      <c r="A35" s="9" t="str">
        <f ca="1">IF(OFFSET(Emp!$A$4,ROW($C35)-ROW($C$5),0,1,1)=0,"-",OFFSET(Emp!$A$4,ROW($C35)-ROW($C$5),0,1,1))</f>
        <v>-</v>
      </c>
      <c r="B35" s="9" t="str">
        <f ca="1">IF(ISNA(VLOOKUP($A35,EmpAll,COLUMN(Emp!$B$1),0))=TRUE,"-",VLOOKUP($A35,EmpAll,COLUMN(Emp!$B$1),0))</f>
        <v>-</v>
      </c>
      <c r="C35" s="133" cm="1">
        <f t="array" aca="1" ref="C35" ca="1">SUMIFS(OFFSET(Payroll!$A$6,1,$F$2-1,PayCount,1),PayEmp,$A35,PayDate,"&gt;="&amp;DATE(YEAR(C$4),MONTH(C$4),1),PayDate,"&lt;"&amp;DATE(YEAR(C$4),MONTH(C$4)+1,1))</f>
        <v>0</v>
      </c>
      <c r="D35" s="133" cm="1">
        <f t="array" aca="1" ref="D35" ca="1">SUMIFS(OFFSET(Payroll!$A$6,1,$F$2-1,PayCount,1),PayEmp,$A35,PayDate,"&gt;="&amp;DATE(YEAR(D$4),MONTH(D$4),1),PayDate,"&lt;"&amp;DATE(YEAR(D$4),MONTH(D$4)+1,1))</f>
        <v>0</v>
      </c>
      <c r="E35" s="133" cm="1">
        <f t="array" aca="1" ref="E35" ca="1">SUMIFS(OFFSET(Payroll!$A$6,1,$F$2-1,PayCount,1),PayEmp,$A35,PayDate,"&gt;="&amp;DATE(YEAR(E$4),MONTH(E$4),1),PayDate,"&lt;"&amp;DATE(YEAR(E$4),MONTH(E$4)+1,1))</f>
        <v>0</v>
      </c>
      <c r="F35" s="133" cm="1">
        <f t="array" aca="1" ref="F35" ca="1">SUMIFS(OFFSET(Payroll!$A$6,1,$F$2-1,PayCount,1),PayEmp,$A35,PayDate,"&gt;="&amp;DATE(YEAR(F$4),MONTH(F$4),1),PayDate,"&lt;"&amp;DATE(YEAR(F$4),MONTH(F$4)+1,1))</f>
        <v>0</v>
      </c>
      <c r="G35" s="133" cm="1">
        <f t="array" aca="1" ref="G35" ca="1">SUMIFS(OFFSET(Payroll!$A$6,1,$F$2-1,PayCount,1),PayEmp,$A35,PayDate,"&gt;="&amp;DATE(YEAR(G$4),MONTH(G$4),1),PayDate,"&lt;"&amp;DATE(YEAR(G$4),MONTH(G$4)+1,1))</f>
        <v>0</v>
      </c>
      <c r="H35" s="133" cm="1">
        <f t="array" aca="1" ref="H35" ca="1">SUMIFS(OFFSET(Payroll!$A$6,1,$F$2-1,PayCount,1),PayEmp,$A35,PayDate,"&gt;="&amp;DATE(YEAR(H$4),MONTH(H$4),1),PayDate,"&lt;"&amp;DATE(YEAR(H$4),MONTH(H$4)+1,1))</f>
        <v>0</v>
      </c>
      <c r="I35" s="133" cm="1">
        <f t="array" aca="1" ref="I35" ca="1">SUMIFS(OFFSET(Payroll!$A$6,1,$F$2-1,PayCount,1),PayEmp,$A35,PayDate,"&gt;="&amp;DATE(YEAR(I$4),MONTH(I$4),1),PayDate,"&lt;"&amp;DATE(YEAR(I$4),MONTH(I$4)+1,1))</f>
        <v>0</v>
      </c>
      <c r="J35" s="133" cm="1">
        <f t="array" aca="1" ref="J35" ca="1">SUMIFS(OFFSET(Payroll!$A$6,1,$F$2-1,PayCount,1),PayEmp,$A35,PayDate,"&gt;="&amp;DATE(YEAR(J$4),MONTH(J$4),1),PayDate,"&lt;"&amp;DATE(YEAR(J$4),MONTH(J$4)+1,1))</f>
        <v>0</v>
      </c>
      <c r="K35" s="133" cm="1">
        <f t="array" aca="1" ref="K35" ca="1">SUMIFS(OFFSET(Payroll!$A$6,1,$F$2-1,PayCount,1),PayEmp,$A35,PayDate,"&gt;="&amp;DATE(YEAR(K$4),MONTH(K$4),1),PayDate,"&lt;"&amp;DATE(YEAR(K$4),MONTH(K$4)+1,1))</f>
        <v>0</v>
      </c>
      <c r="L35" s="133" cm="1">
        <f t="array" aca="1" ref="L35" ca="1">SUMIFS(OFFSET(Payroll!$A$6,1,$F$2-1,PayCount,1),PayEmp,$A35,PayDate,"&gt;="&amp;DATE(YEAR(L$4),MONTH(L$4),1),PayDate,"&lt;"&amp;DATE(YEAR(L$4),MONTH(L$4)+1,1))</f>
        <v>0</v>
      </c>
      <c r="M35" s="133" cm="1">
        <f t="array" aca="1" ref="M35" ca="1">SUMIFS(OFFSET(Payroll!$A$6,1,$F$2-1,PayCount,1),PayEmp,$A35,PayDate,"&gt;="&amp;DATE(YEAR(M$4),MONTH(M$4),1),PayDate,"&lt;"&amp;DATE(YEAR(M$4),MONTH(M$4)+1,1))</f>
        <v>0</v>
      </c>
      <c r="N35" s="133" cm="1">
        <f t="array" aca="1" ref="N35" ca="1">SUMIFS(OFFSET(Payroll!$A$6,1,$F$2-1,PayCount,1),PayEmp,$A35,PayDate,"&gt;="&amp;DATE(YEAR(N$4),MONTH(N$4),1),PayDate,"&lt;"&amp;DATE(YEAR(N$4),MONTH(N$4)+1,1))</f>
        <v>0</v>
      </c>
      <c r="O35" s="2"/>
      <c r="P35" s="139"/>
    </row>
    <row r="36" spans="1:16" ht="16.149999999999999" customHeight="1" x14ac:dyDescent="0.25">
      <c r="A36" s="299" t="str">
        <f ca="1">IF(OFFSET(Emp!$A$4,ROW($C36)-ROW($C$5),0,1,1)=0,"-",OFFSET(Emp!$A$4,ROW($C36)-ROW($C$5),0,1,1))</f>
        <v>-</v>
      </c>
      <c r="B36" s="299" t="str">
        <f ca="1">IF(ISNA(VLOOKUP($A36,EmpAll,COLUMN(Emp!$B$1),0))=TRUE,"-",VLOOKUP($A36,EmpAll,COLUMN(Emp!$B$1),0))</f>
        <v>-</v>
      </c>
      <c r="C36" s="133" cm="1">
        <f t="array" aca="1" ref="C36" ca="1">SUMIFS(OFFSET(Payroll!$A$6,1,$F$2-1,PayCount,1),PayEmp,$A36,PayDate,"&gt;="&amp;DATE(YEAR(C$4),MONTH(C$4),1),PayDate,"&lt;"&amp;DATE(YEAR(C$4),MONTH(C$4)+1,1))</f>
        <v>0</v>
      </c>
      <c r="D36" s="133" cm="1">
        <f t="array" aca="1" ref="D36" ca="1">SUMIFS(OFFSET(Payroll!$A$6,1,$F$2-1,PayCount,1),PayEmp,$A36,PayDate,"&gt;="&amp;DATE(YEAR(D$4),MONTH(D$4),1),PayDate,"&lt;"&amp;DATE(YEAR(D$4),MONTH(D$4)+1,1))</f>
        <v>0</v>
      </c>
      <c r="E36" s="133" cm="1">
        <f t="array" aca="1" ref="E36" ca="1">SUMIFS(OFFSET(Payroll!$A$6,1,$F$2-1,PayCount,1),PayEmp,$A36,PayDate,"&gt;="&amp;DATE(YEAR(E$4),MONTH(E$4),1),PayDate,"&lt;"&amp;DATE(YEAR(E$4),MONTH(E$4)+1,1))</f>
        <v>0</v>
      </c>
      <c r="F36" s="133" cm="1">
        <f t="array" aca="1" ref="F36" ca="1">SUMIFS(OFFSET(Payroll!$A$6,1,$F$2-1,PayCount,1),PayEmp,$A36,PayDate,"&gt;="&amp;DATE(YEAR(F$4),MONTH(F$4),1),PayDate,"&lt;"&amp;DATE(YEAR(F$4),MONTH(F$4)+1,1))</f>
        <v>0</v>
      </c>
      <c r="G36" s="133" cm="1">
        <f t="array" aca="1" ref="G36" ca="1">SUMIFS(OFFSET(Payroll!$A$6,1,$F$2-1,PayCount,1),PayEmp,$A36,PayDate,"&gt;="&amp;DATE(YEAR(G$4),MONTH(G$4),1),PayDate,"&lt;"&amp;DATE(YEAR(G$4),MONTH(G$4)+1,1))</f>
        <v>0</v>
      </c>
      <c r="H36" s="133" cm="1">
        <f t="array" aca="1" ref="H36" ca="1">SUMIFS(OFFSET(Payroll!$A$6,1,$F$2-1,PayCount,1),PayEmp,$A36,PayDate,"&gt;="&amp;DATE(YEAR(H$4),MONTH(H$4),1),PayDate,"&lt;"&amp;DATE(YEAR(H$4),MONTH(H$4)+1,1))</f>
        <v>0</v>
      </c>
      <c r="I36" s="133" cm="1">
        <f t="array" aca="1" ref="I36" ca="1">SUMIFS(OFFSET(Payroll!$A$6,1,$F$2-1,PayCount,1),PayEmp,$A36,PayDate,"&gt;="&amp;DATE(YEAR(I$4),MONTH(I$4),1),PayDate,"&lt;"&amp;DATE(YEAR(I$4),MONTH(I$4)+1,1))</f>
        <v>0</v>
      </c>
      <c r="J36" s="133" cm="1">
        <f t="array" aca="1" ref="J36" ca="1">SUMIFS(OFFSET(Payroll!$A$6,1,$F$2-1,PayCount,1),PayEmp,$A36,PayDate,"&gt;="&amp;DATE(YEAR(J$4),MONTH(J$4),1),PayDate,"&lt;"&amp;DATE(YEAR(J$4),MONTH(J$4)+1,1))</f>
        <v>0</v>
      </c>
      <c r="K36" s="133" cm="1">
        <f t="array" aca="1" ref="K36" ca="1">SUMIFS(OFFSET(Payroll!$A$6,1,$F$2-1,PayCount,1),PayEmp,$A36,PayDate,"&gt;="&amp;DATE(YEAR(K$4),MONTH(K$4),1),PayDate,"&lt;"&amp;DATE(YEAR(K$4),MONTH(K$4)+1,1))</f>
        <v>0</v>
      </c>
      <c r="L36" s="133" cm="1">
        <f t="array" aca="1" ref="L36" ca="1">SUMIFS(OFFSET(Payroll!$A$6,1,$F$2-1,PayCount,1),PayEmp,$A36,PayDate,"&gt;="&amp;DATE(YEAR(L$4),MONTH(L$4),1),PayDate,"&lt;"&amp;DATE(YEAR(L$4),MONTH(L$4)+1,1))</f>
        <v>0</v>
      </c>
      <c r="M36" s="133" cm="1">
        <f t="array" aca="1" ref="M36" ca="1">SUMIFS(OFFSET(Payroll!$A$6,1,$F$2-1,PayCount,1),PayEmp,$A36,PayDate,"&gt;="&amp;DATE(YEAR(M$4),MONTH(M$4),1),PayDate,"&lt;"&amp;DATE(YEAR(M$4),MONTH(M$4)+1,1))</f>
        <v>0</v>
      </c>
      <c r="N36" s="133" cm="1">
        <f t="array" aca="1" ref="N36" ca="1">SUMIFS(OFFSET(Payroll!$A$6,1,$F$2-1,PayCount,1),PayEmp,$A36,PayDate,"&gt;="&amp;DATE(YEAR(N$4),MONTH(N$4),1),PayDate,"&lt;"&amp;DATE(YEAR(N$4),MONTH(N$4)+1,1))</f>
        <v>0</v>
      </c>
    </row>
    <row r="37" spans="1:16" ht="16.149999999999999" customHeight="1" x14ac:dyDescent="0.25">
      <c r="A37" s="299" t="str">
        <f ca="1">IF(OFFSET(Emp!$A$4,ROW($C37)-ROW($C$5),0,1,1)=0,"-",OFFSET(Emp!$A$4,ROW($C37)-ROW($C$5),0,1,1))</f>
        <v>-</v>
      </c>
      <c r="B37" s="299" t="str">
        <f ca="1">IF(ISNA(VLOOKUP($A37,EmpAll,COLUMN(Emp!$B$1),0))=TRUE,"-",VLOOKUP($A37,EmpAll,COLUMN(Emp!$B$1),0))</f>
        <v>-</v>
      </c>
      <c r="C37" s="133" cm="1">
        <f t="array" aca="1" ref="C37" ca="1">SUMIFS(OFFSET(Payroll!$A$6,1,$F$2-1,PayCount,1),PayEmp,$A37,PayDate,"&gt;="&amp;DATE(YEAR(C$4),MONTH(C$4),1),PayDate,"&lt;"&amp;DATE(YEAR(C$4),MONTH(C$4)+1,1))</f>
        <v>0</v>
      </c>
      <c r="D37" s="133" cm="1">
        <f t="array" aca="1" ref="D37" ca="1">SUMIFS(OFFSET(Payroll!$A$6,1,$F$2-1,PayCount,1),PayEmp,$A37,PayDate,"&gt;="&amp;DATE(YEAR(D$4),MONTH(D$4),1),PayDate,"&lt;"&amp;DATE(YEAR(D$4),MONTH(D$4)+1,1))</f>
        <v>0</v>
      </c>
      <c r="E37" s="133" cm="1">
        <f t="array" aca="1" ref="E37" ca="1">SUMIFS(OFFSET(Payroll!$A$6,1,$F$2-1,PayCount,1),PayEmp,$A37,PayDate,"&gt;="&amp;DATE(YEAR(E$4),MONTH(E$4),1),PayDate,"&lt;"&amp;DATE(YEAR(E$4),MONTH(E$4)+1,1))</f>
        <v>0</v>
      </c>
      <c r="F37" s="133" cm="1">
        <f t="array" aca="1" ref="F37" ca="1">SUMIFS(OFFSET(Payroll!$A$6,1,$F$2-1,PayCount,1),PayEmp,$A37,PayDate,"&gt;="&amp;DATE(YEAR(F$4),MONTH(F$4),1),PayDate,"&lt;"&amp;DATE(YEAR(F$4),MONTH(F$4)+1,1))</f>
        <v>0</v>
      </c>
      <c r="G37" s="133" cm="1">
        <f t="array" aca="1" ref="G37" ca="1">SUMIFS(OFFSET(Payroll!$A$6,1,$F$2-1,PayCount,1),PayEmp,$A37,PayDate,"&gt;="&amp;DATE(YEAR(G$4),MONTH(G$4),1),PayDate,"&lt;"&amp;DATE(YEAR(G$4),MONTH(G$4)+1,1))</f>
        <v>0</v>
      </c>
      <c r="H37" s="133" cm="1">
        <f t="array" aca="1" ref="H37" ca="1">SUMIFS(OFFSET(Payroll!$A$6,1,$F$2-1,PayCount,1),PayEmp,$A37,PayDate,"&gt;="&amp;DATE(YEAR(H$4),MONTH(H$4),1),PayDate,"&lt;"&amp;DATE(YEAR(H$4),MONTH(H$4)+1,1))</f>
        <v>0</v>
      </c>
      <c r="I37" s="133" cm="1">
        <f t="array" aca="1" ref="I37" ca="1">SUMIFS(OFFSET(Payroll!$A$6,1,$F$2-1,PayCount,1),PayEmp,$A37,PayDate,"&gt;="&amp;DATE(YEAR(I$4),MONTH(I$4),1),PayDate,"&lt;"&amp;DATE(YEAR(I$4),MONTH(I$4)+1,1))</f>
        <v>0</v>
      </c>
      <c r="J37" s="133" cm="1">
        <f t="array" aca="1" ref="J37" ca="1">SUMIFS(OFFSET(Payroll!$A$6,1,$F$2-1,PayCount,1),PayEmp,$A37,PayDate,"&gt;="&amp;DATE(YEAR(J$4),MONTH(J$4),1),PayDate,"&lt;"&amp;DATE(YEAR(J$4),MONTH(J$4)+1,1))</f>
        <v>0</v>
      </c>
      <c r="K37" s="133" cm="1">
        <f t="array" aca="1" ref="K37" ca="1">SUMIFS(OFFSET(Payroll!$A$6,1,$F$2-1,PayCount,1),PayEmp,$A37,PayDate,"&gt;="&amp;DATE(YEAR(K$4),MONTH(K$4),1),PayDate,"&lt;"&amp;DATE(YEAR(K$4),MONTH(K$4)+1,1))</f>
        <v>0</v>
      </c>
      <c r="L37" s="133" cm="1">
        <f t="array" aca="1" ref="L37" ca="1">SUMIFS(OFFSET(Payroll!$A$6,1,$F$2-1,PayCount,1),PayEmp,$A37,PayDate,"&gt;="&amp;DATE(YEAR(L$4),MONTH(L$4),1),PayDate,"&lt;"&amp;DATE(YEAR(L$4),MONTH(L$4)+1,1))</f>
        <v>0</v>
      </c>
      <c r="M37" s="133" cm="1">
        <f t="array" aca="1" ref="M37" ca="1">SUMIFS(OFFSET(Payroll!$A$6,1,$F$2-1,PayCount,1),PayEmp,$A37,PayDate,"&gt;="&amp;DATE(YEAR(M$4),MONTH(M$4),1),PayDate,"&lt;"&amp;DATE(YEAR(M$4),MONTH(M$4)+1,1))</f>
        <v>0</v>
      </c>
      <c r="N37" s="133" cm="1">
        <f t="array" aca="1" ref="N37" ca="1">SUMIFS(OFFSET(Payroll!$A$6,1,$F$2-1,PayCount,1),PayEmp,$A37,PayDate,"&gt;="&amp;DATE(YEAR(N$4),MONTH(N$4),1),PayDate,"&lt;"&amp;DATE(YEAR(N$4),MONTH(N$4)+1,1))</f>
        <v>0</v>
      </c>
    </row>
    <row r="38" spans="1:16" ht="16.149999999999999" customHeight="1" x14ac:dyDescent="0.25">
      <c r="A38" s="299" t="str">
        <f ca="1">IF(OFFSET(Emp!$A$4,ROW($C38)-ROW($C$5),0,1,1)=0,"-",OFFSET(Emp!$A$4,ROW($C38)-ROW($C$5),0,1,1))</f>
        <v>-</v>
      </c>
      <c r="B38" s="299" t="str">
        <f ca="1">IF(ISNA(VLOOKUP($A38,EmpAll,COLUMN(Emp!$B$1),0))=TRUE,"-",VLOOKUP($A38,EmpAll,COLUMN(Emp!$B$1),0))</f>
        <v>-</v>
      </c>
      <c r="C38" s="133" cm="1">
        <f t="array" aca="1" ref="C38" ca="1">SUMIFS(OFFSET(Payroll!$A$6,1,$F$2-1,PayCount,1),PayEmp,$A38,PayDate,"&gt;="&amp;DATE(YEAR(C$4),MONTH(C$4),1),PayDate,"&lt;"&amp;DATE(YEAR(C$4),MONTH(C$4)+1,1))</f>
        <v>0</v>
      </c>
      <c r="D38" s="133" cm="1">
        <f t="array" aca="1" ref="D38" ca="1">SUMIFS(OFFSET(Payroll!$A$6,1,$F$2-1,PayCount,1),PayEmp,$A38,PayDate,"&gt;="&amp;DATE(YEAR(D$4),MONTH(D$4),1),PayDate,"&lt;"&amp;DATE(YEAR(D$4),MONTH(D$4)+1,1))</f>
        <v>0</v>
      </c>
      <c r="E38" s="133" cm="1">
        <f t="array" aca="1" ref="E38" ca="1">SUMIFS(OFFSET(Payroll!$A$6,1,$F$2-1,PayCount,1),PayEmp,$A38,PayDate,"&gt;="&amp;DATE(YEAR(E$4),MONTH(E$4),1),PayDate,"&lt;"&amp;DATE(YEAR(E$4),MONTH(E$4)+1,1))</f>
        <v>0</v>
      </c>
      <c r="F38" s="133" cm="1">
        <f t="array" aca="1" ref="F38" ca="1">SUMIFS(OFFSET(Payroll!$A$6,1,$F$2-1,PayCount,1),PayEmp,$A38,PayDate,"&gt;="&amp;DATE(YEAR(F$4),MONTH(F$4),1),PayDate,"&lt;"&amp;DATE(YEAR(F$4),MONTH(F$4)+1,1))</f>
        <v>0</v>
      </c>
      <c r="G38" s="133" cm="1">
        <f t="array" aca="1" ref="G38" ca="1">SUMIFS(OFFSET(Payroll!$A$6,1,$F$2-1,PayCount,1),PayEmp,$A38,PayDate,"&gt;="&amp;DATE(YEAR(G$4),MONTH(G$4),1),PayDate,"&lt;"&amp;DATE(YEAR(G$4),MONTH(G$4)+1,1))</f>
        <v>0</v>
      </c>
      <c r="H38" s="133" cm="1">
        <f t="array" aca="1" ref="H38" ca="1">SUMIFS(OFFSET(Payroll!$A$6,1,$F$2-1,PayCount,1),PayEmp,$A38,PayDate,"&gt;="&amp;DATE(YEAR(H$4),MONTH(H$4),1),PayDate,"&lt;"&amp;DATE(YEAR(H$4),MONTH(H$4)+1,1))</f>
        <v>0</v>
      </c>
      <c r="I38" s="133" cm="1">
        <f t="array" aca="1" ref="I38" ca="1">SUMIFS(OFFSET(Payroll!$A$6,1,$F$2-1,PayCount,1),PayEmp,$A38,PayDate,"&gt;="&amp;DATE(YEAR(I$4),MONTH(I$4),1),PayDate,"&lt;"&amp;DATE(YEAR(I$4),MONTH(I$4)+1,1))</f>
        <v>0</v>
      </c>
      <c r="J38" s="133" cm="1">
        <f t="array" aca="1" ref="J38" ca="1">SUMIFS(OFFSET(Payroll!$A$6,1,$F$2-1,PayCount,1),PayEmp,$A38,PayDate,"&gt;="&amp;DATE(YEAR(J$4),MONTH(J$4),1),PayDate,"&lt;"&amp;DATE(YEAR(J$4),MONTH(J$4)+1,1))</f>
        <v>0</v>
      </c>
      <c r="K38" s="133" cm="1">
        <f t="array" aca="1" ref="K38" ca="1">SUMIFS(OFFSET(Payroll!$A$6,1,$F$2-1,PayCount,1),PayEmp,$A38,PayDate,"&gt;="&amp;DATE(YEAR(K$4),MONTH(K$4),1),PayDate,"&lt;"&amp;DATE(YEAR(K$4),MONTH(K$4)+1,1))</f>
        <v>0</v>
      </c>
      <c r="L38" s="133" cm="1">
        <f t="array" aca="1" ref="L38" ca="1">SUMIFS(OFFSET(Payroll!$A$6,1,$F$2-1,PayCount,1),PayEmp,$A38,PayDate,"&gt;="&amp;DATE(YEAR(L$4),MONTH(L$4),1),PayDate,"&lt;"&amp;DATE(YEAR(L$4),MONTH(L$4)+1,1))</f>
        <v>0</v>
      </c>
      <c r="M38" s="133" cm="1">
        <f t="array" aca="1" ref="M38" ca="1">SUMIFS(OFFSET(Payroll!$A$6,1,$F$2-1,PayCount,1),PayEmp,$A38,PayDate,"&gt;="&amp;DATE(YEAR(M$4),MONTH(M$4),1),PayDate,"&lt;"&amp;DATE(YEAR(M$4),MONTH(M$4)+1,1))</f>
        <v>0</v>
      </c>
      <c r="N38" s="133" cm="1">
        <f t="array" aca="1" ref="N38" ca="1">SUMIFS(OFFSET(Payroll!$A$6,1,$F$2-1,PayCount,1),PayEmp,$A38,PayDate,"&gt;="&amp;DATE(YEAR(N$4),MONTH(N$4),1),PayDate,"&lt;"&amp;DATE(YEAR(N$4),MONTH(N$4)+1,1))</f>
        <v>0</v>
      </c>
    </row>
    <row r="39" spans="1:16" ht="16.149999999999999" customHeight="1" x14ac:dyDescent="0.25">
      <c r="A39" s="299" t="str">
        <f ca="1">IF(OFFSET(Emp!$A$4,ROW($C39)-ROW($C$5),0,1,1)=0,"-",OFFSET(Emp!$A$4,ROW($C39)-ROW($C$5),0,1,1))</f>
        <v>-</v>
      </c>
      <c r="B39" s="299" t="str">
        <f ca="1">IF(ISNA(VLOOKUP($A39,EmpAll,COLUMN(Emp!$B$1),0))=TRUE,"-",VLOOKUP($A39,EmpAll,COLUMN(Emp!$B$1),0))</f>
        <v>-</v>
      </c>
      <c r="C39" s="133" cm="1">
        <f t="array" aca="1" ref="C39" ca="1">SUMIFS(OFFSET(Payroll!$A$6,1,$F$2-1,PayCount,1),PayEmp,$A39,PayDate,"&gt;="&amp;DATE(YEAR(C$4),MONTH(C$4),1),PayDate,"&lt;"&amp;DATE(YEAR(C$4),MONTH(C$4)+1,1))</f>
        <v>0</v>
      </c>
      <c r="D39" s="133" cm="1">
        <f t="array" aca="1" ref="D39" ca="1">SUMIFS(OFFSET(Payroll!$A$6,1,$F$2-1,PayCount,1),PayEmp,$A39,PayDate,"&gt;="&amp;DATE(YEAR(D$4),MONTH(D$4),1),PayDate,"&lt;"&amp;DATE(YEAR(D$4),MONTH(D$4)+1,1))</f>
        <v>0</v>
      </c>
      <c r="E39" s="133" cm="1">
        <f t="array" aca="1" ref="E39" ca="1">SUMIFS(OFFSET(Payroll!$A$6,1,$F$2-1,PayCount,1),PayEmp,$A39,PayDate,"&gt;="&amp;DATE(YEAR(E$4),MONTH(E$4),1),PayDate,"&lt;"&amp;DATE(YEAR(E$4),MONTH(E$4)+1,1))</f>
        <v>0</v>
      </c>
      <c r="F39" s="133" cm="1">
        <f t="array" aca="1" ref="F39" ca="1">SUMIFS(OFFSET(Payroll!$A$6,1,$F$2-1,PayCount,1),PayEmp,$A39,PayDate,"&gt;="&amp;DATE(YEAR(F$4),MONTH(F$4),1),PayDate,"&lt;"&amp;DATE(YEAR(F$4),MONTH(F$4)+1,1))</f>
        <v>0</v>
      </c>
      <c r="G39" s="133" cm="1">
        <f t="array" aca="1" ref="G39" ca="1">SUMIFS(OFFSET(Payroll!$A$6,1,$F$2-1,PayCount,1),PayEmp,$A39,PayDate,"&gt;="&amp;DATE(YEAR(G$4),MONTH(G$4),1),PayDate,"&lt;"&amp;DATE(YEAR(G$4),MONTH(G$4)+1,1))</f>
        <v>0</v>
      </c>
      <c r="H39" s="133" cm="1">
        <f t="array" aca="1" ref="H39" ca="1">SUMIFS(OFFSET(Payroll!$A$6,1,$F$2-1,PayCount,1),PayEmp,$A39,PayDate,"&gt;="&amp;DATE(YEAR(H$4),MONTH(H$4),1),PayDate,"&lt;"&amp;DATE(YEAR(H$4),MONTH(H$4)+1,1))</f>
        <v>0</v>
      </c>
      <c r="I39" s="133" cm="1">
        <f t="array" aca="1" ref="I39" ca="1">SUMIFS(OFFSET(Payroll!$A$6,1,$F$2-1,PayCount,1),PayEmp,$A39,PayDate,"&gt;="&amp;DATE(YEAR(I$4),MONTH(I$4),1),PayDate,"&lt;"&amp;DATE(YEAR(I$4),MONTH(I$4)+1,1))</f>
        <v>0</v>
      </c>
      <c r="J39" s="133" cm="1">
        <f t="array" aca="1" ref="J39" ca="1">SUMIFS(OFFSET(Payroll!$A$6,1,$F$2-1,PayCount,1),PayEmp,$A39,PayDate,"&gt;="&amp;DATE(YEAR(J$4),MONTH(J$4),1),PayDate,"&lt;"&amp;DATE(YEAR(J$4),MONTH(J$4)+1,1))</f>
        <v>0</v>
      </c>
      <c r="K39" s="133" cm="1">
        <f t="array" aca="1" ref="K39" ca="1">SUMIFS(OFFSET(Payroll!$A$6,1,$F$2-1,PayCount,1),PayEmp,$A39,PayDate,"&gt;="&amp;DATE(YEAR(K$4),MONTH(K$4),1),PayDate,"&lt;"&amp;DATE(YEAR(K$4),MONTH(K$4)+1,1))</f>
        <v>0</v>
      </c>
      <c r="L39" s="133" cm="1">
        <f t="array" aca="1" ref="L39" ca="1">SUMIFS(OFFSET(Payroll!$A$6,1,$F$2-1,PayCount,1),PayEmp,$A39,PayDate,"&gt;="&amp;DATE(YEAR(L$4),MONTH(L$4),1),PayDate,"&lt;"&amp;DATE(YEAR(L$4),MONTH(L$4)+1,1))</f>
        <v>0</v>
      </c>
      <c r="M39" s="133" cm="1">
        <f t="array" aca="1" ref="M39" ca="1">SUMIFS(OFFSET(Payroll!$A$6,1,$F$2-1,PayCount,1),PayEmp,$A39,PayDate,"&gt;="&amp;DATE(YEAR(M$4),MONTH(M$4),1),PayDate,"&lt;"&amp;DATE(YEAR(M$4),MONTH(M$4)+1,1))</f>
        <v>0</v>
      </c>
      <c r="N39" s="133" cm="1">
        <f t="array" aca="1" ref="N39" ca="1">SUMIFS(OFFSET(Payroll!$A$6,1,$F$2-1,PayCount,1),PayEmp,$A39,PayDate,"&gt;="&amp;DATE(YEAR(N$4),MONTH(N$4),1),PayDate,"&lt;"&amp;DATE(YEAR(N$4),MONTH(N$4)+1,1))</f>
        <v>0</v>
      </c>
    </row>
    <row r="40" spans="1:16" ht="16.149999999999999" customHeight="1" x14ac:dyDescent="0.25">
      <c r="A40" s="299" t="str">
        <f ca="1">IF(OFFSET(Emp!$A$4,ROW($C40)-ROW($C$5),0,1,1)=0,"-",OFFSET(Emp!$A$4,ROW($C40)-ROW($C$5),0,1,1))</f>
        <v>-</v>
      </c>
      <c r="B40" s="299" t="str">
        <f ca="1">IF(ISNA(VLOOKUP($A40,EmpAll,COLUMN(Emp!$B$1),0))=TRUE,"-",VLOOKUP($A40,EmpAll,COLUMN(Emp!$B$1),0))</f>
        <v>-</v>
      </c>
      <c r="C40" s="133" cm="1">
        <f t="array" aca="1" ref="C40" ca="1">SUMIFS(OFFSET(Payroll!$A$6,1,$F$2-1,PayCount,1),PayEmp,$A40,PayDate,"&gt;="&amp;DATE(YEAR(C$4),MONTH(C$4),1),PayDate,"&lt;"&amp;DATE(YEAR(C$4),MONTH(C$4)+1,1))</f>
        <v>0</v>
      </c>
      <c r="D40" s="133" cm="1">
        <f t="array" aca="1" ref="D40" ca="1">SUMIFS(OFFSET(Payroll!$A$6,1,$F$2-1,PayCount,1),PayEmp,$A40,PayDate,"&gt;="&amp;DATE(YEAR(D$4),MONTH(D$4),1),PayDate,"&lt;"&amp;DATE(YEAR(D$4),MONTH(D$4)+1,1))</f>
        <v>0</v>
      </c>
      <c r="E40" s="133" cm="1">
        <f t="array" aca="1" ref="E40" ca="1">SUMIFS(OFFSET(Payroll!$A$6,1,$F$2-1,PayCount,1),PayEmp,$A40,PayDate,"&gt;="&amp;DATE(YEAR(E$4),MONTH(E$4),1),PayDate,"&lt;"&amp;DATE(YEAR(E$4),MONTH(E$4)+1,1))</f>
        <v>0</v>
      </c>
      <c r="F40" s="133" cm="1">
        <f t="array" aca="1" ref="F40" ca="1">SUMIFS(OFFSET(Payroll!$A$6,1,$F$2-1,PayCount,1),PayEmp,$A40,PayDate,"&gt;="&amp;DATE(YEAR(F$4),MONTH(F$4),1),PayDate,"&lt;"&amp;DATE(YEAR(F$4),MONTH(F$4)+1,1))</f>
        <v>0</v>
      </c>
      <c r="G40" s="133" cm="1">
        <f t="array" aca="1" ref="G40" ca="1">SUMIFS(OFFSET(Payroll!$A$6,1,$F$2-1,PayCount,1),PayEmp,$A40,PayDate,"&gt;="&amp;DATE(YEAR(G$4),MONTH(G$4),1),PayDate,"&lt;"&amp;DATE(YEAR(G$4),MONTH(G$4)+1,1))</f>
        <v>0</v>
      </c>
      <c r="H40" s="133" cm="1">
        <f t="array" aca="1" ref="H40" ca="1">SUMIFS(OFFSET(Payroll!$A$6,1,$F$2-1,PayCount,1),PayEmp,$A40,PayDate,"&gt;="&amp;DATE(YEAR(H$4),MONTH(H$4),1),PayDate,"&lt;"&amp;DATE(YEAR(H$4),MONTH(H$4)+1,1))</f>
        <v>0</v>
      </c>
      <c r="I40" s="133" cm="1">
        <f t="array" aca="1" ref="I40" ca="1">SUMIFS(OFFSET(Payroll!$A$6,1,$F$2-1,PayCount,1),PayEmp,$A40,PayDate,"&gt;="&amp;DATE(YEAR(I$4),MONTH(I$4),1),PayDate,"&lt;"&amp;DATE(YEAR(I$4),MONTH(I$4)+1,1))</f>
        <v>0</v>
      </c>
      <c r="J40" s="133" cm="1">
        <f t="array" aca="1" ref="J40" ca="1">SUMIFS(OFFSET(Payroll!$A$6,1,$F$2-1,PayCount,1),PayEmp,$A40,PayDate,"&gt;="&amp;DATE(YEAR(J$4),MONTH(J$4),1),PayDate,"&lt;"&amp;DATE(YEAR(J$4),MONTH(J$4)+1,1))</f>
        <v>0</v>
      </c>
      <c r="K40" s="133" cm="1">
        <f t="array" aca="1" ref="K40" ca="1">SUMIFS(OFFSET(Payroll!$A$6,1,$F$2-1,PayCount,1),PayEmp,$A40,PayDate,"&gt;="&amp;DATE(YEAR(K$4),MONTH(K$4),1),PayDate,"&lt;"&amp;DATE(YEAR(K$4),MONTH(K$4)+1,1))</f>
        <v>0</v>
      </c>
      <c r="L40" s="133" cm="1">
        <f t="array" aca="1" ref="L40" ca="1">SUMIFS(OFFSET(Payroll!$A$6,1,$F$2-1,PayCount,1),PayEmp,$A40,PayDate,"&gt;="&amp;DATE(YEAR(L$4),MONTH(L$4),1),PayDate,"&lt;"&amp;DATE(YEAR(L$4),MONTH(L$4)+1,1))</f>
        <v>0</v>
      </c>
      <c r="M40" s="133" cm="1">
        <f t="array" aca="1" ref="M40" ca="1">SUMIFS(OFFSET(Payroll!$A$6,1,$F$2-1,PayCount,1),PayEmp,$A40,PayDate,"&gt;="&amp;DATE(YEAR(M$4),MONTH(M$4),1),PayDate,"&lt;"&amp;DATE(YEAR(M$4),MONTH(M$4)+1,1))</f>
        <v>0</v>
      </c>
      <c r="N40" s="133" cm="1">
        <f t="array" aca="1" ref="N40" ca="1">SUMIFS(OFFSET(Payroll!$A$6,1,$F$2-1,PayCount,1),PayEmp,$A40,PayDate,"&gt;="&amp;DATE(YEAR(N$4),MONTH(N$4),1),PayDate,"&lt;"&amp;DATE(YEAR(N$4),MONTH(N$4)+1,1))</f>
        <v>0</v>
      </c>
    </row>
    <row r="41" spans="1:16" ht="16.149999999999999" customHeight="1" x14ac:dyDescent="0.25">
      <c r="A41" s="299" t="str">
        <f ca="1">IF(OFFSET(Emp!$A$4,ROW($C41)-ROW($C$5),0,1,1)=0,"-",OFFSET(Emp!$A$4,ROW($C41)-ROW($C$5),0,1,1))</f>
        <v>-</v>
      </c>
      <c r="B41" s="299" t="str">
        <f ca="1">IF(ISNA(VLOOKUP($A41,EmpAll,COLUMN(Emp!$B$1),0))=TRUE,"-",VLOOKUP($A41,EmpAll,COLUMN(Emp!$B$1),0))</f>
        <v>-</v>
      </c>
      <c r="C41" s="133" cm="1">
        <f t="array" aca="1" ref="C41" ca="1">SUMIFS(OFFSET(Payroll!$A$6,1,$F$2-1,PayCount,1),PayEmp,$A41,PayDate,"&gt;="&amp;DATE(YEAR(C$4),MONTH(C$4),1),PayDate,"&lt;"&amp;DATE(YEAR(C$4),MONTH(C$4)+1,1))</f>
        <v>0</v>
      </c>
      <c r="D41" s="133" cm="1">
        <f t="array" aca="1" ref="D41" ca="1">SUMIFS(OFFSET(Payroll!$A$6,1,$F$2-1,PayCount,1),PayEmp,$A41,PayDate,"&gt;="&amp;DATE(YEAR(D$4),MONTH(D$4),1),PayDate,"&lt;"&amp;DATE(YEAR(D$4),MONTH(D$4)+1,1))</f>
        <v>0</v>
      </c>
      <c r="E41" s="133" cm="1">
        <f t="array" aca="1" ref="E41" ca="1">SUMIFS(OFFSET(Payroll!$A$6,1,$F$2-1,PayCount,1),PayEmp,$A41,PayDate,"&gt;="&amp;DATE(YEAR(E$4),MONTH(E$4),1),PayDate,"&lt;"&amp;DATE(YEAR(E$4),MONTH(E$4)+1,1))</f>
        <v>0</v>
      </c>
      <c r="F41" s="133" cm="1">
        <f t="array" aca="1" ref="F41" ca="1">SUMIFS(OFFSET(Payroll!$A$6,1,$F$2-1,PayCount,1),PayEmp,$A41,PayDate,"&gt;="&amp;DATE(YEAR(F$4),MONTH(F$4),1),PayDate,"&lt;"&amp;DATE(YEAR(F$4),MONTH(F$4)+1,1))</f>
        <v>0</v>
      </c>
      <c r="G41" s="133" cm="1">
        <f t="array" aca="1" ref="G41" ca="1">SUMIFS(OFFSET(Payroll!$A$6,1,$F$2-1,PayCount,1),PayEmp,$A41,PayDate,"&gt;="&amp;DATE(YEAR(G$4),MONTH(G$4),1),PayDate,"&lt;"&amp;DATE(YEAR(G$4),MONTH(G$4)+1,1))</f>
        <v>0</v>
      </c>
      <c r="H41" s="133" cm="1">
        <f t="array" aca="1" ref="H41" ca="1">SUMIFS(OFFSET(Payroll!$A$6,1,$F$2-1,PayCount,1),PayEmp,$A41,PayDate,"&gt;="&amp;DATE(YEAR(H$4),MONTH(H$4),1),PayDate,"&lt;"&amp;DATE(YEAR(H$4),MONTH(H$4)+1,1))</f>
        <v>0</v>
      </c>
      <c r="I41" s="133" cm="1">
        <f t="array" aca="1" ref="I41" ca="1">SUMIFS(OFFSET(Payroll!$A$6,1,$F$2-1,PayCount,1),PayEmp,$A41,PayDate,"&gt;="&amp;DATE(YEAR(I$4),MONTH(I$4),1),PayDate,"&lt;"&amp;DATE(YEAR(I$4),MONTH(I$4)+1,1))</f>
        <v>0</v>
      </c>
      <c r="J41" s="133" cm="1">
        <f t="array" aca="1" ref="J41" ca="1">SUMIFS(OFFSET(Payroll!$A$6,1,$F$2-1,PayCount,1),PayEmp,$A41,PayDate,"&gt;="&amp;DATE(YEAR(J$4),MONTH(J$4),1),PayDate,"&lt;"&amp;DATE(YEAR(J$4),MONTH(J$4)+1,1))</f>
        <v>0</v>
      </c>
      <c r="K41" s="133" cm="1">
        <f t="array" aca="1" ref="K41" ca="1">SUMIFS(OFFSET(Payroll!$A$6,1,$F$2-1,PayCount,1),PayEmp,$A41,PayDate,"&gt;="&amp;DATE(YEAR(K$4),MONTH(K$4),1),PayDate,"&lt;"&amp;DATE(YEAR(K$4),MONTH(K$4)+1,1))</f>
        <v>0</v>
      </c>
      <c r="L41" s="133" cm="1">
        <f t="array" aca="1" ref="L41" ca="1">SUMIFS(OFFSET(Payroll!$A$6,1,$F$2-1,PayCount,1),PayEmp,$A41,PayDate,"&gt;="&amp;DATE(YEAR(L$4),MONTH(L$4),1),PayDate,"&lt;"&amp;DATE(YEAR(L$4),MONTH(L$4)+1,1))</f>
        <v>0</v>
      </c>
      <c r="M41" s="133" cm="1">
        <f t="array" aca="1" ref="M41" ca="1">SUMIFS(OFFSET(Payroll!$A$6,1,$F$2-1,PayCount,1),PayEmp,$A41,PayDate,"&gt;="&amp;DATE(YEAR(M$4),MONTH(M$4),1),PayDate,"&lt;"&amp;DATE(YEAR(M$4),MONTH(M$4)+1,1))</f>
        <v>0</v>
      </c>
      <c r="N41" s="133" cm="1">
        <f t="array" aca="1" ref="N41" ca="1">SUMIFS(OFFSET(Payroll!$A$6,1,$F$2-1,PayCount,1),PayEmp,$A41,PayDate,"&gt;="&amp;DATE(YEAR(N$4),MONTH(N$4),1),PayDate,"&lt;"&amp;DATE(YEAR(N$4),MONTH(N$4)+1,1))</f>
        <v>0</v>
      </c>
    </row>
    <row r="42" spans="1:16" ht="16.149999999999999" customHeight="1" x14ac:dyDescent="0.25">
      <c r="A42" s="299" t="str">
        <f ca="1">IF(OFFSET(Emp!$A$4,ROW($C42)-ROW($C$5),0,1,1)=0,"-",OFFSET(Emp!$A$4,ROW($C42)-ROW($C$5),0,1,1))</f>
        <v>-</v>
      </c>
      <c r="B42" s="299" t="str">
        <f ca="1">IF(ISNA(VLOOKUP($A42,EmpAll,COLUMN(Emp!$B$1),0))=TRUE,"-",VLOOKUP($A42,EmpAll,COLUMN(Emp!$B$1),0))</f>
        <v>-</v>
      </c>
      <c r="C42" s="133" cm="1">
        <f t="array" aca="1" ref="C42" ca="1">SUMIFS(OFFSET(Payroll!$A$6,1,$F$2-1,PayCount,1),PayEmp,$A42,PayDate,"&gt;="&amp;DATE(YEAR(C$4),MONTH(C$4),1),PayDate,"&lt;"&amp;DATE(YEAR(C$4),MONTH(C$4)+1,1))</f>
        <v>0</v>
      </c>
      <c r="D42" s="133" cm="1">
        <f t="array" aca="1" ref="D42" ca="1">SUMIFS(OFFSET(Payroll!$A$6,1,$F$2-1,PayCount,1),PayEmp,$A42,PayDate,"&gt;="&amp;DATE(YEAR(D$4),MONTH(D$4),1),PayDate,"&lt;"&amp;DATE(YEAR(D$4),MONTH(D$4)+1,1))</f>
        <v>0</v>
      </c>
      <c r="E42" s="133" cm="1">
        <f t="array" aca="1" ref="E42" ca="1">SUMIFS(OFFSET(Payroll!$A$6,1,$F$2-1,PayCount,1),PayEmp,$A42,PayDate,"&gt;="&amp;DATE(YEAR(E$4),MONTH(E$4),1),PayDate,"&lt;"&amp;DATE(YEAR(E$4),MONTH(E$4)+1,1))</f>
        <v>0</v>
      </c>
      <c r="F42" s="133" cm="1">
        <f t="array" aca="1" ref="F42" ca="1">SUMIFS(OFFSET(Payroll!$A$6,1,$F$2-1,PayCount,1),PayEmp,$A42,PayDate,"&gt;="&amp;DATE(YEAR(F$4),MONTH(F$4),1),PayDate,"&lt;"&amp;DATE(YEAR(F$4),MONTH(F$4)+1,1))</f>
        <v>0</v>
      </c>
      <c r="G42" s="133" cm="1">
        <f t="array" aca="1" ref="G42" ca="1">SUMIFS(OFFSET(Payroll!$A$6,1,$F$2-1,PayCount,1),PayEmp,$A42,PayDate,"&gt;="&amp;DATE(YEAR(G$4),MONTH(G$4),1),PayDate,"&lt;"&amp;DATE(YEAR(G$4),MONTH(G$4)+1,1))</f>
        <v>0</v>
      </c>
      <c r="H42" s="133" cm="1">
        <f t="array" aca="1" ref="H42" ca="1">SUMIFS(OFFSET(Payroll!$A$6,1,$F$2-1,PayCount,1),PayEmp,$A42,PayDate,"&gt;="&amp;DATE(YEAR(H$4),MONTH(H$4),1),PayDate,"&lt;"&amp;DATE(YEAR(H$4),MONTH(H$4)+1,1))</f>
        <v>0</v>
      </c>
      <c r="I42" s="133" cm="1">
        <f t="array" aca="1" ref="I42" ca="1">SUMIFS(OFFSET(Payroll!$A$6,1,$F$2-1,PayCount,1),PayEmp,$A42,PayDate,"&gt;="&amp;DATE(YEAR(I$4),MONTH(I$4),1),PayDate,"&lt;"&amp;DATE(YEAR(I$4),MONTH(I$4)+1,1))</f>
        <v>0</v>
      </c>
      <c r="J42" s="133" cm="1">
        <f t="array" aca="1" ref="J42" ca="1">SUMIFS(OFFSET(Payroll!$A$6,1,$F$2-1,PayCount,1),PayEmp,$A42,PayDate,"&gt;="&amp;DATE(YEAR(J$4),MONTH(J$4),1),PayDate,"&lt;"&amp;DATE(YEAR(J$4),MONTH(J$4)+1,1))</f>
        <v>0</v>
      </c>
      <c r="K42" s="133" cm="1">
        <f t="array" aca="1" ref="K42" ca="1">SUMIFS(OFFSET(Payroll!$A$6,1,$F$2-1,PayCount,1),PayEmp,$A42,PayDate,"&gt;="&amp;DATE(YEAR(K$4),MONTH(K$4),1),PayDate,"&lt;"&amp;DATE(YEAR(K$4),MONTH(K$4)+1,1))</f>
        <v>0</v>
      </c>
      <c r="L42" s="133" cm="1">
        <f t="array" aca="1" ref="L42" ca="1">SUMIFS(OFFSET(Payroll!$A$6,1,$F$2-1,PayCount,1),PayEmp,$A42,PayDate,"&gt;="&amp;DATE(YEAR(L$4),MONTH(L$4),1),PayDate,"&lt;"&amp;DATE(YEAR(L$4),MONTH(L$4)+1,1))</f>
        <v>0</v>
      </c>
      <c r="M42" s="133" cm="1">
        <f t="array" aca="1" ref="M42" ca="1">SUMIFS(OFFSET(Payroll!$A$6,1,$F$2-1,PayCount,1),PayEmp,$A42,PayDate,"&gt;="&amp;DATE(YEAR(M$4),MONTH(M$4),1),PayDate,"&lt;"&amp;DATE(YEAR(M$4),MONTH(M$4)+1,1))</f>
        <v>0</v>
      </c>
      <c r="N42" s="133" cm="1">
        <f t="array" aca="1" ref="N42" ca="1">SUMIFS(OFFSET(Payroll!$A$6,1,$F$2-1,PayCount,1),PayEmp,$A42,PayDate,"&gt;="&amp;DATE(YEAR(N$4),MONTH(N$4),1),PayDate,"&lt;"&amp;DATE(YEAR(N$4),MONTH(N$4)+1,1))</f>
        <v>0</v>
      </c>
    </row>
    <row r="43" spans="1:16" ht="16.149999999999999" customHeight="1" x14ac:dyDescent="0.25">
      <c r="A43" s="299" t="str">
        <f ca="1">IF(OFFSET(Emp!$A$4,ROW($C43)-ROW($C$5),0,1,1)=0,"-",OFFSET(Emp!$A$4,ROW($C43)-ROW($C$5),0,1,1))</f>
        <v>-</v>
      </c>
      <c r="B43" s="299" t="str">
        <f ca="1">IF(ISNA(VLOOKUP($A43,EmpAll,COLUMN(Emp!$B$1),0))=TRUE,"-",VLOOKUP($A43,EmpAll,COLUMN(Emp!$B$1),0))</f>
        <v>-</v>
      </c>
      <c r="C43" s="133" cm="1">
        <f t="array" aca="1" ref="C43" ca="1">SUMIFS(OFFSET(Payroll!$A$6,1,$F$2-1,PayCount,1),PayEmp,$A43,PayDate,"&gt;="&amp;DATE(YEAR(C$4),MONTH(C$4),1),PayDate,"&lt;"&amp;DATE(YEAR(C$4),MONTH(C$4)+1,1))</f>
        <v>0</v>
      </c>
      <c r="D43" s="133" cm="1">
        <f t="array" aca="1" ref="D43" ca="1">SUMIFS(OFFSET(Payroll!$A$6,1,$F$2-1,PayCount,1),PayEmp,$A43,PayDate,"&gt;="&amp;DATE(YEAR(D$4),MONTH(D$4),1),PayDate,"&lt;"&amp;DATE(YEAR(D$4),MONTH(D$4)+1,1))</f>
        <v>0</v>
      </c>
      <c r="E43" s="133" cm="1">
        <f t="array" aca="1" ref="E43" ca="1">SUMIFS(OFFSET(Payroll!$A$6,1,$F$2-1,PayCount,1),PayEmp,$A43,PayDate,"&gt;="&amp;DATE(YEAR(E$4),MONTH(E$4),1),PayDate,"&lt;"&amp;DATE(YEAR(E$4),MONTH(E$4)+1,1))</f>
        <v>0</v>
      </c>
      <c r="F43" s="133" cm="1">
        <f t="array" aca="1" ref="F43" ca="1">SUMIFS(OFFSET(Payroll!$A$6,1,$F$2-1,PayCount,1),PayEmp,$A43,PayDate,"&gt;="&amp;DATE(YEAR(F$4),MONTH(F$4),1),PayDate,"&lt;"&amp;DATE(YEAR(F$4),MONTH(F$4)+1,1))</f>
        <v>0</v>
      </c>
      <c r="G43" s="133" cm="1">
        <f t="array" aca="1" ref="G43" ca="1">SUMIFS(OFFSET(Payroll!$A$6,1,$F$2-1,PayCount,1),PayEmp,$A43,PayDate,"&gt;="&amp;DATE(YEAR(G$4),MONTH(G$4),1),PayDate,"&lt;"&amp;DATE(YEAR(G$4),MONTH(G$4)+1,1))</f>
        <v>0</v>
      </c>
      <c r="H43" s="133" cm="1">
        <f t="array" aca="1" ref="H43" ca="1">SUMIFS(OFFSET(Payroll!$A$6,1,$F$2-1,PayCount,1),PayEmp,$A43,PayDate,"&gt;="&amp;DATE(YEAR(H$4),MONTH(H$4),1),PayDate,"&lt;"&amp;DATE(YEAR(H$4),MONTH(H$4)+1,1))</f>
        <v>0</v>
      </c>
      <c r="I43" s="133" cm="1">
        <f t="array" aca="1" ref="I43" ca="1">SUMIFS(OFFSET(Payroll!$A$6,1,$F$2-1,PayCount,1),PayEmp,$A43,PayDate,"&gt;="&amp;DATE(YEAR(I$4),MONTH(I$4),1),PayDate,"&lt;"&amp;DATE(YEAR(I$4),MONTH(I$4)+1,1))</f>
        <v>0</v>
      </c>
      <c r="J43" s="133" cm="1">
        <f t="array" aca="1" ref="J43" ca="1">SUMIFS(OFFSET(Payroll!$A$6,1,$F$2-1,PayCount,1),PayEmp,$A43,PayDate,"&gt;="&amp;DATE(YEAR(J$4),MONTH(J$4),1),PayDate,"&lt;"&amp;DATE(YEAR(J$4),MONTH(J$4)+1,1))</f>
        <v>0</v>
      </c>
      <c r="K43" s="133" cm="1">
        <f t="array" aca="1" ref="K43" ca="1">SUMIFS(OFFSET(Payroll!$A$6,1,$F$2-1,PayCount,1),PayEmp,$A43,PayDate,"&gt;="&amp;DATE(YEAR(K$4),MONTH(K$4),1),PayDate,"&lt;"&amp;DATE(YEAR(K$4),MONTH(K$4)+1,1))</f>
        <v>0</v>
      </c>
      <c r="L43" s="133" cm="1">
        <f t="array" aca="1" ref="L43" ca="1">SUMIFS(OFFSET(Payroll!$A$6,1,$F$2-1,PayCount,1),PayEmp,$A43,PayDate,"&gt;="&amp;DATE(YEAR(L$4),MONTH(L$4),1),PayDate,"&lt;"&amp;DATE(YEAR(L$4),MONTH(L$4)+1,1))</f>
        <v>0</v>
      </c>
      <c r="M43" s="133" cm="1">
        <f t="array" aca="1" ref="M43" ca="1">SUMIFS(OFFSET(Payroll!$A$6,1,$F$2-1,PayCount,1),PayEmp,$A43,PayDate,"&gt;="&amp;DATE(YEAR(M$4),MONTH(M$4),1),PayDate,"&lt;"&amp;DATE(YEAR(M$4),MONTH(M$4)+1,1))</f>
        <v>0</v>
      </c>
      <c r="N43" s="133" cm="1">
        <f t="array" aca="1" ref="N43" ca="1">SUMIFS(OFFSET(Payroll!$A$6,1,$F$2-1,PayCount,1),PayEmp,$A43,PayDate,"&gt;="&amp;DATE(YEAR(N$4),MONTH(N$4),1),PayDate,"&lt;"&amp;DATE(YEAR(N$4),MONTH(N$4)+1,1))</f>
        <v>0</v>
      </c>
    </row>
    <row r="44" spans="1:16" ht="16.149999999999999" customHeight="1" x14ac:dyDescent="0.25">
      <c r="A44" s="299" t="str">
        <f ca="1">IF(OFFSET(Emp!$A$4,ROW($C44)-ROW($C$5),0,1,1)=0,"-",OFFSET(Emp!$A$4,ROW($C44)-ROW($C$5),0,1,1))</f>
        <v>-</v>
      </c>
      <c r="B44" s="299" t="str">
        <f ca="1">IF(ISNA(VLOOKUP($A44,EmpAll,COLUMN(Emp!$B$1),0))=TRUE,"-",VLOOKUP($A44,EmpAll,COLUMN(Emp!$B$1),0))</f>
        <v>-</v>
      </c>
      <c r="C44" s="133" cm="1">
        <f t="array" aca="1" ref="C44" ca="1">SUMIFS(OFFSET(Payroll!$A$6,1,$F$2-1,PayCount,1),PayEmp,$A44,PayDate,"&gt;="&amp;DATE(YEAR(C$4),MONTH(C$4),1),PayDate,"&lt;"&amp;DATE(YEAR(C$4),MONTH(C$4)+1,1))</f>
        <v>0</v>
      </c>
      <c r="D44" s="133" cm="1">
        <f t="array" aca="1" ref="D44" ca="1">SUMIFS(OFFSET(Payroll!$A$6,1,$F$2-1,PayCount,1),PayEmp,$A44,PayDate,"&gt;="&amp;DATE(YEAR(D$4),MONTH(D$4),1),PayDate,"&lt;"&amp;DATE(YEAR(D$4),MONTH(D$4)+1,1))</f>
        <v>0</v>
      </c>
      <c r="E44" s="133" cm="1">
        <f t="array" aca="1" ref="E44" ca="1">SUMIFS(OFFSET(Payroll!$A$6,1,$F$2-1,PayCount,1),PayEmp,$A44,PayDate,"&gt;="&amp;DATE(YEAR(E$4),MONTH(E$4),1),PayDate,"&lt;"&amp;DATE(YEAR(E$4),MONTH(E$4)+1,1))</f>
        <v>0</v>
      </c>
      <c r="F44" s="133" cm="1">
        <f t="array" aca="1" ref="F44" ca="1">SUMIFS(OFFSET(Payroll!$A$6,1,$F$2-1,PayCount,1),PayEmp,$A44,PayDate,"&gt;="&amp;DATE(YEAR(F$4),MONTH(F$4),1),PayDate,"&lt;"&amp;DATE(YEAR(F$4),MONTH(F$4)+1,1))</f>
        <v>0</v>
      </c>
      <c r="G44" s="133" cm="1">
        <f t="array" aca="1" ref="G44" ca="1">SUMIFS(OFFSET(Payroll!$A$6,1,$F$2-1,PayCount,1),PayEmp,$A44,PayDate,"&gt;="&amp;DATE(YEAR(G$4),MONTH(G$4),1),PayDate,"&lt;"&amp;DATE(YEAR(G$4),MONTH(G$4)+1,1))</f>
        <v>0</v>
      </c>
      <c r="H44" s="133" cm="1">
        <f t="array" aca="1" ref="H44" ca="1">SUMIFS(OFFSET(Payroll!$A$6,1,$F$2-1,PayCount,1),PayEmp,$A44,PayDate,"&gt;="&amp;DATE(YEAR(H$4),MONTH(H$4),1),PayDate,"&lt;"&amp;DATE(YEAR(H$4),MONTH(H$4)+1,1))</f>
        <v>0</v>
      </c>
      <c r="I44" s="133" cm="1">
        <f t="array" aca="1" ref="I44" ca="1">SUMIFS(OFFSET(Payroll!$A$6,1,$F$2-1,PayCount,1),PayEmp,$A44,PayDate,"&gt;="&amp;DATE(YEAR(I$4),MONTH(I$4),1),PayDate,"&lt;"&amp;DATE(YEAR(I$4),MONTH(I$4)+1,1))</f>
        <v>0</v>
      </c>
      <c r="J44" s="133" cm="1">
        <f t="array" aca="1" ref="J44" ca="1">SUMIFS(OFFSET(Payroll!$A$6,1,$F$2-1,PayCount,1),PayEmp,$A44,PayDate,"&gt;="&amp;DATE(YEAR(J$4),MONTH(J$4),1),PayDate,"&lt;"&amp;DATE(YEAR(J$4),MONTH(J$4)+1,1))</f>
        <v>0</v>
      </c>
      <c r="K44" s="133" cm="1">
        <f t="array" aca="1" ref="K44" ca="1">SUMIFS(OFFSET(Payroll!$A$6,1,$F$2-1,PayCount,1),PayEmp,$A44,PayDate,"&gt;="&amp;DATE(YEAR(K$4),MONTH(K$4),1),PayDate,"&lt;"&amp;DATE(YEAR(K$4),MONTH(K$4)+1,1))</f>
        <v>0</v>
      </c>
      <c r="L44" s="133" cm="1">
        <f t="array" aca="1" ref="L44" ca="1">SUMIFS(OFFSET(Payroll!$A$6,1,$F$2-1,PayCount,1),PayEmp,$A44,PayDate,"&gt;="&amp;DATE(YEAR(L$4),MONTH(L$4),1),PayDate,"&lt;"&amp;DATE(YEAR(L$4),MONTH(L$4)+1,1))</f>
        <v>0</v>
      </c>
      <c r="M44" s="133" cm="1">
        <f t="array" aca="1" ref="M44" ca="1">SUMIFS(OFFSET(Payroll!$A$6,1,$F$2-1,PayCount,1),PayEmp,$A44,PayDate,"&gt;="&amp;DATE(YEAR(M$4),MONTH(M$4),1),PayDate,"&lt;"&amp;DATE(YEAR(M$4),MONTH(M$4)+1,1))</f>
        <v>0</v>
      </c>
      <c r="N44" s="133" cm="1">
        <f t="array" aca="1" ref="N44" ca="1">SUMIFS(OFFSET(Payroll!$A$6,1,$F$2-1,PayCount,1),PayEmp,$A44,PayDate,"&gt;="&amp;DATE(YEAR(N$4),MONTH(N$4),1),PayDate,"&lt;"&amp;DATE(YEAR(N$4),MONTH(N$4)+1,1))</f>
        <v>0</v>
      </c>
    </row>
    <row r="45" spans="1:16" ht="16.149999999999999" customHeight="1" x14ac:dyDescent="0.25">
      <c r="A45" s="299" t="str">
        <f ca="1">IF(OFFSET(Emp!$A$4,ROW($C45)-ROW($C$5),0,1,1)=0,"-",OFFSET(Emp!$A$4,ROW($C45)-ROW($C$5),0,1,1))</f>
        <v>-</v>
      </c>
      <c r="B45" s="299" t="str">
        <f ca="1">IF(ISNA(VLOOKUP($A45,EmpAll,COLUMN(Emp!$B$1),0))=TRUE,"-",VLOOKUP($A45,EmpAll,COLUMN(Emp!$B$1),0))</f>
        <v>-</v>
      </c>
      <c r="C45" s="133" cm="1">
        <f t="array" aca="1" ref="C45" ca="1">SUMIFS(OFFSET(Payroll!$A$6,1,$F$2-1,PayCount,1),PayEmp,$A45,PayDate,"&gt;="&amp;DATE(YEAR(C$4),MONTH(C$4),1),PayDate,"&lt;"&amp;DATE(YEAR(C$4),MONTH(C$4)+1,1))</f>
        <v>0</v>
      </c>
      <c r="D45" s="133" cm="1">
        <f t="array" aca="1" ref="D45" ca="1">SUMIFS(OFFSET(Payroll!$A$6,1,$F$2-1,PayCount,1),PayEmp,$A45,PayDate,"&gt;="&amp;DATE(YEAR(D$4),MONTH(D$4),1),PayDate,"&lt;"&amp;DATE(YEAR(D$4),MONTH(D$4)+1,1))</f>
        <v>0</v>
      </c>
      <c r="E45" s="133" cm="1">
        <f t="array" aca="1" ref="E45" ca="1">SUMIFS(OFFSET(Payroll!$A$6,1,$F$2-1,PayCount,1),PayEmp,$A45,PayDate,"&gt;="&amp;DATE(YEAR(E$4),MONTH(E$4),1),PayDate,"&lt;"&amp;DATE(YEAR(E$4),MONTH(E$4)+1,1))</f>
        <v>0</v>
      </c>
      <c r="F45" s="133" cm="1">
        <f t="array" aca="1" ref="F45" ca="1">SUMIFS(OFFSET(Payroll!$A$6,1,$F$2-1,PayCount,1),PayEmp,$A45,PayDate,"&gt;="&amp;DATE(YEAR(F$4),MONTH(F$4),1),PayDate,"&lt;"&amp;DATE(YEAR(F$4),MONTH(F$4)+1,1))</f>
        <v>0</v>
      </c>
      <c r="G45" s="133" cm="1">
        <f t="array" aca="1" ref="G45" ca="1">SUMIFS(OFFSET(Payroll!$A$6,1,$F$2-1,PayCount,1),PayEmp,$A45,PayDate,"&gt;="&amp;DATE(YEAR(G$4),MONTH(G$4),1),PayDate,"&lt;"&amp;DATE(YEAR(G$4),MONTH(G$4)+1,1))</f>
        <v>0</v>
      </c>
      <c r="H45" s="133" cm="1">
        <f t="array" aca="1" ref="H45" ca="1">SUMIFS(OFFSET(Payroll!$A$6,1,$F$2-1,PayCount,1),PayEmp,$A45,PayDate,"&gt;="&amp;DATE(YEAR(H$4),MONTH(H$4),1),PayDate,"&lt;"&amp;DATE(YEAR(H$4),MONTH(H$4)+1,1))</f>
        <v>0</v>
      </c>
      <c r="I45" s="133" cm="1">
        <f t="array" aca="1" ref="I45" ca="1">SUMIFS(OFFSET(Payroll!$A$6,1,$F$2-1,PayCount,1),PayEmp,$A45,PayDate,"&gt;="&amp;DATE(YEAR(I$4),MONTH(I$4),1),PayDate,"&lt;"&amp;DATE(YEAR(I$4),MONTH(I$4)+1,1))</f>
        <v>0</v>
      </c>
      <c r="J45" s="133" cm="1">
        <f t="array" aca="1" ref="J45" ca="1">SUMIFS(OFFSET(Payroll!$A$6,1,$F$2-1,PayCount,1),PayEmp,$A45,PayDate,"&gt;="&amp;DATE(YEAR(J$4),MONTH(J$4),1),PayDate,"&lt;"&amp;DATE(YEAR(J$4),MONTH(J$4)+1,1))</f>
        <v>0</v>
      </c>
      <c r="K45" s="133" cm="1">
        <f t="array" aca="1" ref="K45" ca="1">SUMIFS(OFFSET(Payroll!$A$6,1,$F$2-1,PayCount,1),PayEmp,$A45,PayDate,"&gt;="&amp;DATE(YEAR(K$4),MONTH(K$4),1),PayDate,"&lt;"&amp;DATE(YEAR(K$4),MONTH(K$4)+1,1))</f>
        <v>0</v>
      </c>
      <c r="L45" s="133" cm="1">
        <f t="array" aca="1" ref="L45" ca="1">SUMIFS(OFFSET(Payroll!$A$6,1,$F$2-1,PayCount,1),PayEmp,$A45,PayDate,"&gt;="&amp;DATE(YEAR(L$4),MONTH(L$4),1),PayDate,"&lt;"&amp;DATE(YEAR(L$4),MONTH(L$4)+1,1))</f>
        <v>0</v>
      </c>
      <c r="M45" s="133" cm="1">
        <f t="array" aca="1" ref="M45" ca="1">SUMIFS(OFFSET(Payroll!$A$6,1,$F$2-1,PayCount,1),PayEmp,$A45,PayDate,"&gt;="&amp;DATE(YEAR(M$4),MONTH(M$4),1),PayDate,"&lt;"&amp;DATE(YEAR(M$4),MONTH(M$4)+1,1))</f>
        <v>0</v>
      </c>
      <c r="N45" s="133" cm="1">
        <f t="array" aca="1" ref="N45" ca="1">SUMIFS(OFFSET(Payroll!$A$6,1,$F$2-1,PayCount,1),PayEmp,$A45,PayDate,"&gt;="&amp;DATE(YEAR(N$4),MONTH(N$4),1),PayDate,"&lt;"&amp;DATE(YEAR(N$4),MONTH(N$4)+1,1))</f>
        <v>0</v>
      </c>
    </row>
    <row r="46" spans="1:16" ht="16.149999999999999" customHeight="1" x14ac:dyDescent="0.25">
      <c r="A46" s="299" t="str">
        <f ca="1">IF(OFFSET(Emp!$A$4,ROW($C46)-ROW($C$5),0,1,1)=0,"-",OFFSET(Emp!$A$4,ROW($C46)-ROW($C$5),0,1,1))</f>
        <v>-</v>
      </c>
      <c r="B46" s="299" t="str">
        <f ca="1">IF(ISNA(VLOOKUP($A46,EmpAll,COLUMN(Emp!$B$1),0))=TRUE,"-",VLOOKUP($A46,EmpAll,COLUMN(Emp!$B$1),0))</f>
        <v>-</v>
      </c>
      <c r="C46" s="133" cm="1">
        <f t="array" aca="1" ref="C46" ca="1">SUMIFS(OFFSET(Payroll!$A$6,1,$F$2-1,PayCount,1),PayEmp,$A46,PayDate,"&gt;="&amp;DATE(YEAR(C$4),MONTH(C$4),1),PayDate,"&lt;"&amp;DATE(YEAR(C$4),MONTH(C$4)+1,1))</f>
        <v>0</v>
      </c>
      <c r="D46" s="133" cm="1">
        <f t="array" aca="1" ref="D46" ca="1">SUMIFS(OFFSET(Payroll!$A$6,1,$F$2-1,PayCount,1),PayEmp,$A46,PayDate,"&gt;="&amp;DATE(YEAR(D$4),MONTH(D$4),1),PayDate,"&lt;"&amp;DATE(YEAR(D$4),MONTH(D$4)+1,1))</f>
        <v>0</v>
      </c>
      <c r="E46" s="133" cm="1">
        <f t="array" aca="1" ref="E46" ca="1">SUMIFS(OFFSET(Payroll!$A$6,1,$F$2-1,PayCount,1),PayEmp,$A46,PayDate,"&gt;="&amp;DATE(YEAR(E$4),MONTH(E$4),1),PayDate,"&lt;"&amp;DATE(YEAR(E$4),MONTH(E$4)+1,1))</f>
        <v>0</v>
      </c>
      <c r="F46" s="133" cm="1">
        <f t="array" aca="1" ref="F46" ca="1">SUMIFS(OFFSET(Payroll!$A$6,1,$F$2-1,PayCount,1),PayEmp,$A46,PayDate,"&gt;="&amp;DATE(YEAR(F$4),MONTH(F$4),1),PayDate,"&lt;"&amp;DATE(YEAR(F$4),MONTH(F$4)+1,1))</f>
        <v>0</v>
      </c>
      <c r="G46" s="133" cm="1">
        <f t="array" aca="1" ref="G46" ca="1">SUMIFS(OFFSET(Payroll!$A$6,1,$F$2-1,PayCount,1),PayEmp,$A46,PayDate,"&gt;="&amp;DATE(YEAR(G$4),MONTH(G$4),1),PayDate,"&lt;"&amp;DATE(YEAR(G$4),MONTH(G$4)+1,1))</f>
        <v>0</v>
      </c>
      <c r="H46" s="133" cm="1">
        <f t="array" aca="1" ref="H46" ca="1">SUMIFS(OFFSET(Payroll!$A$6,1,$F$2-1,PayCount,1),PayEmp,$A46,PayDate,"&gt;="&amp;DATE(YEAR(H$4),MONTH(H$4),1),PayDate,"&lt;"&amp;DATE(YEAR(H$4),MONTH(H$4)+1,1))</f>
        <v>0</v>
      </c>
      <c r="I46" s="133" cm="1">
        <f t="array" aca="1" ref="I46" ca="1">SUMIFS(OFFSET(Payroll!$A$6,1,$F$2-1,PayCount,1),PayEmp,$A46,PayDate,"&gt;="&amp;DATE(YEAR(I$4),MONTH(I$4),1),PayDate,"&lt;"&amp;DATE(YEAR(I$4),MONTH(I$4)+1,1))</f>
        <v>0</v>
      </c>
      <c r="J46" s="133" cm="1">
        <f t="array" aca="1" ref="J46" ca="1">SUMIFS(OFFSET(Payroll!$A$6,1,$F$2-1,PayCount,1),PayEmp,$A46,PayDate,"&gt;="&amp;DATE(YEAR(J$4),MONTH(J$4),1),PayDate,"&lt;"&amp;DATE(YEAR(J$4),MONTH(J$4)+1,1))</f>
        <v>0</v>
      </c>
      <c r="K46" s="133" cm="1">
        <f t="array" aca="1" ref="K46" ca="1">SUMIFS(OFFSET(Payroll!$A$6,1,$F$2-1,PayCount,1),PayEmp,$A46,PayDate,"&gt;="&amp;DATE(YEAR(K$4),MONTH(K$4),1),PayDate,"&lt;"&amp;DATE(YEAR(K$4),MONTH(K$4)+1,1))</f>
        <v>0</v>
      </c>
      <c r="L46" s="133" cm="1">
        <f t="array" aca="1" ref="L46" ca="1">SUMIFS(OFFSET(Payroll!$A$6,1,$F$2-1,PayCount,1),PayEmp,$A46,PayDate,"&gt;="&amp;DATE(YEAR(L$4),MONTH(L$4),1),PayDate,"&lt;"&amp;DATE(YEAR(L$4),MONTH(L$4)+1,1))</f>
        <v>0</v>
      </c>
      <c r="M46" s="133" cm="1">
        <f t="array" aca="1" ref="M46" ca="1">SUMIFS(OFFSET(Payroll!$A$6,1,$F$2-1,PayCount,1),PayEmp,$A46,PayDate,"&gt;="&amp;DATE(YEAR(M$4),MONTH(M$4),1),PayDate,"&lt;"&amp;DATE(YEAR(M$4),MONTH(M$4)+1,1))</f>
        <v>0</v>
      </c>
      <c r="N46" s="133" cm="1">
        <f t="array" aca="1" ref="N46" ca="1">SUMIFS(OFFSET(Payroll!$A$6,1,$F$2-1,PayCount,1),PayEmp,$A46,PayDate,"&gt;="&amp;DATE(YEAR(N$4),MONTH(N$4),1),PayDate,"&lt;"&amp;DATE(YEAR(N$4),MONTH(N$4)+1,1))</f>
        <v>0</v>
      </c>
    </row>
    <row r="47" spans="1:16" ht="16.149999999999999" customHeight="1" x14ac:dyDescent="0.25">
      <c r="A47" s="299" t="str">
        <f ca="1">IF(OFFSET(Emp!$A$4,ROW($C47)-ROW($C$5),0,1,1)=0,"-",OFFSET(Emp!$A$4,ROW($C47)-ROW($C$5),0,1,1))</f>
        <v>-</v>
      </c>
      <c r="B47" s="299" t="str">
        <f ca="1">IF(ISNA(VLOOKUP($A47,EmpAll,COLUMN(Emp!$B$1),0))=TRUE,"-",VLOOKUP($A47,EmpAll,COLUMN(Emp!$B$1),0))</f>
        <v>-</v>
      </c>
      <c r="C47" s="133" cm="1">
        <f t="array" aca="1" ref="C47" ca="1">SUMIFS(OFFSET(Payroll!$A$6,1,$F$2-1,PayCount,1),PayEmp,$A47,PayDate,"&gt;="&amp;DATE(YEAR(C$4),MONTH(C$4),1),PayDate,"&lt;"&amp;DATE(YEAR(C$4),MONTH(C$4)+1,1))</f>
        <v>0</v>
      </c>
      <c r="D47" s="133" cm="1">
        <f t="array" aca="1" ref="D47" ca="1">SUMIFS(OFFSET(Payroll!$A$6,1,$F$2-1,PayCount,1),PayEmp,$A47,PayDate,"&gt;="&amp;DATE(YEAR(D$4),MONTH(D$4),1),PayDate,"&lt;"&amp;DATE(YEAR(D$4),MONTH(D$4)+1,1))</f>
        <v>0</v>
      </c>
      <c r="E47" s="133" cm="1">
        <f t="array" aca="1" ref="E47" ca="1">SUMIFS(OFFSET(Payroll!$A$6,1,$F$2-1,PayCount,1),PayEmp,$A47,PayDate,"&gt;="&amp;DATE(YEAR(E$4),MONTH(E$4),1),PayDate,"&lt;"&amp;DATE(YEAR(E$4),MONTH(E$4)+1,1))</f>
        <v>0</v>
      </c>
      <c r="F47" s="133" cm="1">
        <f t="array" aca="1" ref="F47" ca="1">SUMIFS(OFFSET(Payroll!$A$6,1,$F$2-1,PayCount,1),PayEmp,$A47,PayDate,"&gt;="&amp;DATE(YEAR(F$4),MONTH(F$4),1),PayDate,"&lt;"&amp;DATE(YEAR(F$4),MONTH(F$4)+1,1))</f>
        <v>0</v>
      </c>
      <c r="G47" s="133" cm="1">
        <f t="array" aca="1" ref="G47" ca="1">SUMIFS(OFFSET(Payroll!$A$6,1,$F$2-1,PayCount,1),PayEmp,$A47,PayDate,"&gt;="&amp;DATE(YEAR(G$4),MONTH(G$4),1),PayDate,"&lt;"&amp;DATE(YEAR(G$4),MONTH(G$4)+1,1))</f>
        <v>0</v>
      </c>
      <c r="H47" s="133" cm="1">
        <f t="array" aca="1" ref="H47" ca="1">SUMIFS(OFFSET(Payroll!$A$6,1,$F$2-1,PayCount,1),PayEmp,$A47,PayDate,"&gt;="&amp;DATE(YEAR(H$4),MONTH(H$4),1),PayDate,"&lt;"&amp;DATE(YEAR(H$4),MONTH(H$4)+1,1))</f>
        <v>0</v>
      </c>
      <c r="I47" s="133" cm="1">
        <f t="array" aca="1" ref="I47" ca="1">SUMIFS(OFFSET(Payroll!$A$6,1,$F$2-1,PayCount,1),PayEmp,$A47,PayDate,"&gt;="&amp;DATE(YEAR(I$4),MONTH(I$4),1),PayDate,"&lt;"&amp;DATE(YEAR(I$4),MONTH(I$4)+1,1))</f>
        <v>0</v>
      </c>
      <c r="J47" s="133" cm="1">
        <f t="array" aca="1" ref="J47" ca="1">SUMIFS(OFFSET(Payroll!$A$6,1,$F$2-1,PayCount,1),PayEmp,$A47,PayDate,"&gt;="&amp;DATE(YEAR(J$4),MONTH(J$4),1),PayDate,"&lt;"&amp;DATE(YEAR(J$4),MONTH(J$4)+1,1))</f>
        <v>0</v>
      </c>
      <c r="K47" s="133" cm="1">
        <f t="array" aca="1" ref="K47" ca="1">SUMIFS(OFFSET(Payroll!$A$6,1,$F$2-1,PayCount,1),PayEmp,$A47,PayDate,"&gt;="&amp;DATE(YEAR(K$4),MONTH(K$4),1),PayDate,"&lt;"&amp;DATE(YEAR(K$4),MONTH(K$4)+1,1))</f>
        <v>0</v>
      </c>
      <c r="L47" s="133" cm="1">
        <f t="array" aca="1" ref="L47" ca="1">SUMIFS(OFFSET(Payroll!$A$6,1,$F$2-1,PayCount,1),PayEmp,$A47,PayDate,"&gt;="&amp;DATE(YEAR(L$4),MONTH(L$4),1),PayDate,"&lt;"&amp;DATE(YEAR(L$4),MONTH(L$4)+1,1))</f>
        <v>0</v>
      </c>
      <c r="M47" s="133" cm="1">
        <f t="array" aca="1" ref="M47" ca="1">SUMIFS(OFFSET(Payroll!$A$6,1,$F$2-1,PayCount,1),PayEmp,$A47,PayDate,"&gt;="&amp;DATE(YEAR(M$4),MONTH(M$4),1),PayDate,"&lt;"&amp;DATE(YEAR(M$4),MONTH(M$4)+1,1))</f>
        <v>0</v>
      </c>
      <c r="N47" s="133" cm="1">
        <f t="array" aca="1" ref="N47" ca="1">SUMIFS(OFFSET(Payroll!$A$6,1,$F$2-1,PayCount,1),PayEmp,$A47,PayDate,"&gt;="&amp;DATE(YEAR(N$4),MONTH(N$4),1),PayDate,"&lt;"&amp;DATE(YEAR(N$4),MONTH(N$4)+1,1))</f>
        <v>0</v>
      </c>
    </row>
    <row r="48" spans="1:16" ht="16.149999999999999" customHeight="1" x14ac:dyDescent="0.25">
      <c r="A48" s="299" t="str">
        <f ca="1">IF(OFFSET(Emp!$A$4,ROW($C48)-ROW($C$5),0,1,1)=0,"-",OFFSET(Emp!$A$4,ROW($C48)-ROW($C$5),0,1,1))</f>
        <v>-</v>
      </c>
      <c r="B48" s="299" t="str">
        <f ca="1">IF(ISNA(VLOOKUP($A48,EmpAll,COLUMN(Emp!$B$1),0))=TRUE,"-",VLOOKUP($A48,EmpAll,COLUMN(Emp!$B$1),0))</f>
        <v>-</v>
      </c>
      <c r="C48" s="133" cm="1">
        <f t="array" aca="1" ref="C48" ca="1">SUMIFS(OFFSET(Payroll!$A$6,1,$F$2-1,PayCount,1),PayEmp,$A48,PayDate,"&gt;="&amp;DATE(YEAR(C$4),MONTH(C$4),1),PayDate,"&lt;"&amp;DATE(YEAR(C$4),MONTH(C$4)+1,1))</f>
        <v>0</v>
      </c>
      <c r="D48" s="133" cm="1">
        <f t="array" aca="1" ref="D48" ca="1">SUMIFS(OFFSET(Payroll!$A$6,1,$F$2-1,PayCount,1),PayEmp,$A48,PayDate,"&gt;="&amp;DATE(YEAR(D$4),MONTH(D$4),1),PayDate,"&lt;"&amp;DATE(YEAR(D$4),MONTH(D$4)+1,1))</f>
        <v>0</v>
      </c>
      <c r="E48" s="133" cm="1">
        <f t="array" aca="1" ref="E48" ca="1">SUMIFS(OFFSET(Payroll!$A$6,1,$F$2-1,PayCount,1),PayEmp,$A48,PayDate,"&gt;="&amp;DATE(YEAR(E$4),MONTH(E$4),1),PayDate,"&lt;"&amp;DATE(YEAR(E$4),MONTH(E$4)+1,1))</f>
        <v>0</v>
      </c>
      <c r="F48" s="133" cm="1">
        <f t="array" aca="1" ref="F48" ca="1">SUMIFS(OFFSET(Payroll!$A$6,1,$F$2-1,PayCount,1),PayEmp,$A48,PayDate,"&gt;="&amp;DATE(YEAR(F$4),MONTH(F$4),1),PayDate,"&lt;"&amp;DATE(YEAR(F$4),MONTH(F$4)+1,1))</f>
        <v>0</v>
      </c>
      <c r="G48" s="133" cm="1">
        <f t="array" aca="1" ref="G48" ca="1">SUMIFS(OFFSET(Payroll!$A$6,1,$F$2-1,PayCount,1),PayEmp,$A48,PayDate,"&gt;="&amp;DATE(YEAR(G$4),MONTH(G$4),1),PayDate,"&lt;"&amp;DATE(YEAR(G$4),MONTH(G$4)+1,1))</f>
        <v>0</v>
      </c>
      <c r="H48" s="133" cm="1">
        <f t="array" aca="1" ref="H48" ca="1">SUMIFS(OFFSET(Payroll!$A$6,1,$F$2-1,PayCount,1),PayEmp,$A48,PayDate,"&gt;="&amp;DATE(YEAR(H$4),MONTH(H$4),1),PayDate,"&lt;"&amp;DATE(YEAR(H$4),MONTH(H$4)+1,1))</f>
        <v>0</v>
      </c>
      <c r="I48" s="133" cm="1">
        <f t="array" aca="1" ref="I48" ca="1">SUMIFS(OFFSET(Payroll!$A$6,1,$F$2-1,PayCount,1),PayEmp,$A48,PayDate,"&gt;="&amp;DATE(YEAR(I$4),MONTH(I$4),1),PayDate,"&lt;"&amp;DATE(YEAR(I$4),MONTH(I$4)+1,1))</f>
        <v>0</v>
      </c>
      <c r="J48" s="133" cm="1">
        <f t="array" aca="1" ref="J48" ca="1">SUMIFS(OFFSET(Payroll!$A$6,1,$F$2-1,PayCount,1),PayEmp,$A48,PayDate,"&gt;="&amp;DATE(YEAR(J$4),MONTH(J$4),1),PayDate,"&lt;"&amp;DATE(YEAR(J$4),MONTH(J$4)+1,1))</f>
        <v>0</v>
      </c>
      <c r="K48" s="133" cm="1">
        <f t="array" aca="1" ref="K48" ca="1">SUMIFS(OFFSET(Payroll!$A$6,1,$F$2-1,PayCount,1),PayEmp,$A48,PayDate,"&gt;="&amp;DATE(YEAR(K$4),MONTH(K$4),1),PayDate,"&lt;"&amp;DATE(YEAR(K$4),MONTH(K$4)+1,1))</f>
        <v>0</v>
      </c>
      <c r="L48" s="133" cm="1">
        <f t="array" aca="1" ref="L48" ca="1">SUMIFS(OFFSET(Payroll!$A$6,1,$F$2-1,PayCount,1),PayEmp,$A48,PayDate,"&gt;="&amp;DATE(YEAR(L$4),MONTH(L$4),1),PayDate,"&lt;"&amp;DATE(YEAR(L$4),MONTH(L$4)+1,1))</f>
        <v>0</v>
      </c>
      <c r="M48" s="133" cm="1">
        <f t="array" aca="1" ref="M48" ca="1">SUMIFS(OFFSET(Payroll!$A$6,1,$F$2-1,PayCount,1),PayEmp,$A48,PayDate,"&gt;="&amp;DATE(YEAR(M$4),MONTH(M$4),1),PayDate,"&lt;"&amp;DATE(YEAR(M$4),MONTH(M$4)+1,1))</f>
        <v>0</v>
      </c>
      <c r="N48" s="133" cm="1">
        <f t="array" aca="1" ref="N48" ca="1">SUMIFS(OFFSET(Payroll!$A$6,1,$F$2-1,PayCount,1),PayEmp,$A48,PayDate,"&gt;="&amp;DATE(YEAR(N$4),MONTH(N$4),1),PayDate,"&lt;"&amp;DATE(YEAR(N$4),MONTH(N$4)+1,1))</f>
        <v>0</v>
      </c>
    </row>
    <row r="49" spans="1:14" ht="16.149999999999999" customHeight="1" x14ac:dyDescent="0.25">
      <c r="A49" s="299" t="str">
        <f ca="1">IF(OFFSET(Emp!$A$4,ROW($C49)-ROW($C$5),0,1,1)=0,"-",OFFSET(Emp!$A$4,ROW($C49)-ROW($C$5),0,1,1))</f>
        <v>-</v>
      </c>
      <c r="B49" s="299" t="str">
        <f ca="1">IF(ISNA(VLOOKUP($A49,EmpAll,COLUMN(Emp!$B$1),0))=TRUE,"-",VLOOKUP($A49,EmpAll,COLUMN(Emp!$B$1),0))</f>
        <v>-</v>
      </c>
      <c r="C49" s="133" cm="1">
        <f t="array" aca="1" ref="C49" ca="1">SUMIFS(OFFSET(Payroll!$A$6,1,$F$2-1,PayCount,1),PayEmp,$A49,PayDate,"&gt;="&amp;DATE(YEAR(C$4),MONTH(C$4),1),PayDate,"&lt;"&amp;DATE(YEAR(C$4),MONTH(C$4)+1,1))</f>
        <v>0</v>
      </c>
      <c r="D49" s="133" cm="1">
        <f t="array" aca="1" ref="D49" ca="1">SUMIFS(OFFSET(Payroll!$A$6,1,$F$2-1,PayCount,1),PayEmp,$A49,PayDate,"&gt;="&amp;DATE(YEAR(D$4),MONTH(D$4),1),PayDate,"&lt;"&amp;DATE(YEAR(D$4),MONTH(D$4)+1,1))</f>
        <v>0</v>
      </c>
      <c r="E49" s="133" cm="1">
        <f t="array" aca="1" ref="E49" ca="1">SUMIFS(OFFSET(Payroll!$A$6,1,$F$2-1,PayCount,1),PayEmp,$A49,PayDate,"&gt;="&amp;DATE(YEAR(E$4),MONTH(E$4),1),PayDate,"&lt;"&amp;DATE(YEAR(E$4),MONTH(E$4)+1,1))</f>
        <v>0</v>
      </c>
      <c r="F49" s="133" cm="1">
        <f t="array" aca="1" ref="F49" ca="1">SUMIFS(OFFSET(Payroll!$A$6,1,$F$2-1,PayCount,1),PayEmp,$A49,PayDate,"&gt;="&amp;DATE(YEAR(F$4),MONTH(F$4),1),PayDate,"&lt;"&amp;DATE(YEAR(F$4),MONTH(F$4)+1,1))</f>
        <v>0</v>
      </c>
      <c r="G49" s="133" cm="1">
        <f t="array" aca="1" ref="G49" ca="1">SUMIFS(OFFSET(Payroll!$A$6,1,$F$2-1,PayCount,1),PayEmp,$A49,PayDate,"&gt;="&amp;DATE(YEAR(G$4),MONTH(G$4),1),PayDate,"&lt;"&amp;DATE(YEAR(G$4),MONTH(G$4)+1,1))</f>
        <v>0</v>
      </c>
      <c r="H49" s="133" cm="1">
        <f t="array" aca="1" ref="H49" ca="1">SUMIFS(OFFSET(Payroll!$A$6,1,$F$2-1,PayCount,1),PayEmp,$A49,PayDate,"&gt;="&amp;DATE(YEAR(H$4),MONTH(H$4),1),PayDate,"&lt;"&amp;DATE(YEAR(H$4),MONTH(H$4)+1,1))</f>
        <v>0</v>
      </c>
      <c r="I49" s="133" cm="1">
        <f t="array" aca="1" ref="I49" ca="1">SUMIFS(OFFSET(Payroll!$A$6,1,$F$2-1,PayCount,1),PayEmp,$A49,PayDate,"&gt;="&amp;DATE(YEAR(I$4),MONTH(I$4),1),PayDate,"&lt;"&amp;DATE(YEAR(I$4),MONTH(I$4)+1,1))</f>
        <v>0</v>
      </c>
      <c r="J49" s="133" cm="1">
        <f t="array" aca="1" ref="J49" ca="1">SUMIFS(OFFSET(Payroll!$A$6,1,$F$2-1,PayCount,1),PayEmp,$A49,PayDate,"&gt;="&amp;DATE(YEAR(J$4),MONTH(J$4),1),PayDate,"&lt;"&amp;DATE(YEAR(J$4),MONTH(J$4)+1,1))</f>
        <v>0</v>
      </c>
      <c r="K49" s="133" cm="1">
        <f t="array" aca="1" ref="K49" ca="1">SUMIFS(OFFSET(Payroll!$A$6,1,$F$2-1,PayCount,1),PayEmp,$A49,PayDate,"&gt;="&amp;DATE(YEAR(K$4),MONTH(K$4),1),PayDate,"&lt;"&amp;DATE(YEAR(K$4),MONTH(K$4)+1,1))</f>
        <v>0</v>
      </c>
      <c r="L49" s="133" cm="1">
        <f t="array" aca="1" ref="L49" ca="1">SUMIFS(OFFSET(Payroll!$A$6,1,$F$2-1,PayCount,1),PayEmp,$A49,PayDate,"&gt;="&amp;DATE(YEAR(L$4),MONTH(L$4),1),PayDate,"&lt;"&amp;DATE(YEAR(L$4),MONTH(L$4)+1,1))</f>
        <v>0</v>
      </c>
      <c r="M49" s="133" cm="1">
        <f t="array" aca="1" ref="M49" ca="1">SUMIFS(OFFSET(Payroll!$A$6,1,$F$2-1,PayCount,1),PayEmp,$A49,PayDate,"&gt;="&amp;DATE(YEAR(M$4),MONTH(M$4),1),PayDate,"&lt;"&amp;DATE(YEAR(M$4),MONTH(M$4)+1,1))</f>
        <v>0</v>
      </c>
      <c r="N49" s="133" cm="1">
        <f t="array" aca="1" ref="N49" ca="1">SUMIFS(OFFSET(Payroll!$A$6,1,$F$2-1,PayCount,1),PayEmp,$A49,PayDate,"&gt;="&amp;DATE(YEAR(N$4),MONTH(N$4),1),PayDate,"&lt;"&amp;DATE(YEAR(N$4),MONTH(N$4)+1,1))</f>
        <v>0</v>
      </c>
    </row>
    <row r="50" spans="1:14" ht="16.149999999999999" customHeight="1" x14ac:dyDescent="0.25">
      <c r="A50" s="299" t="str">
        <f ca="1">IF(OFFSET(Emp!$A$4,ROW($C50)-ROW($C$5),0,1,1)=0,"-",OFFSET(Emp!$A$4,ROW($C50)-ROW($C$5),0,1,1))</f>
        <v>-</v>
      </c>
      <c r="B50" s="299" t="str">
        <f ca="1">IF(ISNA(VLOOKUP($A50,EmpAll,COLUMN(Emp!$B$1),0))=TRUE,"-",VLOOKUP($A50,EmpAll,COLUMN(Emp!$B$1),0))</f>
        <v>-</v>
      </c>
      <c r="C50" s="133" cm="1">
        <f t="array" aca="1" ref="C50" ca="1">SUMIFS(OFFSET(Payroll!$A$6,1,$F$2-1,PayCount,1),PayEmp,$A50,PayDate,"&gt;="&amp;DATE(YEAR(C$4),MONTH(C$4),1),PayDate,"&lt;"&amp;DATE(YEAR(C$4),MONTH(C$4)+1,1))</f>
        <v>0</v>
      </c>
      <c r="D50" s="133" cm="1">
        <f t="array" aca="1" ref="D50" ca="1">SUMIFS(OFFSET(Payroll!$A$6,1,$F$2-1,PayCount,1),PayEmp,$A50,PayDate,"&gt;="&amp;DATE(YEAR(D$4),MONTH(D$4),1),PayDate,"&lt;"&amp;DATE(YEAR(D$4),MONTH(D$4)+1,1))</f>
        <v>0</v>
      </c>
      <c r="E50" s="133" cm="1">
        <f t="array" aca="1" ref="E50" ca="1">SUMIFS(OFFSET(Payroll!$A$6,1,$F$2-1,PayCount,1),PayEmp,$A50,PayDate,"&gt;="&amp;DATE(YEAR(E$4),MONTH(E$4),1),PayDate,"&lt;"&amp;DATE(YEAR(E$4),MONTH(E$4)+1,1))</f>
        <v>0</v>
      </c>
      <c r="F50" s="133" cm="1">
        <f t="array" aca="1" ref="F50" ca="1">SUMIFS(OFFSET(Payroll!$A$6,1,$F$2-1,PayCount,1),PayEmp,$A50,PayDate,"&gt;="&amp;DATE(YEAR(F$4),MONTH(F$4),1),PayDate,"&lt;"&amp;DATE(YEAR(F$4),MONTH(F$4)+1,1))</f>
        <v>0</v>
      </c>
      <c r="G50" s="133" cm="1">
        <f t="array" aca="1" ref="G50" ca="1">SUMIFS(OFFSET(Payroll!$A$6,1,$F$2-1,PayCount,1),PayEmp,$A50,PayDate,"&gt;="&amp;DATE(YEAR(G$4),MONTH(G$4),1),PayDate,"&lt;"&amp;DATE(YEAR(G$4),MONTH(G$4)+1,1))</f>
        <v>0</v>
      </c>
      <c r="H50" s="133" cm="1">
        <f t="array" aca="1" ref="H50" ca="1">SUMIFS(OFFSET(Payroll!$A$6,1,$F$2-1,PayCount,1),PayEmp,$A50,PayDate,"&gt;="&amp;DATE(YEAR(H$4),MONTH(H$4),1),PayDate,"&lt;"&amp;DATE(YEAR(H$4),MONTH(H$4)+1,1))</f>
        <v>0</v>
      </c>
      <c r="I50" s="133" cm="1">
        <f t="array" aca="1" ref="I50" ca="1">SUMIFS(OFFSET(Payroll!$A$6,1,$F$2-1,PayCount,1),PayEmp,$A50,PayDate,"&gt;="&amp;DATE(YEAR(I$4),MONTH(I$4),1),PayDate,"&lt;"&amp;DATE(YEAR(I$4),MONTH(I$4)+1,1))</f>
        <v>0</v>
      </c>
      <c r="J50" s="133" cm="1">
        <f t="array" aca="1" ref="J50" ca="1">SUMIFS(OFFSET(Payroll!$A$6,1,$F$2-1,PayCount,1),PayEmp,$A50,PayDate,"&gt;="&amp;DATE(YEAR(J$4),MONTH(J$4),1),PayDate,"&lt;"&amp;DATE(YEAR(J$4),MONTH(J$4)+1,1))</f>
        <v>0</v>
      </c>
      <c r="K50" s="133" cm="1">
        <f t="array" aca="1" ref="K50" ca="1">SUMIFS(OFFSET(Payroll!$A$6,1,$F$2-1,PayCount,1),PayEmp,$A50,PayDate,"&gt;="&amp;DATE(YEAR(K$4),MONTH(K$4),1),PayDate,"&lt;"&amp;DATE(YEAR(K$4),MONTH(K$4)+1,1))</f>
        <v>0</v>
      </c>
      <c r="L50" s="133" cm="1">
        <f t="array" aca="1" ref="L50" ca="1">SUMIFS(OFFSET(Payroll!$A$6,1,$F$2-1,PayCount,1),PayEmp,$A50,PayDate,"&gt;="&amp;DATE(YEAR(L$4),MONTH(L$4),1),PayDate,"&lt;"&amp;DATE(YEAR(L$4),MONTH(L$4)+1,1))</f>
        <v>0</v>
      </c>
      <c r="M50" s="133" cm="1">
        <f t="array" aca="1" ref="M50" ca="1">SUMIFS(OFFSET(Payroll!$A$6,1,$F$2-1,PayCount,1),PayEmp,$A50,PayDate,"&gt;="&amp;DATE(YEAR(M$4),MONTH(M$4),1),PayDate,"&lt;"&amp;DATE(YEAR(M$4),MONTH(M$4)+1,1))</f>
        <v>0</v>
      </c>
      <c r="N50" s="133" cm="1">
        <f t="array" aca="1" ref="N50" ca="1">SUMIFS(OFFSET(Payroll!$A$6,1,$F$2-1,PayCount,1),PayEmp,$A50,PayDate,"&gt;="&amp;DATE(YEAR(N$4),MONTH(N$4),1),PayDate,"&lt;"&amp;DATE(YEAR(N$4),MONTH(N$4)+1,1))</f>
        <v>0</v>
      </c>
    </row>
    <row r="51" spans="1:14" ht="16.149999999999999" customHeight="1" x14ac:dyDescent="0.25">
      <c r="A51" s="299" t="str">
        <f ca="1">IF(OFFSET(Emp!$A$4,ROW($C51)-ROW($C$5),0,1,1)=0,"-",OFFSET(Emp!$A$4,ROW($C51)-ROW($C$5),0,1,1))</f>
        <v>-</v>
      </c>
      <c r="B51" s="299" t="str">
        <f ca="1">IF(ISNA(VLOOKUP($A51,EmpAll,COLUMN(Emp!$B$1),0))=TRUE,"-",VLOOKUP($A51,EmpAll,COLUMN(Emp!$B$1),0))</f>
        <v>-</v>
      </c>
      <c r="C51" s="133" cm="1">
        <f t="array" aca="1" ref="C51" ca="1">SUMIFS(OFFSET(Payroll!$A$6,1,$F$2-1,PayCount,1),PayEmp,$A51,PayDate,"&gt;="&amp;DATE(YEAR(C$4),MONTH(C$4),1),PayDate,"&lt;"&amp;DATE(YEAR(C$4),MONTH(C$4)+1,1))</f>
        <v>0</v>
      </c>
      <c r="D51" s="133" cm="1">
        <f t="array" aca="1" ref="D51" ca="1">SUMIFS(OFFSET(Payroll!$A$6,1,$F$2-1,PayCount,1),PayEmp,$A51,PayDate,"&gt;="&amp;DATE(YEAR(D$4),MONTH(D$4),1),PayDate,"&lt;"&amp;DATE(YEAR(D$4),MONTH(D$4)+1,1))</f>
        <v>0</v>
      </c>
      <c r="E51" s="133" cm="1">
        <f t="array" aca="1" ref="E51" ca="1">SUMIFS(OFFSET(Payroll!$A$6,1,$F$2-1,PayCount,1),PayEmp,$A51,PayDate,"&gt;="&amp;DATE(YEAR(E$4),MONTH(E$4),1),PayDate,"&lt;"&amp;DATE(YEAR(E$4),MONTH(E$4)+1,1))</f>
        <v>0</v>
      </c>
      <c r="F51" s="133" cm="1">
        <f t="array" aca="1" ref="F51" ca="1">SUMIFS(OFFSET(Payroll!$A$6,1,$F$2-1,PayCount,1),PayEmp,$A51,PayDate,"&gt;="&amp;DATE(YEAR(F$4),MONTH(F$4),1),PayDate,"&lt;"&amp;DATE(YEAR(F$4),MONTH(F$4)+1,1))</f>
        <v>0</v>
      </c>
      <c r="G51" s="133" cm="1">
        <f t="array" aca="1" ref="G51" ca="1">SUMIFS(OFFSET(Payroll!$A$6,1,$F$2-1,PayCount,1),PayEmp,$A51,PayDate,"&gt;="&amp;DATE(YEAR(G$4),MONTH(G$4),1),PayDate,"&lt;"&amp;DATE(YEAR(G$4),MONTH(G$4)+1,1))</f>
        <v>0</v>
      </c>
      <c r="H51" s="133" cm="1">
        <f t="array" aca="1" ref="H51" ca="1">SUMIFS(OFFSET(Payroll!$A$6,1,$F$2-1,PayCount,1),PayEmp,$A51,PayDate,"&gt;="&amp;DATE(YEAR(H$4),MONTH(H$4),1),PayDate,"&lt;"&amp;DATE(YEAR(H$4),MONTH(H$4)+1,1))</f>
        <v>0</v>
      </c>
      <c r="I51" s="133" cm="1">
        <f t="array" aca="1" ref="I51" ca="1">SUMIFS(OFFSET(Payroll!$A$6,1,$F$2-1,PayCount,1),PayEmp,$A51,PayDate,"&gt;="&amp;DATE(YEAR(I$4),MONTH(I$4),1),PayDate,"&lt;"&amp;DATE(YEAR(I$4),MONTH(I$4)+1,1))</f>
        <v>0</v>
      </c>
      <c r="J51" s="133" cm="1">
        <f t="array" aca="1" ref="J51" ca="1">SUMIFS(OFFSET(Payroll!$A$6,1,$F$2-1,PayCount,1),PayEmp,$A51,PayDate,"&gt;="&amp;DATE(YEAR(J$4),MONTH(J$4),1),PayDate,"&lt;"&amp;DATE(YEAR(J$4),MONTH(J$4)+1,1))</f>
        <v>0</v>
      </c>
      <c r="K51" s="133" cm="1">
        <f t="array" aca="1" ref="K51" ca="1">SUMIFS(OFFSET(Payroll!$A$6,1,$F$2-1,PayCount,1),PayEmp,$A51,PayDate,"&gt;="&amp;DATE(YEAR(K$4),MONTH(K$4),1),PayDate,"&lt;"&amp;DATE(YEAR(K$4),MONTH(K$4)+1,1))</f>
        <v>0</v>
      </c>
      <c r="L51" s="133" cm="1">
        <f t="array" aca="1" ref="L51" ca="1">SUMIFS(OFFSET(Payroll!$A$6,1,$F$2-1,PayCount,1),PayEmp,$A51,PayDate,"&gt;="&amp;DATE(YEAR(L$4),MONTH(L$4),1),PayDate,"&lt;"&amp;DATE(YEAR(L$4),MONTH(L$4)+1,1))</f>
        <v>0</v>
      </c>
      <c r="M51" s="133" cm="1">
        <f t="array" aca="1" ref="M51" ca="1">SUMIFS(OFFSET(Payroll!$A$6,1,$F$2-1,PayCount,1),PayEmp,$A51,PayDate,"&gt;="&amp;DATE(YEAR(M$4),MONTH(M$4),1),PayDate,"&lt;"&amp;DATE(YEAR(M$4),MONTH(M$4)+1,1))</f>
        <v>0</v>
      </c>
      <c r="N51" s="133" cm="1">
        <f t="array" aca="1" ref="N51" ca="1">SUMIFS(OFFSET(Payroll!$A$6,1,$F$2-1,PayCount,1),PayEmp,$A51,PayDate,"&gt;="&amp;DATE(YEAR(N$4),MONTH(N$4),1),PayDate,"&lt;"&amp;DATE(YEAR(N$4),MONTH(N$4)+1,1))</f>
        <v>0</v>
      </c>
    </row>
    <row r="52" spans="1:14" ht="16.149999999999999" customHeight="1" x14ac:dyDescent="0.25">
      <c r="A52" s="299" t="str">
        <f ca="1">IF(OFFSET(Emp!$A$4,ROW($C52)-ROW($C$5),0,1,1)=0,"-",OFFSET(Emp!$A$4,ROW($C52)-ROW($C$5),0,1,1))</f>
        <v>-</v>
      </c>
      <c r="B52" s="299" t="str">
        <f ca="1">IF(ISNA(VLOOKUP($A52,EmpAll,COLUMN(Emp!$B$1),0))=TRUE,"-",VLOOKUP($A52,EmpAll,COLUMN(Emp!$B$1),0))</f>
        <v>-</v>
      </c>
      <c r="C52" s="133" cm="1">
        <f t="array" aca="1" ref="C52" ca="1">SUMIFS(OFFSET(Payroll!$A$6,1,$F$2-1,PayCount,1),PayEmp,$A52,PayDate,"&gt;="&amp;DATE(YEAR(C$4),MONTH(C$4),1),PayDate,"&lt;"&amp;DATE(YEAR(C$4),MONTH(C$4)+1,1))</f>
        <v>0</v>
      </c>
      <c r="D52" s="133" cm="1">
        <f t="array" aca="1" ref="D52" ca="1">SUMIFS(OFFSET(Payroll!$A$6,1,$F$2-1,PayCount,1),PayEmp,$A52,PayDate,"&gt;="&amp;DATE(YEAR(D$4),MONTH(D$4),1),PayDate,"&lt;"&amp;DATE(YEAR(D$4),MONTH(D$4)+1,1))</f>
        <v>0</v>
      </c>
      <c r="E52" s="133" cm="1">
        <f t="array" aca="1" ref="E52" ca="1">SUMIFS(OFFSET(Payroll!$A$6,1,$F$2-1,PayCount,1),PayEmp,$A52,PayDate,"&gt;="&amp;DATE(YEAR(E$4),MONTH(E$4),1),PayDate,"&lt;"&amp;DATE(YEAR(E$4),MONTH(E$4)+1,1))</f>
        <v>0</v>
      </c>
      <c r="F52" s="133" cm="1">
        <f t="array" aca="1" ref="F52" ca="1">SUMIFS(OFFSET(Payroll!$A$6,1,$F$2-1,PayCount,1),PayEmp,$A52,PayDate,"&gt;="&amp;DATE(YEAR(F$4),MONTH(F$4),1),PayDate,"&lt;"&amp;DATE(YEAR(F$4),MONTH(F$4)+1,1))</f>
        <v>0</v>
      </c>
      <c r="G52" s="133" cm="1">
        <f t="array" aca="1" ref="G52" ca="1">SUMIFS(OFFSET(Payroll!$A$6,1,$F$2-1,PayCount,1),PayEmp,$A52,PayDate,"&gt;="&amp;DATE(YEAR(G$4),MONTH(G$4),1),PayDate,"&lt;"&amp;DATE(YEAR(G$4),MONTH(G$4)+1,1))</f>
        <v>0</v>
      </c>
      <c r="H52" s="133" cm="1">
        <f t="array" aca="1" ref="H52" ca="1">SUMIFS(OFFSET(Payroll!$A$6,1,$F$2-1,PayCount,1),PayEmp,$A52,PayDate,"&gt;="&amp;DATE(YEAR(H$4),MONTH(H$4),1),PayDate,"&lt;"&amp;DATE(YEAR(H$4),MONTH(H$4)+1,1))</f>
        <v>0</v>
      </c>
      <c r="I52" s="133" cm="1">
        <f t="array" aca="1" ref="I52" ca="1">SUMIFS(OFFSET(Payroll!$A$6,1,$F$2-1,PayCount,1),PayEmp,$A52,PayDate,"&gt;="&amp;DATE(YEAR(I$4),MONTH(I$4),1),PayDate,"&lt;"&amp;DATE(YEAR(I$4),MONTH(I$4)+1,1))</f>
        <v>0</v>
      </c>
      <c r="J52" s="133" cm="1">
        <f t="array" aca="1" ref="J52" ca="1">SUMIFS(OFFSET(Payroll!$A$6,1,$F$2-1,PayCount,1),PayEmp,$A52,PayDate,"&gt;="&amp;DATE(YEAR(J$4),MONTH(J$4),1),PayDate,"&lt;"&amp;DATE(YEAR(J$4),MONTH(J$4)+1,1))</f>
        <v>0</v>
      </c>
      <c r="K52" s="133" cm="1">
        <f t="array" aca="1" ref="K52" ca="1">SUMIFS(OFFSET(Payroll!$A$6,1,$F$2-1,PayCount,1),PayEmp,$A52,PayDate,"&gt;="&amp;DATE(YEAR(K$4),MONTH(K$4),1),PayDate,"&lt;"&amp;DATE(YEAR(K$4),MONTH(K$4)+1,1))</f>
        <v>0</v>
      </c>
      <c r="L52" s="133" cm="1">
        <f t="array" aca="1" ref="L52" ca="1">SUMIFS(OFFSET(Payroll!$A$6,1,$F$2-1,PayCount,1),PayEmp,$A52,PayDate,"&gt;="&amp;DATE(YEAR(L$4),MONTH(L$4),1),PayDate,"&lt;"&amp;DATE(YEAR(L$4),MONTH(L$4)+1,1))</f>
        <v>0</v>
      </c>
      <c r="M52" s="133" cm="1">
        <f t="array" aca="1" ref="M52" ca="1">SUMIFS(OFFSET(Payroll!$A$6,1,$F$2-1,PayCount,1),PayEmp,$A52,PayDate,"&gt;="&amp;DATE(YEAR(M$4),MONTH(M$4),1),PayDate,"&lt;"&amp;DATE(YEAR(M$4),MONTH(M$4)+1,1))</f>
        <v>0</v>
      </c>
      <c r="N52" s="133" cm="1">
        <f t="array" aca="1" ref="N52" ca="1">SUMIFS(OFFSET(Payroll!$A$6,1,$F$2-1,PayCount,1),PayEmp,$A52,PayDate,"&gt;="&amp;DATE(YEAR(N$4),MONTH(N$4),1),PayDate,"&lt;"&amp;DATE(YEAR(N$4),MONTH(N$4)+1,1))</f>
        <v>0</v>
      </c>
    </row>
    <row r="53" spans="1:14" ht="16.149999999999999" customHeight="1" x14ac:dyDescent="0.25">
      <c r="A53" s="299" t="str">
        <f ca="1">IF(OFFSET(Emp!$A$4,ROW($C53)-ROW($C$5),0,1,1)=0,"-",OFFSET(Emp!$A$4,ROW($C53)-ROW($C$5),0,1,1))</f>
        <v>-</v>
      </c>
      <c r="B53" s="299" t="str">
        <f ca="1">IF(ISNA(VLOOKUP($A53,EmpAll,COLUMN(Emp!$B$1),0))=TRUE,"-",VLOOKUP($A53,EmpAll,COLUMN(Emp!$B$1),0))</f>
        <v>-</v>
      </c>
      <c r="C53" s="133" cm="1">
        <f t="array" aca="1" ref="C53" ca="1">SUMIFS(OFFSET(Payroll!$A$6,1,$F$2-1,PayCount,1),PayEmp,$A53,PayDate,"&gt;="&amp;DATE(YEAR(C$4),MONTH(C$4),1),PayDate,"&lt;"&amp;DATE(YEAR(C$4),MONTH(C$4)+1,1))</f>
        <v>0</v>
      </c>
      <c r="D53" s="133" cm="1">
        <f t="array" aca="1" ref="D53" ca="1">SUMIFS(OFFSET(Payroll!$A$6,1,$F$2-1,PayCount,1),PayEmp,$A53,PayDate,"&gt;="&amp;DATE(YEAR(D$4),MONTH(D$4),1),PayDate,"&lt;"&amp;DATE(YEAR(D$4),MONTH(D$4)+1,1))</f>
        <v>0</v>
      </c>
      <c r="E53" s="133" cm="1">
        <f t="array" aca="1" ref="E53" ca="1">SUMIFS(OFFSET(Payroll!$A$6,1,$F$2-1,PayCount,1),PayEmp,$A53,PayDate,"&gt;="&amp;DATE(YEAR(E$4),MONTH(E$4),1),PayDate,"&lt;"&amp;DATE(YEAR(E$4),MONTH(E$4)+1,1))</f>
        <v>0</v>
      </c>
      <c r="F53" s="133" cm="1">
        <f t="array" aca="1" ref="F53" ca="1">SUMIFS(OFFSET(Payroll!$A$6,1,$F$2-1,PayCount,1),PayEmp,$A53,PayDate,"&gt;="&amp;DATE(YEAR(F$4),MONTH(F$4),1),PayDate,"&lt;"&amp;DATE(YEAR(F$4),MONTH(F$4)+1,1))</f>
        <v>0</v>
      </c>
      <c r="G53" s="133" cm="1">
        <f t="array" aca="1" ref="G53" ca="1">SUMIFS(OFFSET(Payroll!$A$6,1,$F$2-1,PayCount,1),PayEmp,$A53,PayDate,"&gt;="&amp;DATE(YEAR(G$4),MONTH(G$4),1),PayDate,"&lt;"&amp;DATE(YEAR(G$4),MONTH(G$4)+1,1))</f>
        <v>0</v>
      </c>
      <c r="H53" s="133" cm="1">
        <f t="array" aca="1" ref="H53" ca="1">SUMIFS(OFFSET(Payroll!$A$6,1,$F$2-1,PayCount,1),PayEmp,$A53,PayDate,"&gt;="&amp;DATE(YEAR(H$4),MONTH(H$4),1),PayDate,"&lt;"&amp;DATE(YEAR(H$4),MONTH(H$4)+1,1))</f>
        <v>0</v>
      </c>
      <c r="I53" s="133" cm="1">
        <f t="array" aca="1" ref="I53" ca="1">SUMIFS(OFFSET(Payroll!$A$6,1,$F$2-1,PayCount,1),PayEmp,$A53,PayDate,"&gt;="&amp;DATE(YEAR(I$4),MONTH(I$4),1),PayDate,"&lt;"&amp;DATE(YEAR(I$4),MONTH(I$4)+1,1))</f>
        <v>0</v>
      </c>
      <c r="J53" s="133" cm="1">
        <f t="array" aca="1" ref="J53" ca="1">SUMIFS(OFFSET(Payroll!$A$6,1,$F$2-1,PayCount,1),PayEmp,$A53,PayDate,"&gt;="&amp;DATE(YEAR(J$4),MONTH(J$4),1),PayDate,"&lt;"&amp;DATE(YEAR(J$4),MONTH(J$4)+1,1))</f>
        <v>0</v>
      </c>
      <c r="K53" s="133" cm="1">
        <f t="array" aca="1" ref="K53" ca="1">SUMIFS(OFFSET(Payroll!$A$6,1,$F$2-1,PayCount,1),PayEmp,$A53,PayDate,"&gt;="&amp;DATE(YEAR(K$4),MONTH(K$4),1),PayDate,"&lt;"&amp;DATE(YEAR(K$4),MONTH(K$4)+1,1))</f>
        <v>0</v>
      </c>
      <c r="L53" s="133" cm="1">
        <f t="array" aca="1" ref="L53" ca="1">SUMIFS(OFFSET(Payroll!$A$6,1,$F$2-1,PayCount,1),PayEmp,$A53,PayDate,"&gt;="&amp;DATE(YEAR(L$4),MONTH(L$4),1),PayDate,"&lt;"&amp;DATE(YEAR(L$4),MONTH(L$4)+1,1))</f>
        <v>0</v>
      </c>
      <c r="M53" s="133" cm="1">
        <f t="array" aca="1" ref="M53" ca="1">SUMIFS(OFFSET(Payroll!$A$6,1,$F$2-1,PayCount,1),PayEmp,$A53,PayDate,"&gt;="&amp;DATE(YEAR(M$4),MONTH(M$4),1),PayDate,"&lt;"&amp;DATE(YEAR(M$4),MONTH(M$4)+1,1))</f>
        <v>0</v>
      </c>
      <c r="N53" s="133" cm="1">
        <f t="array" aca="1" ref="N53" ca="1">SUMIFS(OFFSET(Payroll!$A$6,1,$F$2-1,PayCount,1),PayEmp,$A53,PayDate,"&gt;="&amp;DATE(YEAR(N$4),MONTH(N$4),1),PayDate,"&lt;"&amp;DATE(YEAR(N$4),MONTH(N$4)+1,1))</f>
        <v>0</v>
      </c>
    </row>
    <row r="54" spans="1:14" ht="16.149999999999999" customHeight="1" x14ac:dyDescent="0.25">
      <c r="A54" s="299" t="str">
        <f ca="1">IF(OFFSET(Emp!$A$4,ROW($C54)-ROW($C$5),0,1,1)=0,"-",OFFSET(Emp!$A$4,ROW($C54)-ROW($C$5),0,1,1))</f>
        <v>-</v>
      </c>
      <c r="B54" s="299" t="str">
        <f ca="1">IF(ISNA(VLOOKUP($A54,EmpAll,COLUMN(Emp!$B$1),0))=TRUE,"-",VLOOKUP($A54,EmpAll,COLUMN(Emp!$B$1),0))</f>
        <v>-</v>
      </c>
      <c r="C54" s="133" cm="1">
        <f t="array" aca="1" ref="C54" ca="1">SUMIFS(OFFSET(Payroll!$A$6,1,$F$2-1,PayCount,1),PayEmp,$A54,PayDate,"&gt;="&amp;DATE(YEAR(C$4),MONTH(C$4),1),PayDate,"&lt;"&amp;DATE(YEAR(C$4),MONTH(C$4)+1,1))</f>
        <v>0</v>
      </c>
      <c r="D54" s="133" cm="1">
        <f t="array" aca="1" ref="D54" ca="1">SUMIFS(OFFSET(Payroll!$A$6,1,$F$2-1,PayCount,1),PayEmp,$A54,PayDate,"&gt;="&amp;DATE(YEAR(D$4),MONTH(D$4),1),PayDate,"&lt;"&amp;DATE(YEAR(D$4),MONTH(D$4)+1,1))</f>
        <v>0</v>
      </c>
      <c r="E54" s="133" cm="1">
        <f t="array" aca="1" ref="E54" ca="1">SUMIFS(OFFSET(Payroll!$A$6,1,$F$2-1,PayCount,1),PayEmp,$A54,PayDate,"&gt;="&amp;DATE(YEAR(E$4),MONTH(E$4),1),PayDate,"&lt;"&amp;DATE(YEAR(E$4),MONTH(E$4)+1,1))</f>
        <v>0</v>
      </c>
      <c r="F54" s="133" cm="1">
        <f t="array" aca="1" ref="F54" ca="1">SUMIFS(OFFSET(Payroll!$A$6,1,$F$2-1,PayCount,1),PayEmp,$A54,PayDate,"&gt;="&amp;DATE(YEAR(F$4),MONTH(F$4),1),PayDate,"&lt;"&amp;DATE(YEAR(F$4),MONTH(F$4)+1,1))</f>
        <v>0</v>
      </c>
      <c r="G54" s="133" cm="1">
        <f t="array" aca="1" ref="G54" ca="1">SUMIFS(OFFSET(Payroll!$A$6,1,$F$2-1,PayCount,1),PayEmp,$A54,PayDate,"&gt;="&amp;DATE(YEAR(G$4),MONTH(G$4),1),PayDate,"&lt;"&amp;DATE(YEAR(G$4),MONTH(G$4)+1,1))</f>
        <v>0</v>
      </c>
      <c r="H54" s="133" cm="1">
        <f t="array" aca="1" ref="H54" ca="1">SUMIFS(OFFSET(Payroll!$A$6,1,$F$2-1,PayCount,1),PayEmp,$A54,PayDate,"&gt;="&amp;DATE(YEAR(H$4),MONTH(H$4),1),PayDate,"&lt;"&amp;DATE(YEAR(H$4),MONTH(H$4)+1,1))</f>
        <v>0</v>
      </c>
      <c r="I54" s="133" cm="1">
        <f t="array" aca="1" ref="I54" ca="1">SUMIFS(OFFSET(Payroll!$A$6,1,$F$2-1,PayCount,1),PayEmp,$A54,PayDate,"&gt;="&amp;DATE(YEAR(I$4),MONTH(I$4),1),PayDate,"&lt;"&amp;DATE(YEAR(I$4),MONTH(I$4)+1,1))</f>
        <v>0</v>
      </c>
      <c r="J54" s="133" cm="1">
        <f t="array" aca="1" ref="J54" ca="1">SUMIFS(OFFSET(Payroll!$A$6,1,$F$2-1,PayCount,1),PayEmp,$A54,PayDate,"&gt;="&amp;DATE(YEAR(J$4),MONTH(J$4),1),PayDate,"&lt;"&amp;DATE(YEAR(J$4),MONTH(J$4)+1,1))</f>
        <v>0</v>
      </c>
      <c r="K54" s="133" cm="1">
        <f t="array" aca="1" ref="K54" ca="1">SUMIFS(OFFSET(Payroll!$A$6,1,$F$2-1,PayCount,1),PayEmp,$A54,PayDate,"&gt;="&amp;DATE(YEAR(K$4),MONTH(K$4),1),PayDate,"&lt;"&amp;DATE(YEAR(K$4),MONTH(K$4)+1,1))</f>
        <v>0</v>
      </c>
      <c r="L54" s="133" cm="1">
        <f t="array" aca="1" ref="L54" ca="1">SUMIFS(OFFSET(Payroll!$A$6,1,$F$2-1,PayCount,1),PayEmp,$A54,PayDate,"&gt;="&amp;DATE(YEAR(L$4),MONTH(L$4),1),PayDate,"&lt;"&amp;DATE(YEAR(L$4),MONTH(L$4)+1,1))</f>
        <v>0</v>
      </c>
      <c r="M54" s="133" cm="1">
        <f t="array" aca="1" ref="M54" ca="1">SUMIFS(OFFSET(Payroll!$A$6,1,$F$2-1,PayCount,1),PayEmp,$A54,PayDate,"&gt;="&amp;DATE(YEAR(M$4),MONTH(M$4),1),PayDate,"&lt;"&amp;DATE(YEAR(M$4),MONTH(M$4)+1,1))</f>
        <v>0</v>
      </c>
      <c r="N54" s="133" cm="1">
        <f t="array" aca="1" ref="N54" ca="1">SUMIFS(OFFSET(Payroll!$A$6,1,$F$2-1,PayCount,1),PayEmp,$A54,PayDate,"&gt;="&amp;DATE(YEAR(N$4),MONTH(N$4),1),PayDate,"&lt;"&amp;DATE(YEAR(N$4),MONTH(N$4)+1,1))</f>
        <v>0</v>
      </c>
    </row>
    <row r="55" spans="1:14" ht="16.149999999999999" customHeight="1" x14ac:dyDescent="0.25">
      <c r="A55" s="299" t="str">
        <f ca="1">IF(OFFSET(Emp!$A$4,ROW($C55)-ROW($C$5),0,1,1)=0,"-",OFFSET(Emp!$A$4,ROW($C55)-ROW($C$5),0,1,1))</f>
        <v>-</v>
      </c>
      <c r="B55" s="299" t="str">
        <f ca="1">IF(ISNA(VLOOKUP($A55,EmpAll,COLUMN(Emp!$B$1),0))=TRUE,"-",VLOOKUP($A55,EmpAll,COLUMN(Emp!$B$1),0))</f>
        <v>-</v>
      </c>
      <c r="C55" s="133" cm="1">
        <f t="array" aca="1" ref="C55" ca="1">SUMIFS(OFFSET(Payroll!$A$6,1,$F$2-1,PayCount,1),PayEmp,$A55,PayDate,"&gt;="&amp;DATE(YEAR(C$4),MONTH(C$4),1),PayDate,"&lt;"&amp;DATE(YEAR(C$4),MONTH(C$4)+1,1))</f>
        <v>0</v>
      </c>
      <c r="D55" s="133" cm="1">
        <f t="array" aca="1" ref="D55" ca="1">SUMIFS(OFFSET(Payroll!$A$6,1,$F$2-1,PayCount,1),PayEmp,$A55,PayDate,"&gt;="&amp;DATE(YEAR(D$4),MONTH(D$4),1),PayDate,"&lt;"&amp;DATE(YEAR(D$4),MONTH(D$4)+1,1))</f>
        <v>0</v>
      </c>
      <c r="E55" s="133" cm="1">
        <f t="array" aca="1" ref="E55" ca="1">SUMIFS(OFFSET(Payroll!$A$6,1,$F$2-1,PayCount,1),PayEmp,$A55,PayDate,"&gt;="&amp;DATE(YEAR(E$4),MONTH(E$4),1),PayDate,"&lt;"&amp;DATE(YEAR(E$4),MONTH(E$4)+1,1))</f>
        <v>0</v>
      </c>
      <c r="F55" s="133" cm="1">
        <f t="array" aca="1" ref="F55" ca="1">SUMIFS(OFFSET(Payroll!$A$6,1,$F$2-1,PayCount,1),PayEmp,$A55,PayDate,"&gt;="&amp;DATE(YEAR(F$4),MONTH(F$4),1),PayDate,"&lt;"&amp;DATE(YEAR(F$4),MONTH(F$4)+1,1))</f>
        <v>0</v>
      </c>
      <c r="G55" s="133" cm="1">
        <f t="array" aca="1" ref="G55" ca="1">SUMIFS(OFFSET(Payroll!$A$6,1,$F$2-1,PayCount,1),PayEmp,$A55,PayDate,"&gt;="&amp;DATE(YEAR(G$4),MONTH(G$4),1),PayDate,"&lt;"&amp;DATE(YEAR(G$4),MONTH(G$4)+1,1))</f>
        <v>0</v>
      </c>
      <c r="H55" s="133" cm="1">
        <f t="array" aca="1" ref="H55" ca="1">SUMIFS(OFFSET(Payroll!$A$6,1,$F$2-1,PayCount,1),PayEmp,$A55,PayDate,"&gt;="&amp;DATE(YEAR(H$4),MONTH(H$4),1),PayDate,"&lt;"&amp;DATE(YEAR(H$4),MONTH(H$4)+1,1))</f>
        <v>0</v>
      </c>
      <c r="I55" s="133" cm="1">
        <f t="array" aca="1" ref="I55" ca="1">SUMIFS(OFFSET(Payroll!$A$6,1,$F$2-1,PayCount,1),PayEmp,$A55,PayDate,"&gt;="&amp;DATE(YEAR(I$4),MONTH(I$4),1),PayDate,"&lt;"&amp;DATE(YEAR(I$4),MONTH(I$4)+1,1))</f>
        <v>0</v>
      </c>
      <c r="J55" s="133" cm="1">
        <f t="array" aca="1" ref="J55" ca="1">SUMIFS(OFFSET(Payroll!$A$6,1,$F$2-1,PayCount,1),PayEmp,$A55,PayDate,"&gt;="&amp;DATE(YEAR(J$4),MONTH(J$4),1),PayDate,"&lt;"&amp;DATE(YEAR(J$4),MONTH(J$4)+1,1))</f>
        <v>0</v>
      </c>
      <c r="K55" s="133" cm="1">
        <f t="array" aca="1" ref="K55" ca="1">SUMIFS(OFFSET(Payroll!$A$6,1,$F$2-1,PayCount,1),PayEmp,$A55,PayDate,"&gt;="&amp;DATE(YEAR(K$4),MONTH(K$4),1),PayDate,"&lt;"&amp;DATE(YEAR(K$4),MONTH(K$4)+1,1))</f>
        <v>0</v>
      </c>
      <c r="L55" s="133" cm="1">
        <f t="array" aca="1" ref="L55" ca="1">SUMIFS(OFFSET(Payroll!$A$6,1,$F$2-1,PayCount,1),PayEmp,$A55,PayDate,"&gt;="&amp;DATE(YEAR(L$4),MONTH(L$4),1),PayDate,"&lt;"&amp;DATE(YEAR(L$4),MONTH(L$4)+1,1))</f>
        <v>0</v>
      </c>
      <c r="M55" s="133" cm="1">
        <f t="array" aca="1" ref="M55" ca="1">SUMIFS(OFFSET(Payroll!$A$6,1,$F$2-1,PayCount,1),PayEmp,$A55,PayDate,"&gt;="&amp;DATE(YEAR(M$4),MONTH(M$4),1),PayDate,"&lt;"&amp;DATE(YEAR(M$4),MONTH(M$4)+1,1))</f>
        <v>0</v>
      </c>
      <c r="N55" s="133" cm="1">
        <f t="array" aca="1" ref="N55" ca="1">SUMIFS(OFFSET(Payroll!$A$6,1,$F$2-1,PayCount,1),PayEmp,$A55,PayDate,"&gt;="&amp;DATE(YEAR(N$4),MONTH(N$4),1),PayDate,"&lt;"&amp;DATE(YEAR(N$4),MONTH(N$4)+1,1))</f>
        <v>0</v>
      </c>
    </row>
  </sheetData>
  <sheetProtection formatCells="0" formatColumns="0" formatRows="0"/>
  <mergeCells count="2">
    <mergeCell ref="C1:D1"/>
    <mergeCell ref="C2:D2"/>
  </mergeCells>
  <dataValidations count="1">
    <dataValidation type="list" allowBlank="1" showInputMessage="1" showErrorMessage="1" errorTitle="Invalid Data" error="Select a valid item from the list box." sqref="C2:D2" xr:uid="{00000000-0002-0000-0A00-000000000000}">
      <formula1>MonthMeasureList</formula1>
    </dataValidation>
  </dataValidations>
  <printOptions horizontalCentered="1"/>
  <pageMargins left="0.59055118110236227" right="0.59055118110236227" top="0.59055118110236227" bottom="0.59055118110236227" header="0.39370078740157483" footer="0.39370078740157483"/>
  <pageSetup paperSize="9" scale="57" orientation="landscape" r:id="rId1"/>
  <headerFooter alignWithMargins="0">
    <oddFooter>&amp;C&amp;9Page &amp;P of &amp;N</oddFooter>
  </headerFooter>
  <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pageSetUpPr fitToPage="1"/>
  </sheetPr>
  <dimension ref="A1:R20"/>
  <sheetViews>
    <sheetView zoomScale="95" zoomScaleNormal="95" zoomScaleSheetLayoutView="100" workbookViewId="0">
      <pane ySplit="5" topLeftCell="A6" activePane="bottomLeft" state="frozen"/>
      <selection pane="bottomLeft" activeCell="A5" sqref="A5"/>
    </sheetView>
  </sheetViews>
  <sheetFormatPr defaultColWidth="9.140625" defaultRowHeight="16.149999999999999" customHeight="1" x14ac:dyDescent="0.25"/>
  <cols>
    <col min="1" max="1" width="12.7109375" style="10" customWidth="1"/>
    <col min="2" max="2" width="25.7109375" style="139" customWidth="1"/>
    <col min="3" max="3" width="10.7109375" style="145" customWidth="1"/>
    <col min="4" max="14" width="13.7109375" style="139" customWidth="1"/>
    <col min="15" max="15" width="13.7109375" style="2" customWidth="1"/>
    <col min="16" max="16" width="15.7109375" style="139" customWidth="1"/>
    <col min="17" max="17" width="15.7109375" style="2" customWidth="1"/>
    <col min="18" max="16384" width="9.140625" style="2"/>
  </cols>
  <sheetData>
    <row r="1" spans="1:18" ht="16.149999999999999" customHeight="1" x14ac:dyDescent="0.25">
      <c r="A1" s="302" t="str">
        <f>Setup!$C$4</f>
        <v>Example (Pty) Limited</v>
      </c>
      <c r="D1" s="351" t="s">
        <v>143</v>
      </c>
      <c r="E1" s="352"/>
    </row>
    <row r="2" spans="1:18" ht="16.149999999999999" customHeight="1" x14ac:dyDescent="0.25">
      <c r="A2" s="6" t="s">
        <v>174</v>
      </c>
      <c r="B2" s="199"/>
      <c r="C2" s="101"/>
      <c r="D2" s="353" t="s">
        <v>145</v>
      </c>
      <c r="E2" s="354"/>
      <c r="F2" s="287" t="str">
        <f>IF(ISBLANK($D$2),"Cost to Company",$D$2)</f>
        <v>Cost to Company</v>
      </c>
      <c r="G2" s="288">
        <f>IF(ISNA(VLOOKUP($F$2,MonthMeasure,COLUMN(Setup!$C$110)-1,0)),Setup!$C$111,VLOOKUP($F$2,MonthMeasure,COLUMN(Setup!$C$110)-1,0))</f>
        <v>25</v>
      </c>
      <c r="H2" s="143"/>
      <c r="I2" s="143"/>
      <c r="J2" s="143"/>
      <c r="K2" s="143"/>
      <c r="L2" s="143"/>
      <c r="M2" s="143"/>
      <c r="N2" s="143"/>
    </row>
    <row r="3" spans="1:18" s="152" customFormat="1" ht="16.149999999999999" customHeight="1" x14ac:dyDescent="0.2">
      <c r="A3" s="7" t="s">
        <v>168</v>
      </c>
      <c r="B3" s="289"/>
      <c r="C3" s="300"/>
      <c r="D3" s="141" cm="1">
        <f t="array" aca="1" ref="D3" ca="1">SUBTOTAL(109,OFFSET(D$5,1,0,MonthCount,1))</f>
        <v>395984.48</v>
      </c>
      <c r="E3" s="141" cm="1">
        <f t="array" aca="1" ref="E3" ca="1">SUBTOTAL(109,OFFSET(E$5,1,0,MonthCount,1))</f>
        <v>392330.23999999999</v>
      </c>
      <c r="F3" s="141" cm="1">
        <f t="array" aca="1" ref="F3" ca="1">SUBTOTAL(109,OFFSET(F$5,1,0,MonthCount,1))</f>
        <v>392321.36</v>
      </c>
      <c r="G3" s="141" cm="1">
        <f t="array" aca="1" ref="G3" ca="1">SUBTOTAL(109,OFFSET(G$5,1,0,MonthCount,1))</f>
        <v>396512.86</v>
      </c>
      <c r="H3" s="141" cm="1">
        <f t="array" aca="1" ref="H3" ca="1">SUBTOTAL(109,OFFSET(H$5,1,0,MonthCount,1))</f>
        <v>396512.86</v>
      </c>
      <c r="I3" s="141" cm="1">
        <f t="array" aca="1" ref="I3" ca="1">SUBTOTAL(109,OFFSET(I$5,1,0,MonthCount,1))</f>
        <v>396512.86</v>
      </c>
      <c r="J3" s="141" cm="1">
        <f t="array" aca="1" ref="J3" ca="1">SUBTOTAL(109,OFFSET(J$5,1,0,MonthCount,1))</f>
        <v>406512.86</v>
      </c>
      <c r="K3" s="141" cm="1">
        <f t="array" aca="1" ref="K3" ca="1">SUBTOTAL(109,OFFSET(K$5,1,0,MonthCount,1))</f>
        <v>396512.86</v>
      </c>
      <c r="L3" s="141" cm="1">
        <f t="array" aca="1" ref="L3" ca="1">SUBTOTAL(109,OFFSET(L$5,1,0,MonthCount,1))</f>
        <v>396512.86</v>
      </c>
      <c r="M3" s="141" cm="1">
        <f t="array" aca="1" ref="M3" ca="1">SUBTOTAL(109,OFFSET(M$5,1,0,MonthCount,1))</f>
        <v>763052.86</v>
      </c>
      <c r="N3" s="141" cm="1">
        <f t="array" aca="1" ref="N3" ca="1">SUBTOTAL(109,OFFSET(N$5,1,0,MonthCount,1))</f>
        <v>436361.36</v>
      </c>
      <c r="O3" s="141" cm="1">
        <f t="array" aca="1" ref="O3" ca="1">SUBTOTAL(109,OFFSET(O$5,1,0,MonthCount,1))</f>
        <v>436361.36</v>
      </c>
    </row>
    <row r="4" spans="1:18" s="292" customFormat="1" ht="16.149999999999999" customHeight="1" x14ac:dyDescent="0.2">
      <c r="A4" s="6"/>
      <c r="B4" s="290"/>
      <c r="C4" s="116"/>
      <c r="D4" s="291">
        <f t="shared" ref="D4:M4" ca="1" si="0">DATE(YEAR(E$4),MONTH(E$4),0)</f>
        <v>45016</v>
      </c>
      <c r="E4" s="291">
        <f t="shared" ca="1" si="0"/>
        <v>45046</v>
      </c>
      <c r="F4" s="291">
        <f t="shared" ca="1" si="0"/>
        <v>45077</v>
      </c>
      <c r="G4" s="291">
        <f t="shared" ca="1" si="0"/>
        <v>45107</v>
      </c>
      <c r="H4" s="291">
        <f t="shared" ca="1" si="0"/>
        <v>45138</v>
      </c>
      <c r="I4" s="291">
        <f t="shared" ca="1" si="0"/>
        <v>45169</v>
      </c>
      <c r="J4" s="291">
        <f t="shared" ca="1" si="0"/>
        <v>45199</v>
      </c>
      <c r="K4" s="291">
        <f t="shared" ca="1" si="0"/>
        <v>45230</v>
      </c>
      <c r="L4" s="291">
        <f t="shared" ca="1" si="0"/>
        <v>45260</v>
      </c>
      <c r="M4" s="291">
        <f t="shared" ca="1" si="0"/>
        <v>45291</v>
      </c>
      <c r="N4" s="291">
        <f ca="1">DATE(YEAR(O$4),MONTH(O$4),0)</f>
        <v>45322</v>
      </c>
      <c r="O4" s="291">
        <f ca="1">Setup!$D$12</f>
        <v>45351</v>
      </c>
      <c r="Q4" s="293"/>
    </row>
    <row r="5" spans="1:18" s="296" customFormat="1" ht="25.5" x14ac:dyDescent="0.25">
      <c r="A5" s="294" t="s">
        <v>175</v>
      </c>
      <c r="B5" s="294" t="s">
        <v>176</v>
      </c>
      <c r="C5" s="301" t="s">
        <v>177</v>
      </c>
      <c r="D5" s="295" t="s">
        <v>131</v>
      </c>
      <c r="E5" s="295" t="s">
        <v>132</v>
      </c>
      <c r="F5" s="295" t="s">
        <v>133</v>
      </c>
      <c r="G5" s="295" t="s">
        <v>134</v>
      </c>
      <c r="H5" s="295" t="s">
        <v>135</v>
      </c>
      <c r="I5" s="295" t="s">
        <v>136</v>
      </c>
      <c r="J5" s="295" t="s">
        <v>137</v>
      </c>
      <c r="K5" s="295" t="s">
        <v>138</v>
      </c>
      <c r="L5" s="295" t="s">
        <v>139</v>
      </c>
      <c r="M5" s="295" t="s">
        <v>140</v>
      </c>
      <c r="N5" s="295" t="s">
        <v>141</v>
      </c>
      <c r="O5" s="295" t="s">
        <v>142</v>
      </c>
      <c r="Q5" s="297"/>
    </row>
    <row r="6" spans="1:18" ht="16.149999999999999" customHeight="1" x14ac:dyDescent="0.25">
      <c r="A6" s="9" t="str">
        <f ca="1">IF(ROW($D6)-ROW($D$6)+1&gt;DeptCount,"-",OFFSET(Setup!$A$89,ROW($D6)-ROW($D$5),0,1,1))</f>
        <v>M</v>
      </c>
      <c r="B6" s="9" t="str">
        <f ca="1">IF(ISNA(VLOOKUP($A6,DeptAll,COLUMN(Emp!$B$1),0))=TRUE,"-",VLOOKUP($A6,DeptAll,COLUMN(Emp!$B$1),0))</f>
        <v>Management</v>
      </c>
      <c r="C6" s="130" t="str">
        <f ca="1">IF(ISNA(VLOOKUP($A6,DeptAll,COLUMN(Emp!$E$1),0))=TRUE,"-",VLOOKUP($A6,DeptAll,COLUMN(Emp!$E$1),0))</f>
        <v>IS-330</v>
      </c>
      <c r="D6" s="133" cm="1">
        <f t="array" aca="1" ref="D6" ca="1">SUMIFS(OFFSET(Payroll!$A$6,1,$G$2-1,PayCount,1),PayDept,$A6,PayDate,"&gt;="&amp;DATE(YEAR(D$4),MONTH(D$4),1),PayDate,"&lt;"&amp;DATE(YEAR(D$4),MONTH(D$4)+1,1))</f>
        <v>273054.24</v>
      </c>
      <c r="E6" s="133" cm="1">
        <f t="array" aca="1" ref="E6" ca="1">SUMIFS(OFFSET(Payroll!$A$6,1,$G$2-1,PayCount,1),PayDept,$A6,PayDate,"&gt;="&amp;DATE(YEAR(E$4),MONTH(E$4),1),PayDate,"&lt;"&amp;DATE(YEAR(E$4),MONTH(E$4)+1,1))</f>
        <v>273054.24</v>
      </c>
      <c r="F6" s="133" cm="1">
        <f t="array" aca="1" ref="F6" ca="1">SUMIFS(OFFSET(Payroll!$A$6,1,$G$2-1,PayCount,1),PayDept,$A6,PayDate,"&gt;="&amp;DATE(YEAR(F$4),MONTH(F$4),1),PayDate,"&lt;"&amp;DATE(YEAR(F$4),MONTH(F$4)+1,1))</f>
        <v>273054.24</v>
      </c>
      <c r="G6" s="133" cm="1">
        <f t="array" aca="1" ref="G6" ca="1">SUMIFS(OFFSET(Payroll!$A$6,1,$G$2-1,PayCount,1),PayDept,$A6,PayDate,"&gt;="&amp;DATE(YEAR(G$4),MONTH(G$4),1),PayDate,"&lt;"&amp;DATE(YEAR(G$4),MONTH(G$4)+1,1))</f>
        <v>273054.24</v>
      </c>
      <c r="H6" s="133" cm="1">
        <f t="array" aca="1" ref="H6" ca="1">SUMIFS(OFFSET(Payroll!$A$6,1,$G$2-1,PayCount,1),PayDept,$A6,PayDate,"&gt;="&amp;DATE(YEAR(H$4),MONTH(H$4),1),PayDate,"&lt;"&amp;DATE(YEAR(H$4),MONTH(H$4)+1,1))</f>
        <v>273054.24</v>
      </c>
      <c r="I6" s="133" cm="1">
        <f t="array" aca="1" ref="I6" ca="1">SUMIFS(OFFSET(Payroll!$A$6,1,$G$2-1,PayCount,1),PayDept,$A6,PayDate,"&gt;="&amp;DATE(YEAR(I$4),MONTH(I$4),1),PayDate,"&lt;"&amp;DATE(YEAR(I$4),MONTH(I$4)+1,1))</f>
        <v>273054.24</v>
      </c>
      <c r="J6" s="133" cm="1">
        <f t="array" aca="1" ref="J6" ca="1">SUMIFS(OFFSET(Payroll!$A$6,1,$G$2-1,PayCount,1),PayDept,$A6,PayDate,"&gt;="&amp;DATE(YEAR(J$4),MONTH(J$4),1),PayDate,"&lt;"&amp;DATE(YEAR(J$4),MONTH(J$4)+1,1))</f>
        <v>273054.24</v>
      </c>
      <c r="K6" s="133" cm="1">
        <f t="array" aca="1" ref="K6" ca="1">SUMIFS(OFFSET(Payroll!$A$6,1,$G$2-1,PayCount,1),PayDept,$A6,PayDate,"&gt;="&amp;DATE(YEAR(K$4),MONTH(K$4),1),PayDate,"&lt;"&amp;DATE(YEAR(K$4),MONTH(K$4)+1,1))</f>
        <v>273054.24</v>
      </c>
      <c r="L6" s="133" cm="1">
        <f t="array" aca="1" ref="L6" ca="1">SUMIFS(OFFSET(Payroll!$A$6,1,$G$2-1,PayCount,1),PayDept,$A6,PayDate,"&gt;="&amp;DATE(YEAR(L$4),MONTH(L$4),1),PayDate,"&lt;"&amp;DATE(YEAR(L$4),MONTH(L$4)+1,1))</f>
        <v>273054.24</v>
      </c>
      <c r="M6" s="133" cm="1">
        <f t="array" aca="1" ref="M6" ca="1">SUMIFS(OFFSET(Payroll!$A$6,1,$G$2-1,PayCount,1),PayDept,$A6,PayDate,"&gt;="&amp;DATE(YEAR(M$4),MONTH(M$4),1),PayDate,"&lt;"&amp;DATE(YEAR(M$4),MONTH(M$4)+1,1))</f>
        <v>545754.24</v>
      </c>
      <c r="N6" s="133" cm="1">
        <f t="array" aca="1" ref="N6" ca="1">SUMIFS(OFFSET(Payroll!$A$6,1,$G$2-1,PayCount,1),PayDept,$A6,PayDate,"&gt;="&amp;DATE(YEAR(N$4),MONTH(N$4),1),PayDate,"&lt;"&amp;DATE(YEAR(N$4),MONTH(N$4)+1,1))</f>
        <v>300324.24</v>
      </c>
      <c r="O6" s="133" cm="1">
        <f t="array" aca="1" ref="O6" ca="1">SUMIFS(OFFSET(Payroll!$A$6,1,$G$2-1,PayCount,1),PayDept,$A6,PayDate,"&gt;="&amp;DATE(YEAR(O$4),MONTH(O$4),1),PayDate,"&lt;"&amp;DATE(YEAR(O$4),MONTH(O$4)+1,1))</f>
        <v>300324.24</v>
      </c>
      <c r="P6" s="2"/>
      <c r="Q6" s="139"/>
      <c r="R6" s="298"/>
    </row>
    <row r="7" spans="1:18" ht="16.149999999999999" customHeight="1" x14ac:dyDescent="0.25">
      <c r="A7" s="9" t="str">
        <f ca="1">IF(ROW($D7)-ROW($D$6)+1&gt;DeptCount,"-",OFFSET(Setup!$A$89,ROW($D7)-ROW($D$5),0,1,1))</f>
        <v>S</v>
      </c>
      <c r="B7" s="9" t="str">
        <f ca="1">IF(ISNA(VLOOKUP($A7,DeptAll,COLUMN(Emp!$B$1),0))=TRUE,"-",VLOOKUP($A7,DeptAll,COLUMN(Emp!$B$1),0))</f>
        <v>Sales</v>
      </c>
      <c r="C7" s="130" t="str">
        <f ca="1">IF(ISNA(VLOOKUP($A7,DeptAll,COLUMN(Emp!$E$1),0))=TRUE,"-",VLOOKUP($A7,DeptAll,COLUMN(Emp!$E$1),0))</f>
        <v>IS-340</v>
      </c>
      <c r="D7" s="133" cm="1">
        <f t="array" aca="1" ref="D7" ca="1">SUMIFS(OFFSET(Payroll!$A$6,1,$G$2-1,PayCount,1),PayDept,$A7,PayDate,"&gt;="&amp;DATE(YEAR(D$4),MONTH(D$4),1),PayDate,"&lt;"&amp;DATE(YEAR(D$4),MONTH(D$4)+1,1))</f>
        <v>54663.119999999995</v>
      </c>
      <c r="E7" s="133" cm="1">
        <f t="array" aca="1" ref="E7" ca="1">SUMIFS(OFFSET(Payroll!$A$6,1,$G$2-1,PayCount,1),PayDept,$A7,PayDate,"&gt;="&amp;DATE(YEAR(E$4),MONTH(E$4),1),PayDate,"&lt;"&amp;DATE(YEAR(E$4),MONTH(E$4)+1,1))</f>
        <v>51008.88</v>
      </c>
      <c r="F7" s="133" cm="1">
        <f t="array" aca="1" ref="F7" ca="1">SUMIFS(OFFSET(Payroll!$A$6,1,$G$2-1,PayCount,1),PayDept,$A7,PayDate,"&gt;="&amp;DATE(YEAR(F$4),MONTH(F$4),1),PayDate,"&lt;"&amp;DATE(YEAR(F$4),MONTH(F$4)+1,1))</f>
        <v>51000</v>
      </c>
      <c r="G7" s="133" cm="1">
        <f t="array" aca="1" ref="G7" ca="1">SUMIFS(OFFSET(Payroll!$A$6,1,$G$2-1,PayCount,1),PayDept,$A7,PayDate,"&gt;="&amp;DATE(YEAR(G$4),MONTH(G$4),1),PayDate,"&lt;"&amp;DATE(YEAR(G$4),MONTH(G$4)+1,1))</f>
        <v>51000</v>
      </c>
      <c r="H7" s="133" cm="1">
        <f t="array" aca="1" ref="H7" ca="1">SUMIFS(OFFSET(Payroll!$A$6,1,$G$2-1,PayCount,1),PayDept,$A7,PayDate,"&gt;="&amp;DATE(YEAR(H$4),MONTH(H$4),1),PayDate,"&lt;"&amp;DATE(YEAR(H$4),MONTH(H$4)+1,1))</f>
        <v>51000</v>
      </c>
      <c r="I7" s="133" cm="1">
        <f t="array" aca="1" ref="I7" ca="1">SUMIFS(OFFSET(Payroll!$A$6,1,$G$2-1,PayCount,1),PayDept,$A7,PayDate,"&gt;="&amp;DATE(YEAR(I$4),MONTH(I$4),1),PayDate,"&lt;"&amp;DATE(YEAR(I$4),MONTH(I$4)+1,1))</f>
        <v>51000</v>
      </c>
      <c r="J7" s="133" cm="1">
        <f t="array" aca="1" ref="J7" ca="1">SUMIFS(OFFSET(Payroll!$A$6,1,$G$2-1,PayCount,1),PayDept,$A7,PayDate,"&gt;="&amp;DATE(YEAR(J$4),MONTH(J$4),1),PayDate,"&lt;"&amp;DATE(YEAR(J$4),MONTH(J$4)+1,1))</f>
        <v>61000</v>
      </c>
      <c r="K7" s="133" cm="1">
        <f t="array" aca="1" ref="K7" ca="1">SUMIFS(OFFSET(Payroll!$A$6,1,$G$2-1,PayCount,1),PayDept,$A7,PayDate,"&gt;="&amp;DATE(YEAR(K$4),MONTH(K$4),1),PayDate,"&lt;"&amp;DATE(YEAR(K$4),MONTH(K$4)+1,1))</f>
        <v>51000</v>
      </c>
      <c r="L7" s="133" cm="1">
        <f t="array" aca="1" ref="L7" ca="1">SUMIFS(OFFSET(Payroll!$A$6,1,$G$2-1,PayCount,1),PayDept,$A7,PayDate,"&gt;="&amp;DATE(YEAR(L$4),MONTH(L$4),1),PayDate,"&lt;"&amp;DATE(YEAR(L$4),MONTH(L$4)+1,1))</f>
        <v>51000</v>
      </c>
      <c r="M7" s="133" cm="1">
        <f t="array" aca="1" ref="M7" ca="1">SUMIFS(OFFSET(Payroll!$A$6,1,$G$2-1,PayCount,1),PayDept,$A7,PayDate,"&gt;="&amp;DATE(YEAR(M$4),MONTH(M$4),1),PayDate,"&lt;"&amp;DATE(YEAR(M$4),MONTH(M$4)+1,1))</f>
        <v>102000</v>
      </c>
      <c r="N7" s="133" cm="1">
        <f t="array" aca="1" ref="N7" ca="1">SUMIFS(OFFSET(Payroll!$A$6,1,$G$2-1,PayCount,1),PayDept,$A7,PayDate,"&gt;="&amp;DATE(YEAR(N$4),MONTH(N$4),1),PayDate,"&lt;"&amp;DATE(YEAR(N$4),MONTH(N$4)+1,1))</f>
        <v>55590</v>
      </c>
      <c r="O7" s="133" cm="1">
        <f t="array" aca="1" ref="O7" ca="1">SUMIFS(OFFSET(Payroll!$A$6,1,$G$2-1,PayCount,1),PayDept,$A7,PayDate,"&gt;="&amp;DATE(YEAR(O$4),MONTH(O$4),1),PayDate,"&lt;"&amp;DATE(YEAR(O$4),MONTH(O$4)+1,1))</f>
        <v>55590</v>
      </c>
      <c r="P7" s="2"/>
      <c r="Q7" s="139"/>
      <c r="R7" s="298"/>
    </row>
    <row r="8" spans="1:18" ht="16.149999999999999" customHeight="1" x14ac:dyDescent="0.25">
      <c r="A8" s="9" t="str">
        <f ca="1">IF(ROW($D8)-ROW($D$6)+1&gt;DeptCount,"-",OFFSET(Setup!$A$89,ROW($D8)-ROW($D$5),0,1,1))</f>
        <v>A</v>
      </c>
      <c r="B8" s="9" t="str">
        <f ca="1">IF(ISNA(VLOOKUP($A8,DeptAll,COLUMN(Emp!$B$1),0))=TRUE,"-",VLOOKUP($A8,DeptAll,COLUMN(Emp!$B$1),0))</f>
        <v>Admin</v>
      </c>
      <c r="C8" s="130" t="str">
        <f ca="1">IF(ISNA(VLOOKUP($A8,DeptAll,COLUMN(Emp!$E$1),0))=TRUE,"-",VLOOKUP($A8,DeptAll,COLUMN(Emp!$E$1),0))</f>
        <v>IS-350</v>
      </c>
      <c r="D8" s="133" cm="1">
        <f t="array" aca="1" ref="D8" ca="1">SUMIFS(OFFSET(Payroll!$A$6,1,$G$2-1,PayCount,1),PayDept,$A8,PayDate,"&gt;="&amp;DATE(YEAR(D$4),MONTH(D$4),1),PayDate,"&lt;"&amp;DATE(YEAR(D$4),MONTH(D$4)+1,1))</f>
        <v>68267.12</v>
      </c>
      <c r="E8" s="133" cm="1">
        <f t="array" aca="1" ref="E8" ca="1">SUMIFS(OFFSET(Payroll!$A$6,1,$G$2-1,PayCount,1),PayDept,$A8,PayDate,"&gt;="&amp;DATE(YEAR(E$4),MONTH(E$4),1),PayDate,"&lt;"&amp;DATE(YEAR(E$4),MONTH(E$4)+1,1))</f>
        <v>68267.12</v>
      </c>
      <c r="F8" s="133" cm="1">
        <f t="array" aca="1" ref="F8" ca="1">SUMIFS(OFFSET(Payroll!$A$6,1,$G$2-1,PayCount,1),PayDept,$A8,PayDate,"&gt;="&amp;DATE(YEAR(F$4),MONTH(F$4),1),PayDate,"&lt;"&amp;DATE(YEAR(F$4),MONTH(F$4)+1,1))</f>
        <v>68267.12</v>
      </c>
      <c r="G8" s="133" cm="1">
        <f t="array" aca="1" ref="G8" ca="1">SUMIFS(OFFSET(Payroll!$A$6,1,$G$2-1,PayCount,1),PayDept,$A8,PayDate,"&gt;="&amp;DATE(YEAR(G$4),MONTH(G$4),1),PayDate,"&lt;"&amp;DATE(YEAR(G$4),MONTH(G$4)+1,1))</f>
        <v>72458.62</v>
      </c>
      <c r="H8" s="133" cm="1">
        <f t="array" aca="1" ref="H8" ca="1">SUMIFS(OFFSET(Payroll!$A$6,1,$G$2-1,PayCount,1),PayDept,$A8,PayDate,"&gt;="&amp;DATE(YEAR(H$4),MONTH(H$4),1),PayDate,"&lt;"&amp;DATE(YEAR(H$4),MONTH(H$4)+1,1))</f>
        <v>72458.62</v>
      </c>
      <c r="I8" s="133" cm="1">
        <f t="array" aca="1" ref="I8" ca="1">SUMIFS(OFFSET(Payroll!$A$6,1,$G$2-1,PayCount,1),PayDept,$A8,PayDate,"&gt;="&amp;DATE(YEAR(I$4),MONTH(I$4),1),PayDate,"&lt;"&amp;DATE(YEAR(I$4),MONTH(I$4)+1,1))</f>
        <v>72458.62</v>
      </c>
      <c r="J8" s="133" cm="1">
        <f t="array" aca="1" ref="J8" ca="1">SUMIFS(OFFSET(Payroll!$A$6,1,$G$2-1,PayCount,1),PayDept,$A8,PayDate,"&gt;="&amp;DATE(YEAR(J$4),MONTH(J$4),1),PayDate,"&lt;"&amp;DATE(YEAR(J$4),MONTH(J$4)+1,1))</f>
        <v>72458.62</v>
      </c>
      <c r="K8" s="133" cm="1">
        <f t="array" aca="1" ref="K8" ca="1">SUMIFS(OFFSET(Payroll!$A$6,1,$G$2-1,PayCount,1),PayDept,$A8,PayDate,"&gt;="&amp;DATE(YEAR(K$4),MONTH(K$4),1),PayDate,"&lt;"&amp;DATE(YEAR(K$4),MONTH(K$4)+1,1))</f>
        <v>72458.62</v>
      </c>
      <c r="L8" s="133" cm="1">
        <f t="array" aca="1" ref="L8" ca="1">SUMIFS(OFFSET(Payroll!$A$6,1,$G$2-1,PayCount,1),PayDept,$A8,PayDate,"&gt;="&amp;DATE(YEAR(L$4),MONTH(L$4),1),PayDate,"&lt;"&amp;DATE(YEAR(L$4),MONTH(L$4)+1,1))</f>
        <v>72458.62</v>
      </c>
      <c r="M8" s="133" cm="1">
        <f t="array" aca="1" ref="M8" ca="1">SUMIFS(OFFSET(Payroll!$A$6,1,$G$2-1,PayCount,1),PayDept,$A8,PayDate,"&gt;="&amp;DATE(YEAR(M$4),MONTH(M$4),1),PayDate,"&lt;"&amp;DATE(YEAR(M$4),MONTH(M$4)+1,1))</f>
        <v>115298.62</v>
      </c>
      <c r="N8" s="133" cm="1">
        <f t="array" aca="1" ref="N8" ca="1">SUMIFS(OFFSET(Payroll!$A$6,1,$G$2-1,PayCount,1),PayDept,$A8,PayDate,"&gt;="&amp;DATE(YEAR(N$4),MONTH(N$4),1),PayDate,"&lt;"&amp;DATE(YEAR(N$4),MONTH(N$4)+1,1))</f>
        <v>80447.12</v>
      </c>
      <c r="O8" s="133" cm="1">
        <f t="array" aca="1" ref="O8" ca="1">SUMIFS(OFFSET(Payroll!$A$6,1,$G$2-1,PayCount,1),PayDept,$A8,PayDate,"&gt;="&amp;DATE(YEAR(O$4),MONTH(O$4),1),PayDate,"&lt;"&amp;DATE(YEAR(O$4),MONTH(O$4)+1,1))</f>
        <v>80447.12</v>
      </c>
      <c r="P8" s="2"/>
      <c r="Q8" s="139"/>
      <c r="R8" s="298"/>
    </row>
    <row r="9" spans="1:18" ht="16.149999999999999" customHeight="1" x14ac:dyDescent="0.25">
      <c r="A9" s="9" t="str">
        <f ca="1">IF(ROW($D9)-ROW($D$6)+1&gt;DeptCount,"-",OFFSET(Setup!$A$89,ROW($D9)-ROW($D$5),0,1,1))</f>
        <v>-</v>
      </c>
      <c r="B9" s="9" t="str">
        <f ca="1">IF(ISNA(VLOOKUP($A9,DeptAll,COLUMN(Emp!$B$1),0))=TRUE,"-",VLOOKUP($A9,DeptAll,COLUMN(Emp!$B$1),0))</f>
        <v>-</v>
      </c>
      <c r="C9" s="130" t="str">
        <f ca="1">IF(ISNA(VLOOKUP($A9,DeptAll,COLUMN(Emp!$E$1),0))=TRUE,"-",VLOOKUP($A9,DeptAll,COLUMN(Emp!$E$1),0))</f>
        <v>-</v>
      </c>
      <c r="D9" s="133" cm="1">
        <f t="array" aca="1" ref="D9" ca="1">SUMIFS(OFFSET(Payroll!$A$6,1,$G$2-1,PayCount,1),PayDept,$A9,PayDate,"&gt;="&amp;DATE(YEAR(D$4),MONTH(D$4),1),PayDate,"&lt;"&amp;DATE(YEAR(D$4),MONTH(D$4)+1,1))</f>
        <v>0</v>
      </c>
      <c r="E9" s="133" cm="1">
        <f t="array" aca="1" ref="E9" ca="1">SUMIFS(OFFSET(Payroll!$A$6,1,$G$2-1,PayCount,1),PayDept,$A9,PayDate,"&gt;="&amp;DATE(YEAR(E$4),MONTH(E$4),1),PayDate,"&lt;"&amp;DATE(YEAR(E$4),MONTH(E$4)+1,1))</f>
        <v>0</v>
      </c>
      <c r="F9" s="133" cm="1">
        <f t="array" aca="1" ref="F9" ca="1">SUMIFS(OFFSET(Payroll!$A$6,1,$G$2-1,PayCount,1),PayDept,$A9,PayDate,"&gt;="&amp;DATE(YEAR(F$4),MONTH(F$4),1),PayDate,"&lt;"&amp;DATE(YEAR(F$4),MONTH(F$4)+1,1))</f>
        <v>0</v>
      </c>
      <c r="G9" s="133" cm="1">
        <f t="array" aca="1" ref="G9" ca="1">SUMIFS(OFFSET(Payroll!$A$6,1,$G$2-1,PayCount,1),PayDept,$A9,PayDate,"&gt;="&amp;DATE(YEAR(G$4),MONTH(G$4),1),PayDate,"&lt;"&amp;DATE(YEAR(G$4),MONTH(G$4)+1,1))</f>
        <v>0</v>
      </c>
      <c r="H9" s="133" cm="1">
        <f t="array" aca="1" ref="H9" ca="1">SUMIFS(OFFSET(Payroll!$A$6,1,$G$2-1,PayCount,1),PayDept,$A9,PayDate,"&gt;="&amp;DATE(YEAR(H$4),MONTH(H$4),1),PayDate,"&lt;"&amp;DATE(YEAR(H$4),MONTH(H$4)+1,1))</f>
        <v>0</v>
      </c>
      <c r="I9" s="133" cm="1">
        <f t="array" aca="1" ref="I9" ca="1">SUMIFS(OFFSET(Payroll!$A$6,1,$G$2-1,PayCount,1),PayDept,$A9,PayDate,"&gt;="&amp;DATE(YEAR(I$4),MONTH(I$4),1),PayDate,"&lt;"&amp;DATE(YEAR(I$4),MONTH(I$4)+1,1))</f>
        <v>0</v>
      </c>
      <c r="J9" s="133" cm="1">
        <f t="array" aca="1" ref="J9" ca="1">SUMIFS(OFFSET(Payroll!$A$6,1,$G$2-1,PayCount,1),PayDept,$A9,PayDate,"&gt;="&amp;DATE(YEAR(J$4),MONTH(J$4),1),PayDate,"&lt;"&amp;DATE(YEAR(J$4),MONTH(J$4)+1,1))</f>
        <v>0</v>
      </c>
      <c r="K9" s="133" cm="1">
        <f t="array" aca="1" ref="K9" ca="1">SUMIFS(OFFSET(Payroll!$A$6,1,$G$2-1,PayCount,1),PayDept,$A9,PayDate,"&gt;="&amp;DATE(YEAR(K$4),MONTH(K$4),1),PayDate,"&lt;"&amp;DATE(YEAR(K$4),MONTH(K$4)+1,1))</f>
        <v>0</v>
      </c>
      <c r="L9" s="133" cm="1">
        <f t="array" aca="1" ref="L9" ca="1">SUMIFS(OFFSET(Payroll!$A$6,1,$G$2-1,PayCount,1),PayDept,$A9,PayDate,"&gt;="&amp;DATE(YEAR(L$4),MONTH(L$4),1),PayDate,"&lt;"&amp;DATE(YEAR(L$4),MONTH(L$4)+1,1))</f>
        <v>0</v>
      </c>
      <c r="M9" s="133" cm="1">
        <f t="array" aca="1" ref="M9" ca="1">SUMIFS(OFFSET(Payroll!$A$6,1,$G$2-1,PayCount,1),PayDept,$A9,PayDate,"&gt;="&amp;DATE(YEAR(M$4),MONTH(M$4),1),PayDate,"&lt;"&amp;DATE(YEAR(M$4),MONTH(M$4)+1,1))</f>
        <v>0</v>
      </c>
      <c r="N9" s="133" cm="1">
        <f t="array" aca="1" ref="N9" ca="1">SUMIFS(OFFSET(Payroll!$A$6,1,$G$2-1,PayCount,1),PayDept,$A9,PayDate,"&gt;="&amp;DATE(YEAR(N$4),MONTH(N$4),1),PayDate,"&lt;"&amp;DATE(YEAR(N$4),MONTH(N$4)+1,1))</f>
        <v>0</v>
      </c>
      <c r="O9" s="133" cm="1">
        <f t="array" aca="1" ref="O9" ca="1">SUMIFS(OFFSET(Payroll!$A$6,1,$G$2-1,PayCount,1),PayDept,$A9,PayDate,"&gt;="&amp;DATE(YEAR(O$4),MONTH(O$4),1),PayDate,"&lt;"&amp;DATE(YEAR(O$4),MONTH(O$4)+1,1))</f>
        <v>0</v>
      </c>
      <c r="P9" s="2"/>
      <c r="Q9" s="139"/>
      <c r="R9" s="298"/>
    </row>
    <row r="10" spans="1:18" ht="16.149999999999999" customHeight="1" x14ac:dyDescent="0.25">
      <c r="A10" s="9" t="str">
        <f ca="1">IF(ROW($D10)-ROW($D$6)+1&gt;DeptCount,"-",OFFSET(Setup!$A$89,ROW($D10)-ROW($D$5),0,1,1))</f>
        <v>-</v>
      </c>
      <c r="B10" s="9" t="str">
        <f ca="1">IF(ISNA(VLOOKUP($A10,DeptAll,COLUMN(Emp!$B$1),0))=TRUE,"-",VLOOKUP($A10,DeptAll,COLUMN(Emp!$B$1),0))</f>
        <v>-</v>
      </c>
      <c r="C10" s="130" t="str">
        <f ca="1">IF(ISNA(VLOOKUP($A10,DeptAll,COLUMN(Emp!$E$1),0))=TRUE,"-",VLOOKUP($A10,DeptAll,COLUMN(Emp!$E$1),0))</f>
        <v>-</v>
      </c>
      <c r="D10" s="133" cm="1">
        <f t="array" aca="1" ref="D10" ca="1">SUMIFS(OFFSET(Payroll!$A$6,1,$G$2-1,PayCount,1),PayDept,$A10,PayDate,"&gt;="&amp;DATE(YEAR(D$4),MONTH(D$4),1),PayDate,"&lt;"&amp;DATE(YEAR(D$4),MONTH(D$4)+1,1))</f>
        <v>0</v>
      </c>
      <c r="E10" s="133" cm="1">
        <f t="array" aca="1" ref="E10" ca="1">SUMIFS(OFFSET(Payroll!$A$6,1,$G$2-1,PayCount,1),PayDept,$A10,PayDate,"&gt;="&amp;DATE(YEAR(E$4),MONTH(E$4),1),PayDate,"&lt;"&amp;DATE(YEAR(E$4),MONTH(E$4)+1,1))</f>
        <v>0</v>
      </c>
      <c r="F10" s="133" cm="1">
        <f t="array" aca="1" ref="F10" ca="1">SUMIFS(OFFSET(Payroll!$A$6,1,$G$2-1,PayCount,1),PayDept,$A10,PayDate,"&gt;="&amp;DATE(YEAR(F$4),MONTH(F$4),1),PayDate,"&lt;"&amp;DATE(YEAR(F$4),MONTH(F$4)+1,1))</f>
        <v>0</v>
      </c>
      <c r="G10" s="133" cm="1">
        <f t="array" aca="1" ref="G10" ca="1">SUMIFS(OFFSET(Payroll!$A$6,1,$G$2-1,PayCount,1),PayDept,$A10,PayDate,"&gt;="&amp;DATE(YEAR(G$4),MONTH(G$4),1),PayDate,"&lt;"&amp;DATE(YEAR(G$4),MONTH(G$4)+1,1))</f>
        <v>0</v>
      </c>
      <c r="H10" s="133" cm="1">
        <f t="array" aca="1" ref="H10" ca="1">SUMIFS(OFFSET(Payroll!$A$6,1,$G$2-1,PayCount,1),PayDept,$A10,PayDate,"&gt;="&amp;DATE(YEAR(H$4),MONTH(H$4),1),PayDate,"&lt;"&amp;DATE(YEAR(H$4),MONTH(H$4)+1,1))</f>
        <v>0</v>
      </c>
      <c r="I10" s="133" cm="1">
        <f t="array" aca="1" ref="I10" ca="1">SUMIFS(OFFSET(Payroll!$A$6,1,$G$2-1,PayCount,1),PayDept,$A10,PayDate,"&gt;="&amp;DATE(YEAR(I$4),MONTH(I$4),1),PayDate,"&lt;"&amp;DATE(YEAR(I$4),MONTH(I$4)+1,1))</f>
        <v>0</v>
      </c>
      <c r="J10" s="133" cm="1">
        <f t="array" aca="1" ref="J10" ca="1">SUMIFS(OFFSET(Payroll!$A$6,1,$G$2-1,PayCount,1),PayDept,$A10,PayDate,"&gt;="&amp;DATE(YEAR(J$4),MONTH(J$4),1),PayDate,"&lt;"&amp;DATE(YEAR(J$4),MONTH(J$4)+1,1))</f>
        <v>0</v>
      </c>
      <c r="K10" s="133" cm="1">
        <f t="array" aca="1" ref="K10" ca="1">SUMIFS(OFFSET(Payroll!$A$6,1,$G$2-1,PayCount,1),PayDept,$A10,PayDate,"&gt;="&amp;DATE(YEAR(K$4),MONTH(K$4),1),PayDate,"&lt;"&amp;DATE(YEAR(K$4),MONTH(K$4)+1,1))</f>
        <v>0</v>
      </c>
      <c r="L10" s="133" cm="1">
        <f t="array" aca="1" ref="L10" ca="1">SUMIFS(OFFSET(Payroll!$A$6,1,$G$2-1,PayCount,1),PayDept,$A10,PayDate,"&gt;="&amp;DATE(YEAR(L$4),MONTH(L$4),1),PayDate,"&lt;"&amp;DATE(YEAR(L$4),MONTH(L$4)+1,1))</f>
        <v>0</v>
      </c>
      <c r="M10" s="133" cm="1">
        <f t="array" aca="1" ref="M10" ca="1">SUMIFS(OFFSET(Payroll!$A$6,1,$G$2-1,PayCount,1),PayDept,$A10,PayDate,"&gt;="&amp;DATE(YEAR(M$4),MONTH(M$4),1),PayDate,"&lt;"&amp;DATE(YEAR(M$4),MONTH(M$4)+1,1))</f>
        <v>0</v>
      </c>
      <c r="N10" s="133" cm="1">
        <f t="array" aca="1" ref="N10" ca="1">SUMIFS(OFFSET(Payroll!$A$6,1,$G$2-1,PayCount,1),PayDept,$A10,PayDate,"&gt;="&amp;DATE(YEAR(N$4),MONTH(N$4),1),PayDate,"&lt;"&amp;DATE(YEAR(N$4),MONTH(N$4)+1,1))</f>
        <v>0</v>
      </c>
      <c r="O10" s="133" cm="1">
        <f t="array" aca="1" ref="O10" ca="1">SUMIFS(OFFSET(Payroll!$A$6,1,$G$2-1,PayCount,1),PayDept,$A10,PayDate,"&gt;="&amp;DATE(YEAR(O$4),MONTH(O$4),1),PayDate,"&lt;"&amp;DATE(YEAR(O$4),MONTH(O$4)+1,1))</f>
        <v>0</v>
      </c>
      <c r="P10" s="2"/>
      <c r="Q10" s="139"/>
      <c r="R10" s="298"/>
    </row>
    <row r="11" spans="1:18" ht="16.149999999999999" customHeight="1" x14ac:dyDescent="0.25">
      <c r="A11" s="9" t="str">
        <f ca="1">IF(ROW($D11)-ROW($D$6)+1&gt;DeptCount,"-",OFFSET(Setup!$A$89,ROW($D11)-ROW($D$5),0,1,1))</f>
        <v>-</v>
      </c>
      <c r="B11" s="9" t="str">
        <f ca="1">IF(ISNA(VLOOKUP($A11,DeptAll,COLUMN(Emp!$B$1),0))=TRUE,"-",VLOOKUP($A11,DeptAll,COLUMN(Emp!$B$1),0))</f>
        <v>-</v>
      </c>
      <c r="C11" s="130" t="str">
        <f ca="1">IF(ISNA(VLOOKUP($A11,DeptAll,COLUMN(Emp!$E$1),0))=TRUE,"-",VLOOKUP($A11,DeptAll,COLUMN(Emp!$E$1),0))</f>
        <v>-</v>
      </c>
      <c r="D11" s="133" cm="1">
        <f t="array" aca="1" ref="D11" ca="1">SUMIFS(OFFSET(Payroll!$A$6,1,$G$2-1,PayCount,1),PayDept,$A11,PayDate,"&gt;="&amp;DATE(YEAR(D$4),MONTH(D$4),1),PayDate,"&lt;"&amp;DATE(YEAR(D$4),MONTH(D$4)+1,1))</f>
        <v>0</v>
      </c>
      <c r="E11" s="133" cm="1">
        <f t="array" aca="1" ref="E11" ca="1">SUMIFS(OFFSET(Payroll!$A$6,1,$G$2-1,PayCount,1),PayDept,$A11,PayDate,"&gt;="&amp;DATE(YEAR(E$4),MONTH(E$4),1),PayDate,"&lt;"&amp;DATE(YEAR(E$4),MONTH(E$4)+1,1))</f>
        <v>0</v>
      </c>
      <c r="F11" s="133" cm="1">
        <f t="array" aca="1" ref="F11" ca="1">SUMIFS(OFFSET(Payroll!$A$6,1,$G$2-1,PayCount,1),PayDept,$A11,PayDate,"&gt;="&amp;DATE(YEAR(F$4),MONTH(F$4),1),PayDate,"&lt;"&amp;DATE(YEAR(F$4),MONTH(F$4)+1,1))</f>
        <v>0</v>
      </c>
      <c r="G11" s="133" cm="1">
        <f t="array" aca="1" ref="G11" ca="1">SUMIFS(OFFSET(Payroll!$A$6,1,$G$2-1,PayCount,1),PayDept,$A11,PayDate,"&gt;="&amp;DATE(YEAR(G$4),MONTH(G$4),1),PayDate,"&lt;"&amp;DATE(YEAR(G$4),MONTH(G$4)+1,1))</f>
        <v>0</v>
      </c>
      <c r="H11" s="133" cm="1">
        <f t="array" aca="1" ref="H11" ca="1">SUMIFS(OFFSET(Payroll!$A$6,1,$G$2-1,PayCount,1),PayDept,$A11,PayDate,"&gt;="&amp;DATE(YEAR(H$4),MONTH(H$4),1),PayDate,"&lt;"&amp;DATE(YEAR(H$4),MONTH(H$4)+1,1))</f>
        <v>0</v>
      </c>
      <c r="I11" s="133" cm="1">
        <f t="array" aca="1" ref="I11" ca="1">SUMIFS(OFFSET(Payroll!$A$6,1,$G$2-1,PayCount,1),PayDept,$A11,PayDate,"&gt;="&amp;DATE(YEAR(I$4),MONTH(I$4),1),PayDate,"&lt;"&amp;DATE(YEAR(I$4),MONTH(I$4)+1,1))</f>
        <v>0</v>
      </c>
      <c r="J11" s="133" cm="1">
        <f t="array" aca="1" ref="J11" ca="1">SUMIFS(OFFSET(Payroll!$A$6,1,$G$2-1,PayCount,1),PayDept,$A11,PayDate,"&gt;="&amp;DATE(YEAR(J$4),MONTH(J$4),1),PayDate,"&lt;"&amp;DATE(YEAR(J$4),MONTH(J$4)+1,1))</f>
        <v>0</v>
      </c>
      <c r="K11" s="133" cm="1">
        <f t="array" aca="1" ref="K11" ca="1">SUMIFS(OFFSET(Payroll!$A$6,1,$G$2-1,PayCount,1),PayDept,$A11,PayDate,"&gt;="&amp;DATE(YEAR(K$4),MONTH(K$4),1),PayDate,"&lt;"&amp;DATE(YEAR(K$4),MONTH(K$4)+1,1))</f>
        <v>0</v>
      </c>
      <c r="L11" s="133" cm="1">
        <f t="array" aca="1" ref="L11" ca="1">SUMIFS(OFFSET(Payroll!$A$6,1,$G$2-1,PayCount,1),PayDept,$A11,PayDate,"&gt;="&amp;DATE(YEAR(L$4),MONTH(L$4),1),PayDate,"&lt;"&amp;DATE(YEAR(L$4),MONTH(L$4)+1,1))</f>
        <v>0</v>
      </c>
      <c r="M11" s="133" cm="1">
        <f t="array" aca="1" ref="M11" ca="1">SUMIFS(OFFSET(Payroll!$A$6,1,$G$2-1,PayCount,1),PayDept,$A11,PayDate,"&gt;="&amp;DATE(YEAR(M$4),MONTH(M$4),1),PayDate,"&lt;"&amp;DATE(YEAR(M$4),MONTH(M$4)+1,1))</f>
        <v>0</v>
      </c>
      <c r="N11" s="133" cm="1">
        <f t="array" aca="1" ref="N11" ca="1">SUMIFS(OFFSET(Payroll!$A$6,1,$G$2-1,PayCount,1),PayDept,$A11,PayDate,"&gt;="&amp;DATE(YEAR(N$4),MONTH(N$4),1),PayDate,"&lt;"&amp;DATE(YEAR(N$4),MONTH(N$4)+1,1))</f>
        <v>0</v>
      </c>
      <c r="O11" s="133" cm="1">
        <f t="array" aca="1" ref="O11" ca="1">SUMIFS(OFFSET(Payroll!$A$6,1,$G$2-1,PayCount,1),PayDept,$A11,PayDate,"&gt;="&amp;DATE(YEAR(O$4),MONTH(O$4),1),PayDate,"&lt;"&amp;DATE(YEAR(O$4),MONTH(O$4)+1,1))</f>
        <v>0</v>
      </c>
      <c r="P11" s="2"/>
      <c r="Q11" s="139"/>
      <c r="R11" s="298"/>
    </row>
    <row r="12" spans="1:18" ht="16.149999999999999" customHeight="1" x14ac:dyDescent="0.25">
      <c r="A12" s="9" t="str">
        <f ca="1">IF(ROW($D12)-ROW($D$6)+1&gt;DeptCount,"-",OFFSET(Setup!$A$89,ROW($D12)-ROW($D$5),0,1,1))</f>
        <v>-</v>
      </c>
      <c r="B12" s="9" t="str">
        <f ca="1">IF(ISNA(VLOOKUP($A12,DeptAll,COLUMN(Emp!$B$1),0))=TRUE,"-",VLOOKUP($A12,DeptAll,COLUMN(Emp!$B$1),0))</f>
        <v>-</v>
      </c>
      <c r="C12" s="130" t="str">
        <f ca="1">IF(ISNA(VLOOKUP($A12,DeptAll,COLUMN(Emp!$E$1),0))=TRUE,"-",VLOOKUP($A12,DeptAll,COLUMN(Emp!$E$1),0))</f>
        <v>-</v>
      </c>
      <c r="D12" s="133" cm="1">
        <f t="array" aca="1" ref="D12" ca="1">SUMIFS(OFFSET(Payroll!$A$6,1,$G$2-1,PayCount,1),PayDept,$A12,PayDate,"&gt;="&amp;DATE(YEAR(D$4),MONTH(D$4),1),PayDate,"&lt;"&amp;DATE(YEAR(D$4),MONTH(D$4)+1,1))</f>
        <v>0</v>
      </c>
      <c r="E12" s="133" cm="1">
        <f t="array" aca="1" ref="E12" ca="1">SUMIFS(OFFSET(Payroll!$A$6,1,$G$2-1,PayCount,1),PayDept,$A12,PayDate,"&gt;="&amp;DATE(YEAR(E$4),MONTH(E$4),1),PayDate,"&lt;"&amp;DATE(YEAR(E$4),MONTH(E$4)+1,1))</f>
        <v>0</v>
      </c>
      <c r="F12" s="133" cm="1">
        <f t="array" aca="1" ref="F12" ca="1">SUMIFS(OFFSET(Payroll!$A$6,1,$G$2-1,PayCount,1),PayDept,$A12,PayDate,"&gt;="&amp;DATE(YEAR(F$4),MONTH(F$4),1),PayDate,"&lt;"&amp;DATE(YEAR(F$4),MONTH(F$4)+1,1))</f>
        <v>0</v>
      </c>
      <c r="G12" s="133" cm="1">
        <f t="array" aca="1" ref="G12" ca="1">SUMIFS(OFFSET(Payroll!$A$6,1,$G$2-1,PayCount,1),PayDept,$A12,PayDate,"&gt;="&amp;DATE(YEAR(G$4),MONTH(G$4),1),PayDate,"&lt;"&amp;DATE(YEAR(G$4),MONTH(G$4)+1,1))</f>
        <v>0</v>
      </c>
      <c r="H12" s="133" cm="1">
        <f t="array" aca="1" ref="H12" ca="1">SUMIFS(OFFSET(Payroll!$A$6,1,$G$2-1,PayCount,1),PayDept,$A12,PayDate,"&gt;="&amp;DATE(YEAR(H$4),MONTH(H$4),1),PayDate,"&lt;"&amp;DATE(YEAR(H$4),MONTH(H$4)+1,1))</f>
        <v>0</v>
      </c>
      <c r="I12" s="133" cm="1">
        <f t="array" aca="1" ref="I12" ca="1">SUMIFS(OFFSET(Payroll!$A$6,1,$G$2-1,PayCount,1),PayDept,$A12,PayDate,"&gt;="&amp;DATE(YEAR(I$4),MONTH(I$4),1),PayDate,"&lt;"&amp;DATE(YEAR(I$4),MONTH(I$4)+1,1))</f>
        <v>0</v>
      </c>
      <c r="J12" s="133" cm="1">
        <f t="array" aca="1" ref="J12" ca="1">SUMIFS(OFFSET(Payroll!$A$6,1,$G$2-1,PayCount,1),PayDept,$A12,PayDate,"&gt;="&amp;DATE(YEAR(J$4),MONTH(J$4),1),PayDate,"&lt;"&amp;DATE(YEAR(J$4),MONTH(J$4)+1,1))</f>
        <v>0</v>
      </c>
      <c r="K12" s="133" cm="1">
        <f t="array" aca="1" ref="K12" ca="1">SUMIFS(OFFSET(Payroll!$A$6,1,$G$2-1,PayCount,1),PayDept,$A12,PayDate,"&gt;="&amp;DATE(YEAR(K$4),MONTH(K$4),1),PayDate,"&lt;"&amp;DATE(YEAR(K$4),MONTH(K$4)+1,1))</f>
        <v>0</v>
      </c>
      <c r="L12" s="133" cm="1">
        <f t="array" aca="1" ref="L12" ca="1">SUMIFS(OFFSET(Payroll!$A$6,1,$G$2-1,PayCount,1),PayDept,$A12,PayDate,"&gt;="&amp;DATE(YEAR(L$4),MONTH(L$4),1),PayDate,"&lt;"&amp;DATE(YEAR(L$4),MONTH(L$4)+1,1))</f>
        <v>0</v>
      </c>
      <c r="M12" s="133" cm="1">
        <f t="array" aca="1" ref="M12" ca="1">SUMIFS(OFFSET(Payroll!$A$6,1,$G$2-1,PayCount,1),PayDept,$A12,PayDate,"&gt;="&amp;DATE(YEAR(M$4),MONTH(M$4),1),PayDate,"&lt;"&amp;DATE(YEAR(M$4),MONTH(M$4)+1,1))</f>
        <v>0</v>
      </c>
      <c r="N12" s="133" cm="1">
        <f t="array" aca="1" ref="N12" ca="1">SUMIFS(OFFSET(Payroll!$A$6,1,$G$2-1,PayCount,1),PayDept,$A12,PayDate,"&gt;="&amp;DATE(YEAR(N$4),MONTH(N$4),1),PayDate,"&lt;"&amp;DATE(YEAR(N$4),MONTH(N$4)+1,1))</f>
        <v>0</v>
      </c>
      <c r="O12" s="133" cm="1">
        <f t="array" aca="1" ref="O12" ca="1">SUMIFS(OFFSET(Payroll!$A$6,1,$G$2-1,PayCount,1),PayDept,$A12,PayDate,"&gt;="&amp;DATE(YEAR(O$4),MONTH(O$4),1),PayDate,"&lt;"&amp;DATE(YEAR(O$4),MONTH(O$4)+1,1))</f>
        <v>0</v>
      </c>
      <c r="P12" s="2"/>
      <c r="Q12" s="139"/>
      <c r="R12" s="298"/>
    </row>
    <row r="13" spans="1:18" ht="16.149999999999999" customHeight="1" x14ac:dyDescent="0.25">
      <c r="A13" s="9" t="str">
        <f ca="1">IF(ROW($D13)-ROW($D$6)+1&gt;DeptCount,"-",OFFSET(Setup!$A$89,ROW($D13)-ROW($D$5),0,1,1))</f>
        <v>-</v>
      </c>
      <c r="B13" s="9" t="str">
        <f ca="1">IF(ISNA(VLOOKUP($A13,DeptAll,COLUMN(Emp!$B$1),0))=TRUE,"-",VLOOKUP($A13,DeptAll,COLUMN(Emp!$B$1),0))</f>
        <v>-</v>
      </c>
      <c r="C13" s="130" t="str">
        <f ca="1">IF(ISNA(VLOOKUP($A13,DeptAll,COLUMN(Emp!$E$1),0))=TRUE,"-",VLOOKUP($A13,DeptAll,COLUMN(Emp!$E$1),0))</f>
        <v>-</v>
      </c>
      <c r="D13" s="133" cm="1">
        <f t="array" aca="1" ref="D13" ca="1">SUMIFS(OFFSET(Payroll!$A$6,1,$G$2-1,PayCount,1),PayDept,$A13,PayDate,"&gt;="&amp;DATE(YEAR(D$4),MONTH(D$4),1),PayDate,"&lt;"&amp;DATE(YEAR(D$4),MONTH(D$4)+1,1))</f>
        <v>0</v>
      </c>
      <c r="E13" s="133" cm="1">
        <f t="array" aca="1" ref="E13" ca="1">SUMIFS(OFFSET(Payroll!$A$6,1,$G$2-1,PayCount,1),PayDept,$A13,PayDate,"&gt;="&amp;DATE(YEAR(E$4),MONTH(E$4),1),PayDate,"&lt;"&amp;DATE(YEAR(E$4),MONTH(E$4)+1,1))</f>
        <v>0</v>
      </c>
      <c r="F13" s="133" cm="1">
        <f t="array" aca="1" ref="F13" ca="1">SUMIFS(OFFSET(Payroll!$A$6,1,$G$2-1,PayCount,1),PayDept,$A13,PayDate,"&gt;="&amp;DATE(YEAR(F$4),MONTH(F$4),1),PayDate,"&lt;"&amp;DATE(YEAR(F$4),MONTH(F$4)+1,1))</f>
        <v>0</v>
      </c>
      <c r="G13" s="133" cm="1">
        <f t="array" aca="1" ref="G13" ca="1">SUMIFS(OFFSET(Payroll!$A$6,1,$G$2-1,PayCount,1),PayDept,$A13,PayDate,"&gt;="&amp;DATE(YEAR(G$4),MONTH(G$4),1),PayDate,"&lt;"&amp;DATE(YEAR(G$4),MONTH(G$4)+1,1))</f>
        <v>0</v>
      </c>
      <c r="H13" s="133" cm="1">
        <f t="array" aca="1" ref="H13" ca="1">SUMIFS(OFFSET(Payroll!$A$6,1,$G$2-1,PayCount,1),PayDept,$A13,PayDate,"&gt;="&amp;DATE(YEAR(H$4),MONTH(H$4),1),PayDate,"&lt;"&amp;DATE(YEAR(H$4),MONTH(H$4)+1,1))</f>
        <v>0</v>
      </c>
      <c r="I13" s="133" cm="1">
        <f t="array" aca="1" ref="I13" ca="1">SUMIFS(OFFSET(Payroll!$A$6,1,$G$2-1,PayCount,1),PayDept,$A13,PayDate,"&gt;="&amp;DATE(YEAR(I$4),MONTH(I$4),1),PayDate,"&lt;"&amp;DATE(YEAR(I$4),MONTH(I$4)+1,1))</f>
        <v>0</v>
      </c>
      <c r="J13" s="133" cm="1">
        <f t="array" aca="1" ref="J13" ca="1">SUMIFS(OFFSET(Payroll!$A$6,1,$G$2-1,PayCount,1),PayDept,$A13,PayDate,"&gt;="&amp;DATE(YEAR(J$4),MONTH(J$4),1),PayDate,"&lt;"&amp;DATE(YEAR(J$4),MONTH(J$4)+1,1))</f>
        <v>0</v>
      </c>
      <c r="K13" s="133" cm="1">
        <f t="array" aca="1" ref="K13" ca="1">SUMIFS(OFFSET(Payroll!$A$6,1,$G$2-1,PayCount,1),PayDept,$A13,PayDate,"&gt;="&amp;DATE(YEAR(K$4),MONTH(K$4),1),PayDate,"&lt;"&amp;DATE(YEAR(K$4),MONTH(K$4)+1,1))</f>
        <v>0</v>
      </c>
      <c r="L13" s="133" cm="1">
        <f t="array" aca="1" ref="L13" ca="1">SUMIFS(OFFSET(Payroll!$A$6,1,$G$2-1,PayCount,1),PayDept,$A13,PayDate,"&gt;="&amp;DATE(YEAR(L$4),MONTH(L$4),1),PayDate,"&lt;"&amp;DATE(YEAR(L$4),MONTH(L$4)+1,1))</f>
        <v>0</v>
      </c>
      <c r="M13" s="133" cm="1">
        <f t="array" aca="1" ref="M13" ca="1">SUMIFS(OFFSET(Payroll!$A$6,1,$G$2-1,PayCount,1),PayDept,$A13,PayDate,"&gt;="&amp;DATE(YEAR(M$4),MONTH(M$4),1),PayDate,"&lt;"&amp;DATE(YEAR(M$4),MONTH(M$4)+1,1))</f>
        <v>0</v>
      </c>
      <c r="N13" s="133" cm="1">
        <f t="array" aca="1" ref="N13" ca="1">SUMIFS(OFFSET(Payroll!$A$6,1,$G$2-1,PayCount,1),PayDept,$A13,PayDate,"&gt;="&amp;DATE(YEAR(N$4),MONTH(N$4),1),PayDate,"&lt;"&amp;DATE(YEAR(N$4),MONTH(N$4)+1,1))</f>
        <v>0</v>
      </c>
      <c r="O13" s="133" cm="1">
        <f t="array" aca="1" ref="O13" ca="1">SUMIFS(OFFSET(Payroll!$A$6,1,$G$2-1,PayCount,1),PayDept,$A13,PayDate,"&gt;="&amp;DATE(YEAR(O$4),MONTH(O$4),1),PayDate,"&lt;"&amp;DATE(YEAR(O$4),MONTH(O$4)+1,1))</f>
        <v>0</v>
      </c>
      <c r="P13" s="2"/>
      <c r="Q13" s="139"/>
      <c r="R13" s="298"/>
    </row>
    <row r="14" spans="1:18" ht="16.149999999999999" customHeight="1" x14ac:dyDescent="0.25">
      <c r="A14" s="9" t="str">
        <f ca="1">IF(ROW($D14)-ROW($D$6)+1&gt;DeptCount,"-",OFFSET(Setup!$A$89,ROW($D14)-ROW($D$5),0,1,1))</f>
        <v>-</v>
      </c>
      <c r="B14" s="9" t="str">
        <f ca="1">IF(ISNA(VLOOKUP($A14,DeptAll,COLUMN(Emp!$B$1),0))=TRUE,"-",VLOOKUP($A14,DeptAll,COLUMN(Emp!$B$1),0))</f>
        <v>-</v>
      </c>
      <c r="C14" s="130" t="str">
        <f ca="1">IF(ISNA(VLOOKUP($A14,DeptAll,COLUMN(Emp!$E$1),0))=TRUE,"-",VLOOKUP($A14,DeptAll,COLUMN(Emp!$E$1),0))</f>
        <v>-</v>
      </c>
      <c r="D14" s="133" cm="1">
        <f t="array" aca="1" ref="D14" ca="1">SUMIFS(OFFSET(Payroll!$A$6,1,$G$2-1,PayCount,1),PayDept,$A14,PayDate,"&gt;="&amp;DATE(YEAR(D$4),MONTH(D$4),1),PayDate,"&lt;"&amp;DATE(YEAR(D$4),MONTH(D$4)+1,1))</f>
        <v>0</v>
      </c>
      <c r="E14" s="133" cm="1">
        <f t="array" aca="1" ref="E14" ca="1">SUMIFS(OFFSET(Payroll!$A$6,1,$G$2-1,PayCount,1),PayDept,$A14,PayDate,"&gt;="&amp;DATE(YEAR(E$4),MONTH(E$4),1),PayDate,"&lt;"&amp;DATE(YEAR(E$4),MONTH(E$4)+1,1))</f>
        <v>0</v>
      </c>
      <c r="F14" s="133" cm="1">
        <f t="array" aca="1" ref="F14" ca="1">SUMIFS(OFFSET(Payroll!$A$6,1,$G$2-1,PayCount,1),PayDept,$A14,PayDate,"&gt;="&amp;DATE(YEAR(F$4),MONTH(F$4),1),PayDate,"&lt;"&amp;DATE(YEAR(F$4),MONTH(F$4)+1,1))</f>
        <v>0</v>
      </c>
      <c r="G14" s="133" cm="1">
        <f t="array" aca="1" ref="G14" ca="1">SUMIFS(OFFSET(Payroll!$A$6,1,$G$2-1,PayCount,1),PayDept,$A14,PayDate,"&gt;="&amp;DATE(YEAR(G$4),MONTH(G$4),1),PayDate,"&lt;"&amp;DATE(YEAR(G$4),MONTH(G$4)+1,1))</f>
        <v>0</v>
      </c>
      <c r="H14" s="133" cm="1">
        <f t="array" aca="1" ref="H14" ca="1">SUMIFS(OFFSET(Payroll!$A$6,1,$G$2-1,PayCount,1),PayDept,$A14,PayDate,"&gt;="&amp;DATE(YEAR(H$4),MONTH(H$4),1),PayDate,"&lt;"&amp;DATE(YEAR(H$4),MONTH(H$4)+1,1))</f>
        <v>0</v>
      </c>
      <c r="I14" s="133" cm="1">
        <f t="array" aca="1" ref="I14" ca="1">SUMIFS(OFFSET(Payroll!$A$6,1,$G$2-1,PayCount,1),PayDept,$A14,PayDate,"&gt;="&amp;DATE(YEAR(I$4),MONTH(I$4),1),PayDate,"&lt;"&amp;DATE(YEAR(I$4),MONTH(I$4)+1,1))</f>
        <v>0</v>
      </c>
      <c r="J14" s="133" cm="1">
        <f t="array" aca="1" ref="J14" ca="1">SUMIFS(OFFSET(Payroll!$A$6,1,$G$2-1,PayCount,1),PayDept,$A14,PayDate,"&gt;="&amp;DATE(YEAR(J$4),MONTH(J$4),1),PayDate,"&lt;"&amp;DATE(YEAR(J$4),MONTH(J$4)+1,1))</f>
        <v>0</v>
      </c>
      <c r="K14" s="133" cm="1">
        <f t="array" aca="1" ref="K14" ca="1">SUMIFS(OFFSET(Payroll!$A$6,1,$G$2-1,PayCount,1),PayDept,$A14,PayDate,"&gt;="&amp;DATE(YEAR(K$4),MONTH(K$4),1),PayDate,"&lt;"&amp;DATE(YEAR(K$4),MONTH(K$4)+1,1))</f>
        <v>0</v>
      </c>
      <c r="L14" s="133" cm="1">
        <f t="array" aca="1" ref="L14" ca="1">SUMIFS(OFFSET(Payroll!$A$6,1,$G$2-1,PayCount,1),PayDept,$A14,PayDate,"&gt;="&amp;DATE(YEAR(L$4),MONTH(L$4),1),PayDate,"&lt;"&amp;DATE(YEAR(L$4),MONTH(L$4)+1,1))</f>
        <v>0</v>
      </c>
      <c r="M14" s="133" cm="1">
        <f t="array" aca="1" ref="M14" ca="1">SUMIFS(OFFSET(Payroll!$A$6,1,$G$2-1,PayCount,1),PayDept,$A14,PayDate,"&gt;="&amp;DATE(YEAR(M$4),MONTH(M$4),1),PayDate,"&lt;"&amp;DATE(YEAR(M$4),MONTH(M$4)+1,1))</f>
        <v>0</v>
      </c>
      <c r="N14" s="133" cm="1">
        <f t="array" aca="1" ref="N14" ca="1">SUMIFS(OFFSET(Payroll!$A$6,1,$G$2-1,PayCount,1),PayDept,$A14,PayDate,"&gt;="&amp;DATE(YEAR(N$4),MONTH(N$4),1),PayDate,"&lt;"&amp;DATE(YEAR(N$4),MONTH(N$4)+1,1))</f>
        <v>0</v>
      </c>
      <c r="O14" s="133" cm="1">
        <f t="array" aca="1" ref="O14" ca="1">SUMIFS(OFFSET(Payroll!$A$6,1,$G$2-1,PayCount,1),PayDept,$A14,PayDate,"&gt;="&amp;DATE(YEAR(O$4),MONTH(O$4),1),PayDate,"&lt;"&amp;DATE(YEAR(O$4),MONTH(O$4)+1,1))</f>
        <v>0</v>
      </c>
      <c r="P14" s="2"/>
      <c r="Q14" s="139"/>
      <c r="R14" s="298"/>
    </row>
    <row r="15" spans="1:18" ht="16.149999999999999" customHeight="1" x14ac:dyDescent="0.25">
      <c r="A15" s="9" t="str">
        <f ca="1">IF(ROW($D15)-ROW($D$6)+1&gt;DeptCount,"-",OFFSET(Setup!$A$89,ROW($D15)-ROW($D$5),0,1,1))</f>
        <v>-</v>
      </c>
      <c r="B15" s="9" t="str">
        <f ca="1">IF(ISNA(VLOOKUP($A15,DeptAll,COLUMN(Emp!$B$1),0))=TRUE,"-",VLOOKUP($A15,DeptAll,COLUMN(Emp!$B$1),0))</f>
        <v>-</v>
      </c>
      <c r="C15" s="130" t="str">
        <f ca="1">IF(ISNA(VLOOKUP($A15,DeptAll,COLUMN(Emp!$E$1),0))=TRUE,"-",VLOOKUP($A15,DeptAll,COLUMN(Emp!$E$1),0))</f>
        <v>-</v>
      </c>
      <c r="D15" s="133" cm="1">
        <f t="array" aca="1" ref="D15" ca="1">SUMIFS(OFFSET(Payroll!$A$6,1,$G$2-1,PayCount,1),PayDept,$A15,PayDate,"&gt;="&amp;DATE(YEAR(D$4),MONTH(D$4),1),PayDate,"&lt;"&amp;DATE(YEAR(D$4),MONTH(D$4)+1,1))</f>
        <v>0</v>
      </c>
      <c r="E15" s="133" cm="1">
        <f t="array" aca="1" ref="E15" ca="1">SUMIFS(OFFSET(Payroll!$A$6,1,$G$2-1,PayCount,1),PayDept,$A15,PayDate,"&gt;="&amp;DATE(YEAR(E$4),MONTH(E$4),1),PayDate,"&lt;"&amp;DATE(YEAR(E$4),MONTH(E$4)+1,1))</f>
        <v>0</v>
      </c>
      <c r="F15" s="133" cm="1">
        <f t="array" aca="1" ref="F15" ca="1">SUMIFS(OFFSET(Payroll!$A$6,1,$G$2-1,PayCount,1),PayDept,$A15,PayDate,"&gt;="&amp;DATE(YEAR(F$4),MONTH(F$4),1),PayDate,"&lt;"&amp;DATE(YEAR(F$4),MONTH(F$4)+1,1))</f>
        <v>0</v>
      </c>
      <c r="G15" s="133" cm="1">
        <f t="array" aca="1" ref="G15" ca="1">SUMIFS(OFFSET(Payroll!$A$6,1,$G$2-1,PayCount,1),PayDept,$A15,PayDate,"&gt;="&amp;DATE(YEAR(G$4),MONTH(G$4),1),PayDate,"&lt;"&amp;DATE(YEAR(G$4),MONTH(G$4)+1,1))</f>
        <v>0</v>
      </c>
      <c r="H15" s="133" cm="1">
        <f t="array" aca="1" ref="H15" ca="1">SUMIFS(OFFSET(Payroll!$A$6,1,$G$2-1,PayCount,1),PayDept,$A15,PayDate,"&gt;="&amp;DATE(YEAR(H$4),MONTH(H$4),1),PayDate,"&lt;"&amp;DATE(YEAR(H$4),MONTH(H$4)+1,1))</f>
        <v>0</v>
      </c>
      <c r="I15" s="133" cm="1">
        <f t="array" aca="1" ref="I15" ca="1">SUMIFS(OFFSET(Payroll!$A$6,1,$G$2-1,PayCount,1),PayDept,$A15,PayDate,"&gt;="&amp;DATE(YEAR(I$4),MONTH(I$4),1),PayDate,"&lt;"&amp;DATE(YEAR(I$4),MONTH(I$4)+1,1))</f>
        <v>0</v>
      </c>
      <c r="J15" s="133" cm="1">
        <f t="array" aca="1" ref="J15" ca="1">SUMIFS(OFFSET(Payroll!$A$6,1,$G$2-1,PayCount,1),PayDept,$A15,PayDate,"&gt;="&amp;DATE(YEAR(J$4),MONTH(J$4),1),PayDate,"&lt;"&amp;DATE(YEAR(J$4),MONTH(J$4)+1,1))</f>
        <v>0</v>
      </c>
      <c r="K15" s="133" cm="1">
        <f t="array" aca="1" ref="K15" ca="1">SUMIFS(OFFSET(Payroll!$A$6,1,$G$2-1,PayCount,1),PayDept,$A15,PayDate,"&gt;="&amp;DATE(YEAR(K$4),MONTH(K$4),1),PayDate,"&lt;"&amp;DATE(YEAR(K$4),MONTH(K$4)+1,1))</f>
        <v>0</v>
      </c>
      <c r="L15" s="133" cm="1">
        <f t="array" aca="1" ref="L15" ca="1">SUMIFS(OFFSET(Payroll!$A$6,1,$G$2-1,PayCount,1),PayDept,$A15,PayDate,"&gt;="&amp;DATE(YEAR(L$4),MONTH(L$4),1),PayDate,"&lt;"&amp;DATE(YEAR(L$4),MONTH(L$4)+1,1))</f>
        <v>0</v>
      </c>
      <c r="M15" s="133" cm="1">
        <f t="array" aca="1" ref="M15" ca="1">SUMIFS(OFFSET(Payroll!$A$6,1,$G$2-1,PayCount,1),PayDept,$A15,PayDate,"&gt;="&amp;DATE(YEAR(M$4),MONTH(M$4),1),PayDate,"&lt;"&amp;DATE(YEAR(M$4),MONTH(M$4)+1,1))</f>
        <v>0</v>
      </c>
      <c r="N15" s="133" cm="1">
        <f t="array" aca="1" ref="N15" ca="1">SUMIFS(OFFSET(Payroll!$A$6,1,$G$2-1,PayCount,1),PayDept,$A15,PayDate,"&gt;="&amp;DATE(YEAR(N$4),MONTH(N$4),1),PayDate,"&lt;"&amp;DATE(YEAR(N$4),MONTH(N$4)+1,1))</f>
        <v>0</v>
      </c>
      <c r="O15" s="133" cm="1">
        <f t="array" aca="1" ref="O15" ca="1">SUMIFS(OFFSET(Payroll!$A$6,1,$G$2-1,PayCount,1),PayDept,$A15,PayDate,"&gt;="&amp;DATE(YEAR(O$4),MONTH(O$4),1),PayDate,"&lt;"&amp;DATE(YEAR(O$4),MONTH(O$4)+1,1))</f>
        <v>0</v>
      </c>
      <c r="P15" s="2"/>
      <c r="Q15" s="139"/>
      <c r="R15" s="298"/>
    </row>
    <row r="16" spans="1:18" ht="16.149999999999999" customHeight="1" x14ac:dyDescent="0.25">
      <c r="A16" s="9" t="str">
        <f ca="1">IF(ROW($D16)-ROW($D$6)+1&gt;DeptCount,"-",OFFSET(Setup!$A$89,ROW($D16)-ROW($D$5),0,1,1))</f>
        <v>-</v>
      </c>
      <c r="B16" s="9" t="str">
        <f ca="1">IF(ISNA(VLOOKUP($A16,DeptAll,COLUMN(Emp!$B$1),0))=TRUE,"-",VLOOKUP($A16,DeptAll,COLUMN(Emp!$B$1),0))</f>
        <v>-</v>
      </c>
      <c r="C16" s="130" t="str">
        <f ca="1">IF(ISNA(VLOOKUP($A16,DeptAll,COLUMN(Emp!$E$1),0))=TRUE,"-",VLOOKUP($A16,DeptAll,COLUMN(Emp!$E$1),0))</f>
        <v>-</v>
      </c>
      <c r="D16" s="133" cm="1">
        <f t="array" aca="1" ref="D16" ca="1">SUMIFS(OFFSET(Payroll!$A$6,1,$G$2-1,PayCount,1),PayDept,$A16,PayDate,"&gt;="&amp;DATE(YEAR(D$4),MONTH(D$4),1),PayDate,"&lt;"&amp;DATE(YEAR(D$4),MONTH(D$4)+1,1))</f>
        <v>0</v>
      </c>
      <c r="E16" s="133" cm="1">
        <f t="array" aca="1" ref="E16" ca="1">SUMIFS(OFFSET(Payroll!$A$6,1,$G$2-1,PayCount,1),PayDept,$A16,PayDate,"&gt;="&amp;DATE(YEAR(E$4),MONTH(E$4),1),PayDate,"&lt;"&amp;DATE(YEAR(E$4),MONTH(E$4)+1,1))</f>
        <v>0</v>
      </c>
      <c r="F16" s="133" cm="1">
        <f t="array" aca="1" ref="F16" ca="1">SUMIFS(OFFSET(Payroll!$A$6,1,$G$2-1,PayCount,1),PayDept,$A16,PayDate,"&gt;="&amp;DATE(YEAR(F$4),MONTH(F$4),1),PayDate,"&lt;"&amp;DATE(YEAR(F$4),MONTH(F$4)+1,1))</f>
        <v>0</v>
      </c>
      <c r="G16" s="133" cm="1">
        <f t="array" aca="1" ref="G16" ca="1">SUMIFS(OFFSET(Payroll!$A$6,1,$G$2-1,PayCount,1),PayDept,$A16,PayDate,"&gt;="&amp;DATE(YEAR(G$4),MONTH(G$4),1),PayDate,"&lt;"&amp;DATE(YEAR(G$4),MONTH(G$4)+1,1))</f>
        <v>0</v>
      </c>
      <c r="H16" s="133" cm="1">
        <f t="array" aca="1" ref="H16" ca="1">SUMIFS(OFFSET(Payroll!$A$6,1,$G$2-1,PayCount,1),PayDept,$A16,PayDate,"&gt;="&amp;DATE(YEAR(H$4),MONTH(H$4),1),PayDate,"&lt;"&amp;DATE(YEAR(H$4),MONTH(H$4)+1,1))</f>
        <v>0</v>
      </c>
      <c r="I16" s="133" cm="1">
        <f t="array" aca="1" ref="I16" ca="1">SUMIFS(OFFSET(Payroll!$A$6,1,$G$2-1,PayCount,1),PayDept,$A16,PayDate,"&gt;="&amp;DATE(YEAR(I$4),MONTH(I$4),1),PayDate,"&lt;"&amp;DATE(YEAR(I$4),MONTH(I$4)+1,1))</f>
        <v>0</v>
      </c>
      <c r="J16" s="133" cm="1">
        <f t="array" aca="1" ref="J16" ca="1">SUMIFS(OFFSET(Payroll!$A$6,1,$G$2-1,PayCount,1),PayDept,$A16,PayDate,"&gt;="&amp;DATE(YEAR(J$4),MONTH(J$4),1),PayDate,"&lt;"&amp;DATE(YEAR(J$4),MONTH(J$4)+1,1))</f>
        <v>0</v>
      </c>
      <c r="K16" s="133" cm="1">
        <f t="array" aca="1" ref="K16" ca="1">SUMIFS(OFFSET(Payroll!$A$6,1,$G$2-1,PayCount,1),PayDept,$A16,PayDate,"&gt;="&amp;DATE(YEAR(K$4),MONTH(K$4),1),PayDate,"&lt;"&amp;DATE(YEAR(K$4),MONTH(K$4)+1,1))</f>
        <v>0</v>
      </c>
      <c r="L16" s="133" cm="1">
        <f t="array" aca="1" ref="L16" ca="1">SUMIFS(OFFSET(Payroll!$A$6,1,$G$2-1,PayCount,1),PayDept,$A16,PayDate,"&gt;="&amp;DATE(YEAR(L$4),MONTH(L$4),1),PayDate,"&lt;"&amp;DATE(YEAR(L$4),MONTH(L$4)+1,1))</f>
        <v>0</v>
      </c>
      <c r="M16" s="133" cm="1">
        <f t="array" aca="1" ref="M16" ca="1">SUMIFS(OFFSET(Payroll!$A$6,1,$G$2-1,PayCount,1),PayDept,$A16,PayDate,"&gt;="&amp;DATE(YEAR(M$4),MONTH(M$4),1),PayDate,"&lt;"&amp;DATE(YEAR(M$4),MONTH(M$4)+1,1))</f>
        <v>0</v>
      </c>
      <c r="N16" s="133" cm="1">
        <f t="array" aca="1" ref="N16" ca="1">SUMIFS(OFFSET(Payroll!$A$6,1,$G$2-1,PayCount,1),PayDept,$A16,PayDate,"&gt;="&amp;DATE(YEAR(N$4),MONTH(N$4),1),PayDate,"&lt;"&amp;DATE(YEAR(N$4),MONTH(N$4)+1,1))</f>
        <v>0</v>
      </c>
      <c r="O16" s="133" cm="1">
        <f t="array" aca="1" ref="O16" ca="1">SUMIFS(OFFSET(Payroll!$A$6,1,$G$2-1,PayCount,1),PayDept,$A16,PayDate,"&gt;="&amp;DATE(YEAR(O$4),MONTH(O$4),1),PayDate,"&lt;"&amp;DATE(YEAR(O$4),MONTH(O$4)+1,1))</f>
        <v>0</v>
      </c>
      <c r="P16" s="2"/>
      <c r="Q16" s="139"/>
      <c r="R16" s="298"/>
    </row>
    <row r="17" spans="1:18" ht="16.149999999999999" customHeight="1" x14ac:dyDescent="0.25">
      <c r="A17" s="9" t="str">
        <f ca="1">IF(ROW($D17)-ROW($D$6)+1&gt;DeptCount,"-",OFFSET(Setup!$A$89,ROW($D17)-ROW($D$5),0,1,1))</f>
        <v>-</v>
      </c>
      <c r="B17" s="9" t="str">
        <f ca="1">IF(ISNA(VLOOKUP($A17,DeptAll,COLUMN(Emp!$B$1),0))=TRUE,"-",VLOOKUP($A17,DeptAll,COLUMN(Emp!$B$1),0))</f>
        <v>-</v>
      </c>
      <c r="C17" s="130" t="str">
        <f ca="1">IF(ISNA(VLOOKUP($A17,DeptAll,COLUMN(Emp!$E$1),0))=TRUE,"-",VLOOKUP($A17,DeptAll,COLUMN(Emp!$E$1),0))</f>
        <v>-</v>
      </c>
      <c r="D17" s="133" cm="1">
        <f t="array" aca="1" ref="D17" ca="1">SUMIFS(OFFSET(Payroll!$A$6,1,$G$2-1,PayCount,1),PayDept,$A17,PayDate,"&gt;="&amp;DATE(YEAR(D$4),MONTH(D$4),1),PayDate,"&lt;"&amp;DATE(YEAR(D$4),MONTH(D$4)+1,1))</f>
        <v>0</v>
      </c>
      <c r="E17" s="133" cm="1">
        <f t="array" aca="1" ref="E17" ca="1">SUMIFS(OFFSET(Payroll!$A$6,1,$G$2-1,PayCount,1),PayDept,$A17,PayDate,"&gt;="&amp;DATE(YEAR(E$4),MONTH(E$4),1),PayDate,"&lt;"&amp;DATE(YEAR(E$4),MONTH(E$4)+1,1))</f>
        <v>0</v>
      </c>
      <c r="F17" s="133" cm="1">
        <f t="array" aca="1" ref="F17" ca="1">SUMIFS(OFFSET(Payroll!$A$6,1,$G$2-1,PayCount,1),PayDept,$A17,PayDate,"&gt;="&amp;DATE(YEAR(F$4),MONTH(F$4),1),PayDate,"&lt;"&amp;DATE(YEAR(F$4),MONTH(F$4)+1,1))</f>
        <v>0</v>
      </c>
      <c r="G17" s="133" cm="1">
        <f t="array" aca="1" ref="G17" ca="1">SUMIFS(OFFSET(Payroll!$A$6,1,$G$2-1,PayCount,1),PayDept,$A17,PayDate,"&gt;="&amp;DATE(YEAR(G$4),MONTH(G$4),1),PayDate,"&lt;"&amp;DATE(YEAR(G$4),MONTH(G$4)+1,1))</f>
        <v>0</v>
      </c>
      <c r="H17" s="133" cm="1">
        <f t="array" aca="1" ref="H17" ca="1">SUMIFS(OFFSET(Payroll!$A$6,1,$G$2-1,PayCount,1),PayDept,$A17,PayDate,"&gt;="&amp;DATE(YEAR(H$4),MONTH(H$4),1),PayDate,"&lt;"&amp;DATE(YEAR(H$4),MONTH(H$4)+1,1))</f>
        <v>0</v>
      </c>
      <c r="I17" s="133" cm="1">
        <f t="array" aca="1" ref="I17" ca="1">SUMIFS(OFFSET(Payroll!$A$6,1,$G$2-1,PayCount,1),PayDept,$A17,PayDate,"&gt;="&amp;DATE(YEAR(I$4),MONTH(I$4),1),PayDate,"&lt;"&amp;DATE(YEAR(I$4),MONTH(I$4)+1,1))</f>
        <v>0</v>
      </c>
      <c r="J17" s="133" cm="1">
        <f t="array" aca="1" ref="J17" ca="1">SUMIFS(OFFSET(Payroll!$A$6,1,$G$2-1,PayCount,1),PayDept,$A17,PayDate,"&gt;="&amp;DATE(YEAR(J$4),MONTH(J$4),1),PayDate,"&lt;"&amp;DATE(YEAR(J$4),MONTH(J$4)+1,1))</f>
        <v>0</v>
      </c>
      <c r="K17" s="133" cm="1">
        <f t="array" aca="1" ref="K17" ca="1">SUMIFS(OFFSET(Payroll!$A$6,1,$G$2-1,PayCount,1),PayDept,$A17,PayDate,"&gt;="&amp;DATE(YEAR(K$4),MONTH(K$4),1),PayDate,"&lt;"&amp;DATE(YEAR(K$4),MONTH(K$4)+1,1))</f>
        <v>0</v>
      </c>
      <c r="L17" s="133" cm="1">
        <f t="array" aca="1" ref="L17" ca="1">SUMIFS(OFFSET(Payroll!$A$6,1,$G$2-1,PayCount,1),PayDept,$A17,PayDate,"&gt;="&amp;DATE(YEAR(L$4),MONTH(L$4),1),PayDate,"&lt;"&amp;DATE(YEAR(L$4),MONTH(L$4)+1,1))</f>
        <v>0</v>
      </c>
      <c r="M17" s="133" cm="1">
        <f t="array" aca="1" ref="M17" ca="1">SUMIFS(OFFSET(Payroll!$A$6,1,$G$2-1,PayCount,1),PayDept,$A17,PayDate,"&gt;="&amp;DATE(YEAR(M$4),MONTH(M$4),1),PayDate,"&lt;"&amp;DATE(YEAR(M$4),MONTH(M$4)+1,1))</f>
        <v>0</v>
      </c>
      <c r="N17" s="133" cm="1">
        <f t="array" aca="1" ref="N17" ca="1">SUMIFS(OFFSET(Payroll!$A$6,1,$G$2-1,PayCount,1),PayDept,$A17,PayDate,"&gt;="&amp;DATE(YEAR(N$4),MONTH(N$4),1),PayDate,"&lt;"&amp;DATE(YEAR(N$4),MONTH(N$4)+1,1))</f>
        <v>0</v>
      </c>
      <c r="O17" s="133" cm="1">
        <f t="array" aca="1" ref="O17" ca="1">SUMIFS(OFFSET(Payroll!$A$6,1,$G$2-1,PayCount,1),PayDept,$A17,PayDate,"&gt;="&amp;DATE(YEAR(O$4),MONTH(O$4),1),PayDate,"&lt;"&amp;DATE(YEAR(O$4),MONTH(O$4)+1,1))</f>
        <v>0</v>
      </c>
      <c r="P17" s="2"/>
      <c r="Q17" s="139"/>
      <c r="R17" s="298"/>
    </row>
    <row r="18" spans="1:18" ht="16.149999999999999" customHeight="1" x14ac:dyDescent="0.25">
      <c r="A18" s="9" t="str">
        <f ca="1">IF(ROW($D18)-ROW($D$6)+1&gt;DeptCount,"-",OFFSET(Setup!$A$89,ROW($D18)-ROW($D$5),0,1,1))</f>
        <v>-</v>
      </c>
      <c r="B18" s="9" t="str">
        <f ca="1">IF(ISNA(VLOOKUP($A18,DeptAll,COLUMN(Emp!$B$1),0))=TRUE,"-",VLOOKUP($A18,DeptAll,COLUMN(Emp!$B$1),0))</f>
        <v>-</v>
      </c>
      <c r="C18" s="130" t="str">
        <f ca="1">IF(ISNA(VLOOKUP($A18,DeptAll,COLUMN(Emp!$E$1),0))=TRUE,"-",VLOOKUP($A18,DeptAll,COLUMN(Emp!$E$1),0))</f>
        <v>-</v>
      </c>
      <c r="D18" s="133" cm="1">
        <f t="array" aca="1" ref="D18" ca="1">SUMIFS(OFFSET(Payroll!$A$6,1,$G$2-1,PayCount,1),PayDept,$A18,PayDate,"&gt;="&amp;DATE(YEAR(D$4),MONTH(D$4),1),PayDate,"&lt;"&amp;DATE(YEAR(D$4),MONTH(D$4)+1,1))</f>
        <v>0</v>
      </c>
      <c r="E18" s="133" cm="1">
        <f t="array" aca="1" ref="E18" ca="1">SUMIFS(OFFSET(Payroll!$A$6,1,$G$2-1,PayCount,1),PayDept,$A18,PayDate,"&gt;="&amp;DATE(YEAR(E$4),MONTH(E$4),1),PayDate,"&lt;"&amp;DATE(YEAR(E$4),MONTH(E$4)+1,1))</f>
        <v>0</v>
      </c>
      <c r="F18" s="133" cm="1">
        <f t="array" aca="1" ref="F18" ca="1">SUMIFS(OFFSET(Payroll!$A$6,1,$G$2-1,PayCount,1),PayDept,$A18,PayDate,"&gt;="&amp;DATE(YEAR(F$4),MONTH(F$4),1),PayDate,"&lt;"&amp;DATE(YEAR(F$4),MONTH(F$4)+1,1))</f>
        <v>0</v>
      </c>
      <c r="G18" s="133" cm="1">
        <f t="array" aca="1" ref="G18" ca="1">SUMIFS(OFFSET(Payroll!$A$6,1,$G$2-1,PayCount,1),PayDept,$A18,PayDate,"&gt;="&amp;DATE(YEAR(G$4),MONTH(G$4),1),PayDate,"&lt;"&amp;DATE(YEAR(G$4),MONTH(G$4)+1,1))</f>
        <v>0</v>
      </c>
      <c r="H18" s="133" cm="1">
        <f t="array" aca="1" ref="H18" ca="1">SUMIFS(OFFSET(Payroll!$A$6,1,$G$2-1,PayCount,1),PayDept,$A18,PayDate,"&gt;="&amp;DATE(YEAR(H$4),MONTH(H$4),1),PayDate,"&lt;"&amp;DATE(YEAR(H$4),MONTH(H$4)+1,1))</f>
        <v>0</v>
      </c>
      <c r="I18" s="133" cm="1">
        <f t="array" aca="1" ref="I18" ca="1">SUMIFS(OFFSET(Payroll!$A$6,1,$G$2-1,PayCount,1),PayDept,$A18,PayDate,"&gt;="&amp;DATE(YEAR(I$4),MONTH(I$4),1),PayDate,"&lt;"&amp;DATE(YEAR(I$4),MONTH(I$4)+1,1))</f>
        <v>0</v>
      </c>
      <c r="J18" s="133" cm="1">
        <f t="array" aca="1" ref="J18" ca="1">SUMIFS(OFFSET(Payroll!$A$6,1,$G$2-1,PayCount,1),PayDept,$A18,PayDate,"&gt;="&amp;DATE(YEAR(J$4),MONTH(J$4),1),PayDate,"&lt;"&amp;DATE(YEAR(J$4),MONTH(J$4)+1,1))</f>
        <v>0</v>
      </c>
      <c r="K18" s="133" cm="1">
        <f t="array" aca="1" ref="K18" ca="1">SUMIFS(OFFSET(Payroll!$A$6,1,$G$2-1,PayCount,1),PayDept,$A18,PayDate,"&gt;="&amp;DATE(YEAR(K$4),MONTH(K$4),1),PayDate,"&lt;"&amp;DATE(YEAR(K$4),MONTH(K$4)+1,1))</f>
        <v>0</v>
      </c>
      <c r="L18" s="133" cm="1">
        <f t="array" aca="1" ref="L18" ca="1">SUMIFS(OFFSET(Payroll!$A$6,1,$G$2-1,PayCount,1),PayDept,$A18,PayDate,"&gt;="&amp;DATE(YEAR(L$4),MONTH(L$4),1),PayDate,"&lt;"&amp;DATE(YEAR(L$4),MONTH(L$4)+1,1))</f>
        <v>0</v>
      </c>
      <c r="M18" s="133" cm="1">
        <f t="array" aca="1" ref="M18" ca="1">SUMIFS(OFFSET(Payroll!$A$6,1,$G$2-1,PayCount,1),PayDept,$A18,PayDate,"&gt;="&amp;DATE(YEAR(M$4),MONTH(M$4),1),PayDate,"&lt;"&amp;DATE(YEAR(M$4),MONTH(M$4)+1,1))</f>
        <v>0</v>
      </c>
      <c r="N18" s="133" cm="1">
        <f t="array" aca="1" ref="N18" ca="1">SUMIFS(OFFSET(Payroll!$A$6,1,$G$2-1,PayCount,1),PayDept,$A18,PayDate,"&gt;="&amp;DATE(YEAR(N$4),MONTH(N$4),1),PayDate,"&lt;"&amp;DATE(YEAR(N$4),MONTH(N$4)+1,1))</f>
        <v>0</v>
      </c>
      <c r="O18" s="133" cm="1">
        <f t="array" aca="1" ref="O18" ca="1">SUMIFS(OFFSET(Payroll!$A$6,1,$G$2-1,PayCount,1),PayDept,$A18,PayDate,"&gt;="&amp;DATE(YEAR(O$4),MONTH(O$4),1),PayDate,"&lt;"&amp;DATE(YEAR(O$4),MONTH(O$4)+1,1))</f>
        <v>0</v>
      </c>
      <c r="P18" s="2"/>
      <c r="Q18" s="139"/>
      <c r="R18" s="298"/>
    </row>
    <row r="19" spans="1:18" ht="16.149999999999999" customHeight="1" x14ac:dyDescent="0.25">
      <c r="A19" s="9" t="str">
        <f ca="1">IF(ROW($D19)-ROW($D$6)+1&gt;DeptCount,"-",OFFSET(Setup!$A$89,ROW($D19)-ROW($D$5),0,1,1))</f>
        <v>-</v>
      </c>
      <c r="B19" s="9" t="str">
        <f ca="1">IF(ISNA(VLOOKUP($A19,DeptAll,COLUMN(Emp!$B$1),0))=TRUE,"-",VLOOKUP($A19,DeptAll,COLUMN(Emp!$B$1),0))</f>
        <v>-</v>
      </c>
      <c r="C19" s="130" t="str">
        <f ca="1">IF(ISNA(VLOOKUP($A19,DeptAll,COLUMN(Emp!$E$1),0))=TRUE,"-",VLOOKUP($A19,DeptAll,COLUMN(Emp!$E$1),0))</f>
        <v>-</v>
      </c>
      <c r="D19" s="133" cm="1">
        <f t="array" aca="1" ref="D19" ca="1">SUMIFS(OFFSET(Payroll!$A$6,1,$G$2-1,PayCount,1),PayDept,$A19,PayDate,"&gt;="&amp;DATE(YEAR(D$4),MONTH(D$4),1),PayDate,"&lt;"&amp;DATE(YEAR(D$4),MONTH(D$4)+1,1))</f>
        <v>0</v>
      </c>
      <c r="E19" s="133" cm="1">
        <f t="array" aca="1" ref="E19" ca="1">SUMIFS(OFFSET(Payroll!$A$6,1,$G$2-1,PayCount,1),PayDept,$A19,PayDate,"&gt;="&amp;DATE(YEAR(E$4),MONTH(E$4),1),PayDate,"&lt;"&amp;DATE(YEAR(E$4),MONTH(E$4)+1,1))</f>
        <v>0</v>
      </c>
      <c r="F19" s="133" cm="1">
        <f t="array" aca="1" ref="F19" ca="1">SUMIFS(OFFSET(Payroll!$A$6,1,$G$2-1,PayCount,1),PayDept,$A19,PayDate,"&gt;="&amp;DATE(YEAR(F$4),MONTH(F$4),1),PayDate,"&lt;"&amp;DATE(YEAR(F$4),MONTH(F$4)+1,1))</f>
        <v>0</v>
      </c>
      <c r="G19" s="133" cm="1">
        <f t="array" aca="1" ref="G19" ca="1">SUMIFS(OFFSET(Payroll!$A$6,1,$G$2-1,PayCount,1),PayDept,$A19,PayDate,"&gt;="&amp;DATE(YEAR(G$4),MONTH(G$4),1),PayDate,"&lt;"&amp;DATE(YEAR(G$4),MONTH(G$4)+1,1))</f>
        <v>0</v>
      </c>
      <c r="H19" s="133" cm="1">
        <f t="array" aca="1" ref="H19" ca="1">SUMIFS(OFFSET(Payroll!$A$6,1,$G$2-1,PayCount,1),PayDept,$A19,PayDate,"&gt;="&amp;DATE(YEAR(H$4),MONTH(H$4),1),PayDate,"&lt;"&amp;DATE(YEAR(H$4),MONTH(H$4)+1,1))</f>
        <v>0</v>
      </c>
      <c r="I19" s="133" cm="1">
        <f t="array" aca="1" ref="I19" ca="1">SUMIFS(OFFSET(Payroll!$A$6,1,$G$2-1,PayCount,1),PayDept,$A19,PayDate,"&gt;="&amp;DATE(YEAR(I$4),MONTH(I$4),1),PayDate,"&lt;"&amp;DATE(YEAR(I$4),MONTH(I$4)+1,1))</f>
        <v>0</v>
      </c>
      <c r="J19" s="133" cm="1">
        <f t="array" aca="1" ref="J19" ca="1">SUMIFS(OFFSET(Payroll!$A$6,1,$G$2-1,PayCount,1),PayDept,$A19,PayDate,"&gt;="&amp;DATE(YEAR(J$4),MONTH(J$4),1),PayDate,"&lt;"&amp;DATE(YEAR(J$4),MONTH(J$4)+1,1))</f>
        <v>0</v>
      </c>
      <c r="K19" s="133" cm="1">
        <f t="array" aca="1" ref="K19" ca="1">SUMIFS(OFFSET(Payroll!$A$6,1,$G$2-1,PayCount,1),PayDept,$A19,PayDate,"&gt;="&amp;DATE(YEAR(K$4),MONTH(K$4),1),PayDate,"&lt;"&amp;DATE(YEAR(K$4),MONTH(K$4)+1,1))</f>
        <v>0</v>
      </c>
      <c r="L19" s="133" cm="1">
        <f t="array" aca="1" ref="L19" ca="1">SUMIFS(OFFSET(Payroll!$A$6,1,$G$2-1,PayCount,1),PayDept,$A19,PayDate,"&gt;="&amp;DATE(YEAR(L$4),MONTH(L$4),1),PayDate,"&lt;"&amp;DATE(YEAR(L$4),MONTH(L$4)+1,1))</f>
        <v>0</v>
      </c>
      <c r="M19" s="133" cm="1">
        <f t="array" aca="1" ref="M19" ca="1">SUMIFS(OFFSET(Payroll!$A$6,1,$G$2-1,PayCount,1),PayDept,$A19,PayDate,"&gt;="&amp;DATE(YEAR(M$4),MONTH(M$4),1),PayDate,"&lt;"&amp;DATE(YEAR(M$4),MONTH(M$4)+1,1))</f>
        <v>0</v>
      </c>
      <c r="N19" s="133" cm="1">
        <f t="array" aca="1" ref="N19" ca="1">SUMIFS(OFFSET(Payroll!$A$6,1,$G$2-1,PayCount,1),PayDept,$A19,PayDate,"&gt;="&amp;DATE(YEAR(N$4),MONTH(N$4),1),PayDate,"&lt;"&amp;DATE(YEAR(N$4),MONTH(N$4)+1,1))</f>
        <v>0</v>
      </c>
      <c r="O19" s="133" cm="1">
        <f t="array" aca="1" ref="O19" ca="1">SUMIFS(OFFSET(Payroll!$A$6,1,$G$2-1,PayCount,1),PayDept,$A19,PayDate,"&gt;="&amp;DATE(YEAR(O$4),MONTH(O$4),1),PayDate,"&lt;"&amp;DATE(YEAR(O$4),MONTH(O$4)+1,1))</f>
        <v>0</v>
      </c>
      <c r="P19" s="2"/>
      <c r="Q19" s="139"/>
      <c r="R19" s="298"/>
    </row>
    <row r="20" spans="1:18" ht="16.149999999999999" customHeight="1" x14ac:dyDescent="0.25">
      <c r="A20" s="9" t="str">
        <f ca="1">IF(ROW($D20)-ROW($D$6)+1&gt;DeptCount,"-",OFFSET(Setup!$A$89,ROW($D20)-ROW($D$5),0,1,1))</f>
        <v>-</v>
      </c>
      <c r="B20" s="9" t="str">
        <f ca="1">IF(ISNA(VLOOKUP($A20,DeptAll,COLUMN(Emp!$B$1),0))=TRUE,"-",VLOOKUP($A20,DeptAll,COLUMN(Emp!$B$1),0))</f>
        <v>-</v>
      </c>
      <c r="C20" s="130" t="str">
        <f ca="1">IF(ISNA(VLOOKUP($A20,DeptAll,COLUMN(Emp!$E$1),0))=TRUE,"-",VLOOKUP($A20,DeptAll,COLUMN(Emp!$E$1),0))</f>
        <v>-</v>
      </c>
      <c r="D20" s="133" cm="1">
        <f t="array" aca="1" ref="D20" ca="1">SUMIFS(OFFSET(Payroll!$A$6,1,$G$2-1,PayCount,1),PayDept,$A20,PayDate,"&gt;="&amp;DATE(YEAR(D$4),MONTH(D$4),1),PayDate,"&lt;"&amp;DATE(YEAR(D$4),MONTH(D$4)+1,1))</f>
        <v>0</v>
      </c>
      <c r="E20" s="133" cm="1">
        <f t="array" aca="1" ref="E20" ca="1">SUMIFS(OFFSET(Payroll!$A$6,1,$G$2-1,PayCount,1),PayDept,$A20,PayDate,"&gt;="&amp;DATE(YEAR(E$4),MONTH(E$4),1),PayDate,"&lt;"&amp;DATE(YEAR(E$4),MONTH(E$4)+1,1))</f>
        <v>0</v>
      </c>
      <c r="F20" s="133" cm="1">
        <f t="array" aca="1" ref="F20" ca="1">SUMIFS(OFFSET(Payroll!$A$6,1,$G$2-1,PayCount,1),PayDept,$A20,PayDate,"&gt;="&amp;DATE(YEAR(F$4),MONTH(F$4),1),PayDate,"&lt;"&amp;DATE(YEAR(F$4),MONTH(F$4)+1,1))</f>
        <v>0</v>
      </c>
      <c r="G20" s="133" cm="1">
        <f t="array" aca="1" ref="G20" ca="1">SUMIFS(OFFSET(Payroll!$A$6,1,$G$2-1,PayCount,1),PayDept,$A20,PayDate,"&gt;="&amp;DATE(YEAR(G$4),MONTH(G$4),1),PayDate,"&lt;"&amp;DATE(YEAR(G$4),MONTH(G$4)+1,1))</f>
        <v>0</v>
      </c>
      <c r="H20" s="133" cm="1">
        <f t="array" aca="1" ref="H20" ca="1">SUMIFS(OFFSET(Payroll!$A$6,1,$G$2-1,PayCount,1),PayDept,$A20,PayDate,"&gt;="&amp;DATE(YEAR(H$4),MONTH(H$4),1),PayDate,"&lt;"&amp;DATE(YEAR(H$4),MONTH(H$4)+1,1))</f>
        <v>0</v>
      </c>
      <c r="I20" s="133" cm="1">
        <f t="array" aca="1" ref="I20" ca="1">SUMIFS(OFFSET(Payroll!$A$6,1,$G$2-1,PayCount,1),PayDept,$A20,PayDate,"&gt;="&amp;DATE(YEAR(I$4),MONTH(I$4),1),PayDate,"&lt;"&amp;DATE(YEAR(I$4),MONTH(I$4)+1,1))</f>
        <v>0</v>
      </c>
      <c r="J20" s="133" cm="1">
        <f t="array" aca="1" ref="J20" ca="1">SUMIFS(OFFSET(Payroll!$A$6,1,$G$2-1,PayCount,1),PayDept,$A20,PayDate,"&gt;="&amp;DATE(YEAR(J$4),MONTH(J$4),1),PayDate,"&lt;"&amp;DATE(YEAR(J$4),MONTH(J$4)+1,1))</f>
        <v>0</v>
      </c>
      <c r="K20" s="133" cm="1">
        <f t="array" aca="1" ref="K20" ca="1">SUMIFS(OFFSET(Payroll!$A$6,1,$G$2-1,PayCount,1),PayDept,$A20,PayDate,"&gt;="&amp;DATE(YEAR(K$4),MONTH(K$4),1),PayDate,"&lt;"&amp;DATE(YEAR(K$4),MONTH(K$4)+1,1))</f>
        <v>0</v>
      </c>
      <c r="L20" s="133" cm="1">
        <f t="array" aca="1" ref="L20" ca="1">SUMIFS(OFFSET(Payroll!$A$6,1,$G$2-1,PayCount,1),PayDept,$A20,PayDate,"&gt;="&amp;DATE(YEAR(L$4),MONTH(L$4),1),PayDate,"&lt;"&amp;DATE(YEAR(L$4),MONTH(L$4)+1,1))</f>
        <v>0</v>
      </c>
      <c r="M20" s="133" cm="1">
        <f t="array" aca="1" ref="M20" ca="1">SUMIFS(OFFSET(Payroll!$A$6,1,$G$2-1,PayCount,1),PayDept,$A20,PayDate,"&gt;="&amp;DATE(YEAR(M$4),MONTH(M$4),1),PayDate,"&lt;"&amp;DATE(YEAR(M$4),MONTH(M$4)+1,1))</f>
        <v>0</v>
      </c>
      <c r="N20" s="133" cm="1">
        <f t="array" aca="1" ref="N20" ca="1">SUMIFS(OFFSET(Payroll!$A$6,1,$G$2-1,PayCount,1),PayDept,$A20,PayDate,"&gt;="&amp;DATE(YEAR(N$4),MONTH(N$4),1),PayDate,"&lt;"&amp;DATE(YEAR(N$4),MONTH(N$4)+1,1))</f>
        <v>0</v>
      </c>
      <c r="O20" s="133" cm="1">
        <f t="array" aca="1" ref="O20" ca="1">SUMIFS(OFFSET(Payroll!$A$6,1,$G$2-1,PayCount,1),PayDept,$A20,PayDate,"&gt;="&amp;DATE(YEAR(O$4),MONTH(O$4),1),PayDate,"&lt;"&amp;DATE(YEAR(O$4),MONTH(O$4)+1,1))</f>
        <v>0</v>
      </c>
      <c r="P20" s="2"/>
      <c r="Q20" s="139"/>
      <c r="R20" s="298"/>
    </row>
  </sheetData>
  <sheetProtection formatCells="0" formatColumns="0" formatRows="0"/>
  <mergeCells count="2">
    <mergeCell ref="D1:E1"/>
    <mergeCell ref="D2:E2"/>
  </mergeCells>
  <dataValidations count="1">
    <dataValidation type="list" allowBlank="1" showInputMessage="1" showErrorMessage="1" errorTitle="Invalid Data" error="Select a valid item from the list box." sqref="D2:E2" xr:uid="{00000000-0002-0000-0B00-000000000000}">
      <formula1>MonthMeasureList</formula1>
    </dataValidation>
  </dataValidations>
  <printOptions horizontalCentered="1"/>
  <pageMargins left="0.59055118110236227" right="0.59055118110236227" top="0.59055118110236227" bottom="0.59055118110236227" header="0.39370078740157483" footer="0.39370078740157483"/>
  <pageSetup paperSize="9" scale="69" orientation="landscape" r:id="rId1"/>
  <headerFooter alignWithMargins="0">
    <oddFooter>&amp;C&amp;9Page &amp;P of &amp;N</oddFooter>
  </headerFooter>
  <drawing r:id="rId2"/>
  <tableParts count="1">
    <tablePart r:id="rId3"/>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
  <sheetViews>
    <sheetView workbookViewId="0">
      <selection activeCell="B2" sqref="B2"/>
    </sheetView>
  </sheetViews>
  <sheetFormatPr defaultColWidth="8.85546875" defaultRowHeight="16.5" x14ac:dyDescent="0.3"/>
  <cols>
    <col min="1" max="16384" width="8.85546875" style="1"/>
  </cols>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pageSetUpPr fitToPage="1"/>
  </sheetPr>
  <dimension ref="A1:A489"/>
  <sheetViews>
    <sheetView zoomScaleNormal="100" workbookViewId="0"/>
  </sheetViews>
  <sheetFormatPr defaultColWidth="9.140625" defaultRowHeight="12.75" x14ac:dyDescent="0.2"/>
  <cols>
    <col min="1" max="1" width="109.7109375" style="316" customWidth="1"/>
    <col min="2" max="2" width="50.7109375" style="307" customWidth="1"/>
    <col min="3" max="16384" width="9.140625" style="307"/>
  </cols>
  <sheetData>
    <row r="1" spans="1:1" ht="15.75" x14ac:dyDescent="0.2">
      <c r="A1" s="306" t="s">
        <v>397</v>
      </c>
    </row>
    <row r="2" spans="1:1" ht="15" customHeight="1" x14ac:dyDescent="0.2">
      <c r="A2" s="308" t="s">
        <v>281</v>
      </c>
    </row>
    <row r="3" spans="1:1" ht="15" customHeight="1" x14ac:dyDescent="0.2">
      <c r="A3" s="309" t="s">
        <v>282</v>
      </c>
    </row>
    <row r="4" spans="1:1" x14ac:dyDescent="0.2">
      <c r="A4" s="310"/>
    </row>
    <row r="5" spans="1:1" ht="63.75" x14ac:dyDescent="0.2">
      <c r="A5" s="311" t="s">
        <v>421</v>
      </c>
    </row>
    <row r="7" spans="1:1" ht="25.5" x14ac:dyDescent="0.2">
      <c r="A7" s="312" t="s">
        <v>284</v>
      </c>
    </row>
    <row r="8" spans="1:1" ht="38.25" x14ac:dyDescent="0.2">
      <c r="A8" s="313" t="s">
        <v>422</v>
      </c>
    </row>
    <row r="9" spans="1:1" ht="38.25" x14ac:dyDescent="0.2">
      <c r="A9" s="313" t="s">
        <v>423</v>
      </c>
    </row>
    <row r="10" spans="1:1" ht="51" x14ac:dyDescent="0.2">
      <c r="A10" s="313" t="s">
        <v>424</v>
      </c>
    </row>
    <row r="11" spans="1:1" ht="38.25" x14ac:dyDescent="0.2">
      <c r="A11" s="313" t="s">
        <v>286</v>
      </c>
    </row>
    <row r="12" spans="1:1" ht="63.75" x14ac:dyDescent="0.2">
      <c r="A12" s="313" t="s">
        <v>285</v>
      </c>
    </row>
    <row r="13" spans="1:1" ht="63.75" x14ac:dyDescent="0.2">
      <c r="A13" s="313" t="s">
        <v>378</v>
      </c>
    </row>
    <row r="14" spans="1:1" ht="51" x14ac:dyDescent="0.2">
      <c r="A14" s="313" t="s">
        <v>484</v>
      </c>
    </row>
    <row r="15" spans="1:1" x14ac:dyDescent="0.2">
      <c r="A15" s="313"/>
    </row>
    <row r="16" spans="1:1" x14ac:dyDescent="0.2">
      <c r="A16" s="313" t="s">
        <v>425</v>
      </c>
    </row>
    <row r="17" spans="1:1" ht="38.25" x14ac:dyDescent="0.2">
      <c r="A17" s="313" t="s">
        <v>426</v>
      </c>
    </row>
    <row r="18" spans="1:1" ht="63.75" x14ac:dyDescent="0.2">
      <c r="A18" s="313" t="s">
        <v>427</v>
      </c>
    </row>
    <row r="19" spans="1:1" ht="38.25" x14ac:dyDescent="0.2">
      <c r="A19" s="313" t="s">
        <v>428</v>
      </c>
    </row>
    <row r="20" spans="1:1" ht="38.25" x14ac:dyDescent="0.2">
      <c r="A20" s="313" t="s">
        <v>429</v>
      </c>
    </row>
    <row r="22" spans="1:1" s="315" customFormat="1" x14ac:dyDescent="0.2">
      <c r="A22" s="314" t="s">
        <v>475</v>
      </c>
    </row>
    <row r="23" spans="1:1" ht="25.5" x14ac:dyDescent="0.2">
      <c r="A23" s="313" t="s">
        <v>476</v>
      </c>
    </row>
    <row r="24" spans="1:1" x14ac:dyDescent="0.2">
      <c r="A24" s="313" t="s">
        <v>480</v>
      </c>
    </row>
    <row r="25" spans="1:1" ht="25.5" x14ac:dyDescent="0.2">
      <c r="A25" s="313" t="s">
        <v>477</v>
      </c>
    </row>
    <row r="26" spans="1:1" ht="25.5" x14ac:dyDescent="0.2">
      <c r="A26" s="313" t="s">
        <v>478</v>
      </c>
    </row>
    <row r="27" spans="1:1" ht="25.5" x14ac:dyDescent="0.2">
      <c r="A27" s="313" t="s">
        <v>479</v>
      </c>
    </row>
    <row r="29" spans="1:1" x14ac:dyDescent="0.2">
      <c r="A29" s="316" t="s">
        <v>287</v>
      </c>
    </row>
    <row r="30" spans="1:1" ht="51" x14ac:dyDescent="0.2">
      <c r="A30" s="316" t="s">
        <v>588</v>
      </c>
    </row>
    <row r="31" spans="1:1" ht="102" x14ac:dyDescent="0.2">
      <c r="A31" s="316" t="s">
        <v>485</v>
      </c>
    </row>
    <row r="32" spans="1:1" ht="51" x14ac:dyDescent="0.2">
      <c r="A32" s="316" t="s">
        <v>486</v>
      </c>
    </row>
    <row r="33" spans="1:1" ht="38.25" x14ac:dyDescent="0.2">
      <c r="A33" s="316" t="s">
        <v>487</v>
      </c>
    </row>
    <row r="34" spans="1:1" ht="25.5" x14ac:dyDescent="0.2">
      <c r="A34" s="316" t="s">
        <v>488</v>
      </c>
    </row>
    <row r="35" spans="1:1" ht="38.25" x14ac:dyDescent="0.2">
      <c r="A35" s="316" t="s">
        <v>489</v>
      </c>
    </row>
    <row r="36" spans="1:1" ht="51" x14ac:dyDescent="0.2">
      <c r="A36" s="316" t="s">
        <v>490</v>
      </c>
    </row>
    <row r="37" spans="1:1" ht="51" x14ac:dyDescent="0.2">
      <c r="A37" s="316" t="s">
        <v>491</v>
      </c>
    </row>
    <row r="39" spans="1:1" x14ac:dyDescent="0.2">
      <c r="A39" s="317" t="s">
        <v>37</v>
      </c>
    </row>
    <row r="41" spans="1:1" ht="25.5" x14ac:dyDescent="0.2">
      <c r="A41" s="316" t="s">
        <v>290</v>
      </c>
    </row>
    <row r="43" spans="1:1" ht="38.25" x14ac:dyDescent="0.2">
      <c r="A43" s="316" t="s">
        <v>289</v>
      </c>
    </row>
    <row r="45" spans="1:1" ht="25.5" x14ac:dyDescent="0.2">
      <c r="A45" s="316" t="s">
        <v>303</v>
      </c>
    </row>
    <row r="47" spans="1:1" ht="38.25" x14ac:dyDescent="0.2">
      <c r="A47" s="312" t="s">
        <v>391</v>
      </c>
    </row>
    <row r="49" spans="1:1" ht="51" x14ac:dyDescent="0.2">
      <c r="A49" s="316" t="s">
        <v>430</v>
      </c>
    </row>
    <row r="51" spans="1:1" ht="38.25" x14ac:dyDescent="0.2">
      <c r="A51" s="316" t="s">
        <v>431</v>
      </c>
    </row>
    <row r="53" spans="1:1" ht="38.25" x14ac:dyDescent="0.2">
      <c r="A53" s="316" t="s">
        <v>432</v>
      </c>
    </row>
    <row r="55" spans="1:1" ht="38.25" x14ac:dyDescent="0.2">
      <c r="A55" s="312" t="s">
        <v>433</v>
      </c>
    </row>
    <row r="57" spans="1:1" x14ac:dyDescent="0.2">
      <c r="A57" s="317" t="s">
        <v>294</v>
      </c>
    </row>
    <row r="59" spans="1:1" ht="38.25" x14ac:dyDescent="0.2">
      <c r="A59" s="316" t="s">
        <v>291</v>
      </c>
    </row>
    <row r="61" spans="1:1" ht="51" x14ac:dyDescent="0.2">
      <c r="A61" s="316" t="s">
        <v>589</v>
      </c>
    </row>
    <row r="63" spans="1:1" ht="25.5" x14ac:dyDescent="0.2">
      <c r="A63" s="316" t="s">
        <v>590</v>
      </c>
    </row>
    <row r="65" spans="1:1" ht="38.25" x14ac:dyDescent="0.2">
      <c r="A65" s="316" t="s">
        <v>379</v>
      </c>
    </row>
    <row r="67" spans="1:1" ht="38.25" x14ac:dyDescent="0.2">
      <c r="A67" s="312" t="s">
        <v>292</v>
      </c>
    </row>
    <row r="69" spans="1:1" ht="38.25" x14ac:dyDescent="0.2">
      <c r="A69" s="316" t="s">
        <v>293</v>
      </c>
    </row>
    <row r="71" spans="1:1" ht="38.25" x14ac:dyDescent="0.2">
      <c r="A71" s="316" t="s">
        <v>392</v>
      </c>
    </row>
    <row r="73" spans="1:1" ht="51" x14ac:dyDescent="0.2">
      <c r="A73" s="312" t="s">
        <v>393</v>
      </c>
    </row>
    <row r="75" spans="1:1" ht="25.5" x14ac:dyDescent="0.2">
      <c r="A75" s="312" t="s">
        <v>591</v>
      </c>
    </row>
    <row r="77" spans="1:1" x14ac:dyDescent="0.2">
      <c r="A77" s="317" t="s">
        <v>58</v>
      </c>
    </row>
    <row r="79" spans="1:1" ht="51" x14ac:dyDescent="0.2">
      <c r="A79" s="316" t="s">
        <v>304</v>
      </c>
    </row>
    <row r="81" spans="1:1" ht="51" x14ac:dyDescent="0.2">
      <c r="A81" s="316" t="s">
        <v>295</v>
      </c>
    </row>
    <row r="83" spans="1:1" ht="38.25" x14ac:dyDescent="0.2">
      <c r="A83" s="312" t="s">
        <v>305</v>
      </c>
    </row>
    <row r="85" spans="1:1" ht="38.25" x14ac:dyDescent="0.2">
      <c r="A85" s="316" t="s">
        <v>434</v>
      </c>
    </row>
    <row r="87" spans="1:1" ht="25.5" x14ac:dyDescent="0.2">
      <c r="A87" s="316" t="s">
        <v>592</v>
      </c>
    </row>
    <row r="89" spans="1:1" ht="76.5" x14ac:dyDescent="0.2">
      <c r="A89" s="312" t="s">
        <v>435</v>
      </c>
    </row>
    <row r="91" spans="1:1" x14ac:dyDescent="0.2">
      <c r="A91" s="317" t="s">
        <v>7</v>
      </c>
    </row>
    <row r="93" spans="1:1" ht="38.25" x14ac:dyDescent="0.2">
      <c r="A93" s="316" t="s">
        <v>436</v>
      </c>
    </row>
    <row r="94" spans="1:1" ht="38.25" x14ac:dyDescent="0.2">
      <c r="A94" s="316" t="s">
        <v>492</v>
      </c>
    </row>
    <row r="95" spans="1:1" x14ac:dyDescent="0.2">
      <c r="A95" s="316" t="s">
        <v>493</v>
      </c>
    </row>
    <row r="96" spans="1:1" ht="38.25" x14ac:dyDescent="0.2">
      <c r="A96" s="316" t="s">
        <v>494</v>
      </c>
    </row>
    <row r="97" spans="1:1" ht="25.5" x14ac:dyDescent="0.2">
      <c r="A97" s="316" t="s">
        <v>495</v>
      </c>
    </row>
    <row r="98" spans="1:1" ht="25.5" x14ac:dyDescent="0.2">
      <c r="A98" s="316" t="s">
        <v>496</v>
      </c>
    </row>
    <row r="100" spans="1:1" ht="25.5" x14ac:dyDescent="0.2">
      <c r="A100" s="312" t="s">
        <v>437</v>
      </c>
    </row>
    <row r="102" spans="1:1" ht="51" x14ac:dyDescent="0.2">
      <c r="A102" s="316" t="s">
        <v>438</v>
      </c>
    </row>
    <row r="104" spans="1:1" ht="51" x14ac:dyDescent="0.2">
      <c r="A104" s="316" t="s">
        <v>439</v>
      </c>
    </row>
    <row r="106" spans="1:1" x14ac:dyDescent="0.2">
      <c r="A106" s="312" t="s">
        <v>306</v>
      </c>
    </row>
    <row r="108" spans="1:1" ht="51" x14ac:dyDescent="0.2">
      <c r="A108" s="316" t="s">
        <v>593</v>
      </c>
    </row>
    <row r="110" spans="1:1" ht="63.75" x14ac:dyDescent="0.2">
      <c r="A110" s="314" t="s">
        <v>307</v>
      </c>
    </row>
    <row r="112" spans="1:1" x14ac:dyDescent="0.2">
      <c r="A112" s="317" t="s">
        <v>297</v>
      </c>
    </row>
    <row r="114" spans="1:1" ht="38.25" x14ac:dyDescent="0.2">
      <c r="A114" s="316" t="s">
        <v>440</v>
      </c>
    </row>
    <row r="115" spans="1:1" ht="38.25" x14ac:dyDescent="0.2">
      <c r="A115" s="316" t="s">
        <v>497</v>
      </c>
    </row>
    <row r="116" spans="1:1" ht="25.5" x14ac:dyDescent="0.2">
      <c r="A116" s="316" t="s">
        <v>498</v>
      </c>
    </row>
    <row r="117" spans="1:1" ht="25.5" x14ac:dyDescent="0.2">
      <c r="A117" s="316" t="s">
        <v>499</v>
      </c>
    </row>
    <row r="118" spans="1:1" ht="38.25" x14ac:dyDescent="0.2">
      <c r="A118" s="316" t="s">
        <v>500</v>
      </c>
    </row>
    <row r="119" spans="1:1" ht="51" x14ac:dyDescent="0.2">
      <c r="A119" s="316" t="s">
        <v>501</v>
      </c>
    </row>
    <row r="120" spans="1:1" ht="38.25" x14ac:dyDescent="0.2">
      <c r="A120" s="316" t="s">
        <v>594</v>
      </c>
    </row>
    <row r="121" spans="1:1" ht="38.25" x14ac:dyDescent="0.2">
      <c r="A121" s="316" t="s">
        <v>502</v>
      </c>
    </row>
    <row r="122" spans="1:1" ht="25.5" x14ac:dyDescent="0.2">
      <c r="A122" s="316" t="s">
        <v>503</v>
      </c>
    </row>
    <row r="123" spans="1:1" ht="51" x14ac:dyDescent="0.2">
      <c r="A123" s="316" t="s">
        <v>504</v>
      </c>
    </row>
    <row r="125" spans="1:1" ht="89.25" x14ac:dyDescent="0.2">
      <c r="A125" s="316" t="s">
        <v>441</v>
      </c>
    </row>
    <row r="127" spans="1:1" x14ac:dyDescent="0.2">
      <c r="A127" s="312" t="s">
        <v>310</v>
      </c>
    </row>
    <row r="129" spans="1:1" ht="76.5" x14ac:dyDescent="0.2">
      <c r="A129" s="316" t="s">
        <v>442</v>
      </c>
    </row>
    <row r="131" spans="1:1" ht="38.25" x14ac:dyDescent="0.2">
      <c r="A131" s="312" t="s">
        <v>381</v>
      </c>
    </row>
    <row r="133" spans="1:1" ht="51" x14ac:dyDescent="0.2">
      <c r="A133" s="316" t="s">
        <v>384</v>
      </c>
    </row>
    <row r="135" spans="1:1" ht="25.5" x14ac:dyDescent="0.2">
      <c r="A135" s="316" t="s">
        <v>308</v>
      </c>
    </row>
    <row r="137" spans="1:1" ht="38.25" x14ac:dyDescent="0.2">
      <c r="A137" s="312" t="s">
        <v>394</v>
      </c>
    </row>
    <row r="139" spans="1:1" ht="38.25" x14ac:dyDescent="0.2">
      <c r="A139" s="316" t="s">
        <v>309</v>
      </c>
    </row>
    <row r="141" spans="1:1" ht="38.25" x14ac:dyDescent="0.2">
      <c r="A141" s="312" t="s">
        <v>443</v>
      </c>
    </row>
    <row r="143" spans="1:1" x14ac:dyDescent="0.2">
      <c r="A143" s="312" t="s">
        <v>311</v>
      </c>
    </row>
    <row r="144" spans="1:1" x14ac:dyDescent="0.2">
      <c r="A144" s="312"/>
    </row>
    <row r="145" spans="1:1" ht="38.25" x14ac:dyDescent="0.2">
      <c r="A145" s="316" t="s">
        <v>312</v>
      </c>
    </row>
    <row r="146" spans="1:1" x14ac:dyDescent="0.2">
      <c r="A146" s="312"/>
    </row>
    <row r="147" spans="1:1" ht="38.25" x14ac:dyDescent="0.2">
      <c r="A147" s="316" t="s">
        <v>444</v>
      </c>
    </row>
    <row r="149" spans="1:1" ht="63.75" x14ac:dyDescent="0.2">
      <c r="A149" s="316" t="s">
        <v>313</v>
      </c>
    </row>
    <row r="151" spans="1:1" ht="63.75" x14ac:dyDescent="0.2">
      <c r="A151" s="312" t="s">
        <v>382</v>
      </c>
    </row>
    <row r="153" spans="1:1" ht="63.75" x14ac:dyDescent="0.2">
      <c r="A153" s="316" t="s">
        <v>445</v>
      </c>
    </row>
    <row r="155" spans="1:1" x14ac:dyDescent="0.2">
      <c r="A155" s="312" t="s">
        <v>306</v>
      </c>
    </row>
    <row r="157" spans="1:1" ht="51" x14ac:dyDescent="0.2">
      <c r="A157" s="316" t="s">
        <v>446</v>
      </c>
    </row>
    <row r="159" spans="1:1" ht="63.75" x14ac:dyDescent="0.2">
      <c r="A159" s="314" t="s">
        <v>307</v>
      </c>
    </row>
    <row r="161" spans="1:1" x14ac:dyDescent="0.2">
      <c r="A161" s="317" t="s">
        <v>298</v>
      </c>
    </row>
    <row r="163" spans="1:1" ht="51" x14ac:dyDescent="0.2">
      <c r="A163" s="316" t="s">
        <v>447</v>
      </c>
    </row>
    <row r="164" spans="1:1" ht="51" x14ac:dyDescent="0.2">
      <c r="A164" s="316" t="s">
        <v>595</v>
      </c>
    </row>
    <row r="165" spans="1:1" x14ac:dyDescent="0.2">
      <c r="A165" s="316" t="s">
        <v>505</v>
      </c>
    </row>
    <row r="166" spans="1:1" ht="25.5" x14ac:dyDescent="0.2">
      <c r="A166" s="316" t="s">
        <v>506</v>
      </c>
    </row>
    <row r="167" spans="1:1" ht="51" x14ac:dyDescent="0.2">
      <c r="A167" s="316" t="s">
        <v>596</v>
      </c>
    </row>
    <row r="168" spans="1:1" ht="51" x14ac:dyDescent="0.2">
      <c r="A168" s="316" t="s">
        <v>507</v>
      </c>
    </row>
    <row r="169" spans="1:1" ht="38.25" x14ac:dyDescent="0.2">
      <c r="A169" s="316" t="s">
        <v>508</v>
      </c>
    </row>
    <row r="170" spans="1:1" ht="51" x14ac:dyDescent="0.2">
      <c r="A170" s="316" t="s">
        <v>509</v>
      </c>
    </row>
    <row r="172" spans="1:1" ht="25.5" x14ac:dyDescent="0.2">
      <c r="A172" s="316" t="s">
        <v>448</v>
      </c>
    </row>
    <row r="174" spans="1:1" x14ac:dyDescent="0.2">
      <c r="A174" s="312" t="s">
        <v>314</v>
      </c>
    </row>
    <row r="176" spans="1:1" ht="63.75" x14ac:dyDescent="0.2">
      <c r="A176" s="316" t="s">
        <v>316</v>
      </c>
    </row>
    <row r="178" spans="1:1" ht="38.25" x14ac:dyDescent="0.2">
      <c r="A178" s="316" t="s">
        <v>317</v>
      </c>
    </row>
    <row r="180" spans="1:1" ht="51" x14ac:dyDescent="0.2">
      <c r="A180" s="316" t="s">
        <v>383</v>
      </c>
    </row>
    <row r="182" spans="1:1" ht="25.5" x14ac:dyDescent="0.2">
      <c r="A182" s="316" t="s">
        <v>318</v>
      </c>
    </row>
    <row r="184" spans="1:1" ht="63.75" x14ac:dyDescent="0.2">
      <c r="A184" s="312" t="s">
        <v>319</v>
      </c>
    </row>
    <row r="186" spans="1:1" ht="51" x14ac:dyDescent="0.2">
      <c r="A186" s="316" t="s">
        <v>449</v>
      </c>
    </row>
    <row r="188" spans="1:1" ht="51" x14ac:dyDescent="0.2">
      <c r="A188" s="312" t="s">
        <v>450</v>
      </c>
    </row>
    <row r="190" spans="1:1" ht="63.75" x14ac:dyDescent="0.2">
      <c r="A190" s="312" t="s">
        <v>451</v>
      </c>
    </row>
    <row r="191" spans="1:1" x14ac:dyDescent="0.2">
      <c r="A191" s="312"/>
    </row>
    <row r="192" spans="1:1" x14ac:dyDescent="0.2">
      <c r="A192" s="312" t="s">
        <v>311</v>
      </c>
    </row>
    <row r="193" spans="1:1" x14ac:dyDescent="0.2">
      <c r="A193" s="312"/>
    </row>
    <row r="194" spans="1:1" ht="38.25" x14ac:dyDescent="0.2">
      <c r="A194" s="316" t="s">
        <v>315</v>
      </c>
    </row>
    <row r="195" spans="1:1" x14ac:dyDescent="0.2">
      <c r="A195" s="312"/>
    </row>
    <row r="196" spans="1:1" ht="38.25" x14ac:dyDescent="0.2">
      <c r="A196" s="316" t="s">
        <v>452</v>
      </c>
    </row>
    <row r="198" spans="1:1" ht="63.75" x14ac:dyDescent="0.2">
      <c r="A198" s="316" t="s">
        <v>597</v>
      </c>
    </row>
    <row r="200" spans="1:1" ht="63.75" x14ac:dyDescent="0.2">
      <c r="A200" s="312" t="s">
        <v>320</v>
      </c>
    </row>
    <row r="202" spans="1:1" ht="38.25" x14ac:dyDescent="0.2">
      <c r="A202" s="312" t="s">
        <v>453</v>
      </c>
    </row>
    <row r="204" spans="1:1" x14ac:dyDescent="0.2">
      <c r="A204" s="312" t="s">
        <v>306</v>
      </c>
    </row>
    <row r="206" spans="1:1" ht="51" x14ac:dyDescent="0.2">
      <c r="A206" s="316" t="s">
        <v>454</v>
      </c>
    </row>
    <row r="208" spans="1:1" ht="63.75" x14ac:dyDescent="0.2">
      <c r="A208" s="314" t="s">
        <v>307</v>
      </c>
    </row>
    <row r="210" spans="1:1" x14ac:dyDescent="0.2">
      <c r="A210" s="317" t="s">
        <v>124</v>
      </c>
    </row>
    <row r="212" spans="1:1" ht="51" x14ac:dyDescent="0.2">
      <c r="A212" s="316" t="s">
        <v>321</v>
      </c>
    </row>
    <row r="213" spans="1:1" ht="25.5" x14ac:dyDescent="0.2">
      <c r="A213" s="316" t="s">
        <v>510</v>
      </c>
    </row>
    <row r="214" spans="1:1" x14ac:dyDescent="0.2">
      <c r="A214" s="316" t="s">
        <v>511</v>
      </c>
    </row>
    <row r="215" spans="1:1" x14ac:dyDescent="0.2">
      <c r="A215" s="316" t="s">
        <v>512</v>
      </c>
    </row>
    <row r="217" spans="1:1" ht="25.5" x14ac:dyDescent="0.2">
      <c r="A217" s="312" t="s">
        <v>598</v>
      </c>
    </row>
    <row r="219" spans="1:1" ht="38.25" x14ac:dyDescent="0.2">
      <c r="A219" s="312" t="s">
        <v>299</v>
      </c>
    </row>
    <row r="221" spans="1:1" x14ac:dyDescent="0.2">
      <c r="A221" s="317" t="s">
        <v>180</v>
      </c>
    </row>
    <row r="223" spans="1:1" ht="63.75" x14ac:dyDescent="0.2">
      <c r="A223" s="316" t="s">
        <v>325</v>
      </c>
    </row>
    <row r="225" spans="1:1" ht="38.25" x14ac:dyDescent="0.2">
      <c r="A225" s="312" t="s">
        <v>322</v>
      </c>
    </row>
    <row r="227" spans="1:1" x14ac:dyDescent="0.2">
      <c r="A227" s="312" t="s">
        <v>323</v>
      </c>
    </row>
    <row r="229" spans="1:1" ht="51" x14ac:dyDescent="0.2">
      <c r="A229" s="316" t="s">
        <v>324</v>
      </c>
    </row>
    <row r="231" spans="1:1" ht="51" x14ac:dyDescent="0.2">
      <c r="A231" s="316" t="s">
        <v>326</v>
      </c>
    </row>
    <row r="233" spans="1:1" ht="38.25" x14ac:dyDescent="0.2">
      <c r="A233" s="316" t="s">
        <v>327</v>
      </c>
    </row>
    <row r="235" spans="1:1" ht="38.25" x14ac:dyDescent="0.2">
      <c r="A235" s="316" t="s">
        <v>513</v>
      </c>
    </row>
    <row r="237" spans="1:1" x14ac:dyDescent="0.2">
      <c r="A237" s="312" t="s">
        <v>328</v>
      </c>
    </row>
    <row r="239" spans="1:1" ht="38.25" x14ac:dyDescent="0.2">
      <c r="A239" s="316" t="s">
        <v>329</v>
      </c>
    </row>
    <row r="241" spans="1:1" ht="63.75" x14ac:dyDescent="0.2">
      <c r="A241" s="316" t="s">
        <v>330</v>
      </c>
    </row>
    <row r="243" spans="1:1" ht="38.25" x14ac:dyDescent="0.2">
      <c r="A243" s="316" t="s">
        <v>331</v>
      </c>
    </row>
    <row r="245" spans="1:1" ht="38.25" x14ac:dyDescent="0.2">
      <c r="A245" s="316" t="s">
        <v>332</v>
      </c>
    </row>
    <row r="247" spans="1:1" ht="51" x14ac:dyDescent="0.2">
      <c r="A247" s="316" t="s">
        <v>333</v>
      </c>
    </row>
    <row r="249" spans="1:1" ht="51" x14ac:dyDescent="0.2">
      <c r="A249" s="312" t="s">
        <v>455</v>
      </c>
    </row>
    <row r="251" spans="1:1" ht="38.25" x14ac:dyDescent="0.2">
      <c r="A251" s="316" t="s">
        <v>334</v>
      </c>
    </row>
    <row r="253" spans="1:1" ht="51" x14ac:dyDescent="0.2">
      <c r="A253" s="316" t="s">
        <v>335</v>
      </c>
    </row>
    <row r="255" spans="1:1" x14ac:dyDescent="0.2">
      <c r="A255" s="312" t="s">
        <v>336</v>
      </c>
    </row>
    <row r="257" spans="1:1" ht="25.5" x14ac:dyDescent="0.2">
      <c r="A257" s="316" t="s">
        <v>456</v>
      </c>
    </row>
    <row r="259" spans="1:1" ht="38.25" x14ac:dyDescent="0.2">
      <c r="A259" s="316" t="s">
        <v>337</v>
      </c>
    </row>
    <row r="261" spans="1:1" ht="25.5" x14ac:dyDescent="0.2">
      <c r="A261" s="312" t="s">
        <v>385</v>
      </c>
    </row>
    <row r="263" spans="1:1" x14ac:dyDescent="0.2">
      <c r="A263" s="317" t="s">
        <v>338</v>
      </c>
    </row>
    <row r="265" spans="1:1" ht="25.5" x14ac:dyDescent="0.2">
      <c r="A265" s="316" t="s">
        <v>339</v>
      </c>
    </row>
    <row r="266" spans="1:1" ht="25.5" x14ac:dyDescent="0.2">
      <c r="A266" s="316" t="s">
        <v>514</v>
      </c>
    </row>
    <row r="267" spans="1:1" ht="25.5" x14ac:dyDescent="0.2">
      <c r="A267" s="316" t="s">
        <v>515</v>
      </c>
    </row>
    <row r="268" spans="1:1" ht="25.5" x14ac:dyDescent="0.2">
      <c r="A268" s="316" t="s">
        <v>516</v>
      </c>
    </row>
    <row r="269" spans="1:1" x14ac:dyDescent="0.2">
      <c r="A269" s="316" t="s">
        <v>517</v>
      </c>
    </row>
    <row r="270" spans="1:1" ht="51" x14ac:dyDescent="0.2">
      <c r="A270" s="316" t="s">
        <v>518</v>
      </c>
    </row>
    <row r="271" spans="1:1" ht="25.5" x14ac:dyDescent="0.2">
      <c r="A271" s="316" t="s">
        <v>519</v>
      </c>
    </row>
    <row r="272" spans="1:1" ht="25.5" x14ac:dyDescent="0.2">
      <c r="A272" s="316" t="s">
        <v>520</v>
      </c>
    </row>
    <row r="273" spans="1:1" x14ac:dyDescent="0.2">
      <c r="A273" s="316" t="s">
        <v>521</v>
      </c>
    </row>
    <row r="274" spans="1:1" x14ac:dyDescent="0.2">
      <c r="A274" s="316" t="s">
        <v>522</v>
      </c>
    </row>
    <row r="275" spans="1:1" x14ac:dyDescent="0.2">
      <c r="A275" s="316" t="s">
        <v>523</v>
      </c>
    </row>
    <row r="276" spans="1:1" x14ac:dyDescent="0.2">
      <c r="A276" s="316" t="s">
        <v>524</v>
      </c>
    </row>
    <row r="277" spans="1:1" ht="38.25" x14ac:dyDescent="0.2">
      <c r="A277" s="316" t="s">
        <v>525</v>
      </c>
    </row>
    <row r="278" spans="1:1" ht="38.25" x14ac:dyDescent="0.2">
      <c r="A278" s="316" t="s">
        <v>526</v>
      </c>
    </row>
    <row r="279" spans="1:1" ht="25.5" x14ac:dyDescent="0.2">
      <c r="A279" s="316" t="s">
        <v>527</v>
      </c>
    </row>
    <row r="280" spans="1:1" ht="63.75" x14ac:dyDescent="0.2">
      <c r="A280" s="316" t="s">
        <v>528</v>
      </c>
    </row>
    <row r="281" spans="1:1" ht="38.25" x14ac:dyDescent="0.2">
      <c r="A281" s="316" t="s">
        <v>529</v>
      </c>
    </row>
    <row r="282" spans="1:1" ht="63.75" x14ac:dyDescent="0.2">
      <c r="A282" s="316" t="s">
        <v>530</v>
      </c>
    </row>
    <row r="283" spans="1:1" ht="51" x14ac:dyDescent="0.2">
      <c r="A283" s="316" t="s">
        <v>531</v>
      </c>
    </row>
    <row r="284" spans="1:1" ht="38.25" x14ac:dyDescent="0.2">
      <c r="A284" s="316" t="s">
        <v>532</v>
      </c>
    </row>
    <row r="286" spans="1:1" ht="38.25" x14ac:dyDescent="0.2">
      <c r="A286" s="312" t="s">
        <v>340</v>
      </c>
    </row>
    <row r="288" spans="1:1" ht="63.75" x14ac:dyDescent="0.2">
      <c r="A288" s="312" t="s">
        <v>599</v>
      </c>
    </row>
    <row r="290" spans="1:1" x14ac:dyDescent="0.2">
      <c r="A290" s="312" t="s">
        <v>341</v>
      </c>
    </row>
    <row r="292" spans="1:1" ht="38.25" x14ac:dyDescent="0.2">
      <c r="A292" s="316" t="s">
        <v>342</v>
      </c>
    </row>
    <row r="294" spans="1:1" ht="38.25" x14ac:dyDescent="0.2">
      <c r="A294" s="316" t="s">
        <v>343</v>
      </c>
    </row>
    <row r="296" spans="1:1" ht="38.25" x14ac:dyDescent="0.2">
      <c r="A296" s="312" t="s">
        <v>344</v>
      </c>
    </row>
    <row r="298" spans="1:1" ht="51" x14ac:dyDescent="0.2">
      <c r="A298" s="312" t="s">
        <v>345</v>
      </c>
    </row>
    <row r="300" spans="1:1" ht="63.75" x14ac:dyDescent="0.2">
      <c r="A300" s="312" t="s">
        <v>395</v>
      </c>
    </row>
    <row r="302" spans="1:1" ht="63.75" x14ac:dyDescent="0.2">
      <c r="A302" s="312" t="s">
        <v>386</v>
      </c>
    </row>
    <row r="304" spans="1:1" s="315" customFormat="1" x14ac:dyDescent="0.2">
      <c r="A304" s="312" t="s">
        <v>462</v>
      </c>
    </row>
    <row r="306" spans="1:1" ht="51" x14ac:dyDescent="0.2">
      <c r="A306" s="316" t="s">
        <v>463</v>
      </c>
    </row>
    <row r="308" spans="1:1" ht="63.75" x14ac:dyDescent="0.2">
      <c r="A308" s="316" t="s">
        <v>464</v>
      </c>
    </row>
    <row r="310" spans="1:1" ht="51" x14ac:dyDescent="0.2">
      <c r="A310" s="316" t="s">
        <v>465</v>
      </c>
    </row>
    <row r="312" spans="1:1" x14ac:dyDescent="0.2">
      <c r="A312" s="312" t="s">
        <v>457</v>
      </c>
    </row>
    <row r="314" spans="1:1" ht="63.75" x14ac:dyDescent="0.2">
      <c r="A314" s="316" t="s">
        <v>459</v>
      </c>
    </row>
    <row r="316" spans="1:1" ht="38.25" x14ac:dyDescent="0.2">
      <c r="A316" s="316" t="s">
        <v>458</v>
      </c>
    </row>
    <row r="318" spans="1:1" ht="63.75" x14ac:dyDescent="0.2">
      <c r="A318" s="316" t="s">
        <v>460</v>
      </c>
    </row>
    <row r="320" spans="1:1" ht="51" x14ac:dyDescent="0.2">
      <c r="A320" s="312" t="s">
        <v>461</v>
      </c>
    </row>
    <row r="322" spans="1:1" x14ac:dyDescent="0.2">
      <c r="A322" s="317" t="s">
        <v>166</v>
      </c>
    </row>
    <row r="324" spans="1:1" ht="51" x14ac:dyDescent="0.2">
      <c r="A324" s="316" t="s">
        <v>466</v>
      </c>
    </row>
    <row r="326" spans="1:1" ht="63.75" x14ac:dyDescent="0.2">
      <c r="A326" s="316" t="s">
        <v>481</v>
      </c>
    </row>
    <row r="328" spans="1:1" ht="51" x14ac:dyDescent="0.2">
      <c r="A328" s="316" t="s">
        <v>600</v>
      </c>
    </row>
    <row r="330" spans="1:1" ht="25.5" x14ac:dyDescent="0.2">
      <c r="A330" s="312" t="s">
        <v>346</v>
      </c>
    </row>
    <row r="332" spans="1:1" x14ac:dyDescent="0.2">
      <c r="A332" s="316" t="s">
        <v>467</v>
      </c>
    </row>
    <row r="333" spans="1:1" ht="38.25" x14ac:dyDescent="0.2">
      <c r="A333" s="316" t="s">
        <v>533</v>
      </c>
    </row>
    <row r="334" spans="1:1" ht="25.5" x14ac:dyDescent="0.2">
      <c r="A334" s="316" t="s">
        <v>534</v>
      </c>
    </row>
    <row r="335" spans="1:1" ht="25.5" x14ac:dyDescent="0.2">
      <c r="A335" s="316" t="s">
        <v>535</v>
      </c>
    </row>
    <row r="336" spans="1:1" x14ac:dyDescent="0.2">
      <c r="A336" s="316" t="s">
        <v>536</v>
      </c>
    </row>
    <row r="337" spans="1:1" x14ac:dyDescent="0.2">
      <c r="A337" s="316" t="s">
        <v>537</v>
      </c>
    </row>
    <row r="338" spans="1:1" ht="51" x14ac:dyDescent="0.2">
      <c r="A338" s="316" t="s">
        <v>538</v>
      </c>
    </row>
    <row r="339" spans="1:1" ht="51" x14ac:dyDescent="0.2">
      <c r="A339" s="316" t="s">
        <v>601</v>
      </c>
    </row>
    <row r="341" spans="1:1" ht="51" x14ac:dyDescent="0.2">
      <c r="A341" s="312" t="s">
        <v>347</v>
      </c>
    </row>
    <row r="342" spans="1:1" x14ac:dyDescent="0.2">
      <c r="A342" s="312"/>
    </row>
    <row r="343" spans="1:1" x14ac:dyDescent="0.2">
      <c r="A343" s="316" t="s">
        <v>539</v>
      </c>
    </row>
    <row r="344" spans="1:1" ht="38.25" x14ac:dyDescent="0.2">
      <c r="A344" s="316" t="s">
        <v>540</v>
      </c>
    </row>
    <row r="345" spans="1:1" ht="51" x14ac:dyDescent="0.2">
      <c r="A345" s="316" t="s">
        <v>541</v>
      </c>
    </row>
    <row r="346" spans="1:1" x14ac:dyDescent="0.2">
      <c r="A346" s="316" t="s">
        <v>542</v>
      </c>
    </row>
    <row r="347" spans="1:1" x14ac:dyDescent="0.2">
      <c r="A347" s="316" t="s">
        <v>543</v>
      </c>
    </row>
    <row r="348" spans="1:1" ht="38.25" x14ac:dyDescent="0.2">
      <c r="A348" s="316" t="s">
        <v>544</v>
      </c>
    </row>
    <row r="349" spans="1:1" x14ac:dyDescent="0.2">
      <c r="A349" s="316" t="s">
        <v>545</v>
      </c>
    </row>
    <row r="350" spans="1:1" x14ac:dyDescent="0.2">
      <c r="A350" s="316" t="s">
        <v>546</v>
      </c>
    </row>
    <row r="351" spans="1:1" x14ac:dyDescent="0.2">
      <c r="A351" s="316" t="s">
        <v>547</v>
      </c>
    </row>
    <row r="352" spans="1:1" ht="38.25" x14ac:dyDescent="0.2">
      <c r="A352" s="316" t="s">
        <v>548</v>
      </c>
    </row>
    <row r="353" spans="1:1" ht="38.25" x14ac:dyDescent="0.2">
      <c r="A353" s="316" t="s">
        <v>549</v>
      </c>
    </row>
    <row r="354" spans="1:1" ht="25.5" x14ac:dyDescent="0.2">
      <c r="A354" s="316" t="s">
        <v>550</v>
      </c>
    </row>
    <row r="355" spans="1:1" x14ac:dyDescent="0.2">
      <c r="A355" s="316" t="s">
        <v>551</v>
      </c>
    </row>
    <row r="356" spans="1:1" x14ac:dyDescent="0.2">
      <c r="A356" s="316" t="s">
        <v>602</v>
      </c>
    </row>
    <row r="357" spans="1:1" ht="25.5" x14ac:dyDescent="0.2">
      <c r="A357" s="316" t="s">
        <v>552</v>
      </c>
    </row>
    <row r="358" spans="1:1" ht="25.5" x14ac:dyDescent="0.2">
      <c r="A358" s="316" t="s">
        <v>553</v>
      </c>
    </row>
    <row r="359" spans="1:1" ht="38.25" x14ac:dyDescent="0.2">
      <c r="A359" s="316" t="s">
        <v>554</v>
      </c>
    </row>
    <row r="360" spans="1:1" x14ac:dyDescent="0.2">
      <c r="A360" s="316" t="s">
        <v>555</v>
      </c>
    </row>
    <row r="361" spans="1:1" ht="25.5" x14ac:dyDescent="0.2">
      <c r="A361" s="316" t="s">
        <v>556</v>
      </c>
    </row>
    <row r="362" spans="1:1" ht="25.5" x14ac:dyDescent="0.2">
      <c r="A362" s="316" t="s">
        <v>557</v>
      </c>
    </row>
    <row r="363" spans="1:1" ht="25.5" x14ac:dyDescent="0.2">
      <c r="A363" s="316" t="s">
        <v>558</v>
      </c>
    </row>
    <row r="364" spans="1:1" ht="38.25" x14ac:dyDescent="0.2">
      <c r="A364" s="316" t="s">
        <v>559</v>
      </c>
    </row>
    <row r="365" spans="1:1" ht="51" x14ac:dyDescent="0.2">
      <c r="A365" s="316" t="s">
        <v>560</v>
      </c>
    </row>
    <row r="366" spans="1:1" ht="38.25" x14ac:dyDescent="0.2">
      <c r="A366" s="316" t="s">
        <v>561</v>
      </c>
    </row>
    <row r="367" spans="1:1" ht="51" x14ac:dyDescent="0.2">
      <c r="A367" s="316" t="s">
        <v>562</v>
      </c>
    </row>
    <row r="368" spans="1:1" ht="63.75" x14ac:dyDescent="0.2">
      <c r="A368" s="316" t="s">
        <v>563</v>
      </c>
    </row>
    <row r="369" spans="1:1" ht="38.25" x14ac:dyDescent="0.2">
      <c r="A369" s="316" t="s">
        <v>564</v>
      </c>
    </row>
    <row r="370" spans="1:1" ht="38.25" x14ac:dyDescent="0.2">
      <c r="A370" s="316" t="s">
        <v>565</v>
      </c>
    </row>
    <row r="371" spans="1:1" ht="25.5" x14ac:dyDescent="0.2">
      <c r="A371" s="316" t="s">
        <v>566</v>
      </c>
    </row>
    <row r="372" spans="1:1" ht="25.5" x14ac:dyDescent="0.2">
      <c r="A372" s="316" t="s">
        <v>567</v>
      </c>
    </row>
    <row r="373" spans="1:1" ht="25.5" x14ac:dyDescent="0.2">
      <c r="A373" s="316" t="s">
        <v>568</v>
      </c>
    </row>
    <row r="374" spans="1:1" x14ac:dyDescent="0.2">
      <c r="A374" s="316" t="s">
        <v>569</v>
      </c>
    </row>
    <row r="375" spans="1:1" x14ac:dyDescent="0.2">
      <c r="A375" s="316" t="s">
        <v>570</v>
      </c>
    </row>
    <row r="376" spans="1:1" x14ac:dyDescent="0.2">
      <c r="A376" s="316" t="s">
        <v>571</v>
      </c>
    </row>
    <row r="378" spans="1:1" ht="38.25" x14ac:dyDescent="0.2">
      <c r="A378" s="312" t="s">
        <v>348</v>
      </c>
    </row>
    <row r="380" spans="1:1" x14ac:dyDescent="0.2">
      <c r="A380" s="312" t="s">
        <v>349</v>
      </c>
    </row>
    <row r="382" spans="1:1" ht="38.25" x14ac:dyDescent="0.2">
      <c r="A382" s="316" t="s">
        <v>468</v>
      </c>
    </row>
    <row r="384" spans="1:1" ht="51" x14ac:dyDescent="0.2">
      <c r="A384" s="312" t="s">
        <v>350</v>
      </c>
    </row>
    <row r="386" spans="1:1" ht="51" x14ac:dyDescent="0.2">
      <c r="A386" s="312" t="s">
        <v>469</v>
      </c>
    </row>
    <row r="388" spans="1:1" ht="25.5" x14ac:dyDescent="0.2">
      <c r="A388" s="316" t="s">
        <v>351</v>
      </c>
    </row>
    <row r="390" spans="1:1" x14ac:dyDescent="0.2">
      <c r="A390" s="317" t="s">
        <v>352</v>
      </c>
    </row>
    <row r="392" spans="1:1" ht="51" x14ac:dyDescent="0.2">
      <c r="A392" s="316" t="s">
        <v>603</v>
      </c>
    </row>
    <row r="394" spans="1:1" ht="38.25" x14ac:dyDescent="0.2">
      <c r="A394" s="312" t="s">
        <v>353</v>
      </c>
    </row>
    <row r="396" spans="1:1" ht="51" x14ac:dyDescent="0.2">
      <c r="A396" s="312" t="s">
        <v>354</v>
      </c>
    </row>
    <row r="398" spans="1:1" ht="38.25" x14ac:dyDescent="0.2">
      <c r="A398" s="316" t="s">
        <v>356</v>
      </c>
    </row>
    <row r="400" spans="1:1" x14ac:dyDescent="0.2">
      <c r="A400" s="316" t="s">
        <v>355</v>
      </c>
    </row>
    <row r="401" spans="1:1" ht="38.25" x14ac:dyDescent="0.2">
      <c r="A401" s="316" t="s">
        <v>572</v>
      </c>
    </row>
    <row r="402" spans="1:1" ht="38.25" x14ac:dyDescent="0.2">
      <c r="A402" s="316" t="s">
        <v>573</v>
      </c>
    </row>
    <row r="403" spans="1:1" ht="51" x14ac:dyDescent="0.2">
      <c r="A403" s="316" t="s">
        <v>574</v>
      </c>
    </row>
    <row r="404" spans="1:1" ht="25.5" x14ac:dyDescent="0.2">
      <c r="A404" s="316" t="s">
        <v>575</v>
      </c>
    </row>
    <row r="405" spans="1:1" ht="63.75" x14ac:dyDescent="0.2">
      <c r="A405" s="316" t="s">
        <v>576</v>
      </c>
    </row>
    <row r="406" spans="1:1" ht="38.25" x14ac:dyDescent="0.2">
      <c r="A406" s="316" t="s">
        <v>577</v>
      </c>
    </row>
    <row r="407" spans="1:1" ht="38.25" x14ac:dyDescent="0.2">
      <c r="A407" s="316" t="s">
        <v>578</v>
      </c>
    </row>
    <row r="408" spans="1:1" ht="25.5" x14ac:dyDescent="0.2">
      <c r="A408" s="316" t="s">
        <v>579</v>
      </c>
    </row>
    <row r="409" spans="1:1" ht="63.75" x14ac:dyDescent="0.2">
      <c r="A409" s="316" t="s">
        <v>580</v>
      </c>
    </row>
    <row r="411" spans="1:1" ht="25.5" x14ac:dyDescent="0.2">
      <c r="A411" s="312" t="s">
        <v>387</v>
      </c>
    </row>
    <row r="412" spans="1:1" x14ac:dyDescent="0.2">
      <c r="A412" s="312"/>
    </row>
    <row r="413" spans="1:1" ht="51" x14ac:dyDescent="0.2">
      <c r="A413" s="312" t="s">
        <v>470</v>
      </c>
    </row>
    <row r="415" spans="1:1" x14ac:dyDescent="0.2">
      <c r="A415" s="317" t="s">
        <v>357</v>
      </c>
    </row>
    <row r="417" spans="1:1" ht="51" x14ac:dyDescent="0.2">
      <c r="A417" s="316" t="s">
        <v>471</v>
      </c>
    </row>
    <row r="419" spans="1:1" ht="38.25" x14ac:dyDescent="0.2">
      <c r="A419" s="316" t="s">
        <v>358</v>
      </c>
    </row>
    <row r="421" spans="1:1" ht="38.25" x14ac:dyDescent="0.2">
      <c r="A421" s="312" t="s">
        <v>359</v>
      </c>
    </row>
    <row r="423" spans="1:1" ht="25.5" x14ac:dyDescent="0.2">
      <c r="A423" s="316" t="s">
        <v>472</v>
      </c>
    </row>
    <row r="425" spans="1:1" ht="38.25" x14ac:dyDescent="0.2">
      <c r="A425" s="316" t="s">
        <v>360</v>
      </c>
    </row>
    <row r="427" spans="1:1" ht="25.5" x14ac:dyDescent="0.2">
      <c r="A427" s="312" t="s">
        <v>388</v>
      </c>
    </row>
    <row r="429" spans="1:1" x14ac:dyDescent="0.2">
      <c r="A429" s="317" t="s">
        <v>363</v>
      </c>
    </row>
    <row r="431" spans="1:1" ht="38.25" x14ac:dyDescent="0.2">
      <c r="A431" s="316" t="s">
        <v>361</v>
      </c>
    </row>
    <row r="433" spans="1:1" ht="38.25" x14ac:dyDescent="0.2">
      <c r="A433" s="312" t="s">
        <v>367</v>
      </c>
    </row>
    <row r="435" spans="1:1" ht="51" x14ac:dyDescent="0.2">
      <c r="A435" s="316" t="s">
        <v>389</v>
      </c>
    </row>
    <row r="437" spans="1:1" ht="38.25" x14ac:dyDescent="0.2">
      <c r="A437" s="316" t="s">
        <v>604</v>
      </c>
    </row>
    <row r="439" spans="1:1" ht="51" x14ac:dyDescent="0.2">
      <c r="A439" s="312" t="s">
        <v>362</v>
      </c>
    </row>
    <row r="441" spans="1:1" ht="63.75" x14ac:dyDescent="0.2">
      <c r="A441" s="316" t="s">
        <v>396</v>
      </c>
    </row>
    <row r="443" spans="1:1" x14ac:dyDescent="0.2">
      <c r="A443" s="317" t="s">
        <v>364</v>
      </c>
    </row>
    <row r="445" spans="1:1" ht="51" x14ac:dyDescent="0.2">
      <c r="A445" s="316" t="s">
        <v>365</v>
      </c>
    </row>
    <row r="447" spans="1:1" ht="38.25" x14ac:dyDescent="0.2">
      <c r="A447" s="312" t="s">
        <v>366</v>
      </c>
    </row>
    <row r="449" spans="1:1" x14ac:dyDescent="0.2">
      <c r="A449" s="316" t="s">
        <v>368</v>
      </c>
    </row>
    <row r="450" spans="1:1" x14ac:dyDescent="0.2">
      <c r="A450" s="316" t="s">
        <v>581</v>
      </c>
    </row>
    <row r="451" spans="1:1" x14ac:dyDescent="0.2">
      <c r="A451" s="316" t="s">
        <v>582</v>
      </c>
    </row>
    <row r="452" spans="1:1" x14ac:dyDescent="0.2">
      <c r="A452" s="316" t="s">
        <v>583</v>
      </c>
    </row>
    <row r="453" spans="1:1" x14ac:dyDescent="0.2">
      <c r="A453" s="316" t="s">
        <v>584</v>
      </c>
    </row>
    <row r="454" spans="1:1" x14ac:dyDescent="0.2">
      <c r="A454" s="316" t="s">
        <v>585</v>
      </c>
    </row>
    <row r="455" spans="1:1" x14ac:dyDescent="0.2">
      <c r="A455" s="316" t="s">
        <v>586</v>
      </c>
    </row>
    <row r="456" spans="1:1" x14ac:dyDescent="0.2">
      <c r="A456" s="316" t="s">
        <v>587</v>
      </c>
    </row>
    <row r="458" spans="1:1" x14ac:dyDescent="0.2">
      <c r="A458" s="312" t="s">
        <v>372</v>
      </c>
    </row>
    <row r="460" spans="1:1" x14ac:dyDescent="0.2">
      <c r="A460" s="317" t="s">
        <v>369</v>
      </c>
    </row>
    <row r="462" spans="1:1" ht="51" x14ac:dyDescent="0.2">
      <c r="A462" s="316" t="s">
        <v>390</v>
      </c>
    </row>
    <row r="464" spans="1:1" ht="38.25" x14ac:dyDescent="0.2">
      <c r="A464" s="312" t="s">
        <v>370</v>
      </c>
    </row>
    <row r="466" spans="1:1" x14ac:dyDescent="0.2">
      <c r="A466" s="316" t="s">
        <v>368</v>
      </c>
    </row>
    <row r="467" spans="1:1" x14ac:dyDescent="0.2">
      <c r="A467" s="316" t="s">
        <v>581</v>
      </c>
    </row>
    <row r="468" spans="1:1" x14ac:dyDescent="0.2">
      <c r="A468" s="316" t="s">
        <v>582</v>
      </c>
    </row>
    <row r="469" spans="1:1" x14ac:dyDescent="0.2">
      <c r="A469" s="316" t="s">
        <v>583</v>
      </c>
    </row>
    <row r="470" spans="1:1" x14ac:dyDescent="0.2">
      <c r="A470" s="316" t="s">
        <v>584</v>
      </c>
    </row>
    <row r="471" spans="1:1" x14ac:dyDescent="0.2">
      <c r="A471" s="316" t="s">
        <v>585</v>
      </c>
    </row>
    <row r="472" spans="1:1" x14ac:dyDescent="0.2">
      <c r="A472" s="316" t="s">
        <v>586</v>
      </c>
    </row>
    <row r="473" spans="1:1" x14ac:dyDescent="0.2">
      <c r="A473" s="316" t="s">
        <v>587</v>
      </c>
    </row>
    <row r="475" spans="1:1" x14ac:dyDescent="0.2">
      <c r="A475" s="312" t="s">
        <v>371</v>
      </c>
    </row>
    <row r="477" spans="1:1" x14ac:dyDescent="0.2">
      <c r="A477" s="317" t="s">
        <v>377</v>
      </c>
    </row>
    <row r="479" spans="1:1" ht="38.25" x14ac:dyDescent="0.2">
      <c r="A479" s="316" t="s">
        <v>473</v>
      </c>
    </row>
    <row r="481" spans="1:1" ht="25.5" x14ac:dyDescent="0.2">
      <c r="A481" s="312" t="s">
        <v>474</v>
      </c>
    </row>
    <row r="483" spans="1:1" x14ac:dyDescent="0.2">
      <c r="A483" s="317" t="s">
        <v>373</v>
      </c>
    </row>
    <row r="485" spans="1:1" ht="63.75" x14ac:dyDescent="0.2">
      <c r="A485" s="316" t="s">
        <v>374</v>
      </c>
    </row>
    <row r="487" spans="1:1" x14ac:dyDescent="0.2">
      <c r="A487" s="317" t="s">
        <v>375</v>
      </c>
    </row>
    <row r="489" spans="1:1" ht="76.5" x14ac:dyDescent="0.2">
      <c r="A489" s="316" t="s">
        <v>376</v>
      </c>
    </row>
  </sheetData>
  <sheetProtection selectLockedCells="1"/>
  <hyperlinks>
    <hyperlink ref="A3" r:id="rId1" xr:uid="{00000000-0004-0000-0300-000000000000}"/>
  </hyperlinks>
  <pageMargins left="0.59055118110236227" right="0.59055118110236227" top="0.59055118110236227" bottom="0.59055118110236227" header="0.39370078740157483" footer="0.39370078740157483"/>
  <pageSetup paperSize="9" scale="84" fitToHeight="0" orientation="portrait" r:id="rId2"/>
  <headerFooter>
    <oddFooter>Page &amp;P of &amp;N</oddFooter>
  </headerFooter>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dimension ref="A1:K158"/>
  <sheetViews>
    <sheetView zoomScale="95" zoomScaleNormal="95" workbookViewId="0">
      <selection activeCell="C12" sqref="C12"/>
    </sheetView>
  </sheetViews>
  <sheetFormatPr defaultColWidth="9.140625" defaultRowHeight="16.149999999999999" customHeight="1" x14ac:dyDescent="0.25"/>
  <cols>
    <col min="1" max="1" width="9.7109375" style="10" customWidth="1"/>
    <col min="2" max="2" width="16.7109375" style="10" customWidth="1"/>
    <col min="3" max="3" width="16.7109375" style="4" customWidth="1"/>
    <col min="4" max="4" width="16.7109375" style="5" customWidth="1"/>
    <col min="5" max="5" width="16.7109375" style="4" customWidth="1"/>
    <col min="6" max="14" width="16.7109375" style="2" customWidth="1"/>
    <col min="15" max="16384" width="9.140625" style="2"/>
  </cols>
  <sheetData>
    <row r="1" spans="1:6" ht="16.149999999999999" customHeight="1" x14ac:dyDescent="0.25">
      <c r="A1" s="302" t="str">
        <f>$C$4</f>
        <v>Example (Pty) Limited</v>
      </c>
      <c r="B1" s="2"/>
    </row>
    <row r="2" spans="1:6" ht="16.149999999999999" customHeight="1" x14ac:dyDescent="0.25">
      <c r="A2" s="6" t="s">
        <v>37</v>
      </c>
      <c r="B2" s="2"/>
    </row>
    <row r="3" spans="1:6" ht="16.149999999999999" customHeight="1" x14ac:dyDescent="0.25">
      <c r="A3" s="7" t="s">
        <v>168</v>
      </c>
      <c r="B3" s="2"/>
    </row>
    <row r="4" spans="1:6" ht="16.149999999999999" customHeight="1" x14ac:dyDescent="0.25">
      <c r="A4" s="8" t="s">
        <v>35</v>
      </c>
      <c r="B4" s="2"/>
      <c r="C4" s="333" t="s">
        <v>36</v>
      </c>
      <c r="D4" s="334"/>
      <c r="E4" s="335"/>
    </row>
    <row r="5" spans="1:6" ht="16.149999999999999" customHeight="1" x14ac:dyDescent="0.25">
      <c r="A5" s="8" t="s">
        <v>147</v>
      </c>
      <c r="B5" s="2"/>
      <c r="C5" s="338" t="s">
        <v>151</v>
      </c>
      <c r="D5" s="339"/>
      <c r="E5" s="339"/>
      <c r="F5" s="340"/>
    </row>
    <row r="6" spans="1:6" ht="16.149999999999999" customHeight="1" x14ac:dyDescent="0.25">
      <c r="A6" s="8" t="s">
        <v>148</v>
      </c>
      <c r="B6" s="2"/>
      <c r="C6" s="338" t="s">
        <v>154</v>
      </c>
      <c r="D6" s="340"/>
      <c r="E6" s="9"/>
    </row>
    <row r="7" spans="1:6" ht="16.149999999999999" customHeight="1" x14ac:dyDescent="0.25">
      <c r="A7" s="8" t="s">
        <v>150</v>
      </c>
      <c r="B7" s="2"/>
      <c r="C7" s="341" t="s">
        <v>152</v>
      </c>
      <c r="D7" s="340"/>
      <c r="E7" s="9"/>
    </row>
    <row r="8" spans="1:6" ht="16.149999999999999" customHeight="1" x14ac:dyDescent="0.25">
      <c r="A8" s="8" t="s">
        <v>149</v>
      </c>
      <c r="B8" s="2"/>
      <c r="C8" s="341" t="s">
        <v>153</v>
      </c>
      <c r="D8" s="340"/>
      <c r="E8" s="9"/>
    </row>
    <row r="9" spans="1:6" ht="16.149999999999999" customHeight="1" x14ac:dyDescent="0.25">
      <c r="B9" s="2"/>
    </row>
    <row r="10" spans="1:6" ht="16.149999999999999" customHeight="1" x14ac:dyDescent="0.25">
      <c r="A10" s="8" t="s">
        <v>18</v>
      </c>
      <c r="B10" s="2"/>
      <c r="C10" s="11">
        <v>43862</v>
      </c>
      <c r="E10" s="12">
        <f ca="1">IF(ISBLANK($C$16),$D$12+1,IF($C$16&gt;=MONTH($F$12),DATE(YEAR($F$12),$C$16,1),DATE(YEAR($F$12)+1,$C$16,1)))</f>
        <v>45292</v>
      </c>
      <c r="F10" s="13">
        <f>IF(ISBLANK($C$15),12,$C$15)</f>
        <v>12</v>
      </c>
    </row>
    <row r="11" spans="1:6" ht="16.149999999999999" customHeight="1" x14ac:dyDescent="0.25">
      <c r="B11" s="2"/>
      <c r="D11" s="14" t="s">
        <v>38</v>
      </c>
      <c r="E11" s="15" t="s">
        <v>41</v>
      </c>
      <c r="F11" s="16" t="s">
        <v>55</v>
      </c>
    </row>
    <row r="12" spans="1:6" ht="16.149999999999999" customHeight="1" x14ac:dyDescent="0.25">
      <c r="A12" s="8" t="s">
        <v>19</v>
      </c>
      <c r="B12" s="2"/>
      <c r="C12" s="17">
        <v>2024</v>
      </c>
      <c r="D12" s="18">
        <f ca="1">IF(ISBLANK($C$12)=TRUE,IF(ISBLANK($C$10)=TRUE,DATE(YEAR(TODAY())+1,2+1,0),DATE(YEAR(TODAY())+1,MONTH($C$10)+1,0)),IF(ISBLANK($C$10)=TRUE,DATE($C$12,2+1,0),DATE($C$12,MONTH($C$10)+1,0)))</f>
        <v>45351</v>
      </c>
      <c r="E12" s="18">
        <f ca="1">DATE(YEAR($D$12)-1,MONTH($D$12)+1,0)</f>
        <v>44985</v>
      </c>
      <c r="F12" s="19">
        <f ca="1">E12+1</f>
        <v>44986</v>
      </c>
    </row>
    <row r="13" spans="1:6" ht="16.149999999999999" customHeight="1" x14ac:dyDescent="0.25">
      <c r="B13" s="2"/>
    </row>
    <row r="14" spans="1:6" ht="16.149999999999999" customHeight="1" x14ac:dyDescent="0.25">
      <c r="A14" s="20" t="s">
        <v>402</v>
      </c>
      <c r="B14" s="2"/>
      <c r="C14" s="21">
        <v>25</v>
      </c>
      <c r="E14" s="2"/>
    </row>
    <row r="15" spans="1:6" ht="16.149999999999999" customHeight="1" x14ac:dyDescent="0.25">
      <c r="A15" s="20" t="s">
        <v>408</v>
      </c>
      <c r="B15" s="2"/>
      <c r="C15" s="21">
        <v>12</v>
      </c>
      <c r="E15" s="22"/>
    </row>
    <row r="16" spans="1:6" ht="16.149999999999999" customHeight="1" x14ac:dyDescent="0.25">
      <c r="A16" s="20" t="s">
        <v>409</v>
      </c>
      <c r="B16" s="2"/>
      <c r="C16" s="21">
        <v>1</v>
      </c>
      <c r="E16" s="22"/>
    </row>
    <row r="18" spans="1:6" ht="16.149999999999999" customHeight="1" x14ac:dyDescent="0.25">
      <c r="A18" s="3" t="s">
        <v>204</v>
      </c>
      <c r="B18" s="4"/>
      <c r="C18" s="5"/>
      <c r="D18" s="4"/>
      <c r="E18" s="2"/>
    </row>
    <row r="19" spans="1:6" ht="16.149999999999999" customHeight="1" x14ac:dyDescent="0.25">
      <c r="B19" s="4"/>
      <c r="C19" s="5"/>
      <c r="D19" s="4"/>
      <c r="E19" s="2"/>
    </row>
    <row r="20" spans="1:6" ht="25.5" x14ac:dyDescent="0.25">
      <c r="A20" s="336" t="s">
        <v>0</v>
      </c>
      <c r="B20" s="337"/>
      <c r="C20" s="23" t="s">
        <v>2</v>
      </c>
      <c r="D20" s="24" t="s">
        <v>1</v>
      </c>
      <c r="E20" s="23" t="s">
        <v>482</v>
      </c>
      <c r="F20" s="23" t="s">
        <v>483</v>
      </c>
    </row>
    <row r="21" spans="1:6" ht="16.149999999999999" customHeight="1" x14ac:dyDescent="0.25">
      <c r="A21" s="25" t="str">
        <f>"From 0 to "&amp;FIXED(C21,0,0)</f>
        <v>From 0 to 237,100</v>
      </c>
      <c r="B21" s="26"/>
      <c r="C21" s="27">
        <v>237100</v>
      </c>
      <c r="D21" s="28">
        <v>0.18</v>
      </c>
      <c r="E21" s="29">
        <f>C21*D21</f>
        <v>42678</v>
      </c>
      <c r="F21" s="30">
        <f t="shared" ref="F21:F26" si="0">IF(C21=0,0,E21/C21)</f>
        <v>0.18</v>
      </c>
    </row>
    <row r="22" spans="1:6" ht="16.149999999999999" customHeight="1" x14ac:dyDescent="0.25">
      <c r="A22" s="31" t="str">
        <f ca="1">"From "&amp;FIXED(OFFSET($C$20,ROW(C22)-ROW(C$20)-1,0,1,1)+1,0,0)&amp;" to "&amp;FIXED(C22,0,0)</f>
        <v>From 237,101 to 370,500</v>
      </c>
      <c r="B22" s="32"/>
      <c r="C22" s="33">
        <v>370500</v>
      </c>
      <c r="D22" s="34">
        <v>0.26</v>
      </c>
      <c r="E22" s="35">
        <f ca="1">((C22-OFFSET($C$20,ROW(C22)-ROW(C$20)-1,0,1,1))*D22)+OFFSET($E$20,ROW(C22)-ROW(C$20)-1,0,1,1)</f>
        <v>77362</v>
      </c>
      <c r="F22" s="30">
        <f t="shared" ca="1" si="0"/>
        <v>0.20880431848852901</v>
      </c>
    </row>
    <row r="23" spans="1:6" ht="16.149999999999999" customHeight="1" x14ac:dyDescent="0.25">
      <c r="A23" s="31" t="str">
        <f ca="1">"From "&amp;FIXED(OFFSET($C$20,ROW(C23)-ROW(C$20)-1,0,1,1)+1,0,0)&amp;" to "&amp;FIXED(C23,0,0)</f>
        <v>From 370,501 to 512,800</v>
      </c>
      <c r="B23" s="32"/>
      <c r="C23" s="33">
        <v>512800</v>
      </c>
      <c r="D23" s="34">
        <v>0.31</v>
      </c>
      <c r="E23" s="35">
        <f ca="1">((C23-OFFSET($C$20,ROW(C23)-ROW(C$20)-1,0,1,1))*D23)+OFFSET($E$20,ROW(C23)-ROW(C$20)-1,0,1,1)</f>
        <v>121475</v>
      </c>
      <c r="F23" s="30">
        <f t="shared" ca="1" si="0"/>
        <v>0.23688572542901717</v>
      </c>
    </row>
    <row r="24" spans="1:6" ht="16.149999999999999" customHeight="1" x14ac:dyDescent="0.25">
      <c r="A24" s="31" t="str">
        <f t="shared" ref="A24:A26" ca="1" si="1">"From "&amp;FIXED(OFFSET($C$20,ROW(C24)-ROW(C$20)-1,0,1,1)+1,0,0)&amp;" to "&amp;FIXED(C24,0,0)</f>
        <v>From 512,801 to 673,000</v>
      </c>
      <c r="B24" s="32"/>
      <c r="C24" s="33">
        <v>673000</v>
      </c>
      <c r="D24" s="34">
        <v>0.36</v>
      </c>
      <c r="E24" s="35">
        <f ca="1">((C24-OFFSET($C$20,ROW(C24)-ROW(C$20)-1,0,1,1))*D24)+OFFSET($E$20,ROW(C24)-ROW(C$20)-1,0,1,1)</f>
        <v>179147</v>
      </c>
      <c r="F24" s="30">
        <f t="shared" ca="1" si="0"/>
        <v>0.26619167904903418</v>
      </c>
    </row>
    <row r="25" spans="1:6" ht="16.149999999999999" customHeight="1" x14ac:dyDescent="0.25">
      <c r="A25" s="31" t="str">
        <f t="shared" ca="1" si="1"/>
        <v>From 673,001 to 857,900</v>
      </c>
      <c r="B25" s="32"/>
      <c r="C25" s="33">
        <v>857900</v>
      </c>
      <c r="D25" s="34">
        <v>0.39</v>
      </c>
      <c r="E25" s="35">
        <f ca="1">((C25-OFFSET($C$20,ROW(C25)-ROW(C$20)-1,0,1,1))*D25)+OFFSET($E$20,ROW(C25)-ROW(C$20)-1,0,1,1)</f>
        <v>251258</v>
      </c>
      <c r="F25" s="30">
        <f t="shared" ca="1" si="0"/>
        <v>0.29287562652989857</v>
      </c>
    </row>
    <row r="26" spans="1:6" ht="16.149999999999999" customHeight="1" x14ac:dyDescent="0.25">
      <c r="A26" s="31" t="str">
        <f t="shared" ca="1" si="1"/>
        <v>From 857,901 to 1,817,000</v>
      </c>
      <c r="B26" s="32"/>
      <c r="C26" s="36">
        <v>1817000</v>
      </c>
      <c r="D26" s="34">
        <v>0.41</v>
      </c>
      <c r="E26" s="37">
        <f ca="1">((C26-OFFSET($C$20,ROW(C26)-ROW(C$20)-1,0,1,1))*D26)+OFFSET($E$20,ROW(C26)-ROW(C$20)-1,0,1,1)</f>
        <v>644489</v>
      </c>
      <c r="F26" s="38">
        <f t="shared" ca="1" si="0"/>
        <v>0.35469950467804073</v>
      </c>
    </row>
    <row r="27" spans="1:6" ht="16.149999999999999" customHeight="1" x14ac:dyDescent="0.25">
      <c r="A27" s="25" t="str">
        <f ca="1">"From "&amp;FIXED(OFFSET($C$20,ROW(C27)-ROW(C$20)-1,0,1,1)+1,0,0)&amp;" and above"</f>
        <v>From 1,817,001 and above</v>
      </c>
      <c r="B27" s="39"/>
      <c r="C27" s="40"/>
      <c r="D27" s="41">
        <v>0.45</v>
      </c>
      <c r="E27" s="42"/>
      <c r="F27" s="43"/>
    </row>
    <row r="28" spans="1:6" ht="16.149999999999999" customHeight="1" x14ac:dyDescent="0.25">
      <c r="E28" s="2"/>
    </row>
    <row r="29" spans="1:6" ht="16.149999999999999" customHeight="1" x14ac:dyDescent="0.25">
      <c r="A29" s="3" t="s">
        <v>205</v>
      </c>
      <c r="B29" s="4"/>
      <c r="C29" s="5"/>
      <c r="D29" s="4"/>
      <c r="E29" s="2"/>
    </row>
    <row r="30" spans="1:6" ht="16.149999999999999" customHeight="1" x14ac:dyDescent="0.25">
      <c r="B30" s="4"/>
      <c r="C30" s="5"/>
      <c r="D30" s="4"/>
      <c r="E30" s="2"/>
    </row>
    <row r="31" spans="1:6" ht="25.5" x14ac:dyDescent="0.25">
      <c r="A31" s="342" t="s">
        <v>0</v>
      </c>
      <c r="B31" s="342"/>
      <c r="C31" s="23" t="s">
        <v>2</v>
      </c>
      <c r="D31" s="24" t="s">
        <v>1</v>
      </c>
      <c r="E31" s="23" t="s">
        <v>482</v>
      </c>
      <c r="F31" s="23" t="s">
        <v>483</v>
      </c>
    </row>
    <row r="32" spans="1:6" ht="16.149999999999999" customHeight="1" x14ac:dyDescent="0.25">
      <c r="A32" s="343" t="str">
        <f>"From 0 to "&amp;FIXED(C32,0,0)</f>
        <v>From 0 to 200,000</v>
      </c>
      <c r="B32" s="344"/>
      <c r="C32" s="27">
        <v>200000</v>
      </c>
      <c r="D32" s="28">
        <v>0</v>
      </c>
      <c r="E32" s="29">
        <f>C32*D32</f>
        <v>0</v>
      </c>
      <c r="F32" s="30">
        <f t="shared" ref="F32:F37" si="2">IF(C32=0,0,E32/C32)</f>
        <v>0</v>
      </c>
    </row>
    <row r="33" spans="1:6" ht="16.149999999999999" customHeight="1" x14ac:dyDescent="0.25">
      <c r="A33" s="31" t="str">
        <f ca="1">"From "&amp;FIXED(OFFSET($C$31,ROW(C33)-ROW(C$31)-1,0,1,1)+1,0,0)&amp;" to "&amp;FIXED(C33,0,0)</f>
        <v>From 200,001 to 300,000</v>
      </c>
      <c r="B33" s="32"/>
      <c r="C33" s="33">
        <v>300000</v>
      </c>
      <c r="D33" s="34">
        <v>0</v>
      </c>
      <c r="E33" s="35">
        <f ca="1">((C33-OFFSET($C$20,ROW(C33)-ROW(C$20)-1,0,1,1))*D33)+OFFSET($E$20,ROW(C33)-ROW(C$20)-1,0,1,1)</f>
        <v>0</v>
      </c>
      <c r="F33" s="30">
        <f t="shared" ca="1" si="2"/>
        <v>0</v>
      </c>
    </row>
    <row r="34" spans="1:6" ht="16.149999999999999" customHeight="1" x14ac:dyDescent="0.25">
      <c r="A34" s="31" t="str">
        <f t="shared" ref="A34:A37" ca="1" si="3">"From "&amp;FIXED(OFFSET($C$31,ROW(C34)-ROW(C$31)-1,0,1,1)+1,0,0)&amp;" to "&amp;FIXED(C34,0,0)</f>
        <v>From 300,001 to 400,000</v>
      </c>
      <c r="B34" s="32"/>
      <c r="C34" s="33">
        <v>400000</v>
      </c>
      <c r="D34" s="34">
        <v>0</v>
      </c>
      <c r="E34" s="35">
        <f ca="1">((C34-OFFSET($C$20,ROW(C34)-ROW(C$20)-1,0,1,1))*D34)+OFFSET($E$20,ROW(C34)-ROW(C$20)-1,0,1,1)</f>
        <v>0</v>
      </c>
      <c r="F34" s="30">
        <f t="shared" ca="1" si="2"/>
        <v>0</v>
      </c>
    </row>
    <row r="35" spans="1:6" ht="16.149999999999999" customHeight="1" x14ac:dyDescent="0.25">
      <c r="A35" s="31" t="str">
        <f t="shared" ca="1" si="3"/>
        <v>From 400,001 to 550,000</v>
      </c>
      <c r="B35" s="32"/>
      <c r="C35" s="33">
        <v>550000</v>
      </c>
      <c r="D35" s="34">
        <v>0</v>
      </c>
      <c r="E35" s="35">
        <f ca="1">((C35-OFFSET($C$20,ROW(C35)-ROW(C$20)-1,0,1,1))*D35)+OFFSET($E$20,ROW(C35)-ROW(C$20)-1,0,1,1)</f>
        <v>0</v>
      </c>
      <c r="F35" s="30">
        <f t="shared" ca="1" si="2"/>
        <v>0</v>
      </c>
    </row>
    <row r="36" spans="1:6" ht="16.149999999999999" customHeight="1" x14ac:dyDescent="0.25">
      <c r="A36" s="31" t="str">
        <f t="shared" ca="1" si="3"/>
        <v>From 550,001 to 700,000</v>
      </c>
      <c r="B36" s="32"/>
      <c r="C36" s="33">
        <v>700000</v>
      </c>
      <c r="D36" s="34">
        <v>0</v>
      </c>
      <c r="E36" s="35">
        <f ca="1">((C36-OFFSET($C$20,ROW(C36)-ROW(C$20)-1,0,1,1))*D36)+OFFSET($E$20,ROW(C36)-ROW(C$20)-1,0,1,1)</f>
        <v>0</v>
      </c>
      <c r="F36" s="30">
        <f t="shared" ca="1" si="2"/>
        <v>0</v>
      </c>
    </row>
    <row r="37" spans="1:6" ht="16.149999999999999" customHeight="1" x14ac:dyDescent="0.25">
      <c r="A37" s="31" t="str">
        <f t="shared" ca="1" si="3"/>
        <v>From 700,001 to 1,000,000</v>
      </c>
      <c r="B37" s="32"/>
      <c r="C37" s="36">
        <v>1000000</v>
      </c>
      <c r="D37" s="34">
        <v>0</v>
      </c>
      <c r="E37" s="37">
        <f ca="1">((C37-OFFSET($C$20,ROW(C37)-ROW(C$20)-1,0,1,1))*D37)+OFFSET($E$20,ROW(C37)-ROW(C$20)-1,0,1,1)</f>
        <v>0</v>
      </c>
      <c r="F37" s="38">
        <f t="shared" ca="1" si="2"/>
        <v>0</v>
      </c>
    </row>
    <row r="38" spans="1:6" ht="16.149999999999999" customHeight="1" x14ac:dyDescent="0.25">
      <c r="A38" s="343" t="str">
        <f ca="1">"From "&amp;FIXED(OFFSET($C$31,ROW(C38)-ROW(C$31)-1,0,1,1)+1,0,0)&amp;" and above"</f>
        <v>From 1,000,001 and above</v>
      </c>
      <c r="B38" s="345"/>
      <c r="C38" s="40"/>
      <c r="D38" s="41">
        <v>0</v>
      </c>
      <c r="E38" s="42"/>
      <c r="F38" s="43"/>
    </row>
    <row r="39" spans="1:6" ht="16.149999999999999" customHeight="1" x14ac:dyDescent="0.25">
      <c r="E39" s="2"/>
    </row>
    <row r="40" spans="1:6" ht="16.149999999999999" customHeight="1" x14ac:dyDescent="0.25">
      <c r="A40" s="3" t="s">
        <v>42</v>
      </c>
      <c r="E40" s="2"/>
    </row>
    <row r="41" spans="1:6" s="46" customFormat="1" ht="16.149999999999999" customHeight="1" x14ac:dyDescent="0.2">
      <c r="A41" s="6" t="s">
        <v>43</v>
      </c>
      <c r="B41" s="6" t="s">
        <v>44</v>
      </c>
      <c r="C41" s="44" t="s">
        <v>45</v>
      </c>
      <c r="D41" s="45" t="s">
        <v>9</v>
      </c>
    </row>
    <row r="42" spans="1:6" ht="16.149999999999999" customHeight="1" x14ac:dyDescent="0.25">
      <c r="A42" s="47" t="s">
        <v>46</v>
      </c>
      <c r="B42" s="47" t="s">
        <v>10</v>
      </c>
      <c r="C42" s="48">
        <v>17235</v>
      </c>
      <c r="D42" s="49">
        <f>SUM(C$42:C42)</f>
        <v>17235</v>
      </c>
    </row>
    <row r="43" spans="1:6" ht="16.149999999999999" customHeight="1" x14ac:dyDescent="0.25">
      <c r="A43" s="47" t="s">
        <v>47</v>
      </c>
      <c r="B43" s="47" t="s">
        <v>48</v>
      </c>
      <c r="C43" s="48">
        <v>9444</v>
      </c>
      <c r="D43" s="49">
        <f>SUM(C$42:C43)</f>
        <v>26679</v>
      </c>
    </row>
    <row r="44" spans="1:6" ht="16.149999999999999" customHeight="1" x14ac:dyDescent="0.25">
      <c r="A44" s="47" t="s">
        <v>28</v>
      </c>
      <c r="B44" s="47" t="s">
        <v>49</v>
      </c>
      <c r="C44" s="48">
        <v>3145</v>
      </c>
      <c r="D44" s="49">
        <f>SUM(C$42:C44)</f>
        <v>29824</v>
      </c>
    </row>
    <row r="45" spans="1:6" ht="16.149999999999999" customHeight="1" x14ac:dyDescent="0.25">
      <c r="A45" s="47" t="s">
        <v>54</v>
      </c>
      <c r="B45" s="47" t="s">
        <v>102</v>
      </c>
      <c r="C45" s="48">
        <v>0</v>
      </c>
      <c r="D45" s="49">
        <f>C45</f>
        <v>0</v>
      </c>
    </row>
    <row r="46" spans="1:6" ht="16.149999999999999" customHeight="1" x14ac:dyDescent="0.25">
      <c r="A46" s="50" t="s">
        <v>40</v>
      </c>
      <c r="B46" s="51"/>
      <c r="C46" s="52"/>
      <c r="D46" s="53"/>
    </row>
    <row r="48" spans="1:6" ht="16.149999999999999" customHeight="1" x14ac:dyDescent="0.25">
      <c r="A48" s="3" t="s">
        <v>58</v>
      </c>
      <c r="E48" s="2"/>
    </row>
    <row r="49" spans="1:7" s="46" customFormat="1" ht="16.149999999999999" customHeight="1" x14ac:dyDescent="0.2">
      <c r="A49" s="6" t="s">
        <v>22</v>
      </c>
      <c r="B49" s="44" t="s">
        <v>296</v>
      </c>
      <c r="C49" s="54" t="s">
        <v>59</v>
      </c>
    </row>
    <row r="50" spans="1:7" ht="16.149999999999999" customHeight="1" x14ac:dyDescent="0.25">
      <c r="A50" s="55">
        <v>0</v>
      </c>
      <c r="B50" s="56">
        <v>0</v>
      </c>
      <c r="C50" s="57">
        <f t="shared" ref="C50" ca="1" si="4">B50+IF(ISNUMBER(OFFSET(A50,-1,2,1,1)),OFFSET(A50,-1,2,1,1),0)</f>
        <v>0</v>
      </c>
      <c r="D50" s="2"/>
      <c r="E50" s="2"/>
    </row>
    <row r="51" spans="1:7" ht="16.149999999999999" customHeight="1" x14ac:dyDescent="0.25">
      <c r="A51" s="55">
        <v>1</v>
      </c>
      <c r="B51" s="56">
        <v>364</v>
      </c>
      <c r="C51" s="57">
        <f ca="1">B51+IF(ISNUMBER(OFFSET(A51,-1,2,1,1)),OFFSET(A51,-1,2,1,1),0)</f>
        <v>364</v>
      </c>
      <c r="D51" s="2"/>
      <c r="E51" s="2"/>
    </row>
    <row r="52" spans="1:7" ht="16.149999999999999" customHeight="1" x14ac:dyDescent="0.25">
      <c r="A52" s="58">
        <f ca="1">OFFSET(B52,-1,-1,1,1)+1</f>
        <v>2</v>
      </c>
      <c r="B52" s="56">
        <v>364</v>
      </c>
      <c r="C52" s="57">
        <f ca="1">B52+IF(ISNUMBER(OFFSET(A52,-1,2,1,1)),OFFSET(A52,-1,2,1,1),0)</f>
        <v>728</v>
      </c>
      <c r="D52" s="2"/>
      <c r="E52" s="2"/>
    </row>
    <row r="53" spans="1:7" ht="16.149999999999999" customHeight="1" x14ac:dyDescent="0.25">
      <c r="A53" s="58">
        <f t="shared" ref="A53:A60" ca="1" si="5">OFFSET(B53,-1,-1,1,1)+1</f>
        <v>3</v>
      </c>
      <c r="B53" s="56">
        <v>246</v>
      </c>
      <c r="C53" s="57">
        <f t="shared" ref="C53:C60" ca="1" si="6">B53+IF(ISNUMBER(OFFSET(A53,-1,2,1,1)),OFFSET(A53,-1,2,1,1),0)</f>
        <v>974</v>
      </c>
      <c r="D53" s="2"/>
      <c r="E53" s="2"/>
    </row>
    <row r="54" spans="1:7" ht="16.149999999999999" customHeight="1" x14ac:dyDescent="0.25">
      <c r="A54" s="58">
        <f t="shared" ca="1" si="5"/>
        <v>4</v>
      </c>
      <c r="B54" s="56">
        <v>246</v>
      </c>
      <c r="C54" s="57">
        <f t="shared" ca="1" si="6"/>
        <v>1220</v>
      </c>
      <c r="D54" s="2"/>
      <c r="E54" s="2"/>
    </row>
    <row r="55" spans="1:7" ht="16.149999999999999" customHeight="1" x14ac:dyDescent="0.25">
      <c r="A55" s="58">
        <f t="shared" ca="1" si="5"/>
        <v>5</v>
      </c>
      <c r="B55" s="56">
        <v>246</v>
      </c>
      <c r="C55" s="57">
        <f t="shared" ca="1" si="6"/>
        <v>1466</v>
      </c>
      <c r="D55" s="2"/>
      <c r="E55" s="2"/>
    </row>
    <row r="56" spans="1:7" ht="16.149999999999999" customHeight="1" x14ac:dyDescent="0.25">
      <c r="A56" s="58">
        <f t="shared" ca="1" si="5"/>
        <v>6</v>
      </c>
      <c r="B56" s="56">
        <v>246</v>
      </c>
      <c r="C56" s="57">
        <f t="shared" ca="1" si="6"/>
        <v>1712</v>
      </c>
      <c r="D56" s="2"/>
      <c r="E56" s="2"/>
    </row>
    <row r="57" spans="1:7" ht="16.149999999999999" customHeight="1" x14ac:dyDescent="0.25">
      <c r="A57" s="58">
        <f t="shared" ca="1" si="5"/>
        <v>7</v>
      </c>
      <c r="B57" s="56">
        <v>246</v>
      </c>
      <c r="C57" s="57">
        <f t="shared" ref="C57" ca="1" si="7">B57+IF(ISNUMBER(OFFSET(A57,-1,2,1,1)),OFFSET(A57,-1,2,1,1),0)</f>
        <v>1958</v>
      </c>
      <c r="D57" s="2"/>
      <c r="E57" s="2"/>
    </row>
    <row r="58" spans="1:7" ht="16.149999999999999" customHeight="1" x14ac:dyDescent="0.25">
      <c r="A58" s="58">
        <f t="shared" ca="1" si="5"/>
        <v>8</v>
      </c>
      <c r="B58" s="56">
        <v>246</v>
      </c>
      <c r="C58" s="57">
        <f t="shared" ca="1" si="6"/>
        <v>2204</v>
      </c>
      <c r="D58" s="2"/>
      <c r="E58" s="2"/>
    </row>
    <row r="59" spans="1:7" ht="16.149999999999999" customHeight="1" x14ac:dyDescent="0.25">
      <c r="A59" s="58">
        <f t="shared" ca="1" si="5"/>
        <v>9</v>
      </c>
      <c r="B59" s="56">
        <v>246</v>
      </c>
      <c r="C59" s="57">
        <f t="shared" ca="1" si="6"/>
        <v>2450</v>
      </c>
      <c r="D59" s="2"/>
      <c r="E59" s="2"/>
    </row>
    <row r="60" spans="1:7" ht="16.149999999999999" customHeight="1" x14ac:dyDescent="0.25">
      <c r="A60" s="58">
        <f t="shared" ca="1" si="5"/>
        <v>10</v>
      </c>
      <c r="B60" s="56">
        <v>246</v>
      </c>
      <c r="C60" s="57">
        <f t="shared" ca="1" si="6"/>
        <v>2696</v>
      </c>
      <c r="D60" s="2"/>
      <c r="E60" s="2"/>
    </row>
    <row r="61" spans="1:7" ht="16.149999999999999" customHeight="1" x14ac:dyDescent="0.25">
      <c r="A61" s="59" t="s">
        <v>40</v>
      </c>
      <c r="B61" s="50"/>
      <c r="C61" s="60"/>
    </row>
    <row r="63" spans="1:7" ht="16.149999999999999" customHeight="1" x14ac:dyDescent="0.25">
      <c r="A63" s="3" t="s">
        <v>50</v>
      </c>
    </row>
    <row r="64" spans="1:7" s="46" customFormat="1" ht="16.149999999999999" customHeight="1" x14ac:dyDescent="0.2">
      <c r="A64" s="6" t="s">
        <v>43</v>
      </c>
      <c r="B64" s="46" t="s">
        <v>44</v>
      </c>
      <c r="C64" s="6"/>
      <c r="D64" s="61">
        <f ca="1">COUNTA(OFFSET(A64,1,0,ROW($A$70)-ROW($A$64)-1,1))</f>
        <v>5</v>
      </c>
      <c r="E64" s="44" t="s">
        <v>56</v>
      </c>
      <c r="F64" s="44" t="s">
        <v>88</v>
      </c>
      <c r="G64" s="45" t="s">
        <v>51</v>
      </c>
    </row>
    <row r="65" spans="1:11" ht="16.149999999999999" customHeight="1" x14ac:dyDescent="0.25">
      <c r="A65" s="47" t="s">
        <v>46</v>
      </c>
      <c r="B65" s="321" t="s">
        <v>21</v>
      </c>
      <c r="C65" s="322"/>
      <c r="D65" s="324"/>
      <c r="E65" s="62" t="s">
        <v>73</v>
      </c>
      <c r="F65" s="63"/>
      <c r="G65" s="64" t="s">
        <v>20</v>
      </c>
    </row>
    <row r="66" spans="1:11" ht="16.149999999999999" customHeight="1" x14ac:dyDescent="0.25">
      <c r="A66" s="47" t="s">
        <v>47</v>
      </c>
      <c r="B66" s="321" t="s">
        <v>31</v>
      </c>
      <c r="C66" s="322"/>
      <c r="D66" s="324"/>
      <c r="E66" s="62" t="s">
        <v>31</v>
      </c>
      <c r="F66" s="63"/>
      <c r="G66" s="64" t="s">
        <v>52</v>
      </c>
    </row>
    <row r="67" spans="1:11" ht="16.149999999999999" customHeight="1" x14ac:dyDescent="0.25">
      <c r="A67" s="47" t="s">
        <v>28</v>
      </c>
      <c r="B67" s="65" t="s">
        <v>399</v>
      </c>
      <c r="C67" s="66"/>
      <c r="D67" s="67"/>
      <c r="E67" s="62" t="s">
        <v>401</v>
      </c>
      <c r="F67" s="63"/>
      <c r="G67" s="64" t="s">
        <v>52</v>
      </c>
    </row>
    <row r="68" spans="1:11" ht="16.149999999999999" customHeight="1" x14ac:dyDescent="0.25">
      <c r="A68" s="47" t="s">
        <v>54</v>
      </c>
      <c r="B68" s="68" t="s">
        <v>89</v>
      </c>
      <c r="C68" s="69"/>
      <c r="D68" s="70"/>
      <c r="E68" s="71" t="s">
        <v>77</v>
      </c>
      <c r="F68" s="72">
        <v>0</v>
      </c>
      <c r="G68" s="73" t="s">
        <v>20</v>
      </c>
    </row>
    <row r="69" spans="1:11" ht="16.149999999999999" customHeight="1" x14ac:dyDescent="0.25">
      <c r="A69" s="47" t="s">
        <v>418</v>
      </c>
      <c r="B69" s="68" t="s">
        <v>413</v>
      </c>
      <c r="C69" s="66"/>
      <c r="D69" s="70"/>
      <c r="E69" s="71" t="s">
        <v>413</v>
      </c>
      <c r="F69" s="72">
        <v>0</v>
      </c>
      <c r="G69" s="73" t="s">
        <v>20</v>
      </c>
    </row>
    <row r="70" spans="1:11" ht="16.149999999999999" customHeight="1" x14ac:dyDescent="0.25">
      <c r="A70" s="50" t="s">
        <v>40</v>
      </c>
      <c r="B70" s="325"/>
      <c r="C70" s="326"/>
      <c r="D70" s="327"/>
      <c r="E70" s="74"/>
      <c r="F70" s="75"/>
      <c r="G70" s="76"/>
    </row>
    <row r="72" spans="1:11" ht="16.149999999999999" customHeight="1" x14ac:dyDescent="0.25">
      <c r="A72" s="3" t="s">
        <v>283</v>
      </c>
    </row>
    <row r="73" spans="1:11" s="46" customFormat="1" ht="16.149999999999999" customHeight="1" x14ac:dyDescent="0.2">
      <c r="A73" s="6" t="s">
        <v>43</v>
      </c>
      <c r="B73" s="46" t="s">
        <v>44</v>
      </c>
      <c r="D73" s="61">
        <f ca="1">COUNTA(OFFSET(A73,1,0,ROW($A$78)-ROW($A$73)-1,1))</f>
        <v>4</v>
      </c>
      <c r="E73" s="45" t="s">
        <v>203</v>
      </c>
      <c r="F73" s="45" t="s">
        <v>51</v>
      </c>
      <c r="G73" s="45" t="s">
        <v>302</v>
      </c>
      <c r="H73" s="54" t="s">
        <v>64</v>
      </c>
      <c r="I73" s="44" t="s">
        <v>90</v>
      </c>
      <c r="J73" s="77" t="s">
        <v>98</v>
      </c>
      <c r="K73" s="44" t="s">
        <v>99</v>
      </c>
    </row>
    <row r="74" spans="1:11" ht="16.149999999999999" customHeight="1" x14ac:dyDescent="0.25">
      <c r="A74" s="47" t="s">
        <v>14</v>
      </c>
      <c r="B74" s="321" t="s">
        <v>53</v>
      </c>
      <c r="C74" s="322"/>
      <c r="D74" s="323"/>
      <c r="E74" s="78">
        <v>0.01</v>
      </c>
      <c r="F74" s="79" t="s">
        <v>65</v>
      </c>
      <c r="G74" s="79" t="s">
        <v>300</v>
      </c>
      <c r="H74" s="80" t="s">
        <v>54</v>
      </c>
      <c r="I74" s="56">
        <v>212544</v>
      </c>
      <c r="J74" s="81">
        <v>0</v>
      </c>
      <c r="K74" s="56"/>
    </row>
    <row r="75" spans="1:11" ht="16.149999999999999" customHeight="1" x14ac:dyDescent="0.25">
      <c r="A75" s="47" t="s">
        <v>206</v>
      </c>
      <c r="B75" s="321" t="s">
        <v>207</v>
      </c>
      <c r="C75" s="322"/>
      <c r="D75" s="323"/>
      <c r="E75" s="78">
        <v>0</v>
      </c>
      <c r="F75" s="82" t="s">
        <v>65</v>
      </c>
      <c r="G75" s="82" t="s">
        <v>300</v>
      </c>
      <c r="H75" s="80" t="s">
        <v>54</v>
      </c>
      <c r="I75" s="56"/>
      <c r="J75" s="81">
        <v>1</v>
      </c>
      <c r="K75" s="56">
        <v>350000</v>
      </c>
    </row>
    <row r="76" spans="1:11" ht="16.149999999999999" customHeight="1" x14ac:dyDescent="0.25">
      <c r="A76" s="47" t="s">
        <v>400</v>
      </c>
      <c r="B76" s="321" t="s">
        <v>89</v>
      </c>
      <c r="C76" s="322"/>
      <c r="D76" s="323"/>
      <c r="E76" s="78">
        <v>0</v>
      </c>
      <c r="F76" s="79" t="s">
        <v>85</v>
      </c>
      <c r="G76" s="79" t="s">
        <v>301</v>
      </c>
      <c r="H76" s="80"/>
      <c r="I76" s="56"/>
      <c r="J76" s="81">
        <v>0</v>
      </c>
      <c r="K76" s="56"/>
    </row>
    <row r="77" spans="1:11" ht="16.149999999999999" customHeight="1" x14ac:dyDescent="0.25">
      <c r="A77" s="47" t="s">
        <v>414</v>
      </c>
      <c r="B77" s="68" t="s">
        <v>413</v>
      </c>
      <c r="C77" s="66"/>
      <c r="D77" s="70"/>
      <c r="E77" s="78">
        <v>0</v>
      </c>
      <c r="F77" s="79" t="s">
        <v>85</v>
      </c>
      <c r="G77" s="79" t="s">
        <v>301</v>
      </c>
      <c r="H77" s="80"/>
      <c r="I77" s="56"/>
      <c r="J77" s="81"/>
      <c r="K77" s="56"/>
    </row>
    <row r="78" spans="1:11" ht="16.149999999999999" customHeight="1" x14ac:dyDescent="0.25">
      <c r="A78" s="50" t="s">
        <v>40</v>
      </c>
      <c r="B78" s="325"/>
      <c r="C78" s="326"/>
      <c r="D78" s="328"/>
      <c r="E78" s="83"/>
      <c r="F78" s="84"/>
      <c r="G78" s="85"/>
      <c r="H78" s="86"/>
      <c r="I78" s="87"/>
      <c r="J78" s="88"/>
      <c r="K78" s="87"/>
    </row>
    <row r="80" spans="1:11" ht="16.149999999999999" customHeight="1" x14ac:dyDescent="0.25">
      <c r="A80" s="3" t="s">
        <v>380</v>
      </c>
    </row>
    <row r="81" spans="1:9" s="46" customFormat="1" ht="16.149999999999999" customHeight="1" x14ac:dyDescent="0.2">
      <c r="A81" s="6" t="s">
        <v>43</v>
      </c>
      <c r="B81" s="46" t="s">
        <v>44</v>
      </c>
      <c r="D81" s="61">
        <f ca="1">COUNTA(OFFSET(A81,1,0,ROW($A$86)-ROW($A$81)-1,1))</f>
        <v>4</v>
      </c>
      <c r="E81" s="45" t="s">
        <v>203</v>
      </c>
      <c r="F81" s="45" t="s">
        <v>51</v>
      </c>
      <c r="G81" s="45" t="s">
        <v>302</v>
      </c>
      <c r="H81" s="44" t="s">
        <v>64</v>
      </c>
      <c r="I81" s="54" t="s">
        <v>90</v>
      </c>
    </row>
    <row r="82" spans="1:9" ht="16.149999999999999" customHeight="1" x14ac:dyDescent="0.25">
      <c r="A82" s="47" t="s">
        <v>14</v>
      </c>
      <c r="B82" s="321" t="s">
        <v>53</v>
      </c>
      <c r="C82" s="322"/>
      <c r="D82" s="323"/>
      <c r="E82" s="78">
        <v>1</v>
      </c>
      <c r="F82" s="64" t="s">
        <v>14</v>
      </c>
      <c r="G82" s="79" t="s">
        <v>300</v>
      </c>
      <c r="H82" s="80"/>
      <c r="I82" s="89"/>
    </row>
    <row r="83" spans="1:9" ht="16.149999999999999" customHeight="1" x14ac:dyDescent="0.25">
      <c r="A83" s="47" t="s">
        <v>32</v>
      </c>
      <c r="B83" s="321" t="s">
        <v>57</v>
      </c>
      <c r="C83" s="322"/>
      <c r="D83" s="323"/>
      <c r="E83" s="78">
        <v>0.01</v>
      </c>
      <c r="F83" s="64" t="s">
        <v>65</v>
      </c>
      <c r="G83" s="79" t="s">
        <v>300</v>
      </c>
      <c r="H83" s="80" t="s">
        <v>54</v>
      </c>
      <c r="I83" s="89"/>
    </row>
    <row r="84" spans="1:9" ht="16.149999999999999" customHeight="1" x14ac:dyDescent="0.25">
      <c r="A84" s="47" t="s">
        <v>415</v>
      </c>
      <c r="B84" s="68" t="s">
        <v>413</v>
      </c>
      <c r="C84" s="66"/>
      <c r="D84" s="70"/>
      <c r="E84" s="78">
        <v>0</v>
      </c>
      <c r="F84" s="64" t="s">
        <v>65</v>
      </c>
      <c r="G84" s="79" t="s">
        <v>300</v>
      </c>
      <c r="H84" s="80"/>
      <c r="I84" s="89"/>
    </row>
    <row r="85" spans="1:9" ht="16.149999999999999" customHeight="1" x14ac:dyDescent="0.25">
      <c r="A85" s="47" t="s">
        <v>416</v>
      </c>
      <c r="B85" s="68" t="s">
        <v>413</v>
      </c>
      <c r="C85" s="66"/>
      <c r="D85" s="70"/>
      <c r="E85" s="78">
        <v>0</v>
      </c>
      <c r="F85" s="64" t="s">
        <v>65</v>
      </c>
      <c r="G85" s="79" t="s">
        <v>300</v>
      </c>
      <c r="H85" s="80"/>
      <c r="I85" s="89"/>
    </row>
    <row r="86" spans="1:9" ht="16.149999999999999" customHeight="1" x14ac:dyDescent="0.25">
      <c r="A86" s="50" t="s">
        <v>40</v>
      </c>
      <c r="B86" s="325"/>
      <c r="C86" s="326"/>
      <c r="D86" s="328"/>
      <c r="E86" s="83"/>
      <c r="F86" s="84"/>
      <c r="G86" s="84"/>
      <c r="H86" s="86"/>
      <c r="I86" s="90"/>
    </row>
    <row r="88" spans="1:9" ht="16.149999999999999" customHeight="1" x14ac:dyDescent="0.25">
      <c r="A88" s="3" t="s">
        <v>124</v>
      </c>
    </row>
    <row r="89" spans="1:9" ht="16.149999999999999" customHeight="1" x14ac:dyDescent="0.25">
      <c r="A89" s="6" t="s">
        <v>43</v>
      </c>
      <c r="B89" s="46" t="s">
        <v>44</v>
      </c>
      <c r="C89" s="46"/>
      <c r="D89" s="61">
        <f ca="1">COUNTA(OFFSET(A89,1,0,ROW($A$93)-ROW($A$89)-1,1))</f>
        <v>3</v>
      </c>
      <c r="E89" s="44" t="s">
        <v>177</v>
      </c>
    </row>
    <row r="90" spans="1:9" ht="16.149999999999999" customHeight="1" x14ac:dyDescent="0.25">
      <c r="A90" s="47" t="s">
        <v>26</v>
      </c>
      <c r="B90" s="321" t="s">
        <v>125</v>
      </c>
      <c r="C90" s="322"/>
      <c r="D90" s="323"/>
      <c r="E90" s="80" t="s">
        <v>178</v>
      </c>
    </row>
    <row r="91" spans="1:9" ht="16.149999999999999" customHeight="1" x14ac:dyDescent="0.25">
      <c r="A91" s="47" t="s">
        <v>27</v>
      </c>
      <c r="B91" s="68" t="s">
        <v>126</v>
      </c>
      <c r="C91" s="69"/>
      <c r="D91" s="70"/>
      <c r="E91" s="80" t="s">
        <v>208</v>
      </c>
    </row>
    <row r="92" spans="1:9" ht="16.149999999999999" customHeight="1" x14ac:dyDescent="0.25">
      <c r="A92" s="47" t="s">
        <v>46</v>
      </c>
      <c r="B92" s="321" t="s">
        <v>127</v>
      </c>
      <c r="C92" s="322"/>
      <c r="D92" s="323"/>
      <c r="E92" s="80" t="s">
        <v>209</v>
      </c>
    </row>
    <row r="93" spans="1:9" ht="16.149999999999999" customHeight="1" x14ac:dyDescent="0.25">
      <c r="A93" s="50" t="s">
        <v>40</v>
      </c>
      <c r="B93" s="325"/>
      <c r="C93" s="326"/>
      <c r="D93" s="328"/>
      <c r="E93" s="91"/>
    </row>
    <row r="95" spans="1:9" ht="16.149999999999999" hidden="1" customHeight="1" x14ac:dyDescent="0.25">
      <c r="B95" s="3" t="s">
        <v>39</v>
      </c>
    </row>
    <row r="96" spans="1:9" ht="16.149999999999999" hidden="1" customHeight="1" x14ac:dyDescent="0.25">
      <c r="B96" s="92">
        <f t="shared" ref="B96:B107" ca="1" si="8">DATE(YEAR(TODAY())+1,ROW(C96)-ROW($C$95),1)</f>
        <v>45658</v>
      </c>
    </row>
    <row r="97" spans="1:5" ht="16.149999999999999" hidden="1" customHeight="1" x14ac:dyDescent="0.25">
      <c r="B97" s="92">
        <f t="shared" ca="1" si="8"/>
        <v>45689</v>
      </c>
    </row>
    <row r="98" spans="1:5" ht="16.149999999999999" hidden="1" customHeight="1" x14ac:dyDescent="0.25">
      <c r="B98" s="92">
        <f t="shared" ca="1" si="8"/>
        <v>45717</v>
      </c>
    </row>
    <row r="99" spans="1:5" ht="16.149999999999999" hidden="1" customHeight="1" x14ac:dyDescent="0.25">
      <c r="B99" s="92">
        <f t="shared" ca="1" si="8"/>
        <v>45748</v>
      </c>
    </row>
    <row r="100" spans="1:5" ht="16.149999999999999" hidden="1" customHeight="1" x14ac:dyDescent="0.25">
      <c r="B100" s="92">
        <f t="shared" ca="1" si="8"/>
        <v>45778</v>
      </c>
    </row>
    <row r="101" spans="1:5" ht="16.149999999999999" hidden="1" customHeight="1" x14ac:dyDescent="0.25">
      <c r="B101" s="92">
        <f t="shared" ca="1" si="8"/>
        <v>45809</v>
      </c>
    </row>
    <row r="102" spans="1:5" ht="16.149999999999999" hidden="1" customHeight="1" x14ac:dyDescent="0.25">
      <c r="B102" s="92">
        <f t="shared" ca="1" si="8"/>
        <v>45839</v>
      </c>
    </row>
    <row r="103" spans="1:5" ht="16.149999999999999" hidden="1" customHeight="1" x14ac:dyDescent="0.25">
      <c r="B103" s="92">
        <f t="shared" ca="1" si="8"/>
        <v>45870</v>
      </c>
    </row>
    <row r="104" spans="1:5" ht="16.149999999999999" hidden="1" customHeight="1" x14ac:dyDescent="0.25">
      <c r="B104" s="92">
        <f t="shared" ca="1" si="8"/>
        <v>45901</v>
      </c>
    </row>
    <row r="105" spans="1:5" ht="16.149999999999999" hidden="1" customHeight="1" x14ac:dyDescent="0.25">
      <c r="B105" s="92">
        <f t="shared" ca="1" si="8"/>
        <v>45931</v>
      </c>
    </row>
    <row r="106" spans="1:5" ht="16.149999999999999" hidden="1" customHeight="1" x14ac:dyDescent="0.25">
      <c r="B106" s="92">
        <f t="shared" ca="1" si="8"/>
        <v>45962</v>
      </c>
    </row>
    <row r="107" spans="1:5" ht="16.149999999999999" hidden="1" customHeight="1" x14ac:dyDescent="0.25">
      <c r="B107" s="92">
        <f t="shared" ca="1" si="8"/>
        <v>45992</v>
      </c>
    </row>
    <row r="108" spans="1:5" ht="16.149999999999999" hidden="1" customHeight="1" x14ac:dyDescent="0.25">
      <c r="B108" s="93" t="s">
        <v>40</v>
      </c>
    </row>
    <row r="109" spans="1:5" ht="16.149999999999999" hidden="1" customHeight="1" x14ac:dyDescent="0.25"/>
    <row r="110" spans="1:5" s="96" customFormat="1" ht="16.149999999999999" hidden="1" customHeight="1" x14ac:dyDescent="0.2">
      <c r="A110" s="3"/>
      <c r="B110" s="3" t="s">
        <v>146</v>
      </c>
      <c r="C110" s="94"/>
      <c r="D110" s="95"/>
      <c r="E110" s="94"/>
    </row>
    <row r="111" spans="1:5" ht="16.149999999999999" hidden="1" customHeight="1" x14ac:dyDescent="0.25">
      <c r="B111" s="10" t="s">
        <v>30</v>
      </c>
      <c r="C111" s="4">
        <f>COLUMN(Payroll!$L$2)</f>
        <v>12</v>
      </c>
    </row>
    <row r="112" spans="1:5" ht="16.149999999999999" hidden="1" customHeight="1" x14ac:dyDescent="0.25">
      <c r="B112" s="10" t="s">
        <v>167</v>
      </c>
      <c r="C112" s="4">
        <f>COLUMN(Payroll!$M$2)</f>
        <v>13</v>
      </c>
    </row>
    <row r="113" spans="1:7" ht="16.149999999999999" hidden="1" customHeight="1" x14ac:dyDescent="0.25">
      <c r="B113" s="10" t="s">
        <v>29</v>
      </c>
      <c r="C113" s="4">
        <f>COLUMN(Payroll!$R$2)</f>
        <v>18</v>
      </c>
    </row>
    <row r="114" spans="1:7" ht="16.149999999999999" hidden="1" customHeight="1" x14ac:dyDescent="0.25">
      <c r="B114" s="10" t="s">
        <v>16</v>
      </c>
      <c r="C114" s="4">
        <f>COLUMN(Payroll!$S$2)</f>
        <v>19</v>
      </c>
    </row>
    <row r="115" spans="1:7" ht="16.149999999999999" hidden="1" customHeight="1" x14ac:dyDescent="0.25">
      <c r="B115" s="10" t="s">
        <v>144</v>
      </c>
      <c r="C115" s="4">
        <f>COLUMN(Payroll!$X$2)</f>
        <v>24</v>
      </c>
    </row>
    <row r="116" spans="1:7" ht="16.149999999999999" hidden="1" customHeight="1" x14ac:dyDescent="0.25">
      <c r="B116" s="10" t="s">
        <v>81</v>
      </c>
      <c r="C116" s="4">
        <f>COLUMN(Payroll!$Z$2)</f>
        <v>26</v>
      </c>
    </row>
    <row r="117" spans="1:7" ht="16.149999999999999" hidden="1" customHeight="1" x14ac:dyDescent="0.25">
      <c r="B117" s="10" t="s">
        <v>145</v>
      </c>
      <c r="C117" s="4">
        <f>COLUMN(Payroll!$Y$2)</f>
        <v>25</v>
      </c>
    </row>
    <row r="118" spans="1:7" ht="16.149999999999999" hidden="1" customHeight="1" x14ac:dyDescent="0.25"/>
    <row r="119" spans="1:7" s="96" customFormat="1" ht="16.149999999999999" hidden="1" customHeight="1" x14ac:dyDescent="0.2">
      <c r="A119" s="3"/>
      <c r="B119" s="3" t="s">
        <v>164</v>
      </c>
      <c r="C119" s="94"/>
      <c r="D119" s="95"/>
      <c r="E119" s="94"/>
      <c r="G119" s="94"/>
    </row>
    <row r="120" spans="1:7" ht="16.149999999999999" hidden="1" customHeight="1" x14ac:dyDescent="0.25">
      <c r="A120" s="10">
        <v>1</v>
      </c>
      <c r="B120" s="10" t="str">
        <f ca="1">IF(ROW($C120)-ROW($C$120)+1&lt;=EarnListCount,OFFSET(Payroll!$G$2,0,ROW($C120)-ROW($C$120),1,1),"-")</f>
        <v>A</v>
      </c>
      <c r="C120" s="97" cm="1">
        <f t="array" aca="1" ref="C120" ca="1">IF(B120="-",0,SUMIFS(OFFSET(Payroll!$G$6,1,ROW($C120)-ROW($C$120),PayCount,1),PayEmp,PaySlip!$C$11,PayDate,"&lt;="&amp;PaySlip!$G$4))</f>
        <v>1830000</v>
      </c>
      <c r="D120" s="10" t="str">
        <f>Payroll!$M$5</f>
        <v>TAX</v>
      </c>
      <c r="E120" s="97" cm="1">
        <f t="array" aca="1" ref="E120" ca="1">IF(D120="-",0,SUMIFS(PayTaxDeduct,PayEmp,PaySlip!$C$11,PayDate,"&lt;="&amp;PaySlip!$G$4))</f>
        <v>616187</v>
      </c>
      <c r="G120" s="98"/>
    </row>
    <row r="121" spans="1:7" ht="16.149999999999999" hidden="1" customHeight="1" x14ac:dyDescent="0.25">
      <c r="A121" s="10">
        <v>2</v>
      </c>
      <c r="B121" s="10" t="str">
        <f ca="1">IF(ROW($C121)-ROW($C$120)+1&lt;=EarnListCount,OFFSET(Payroll!$G$2,0,ROW($C121)-ROW($C$120),1,1),"-")</f>
        <v>B</v>
      </c>
      <c r="C121" s="97" cm="1">
        <f t="array" aca="1" ref="C121" ca="1">IF(B121="-",0,SUMIFS(OFFSET(Payroll!$G$6,1,ROW($C121)-ROW($C$120),PayCount,1),PayEmp,PaySlip!$C$11,PayDate,"&lt;="&amp;PaySlip!$G$4))</f>
        <v>0</v>
      </c>
      <c r="D121" s="5" t="str">
        <f ca="1">IF(ROW($E121)-ROW($E$121)+1&lt;=DedListCount,OFFSET(Payroll!$N$6,-1,ROW($C122)-ROW($C$122),1,1),"-")</f>
        <v>UIF</v>
      </c>
      <c r="E121" s="97" cm="1">
        <f t="array" aca="1" ref="E121" ca="1">IF(D121="-",0,SUMIFS(OFFSET(Payroll!$N$6,1,ROW($C122)-ROW($C$122),PayCount,1),PayEmp,PaySlip!$C$11,PayDate,"&lt;="&amp;PaySlip!$G$4))</f>
        <v>2125.44</v>
      </c>
      <c r="G121" s="98"/>
    </row>
    <row r="122" spans="1:7" ht="16.149999999999999" hidden="1" customHeight="1" x14ac:dyDescent="0.25">
      <c r="A122" s="10">
        <v>3</v>
      </c>
      <c r="B122" s="10" t="str">
        <f ca="1">IF(ROW($C122)-ROW($C$120)+1&lt;=EarnListCount,OFFSET(Payroll!$G$2,0,ROW($C122)-ROW($C$120),1,1),"-")</f>
        <v>C</v>
      </c>
      <c r="C122" s="97" cm="1">
        <f t="array" aca="1" ref="C122" ca="1">IF(B122="-",0,SUMIFS(OFFSET(Payroll!$G$6,1,ROW($C122)-ROW($C$120),PayCount,1),PayEmp,PaySlip!$C$11,PayDate,"&lt;="&amp;PaySlip!$G$4))</f>
        <v>150000</v>
      </c>
      <c r="D122" s="5" t="str">
        <f ca="1">IF(ROW($E122)-ROW($E$121)+1&lt;=DedListCount,OFFSET(Payroll!$N$6,-1,ROW($C123)-ROW($C$122),1,1),"-")</f>
        <v>PENS</v>
      </c>
      <c r="E122" s="97" cm="1">
        <f t="array" aca="1" ref="E122" ca="1">IF(D122="-",0,SUMIFS(OFFSET(Payroll!$N$6,1,ROW($C123)-ROW($C$122),PayCount,1),PayEmp,PaySlip!$C$11,PayDate,"&lt;="&amp;PaySlip!$G$4))</f>
        <v>148500</v>
      </c>
      <c r="G122" s="98"/>
    </row>
    <row r="123" spans="1:7" ht="16.149999999999999" hidden="1" customHeight="1" x14ac:dyDescent="0.25">
      <c r="A123" s="10">
        <v>4</v>
      </c>
      <c r="B123" s="10" t="str">
        <f ca="1">IF(ROW($C123)-ROW($C$120)+1&lt;=EarnListCount,OFFSET(Payroll!$G$2,0,ROW($C123)-ROW($C$120),1,1),"-")</f>
        <v>D</v>
      </c>
      <c r="C123" s="97" cm="1">
        <f t="array" aca="1" ref="C123" ca="1">IF(B123="-",0,SUMIFS(OFFSET(Payroll!$G$6,1,ROW($C123)-ROW($C$120),PayCount,1),PayEmp,PaySlip!$C$11,PayDate,"&lt;="&amp;PaySlip!$G$4))</f>
        <v>0</v>
      </c>
      <c r="D123" s="5" t="str">
        <f ca="1">IF(ROW($E123)-ROW($E$121)+1&lt;=DedListCount,OFFSET(Payroll!$N$6,-1,ROW($C124)-ROW($C$122),1,1),"-")</f>
        <v>LOAN</v>
      </c>
      <c r="E123" s="97" cm="1">
        <f t="array" aca="1" ref="E123" ca="1">IF(D123="-",0,SUMIFS(OFFSET(Payroll!$N$6,1,ROW($C124)-ROW($C$122),PayCount,1),PayEmp,PaySlip!$C$11,PayDate,"&lt;="&amp;PaySlip!$G$4))</f>
        <v>0</v>
      </c>
      <c r="G123" s="98"/>
    </row>
    <row r="124" spans="1:7" ht="16.149999999999999" hidden="1" customHeight="1" x14ac:dyDescent="0.25">
      <c r="A124" s="10">
        <v>5</v>
      </c>
      <c r="B124" s="10" t="str">
        <f ca="1">IF(ROW($C124)-ROW($C$120)+1&lt;=EarnListCount,OFFSET(Payroll!$G$2,0,ROW($C124)-ROW($C$120),1,1),"-")</f>
        <v>E</v>
      </c>
      <c r="C124" s="97" cm="1">
        <f t="array" aca="1" ref="C124" ca="1">IF(B124="-",0,SUMIFS(OFFSET(Payroll!$G$6,1,ROW($C124)-ROW($C$120),PayCount,1),PayEmp,PaySlip!$C$11,PayDate,"&lt;="&amp;PaySlip!$G$4))</f>
        <v>0</v>
      </c>
      <c r="D124" s="5" t="str">
        <f ca="1">IF(ROW($E124)-ROW($E$121)+1&lt;=DedListCount,OFFSET(Payroll!$N$6,-1,ROW($C125)-ROW($C$122),1,1),"-")</f>
        <v>DED4</v>
      </c>
      <c r="E124" s="97" cm="1">
        <f t="array" aca="1" ref="E124" ca="1">IF(D124="-",0,SUMIFS(OFFSET(Payroll!$N$6,1,ROW($C125)-ROW($C$122),PayCount,1),PayEmp,PaySlip!$C$11,PayDate,"&lt;="&amp;PaySlip!$G$4))</f>
        <v>0</v>
      </c>
      <c r="G124" s="98"/>
    </row>
    <row r="125" spans="1:7" ht="16.149999999999999" hidden="1" customHeight="1" x14ac:dyDescent="0.25">
      <c r="A125" s="10">
        <v>6</v>
      </c>
      <c r="B125" s="10" t="str">
        <f ca="1">IF(ROW($C125)-ROW($C$120)+1&lt;=EarnListCount,OFFSET(Payroll!$G$2,0,ROW($C125)-ROW($C$120),1,1),"-")</f>
        <v>-</v>
      </c>
      <c r="C125" s="97" cm="1">
        <f t="array" aca="1" ref="C125" ca="1">IF(B125="-",0,SUMIFS(OFFSET(Payroll!$G$6,1,ROW($C125)-ROW($C$120),PayCount,1),PayEmp,PaySlip!$C$11,PayDate,"&lt;="&amp;PaySlip!$G$4))</f>
        <v>0</v>
      </c>
      <c r="D125" s="5" t="str">
        <f ca="1">IF(ROW($E125)-ROW($E$121)+1&lt;=DedListCount,OFFSET(Payroll!$N$6,-1,ROW($C126)-ROW($C$122),1,1),"-")</f>
        <v>-</v>
      </c>
      <c r="E125" s="97" cm="1">
        <f t="array" aca="1" ref="E125" ca="1">IF(D125="-",0,SUMIFS(OFFSET(Payroll!$N$6,1,ROW($C126)-ROW($C$122),PayCount,1),PayEmp,PaySlip!$C$11,PayDate,"&lt;="&amp;PaySlip!$G$4))</f>
        <v>0</v>
      </c>
      <c r="G125" s="98"/>
    </row>
    <row r="126" spans="1:7" ht="16.149999999999999" hidden="1" customHeight="1" x14ac:dyDescent="0.25">
      <c r="A126" s="10">
        <v>7</v>
      </c>
      <c r="B126" s="10" t="str">
        <f ca="1">IF(ROW($C126)-ROW($C$120)+1&lt;=EarnListCount,OFFSET(Payroll!$G$2,0,ROW($C126)-ROW($C$120),1,1),"-")</f>
        <v>-</v>
      </c>
      <c r="C126" s="97" cm="1">
        <f t="array" aca="1" ref="C126" ca="1">IF(B126="-",0,SUMIFS(OFFSET(Payroll!$G$6,1,ROW($C126)-ROW($C$120),PayCount,1),PayEmp,PaySlip!$C$11,PayDate,"&lt;="&amp;PaySlip!$G$4))</f>
        <v>0</v>
      </c>
      <c r="D126" s="5" t="str">
        <f ca="1">IF(ROW($E126)-ROW($E$121)+1&lt;=DedListCount,OFFSET(Payroll!$N$6,-1,ROW($C127)-ROW($C$122),1,1),"-")</f>
        <v>-</v>
      </c>
      <c r="E126" s="97" cm="1">
        <f t="array" aca="1" ref="E126" ca="1">IF(D126="-",0,SUMIFS(OFFSET(Payroll!$N$6,1,ROW($C127)-ROW($C$122),PayCount,1),PayEmp,PaySlip!$C$11,PayDate,"&lt;="&amp;PaySlip!$G$4))</f>
        <v>0</v>
      </c>
      <c r="G126" s="98"/>
    </row>
    <row r="127" spans="1:7" ht="16.149999999999999" hidden="1" customHeight="1" x14ac:dyDescent="0.25">
      <c r="A127" s="10">
        <v>8</v>
      </c>
      <c r="B127" s="10" t="str">
        <f ca="1">IF(ROW($C127)-ROW($C$120)+1&lt;=EarnListCount,OFFSET(Payroll!$G$2,0,ROW($C127)-ROW($C$120),1,1),"-")</f>
        <v>-</v>
      </c>
      <c r="C127" s="97" cm="1">
        <f t="array" aca="1" ref="C127" ca="1">IF(B127="-",0,SUMIFS(OFFSET(Payroll!$G$6,1,ROW($C127)-ROW($C$120),PayCount,1),PayEmp,PaySlip!$C$11,PayDate,"&lt;="&amp;PaySlip!$G$4))</f>
        <v>0</v>
      </c>
      <c r="D127" s="5" t="str">
        <f ca="1">IF(ROW($E127)-ROW($E$121)+1&lt;=DedListCount,OFFSET(Payroll!$N$6,-1,ROW($C128)-ROW($C$122),1,1),"-")</f>
        <v>-</v>
      </c>
      <c r="E127" s="97" cm="1">
        <f t="array" aca="1" ref="E127" ca="1">IF(D127="-",0,SUMIFS(OFFSET(Payroll!$N$6,1,ROW($C128)-ROW($C$122),PayCount,1),PayEmp,PaySlip!$C$11,PayDate,"&lt;="&amp;PaySlip!$G$4))</f>
        <v>0</v>
      </c>
      <c r="G127" s="98"/>
    </row>
    <row r="128" spans="1:7" ht="16.149999999999999" hidden="1" customHeight="1" x14ac:dyDescent="0.25">
      <c r="A128" s="10">
        <v>9</v>
      </c>
      <c r="B128" s="10" t="str">
        <f ca="1">IF(ROW($C128)-ROW($C$120)+1&lt;=EarnListCount,OFFSET(Payroll!$G$2,0,ROW($C128)-ROW($C$120),1,1),"-")</f>
        <v>-</v>
      </c>
      <c r="C128" s="97" cm="1">
        <f t="array" aca="1" ref="C128" ca="1">IF(B128="-",0,SUMIFS(OFFSET(Payroll!$G$6,1,ROW($C128)-ROW($C$120),PayCount,1),PayEmp,PaySlip!$C$11,PayDate,"&lt;="&amp;PaySlip!$G$4))</f>
        <v>0</v>
      </c>
      <c r="D128" s="5" t="str">
        <f ca="1">IF(ROW($E128)-ROW($E$121)+1&lt;=DedListCount,OFFSET(Payroll!$N$6,-1,ROW($C129)-ROW($C$122),1,1),"-")</f>
        <v>-</v>
      </c>
      <c r="E128" s="97" cm="1">
        <f t="array" aca="1" ref="E128" ca="1">IF(D128="-",0,SUMIFS(OFFSET(Payroll!$N$6,1,ROW($C129)-ROW($C$122),PayCount,1),PayEmp,PaySlip!$C$11,PayDate,"&lt;="&amp;PaySlip!$G$4))</f>
        <v>0</v>
      </c>
      <c r="G128" s="98"/>
    </row>
    <row r="129" spans="1:10" ht="16.149999999999999" hidden="1" customHeight="1" x14ac:dyDescent="0.25">
      <c r="A129" s="10">
        <v>10</v>
      </c>
      <c r="B129" s="10" t="str">
        <f ca="1">IF(ROW($C129)-ROW($C$120)+1&lt;=EarnListCount,OFFSET(Payroll!$G$2,0,ROW($C129)-ROW($C$120),1,1),"-")</f>
        <v>-</v>
      </c>
      <c r="C129" s="97" cm="1">
        <f t="array" aca="1" ref="C129" ca="1">IF(B129="-",0,SUMIFS(OFFSET(Payroll!$G$6,1,ROW($C129)-ROW($C$120),PayCount,1),PayEmp,PaySlip!$C$11,PayDate,"&lt;="&amp;PaySlip!$G$4))</f>
        <v>0</v>
      </c>
      <c r="D129" s="5" t="str">
        <f ca="1">IF(ROW($E129)-ROW($E$121)+1&lt;=DedListCount,OFFSET(Payroll!$N$6,-1,ROW($C130)-ROW($C$122),1,1),"-")</f>
        <v>-</v>
      </c>
      <c r="E129" s="97" cm="1">
        <f t="array" aca="1" ref="E129" ca="1">IF(D129="-",0,SUMIFS(OFFSET(Payroll!$N$6,1,ROW($C130)-ROW($C$122),PayCount,1),PayEmp,PaySlip!$C$11,PayDate,"&lt;="&amp;PaySlip!$G$4))</f>
        <v>0</v>
      </c>
      <c r="G129" s="98"/>
    </row>
    <row r="130" spans="1:10" ht="16.149999999999999" hidden="1" customHeight="1" x14ac:dyDescent="0.25">
      <c r="A130" s="10">
        <v>11</v>
      </c>
      <c r="B130" s="10" t="str">
        <f ca="1">IF(ROW($C130)-ROW($C$120)+1&lt;=EarnListCount,OFFSET(Payroll!$G$2,0,ROW($C130)-ROW($C$120),1,1),"-")</f>
        <v>-</v>
      </c>
      <c r="C130" s="97" cm="1">
        <f t="array" aca="1" ref="C130" ca="1">IF(B130="-",0,SUMIFS(OFFSET(Payroll!$G$6,1,ROW($C130)-ROW($C$120),PayCount,1),PayEmp,PaySlip!$C$11,PayDate,"&lt;="&amp;PaySlip!$G$4))</f>
        <v>0</v>
      </c>
      <c r="D130" s="5" t="str">
        <f ca="1">IF(ROW($E130)-ROW($E$121)+1&lt;=DedListCount,OFFSET(Payroll!$N$6,-1,ROW($C131)-ROW($C$122),1,1),"-")</f>
        <v>-</v>
      </c>
      <c r="E130" s="97" cm="1">
        <f t="array" aca="1" ref="E130" ca="1">IF(D130="-",0,SUMIFS(OFFSET(Payroll!$N$6,1,ROW($C131)-ROW($C$122),PayCount,1),PayEmp,PaySlip!$C$11,PayDate,"&lt;="&amp;PaySlip!$G$4))</f>
        <v>0</v>
      </c>
      <c r="G130" s="98"/>
    </row>
    <row r="131" spans="1:10" ht="16.149999999999999" hidden="1" customHeight="1" x14ac:dyDescent="0.25">
      <c r="A131" s="10">
        <v>12</v>
      </c>
      <c r="B131" s="10" t="str">
        <f ca="1">IF(ROW($C131)-ROW($C$120)+1&lt;=EarnListCount,OFFSET(Payroll!$G$2,0,ROW($C131)-ROW($C$120),1,1),"-")</f>
        <v>-</v>
      </c>
      <c r="C131" s="97" cm="1">
        <f t="array" aca="1" ref="C131" ca="1">IF(B131="-",0,SUMIFS(OFFSET(Payroll!$G$6,1,ROW($C131)-ROW($C$120),PayCount,1),PayEmp,PaySlip!$C$11,PayDate,"&lt;="&amp;PaySlip!$G$4))</f>
        <v>0</v>
      </c>
      <c r="D131" s="5" t="str">
        <f ca="1">IF(ROW($E131)-ROW($E$121)+1&lt;=DedListCount,OFFSET(Payroll!$N$6,-1,ROW($C132)-ROW($C$122),1,1),"-")</f>
        <v>-</v>
      </c>
      <c r="E131" s="97" cm="1">
        <f t="array" aca="1" ref="E131" ca="1">IF(D131="-",0,SUMIFS(OFFSET(Payroll!$N$6,1,ROW($C132)-ROW($C$122),PayCount,1),PayEmp,PaySlip!$C$11,PayDate,"&lt;="&amp;PaySlip!$G$4))</f>
        <v>0</v>
      </c>
      <c r="G131" s="98"/>
    </row>
    <row r="132" spans="1:10" ht="16.149999999999999" hidden="1" customHeight="1" x14ac:dyDescent="0.25">
      <c r="A132" s="10">
        <v>13</v>
      </c>
      <c r="B132" s="10" t="str">
        <f ca="1">IF(ROW($C132)-ROW($C$120)+1&lt;=EarnListCount,OFFSET(Payroll!$G$2,0,ROW($C132)-ROW($C$120),1,1),"-")</f>
        <v>-</v>
      </c>
      <c r="C132" s="97" cm="1">
        <f t="array" aca="1" ref="C132" ca="1">IF(B132="-",0,SUMIFS(OFFSET(Payroll!$G$6,1,ROW($C132)-ROW($C$120),PayCount,1),PayEmp,PaySlip!$C$11,PayDate,"&lt;="&amp;PaySlip!$G$4))</f>
        <v>0</v>
      </c>
      <c r="D132" s="5" t="str">
        <f ca="1">IF(ROW($E132)-ROW($E$121)+1&lt;=DedListCount,OFFSET(Payroll!$N$6,-1,ROW($C133)-ROW($C$122),1,1),"-")</f>
        <v>-</v>
      </c>
      <c r="E132" s="97" cm="1">
        <f t="array" aca="1" ref="E132" ca="1">IF(D132="-",0,SUMIFS(OFFSET(Payroll!$N$6,1,ROW($C133)-ROW($C$122),PayCount,1),PayEmp,PaySlip!$C$11,PayDate,"&lt;="&amp;PaySlip!$G$4))</f>
        <v>0</v>
      </c>
      <c r="G132" s="98"/>
    </row>
    <row r="133" spans="1:10" ht="16.149999999999999" hidden="1" customHeight="1" x14ac:dyDescent="0.25">
      <c r="A133" s="10">
        <v>14</v>
      </c>
      <c r="B133" s="10" t="str">
        <f ca="1">IF(ROW($C133)-ROW($C$120)+1&lt;=EarnListCount,OFFSET(Payroll!$G$2,0,ROW($C133)-ROW($C$120),1,1),"-")</f>
        <v>-</v>
      </c>
      <c r="C133" s="97" cm="1">
        <f t="array" aca="1" ref="C133" ca="1">IF(B133="-",0,SUMIFS(OFFSET(Payroll!$G$6,1,ROW($C133)-ROW($C$120),PayCount,1),PayEmp,PaySlip!$C$11,PayDate,"&lt;="&amp;PaySlip!$G$4))</f>
        <v>0</v>
      </c>
      <c r="D133" s="5" t="str">
        <f ca="1">IF(ROW($E133)-ROW($E$121)+1&lt;=DedListCount,OFFSET(Payroll!$N$6,-1,ROW($C134)-ROW($C$122),1,1),"-")</f>
        <v>-</v>
      </c>
      <c r="E133" s="97" cm="1">
        <f t="array" aca="1" ref="E133" ca="1">IF(D133="-",0,SUMIFS(OFFSET(Payroll!$N$6,1,ROW($C134)-ROW($C$122),PayCount,1),PayEmp,PaySlip!$C$11,PayDate,"&lt;="&amp;PaySlip!$G$4))</f>
        <v>0</v>
      </c>
      <c r="G133" s="98"/>
    </row>
    <row r="134" spans="1:10" ht="16.149999999999999" hidden="1" customHeight="1" x14ac:dyDescent="0.25">
      <c r="A134" s="10">
        <v>15</v>
      </c>
      <c r="B134" s="10" t="str">
        <f ca="1">IF(ROW($C134)-ROW($C$120)+1&lt;=EarnListCount,OFFSET(Payroll!$G$2,0,ROW($C134)-ROW($C$120),1,1),"-")</f>
        <v>-</v>
      </c>
      <c r="C134" s="97" cm="1">
        <f t="array" aca="1" ref="C134" ca="1">IF(B134="-",0,SUMIFS(OFFSET(Payroll!$G$6,1,ROW($C134)-ROW($C$120),PayCount,1),PayEmp,PaySlip!$C$11,PayDate,"&lt;="&amp;PaySlip!$G$4))</f>
        <v>0</v>
      </c>
      <c r="D134" s="5" t="str">
        <f ca="1">IF(ROW($E134)-ROW($E$121)+1&lt;=DedListCount,OFFSET(Payroll!$N$6,-1,ROW($C135)-ROW($C$122),1,1),"-")</f>
        <v>-</v>
      </c>
      <c r="E134" s="97" cm="1">
        <f t="array" aca="1" ref="E134" ca="1">IF(D134="-",0,SUMIFS(OFFSET(Payroll!$N$6,1,ROW($C135)-ROW($C$122),PayCount,1),PayEmp,PaySlip!$C$11,PayDate,"&lt;="&amp;PaySlip!$G$4))</f>
        <v>0</v>
      </c>
      <c r="G134" s="98"/>
    </row>
    <row r="135" spans="1:10" ht="16.149999999999999" hidden="1" customHeight="1" x14ac:dyDescent="0.25">
      <c r="A135" s="10">
        <v>16</v>
      </c>
      <c r="B135" s="10" t="str">
        <f ca="1">IF(ROW($C135)-ROW($C$120)+1&lt;=EarnListCount,OFFSET(Payroll!$G$2,0,ROW($C135)-ROW($C$120),1,1),"-")</f>
        <v>-</v>
      </c>
      <c r="C135" s="97" cm="1">
        <f t="array" aca="1" ref="C135" ca="1">IF(B135="-",0,SUMIFS(OFFSET(Payroll!$G$6,1,ROW($C135)-ROW($C$120),PayCount,1),PayEmp,PaySlip!$C$11,PayDate,"&lt;="&amp;PaySlip!$G$4))</f>
        <v>0</v>
      </c>
      <c r="D135" s="5" t="str">
        <f ca="1">IF(ROW($E135)-ROW($E$121)+1&lt;=DedListCount,OFFSET(Payroll!$N$6,-1,ROW($C136)-ROW($C$122),1,1),"-")</f>
        <v>-</v>
      </c>
      <c r="E135" s="97" cm="1">
        <f t="array" aca="1" ref="E135" ca="1">IF(D135="-",0,SUMIFS(OFFSET(Payroll!$N$6,1,ROW($C136)-ROW($C$122),PayCount,1),PayEmp,PaySlip!$C$11,PayDate,"&lt;="&amp;PaySlip!$G$4))</f>
        <v>0</v>
      </c>
      <c r="G135" s="98"/>
    </row>
    <row r="136" spans="1:10" ht="16.149999999999999" hidden="1" customHeight="1" x14ac:dyDescent="0.25">
      <c r="A136" s="10">
        <v>17</v>
      </c>
      <c r="B136" s="10" t="str">
        <f ca="1">IF(ROW($C136)-ROW($C$120)+1&lt;=EarnListCount,OFFSET(Payroll!$G$2,0,ROW($C136)-ROW($C$120),1,1),"-")</f>
        <v>-</v>
      </c>
      <c r="C136" s="97" cm="1">
        <f t="array" aca="1" ref="C136" ca="1">IF(B136="-",0,SUMIFS(OFFSET(Payroll!$G$6,1,ROW($C136)-ROW($C$120),PayCount,1),PayEmp,PaySlip!$C$11,PayDate,"&lt;="&amp;PaySlip!$G$4))</f>
        <v>0</v>
      </c>
      <c r="D136" s="5" t="str">
        <f ca="1">IF(ROW($E136)-ROW($E$121)+1&lt;=DedListCount,OFFSET(Payroll!$N$6,-1,ROW($C137)-ROW($C$122),1,1),"-")</f>
        <v>-</v>
      </c>
      <c r="E136" s="97" cm="1">
        <f t="array" aca="1" ref="E136" ca="1">IF(D136="-",0,SUMIFS(OFFSET(Payroll!$N$6,1,ROW($C137)-ROW($C$122),PayCount,1),PayEmp,PaySlip!$C$11,PayDate,"&lt;="&amp;PaySlip!$G$4))</f>
        <v>0</v>
      </c>
      <c r="G136" s="98"/>
    </row>
    <row r="137" spans="1:10" ht="16.149999999999999" hidden="1" customHeight="1" x14ac:dyDescent="0.25">
      <c r="A137" s="10">
        <v>18</v>
      </c>
      <c r="B137" s="10" t="str">
        <f ca="1">IF(ROW($C137)-ROW($C$120)+1&lt;=EarnListCount,OFFSET(Payroll!$G$2,0,ROW($C137)-ROW($C$120),1,1),"-")</f>
        <v>-</v>
      </c>
      <c r="C137" s="97" cm="1">
        <f t="array" aca="1" ref="C137" ca="1">IF(B137="-",0,SUMIFS(OFFSET(Payroll!$G$6,1,ROW($C137)-ROW($C$120),PayCount,1),PayEmp,PaySlip!$C$11,PayDate,"&lt;="&amp;PaySlip!$G$4))</f>
        <v>0</v>
      </c>
      <c r="D137" s="5" t="str">
        <f ca="1">IF(ROW($E137)-ROW($E$121)+1&lt;=DedListCount,OFFSET(Payroll!$N$6,-1,ROW($C138)-ROW($C$122),1,1),"-")</f>
        <v>-</v>
      </c>
      <c r="E137" s="97" cm="1">
        <f t="array" aca="1" ref="E137" ca="1">IF(D137="-",0,SUMIFS(OFFSET(Payroll!$N$6,1,ROW($C138)-ROW($C$122),PayCount,1),PayEmp,PaySlip!$C$11,PayDate,"&lt;="&amp;PaySlip!$G$4))</f>
        <v>0</v>
      </c>
      <c r="G137" s="98"/>
    </row>
    <row r="138" spans="1:10" ht="16.149999999999999" hidden="1" customHeight="1" x14ac:dyDescent="0.25">
      <c r="A138" s="10">
        <v>19</v>
      </c>
      <c r="B138" s="10" t="str">
        <f ca="1">IF(ROW($C138)-ROW($C$120)+1&lt;=EarnListCount,OFFSET(Payroll!$G$2,0,ROW($C138)-ROW($C$120),1,1),"-")</f>
        <v>-</v>
      </c>
      <c r="C138" s="97" cm="1">
        <f t="array" aca="1" ref="C138" ca="1">IF(B138="-",0,SUMIFS(OFFSET(Payroll!$G$6,1,ROW($C138)-ROW($C$120),PayCount,1),PayEmp,PaySlip!$C$11,PayDate,"&lt;="&amp;PaySlip!$G$4))</f>
        <v>0</v>
      </c>
      <c r="D138" s="5" t="str">
        <f ca="1">IF(ROW($E138)-ROW($E$121)+1&lt;=DedListCount,OFFSET(Payroll!$N$6,-1,ROW($C139)-ROW($C$122),1,1),"-")</f>
        <v>-</v>
      </c>
      <c r="E138" s="97" cm="1">
        <f t="array" aca="1" ref="E138" ca="1">IF(D138="-",0,SUMIFS(OFFSET(Payroll!$N$6,1,ROW($C139)-ROW($C$122),PayCount,1),PayEmp,PaySlip!$C$11,PayDate,"&lt;="&amp;PaySlip!$G$4))</f>
        <v>0</v>
      </c>
      <c r="G138" s="98"/>
    </row>
    <row r="139" spans="1:10" ht="16.149999999999999" hidden="1" customHeight="1" x14ac:dyDescent="0.25">
      <c r="A139" s="10">
        <v>20</v>
      </c>
      <c r="B139" s="10" t="str">
        <f ca="1">IF(ROW($C139)-ROW($C$120)+1&lt;=EarnListCount,OFFSET(Payroll!$G$2,0,ROW($C139)-ROW($C$120),1,1),"-")</f>
        <v>-</v>
      </c>
      <c r="C139" s="97" cm="1">
        <f t="array" aca="1" ref="C139" ca="1">IF(B139="-",0,SUMIFS(OFFSET(Payroll!$G$6,1,ROW($C139)-ROW($C$120),PayCount,1),PayEmp,PaySlip!$C$11,PayDate,"&lt;="&amp;PaySlip!$G$4))</f>
        <v>0</v>
      </c>
      <c r="D139" s="5" t="str">
        <f ca="1">IF(ROW($E139)-ROW($E$121)+1&lt;=DedListCount,OFFSET(Payroll!$N$6,-1,ROW(#REF!)-ROW($C$122),1,1),"-")</f>
        <v>-</v>
      </c>
      <c r="E139" s="97" cm="1">
        <f t="array" aca="1" ref="E139" ca="1">IF(D139="-",0,SUMIFS(OFFSET(Payroll!$N$6,1,ROW($C140)-ROW($C$122),PayCount,1),PayEmp,PaySlip!$C$11,PayDate,"&lt;="&amp;PaySlip!$G$4))</f>
        <v>0</v>
      </c>
      <c r="G139" s="98"/>
    </row>
    <row r="140" spans="1:10" ht="16.149999999999999" hidden="1" customHeight="1" x14ac:dyDescent="0.25">
      <c r="D140" s="2"/>
      <c r="E140" s="2"/>
    </row>
    <row r="141" spans="1:10" ht="16.149999999999999" customHeight="1" x14ac:dyDescent="0.25">
      <c r="A141" s="3" t="s">
        <v>180</v>
      </c>
      <c r="C141" s="2"/>
      <c r="D141" s="2"/>
      <c r="E141" s="2"/>
    </row>
    <row r="142" spans="1:10" ht="16.149999999999999" customHeight="1" x14ac:dyDescent="0.25">
      <c r="A142" s="6" t="s">
        <v>181</v>
      </c>
      <c r="C142" s="44"/>
      <c r="D142" s="54" t="s">
        <v>191</v>
      </c>
      <c r="E142" s="54" t="s">
        <v>187</v>
      </c>
      <c r="F142" s="44" t="s">
        <v>188</v>
      </c>
      <c r="G142" s="45" t="s">
        <v>83</v>
      </c>
      <c r="H142" s="44"/>
      <c r="I142" s="54"/>
      <c r="J142" s="54"/>
    </row>
    <row r="143" spans="1:10" ht="16.149999999999999" customHeight="1" x14ac:dyDescent="0.25">
      <c r="A143" s="329" t="s">
        <v>182</v>
      </c>
      <c r="B143" s="329"/>
      <c r="C143" s="329"/>
      <c r="D143" s="99" t="str">
        <f>SUBSTITUTE(ADDRESS(1,COLUMN(Emp!$R$1),4),"1","")</f>
        <v>R</v>
      </c>
      <c r="E143" s="99">
        <f ca="1">COUNTA(OFFSET(Emp!$R$4,0,0,1,COLUMN(Emp!$V$1)-COLUMN(Emp!$R$1)))</f>
        <v>4</v>
      </c>
      <c r="F143" s="100">
        <f ca="1">DedListCount</f>
        <v>4</v>
      </c>
      <c r="G143" s="91">
        <f t="shared" ref="G143:G156" ca="1" si="9">IF($F143&gt;$E143,9,0)</f>
        <v>0</v>
      </c>
      <c r="H143" s="101"/>
      <c r="I143" s="101"/>
      <c r="J143" s="101"/>
    </row>
    <row r="144" spans="1:10" ht="16.149999999999999" customHeight="1" x14ac:dyDescent="0.25">
      <c r="A144" s="329" t="s">
        <v>183</v>
      </c>
      <c r="B144" s="329"/>
      <c r="C144" s="329"/>
      <c r="D144" s="99" t="str">
        <f>SUBSTITUTE(ADDRESS(1,COLUMN(Payroll!$G$2),4),"1","")</f>
        <v>G</v>
      </c>
      <c r="E144" s="99">
        <f ca="1">COUNTA(OFFSET(Payroll!$G$6,0,0,1,COLUMN(Payroll!$L$6)-COLUMN(Payroll!$G$6)))</f>
        <v>5</v>
      </c>
      <c r="F144" s="102">
        <f ca="1">EarnListCount</f>
        <v>5</v>
      </c>
      <c r="G144" s="91">
        <f t="shared" ca="1" si="9"/>
        <v>0</v>
      </c>
      <c r="H144" s="101"/>
      <c r="I144" s="101"/>
      <c r="J144" s="101"/>
    </row>
    <row r="145" spans="1:8" ht="16.149999999999999" customHeight="1" x14ac:dyDescent="0.25">
      <c r="A145" s="329" t="s">
        <v>184</v>
      </c>
      <c r="B145" s="329"/>
      <c r="C145" s="329"/>
      <c r="D145" s="99" t="str">
        <f>SUBSTITUTE(ADDRESS(1,COLUMN(Payroll!$N$2),4),"1","")</f>
        <v>N</v>
      </c>
      <c r="E145" s="100">
        <f ca="1">COUNTA(OFFSET(Payroll!$N$6,0,0,1,COLUMN(Payroll!$R$6)-COLUMN(Payroll!$N$6)))</f>
        <v>4</v>
      </c>
      <c r="F145" s="100">
        <f ca="1">DedListCount</f>
        <v>4</v>
      </c>
      <c r="G145" s="91">
        <f t="shared" ca="1" si="9"/>
        <v>0</v>
      </c>
      <c r="H145" s="101"/>
    </row>
    <row r="146" spans="1:8" ht="16.149999999999999" customHeight="1" x14ac:dyDescent="0.25">
      <c r="A146" s="329" t="s">
        <v>186</v>
      </c>
      <c r="B146" s="329"/>
      <c r="C146" s="329"/>
      <c r="D146" s="99" t="str">
        <f>SUBSTITUTE(ADDRESS(1,COLUMN(Payroll!$AN$2),4),"1","")</f>
        <v>AN</v>
      </c>
      <c r="E146" s="100">
        <f ca="1">COUNTA(OFFSET(Payroll!$AN$6,0,0,1,COLUMN(Payroll!$AR$6)-COLUMN(Payroll!$AN$6)))</f>
        <v>4</v>
      </c>
      <c r="F146" s="100">
        <f ca="1">DedListCount</f>
        <v>4</v>
      </c>
      <c r="G146" s="91">
        <f t="shared" ca="1" si="9"/>
        <v>0</v>
      </c>
      <c r="H146" s="101"/>
    </row>
    <row r="147" spans="1:8" ht="16.149999999999999" customHeight="1" x14ac:dyDescent="0.25">
      <c r="A147" s="330" t="s">
        <v>265</v>
      </c>
      <c r="B147" s="331"/>
      <c r="C147" s="332"/>
      <c r="D147" s="99" t="str">
        <f>SUBSTITUTE(ADDRESS(1,COLUMN(Payroll!$AT$2),4),"1","")</f>
        <v>AT</v>
      </c>
      <c r="E147" s="100">
        <f ca="1">COUNTA(OFFSET(Payroll!$AT$6,0,0,1,COLUMN(Payroll!$AX$6)-COLUMN(Payroll!$AT$6)))</f>
        <v>4</v>
      </c>
      <c r="F147" s="100">
        <f ca="1">DedListCount</f>
        <v>4</v>
      </c>
      <c r="G147" s="91">
        <f t="shared" ca="1" si="9"/>
        <v>0</v>
      </c>
      <c r="H147" s="101"/>
    </row>
    <row r="148" spans="1:8" ht="16.149999999999999" customHeight="1" x14ac:dyDescent="0.25">
      <c r="A148" s="329" t="s">
        <v>185</v>
      </c>
      <c r="B148" s="329"/>
      <c r="C148" s="329"/>
      <c r="D148" s="99" t="str">
        <f>SUBSTITUTE(ADDRESS(1,COLUMN(Payroll!$T$2),4),"1","")</f>
        <v>T</v>
      </c>
      <c r="E148" s="100">
        <f ca="1">COUNTA(OFFSET(Payroll!$T$6,0,0,1,COLUMN(Payroll!$X$6)-COLUMN(Payroll!$T$6)))</f>
        <v>4</v>
      </c>
      <c r="F148" s="102">
        <f ca="1">CompListCount</f>
        <v>4</v>
      </c>
      <c r="G148" s="91">
        <f t="shared" ca="1" si="9"/>
        <v>0</v>
      </c>
      <c r="H148" s="101"/>
    </row>
    <row r="149" spans="1:8" ht="16.149999999999999" customHeight="1" x14ac:dyDescent="0.25">
      <c r="A149" s="330" t="s">
        <v>419</v>
      </c>
      <c r="B149" s="346"/>
      <c r="C149" s="332"/>
      <c r="D149" s="99">
        <f>ROW(Payroll!$A$6)+1</f>
        <v>7</v>
      </c>
      <c r="E149" s="100" cm="1">
        <f t="array" aca="1" ref="E149" ca="1">PayCount</f>
        <v>240</v>
      </c>
      <c r="F149" s="102" cm="1">
        <f t="array" ref="F149">+EmpCount*12</f>
        <v>180</v>
      </c>
      <c r="G149" s="91">
        <f t="shared" ca="1" si="9"/>
        <v>0</v>
      </c>
      <c r="H149" s="101"/>
    </row>
    <row r="150" spans="1:8" ht="16.149999999999999" customHeight="1" x14ac:dyDescent="0.25">
      <c r="A150" s="329" t="s">
        <v>189</v>
      </c>
      <c r="B150" s="329"/>
      <c r="C150" s="329"/>
      <c r="D150" s="99">
        <f>ROW(PaySlip!$B$16)+1</f>
        <v>17</v>
      </c>
      <c r="E150" s="100">
        <f ca="1">COUNTA(OFFSET(PaySlip!$B$16,1,0,ROW(PaySlip!$B$27)-ROW(PaySlip!$B$16)-1,1))</f>
        <v>10</v>
      </c>
      <c r="F150" s="102">
        <f ca="1">COUNTIFS(SlipEarnValue,"&gt;0")</f>
        <v>2</v>
      </c>
      <c r="G150" s="91">
        <f t="shared" ca="1" si="9"/>
        <v>0</v>
      </c>
      <c r="H150" s="101"/>
    </row>
    <row r="151" spans="1:8" ht="16.149999999999999" customHeight="1" x14ac:dyDescent="0.25">
      <c r="A151" s="329" t="s">
        <v>190</v>
      </c>
      <c r="B151" s="329"/>
      <c r="C151" s="329"/>
      <c r="D151" s="99">
        <f>ROW(PaySlip!$B$28)+1</f>
        <v>29</v>
      </c>
      <c r="E151" s="100">
        <f ca="1">COUNTA(OFFSET(PaySlip!$B$28,1,0,ROW(PaySlip!$B$39)-ROW(PaySlip!$B$28)-1,1))</f>
        <v>10</v>
      </c>
      <c r="F151" s="102">
        <f ca="1">COUNTIFS(SlipDeductValue,"&gt;0")</f>
        <v>3</v>
      </c>
      <c r="G151" s="91">
        <f t="shared" ca="1" si="9"/>
        <v>0</v>
      </c>
      <c r="H151" s="101"/>
    </row>
    <row r="152" spans="1:8" ht="16.149999999999999" customHeight="1" x14ac:dyDescent="0.25">
      <c r="A152" s="329" t="s">
        <v>192</v>
      </c>
      <c r="B152" s="329"/>
      <c r="C152" s="329"/>
      <c r="D152" s="99" t="str">
        <f>SUBSTITUTE(ADDRESS(1,COLUMN(Summary!$B$5),4),"1","")</f>
        <v>B</v>
      </c>
      <c r="E152" s="100">
        <f ca="1">COUNTA(OFFSET(Summary!$B$5,0,0,1,COLUMN(Summary!$G$5)-COLUMN(Summary!$B$5)))</f>
        <v>5</v>
      </c>
      <c r="F152" s="102">
        <f ca="1">EarnListCount</f>
        <v>5</v>
      </c>
      <c r="G152" s="91">
        <f t="shared" ca="1" si="9"/>
        <v>0</v>
      </c>
      <c r="H152" s="101"/>
    </row>
    <row r="153" spans="1:8" ht="16.149999999999999" customHeight="1" x14ac:dyDescent="0.25">
      <c r="A153" s="329" t="s">
        <v>193</v>
      </c>
      <c r="B153" s="329"/>
      <c r="C153" s="329"/>
      <c r="D153" s="99" t="str">
        <f>SUBSTITUTE(ADDRESS(1,COLUMN(Summary!$I$5),4),"1","")</f>
        <v>I</v>
      </c>
      <c r="E153" s="100">
        <f ca="1">COUNTA(OFFSET(Summary!$I$5,0,0,1,COLUMN(Summary!$M$5)-COLUMN(Summary!$I$5)))</f>
        <v>4</v>
      </c>
      <c r="F153" s="100">
        <f ca="1">DedListCount</f>
        <v>4</v>
      </c>
      <c r="G153" s="91">
        <f t="shared" ca="1" si="9"/>
        <v>0</v>
      </c>
      <c r="H153" s="101"/>
    </row>
    <row r="154" spans="1:8" ht="16.149999999999999" customHeight="1" x14ac:dyDescent="0.25">
      <c r="A154" s="329" t="s">
        <v>194</v>
      </c>
      <c r="B154" s="329"/>
      <c r="C154" s="329"/>
      <c r="D154" s="99" t="str">
        <f>SUBSTITUTE(ADDRESS(1,COLUMN(Summary!$O$5),4),"1","")</f>
        <v>O</v>
      </c>
      <c r="E154" s="100">
        <f ca="1">COUNTA(OFFSET(Summary!$O$5,0,0,1,COLUMN(Summary!$S$5)-COLUMN(Summary!$O$5)))</f>
        <v>4</v>
      </c>
      <c r="F154" s="102">
        <f ca="1">CompListCount</f>
        <v>4</v>
      </c>
      <c r="G154" s="91">
        <f t="shared" ca="1" si="9"/>
        <v>0</v>
      </c>
      <c r="H154" s="101"/>
    </row>
    <row r="155" spans="1:8" ht="16.149999999999999" customHeight="1" x14ac:dyDescent="0.25">
      <c r="A155" s="330" t="s">
        <v>195</v>
      </c>
      <c r="B155" s="331"/>
      <c r="C155" s="332"/>
      <c r="D155" s="99">
        <f>ROW(MonthEmp!$A$5)+1</f>
        <v>6</v>
      </c>
      <c r="E155" s="100">
        <f ca="1">COUNTA(MonthlyEmp[[#Data],[Employee Number]])</f>
        <v>50</v>
      </c>
      <c r="F155" s="102" cm="1">
        <f t="array" ref="F155">EmpCount</f>
        <v>15</v>
      </c>
      <c r="G155" s="91">
        <f t="shared" ca="1" si="9"/>
        <v>0</v>
      </c>
      <c r="H155" s="101"/>
    </row>
    <row r="156" spans="1:8" ht="16.149999999999999" customHeight="1" x14ac:dyDescent="0.25">
      <c r="A156" s="330" t="s">
        <v>196</v>
      </c>
      <c r="B156" s="331"/>
      <c r="C156" s="332"/>
      <c r="D156" s="99">
        <f>ROW(MonthDept!$A$5)+1</f>
        <v>6</v>
      </c>
      <c r="E156" s="100">
        <f ca="1">COUNTA(MonthlyDept[[#Data],[Department Code]])</f>
        <v>15</v>
      </c>
      <c r="F156" s="102">
        <f ca="1">DeptCount</f>
        <v>3</v>
      </c>
      <c r="G156" s="91">
        <f t="shared" ca="1" si="9"/>
        <v>0</v>
      </c>
      <c r="H156" s="101"/>
    </row>
    <row r="157" spans="1:8" ht="16.149999999999999" customHeight="1" x14ac:dyDescent="0.25">
      <c r="D157" s="103"/>
      <c r="F157" s="101"/>
      <c r="G157" s="101"/>
      <c r="H157" s="101"/>
    </row>
    <row r="158" spans="1:8" ht="16.149999999999999" customHeight="1" x14ac:dyDescent="0.25">
      <c r="D158" s="103"/>
      <c r="F158" s="101"/>
      <c r="G158" s="101"/>
      <c r="H158" s="101"/>
    </row>
  </sheetData>
  <mergeCells count="36">
    <mergeCell ref="A150:C150"/>
    <mergeCell ref="A152:C152"/>
    <mergeCell ref="A146:C146"/>
    <mergeCell ref="B90:D90"/>
    <mergeCell ref="B92:D92"/>
    <mergeCell ref="A148:C148"/>
    <mergeCell ref="A143:C143"/>
    <mergeCell ref="A144:C144"/>
    <mergeCell ref="A145:C145"/>
    <mergeCell ref="A147:C147"/>
    <mergeCell ref="A149:C149"/>
    <mergeCell ref="A151:C151"/>
    <mergeCell ref="A153:C153"/>
    <mergeCell ref="A154:C154"/>
    <mergeCell ref="A155:C155"/>
    <mergeCell ref="A156:C156"/>
    <mergeCell ref="C4:E4"/>
    <mergeCell ref="A20:B20"/>
    <mergeCell ref="B65:D65"/>
    <mergeCell ref="C5:F5"/>
    <mergeCell ref="C7:D7"/>
    <mergeCell ref="C6:D6"/>
    <mergeCell ref="C8:D8"/>
    <mergeCell ref="A31:B31"/>
    <mergeCell ref="B93:D93"/>
    <mergeCell ref="A32:B32"/>
    <mergeCell ref="A38:B38"/>
    <mergeCell ref="B74:D74"/>
    <mergeCell ref="B75:D75"/>
    <mergeCell ref="B66:D66"/>
    <mergeCell ref="B70:D70"/>
    <mergeCell ref="B83:D83"/>
    <mergeCell ref="B86:D86"/>
    <mergeCell ref="B76:D76"/>
    <mergeCell ref="B78:D78"/>
    <mergeCell ref="B82:D82"/>
  </mergeCells>
  <phoneticPr fontId="2" type="noConversion"/>
  <conditionalFormatting sqref="G143:G156">
    <cfRule type="cellIs" dxfId="276" priority="1" operator="equal">
      <formula>9</formula>
    </cfRule>
    <cfRule type="cellIs" dxfId="275" priority="2" operator="equal">
      <formula>0</formula>
    </cfRule>
  </conditionalFormatting>
  <dataValidations count="8">
    <dataValidation type="list" allowBlank="1" showInputMessage="1" showErrorMessage="1" errorTitle="Invalid Data" error="Select a valid item from the list box." sqref="C10" xr:uid="{00000000-0002-0000-0400-000000000000}">
      <formula1>MonthList</formula1>
    </dataValidation>
    <dataValidation type="whole" allowBlank="1" showInputMessage="1" showErrorMessage="1" errorTitle="Invalid Data" error="Enter a year." sqref="C12" xr:uid="{00000000-0002-0000-0400-000001000000}">
      <formula1>2000</formula1>
      <formula2>3000</formula2>
    </dataValidation>
    <dataValidation type="list" allowBlank="1" showInputMessage="1" showErrorMessage="1" errorTitle="Invalid Data" error="Select a valid item from the list box." sqref="G74:G78" xr:uid="{00000000-0002-0000-0400-000004000000}">
      <formula1>"Full Value,Taxable"</formula1>
    </dataValidation>
    <dataValidation type="list" allowBlank="1" showInputMessage="1" showErrorMessage="1" errorTitle="Invalid Data" error="Select a valid item from the list box." sqref="G65:G70" xr:uid="{00000000-0002-0000-0400-000002000000}">
      <formula1>"Monthly,Annual"</formula1>
    </dataValidation>
    <dataValidation type="list" allowBlank="1" showInputMessage="1" showErrorMessage="1" errorTitle="Invalid Day" error="Select a valid item from the list box." sqref="C14" xr:uid="{21312D29-098D-4DF4-B0E4-6B0CD1AFCA1B}">
      <formula1>"1,2,3,4,5,6,7,8,9,10,11,12,13,14,15,16,17,18,19,20,21,22,23,24,25,26,27,28,29,30,31"</formula1>
    </dataValidation>
    <dataValidation type="list" allowBlank="1" showInputMessage="1" showErrorMessage="1" errorTitle="Invalid Month" error="Select a valid item from the list box." sqref="C15:C16" xr:uid="{2DC60F24-AE8E-49E3-82FF-4828CFCAEC73}">
      <formula1>"1,2,3,4,5,6,7,8,9,10,11,12"</formula1>
    </dataValidation>
    <dataValidation type="list" allowBlank="1" showInputMessage="1" showErrorMessage="1" errorTitle="Invalid Day" error="Select a valid item from the list box." sqref="C15:C16" xr:uid="{1E2D7C9F-352A-41C6-A6D7-65697BC68C28}">
      <formula1>"1,2,3,4,5,6,7,8,9,10,11,12"</formula1>
    </dataValidation>
    <dataValidation type="list" allowBlank="1" showInputMessage="1" showErrorMessage="1" errorTitle="Invalid Data" error="Select a valid item from the list box." sqref="G82:G85" xr:uid="{00000000-0002-0000-0400-000003000000}">
      <formula1>"Full Value,Taxable,None"</formula1>
    </dataValidation>
  </dataValidations>
  <pageMargins left="0.59055118110236227" right="0.59055118110236227" top="0.59055118110236227" bottom="0.59055118110236227" header="0.39370078740157483" footer="0.39370078740157483"/>
  <pageSetup paperSize="9" scale="47" fitToHeight="2" orientation="portrait" r:id="rId1"/>
  <headerFooter alignWithMargins="0">
    <oddFooter>&amp;C&amp;9Page &amp;P of &amp;N</oddFooter>
  </headerFooter>
  <rowBreaks count="1" manualBreakCount="1">
    <brk id="79" max="16383" man="1"/>
  </rowBreaks>
  <ignoredErrors>
    <ignoredError sqref="D43:D44" formulaRange="1"/>
    <ignoredError sqref="F144 F152 E153"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dimension ref="A1:V19"/>
  <sheetViews>
    <sheetView zoomScale="95" zoomScaleNormal="95" workbookViewId="0">
      <pane xSplit="2" ySplit="4" topLeftCell="L5" activePane="bottomRight" state="frozen"/>
      <selection pane="topRight" activeCell="C1" sqref="C1"/>
      <selection pane="bottomLeft" activeCell="A5" sqref="A5"/>
      <selection pane="bottomRight" activeCell="A4" sqref="A4"/>
    </sheetView>
  </sheetViews>
  <sheetFormatPr defaultColWidth="10.42578125" defaultRowHeight="16.149999999999999" customHeight="1" x14ac:dyDescent="0.25"/>
  <cols>
    <col min="1" max="1" width="10.7109375" style="135" customWidth="1"/>
    <col min="2" max="2" width="30.7109375" style="135" customWidth="1"/>
    <col min="3" max="3" width="12.7109375" style="136" customWidth="1"/>
    <col min="4" max="6" width="12.7109375" style="137" customWidth="1"/>
    <col min="7" max="7" width="12.7109375" style="101" customWidth="1"/>
    <col min="8" max="8" width="30.7109375" style="10" customWidth="1"/>
    <col min="9" max="10" width="16.7109375" style="138" customWidth="1"/>
    <col min="11" max="11" width="51.140625" style="10" customWidth="1"/>
    <col min="12" max="12" width="12.7109375" style="101" customWidth="1"/>
    <col min="13" max="13" width="12.7109375" style="113" customWidth="1"/>
    <col min="14" max="14" width="12.7109375" style="114" customWidth="1"/>
    <col min="15" max="17" width="14.7109375" style="111" customWidth="1"/>
    <col min="18" max="19" width="14.7109375" style="110" customWidth="1"/>
    <col min="20" max="21" width="14.7109375" style="111" customWidth="1"/>
    <col min="22" max="22" width="10.7109375" style="101" customWidth="1"/>
    <col min="23" max="16384" width="10.42578125" style="2"/>
  </cols>
  <sheetData>
    <row r="1" spans="1:22" ht="16.149999999999999" customHeight="1" x14ac:dyDescent="0.25">
      <c r="A1" s="303" t="str">
        <f>Setup!$C$4</f>
        <v>Example (Pty) Limited</v>
      </c>
      <c r="B1" s="104"/>
      <c r="C1" s="104"/>
      <c r="D1" s="105"/>
      <c r="E1" s="105"/>
      <c r="F1" s="105"/>
      <c r="G1" s="106"/>
      <c r="H1" s="3"/>
      <c r="I1" s="107"/>
      <c r="J1" s="107"/>
      <c r="K1" s="3"/>
      <c r="L1" s="106"/>
      <c r="M1" s="101"/>
      <c r="N1" s="108" t="str">
        <f>IF($M$1="Error!","Check number of deduction columns","")</f>
        <v/>
      </c>
      <c r="O1" s="109"/>
      <c r="P1" s="109"/>
      <c r="Q1" s="109"/>
    </row>
    <row r="2" spans="1:22" ht="16.149999999999999" customHeight="1" x14ac:dyDescent="0.25">
      <c r="A2" s="112" t="s">
        <v>4</v>
      </c>
      <c r="B2" s="104"/>
      <c r="C2" s="104"/>
      <c r="D2" s="105"/>
      <c r="E2" s="105"/>
      <c r="F2" s="105"/>
      <c r="G2" s="106"/>
      <c r="H2" s="3"/>
      <c r="I2" s="107"/>
      <c r="J2" s="107"/>
      <c r="K2" s="3"/>
      <c r="L2" s="106"/>
    </row>
    <row r="3" spans="1:22" s="54" customFormat="1" ht="16.149999999999999" customHeight="1" x14ac:dyDescent="0.2">
      <c r="A3" s="7" t="s">
        <v>168</v>
      </c>
      <c r="B3" s="115"/>
      <c r="C3" s="115"/>
      <c r="D3" s="115"/>
      <c r="E3" s="115"/>
      <c r="F3" s="115"/>
      <c r="G3" s="116"/>
      <c r="H3" s="116"/>
      <c r="I3" s="117"/>
      <c r="J3" s="117"/>
      <c r="K3" s="116"/>
      <c r="L3" s="116"/>
      <c r="M3" s="118"/>
      <c r="N3" s="118"/>
      <c r="O3" s="119"/>
      <c r="P3" s="119"/>
      <c r="Q3" s="119"/>
      <c r="R3" s="120" t="str">
        <f ca="1">IF(COLUMN(R1)-COLUMN($R$1)+1&lt;=DedListCount,OFFSET(Setup!$A$73,COLUMN(R1)-COLUMN($R$1)+1,0,1,1),"Not Used")</f>
        <v>UIF</v>
      </c>
      <c r="S3" s="120" t="str">
        <f ca="1">IF(COLUMN(S1)-COLUMN($R$1)+1&lt;=DedListCount,OFFSET(Setup!$A$73,COLUMN(S1)-COLUMN($R$1)+1,0,1,1),"Not Used")</f>
        <v>PENS</v>
      </c>
      <c r="T3" s="119" t="str">
        <f ca="1">IF(COLUMN(T1)-COLUMN($R$1)+1&lt;=DedListCount,OFFSET(Setup!$A$73,COLUMN(T1)-COLUMN($R$1)+1,0,1,1),"Not Used")</f>
        <v>LOAN</v>
      </c>
      <c r="U3" s="119" t="str">
        <f ca="1">IF(COLUMN(U1)-COLUMN($R$1)+1&lt;=DedListCount,OFFSET(Setup!$A$73,COLUMN(U1)-COLUMN($R$1)+1,0,1,1),"Not Used")</f>
        <v>DED4</v>
      </c>
    </row>
    <row r="4" spans="1:22" s="127" customFormat="1" ht="27" x14ac:dyDescent="0.25">
      <c r="A4" s="121" t="s">
        <v>23</v>
      </c>
      <c r="B4" s="121" t="s">
        <v>5</v>
      </c>
      <c r="C4" s="122" t="s">
        <v>25</v>
      </c>
      <c r="D4" s="318" t="s">
        <v>60</v>
      </c>
      <c r="E4" s="318" t="s">
        <v>82</v>
      </c>
      <c r="F4" s="318" t="s">
        <v>61</v>
      </c>
      <c r="G4" s="122" t="s">
        <v>197</v>
      </c>
      <c r="H4" s="121" t="s">
        <v>6</v>
      </c>
      <c r="I4" s="121" t="s">
        <v>13</v>
      </c>
      <c r="J4" s="121" t="s">
        <v>12</v>
      </c>
      <c r="K4" s="121" t="s">
        <v>24</v>
      </c>
      <c r="L4" s="122" t="s">
        <v>67</v>
      </c>
      <c r="M4" s="123" t="s">
        <v>62</v>
      </c>
      <c r="N4" s="123" t="s">
        <v>63</v>
      </c>
      <c r="O4" s="123" t="s">
        <v>406</v>
      </c>
      <c r="P4" s="124" t="s">
        <v>407</v>
      </c>
      <c r="Q4" s="124" t="s">
        <v>410</v>
      </c>
      <c r="R4" s="125" t="s">
        <v>111</v>
      </c>
      <c r="S4" s="123" t="s">
        <v>112</v>
      </c>
      <c r="T4" s="124" t="s">
        <v>86</v>
      </c>
      <c r="U4" s="124" t="s">
        <v>417</v>
      </c>
      <c r="V4" s="126" t="s">
        <v>420</v>
      </c>
    </row>
    <row r="5" spans="1:22" ht="16.149999999999999" customHeight="1" x14ac:dyDescent="0.25">
      <c r="A5" s="128" t="s">
        <v>266</v>
      </c>
      <c r="B5" s="128" t="s">
        <v>210</v>
      </c>
      <c r="C5" s="129" t="s">
        <v>26</v>
      </c>
      <c r="D5" s="129">
        <v>40603</v>
      </c>
      <c r="E5" s="129">
        <v>40627</v>
      </c>
      <c r="F5" s="129"/>
      <c r="G5" s="130"/>
      <c r="H5" s="9" t="s">
        <v>215</v>
      </c>
      <c r="I5" s="131" t="s">
        <v>218</v>
      </c>
      <c r="J5" s="131" t="s">
        <v>233</v>
      </c>
      <c r="K5" s="9" t="s">
        <v>151</v>
      </c>
      <c r="L5" s="130" t="s">
        <v>46</v>
      </c>
      <c r="M5" s="113" t="s">
        <v>46</v>
      </c>
      <c r="N5" s="132">
        <v>5</v>
      </c>
      <c r="O5" s="133">
        <v>150000</v>
      </c>
      <c r="P5" s="133">
        <v>150000</v>
      </c>
      <c r="Q5" s="133">
        <v>165000</v>
      </c>
      <c r="R5" s="134"/>
      <c r="S5" s="134">
        <v>7.4999999999999997E-2</v>
      </c>
      <c r="T5" s="133"/>
      <c r="U5" s="133"/>
      <c r="V5" s="130">
        <f t="shared" ref="V5:V19" ca="1" si="0">COUNTIFS(PayEmp,$A5)</f>
        <v>12</v>
      </c>
    </row>
    <row r="6" spans="1:22" ht="16.149999999999999" customHeight="1" x14ac:dyDescent="0.25">
      <c r="A6" s="128" t="s">
        <v>267</v>
      </c>
      <c r="B6" s="128" t="s">
        <v>211</v>
      </c>
      <c r="C6" s="129" t="s">
        <v>26</v>
      </c>
      <c r="D6" s="129">
        <v>40603</v>
      </c>
      <c r="E6" s="129">
        <v>40627</v>
      </c>
      <c r="F6" s="129"/>
      <c r="G6" s="130"/>
      <c r="H6" s="9" t="s">
        <v>216</v>
      </c>
      <c r="I6" s="131" t="s">
        <v>219</v>
      </c>
      <c r="J6" s="131" t="s">
        <v>234</v>
      </c>
      <c r="K6" s="9" t="s">
        <v>151</v>
      </c>
      <c r="L6" s="130" t="s">
        <v>46</v>
      </c>
      <c r="M6" s="113" t="s">
        <v>46</v>
      </c>
      <c r="N6" s="132">
        <v>2</v>
      </c>
      <c r="O6" s="133">
        <v>120000</v>
      </c>
      <c r="P6" s="133">
        <v>120000</v>
      </c>
      <c r="Q6" s="133">
        <v>132000</v>
      </c>
      <c r="R6" s="134"/>
      <c r="S6" s="134"/>
      <c r="T6" s="133"/>
      <c r="U6" s="133"/>
      <c r="V6" s="130">
        <f t="shared" ca="1" si="0"/>
        <v>12</v>
      </c>
    </row>
    <row r="7" spans="1:22" ht="16.149999999999999" customHeight="1" x14ac:dyDescent="0.25">
      <c r="A7" s="128" t="s">
        <v>268</v>
      </c>
      <c r="B7" s="128" t="s">
        <v>212</v>
      </c>
      <c r="C7" s="129" t="s">
        <v>27</v>
      </c>
      <c r="D7" s="129">
        <v>40603</v>
      </c>
      <c r="E7" s="129">
        <v>40627</v>
      </c>
      <c r="F7" s="129"/>
      <c r="G7" s="130"/>
      <c r="H7" s="9" t="s">
        <v>217</v>
      </c>
      <c r="I7" s="131" t="s">
        <v>220</v>
      </c>
      <c r="J7" s="131" t="s">
        <v>235</v>
      </c>
      <c r="K7" s="9" t="s">
        <v>151</v>
      </c>
      <c r="L7" s="130" t="s">
        <v>46</v>
      </c>
      <c r="M7" s="113" t="s">
        <v>46</v>
      </c>
      <c r="N7" s="132">
        <v>1</v>
      </c>
      <c r="O7" s="133">
        <v>15000</v>
      </c>
      <c r="P7" s="133">
        <v>15000</v>
      </c>
      <c r="Q7" s="133">
        <v>16500</v>
      </c>
      <c r="R7" s="134"/>
      <c r="S7" s="134"/>
      <c r="T7" s="133"/>
      <c r="U7" s="133"/>
      <c r="V7" s="130">
        <f t="shared" ca="1" si="0"/>
        <v>12</v>
      </c>
    </row>
    <row r="8" spans="1:22" ht="16.149999999999999" customHeight="1" x14ac:dyDescent="0.25">
      <c r="A8" s="128" t="s">
        <v>269</v>
      </c>
      <c r="B8" s="128" t="s">
        <v>213</v>
      </c>
      <c r="C8" s="129" t="s">
        <v>27</v>
      </c>
      <c r="D8" s="129">
        <v>40969</v>
      </c>
      <c r="E8" s="129">
        <v>40993</v>
      </c>
      <c r="F8" s="129"/>
      <c r="G8" s="130"/>
      <c r="H8" s="9" t="s">
        <v>217</v>
      </c>
      <c r="I8" s="131" t="s">
        <v>221</v>
      </c>
      <c r="J8" s="131" t="s">
        <v>236</v>
      </c>
      <c r="K8" s="9" t="s">
        <v>151</v>
      </c>
      <c r="L8" s="130" t="s">
        <v>46</v>
      </c>
      <c r="M8" s="113" t="s">
        <v>46</v>
      </c>
      <c r="N8" s="132">
        <v>1</v>
      </c>
      <c r="O8" s="133">
        <v>15000</v>
      </c>
      <c r="P8" s="133">
        <v>15000</v>
      </c>
      <c r="Q8" s="133">
        <v>16500</v>
      </c>
      <c r="R8" s="134"/>
      <c r="S8" s="134"/>
      <c r="T8" s="133">
        <v>500</v>
      </c>
      <c r="U8" s="133"/>
      <c r="V8" s="130">
        <f t="shared" ca="1" si="0"/>
        <v>12</v>
      </c>
    </row>
    <row r="9" spans="1:22" ht="16.149999999999999" customHeight="1" x14ac:dyDescent="0.25">
      <c r="A9" s="128" t="s">
        <v>270</v>
      </c>
      <c r="B9" s="128" t="s">
        <v>214</v>
      </c>
      <c r="C9" s="129" t="s">
        <v>27</v>
      </c>
      <c r="D9" s="129">
        <v>41122</v>
      </c>
      <c r="E9" s="129">
        <v>41146</v>
      </c>
      <c r="F9" s="129">
        <v>45291</v>
      </c>
      <c r="G9" s="130"/>
      <c r="H9" s="9" t="s">
        <v>217</v>
      </c>
      <c r="I9" s="131" t="s">
        <v>222</v>
      </c>
      <c r="J9" s="131" t="s">
        <v>237</v>
      </c>
      <c r="K9" s="9" t="s">
        <v>151</v>
      </c>
      <c r="L9" s="130" t="s">
        <v>46</v>
      </c>
      <c r="M9" s="113" t="s">
        <v>46</v>
      </c>
      <c r="N9" s="132">
        <v>1</v>
      </c>
      <c r="O9" s="133">
        <v>10000</v>
      </c>
      <c r="P9" s="133">
        <v>10000</v>
      </c>
      <c r="Q9" s="133"/>
      <c r="R9" s="134"/>
      <c r="S9" s="134"/>
      <c r="T9" s="133"/>
      <c r="U9" s="133"/>
      <c r="V9" s="130">
        <f t="shared" ca="1" si="0"/>
        <v>12</v>
      </c>
    </row>
    <row r="10" spans="1:22" ht="16.149999999999999" customHeight="1" x14ac:dyDescent="0.25">
      <c r="A10" s="128" t="s">
        <v>271</v>
      </c>
      <c r="B10" s="128" t="s">
        <v>250</v>
      </c>
      <c r="C10" s="129" t="s">
        <v>27</v>
      </c>
      <c r="D10" s="129">
        <v>41122</v>
      </c>
      <c r="E10" s="129">
        <v>41146</v>
      </c>
      <c r="F10" s="129"/>
      <c r="G10" s="130"/>
      <c r="H10" s="9" t="s">
        <v>217</v>
      </c>
      <c r="I10" s="131" t="s">
        <v>223</v>
      </c>
      <c r="J10" s="131" t="s">
        <v>238</v>
      </c>
      <c r="K10" s="9" t="s">
        <v>151</v>
      </c>
      <c r="L10" s="130" t="s">
        <v>46</v>
      </c>
      <c r="M10" s="113" t="s">
        <v>46</v>
      </c>
      <c r="N10" s="132">
        <v>1</v>
      </c>
      <c r="O10" s="133">
        <v>10000</v>
      </c>
      <c r="P10" s="133">
        <v>10000</v>
      </c>
      <c r="Q10" s="133">
        <v>11000</v>
      </c>
      <c r="R10" s="134"/>
      <c r="S10" s="134"/>
      <c r="T10" s="133"/>
      <c r="U10" s="133"/>
      <c r="V10" s="130">
        <f t="shared" ca="1" si="0"/>
        <v>12</v>
      </c>
    </row>
    <row r="11" spans="1:22" ht="16.149999999999999" customHeight="1" x14ac:dyDescent="0.25">
      <c r="A11" s="128" t="s">
        <v>272</v>
      </c>
      <c r="B11" s="128" t="s">
        <v>251</v>
      </c>
      <c r="C11" s="129" t="s">
        <v>46</v>
      </c>
      <c r="D11" s="129">
        <v>41334</v>
      </c>
      <c r="E11" s="129">
        <v>41358</v>
      </c>
      <c r="F11" s="129">
        <v>45077</v>
      </c>
      <c r="G11" s="130"/>
      <c r="H11" s="9" t="s">
        <v>33</v>
      </c>
      <c r="I11" s="131" t="s">
        <v>224</v>
      </c>
      <c r="J11" s="131" t="s">
        <v>239</v>
      </c>
      <c r="K11" s="9" t="s">
        <v>151</v>
      </c>
      <c r="L11" s="130" t="s">
        <v>46</v>
      </c>
      <c r="M11" s="113" t="s">
        <v>46</v>
      </c>
      <c r="N11" s="132">
        <v>0</v>
      </c>
      <c r="O11" s="133">
        <v>25000</v>
      </c>
      <c r="P11" s="133">
        <v>25000</v>
      </c>
      <c r="Q11" s="133"/>
      <c r="R11" s="134"/>
      <c r="S11" s="134"/>
      <c r="T11" s="133"/>
      <c r="U11" s="133"/>
      <c r="V11" s="130">
        <f t="shared" ca="1" si="0"/>
        <v>12</v>
      </c>
    </row>
    <row r="12" spans="1:22" ht="16.149999999999999" customHeight="1" x14ac:dyDescent="0.25">
      <c r="A12" s="128" t="s">
        <v>273</v>
      </c>
      <c r="B12" s="128" t="s">
        <v>252</v>
      </c>
      <c r="C12" s="129" t="s">
        <v>46</v>
      </c>
      <c r="D12" s="129">
        <v>41334</v>
      </c>
      <c r="E12" s="129">
        <v>41358</v>
      </c>
      <c r="F12" s="129"/>
      <c r="G12" s="130"/>
      <c r="H12" s="9" t="s">
        <v>249</v>
      </c>
      <c r="I12" s="131" t="s">
        <v>225</v>
      </c>
      <c r="J12" s="131" t="s">
        <v>240</v>
      </c>
      <c r="K12" s="9" t="s">
        <v>151</v>
      </c>
      <c r="L12" s="130" t="s">
        <v>46</v>
      </c>
      <c r="M12" s="113" t="s">
        <v>46</v>
      </c>
      <c r="N12" s="132">
        <v>0</v>
      </c>
      <c r="O12" s="133">
        <v>9000</v>
      </c>
      <c r="P12" s="133">
        <v>9000</v>
      </c>
      <c r="Q12" s="133">
        <v>10000</v>
      </c>
      <c r="R12" s="134"/>
      <c r="S12" s="134"/>
      <c r="T12" s="133"/>
      <c r="U12" s="133"/>
      <c r="V12" s="130">
        <f t="shared" ca="1" si="0"/>
        <v>12</v>
      </c>
    </row>
    <row r="13" spans="1:22" ht="16.149999999999999" customHeight="1" x14ac:dyDescent="0.25">
      <c r="A13" s="128" t="s">
        <v>274</v>
      </c>
      <c r="B13" s="128" t="s">
        <v>257</v>
      </c>
      <c r="C13" s="129" t="s">
        <v>46</v>
      </c>
      <c r="D13" s="129">
        <v>41730</v>
      </c>
      <c r="E13" s="129">
        <v>41754</v>
      </c>
      <c r="F13" s="129"/>
      <c r="G13" s="130"/>
      <c r="H13" s="9" t="s">
        <v>249</v>
      </c>
      <c r="I13" s="131" t="s">
        <v>226</v>
      </c>
      <c r="J13" s="131" t="s">
        <v>241</v>
      </c>
      <c r="K13" s="9" t="s">
        <v>151</v>
      </c>
      <c r="L13" s="130" t="s">
        <v>46</v>
      </c>
      <c r="M13" s="113" t="s">
        <v>46</v>
      </c>
      <c r="N13" s="132">
        <v>0</v>
      </c>
      <c r="O13" s="133">
        <v>9000</v>
      </c>
      <c r="P13" s="133">
        <v>9000</v>
      </c>
      <c r="Q13" s="133">
        <v>10000</v>
      </c>
      <c r="R13" s="134"/>
      <c r="S13" s="134"/>
      <c r="T13" s="133"/>
      <c r="U13" s="133"/>
      <c r="V13" s="130">
        <f t="shared" ca="1" si="0"/>
        <v>12</v>
      </c>
    </row>
    <row r="14" spans="1:22" ht="16.149999999999999" customHeight="1" x14ac:dyDescent="0.25">
      <c r="A14" s="128" t="s">
        <v>275</v>
      </c>
      <c r="B14" s="128" t="s">
        <v>258</v>
      </c>
      <c r="C14" s="129" t="s">
        <v>46</v>
      </c>
      <c r="D14" s="129">
        <v>42248</v>
      </c>
      <c r="E14" s="129">
        <v>42272</v>
      </c>
      <c r="F14" s="129"/>
      <c r="G14" s="130"/>
      <c r="H14" s="9" t="s">
        <v>249</v>
      </c>
      <c r="I14" s="131" t="s">
        <v>227</v>
      </c>
      <c r="J14" s="131" t="s">
        <v>242</v>
      </c>
      <c r="K14" s="9" t="s">
        <v>151</v>
      </c>
      <c r="L14" s="130" t="s">
        <v>46</v>
      </c>
      <c r="M14" s="113" t="s">
        <v>46</v>
      </c>
      <c r="N14" s="132">
        <v>0</v>
      </c>
      <c r="O14" s="133">
        <v>9000</v>
      </c>
      <c r="P14" s="133">
        <v>9000</v>
      </c>
      <c r="Q14" s="133">
        <v>10000</v>
      </c>
      <c r="R14" s="134"/>
      <c r="S14" s="134"/>
      <c r="T14" s="133"/>
      <c r="U14" s="133"/>
      <c r="V14" s="130">
        <f t="shared" ca="1" si="0"/>
        <v>12</v>
      </c>
    </row>
    <row r="15" spans="1:22" ht="16.149999999999999" customHeight="1" x14ac:dyDescent="0.25">
      <c r="A15" s="128" t="s">
        <v>276</v>
      </c>
      <c r="B15" s="128" t="s">
        <v>256</v>
      </c>
      <c r="C15" s="129" t="s">
        <v>46</v>
      </c>
      <c r="D15" s="129">
        <v>42430</v>
      </c>
      <c r="E15" s="129">
        <v>42454</v>
      </c>
      <c r="F15" s="129"/>
      <c r="G15" s="130"/>
      <c r="H15" s="9" t="s">
        <v>249</v>
      </c>
      <c r="I15" s="131" t="s">
        <v>228</v>
      </c>
      <c r="J15" s="131" t="s">
        <v>243</v>
      </c>
      <c r="K15" s="9" t="s">
        <v>151</v>
      </c>
      <c r="L15" s="130" t="s">
        <v>46</v>
      </c>
      <c r="M15" s="113" t="s">
        <v>46</v>
      </c>
      <c r="N15" s="132">
        <v>0</v>
      </c>
      <c r="O15" s="133">
        <v>5000</v>
      </c>
      <c r="P15" s="133">
        <v>5000</v>
      </c>
      <c r="Q15" s="133">
        <v>6000</v>
      </c>
      <c r="R15" s="134"/>
      <c r="S15" s="134"/>
      <c r="T15" s="133"/>
      <c r="U15" s="133"/>
      <c r="V15" s="130">
        <f t="shared" ca="1" si="0"/>
        <v>12</v>
      </c>
    </row>
    <row r="16" spans="1:22" ht="16.149999999999999" customHeight="1" x14ac:dyDescent="0.25">
      <c r="A16" s="128" t="s">
        <v>277</v>
      </c>
      <c r="B16" s="128" t="s">
        <v>255</v>
      </c>
      <c r="C16" s="129" t="s">
        <v>46</v>
      </c>
      <c r="D16" s="129">
        <v>42736</v>
      </c>
      <c r="E16" s="129">
        <v>42760</v>
      </c>
      <c r="F16" s="129"/>
      <c r="G16" s="130"/>
      <c r="H16" s="9" t="s">
        <v>249</v>
      </c>
      <c r="I16" s="131" t="s">
        <v>229</v>
      </c>
      <c r="J16" s="131" t="s">
        <v>244</v>
      </c>
      <c r="K16" s="9" t="s">
        <v>151</v>
      </c>
      <c r="L16" s="130" t="s">
        <v>46</v>
      </c>
      <c r="M16" s="113" t="s">
        <v>46</v>
      </c>
      <c r="N16" s="132">
        <v>0</v>
      </c>
      <c r="O16" s="133">
        <v>5000</v>
      </c>
      <c r="P16" s="133">
        <v>5000</v>
      </c>
      <c r="Q16" s="133">
        <v>6000</v>
      </c>
      <c r="R16" s="134"/>
      <c r="S16" s="134"/>
      <c r="T16" s="133"/>
      <c r="U16" s="133"/>
      <c r="V16" s="130">
        <f t="shared" ca="1" si="0"/>
        <v>12</v>
      </c>
    </row>
    <row r="17" spans="1:22" ht="16.149999999999999" customHeight="1" x14ac:dyDescent="0.25">
      <c r="A17" s="128" t="s">
        <v>278</v>
      </c>
      <c r="B17" s="128" t="s">
        <v>254</v>
      </c>
      <c r="C17" s="129" t="s">
        <v>46</v>
      </c>
      <c r="D17" s="129">
        <v>42993</v>
      </c>
      <c r="E17" s="129">
        <v>43003</v>
      </c>
      <c r="F17" s="129"/>
      <c r="G17" s="130"/>
      <c r="H17" s="9" t="s">
        <v>249</v>
      </c>
      <c r="I17" s="131" t="s">
        <v>230</v>
      </c>
      <c r="J17" s="131" t="s">
        <v>245</v>
      </c>
      <c r="K17" s="9" t="s">
        <v>151</v>
      </c>
      <c r="L17" s="130" t="s">
        <v>46</v>
      </c>
      <c r="M17" s="113" t="s">
        <v>46</v>
      </c>
      <c r="N17" s="132">
        <v>0</v>
      </c>
      <c r="O17" s="133">
        <v>5000</v>
      </c>
      <c r="P17" s="133">
        <v>5000</v>
      </c>
      <c r="Q17" s="133">
        <v>6000</v>
      </c>
      <c r="R17" s="134"/>
      <c r="S17" s="134"/>
      <c r="T17" s="133"/>
      <c r="U17" s="133"/>
      <c r="V17" s="130">
        <f t="shared" ca="1" si="0"/>
        <v>12</v>
      </c>
    </row>
    <row r="18" spans="1:22" ht="16.149999999999999" customHeight="1" x14ac:dyDescent="0.25">
      <c r="A18" s="128" t="s">
        <v>279</v>
      </c>
      <c r="B18" s="128" t="s">
        <v>248</v>
      </c>
      <c r="C18" s="129" t="s">
        <v>46</v>
      </c>
      <c r="D18" s="129">
        <v>45078</v>
      </c>
      <c r="E18" s="129">
        <v>45102</v>
      </c>
      <c r="F18" s="129"/>
      <c r="G18" s="130"/>
      <c r="H18" s="9" t="s">
        <v>33</v>
      </c>
      <c r="I18" s="131" t="s">
        <v>231</v>
      </c>
      <c r="J18" s="131" t="s">
        <v>246</v>
      </c>
      <c r="K18" s="9" t="s">
        <v>151</v>
      </c>
      <c r="L18" s="130" t="s">
        <v>46</v>
      </c>
      <c r="M18" s="113" t="s">
        <v>46</v>
      </c>
      <c r="N18" s="132">
        <v>0</v>
      </c>
      <c r="O18" s="133">
        <v>29150</v>
      </c>
      <c r="P18" s="133">
        <v>0</v>
      </c>
      <c r="Q18" s="133">
        <v>31000</v>
      </c>
      <c r="R18" s="134"/>
      <c r="S18" s="134"/>
      <c r="T18" s="133"/>
      <c r="U18" s="133"/>
      <c r="V18" s="130">
        <f t="shared" ca="1" si="0"/>
        <v>12</v>
      </c>
    </row>
    <row r="19" spans="1:22" ht="16.149999999999999" customHeight="1" x14ac:dyDescent="0.25">
      <c r="A19" s="128" t="s">
        <v>280</v>
      </c>
      <c r="B19" s="128" t="s">
        <v>253</v>
      </c>
      <c r="C19" s="129" t="s">
        <v>27</v>
      </c>
      <c r="D19" s="129">
        <v>45292</v>
      </c>
      <c r="E19" s="129">
        <v>45316</v>
      </c>
      <c r="F19" s="129"/>
      <c r="G19" s="130"/>
      <c r="H19" s="9" t="s">
        <v>217</v>
      </c>
      <c r="I19" s="131" t="s">
        <v>232</v>
      </c>
      <c r="J19" s="131" t="s">
        <v>247</v>
      </c>
      <c r="K19" s="9" t="s">
        <v>151</v>
      </c>
      <c r="L19" s="130" t="s">
        <v>46</v>
      </c>
      <c r="M19" s="113" t="s">
        <v>46</v>
      </c>
      <c r="N19" s="132">
        <v>1</v>
      </c>
      <c r="O19" s="133">
        <v>10000</v>
      </c>
      <c r="P19" s="133">
        <v>0</v>
      </c>
      <c r="Q19" s="133">
        <v>10500</v>
      </c>
      <c r="R19" s="134"/>
      <c r="S19" s="134"/>
      <c r="T19" s="133"/>
      <c r="U19" s="133"/>
      <c r="V19" s="130">
        <f t="shared" ca="1" si="0"/>
        <v>12</v>
      </c>
    </row>
  </sheetData>
  <sheetProtection formatCells="0" formatColumns="0" formatRows="0"/>
  <dataValidations count="2">
    <dataValidation type="list" allowBlank="1" showInputMessage="1" showErrorMessage="1" errorTitle="Invalid Data" error="Select a valid item from the list box." sqref="C5:C19" xr:uid="{00000000-0002-0000-0500-000000000000}">
      <formula1>DeptListItem</formula1>
    </dataValidation>
    <dataValidation type="list" allowBlank="1" showInputMessage="1" showErrorMessage="1" errorTitle="Invalid Data" error="Select a valid item from the list box." sqref="G5:G19" xr:uid="{00000000-0002-0000-0500-000001000000}">
      <formula1>"Yes,No"</formula1>
    </dataValidation>
  </dataValidations>
  <pageMargins left="0.59055118110236227" right="0.59055118110236227" top="0.59055118110236227" bottom="0.59055118110236227" header="0.39370078740157483" footer="0.39370078740157483"/>
  <pageSetup paperSize="9" scale="52" fitToWidth="3" fitToHeight="0" orientation="landscape" r:id="rId1"/>
  <headerFooter alignWithMargins="0">
    <oddFooter>&amp;C&amp;9Page &amp;P of &amp;N</oddFooter>
  </headerFooter>
  <drawing r:id="rId2"/>
  <tableParts count="1">
    <tablePart r:id="rId3"/>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dimension ref="A1:BE246"/>
  <sheetViews>
    <sheetView zoomScale="95" zoomScaleNormal="95" zoomScaleSheetLayoutView="95" workbookViewId="0">
      <pane xSplit="4" ySplit="6" topLeftCell="E7" activePane="bottomRight" state="frozen"/>
      <selection pane="topRight" activeCell="E1" sqref="E1"/>
      <selection pane="bottomLeft" activeCell="A5" sqref="A5"/>
      <selection pane="bottomRight" activeCell="A6" sqref="A6"/>
    </sheetView>
  </sheetViews>
  <sheetFormatPr defaultColWidth="15.85546875" defaultRowHeight="16.149999999999999" customHeight="1" x14ac:dyDescent="0.25"/>
  <cols>
    <col min="1" max="1" width="15.7109375" style="10" customWidth="1"/>
    <col min="2" max="2" width="14.7109375" style="137" customWidth="1"/>
    <col min="3" max="3" width="14.7109375" style="101" customWidth="1"/>
    <col min="4" max="4" width="30.7109375" style="10" customWidth="1"/>
    <col min="5" max="6" width="12.7109375" style="101" customWidth="1"/>
    <col min="7" max="12" width="14.7109375" style="139" customWidth="1"/>
    <col min="13" max="13" width="14.7109375" style="140" customWidth="1"/>
    <col min="14" max="17" width="14.7109375" style="185" customWidth="1"/>
    <col min="18" max="26" width="14.7109375" style="139" customWidth="1"/>
    <col min="27" max="28" width="11.7109375" style="142" customWidth="1"/>
    <col min="29" max="29" width="13.7109375" style="143" customWidth="1"/>
    <col min="30" max="31" width="11.7109375" style="144" customWidth="1"/>
    <col min="32" max="32" width="11.7109375" style="145" customWidth="1"/>
    <col min="33" max="33" width="13.7109375" style="145" customWidth="1"/>
    <col min="34" max="35" width="13.7109375" style="146" customWidth="1"/>
    <col min="36" max="36" width="11.7109375" style="101" customWidth="1"/>
    <col min="37" max="37" width="11.7109375" style="147" customWidth="1"/>
    <col min="38" max="38" width="11.7109375" style="101" customWidth="1"/>
    <col min="39" max="43" width="14.7109375" style="148" customWidth="1"/>
    <col min="44" max="44" width="16.7109375" style="148" customWidth="1"/>
    <col min="45" max="49" width="14.7109375" style="148" customWidth="1"/>
    <col min="50" max="54" width="16.7109375" style="148" customWidth="1"/>
    <col min="55" max="56" width="12.7109375" style="150" customWidth="1"/>
    <col min="57" max="57" width="14.7109375" style="148" customWidth="1"/>
    <col min="58" max="72" width="11.7109375" style="2" customWidth="1"/>
    <col min="73" max="16384" width="15.85546875" style="2"/>
  </cols>
  <sheetData>
    <row r="1" spans="1:57" ht="16.149999999999999" customHeight="1" x14ac:dyDescent="0.25">
      <c r="A1" s="302" t="str">
        <f>Setup!$C$4</f>
        <v>Example (Pty) Limited</v>
      </c>
      <c r="N1" s="141" t="str">
        <f ca="1">IF(COLUMN(N$1)-COLUMN($N$1)+1&lt;=DedListCount,IF(OFFSET(Setup!$G$73,COLUMN(N$1)-COLUMN($N$1)+1,0,1,1)=0,"-",OFFSET(Setup!$G$73,COLUMN(N$1)-COLUMN($N$1)+1,0,1,1)),"Not Used")</f>
        <v>Taxable</v>
      </c>
      <c r="O1" s="141" t="str">
        <f ca="1">IF(COLUMN(O$1)-COLUMN($N$1)+1&lt;=DedListCount,IF(OFFSET(Setup!$G$73,COLUMN(O$1)-COLUMN($N$1)+1,0,1,1)=0,"-",OFFSET(Setup!$G$73,COLUMN(O$1)-COLUMN($N$1)+1,0,1,1)),"Not Used")</f>
        <v>Taxable</v>
      </c>
      <c r="P1" s="141" t="str">
        <f ca="1">IF(COLUMN(P$1)-COLUMN($N$1)+1&lt;=DedListCount,IF(OFFSET(Setup!$G$73,COLUMN(P$1)-COLUMN($N$1)+1,0,1,1)=0,"-",OFFSET(Setup!$G$73,COLUMN(P$1)-COLUMN($N$1)+1,0,1,1)),"Not Used")</f>
        <v>Full Value</v>
      </c>
      <c r="Q1" s="141" t="str">
        <f ca="1">IF(COLUMN(Q$1)-COLUMN($N$1)+1&lt;=DedListCount,IF(OFFSET(Setup!$G$73,COLUMN(Q$1)-COLUMN($N$1)+1,0,1,1)=0,"-",OFFSET(Setup!$G$73,COLUMN(Q$1)-COLUMN($N$1)+1,0,1,1)),"Not Used")</f>
        <v>Full Value</v>
      </c>
      <c r="T1" s="141" t="str">
        <f ca="1">IF(COLUMN(T$1)-COLUMN($T$1)+1&lt;=CompListCount,IF(OFFSET(Setup!$G$81,COLUMN(T$1)-COLUMN($T$1)+1,0,1,1)=0,"-",OFFSET(Setup!$G$81,COLUMN(T$1)-COLUMN($T$1)+1,0,1,1)),"Not Used")</f>
        <v>Taxable</v>
      </c>
      <c r="U1" s="141" t="str">
        <f ca="1">IF(COLUMN(U$1)-COLUMN($T$1)+1&lt;=CompListCount,IF(OFFSET(Setup!$G$81,COLUMN(U$1)-COLUMN($T$1)+1,0,1,1)=0,"-",OFFSET(Setup!$G$81,COLUMN(U$1)-COLUMN($T$1)+1,0,1,1)),"Not Used")</f>
        <v>Taxable</v>
      </c>
      <c r="V1" s="141" t="str">
        <f ca="1">IF(COLUMN(V$1)-COLUMN($T$1)+1&lt;=CompListCount,IF(OFFSET(Setup!$G$81,COLUMN(V$1)-COLUMN($T$1)+1,0,1,1)=0,"-",OFFSET(Setup!$G$81,COLUMN(V$1)-COLUMN($T$1)+1,0,1,1)),"Not Used")</f>
        <v>Taxable</v>
      </c>
      <c r="W1" s="141" t="str">
        <f ca="1">IF(COLUMN(W$1)-COLUMN($T$1)+1&lt;=CompListCount,IF(OFFSET(Setup!$G$81,COLUMN(W$1)-COLUMN($T$1)+1,0,1,1)=0,"-",OFFSET(Setup!$G$81,COLUMN(W$1)-COLUMN($T$1)+1,0,1,1)),"Not Used")</f>
        <v>Taxable</v>
      </c>
      <c r="AN1" s="149" t="str">
        <f ca="1">IF(COLUMN(AN$2)-COLUMN($AN$2)+1&lt;=DedListCount,IF(OFFSET(Setup!$F$73,COLUMN(AN$2)-COLUMN($AN$2)+1,0,1,1)=0,"-",OFFSET(Setup!$F$73,COLUMN(AN$2)-COLUMN($AN$2)+1,0,1,1)),"Not Used")</f>
        <v>Gross</v>
      </c>
      <c r="AO1" s="149" t="str">
        <f ca="1">IF(COLUMN(AO$2)-COLUMN($AN$2)+1&lt;=DedListCount,IF(OFFSET(Setup!$F$73,COLUMN(AO$2)-COLUMN($AN$2)+1,0,1,1)=0,"-",OFFSET(Setup!$F$73,COLUMN(AO$2)-COLUMN($AN$2)+1,0,1,1)),"Not Used")</f>
        <v>Gross</v>
      </c>
      <c r="AP1" s="149" t="str">
        <f ca="1">IF(COLUMN(AP$2)-COLUMN($AN$2)+1&lt;=DedListCount,IF(OFFSET(Setup!$F$73,COLUMN(AP$2)-COLUMN($AN$2)+1,0,1,1)=0,"-",OFFSET(Setup!$F$73,COLUMN(AP$2)-COLUMN($AN$2)+1,0,1,1)),"Not Used")</f>
        <v>Fixed</v>
      </c>
      <c r="AQ1" s="149" t="str">
        <f ca="1">IF(COLUMN(AQ$2)-COLUMN($AN$2)+1&lt;=DedListCount,IF(OFFSET(Setup!$F$73,COLUMN(AQ$2)-COLUMN($AN$2)+1,0,1,1)=0,"-",OFFSET(Setup!$F$73,COLUMN(AQ$2)-COLUMN($AN$2)+1,0,1,1)),"Not Used")</f>
        <v>Fixed</v>
      </c>
      <c r="AT1" s="149" t="str">
        <f ca="1">IF(COLUMN(AT$2)-COLUMN($AT$2)+1&lt;=DedListCount,IF(OFFSET(Setup!$F$73,COLUMN(AT$2)-COLUMN($AT$2)+1,0,1,1)=0,"-",OFFSET(Setup!$F$73,COLUMN(AT$2)-COLUMN($AT$2)+1,0,1,1)),"Not Used")</f>
        <v>Gross</v>
      </c>
      <c r="AU1" s="149" t="str">
        <f ca="1">IF(COLUMN(AU$2)-COLUMN($AT$2)+1&lt;=DedListCount,IF(OFFSET(Setup!$F$73,COLUMN(AU$2)-COLUMN($AT$2)+1,0,1,1)=0,"-",OFFSET(Setup!$F$73,COLUMN(AU$2)-COLUMN($AT$2)+1,0,1,1)),"Not Used")</f>
        <v>Gross</v>
      </c>
      <c r="AV1" s="149" t="str">
        <f ca="1">IF(COLUMN(AV$2)-COLUMN($AT$2)+1&lt;=DedListCount,IF(OFFSET(Setup!$F$73,COLUMN(AV$2)-COLUMN($AT$2)+1,0,1,1)=0,"-",OFFSET(Setup!$F$73,COLUMN(AV$2)-COLUMN($AT$2)+1,0,1,1)),"Not Used")</f>
        <v>Fixed</v>
      </c>
      <c r="AW1" s="149" t="str">
        <f ca="1">IF(COLUMN(AW$2)-COLUMN($AT$2)+1&lt;=DedListCount,IF(OFFSET(Setup!$F$73,COLUMN(AW$2)-COLUMN($AT$2)+1,0,1,1)=0,"-",OFFSET(Setup!$F$73,COLUMN(AW$2)-COLUMN($AT$2)+1,0,1,1)),"Not Used")</f>
        <v>Fixed</v>
      </c>
    </row>
    <row r="2" spans="1:57" s="46" customFormat="1" ht="16.149999999999999" customHeight="1" x14ac:dyDescent="0.2">
      <c r="A2" s="6" t="s">
        <v>405</v>
      </c>
      <c r="B2" s="151"/>
      <c r="C2" s="54"/>
      <c r="D2" s="6"/>
      <c r="E2" s="54"/>
      <c r="F2" s="54"/>
      <c r="G2" s="119" t="str">
        <f ca="1">IF(COLUMN(G$2)-COLUMN($G$2)+1&lt;=EarnListCount,OFFSET(Setup!$A$64,COLUMN(G$2)-COLUMN($G$2)+1,0,1,1),"Not Used")</f>
        <v>A</v>
      </c>
      <c r="H2" s="119" t="str">
        <f ca="1">IF(COLUMN(H$2)-COLUMN($G$2)+1&lt;=EarnListCount,OFFSET(Setup!$A$64,COLUMN(H$2)-COLUMN($G$2)+1,0,1,1),"Not Used")</f>
        <v>B</v>
      </c>
      <c r="I2" s="119" t="str">
        <f ca="1">IF(COLUMN(I$2)-COLUMN($G$2)+1&lt;=EarnListCount,OFFSET(Setup!$A$64,COLUMN(I$2)-COLUMN($G$2)+1,0,1,1),"Not Used")</f>
        <v>C</v>
      </c>
      <c r="J2" s="119" t="str">
        <f ca="1">IF(COLUMN(J$2)-COLUMN($G$2)+1&lt;=EarnListCount,OFFSET(Setup!$A$64,COLUMN(J$2)-COLUMN($G$2)+1,0,1,1),"Not Used")</f>
        <v>D</v>
      </c>
      <c r="K2" s="119" t="str">
        <f ca="1">IF(COLUMN(K$2)-COLUMN($G$2)+1&lt;=EarnListCount,OFFSET(Setup!$A$64,COLUMN(K$2)-COLUMN($G$2)+1,0,1,1),"Not Used")</f>
        <v>E</v>
      </c>
      <c r="L2" s="152"/>
      <c r="M2" s="153"/>
      <c r="N2" s="154" t="str">
        <f ca="1">IF(COLUMN(N$1)-COLUMN($N$1)+1&lt;=DedListCount,IF(OFFSET(Setup!$F$73,COLUMN(N$1)-COLUMN($N$1)+1,0,1,1)=0,"-",OFFSET(Setup!$F$73,COLUMN(N$1)-COLUMN($N$1)+1,0,1,1)),"Not Used")</f>
        <v>Gross</v>
      </c>
      <c r="O2" s="154" t="str">
        <f ca="1">IF(COLUMN(O$1)-COLUMN($N$1)+1&lt;=DedListCount,IF(OFFSET(Setup!$F$73,COLUMN(O$1)-COLUMN($N$1)+1,0,1,1)=0,"-",OFFSET(Setup!$F$73,COLUMN(O$1)-COLUMN($N$1)+1,0,1,1)),"Not Used")</f>
        <v>Gross</v>
      </c>
      <c r="P2" s="154" t="str">
        <f ca="1">IF(COLUMN(P$1)-COLUMN($N$1)+1&lt;=DedListCount,IF(OFFSET(Setup!$F$73,COLUMN(P$1)-COLUMN($N$1)+1,0,1,1)=0,"-",OFFSET(Setup!$F$73,COLUMN(P$1)-COLUMN($N$1)+1,0,1,1)),"Not Used")</f>
        <v>Fixed</v>
      </c>
      <c r="Q2" s="154" t="str">
        <f ca="1">IF(COLUMN(Q$1)-COLUMN($N$1)+1&lt;=DedListCount,IF(OFFSET(Setup!$F$73,COLUMN(Q$1)-COLUMN($N$1)+1,0,1,1)=0,"-",OFFSET(Setup!$F$73,COLUMN(Q$1)-COLUMN($N$1)+1,0,1,1)),"Not Used")</f>
        <v>Fixed</v>
      </c>
      <c r="R2" s="155"/>
      <c r="S2" s="152"/>
      <c r="T2" s="154" t="str">
        <f ca="1">IF(COLUMN(T$2)-COLUMN($T$2)+1&lt;=CompListCount,IF(OFFSET(Setup!$F$81,COLUMN(T$2)-COLUMN($T$2)+1,0,1,1)=0,"-",OFFSET(Setup!$F$81,COLUMN(T$2)-COLUMN($T$2)+1,0,1,1)),"Not Used")</f>
        <v>UIF</v>
      </c>
      <c r="U2" s="154" t="str">
        <f ca="1">IF(COLUMN(U$2)-COLUMN($T$2)+1&lt;=CompListCount,IF(OFFSET(Setup!$F$81,COLUMN(U$2)-COLUMN($T$2)+1,0,1,1)=0,"-",OFFSET(Setup!$F$81,COLUMN(U$2)-COLUMN($T$2)+1,0,1,1)),"Not Used")</f>
        <v>Gross</v>
      </c>
      <c r="V2" s="154" t="str">
        <f ca="1">IF(COLUMN(V$2)-COLUMN($T$2)+1&lt;=CompListCount,IF(OFFSET(Setup!$F$81,COLUMN(V$2)-COLUMN($T$2)+1,0,1,1)=0,"-",OFFSET(Setup!$F$81,COLUMN(V$2)-COLUMN($T$2)+1,0,1,1)),"Not Used")</f>
        <v>Gross</v>
      </c>
      <c r="W2" s="154" t="str">
        <f ca="1">IF(COLUMN(W$2)-COLUMN($T$2)+1&lt;=CompListCount,IF(OFFSET(Setup!$F$81,COLUMN(W$2)-COLUMN($T$2)+1,0,1,1)=0,"-",OFFSET(Setup!$F$81,COLUMN(W$2)-COLUMN($T$2)+1,0,1,1)),"Not Used")</f>
        <v>Gross</v>
      </c>
      <c r="X2" s="152"/>
      <c r="Y2" s="152"/>
      <c r="Z2" s="152"/>
      <c r="AA2" s="156"/>
      <c r="AB2" s="156"/>
      <c r="AC2" s="157"/>
      <c r="AD2" s="158"/>
      <c r="AE2" s="158"/>
      <c r="AF2" s="154"/>
      <c r="AG2" s="154"/>
      <c r="AH2" s="159"/>
      <c r="AI2" s="159"/>
      <c r="AJ2" s="54"/>
      <c r="AK2" s="160"/>
      <c r="AL2" s="54"/>
      <c r="AM2" s="149"/>
      <c r="AN2" s="149" t="str">
        <f ca="1">IF(COLUMN(AN$2)-COLUMN($AN$2)+1&lt;=DedListCount,OFFSET(Setup!$H$73,COLUMN(AN$2)-COLUMN($AN$2)+1,0,1,1),"")</f>
        <v>D</v>
      </c>
      <c r="AO2" s="149" t="str">
        <f ca="1">IF(COLUMN(AO$2)-COLUMN($AN$2)+1&lt;=DedListCount,OFFSET(Setup!$H$73,COLUMN(AO$2)-COLUMN($AN$2)+1,0,1,1),"")</f>
        <v>D</v>
      </c>
      <c r="AP2" s="149">
        <f ca="1">IF(COLUMN(AP$2)-COLUMN($AN$2)+1&lt;=DedListCount,OFFSET(Setup!$H$73,COLUMN(AP$2)-COLUMN($AN$2)+1,0,1,1),"")</f>
        <v>0</v>
      </c>
      <c r="AQ2" s="149">
        <f ca="1">IF(COLUMN(AQ$2)-COLUMN($AN$2)+1&lt;=DedListCount,OFFSET(Setup!$H$73,COLUMN(AQ$2)-COLUMN($AN$2)+1,0,1,1),"")</f>
        <v>0</v>
      </c>
      <c r="AR2" s="161"/>
      <c r="AS2" s="161"/>
      <c r="AT2" s="149" t="str">
        <f ca="1">IF(COLUMN(AT$2)-COLUMN($AT$2)+1&lt;=DedListCount,OFFSET(Setup!$H$73,COLUMN(AT$2)-COLUMN($AT$2)+1,0,1,1),"")</f>
        <v>D</v>
      </c>
      <c r="AU2" s="149" t="str">
        <f ca="1">IF(COLUMN(AU$2)-COLUMN($AT$2)+1&lt;=DedListCount,OFFSET(Setup!$H$73,COLUMN(AU$2)-COLUMN($AT$2)+1,0,1,1),"")</f>
        <v>D</v>
      </c>
      <c r="AV2" s="149">
        <f ca="1">IF(COLUMN(AV$2)-COLUMN($AT$2)+1&lt;=DedListCount,OFFSET(Setup!$H$73,COLUMN(AV$2)-COLUMN($AT$2)+1,0,1,1),"")</f>
        <v>0</v>
      </c>
      <c r="AW2" s="149">
        <f ca="1">IF(COLUMN(AW$2)-COLUMN($AT$2)+1&lt;=DedListCount,OFFSET(Setup!$H$73,COLUMN(AW$2)-COLUMN($AT$2)+1,0,1,1),"")</f>
        <v>0</v>
      </c>
      <c r="AX2" s="161"/>
      <c r="AY2" s="161"/>
      <c r="AZ2" s="161"/>
      <c r="BA2" s="161"/>
      <c r="BB2" s="161"/>
      <c r="BC2" s="162"/>
      <c r="BD2" s="162"/>
      <c r="BE2" s="161"/>
    </row>
    <row r="3" spans="1:57" ht="16.149999999999999" customHeight="1" x14ac:dyDescent="0.25">
      <c r="A3" s="7" t="s">
        <v>168</v>
      </c>
      <c r="F3" s="2"/>
      <c r="G3" s="155">
        <f ca="1">IF(COLUMN(G$2)-COLUMN($G$2)+1&lt;=EarnListCount,IF(COUNTA(OFFSET(Setup!$F$64,COLUMN(G$2)-COLUMN($G$2)+1,0,1,1))=0,1,OFFSET(Setup!$F$64,COLUMN(G$2)-COLUMN($G$2)+1,0,1,1)),1)</f>
        <v>1</v>
      </c>
      <c r="H3" s="155">
        <f ca="1">IF(COLUMN(H$2)-COLUMN($G$2)+1&lt;=EarnListCount,IF(COUNTA(OFFSET(Setup!$F$64,COLUMN(H$2)-COLUMN($G$2)+1,0,1,1))=0,1,OFFSET(Setup!$F$64,COLUMN(H$2)-COLUMN($G$2)+1,0,1,1)),1)</f>
        <v>1</v>
      </c>
      <c r="I3" s="155">
        <f ca="1">IF(COLUMN(I$2)-COLUMN($G$2)+1&lt;=EarnListCount,IF(COUNTA(OFFSET(Setup!$F$64,COLUMN(I$2)-COLUMN($G$2)+1,0,1,1))=0,1,OFFSET(Setup!$F$64,COLUMN(I$2)-COLUMN($G$2)+1,0,1,1)),1)</f>
        <v>1</v>
      </c>
      <c r="J3" s="155">
        <f ca="1">IF(COLUMN(J$2)-COLUMN($G$2)+1&lt;=EarnListCount,IF(COUNTA(OFFSET(Setup!$F$64,COLUMN(J$2)-COLUMN($G$2)+1,0,1,1))=0,1,OFFSET(Setup!$F$64,COLUMN(J$2)-COLUMN($G$2)+1,0,1,1)),1)</f>
        <v>0</v>
      </c>
      <c r="K3" s="155">
        <f ca="1">IF(COLUMN(K$2)-COLUMN($G$2)+1&lt;=EarnListCount,IF(COUNTA(OFFSET(Setup!$F$64,COLUMN(K$2)-COLUMN($G$2)+1,0,1,1))=0,1,OFFSET(Setup!$F$64,COLUMN(K$2)-COLUMN($G$2)+1,0,1,1)),1)</f>
        <v>0</v>
      </c>
      <c r="L3" s="163"/>
      <c r="M3" s="164"/>
      <c r="N3" s="160">
        <f ca="1">IF(COLUMN(N$1)-COLUMN($N$1)+1&lt;=DedListCount,IF(OFFSET(Setup!$I$73,COLUMN(N$1)-COLUMN($N$1)+1,0,1,1)=0,"-",OFFSET(Setup!$I$73,COLUMN(N$1)-COLUMN($N$1)+1,0,1,1)),"Not Used")</f>
        <v>212544</v>
      </c>
      <c r="O3" s="160" t="str">
        <f ca="1">IF(COLUMN(O$1)-COLUMN($N$1)+1&lt;=DedListCount,IF(OFFSET(Setup!$I$73,COLUMN(O$1)-COLUMN($N$1)+1,0,1,1)=0,"-",OFFSET(Setup!$I$73,COLUMN(O$1)-COLUMN($N$1)+1,0,1,1)),"Not Used")</f>
        <v>-</v>
      </c>
      <c r="P3" s="160" t="str">
        <f ca="1">IF(COLUMN(P$1)-COLUMN($N$1)+1&lt;=DedListCount,IF(OFFSET(Setup!$I$73,COLUMN(P$1)-COLUMN($N$1)+1,0,1,1)=0,"-",OFFSET(Setup!$I$73,COLUMN(P$1)-COLUMN($N$1)+1,0,1,1)),"Not Used")</f>
        <v>-</v>
      </c>
      <c r="Q3" s="160" t="str">
        <f ca="1">IF(COLUMN(Q$1)-COLUMN($N$1)+1&lt;=DedListCount,IF(OFFSET(Setup!$I$73,COLUMN(Q$1)-COLUMN($N$1)+1,0,1,1)=0,"-",OFFSET(Setup!$I$73,COLUMN(Q$1)-COLUMN($N$1)+1,0,1,1)),"Not Used")</f>
        <v>-</v>
      </c>
      <c r="R3" s="165"/>
      <c r="T3" s="160" t="str">
        <f ca="1">IF(COLUMN(T$2)-COLUMN($T$2)+1&lt;=CompListCount,IF(OFFSET(Setup!$I$81,COLUMN(T$2)-COLUMN($T$2)+1,0,1,1)=0,"-",OFFSET(Setup!$I$81,COLUMN(T$2)-COLUMN($T$2)+1,0,1,1)),"Not Used")</f>
        <v>-</v>
      </c>
      <c r="U3" s="160" t="str">
        <f ca="1">IF(COLUMN(U$2)-COLUMN($T$2)+1&lt;=CompListCount,IF(OFFSET(Setup!$I$81,COLUMN(U$2)-COLUMN($T$2)+1,0,1,1)=0,"-",OFFSET(Setup!$I$81,COLUMN(U$2)-COLUMN($T$2)+1,0,1,1)),"Not Used")</f>
        <v>-</v>
      </c>
      <c r="V3" s="160" t="str">
        <f ca="1">IF(COLUMN(V$2)-COLUMN($T$2)+1&lt;=CompListCount,IF(OFFSET(Setup!$I$81,COLUMN(V$2)-COLUMN($T$2)+1,0,1,1)=0,"-",OFFSET(Setup!$I$81,COLUMN(V$2)-COLUMN($T$2)+1,0,1,1)),"Not Used")</f>
        <v>-</v>
      </c>
      <c r="W3" s="160" t="str">
        <f ca="1">IF(COLUMN(W$2)-COLUMN($T$2)+1&lt;=CompListCount,IF(OFFSET(Setup!$I$81,COLUMN(W$2)-COLUMN($T$2)+1,0,1,1)=0,"-",OFFSET(Setup!$I$81,COLUMN(W$2)-COLUMN($T$2)+1,0,1,1)),"Not Used")</f>
        <v>-</v>
      </c>
      <c r="AM3" s="155"/>
      <c r="AN3" s="155">
        <f ca="1">IF(COLUMN(AN$2)-COLUMN($AN$2)+1&lt;=DedListCount,IF(COUNTA(OFFSET(Setup!$J$73,COLUMN(AN$2)-COLUMN($AN$2)+1,0,1,1))=0,0,OFFSET(Setup!$J$73,COLUMN(AN$2)-COLUMN($AN$2)+1,0,1,1)),1)</f>
        <v>0</v>
      </c>
      <c r="AO3" s="155">
        <f ca="1">IF(COLUMN(AO$2)-COLUMN($AN$2)+1&lt;=DedListCount,IF(COUNTA(OFFSET(Setup!$J$73,COLUMN(AO$2)-COLUMN($AN$2)+1,0,1,1))=0,0,OFFSET(Setup!$J$73,COLUMN(AO$2)-COLUMN($AN$2)+1,0,1,1)),1)</f>
        <v>1</v>
      </c>
      <c r="AP3" s="155">
        <f ca="1">IF(COLUMN(AP$2)-COLUMN($AN$2)+1&lt;=DedListCount,IF(COUNTA(OFFSET(Setup!$J$73,COLUMN(AP$2)-COLUMN($AN$2)+1,0,1,1))=0,0,OFFSET(Setup!$J$73,COLUMN(AP$2)-COLUMN($AN$2)+1,0,1,1)),1)</f>
        <v>0</v>
      </c>
      <c r="AQ3" s="155">
        <f ca="1">IF(COLUMN(AQ$2)-COLUMN($AN$2)+1&lt;=DedListCount,IF(COUNTA(OFFSET(Setup!$J$73,COLUMN(AQ$2)-COLUMN($AN$2)+1,0,1,1))=0,0,OFFSET(Setup!$J$73,COLUMN(AQ$2)-COLUMN($AN$2)+1,0,1,1)),1)</f>
        <v>0</v>
      </c>
      <c r="AT3" s="155">
        <f ca="1">IF(COLUMN(AT$2)-COLUMN($AT$2)+1&lt;=DedListCount,IF(COUNTA(OFFSET(Setup!$J$73,COLUMN(AT$2)-COLUMN($AT$2)+1,0,1,1))=0,1,OFFSET(Setup!$J$73,COLUMN(AT$2)-COLUMN($AT$2)+1,0,1,1)),1)</f>
        <v>0</v>
      </c>
      <c r="AU3" s="155">
        <f ca="1">IF(COLUMN(AU$2)-COLUMN($AT$2)+1&lt;=DedListCount,IF(COUNTA(OFFSET(Setup!$J$73,COLUMN(AU$2)-COLUMN($AT$2)+1,0,1,1))=0,1,OFFSET(Setup!$J$73,COLUMN(AU$2)-COLUMN($AT$2)+1,0,1,1)),1)</f>
        <v>1</v>
      </c>
      <c r="AV3" s="155">
        <f ca="1">IF(COLUMN(AV$2)-COLUMN($AT$2)+1&lt;=DedListCount,IF(COUNTA(OFFSET(Setup!$J$73,COLUMN(AV$2)-COLUMN($AT$2)+1,0,1,1))=0,1,OFFSET(Setup!$J$73,COLUMN(AV$2)-COLUMN($AT$2)+1,0,1,1)),1)</f>
        <v>0</v>
      </c>
      <c r="AW3" s="155">
        <f ca="1">IF(COLUMN(AW$2)-COLUMN($AT$2)+1&lt;=DedListCount,IF(COUNTA(OFFSET(Setup!$J$73,COLUMN(AW$2)-COLUMN($AT$2)+1,0,1,1))=0,1,OFFSET(Setup!$J$73,COLUMN(AW$2)-COLUMN($AT$2)+1,0,1,1)),1)</f>
        <v>1</v>
      </c>
    </row>
    <row r="4" spans="1:57" s="46" customFormat="1" ht="16.149999999999999" customHeight="1" x14ac:dyDescent="0.2">
      <c r="A4" s="46" t="s">
        <v>404</v>
      </c>
      <c r="B4" s="166" t="str" cm="1">
        <f t="array" aca="1" ref="B4" ca="1">IF(PayCount&lt;EmpCount*12,"add!","ok")</f>
        <v>ok</v>
      </c>
      <c r="C4" s="6" t="str" cm="1">
        <f t="array" aca="1" ref="C4" ca="1">IF($B$4="add!","You need to add "&amp;(EmpCount*12)-PayCount&amp;" rows to the table","")</f>
        <v/>
      </c>
      <c r="D4" s="167"/>
      <c r="E4" s="116"/>
      <c r="F4" s="54"/>
      <c r="G4" s="154" t="str">
        <f ca="1">IF(COLUMN(G$2)-COLUMN($G$2)+1&lt;=EarnListCount,OFFSET(Setup!$G$64,COLUMN(G$2)-COLUMN($G$2)+1,0,1,1),"Not Used")</f>
        <v>Monthly</v>
      </c>
      <c r="H4" s="154" t="str">
        <f ca="1">IF(COLUMN(H$2)-COLUMN($G$2)+1&lt;=EarnListCount,OFFSET(Setup!$G$64,COLUMN(H$2)-COLUMN($G$2)+1,0,1,1),"Not Used")</f>
        <v>Annual</v>
      </c>
      <c r="I4" s="154" t="str">
        <f ca="1">IF(COLUMN(I$2)-COLUMN($G$2)+1&lt;=EarnListCount,OFFSET(Setup!$G$64,COLUMN(I$2)-COLUMN($G$2)+1,0,1,1),"Not Used")</f>
        <v>Annual</v>
      </c>
      <c r="J4" s="154" t="str">
        <f ca="1">IF(COLUMN(J$2)-COLUMN($G$2)+1&lt;=EarnListCount,OFFSET(Setup!$G$64,COLUMN(J$2)-COLUMN($G$2)+1,0,1,1),"Not Used")</f>
        <v>Monthly</v>
      </c>
      <c r="K4" s="154" t="str">
        <f ca="1">IF(COLUMN(K$2)-COLUMN($G$2)+1&lt;=EarnListCount,OFFSET(Setup!$G$64,COLUMN(K$2)-COLUMN($G$2)+1,0,1,1),"Not Used")</f>
        <v>Monthly</v>
      </c>
      <c r="L4" s="152"/>
      <c r="M4" s="153"/>
      <c r="N4" s="154" t="str">
        <f ca="1">IF(COLUMN(N$1)-COLUMN($N$1)+1&lt;=DedListCount,OFFSET(Setup!$H$73,COLUMN(N$1)-COLUMN($N$1)+1,0,1,1),"Not Used")</f>
        <v>D</v>
      </c>
      <c r="O4" s="154" t="str">
        <f ca="1">IF(COLUMN(O$1)-COLUMN($N$1)+1&lt;=DedListCount,OFFSET(Setup!$H$73,COLUMN(O$1)-COLUMN($N$1)+1,0,1,1),"Not Used")</f>
        <v>D</v>
      </c>
      <c r="P4" s="154">
        <f ca="1">IF(COLUMN(P$1)-COLUMN($N$1)+1&lt;=DedListCount,OFFSET(Setup!$H$73,COLUMN(P$1)-COLUMN($N$1)+1,0,1,1),"Not Used")</f>
        <v>0</v>
      </c>
      <c r="Q4" s="154">
        <f ca="1">IF(COLUMN(Q$1)-COLUMN($N$1)+1&lt;=DedListCount,OFFSET(Setup!$H$73,COLUMN(Q$1)-COLUMN($N$1)+1,0,1,1),"Not Used")</f>
        <v>0</v>
      </c>
      <c r="R4" s="168"/>
      <c r="S4" s="168"/>
      <c r="T4" s="154">
        <f ca="1">IF(COLUMN(T$2)-COLUMN($T$2)+1&gt;CompListCount,"Not Used",OFFSET(Setup!$H$81,COLUMN(T$2)-COLUMN($T$2)+1,0,1,1))</f>
        <v>0</v>
      </c>
      <c r="U4" s="154" t="str">
        <f ca="1">IF(COLUMN(U$2)-COLUMN($T$2)+1&gt;CompListCount,"Not Used",OFFSET(Setup!$H$81,COLUMN(U$2)-COLUMN($T$2)+1,0,1,1))</f>
        <v>D</v>
      </c>
      <c r="V4" s="154">
        <f ca="1">IF(COLUMN(V$2)-COLUMN($T$2)+1&gt;CompListCount,"Not Used",OFFSET(Setup!$H$81,COLUMN(V$2)-COLUMN($T$2)+1,0,1,1))</f>
        <v>0</v>
      </c>
      <c r="W4" s="154">
        <f ca="1">IF(COLUMN(W$2)-COLUMN($T$2)+1&gt;CompListCount,"Not Used",OFFSET(Setup!$H$81,COLUMN(W$2)-COLUMN($T$2)+1,0,1,1))</f>
        <v>0</v>
      </c>
      <c r="X4" s="168"/>
      <c r="Y4" s="168"/>
      <c r="Z4" s="168"/>
      <c r="AA4" s="168"/>
      <c r="AB4" s="168"/>
      <c r="AC4" s="157"/>
      <c r="AD4" s="154"/>
      <c r="AE4" s="154"/>
      <c r="AF4" s="154"/>
      <c r="AG4" s="154"/>
      <c r="AH4" s="159"/>
      <c r="AI4" s="159"/>
      <c r="AJ4" s="54"/>
      <c r="AK4" s="160"/>
      <c r="AL4" s="54"/>
      <c r="AM4" s="159"/>
      <c r="AN4" s="159" t="str">
        <f ca="1">IF(COLUMN(AN$2)-COLUMN($AN$2)+1&lt;=DedListCount,IF(COUNTA(OFFSET(Setup!$K$73,COLUMN(AN$2)-COLUMN($AN$2)+1,0,1,1))=0,"-",OFFSET(Setup!$K$73,COLUMN(AN$2)-COLUMN($AN$2)+1,0,1,1)),"-")</f>
        <v>-</v>
      </c>
      <c r="AO4" s="159">
        <f ca="1">IF(COLUMN(AO$2)-COLUMN($AN$2)+1&lt;=DedListCount,IF(COUNTA(OFFSET(Setup!$K$73,COLUMN(AO$2)-COLUMN($AN$2)+1,0,1,1))=0,"-",OFFSET(Setup!$K$73,COLUMN(AO$2)-COLUMN($AN$2)+1,0,1,1)),"-")</f>
        <v>350000</v>
      </c>
      <c r="AP4" s="159" t="str">
        <f ca="1">IF(COLUMN(AP$2)-COLUMN($AN$2)+1&lt;=DedListCount,IF(COUNTA(OFFSET(Setup!$K$73,COLUMN(AP$2)-COLUMN($AN$2)+1,0,1,1))=0,"-",OFFSET(Setup!$K$73,COLUMN(AP$2)-COLUMN($AN$2)+1,0,1,1)),"-")</f>
        <v>-</v>
      </c>
      <c r="AQ4" s="159" t="str">
        <f ca="1">IF(COLUMN(AQ$2)-COLUMN($AN$2)+1&lt;=DedListCount,IF(COUNTA(OFFSET(Setup!$K$73,COLUMN(AQ$2)-COLUMN($AN$2)+1,0,1,1))=0,"-",OFFSET(Setup!$K$73,COLUMN(AQ$2)-COLUMN($AN$2)+1,0,1,1)),"-")</f>
        <v>-</v>
      </c>
      <c r="AR4" s="161"/>
      <c r="AS4" s="161"/>
      <c r="AT4" s="159" t="str">
        <f ca="1">IF(COLUMN(AT$2)-COLUMN($AT$2)+1&lt;=DedListCount,IF(COUNTA(OFFSET(Setup!$K$73,COLUMN(AT$2)-COLUMN($AT$2)+1,0,1,1))=0,"-",OFFSET(Setup!$K$73,COLUMN(AT$2)-COLUMN($AT$2)+1,0,1,1)),"-")</f>
        <v>-</v>
      </c>
      <c r="AU4" s="159">
        <f ca="1">IF(COLUMN(AU$2)-COLUMN($AT$2)+1&lt;=DedListCount,IF(COUNTA(OFFSET(Setup!$K$73,COLUMN(AU$2)-COLUMN($AT$2)+1,0,1,1))=0,"-",OFFSET(Setup!$K$73,COLUMN(AU$2)-COLUMN($AT$2)+1,0,1,1)),"-")</f>
        <v>350000</v>
      </c>
      <c r="AV4" s="159" t="str">
        <f ca="1">IF(COLUMN(AV$2)-COLUMN($AT$2)+1&lt;=DedListCount,IF(COUNTA(OFFSET(Setup!$K$73,COLUMN(AV$2)-COLUMN($AT$2)+1,0,1,1))=0,"-",OFFSET(Setup!$K$73,COLUMN(AV$2)-COLUMN($AT$2)+1,0,1,1)),"-")</f>
        <v>-</v>
      </c>
      <c r="AW4" s="159" t="str">
        <f ca="1">IF(COLUMN(AW$2)-COLUMN($AT$2)+1&lt;=DedListCount,IF(COUNTA(OFFSET(Setup!$K$73,COLUMN(AW$2)-COLUMN($AT$2)+1,0,1,1))=0,"-",OFFSET(Setup!$K$73,COLUMN(AW$2)-COLUMN($AT$2)+1,0,1,1)),"-")</f>
        <v>-</v>
      </c>
      <c r="AX4" s="161"/>
      <c r="AY4" s="161"/>
      <c r="AZ4" s="161"/>
      <c r="BA4" s="161"/>
      <c r="BB4" s="161"/>
      <c r="BC4" s="162"/>
      <c r="BD4" s="162"/>
      <c r="BE4" s="161"/>
    </row>
    <row r="5" spans="1:57" s="54" customFormat="1" ht="16.149999999999999" customHeight="1" x14ac:dyDescent="0.2">
      <c r="B5" s="116"/>
      <c r="D5" s="116"/>
      <c r="E5" s="116"/>
      <c r="F5" s="116"/>
      <c r="G5" s="154" t="str">
        <f ca="1">IF(COLUMN(G$2)-COLUMN($G$2)+1&lt;=EarnListCount,OFFSET(Setup!$E$64,COLUMN(G$2)-COLUMN($G$2)+1,0,1,1),"Not Used")</f>
        <v>Basic</v>
      </c>
      <c r="H5" s="154" t="str">
        <f ca="1">IF(COLUMN(H$2)-COLUMN($G$2)+1&lt;=EarnListCount,OFFSET(Setup!$E$64,COLUMN(H$2)-COLUMN($G$2)+1,0,1,1),"Not Used")</f>
        <v>Leave</v>
      </c>
      <c r="I5" s="154" t="str">
        <f ca="1">IF(COLUMN(I$2)-COLUMN($G$2)+1&lt;=EarnListCount,OFFSET(Setup!$E$64,COLUMN(I$2)-COLUMN($G$2)+1,0,1,1),"Not Used")</f>
        <v>Bonus</v>
      </c>
      <c r="J5" s="154" t="str">
        <f ca="1">IF(COLUMN(J$2)-COLUMN($G$2)+1&lt;=EarnListCount,OFFSET(Setup!$E$64,COLUMN(J$2)-COLUMN($G$2)+1,0,1,1),"Not Used")</f>
        <v>Loan</v>
      </c>
      <c r="K5" s="154" t="str">
        <f ca="1">IF(COLUMN(K$2)-COLUMN($G$2)+1&lt;=EarnListCount,OFFSET(Setup!$E$64,COLUMN(K$2)-COLUMN($G$2)+1,0,1,1),"Not Used")</f>
        <v>Not Used</v>
      </c>
      <c r="L5" s="154" t="s">
        <v>9</v>
      </c>
      <c r="M5" s="154" t="s">
        <v>113</v>
      </c>
      <c r="N5" s="154" t="str">
        <f ca="1">IF(COLUMN(N$1)-COLUMN($N$1)+1&gt;DedListCount,"Not Used",OFFSET(Setup!$A$73,COLUMN(N$1)-COLUMN($N$1)+1,0,1,1))</f>
        <v>UIF</v>
      </c>
      <c r="O5" s="154" t="str">
        <f ca="1">IF(COLUMN(O$1)-COLUMN($N$1)+1&gt;DedListCount,"Not Used",OFFSET(Setup!$A$73,COLUMN(O$1)-COLUMN($N$1)+1,0,1,1))</f>
        <v>PENS</v>
      </c>
      <c r="P5" s="154" t="str">
        <f ca="1">IF(COLUMN(P$1)-COLUMN($N$1)+1&gt;DedListCount,"Not Used",OFFSET(Setup!$A$73,COLUMN(P$1)-COLUMN($N$1)+1,0,1,1))</f>
        <v>LOAN</v>
      </c>
      <c r="Q5" s="154" t="str">
        <f ca="1">IF(COLUMN(Q$1)-COLUMN($N$1)+1&gt;DedListCount,"Not Used",OFFSET(Setup!$A$73,COLUMN(Q$1)-COLUMN($N$1)+1,0,1,1))</f>
        <v>DED4</v>
      </c>
      <c r="R5" s="154" t="s">
        <v>9</v>
      </c>
      <c r="S5" s="154" t="s">
        <v>34</v>
      </c>
      <c r="T5" s="154" t="str">
        <f ca="1">IF(COLUMN(T$2)-COLUMN($T$2)+1&gt;CompListCount,"Not Used",OFFSET(Setup!$A$81,COLUMN(T$2)-COLUMN($T$2)+1,0,1,1))</f>
        <v>UIF</v>
      </c>
      <c r="U5" s="154" t="str">
        <f ca="1">IF(COLUMN(U$2)-COLUMN($T$2)+1&gt;CompListCount,"Not Used",OFFSET(Setup!$A$81,COLUMN(U$2)-COLUMN($T$2)+1,0,1,1))</f>
        <v>SDL</v>
      </c>
      <c r="V5" s="154" t="str">
        <f ca="1">IF(COLUMN(V$2)-COLUMN($T$2)+1&gt;CompListCount,"Not Used",OFFSET(Setup!$A$81,COLUMN(V$2)-COLUMN($T$2)+1,0,1,1))</f>
        <v>CO3</v>
      </c>
      <c r="W5" s="154" t="str">
        <f ca="1">IF(COLUMN(W$2)-COLUMN($T$2)+1&gt;CompListCount,"Not Used",OFFSET(Setup!$A$81,COLUMN(W$2)-COLUMN($T$2)+1,0,1,1))</f>
        <v>CO4</v>
      </c>
      <c r="X5" s="154" t="s">
        <v>9</v>
      </c>
      <c r="Y5" s="154" t="s">
        <v>9</v>
      </c>
      <c r="Z5" s="154" t="s">
        <v>9</v>
      </c>
      <c r="AA5" s="159"/>
      <c r="AB5" s="159"/>
      <c r="AC5" s="169"/>
      <c r="AD5" s="158"/>
      <c r="AE5" s="158"/>
      <c r="AF5" s="154"/>
      <c r="AG5" s="154"/>
      <c r="AH5" s="159"/>
      <c r="AI5" s="159"/>
      <c r="AK5" s="160"/>
      <c r="AM5" s="154" t="s">
        <v>113</v>
      </c>
      <c r="AN5" s="154" t="str">
        <f ca="1">IF(COLUMN(AN3)-COLUMN($AN$3)+1&lt;=DedListCount,OFFSET(Setup!$A$73,COLUMN(AN3)-COLUMN($AN$3)+1,0,1,1),"Not Used")</f>
        <v>UIF</v>
      </c>
      <c r="AO5" s="154" t="str">
        <f ca="1">IF(COLUMN(AO3)-COLUMN($AN$3)+1&lt;=DedListCount,OFFSET(Setup!$A$73,COLUMN(AO3)-COLUMN($AN$3)+1,0,1,1),"Not Used")</f>
        <v>PENS</v>
      </c>
      <c r="AP5" s="154" t="str">
        <f ca="1">IF(COLUMN(AP3)-COLUMN($AN$3)+1&lt;=DedListCount,OFFSET(Setup!$A$73,COLUMN(AP3)-COLUMN($AN$3)+1,0,1,1),"Not Used")</f>
        <v>LOAN</v>
      </c>
      <c r="AQ5" s="154" t="str">
        <f ca="1">IF(COLUMN(AQ3)-COLUMN($AN$3)+1&lt;=DedListCount,OFFSET(Setup!$A$73,COLUMN(AQ3)-COLUMN($AN$3)+1,0,1,1),"Not Used")</f>
        <v>DED4</v>
      </c>
      <c r="AR5" s="149" t="s">
        <v>100</v>
      </c>
      <c r="AS5" s="149" t="s">
        <v>100</v>
      </c>
      <c r="AT5" s="149" t="str">
        <f ca="1">IF(COLUMN(AT2)-COLUMN($AT$2)+1&lt;=DedListCount,OFFSET(Setup!$A$73,COLUMN(AT2)-COLUMN($AT$2)+1,0,1,1),"Not Used")</f>
        <v>UIF</v>
      </c>
      <c r="AU5" s="149" t="str">
        <f ca="1">IF(COLUMN(AU2)-COLUMN($AT$2)+1&lt;=DedListCount,OFFSET(Setup!$A$73,COLUMN(AU2)-COLUMN($AT$2)+1,0,1,1),"Not Used")</f>
        <v>PENS</v>
      </c>
      <c r="AV5" s="149" t="str">
        <f ca="1">IF(COLUMN(AV2)-COLUMN($AT$2)+1&lt;=DedListCount,OFFSET(Setup!$A$73,COLUMN(AV2)-COLUMN($AT$2)+1,0,1,1),"Not Used")</f>
        <v>LOAN</v>
      </c>
      <c r="AW5" s="149" t="str">
        <f ca="1">IF(COLUMN(AW2)-COLUMN($AT$2)+1&lt;=DedListCount,OFFSET(Setup!$A$73,COLUMN(AW2)-COLUMN($AT$2)+1,0,1,1),"Not Used")</f>
        <v>DED4</v>
      </c>
      <c r="AX5" s="149" t="s">
        <v>100</v>
      </c>
      <c r="AY5" s="149" t="s">
        <v>100</v>
      </c>
      <c r="AZ5" s="149" t="s">
        <v>100</v>
      </c>
      <c r="BA5" s="149" t="s">
        <v>100</v>
      </c>
      <c r="BB5" s="149" t="s">
        <v>100</v>
      </c>
      <c r="BC5" s="155" t="s">
        <v>171</v>
      </c>
      <c r="BD5" s="155" t="s">
        <v>171</v>
      </c>
      <c r="BE5" s="149" t="s">
        <v>171</v>
      </c>
    </row>
    <row r="6" spans="1:57" s="181" customFormat="1" ht="27" x14ac:dyDescent="0.25">
      <c r="A6" s="170" t="s">
        <v>403</v>
      </c>
      <c r="B6" s="319" t="s">
        <v>288</v>
      </c>
      <c r="C6" s="171" t="s">
        <v>23</v>
      </c>
      <c r="D6" s="172" t="s">
        <v>5</v>
      </c>
      <c r="E6" s="171" t="s">
        <v>25</v>
      </c>
      <c r="F6" s="171" t="s">
        <v>83</v>
      </c>
      <c r="G6" s="173" t="s">
        <v>68</v>
      </c>
      <c r="H6" s="173" t="s">
        <v>69</v>
      </c>
      <c r="I6" s="173" t="s">
        <v>70</v>
      </c>
      <c r="J6" s="173" t="s">
        <v>71</v>
      </c>
      <c r="K6" s="173" t="s">
        <v>72</v>
      </c>
      <c r="L6" s="126" t="s">
        <v>30</v>
      </c>
      <c r="M6" s="126" t="s">
        <v>11</v>
      </c>
      <c r="N6" s="126" t="s">
        <v>66</v>
      </c>
      <c r="O6" s="173" t="s">
        <v>74</v>
      </c>
      <c r="P6" s="173" t="s">
        <v>75</v>
      </c>
      <c r="Q6" s="173" t="s">
        <v>76</v>
      </c>
      <c r="R6" s="126" t="s">
        <v>29</v>
      </c>
      <c r="S6" s="126" t="s">
        <v>16</v>
      </c>
      <c r="T6" s="126" t="s">
        <v>78</v>
      </c>
      <c r="U6" s="173" t="s">
        <v>79</v>
      </c>
      <c r="V6" s="173" t="s">
        <v>108</v>
      </c>
      <c r="W6" s="173" t="s">
        <v>109</v>
      </c>
      <c r="X6" s="126" t="s">
        <v>80</v>
      </c>
      <c r="Y6" s="126" t="s">
        <v>114</v>
      </c>
      <c r="Z6" s="126" t="s">
        <v>81</v>
      </c>
      <c r="AA6" s="173" t="s">
        <v>92</v>
      </c>
      <c r="AB6" s="174" t="s">
        <v>93</v>
      </c>
      <c r="AC6" s="175" t="s">
        <v>91</v>
      </c>
      <c r="AD6" s="174" t="s">
        <v>84</v>
      </c>
      <c r="AE6" s="174" t="s">
        <v>197</v>
      </c>
      <c r="AF6" s="174" t="s">
        <v>163</v>
      </c>
      <c r="AG6" s="174" t="s">
        <v>63</v>
      </c>
      <c r="AH6" s="176" t="s">
        <v>198</v>
      </c>
      <c r="AI6" s="176" t="s">
        <v>199</v>
      </c>
      <c r="AJ6" s="177" t="s">
        <v>67</v>
      </c>
      <c r="AK6" s="174" t="s">
        <v>101</v>
      </c>
      <c r="AL6" s="177" t="s">
        <v>87</v>
      </c>
      <c r="AM6" s="178" t="s">
        <v>110</v>
      </c>
      <c r="AN6" s="178" t="s">
        <v>118</v>
      </c>
      <c r="AO6" s="174" t="s">
        <v>119</v>
      </c>
      <c r="AP6" s="174" t="s">
        <v>120</v>
      </c>
      <c r="AQ6" s="174" t="s">
        <v>412</v>
      </c>
      <c r="AR6" s="178" t="s">
        <v>104</v>
      </c>
      <c r="AS6" s="178" t="s">
        <v>398</v>
      </c>
      <c r="AT6" s="178" t="s">
        <v>260</v>
      </c>
      <c r="AU6" s="174" t="s">
        <v>261</v>
      </c>
      <c r="AV6" s="174" t="s">
        <v>262</v>
      </c>
      <c r="AW6" s="174" t="s">
        <v>263</v>
      </c>
      <c r="AX6" s="179" t="s">
        <v>264</v>
      </c>
      <c r="AY6" s="179" t="s">
        <v>105</v>
      </c>
      <c r="AZ6" s="179" t="s">
        <v>103</v>
      </c>
      <c r="BA6" s="179" t="s">
        <v>106</v>
      </c>
      <c r="BB6" s="179" t="s">
        <v>107</v>
      </c>
      <c r="BC6" s="180" t="s">
        <v>169</v>
      </c>
      <c r="BD6" s="180" t="s">
        <v>170</v>
      </c>
      <c r="BE6" s="179" t="s">
        <v>172</v>
      </c>
    </row>
    <row r="7" spans="1:57" ht="16.149999999999999" customHeight="1" x14ac:dyDescent="0.25">
      <c r="A7" s="9" t="str" cm="1">
        <f t="array" aca="1" ref="A7" ca="1">IF(ROW($A7)-ROW($A$6)&gt;EmpCount*12,"-",TEXT($B7,"yyyy")&amp;TEXT($B7,"mm")&amp;"-"&amp;$C7)</f>
        <v>202303-EXS001</v>
      </c>
      <c r="B7" s="129" cm="1">
        <f t="array" aca="1" ref="B7" ca="1">IF(ROW($A7)-ROW($A$6)&gt;EmpCount*12,Setup!$D$12,DATE(YEAR(Setup!$F$12),MONTH(Setup!$F$12)+ROUNDDOWN((ROW($A7)-ROW($A$6)-1)/EmpCount,0),IF(Setup!$C$14&gt;DAY(DATE(YEAR(Setup!$F$12),MONTH(Setup!$F$12)+ROUNDDOWN((ROW($A7)-ROW($A$6)-1)/EmpCount,0)+1,0)),DAY(DATE(YEAR(Setup!$F$12),MONTH(Setup!$F$12)+ROUNDDOWN((ROW($A7)-ROW($A$6)-1)/EmpCount,0)+1,0)),Setup!$C$14)))</f>
        <v>45010</v>
      </c>
      <c r="C7" s="130" t="str" cm="1">
        <f t="array" aca="1" ref="C7" ca="1">IF(ROW($A7)-ROW($A$6)&gt;EmpCount*12,"-",OFFSET(Emp!$A$4,ROW($A7)-ROW($A$6)-IF(ROW($A7)-ROW($A$6)&gt;EmpCount,ROUNDDOWN((ROW($A7)-ROW($A$6)-1)/EmpCount,0)*EmpCount,0),0,1,1))</f>
        <v>EXS001</v>
      </c>
      <c r="D7" s="9" t="str">
        <f ca="1">IF(ISNA(VLOOKUP($C7,EmpAll,COLUMN(Emp!$B$4),0)),"-",VLOOKUP($C7,EmpAll,COLUMN(Emp!$B$4),0))</f>
        <v>Taylor AE</v>
      </c>
      <c r="E7" s="130" t="str">
        <f ca="1">IF(ISNA(VLOOKUP($C7,EmpAll,COLUMN(Emp!$C$4),0)),"-",VLOOKUP($C7,EmpAll,COLUMN(Emp!$C$4),0))</f>
        <v>M</v>
      </c>
      <c r="F7" s="130" t="str">
        <f ca="1">IF(ISNA(VLOOKUP($C7,EmpAll,COLUMN(Emp!$A$4),0)),"-",IF(AND(VLOOKUP($C7,EmpAll,COLUMN(Emp!$E$4),0)&lt;&gt;0,VLOOKUP($C7,EmpAll,COLUMN(Emp!$E$4),0)&gt;=DATE(YEAR($AC7),MONTH($AC7)+1,0)),"Inactive",IF(AND(VLOOKUP($C7,EmpAll,COLUMN(Emp!$F$4),0)&lt;&gt;0,VLOOKUP($C7,EmpAll,COLUMN(Emp!$F$4),0)&lt;=DATE(YEAR($AC7),MONTH($AC7),0)),"Terminated","Active")))</f>
        <v>Active</v>
      </c>
      <c r="G7" s="133" cm="1">
        <f t="array" aca="1" ref="G7" ca="1">IF($F7&lt;&gt;"Active",0,IF(COUNTIFS(OverEmp,$C7,OverEarn,G$2,OverDate,"&lt;"&amp;DATE(YEAR($AC7),MONTH($AC7)+1,1),OverEnd,"&gt;="&amp;DATE(YEAR($AC7),MONTH($AC7),1))&gt;0,SUMIFS(OverValue,OverEmp,$C7,OverEarn,G$2,OverDate,"&lt;"&amp;DATE(YEAR($AC7),MONTH($AC7)+1,1),OverEnd,"&gt;="&amp;DATE(YEAR($AC7),MONTH($AC7),1)),IF(AND($AC7&gt;=Setup!$E$10,SUMIFS(EmpIncrease,EmpCode,$C7)&gt;0),SUMIFS(EmpIncrease,EmpCode,$C7),SUMIFS(EmpSalary,EmpCode,$C7))))</f>
        <v>150000</v>
      </c>
      <c r="H7" s="133" cm="1">
        <f t="array" aca="1" ref="H7" ca="1">IF($F7&lt;&gt;"Active",0,IF(COUNTIFS(OverEmp,$C7,OverEarn,H$2,OverDate,"&lt;"&amp;DATE(YEAR($AC7),MONTH($AC7)+1,1),OverEnd,"&gt;="&amp;DATE(YEAR($AC7),MONTH($AC7),1))&gt;0,SUMIFS(OverValue,OverEmp,$C7,OverEarn,H$2,OverDate,"&lt;"&amp;DATE(YEAR($AC7),MONTH($AC7)+1,1),OverEnd,"&gt;="&amp;DATE(YEAR($AC7),MONTH($AC7),1)),0))</f>
        <v>0</v>
      </c>
      <c r="I7" s="133" cm="1">
        <f t="array" aca="1" ref="I7" ca="1">IF($F7&lt;&gt;"Active",0,IF(COUNTIFS(OverEmp,$C7,OverEarn,I$2,OverDate,"&lt;"&amp;DATE(YEAR($AC7),MONTH($AC7)+1,1),OverEnd,"&gt;="&amp;DATE(YEAR($AC7),MONTH($AC7),1))&gt;0,SUMIFS(OverValue,OverEmp,$C7,OverEarn,I$2,OverDate,"&lt;"&amp;DATE(YEAR($AC7),MONTH($AC7)+1,1),OverEnd,"&gt;="&amp;DATE(YEAR($AC7),MONTH($AC7),1)),IF(MONTH(B7)=Setup!$C$15,SUMIFS(EmpBonus,EmpCode,$C7),0)))</f>
        <v>0</v>
      </c>
      <c r="J7" s="133" cm="1">
        <f t="array" aca="1" ref="J7" ca="1">IF($F7&lt;&gt;"Active",0,IF(COUNTIFS(OverEmp,$C7,OverEarn,J$2,OverDate,"&lt;"&amp;DATE(YEAR($AC7),MONTH($AC7)+1,1),OverEnd,"&gt;="&amp;DATE(YEAR($AC7),MONTH($AC7),1))&gt;0,SUMIFS(OverValue,OverEmp,$C7,OverEarn,J$2,OverDate,"&lt;"&amp;DATE(YEAR($AC7),MONTH($AC7)+1,1),OverEnd,"&gt;="&amp;DATE(YEAR($AC7),MONTH($AC7),1)),0))</f>
        <v>0</v>
      </c>
      <c r="K7" s="133" cm="1">
        <f t="array" aca="1" ref="K7" ca="1">IF($F7&lt;&gt;"Active",0,IF(COUNTIFS(OverEmp,$C7,OverEarn,K$2,OverDate,"&lt;"&amp;DATE(YEAR($AC7),MONTH($AC7)+1,1),OverEnd,"&gt;="&amp;DATE(YEAR($AC7),MONTH($AC7),1))&gt;0,SUMIFS(OverValue,OverEmp,$C7,OverEarn,K$2,OverDate,"&lt;"&amp;DATE(YEAR($AC7),MONTH($AC7)+1,1),OverEnd,"&gt;="&amp;DATE(YEAR($AC7),MONTH($AC7),1)),0))</f>
        <v>0</v>
      </c>
      <c r="L7" s="133">
        <f t="shared" ref="L7:L38" ca="1" si="0">IF($AA7=0,0,SUM(OFFSET($G7,0,0,1,COLUMN($L$6)-COLUMN($G$6))))</f>
        <v>150000</v>
      </c>
      <c r="M7" s="182" cm="1">
        <f t="array" aca="1" ref="M7" ca="1">IF(COUNTIFS(OverEmp,$C7,OverTax,M$5,OverDate,"&lt;"&amp;DATE(YEAR($AC7),MONTH($AC7)+1,1),OverEnd,"&gt;="&amp;DATE(YEAR($AC7),MONTH($AC7),1))&gt;0,SUMIFS(OverValue,OverEmp,$C7,OverTax,M$5,OverDate,"&lt;"&amp;DATE(YEAR($AC7),MONTH($AC7)+1,1),OverEnd,"&gt;="&amp;DATE(YEAR($AC7),MONTH($AC7),1)),(($BA7/12*$AA7)+(BB7*IF(1-$BC7=0,0,BD7/(1-$BC7))))-IF($F7="Terminated",0,SUMIFS(PayTaxDeduct,PayDate,"&lt;"&amp;$AC7,PayEmp,$C7)))</f>
        <v>45611.833333333336</v>
      </c>
      <c r="N7" s="133" cm="1">
        <f t="array" aca="1" ref="N7" ca="1">IF($F7="Terminated",0,IF($AA7=0,0,IF(ISNA(MATCH(N$5,DedListItem,0)),0,IF(COUNTIFS(OverEmp,$C7,OverDeduct,N$5,OverDate,"&lt;"&amp;DATE(YEAR($AC7),MONTH($AC7)+1,1),OverEnd,"&gt;="&amp;DATE(YEAR($AC7),MONTH($AC7),1))&gt;0,SUMIFS(OverValue,OverEmp,$C7,OverDeduct,N$5,OverDate,"&lt;"&amp;DATE(YEAR($AC7),MONTH($AC7)+1,1),OverEnd,"&gt;="&amp;DATE(YEAR($AC7),MONTH($AC7),1)),IF(OR(N$2="Fixed",N$2="Not Used"),(IF(COUNTIFS(EmpNo,$C7,OFFSET(Emp!$R$4,1,MATCH(N$5,DedListItem,0)-1,EmpCount,1),"&lt;&gt;")&gt;0,VLOOKUP($C7,EmpAll,COLUMN(Emp!$R$4)+MATCH(N$5,DedListItem,0)-1,0),OFFSET(Setup!$E$73,MATCH(N$5,DedListItem,0),0,1,1))*$AA7)-SUMIFS(OFFSET(N$6,1,0,PayCount,1),PayDate,"&lt;"&amp;$AC7,PayEmp,$C7),IF(ISNA(MATCH(N$2,EarnListItem,0))=FALSE,IF(OFFSET(Setup!$G$73,MATCH(N$5,DedListItem,0),0,1,1)="Taxable",SUMPRODUCT((PayEmp=$C7)*(PayDate&lt;=$AC7)*(PayEarnCode=N$2)*(PayEarnTax)*(PayEarnValues)),SUMPRODUCT((PayEmp=$C7)*(PayDate&lt;=$AC7)*(PayEarnCode=N$2)*(PayEarnValues)))*IF(COUNTIFS(EmpNo,$C7,OFFSET(Emp!$R$4,1,MATCH(N$5,DedListItem,0)-1,EmpCount,1),"&lt;&gt;")&gt;0,VLOOKUP($C7,EmpAll,COLUMN(Emp!$R$4)+MATCH(N$5,DedListItem,0)-1,0),OFFSET(Setup!$E$73,MATCH(N$5,DedListItem,0),0,1,1)),(MIN(IF(OFFSET(Setup!$G$73,MATCH(N$5,DedListItem,0),0,1,1)="Taxable",SUMPRODUCT((PayEmp=$C7)*(PayDate&lt;=$AC7)*(ISERROR(SEARCH(PayEarnCode,N$4)))*(PayEarnTax)*(PayEarnValues)),SUMPRODUCT((PayEmp=$C7)*(PayDate&lt;=$AC7)*(ISERROR(SEARCH(PayEarnCode,N$4)))*(PayEarnValues))),IF(ISNUMBER(N$3),N$3/12*$AA7,IgnoreMin)))*IF(COUNTIFS(EmpNo,$C7,OFFSET(Emp!$R$4,1,MATCH(N$5,DedListItem,0)-1,EmpCount,1),"&lt;&gt;")&gt;0,VLOOKUP($C7,EmpAll,COLUMN(Emp!$R$4)+MATCH(N$5,DedListItem,0)-1,0),OFFSET(Setup!$E$73,MATCH(N$5,DedListItem,0),0,1,1)))-SUMIFS(OFFSET(N$6,1,0,PayCount,1),PayDate,"&lt;"&amp;$AC7,PayEmp,$C7))))))</f>
        <v>177.12</v>
      </c>
      <c r="O7" s="133" cm="1">
        <f t="array" aca="1" ref="O7" ca="1">IF($F7="Terminated",0,IF($AA7=0,0,IF(ISNA(MATCH(O$5,DedListItem,0)),0,IF(COUNTIFS(OverEmp,$C7,OverDeduct,O$5,OverDate,"&lt;"&amp;DATE(YEAR($AC7),MONTH($AC7)+1,1),OverEnd,"&gt;="&amp;DATE(YEAR($AC7),MONTH($AC7),1))&gt;0,SUMIFS(OverValue,OverEmp,$C7,OverDeduct,O$5,OverDate,"&lt;"&amp;DATE(YEAR($AC7),MONTH($AC7)+1,1),OverEnd,"&gt;="&amp;DATE(YEAR($AC7),MONTH($AC7),1)),IF(OR(O$2="Fixed",O$2="Not Used"),(IF(COUNTIFS(EmpNo,$C7,OFFSET(Emp!$R$4,1,MATCH(O$5,DedListItem,0)-1,EmpCount,1),"&lt;&gt;")&gt;0,VLOOKUP($C7,EmpAll,COLUMN(Emp!$R$4)+MATCH(O$5,DedListItem,0)-1,0),OFFSET(Setup!$E$73,MATCH(O$5,DedListItem,0),0,1,1))*$AA7)-SUMIFS(OFFSET(O$6,1,0,PayCount,1),PayDate,"&lt;"&amp;$AC7,PayEmp,$C7),IF(ISNA(MATCH(O$2,EarnListItem,0))=FALSE,IF(OFFSET(Setup!$G$73,MATCH(O$5,DedListItem,0),0,1,1)="Taxable",SUMPRODUCT((PayEmp=$C7)*(PayDate&lt;=$AC7)*(PayEarnCode=O$2)*(PayEarnTax)*(PayEarnValues)),SUMPRODUCT((PayEmp=$C7)*(PayDate&lt;=$AC7)*(PayEarnCode=O$2)*(PayEarnValues)))*IF(COUNTIFS(EmpNo,$C7,OFFSET(Emp!$R$4,1,MATCH(O$5,DedListItem,0)-1,EmpCount,1),"&lt;&gt;")&gt;0,VLOOKUP($C7,EmpAll,COLUMN(Emp!$R$4)+MATCH(O$5,DedListItem,0)-1,0),OFFSET(Setup!$E$73,MATCH(O$5,DedListItem,0),0,1,1)),(MIN(IF(OFFSET(Setup!$G$73,MATCH(O$5,DedListItem,0),0,1,1)="Taxable",SUMPRODUCT((PayEmp=$C7)*(PayDate&lt;=$AC7)*(ISERROR(SEARCH(PayEarnCode,O$4)))*(PayEarnTax)*(PayEarnValues)),SUMPRODUCT((PayEmp=$C7)*(PayDate&lt;=$AC7)*(ISERROR(SEARCH(PayEarnCode,O$4)))*(PayEarnValues))),IF(ISNUMBER(O$3),O$3/12*$AA7,IgnoreMin)))*IF(COUNTIFS(EmpNo,$C7,OFFSET(Emp!$R$4,1,MATCH(O$5,DedListItem,0)-1,EmpCount,1),"&lt;&gt;")&gt;0,VLOOKUP($C7,EmpAll,COLUMN(Emp!$R$4)+MATCH(O$5,DedListItem,0)-1,0),OFFSET(Setup!$E$73,MATCH(O$5,DedListItem,0),0,1,1)))-SUMIFS(OFFSET(O$6,1,0,PayCount,1),PayDate,"&lt;"&amp;$AC7,PayEmp,$C7))))))</f>
        <v>11250</v>
      </c>
      <c r="P7" s="133" cm="1">
        <f t="array" aca="1" ref="P7" ca="1">IF($F7="Terminated",0,IF($AA7=0,0,IF(ISNA(MATCH(P$5,DedListItem,0)),0,IF(COUNTIFS(OverEmp,$C7,OverDeduct,P$5,OverDate,"&lt;"&amp;DATE(YEAR($AC7),MONTH($AC7)+1,1),OverEnd,"&gt;="&amp;DATE(YEAR($AC7),MONTH($AC7),1))&gt;0,SUMIFS(OverValue,OverEmp,$C7,OverDeduct,P$5,OverDate,"&lt;"&amp;DATE(YEAR($AC7),MONTH($AC7)+1,1),OverEnd,"&gt;="&amp;DATE(YEAR($AC7),MONTH($AC7),1)),IF(OR(P$2="Fixed",P$2="Not Used"),(IF(COUNTIFS(EmpNo,$C7,OFFSET(Emp!$R$4,1,MATCH(P$5,DedListItem,0)-1,EmpCount,1),"&lt;&gt;")&gt;0,VLOOKUP($C7,EmpAll,COLUMN(Emp!$R$4)+MATCH(P$5,DedListItem,0)-1,0),OFFSET(Setup!$E$73,MATCH(P$5,DedListItem,0),0,1,1))*$AA7)-SUMIFS(OFFSET(P$6,1,0,PayCount,1),PayDate,"&lt;"&amp;$AC7,PayEmp,$C7),IF(ISNA(MATCH(P$2,EarnListItem,0))=FALSE,IF(OFFSET(Setup!$G$73,MATCH(P$5,DedListItem,0),0,1,1)="Taxable",SUMPRODUCT((PayEmp=$C7)*(PayDate&lt;=$AC7)*(PayEarnCode=P$2)*(PayEarnTax)*(PayEarnValues)),SUMPRODUCT((PayEmp=$C7)*(PayDate&lt;=$AC7)*(PayEarnCode=P$2)*(PayEarnValues)))*IF(COUNTIFS(EmpNo,$C7,OFFSET(Emp!$R$4,1,MATCH(P$5,DedListItem,0)-1,EmpCount,1),"&lt;&gt;")&gt;0,VLOOKUP($C7,EmpAll,COLUMN(Emp!$R$4)+MATCH(P$5,DedListItem,0)-1,0),OFFSET(Setup!$E$73,MATCH(P$5,DedListItem,0),0,1,1)),(MIN(IF(OFFSET(Setup!$G$73,MATCH(P$5,DedListItem,0),0,1,1)="Taxable",SUMPRODUCT((PayEmp=$C7)*(PayDate&lt;=$AC7)*(ISERROR(SEARCH(PayEarnCode,P$4)))*(PayEarnTax)*(PayEarnValues)),SUMPRODUCT((PayEmp=$C7)*(PayDate&lt;=$AC7)*(ISERROR(SEARCH(PayEarnCode,P$4)))*(PayEarnValues))),IF(ISNUMBER(P$3),P$3/12*$AA7,IgnoreMin)))*IF(COUNTIFS(EmpNo,$C7,OFFSET(Emp!$R$4,1,MATCH(P$5,DedListItem,0)-1,EmpCount,1),"&lt;&gt;")&gt;0,VLOOKUP($C7,EmpAll,COLUMN(Emp!$R$4)+MATCH(P$5,DedListItem,0)-1,0),OFFSET(Setup!$E$73,MATCH(P$5,DedListItem,0),0,1,1)))-SUMIFS(OFFSET(P$6,1,0,PayCount,1),PayDate,"&lt;"&amp;$AC7,PayEmp,$C7))))))</f>
        <v>0</v>
      </c>
      <c r="Q7" s="133" cm="1">
        <f t="array" aca="1" ref="Q7" ca="1">IF($F7="Terminated",0,IF($AA7=0,0,IF(ISNA(MATCH(Q$5,DedListItem,0)),0,IF(COUNTIFS(OverEmp,$C7,OverDeduct,Q$5,OverDate,"&lt;"&amp;DATE(YEAR($AC7),MONTH($AC7)+1,1),OverEnd,"&gt;="&amp;DATE(YEAR($AC7),MONTH($AC7),1))&gt;0,SUMIFS(OverValue,OverEmp,$C7,OverDeduct,Q$5,OverDate,"&lt;"&amp;DATE(YEAR($AC7),MONTH($AC7)+1,1),OverEnd,"&gt;="&amp;DATE(YEAR($AC7),MONTH($AC7),1)),IF(OR(Q$2="Fixed",Q$2="Not Used"),(IF(COUNTIFS(EmpNo,$C7,OFFSET(Emp!$R$4,1,MATCH(Q$5,DedListItem,0)-1,EmpCount,1),"&lt;&gt;")&gt;0,VLOOKUP($C7,EmpAll,COLUMN(Emp!$R$4)+MATCH(Q$5,DedListItem,0)-1,0),OFFSET(Setup!$E$73,MATCH(Q$5,DedListItem,0),0,1,1))*$AA7)-SUMIFS(OFFSET(Q$6,1,0,PayCount,1),PayDate,"&lt;"&amp;$AC7,PayEmp,$C7),IF(ISNA(MATCH(Q$2,EarnListItem,0))=FALSE,IF(OFFSET(Setup!$G$73,MATCH(Q$5,DedListItem,0),0,1,1)="Taxable",SUMPRODUCT((PayEmp=$C7)*(PayDate&lt;=$AC7)*(PayEarnCode=Q$2)*(PayEarnTax)*(PayEarnValues)),SUMPRODUCT((PayEmp=$C7)*(PayDate&lt;=$AC7)*(PayEarnCode=Q$2)*(PayEarnValues)))*IF(COUNTIFS(EmpNo,$C7,OFFSET(Emp!$R$4,1,MATCH(Q$5,DedListItem,0)-1,EmpCount,1),"&lt;&gt;")&gt;0,VLOOKUP($C7,EmpAll,COLUMN(Emp!$R$4)+MATCH(Q$5,DedListItem,0)-1,0),OFFSET(Setup!$E$73,MATCH(Q$5,DedListItem,0),0,1,1)),(MIN(IF(OFFSET(Setup!$G$73,MATCH(Q$5,DedListItem,0),0,1,1)="Taxable",SUMPRODUCT((PayEmp=$C7)*(PayDate&lt;=$AC7)*(ISERROR(SEARCH(PayEarnCode,Q$4)))*(PayEarnTax)*(PayEarnValues)),SUMPRODUCT((PayEmp=$C7)*(PayDate&lt;=$AC7)*(ISERROR(SEARCH(PayEarnCode,Q$4)))*(PayEarnValues))),IF(ISNUMBER(Q$3),Q$3/12*$AA7,IgnoreMin)))*IF(COUNTIFS(EmpNo,$C7,OFFSET(Emp!$R$4,1,MATCH(Q$5,DedListItem,0)-1,EmpCount,1),"&lt;&gt;")&gt;0,VLOOKUP($C7,EmpAll,COLUMN(Emp!$R$4)+MATCH(Q$5,DedListItem,0)-1,0),OFFSET(Setup!$E$73,MATCH(Q$5,DedListItem,0),0,1,1)))-SUMIFS(OFFSET(Q$6,1,0,PayCount,1),PayDate,"&lt;"&amp;$AC7,PayEmp,$C7))))))</f>
        <v>0</v>
      </c>
      <c r="R7" s="133">
        <f t="shared" ref="R7:R38" ca="1" si="1">SUM(OFFSET(M7,0,0,1,COLUMN($R$6)-COLUMN($M$6)))</f>
        <v>57038.953333333338</v>
      </c>
      <c r="S7" s="133">
        <f t="shared" ref="S7:S38" ca="1" si="2">ROUND(SUM(L7,-R7),2)</f>
        <v>92961.05</v>
      </c>
      <c r="T7" s="133" cm="1">
        <f t="array" aca="1" ref="T7" ca="1">IF($F7="Terminated",0,IF($AA7=0,0,IF(ISNA(MATCH(T$5,CompListItem,0)),0,IF(COUNTIFS(OverEmp,$C7,OverComp,T$5,OverDate,"&lt;"&amp;DATE(YEAR($AC7),MONTH($AC7)+1,1),OverEnd,"&gt;="&amp;DATE(YEAR($AC7),MONTH($AC7),1))&gt;0,SUMIFS(OverValue,OverEmp,$C7,OverComp,T$5,OverDate,"&lt;"&amp;DATE(YEAR($AC7),MONTH($AC7)+1,1),OverEnd,"&gt;="&amp;DATE(YEAR($AC7),MONTH($AC7),1)),IF(OR(T$2="Fixed",T$2="Not Used"),(OFFSET(Setup!$E$81,MATCH(T$5,CompListItem,0),0,1,1)*$AA7)-SUMIFS(OFFSET(T$6,1,0,PayCount,1),PayDate,"&lt;"&amp;$AC7,PayEmp,$C7),IF(ISNA(MATCH(T$2,DedListItem,0))=FALSE,(SUMPRODUCT((PayEmp=$C7)*(PayDate&lt;=$AC7)*(PayDedList=T$2)*(PayDedValues))*OFFSET(Setup!$E$81,MATCH(T$5,CompListItem,0),0,1,1))-SUMIFS(OFFSET(T$6,1,0,PayCount,1),PayDate,"&lt;"&amp;$AC7,PayEmp,$C7),(MIN(IF(OFFSET(Setup!$G$81,MATCH(T$5,CompListItem,0),0,1,1)="Taxable",SUMPRODUCT((PayEmp=$C7)*(PayDate&lt;=$AC7)*(ISERROR(SEARCH(PayEarnCode,T$4)))*(PayEarnTax)*(PayEarnValues)),SUMPRODUCT((PayEmp=$C7)*(PayDate&lt;=$AC7)*(ISERROR(SEARCH(PayEarnCode,T$4)))*(PayEarnValues))),IF(ISNUMBER(T$3),T$3/12*$AA7,IgnoreMin)))*OFFSET(Setup!$E$81,MATCH(T$5,CompListItem,0),0,1,1)-SUMIFS(OFFSET(T$6,1,0,PayCount,1),PayDate,"&lt;"&amp;$AC7,PayEmp,$C7)))))))</f>
        <v>177.12</v>
      </c>
      <c r="U7" s="133" cm="1">
        <f t="array" aca="1" ref="U7" ca="1">IF($F7="Terminated",0,IF($AA7=0,0,IF(ISNA(MATCH(U$5,CompListItem,0)),0,IF(COUNTIFS(OverEmp,$C7,OverComp,U$5,OverDate,"&lt;"&amp;DATE(YEAR($AC7),MONTH($AC7)+1,1),OverEnd,"&gt;="&amp;DATE(YEAR($AC7),MONTH($AC7),1))&gt;0,SUMIFS(OverValue,OverEmp,$C7,OverComp,U$5,OverDate,"&lt;"&amp;DATE(YEAR($AC7),MONTH($AC7)+1,1),OverEnd,"&gt;="&amp;DATE(YEAR($AC7),MONTH($AC7),1)),IF(OR(U$2="Fixed",U$2="Not Used"),(OFFSET(Setup!$E$81,MATCH(U$5,CompListItem,0),0,1,1)*$AA7)-SUMIFS(OFFSET(U$6,1,0,PayCount,1),PayDate,"&lt;"&amp;$AC7,PayEmp,$C7),IF(ISNA(MATCH(U$2,DedListItem,0))=FALSE,(SUMPRODUCT((PayEmp=$C7)*(PayDate&lt;=$AC7)*(PayDedList=U$2)*(PayDedValues))*OFFSET(Setup!$E$81,MATCH(U$5,CompListItem,0),0,1,1))-SUMIFS(OFFSET(U$6,1,0,PayCount,1),PayDate,"&lt;"&amp;$AC7,PayEmp,$C7),(MIN(IF(OFFSET(Setup!$G$81,MATCH(U$5,CompListItem,0),0,1,1)="Taxable",SUMPRODUCT((PayEmp=$C7)*(PayDate&lt;=$AC7)*(ISERROR(SEARCH(PayEarnCode,U$4)))*(PayEarnTax)*(PayEarnValues)),SUMPRODUCT((PayEmp=$C7)*(PayDate&lt;=$AC7)*(ISERROR(SEARCH(PayEarnCode,U$4)))*(PayEarnValues))),IF(ISNUMBER(U$3),U$3/12*$AA7,IgnoreMin)))*OFFSET(Setup!$E$81,MATCH(U$5,CompListItem,0),0,1,1)-SUMIFS(OFFSET(U$6,1,0,PayCount,1),PayDate,"&lt;"&amp;$AC7,PayEmp,$C7)))))))</f>
        <v>1500</v>
      </c>
      <c r="V7" s="133" cm="1">
        <f t="array" aca="1" ref="V7" ca="1">IF($F7="Terminated",0,IF($AA7=0,0,IF(ISNA(MATCH(V$5,CompListItem,0)),0,IF(COUNTIFS(OverEmp,$C7,OverComp,V$5,OverDate,"&lt;"&amp;DATE(YEAR($AC7),MONTH($AC7)+1,1),OverEnd,"&gt;="&amp;DATE(YEAR($AC7),MONTH($AC7),1))&gt;0,SUMIFS(OverValue,OverEmp,$C7,OverComp,V$5,OverDate,"&lt;"&amp;DATE(YEAR($AC7),MONTH($AC7)+1,1),OverEnd,"&gt;="&amp;DATE(YEAR($AC7),MONTH($AC7),1)),IF(OR(V$2="Fixed",V$2="Not Used"),(OFFSET(Setup!$E$81,MATCH(V$5,CompListItem,0),0,1,1)*$AA7)-SUMIFS(OFFSET(V$6,1,0,PayCount,1),PayDate,"&lt;"&amp;$AC7,PayEmp,$C7),IF(ISNA(MATCH(V$2,DedListItem,0))=FALSE,(SUMPRODUCT((PayEmp=$C7)*(PayDate&lt;=$AC7)*(PayDedList=V$2)*(PayDedValues))*OFFSET(Setup!$E$81,MATCH(V$5,CompListItem,0),0,1,1))-SUMIFS(OFFSET(V$6,1,0,PayCount,1),PayDate,"&lt;"&amp;$AC7,PayEmp,$C7),(MIN(IF(OFFSET(Setup!$G$81,MATCH(V$5,CompListItem,0),0,1,1)="Taxable",SUMPRODUCT((PayEmp=$C7)*(PayDate&lt;=$AC7)*(ISERROR(SEARCH(PayEarnCode,V$4)))*(PayEarnTax)*(PayEarnValues)),SUMPRODUCT((PayEmp=$C7)*(PayDate&lt;=$AC7)*(ISERROR(SEARCH(PayEarnCode,V$4)))*(PayEarnValues))),IF(ISNUMBER(V$3),V$3/12*$AA7,IgnoreMin)))*OFFSET(Setup!$E$81,MATCH(V$5,CompListItem,0),0,1,1)-SUMIFS(OFFSET(V$6,1,0,PayCount,1),PayDate,"&lt;"&amp;$AC7,PayEmp,$C7)))))))</f>
        <v>0</v>
      </c>
      <c r="W7" s="133" cm="1">
        <f t="array" aca="1" ref="W7" ca="1">IF($F7="Terminated",0,IF($AA7=0,0,IF(ISNA(MATCH(W$5,CompListItem,0)),0,IF(COUNTIFS(OverEmp,$C7,OverComp,W$5,OverDate,"&lt;"&amp;DATE(YEAR($AC7),MONTH($AC7)+1,1),OverEnd,"&gt;="&amp;DATE(YEAR($AC7),MONTH($AC7),1))&gt;0,SUMIFS(OverValue,OverEmp,$C7,OverComp,W$5,OverDate,"&lt;"&amp;DATE(YEAR($AC7),MONTH($AC7)+1,1),OverEnd,"&gt;="&amp;DATE(YEAR($AC7),MONTH($AC7),1)),IF(OR(W$2="Fixed",W$2="Not Used"),(OFFSET(Setup!$E$81,MATCH(W$5,CompListItem,0),0,1,1)*$AA7)-SUMIFS(OFFSET(W$6,1,0,PayCount,1),PayDate,"&lt;"&amp;$AC7,PayEmp,$C7),IF(ISNA(MATCH(W$2,DedListItem,0))=FALSE,(SUMPRODUCT((PayEmp=$C7)*(PayDate&lt;=$AC7)*(PayDedList=W$2)*(PayDedValues))*OFFSET(Setup!$E$81,MATCH(W$5,CompListItem,0),0,1,1))-SUMIFS(OFFSET(W$6,1,0,PayCount,1),PayDate,"&lt;"&amp;$AC7,PayEmp,$C7),(MIN(IF(OFFSET(Setup!$G$81,MATCH(W$5,CompListItem,0),0,1,1)="Taxable",SUMPRODUCT((PayEmp=$C7)*(PayDate&lt;=$AC7)*(ISERROR(SEARCH(PayEarnCode,W$4)))*(PayEarnTax)*(PayEarnValues)),SUMPRODUCT((PayEmp=$C7)*(PayDate&lt;=$AC7)*(ISERROR(SEARCH(PayEarnCode,W$4)))*(PayEarnValues))),IF(ISNUMBER(W$3),W$3/12*$AA7,IgnoreMin)))*OFFSET(Setup!$E$81,MATCH(W$5,CompListItem,0),0,1,1)-SUMIFS(OFFSET(W$6,1,0,PayCount,1),PayDate,"&lt;"&amp;$AC7,PayEmp,$C7)))))))</f>
        <v>0</v>
      </c>
      <c r="X7" s="133">
        <f t="shared" ref="X7:X36" ca="1" si="3">SUM(OFFSET($T7,0,0,1,COLUMN($X$6)-COLUMN($T$7)))</f>
        <v>1677.12</v>
      </c>
      <c r="Y7" s="133">
        <f t="shared" ref="Y7:Y38" ca="1" si="4">L7+X7</f>
        <v>151677.12</v>
      </c>
      <c r="Z7" s="133">
        <f t="shared" ref="Z7:Z36" ca="1" si="5">ROUND(SUM(R7,X7),2)</f>
        <v>58716.07</v>
      </c>
      <c r="AA7" s="183">
        <f ca="1">IF(OR($B7&lt;=Setup!$E$12,$B7&gt;=Setup!$D$12+1),0,IF($F7&lt;&gt;"Active",0,IF($AE7="Yes",$AB7,((YEAR($AC7)*12)+MONTH($AC7))-((YEAR($AD7)*12)+MONTH($AD7)-1))))</f>
        <v>1</v>
      </c>
      <c r="AB7" s="183">
        <f ca="1">IF(OR($B7&lt;=Setup!$E$12,$B7&gt;=Setup!$D$12+1),0,((YEAR($AC7)*12)+MONTH($AC7))-((YEAR(Setup!$E$12)*12)+MONTH(Setup!$E$12)))</f>
        <v>1</v>
      </c>
      <c r="AC7" s="129">
        <f t="shared" ref="AC7:AC36" ca="1" si="6">DATE(YEAR($B7),MONTH($B7),DAY($B7))</f>
        <v>45010</v>
      </c>
      <c r="AD7" s="184">
        <f ca="1">IF(ISNA(VLOOKUP($C7,EmpAll,COLUMN(Emp!$E$4),0)),$AC7,IF(VLOOKUP($C7,EmpAll,COLUMN(Emp!$E$4),0)&lt;=Setup!$E$12,DATE(YEAR(Setup!$E$12),MONTH(Setup!$E$12)+1,1),VLOOKUP($C7,EmpAll,COLUMN(Emp!$E$4),0)))</f>
        <v>44986</v>
      </c>
      <c r="AE7" s="184" t="str">
        <f ca="1">IF(ISNA(VLOOKUP($C7,EmpAll,COLUMN(Emp!$G$1),0)),"-",IF(VLOOKUP($C7,EmpAll,COLUMN(Emp!$G$1),0)=0,"-",VLOOKUP($C7,EmpAll,COLUMN(Emp!$G$1),0)))</f>
        <v>-</v>
      </c>
      <c r="AF7" s="130">
        <f ca="1">IF(A7=PaySlip!$G$3,1,0)</f>
        <v>0</v>
      </c>
      <c r="AG7" s="130" cm="1">
        <f t="array" aca="1" ref="AG7" ca="1">IF(COUNTIFS(OverEmp,$C7,OverMed,"MED",OverDate,"&lt;"&amp;DATE(YEAR($AC7),MONTH($AC7)+1,1),OverEnd,"&gt;="&amp;DATE(YEAR($AC7),MONTH($AC7),1))&gt;0,SUMIFS(OverValue,OverEmp,$C7,OverMed,"MED",OverDate,"&lt;"&amp;DATE(YEAR($AC7),MONTH($AC7)+1,1),OverEnd,"&gt;="&amp;DATE(YEAR($AC7),MONTH($AC7),1)),IF(ISNA(VLOOKUP($C7,EmpAll,COLUMN(Emp!$N$4),0)),0,VLOOKUP($C7,EmpAll,COLUMN(Emp!$N$4),0)))</f>
        <v>5</v>
      </c>
      <c r="AH7" s="183">
        <f ca="1">VLOOKUP($AG7,MedList,COLUMN(Setup!$C$49),1)</f>
        <v>1466</v>
      </c>
      <c r="AI7" s="183">
        <f t="shared" ref="AI7:AI70" ca="1" si="7">SUMIFS(PayMedDeduct,PayDate,"&lt;"&amp;$AC7,PayEmp,$C7)+$AH7+($AH7*(12-$AA7))</f>
        <v>17592</v>
      </c>
      <c r="AJ7" s="101" t="str">
        <f ca="1">IF(ISNA(VLOOKUP($C7,EmpAll,COLUMN(Emp!$L$4),0)),"None!",VLOOKUP($C7,EmpAll,COLUMN(Emp!$L$4),0))</f>
        <v>A</v>
      </c>
      <c r="AK7" s="147">
        <f t="shared" ref="AK7:AK36" ca="1" si="8">IF(ISNA(VLOOKUP($AJ7,RebateList,4,0)),VLOOKUP("A",RebateList,3,0),VLOOKUP($AJ7,RebateList,4,0))</f>
        <v>17235</v>
      </c>
      <c r="AL7" s="101" t="str">
        <f ca="1">IF(ISNA(VLOOKUP($C7,Employees[],COLUMN(Emp!$M$4),0))=TRUE,"Error!",IF(VLOOKUP($C7,Employees[],COLUMN(Emp!$M$4),0)=0,"Yes",VLOOKUP($C7,Employees[],COLUMN(Emp!$M$4),0)))</f>
        <v>A</v>
      </c>
      <c r="AM7" s="148">
        <f t="shared" ref="AM7:AM70" ca="1" si="9">IF($AA7=0,0,((SUMPRODUCT((PayEmp=$C7)*(PayDate&lt;=$AC7)*(PayEarnType="Monthly")*(PayEarnTax)*(PayEarnValues))/$AA7*12)+(SUMPRODUCT((PayEmp=$C7)*(PayDate&lt;=$AC7)*(PayEarnType="Quarterly")*(PayEarnTax)*(PayEarnValues))/MAX(1,ROUNDDOWN($AB7/3,0))*4)+(SUMPRODUCT((PayEmp=$C7)*(PayDate&lt;=$AC7)*(PayEarnType="Bi-Annual")*(PayEarnTax)*(PayEarnValues))/MAX(1,ROUNDDOWN($AB7/6,0))*2)+(SUMPRODUCT((PayEmp=$C7)*(PayDate&lt;=$AC7)*(PayEarnType="Annual")*(PayEarnTax)*(PayEarnValues)))))</f>
        <v>1800000</v>
      </c>
      <c r="AN7" s="148" cm="1">
        <f t="array" aca="1" ref="AN7" ca="1">-IF($F7="Terminated",0,IF($AA7=0,0,IF(ISNA(MATCH(AN$5,PayDedList,0)),0,MIN(IF(COUNTIFS(OverEmp,$C7,OverDeduct,AN$5,OverDate,"&lt;"&amp;DATE(YEAR($AC7),MONTH($AC7)+1,1),OverEnd,"&gt;="&amp;DATE(YEAR($AC7),MONTH($AC7),1))&gt;0,SUMPRODUCT((PayEmp=$C7)*(PayDate&lt;=$AC7)*(OFFSET($N$6,1,MATCH(AN$5,PayDedList,0)-1,PayCount,1)))/$AA7*12*AN$3,IF(OR(AN$1="Fixed",AN$1="Not Used"),SUMPRODUCT((PayEmp=$C7)*(PayDate&lt;=$AC7)*(OFFSET($N$6,1,MATCH(AN$5,PayDedList,0)-1,PayCount,1)))/$AA7*12*AN$3,IF(ISNA(MATCH(AN$1,EarnListItem,0))=FALSE,SUMPRODUCT((PayEmp=$C7)*(PayDate&lt;=$AC7)*(OFFSET($N$6,1,MATCH(AN$5,PayDedList,0)-1,PayCount,1)))/$AA7*12*AN$3,(MIN(((SUMPRODUCT((PayEmp=$C7)*(PayDate&lt;=$AC7)*(ISERROR(SEARCH(PayEarnCode,AN$2)))*(PayEarnType="Monthly")*(PayEarnValues))/$AA7*12)+(SUMPRODUCT((PayEmp=$C7)*(PayDate&lt;=$AC7)*(ISERROR(SEARCH(PayEarnCode,AN$2)))*(PayEarnType="Quarterly")*(PayEarnValues))/MAX(1,ROUNDDOWN($AB7/3,0))*4)+(SUMPRODUCT((PayEmp=$C7)*(PayDate&lt;=$AC7)*(ISERROR(SEARCH(PayEarnCode,AN$2)))*(PayEarnType="Bi-Annual")*(PayEarnValues))/MAX(1,ROUNDDOWN($AB7/6,0))*2)+(SUMPRODUCT((PayEmp=$C7)*(PayDate&lt;=$AC7)*(ISERROR(SEARCH(PayEarnCode,AN$2)))*(PayEarnType="Annual")*(PayEarnValues)))),IF(ISNUMBER(OFFSET($N$3,0,MATCH(AN$5,PayDedList,0)-1,1,1)),OFFSET($N$3,0,MATCH(AN$5,PayDedList,0)-1,1,1),IgnoreMin)))*IF(COUNTIFS(EmpNo,$C7,OFFSET(Emp!$R$4,1,MATCH(AN$5,DedListItem,0)-1,EmpCount,1),"&lt;&gt;")&gt;0,VLOOKUP($C7,EmpAll,COLUMN(Emp!$R$4)+MATCH(AN$5,DedListItem,0)-1,0),OFFSET(Setup!$E$73,MATCH(AN$5,DedListItem,0),0,1,1))*AN$3))),IF(ISNUMBER(AN$4),AN$4,IgnoreMin)))))</f>
        <v>0</v>
      </c>
      <c r="AO7" s="148" cm="1">
        <f t="array" aca="1" ref="AO7" ca="1">-IF($F7="Terminated",0,IF($AA7=0,0,IF(ISNA(MATCH(AO$5,PayDedList,0)),0,MIN(IF(COUNTIFS(OverEmp,$C7,OverDeduct,AO$5,OverDate,"&lt;"&amp;DATE(YEAR($AC7),MONTH($AC7)+1,1),OverEnd,"&gt;="&amp;DATE(YEAR($AC7),MONTH($AC7),1))&gt;0,SUMPRODUCT((PayEmp=$C7)*(PayDate&lt;=$AC7)*(OFFSET($N$6,1,MATCH(AO$5,PayDedList,0)-1,PayCount,1)))/$AA7*12*AO$3,IF(OR(AO$1="Fixed",AO$1="Not Used"),SUMPRODUCT((PayEmp=$C7)*(PayDate&lt;=$AC7)*(OFFSET($N$6,1,MATCH(AO$5,PayDedList,0)-1,PayCount,1)))/$AA7*12*AO$3,IF(ISNA(MATCH(AO$1,EarnListItem,0))=FALSE,SUMPRODUCT((PayEmp=$C7)*(PayDate&lt;=$AC7)*(OFFSET($N$6,1,MATCH(AO$5,PayDedList,0)-1,PayCount,1)))/$AA7*12*AO$3,(MIN(((SUMPRODUCT((PayEmp=$C7)*(PayDate&lt;=$AC7)*(ISERROR(SEARCH(PayEarnCode,AO$2)))*(PayEarnType="Monthly")*(PayEarnValues))/$AA7*12)+(SUMPRODUCT((PayEmp=$C7)*(PayDate&lt;=$AC7)*(ISERROR(SEARCH(PayEarnCode,AO$2)))*(PayEarnType="Quarterly")*(PayEarnValues))/MAX(1,ROUNDDOWN($AB7/3,0))*4)+(SUMPRODUCT((PayEmp=$C7)*(PayDate&lt;=$AC7)*(ISERROR(SEARCH(PayEarnCode,AO$2)))*(PayEarnType="Bi-Annual")*(PayEarnValues))/MAX(1,ROUNDDOWN($AB7/6,0))*2)+(SUMPRODUCT((PayEmp=$C7)*(PayDate&lt;=$AC7)*(ISERROR(SEARCH(PayEarnCode,AO$2)))*(PayEarnType="Annual")*(PayEarnValues)))),IF(ISNUMBER(OFFSET($N$3,0,MATCH(AO$5,PayDedList,0)-1,1,1)),OFFSET($N$3,0,MATCH(AO$5,PayDedList,0)-1,1,1),IgnoreMin)))*IF(COUNTIFS(EmpNo,$C7,OFFSET(Emp!$R$4,1,MATCH(AO$5,DedListItem,0)-1,EmpCount,1),"&lt;&gt;")&gt;0,VLOOKUP($C7,EmpAll,COLUMN(Emp!$R$4)+MATCH(AO$5,DedListItem,0)-1,0),OFFSET(Setup!$E$73,MATCH(AO$5,DedListItem,0),0,1,1))*AO$3))),IF(ISNUMBER(AO$4),AO$4,IgnoreMin)))))</f>
        <v>-135000</v>
      </c>
      <c r="AP7" s="148" cm="1">
        <f t="array" aca="1" ref="AP7" ca="1">-IF($F7="Terminated",0,IF($AA7=0,0,IF(ISNA(MATCH(AP$5,PayDedList,0)),0,MIN(IF(COUNTIFS(OverEmp,$C7,OverDeduct,AP$5,OverDate,"&lt;"&amp;DATE(YEAR($AC7),MONTH($AC7)+1,1),OverEnd,"&gt;="&amp;DATE(YEAR($AC7),MONTH($AC7),1))&gt;0,SUMPRODUCT((PayEmp=$C7)*(PayDate&lt;=$AC7)*(OFFSET($N$6,1,MATCH(AP$5,PayDedList,0)-1,PayCount,1)))/$AA7*12*AP$3,IF(OR(AP$1="Fixed",AP$1="Not Used"),SUMPRODUCT((PayEmp=$C7)*(PayDate&lt;=$AC7)*(OFFSET($N$6,1,MATCH(AP$5,PayDedList,0)-1,PayCount,1)))/$AA7*12*AP$3,IF(ISNA(MATCH(AP$1,EarnListItem,0))=FALSE,SUMPRODUCT((PayEmp=$C7)*(PayDate&lt;=$AC7)*(OFFSET($N$6,1,MATCH(AP$5,PayDedList,0)-1,PayCount,1)))/$AA7*12*AP$3,(MIN(((SUMPRODUCT((PayEmp=$C7)*(PayDate&lt;=$AC7)*(ISERROR(SEARCH(PayEarnCode,AP$2)))*(PayEarnType="Monthly")*(PayEarnValues))/$AA7*12)+(SUMPRODUCT((PayEmp=$C7)*(PayDate&lt;=$AC7)*(ISERROR(SEARCH(PayEarnCode,AP$2)))*(PayEarnType="Quarterly")*(PayEarnValues))/MAX(1,ROUNDDOWN($AB7/3,0))*4)+(SUMPRODUCT((PayEmp=$C7)*(PayDate&lt;=$AC7)*(ISERROR(SEARCH(PayEarnCode,AP$2)))*(PayEarnType="Bi-Annual")*(PayEarnValues))/MAX(1,ROUNDDOWN($AB7/6,0))*2)+(SUMPRODUCT((PayEmp=$C7)*(PayDate&lt;=$AC7)*(ISERROR(SEARCH(PayEarnCode,AP$2)))*(PayEarnType="Annual")*(PayEarnValues)))),IF(ISNUMBER(OFFSET($N$3,0,MATCH(AP$5,PayDedList,0)-1,1,1)),OFFSET($N$3,0,MATCH(AP$5,PayDedList,0)-1,1,1),IgnoreMin)))*IF(COUNTIFS(EmpNo,$C7,OFFSET(Emp!$R$4,1,MATCH(AP$5,DedListItem,0)-1,EmpCount,1),"&lt;&gt;")&gt;0,VLOOKUP($C7,EmpAll,COLUMN(Emp!$R$4)+MATCH(AP$5,DedListItem,0)-1,0),OFFSET(Setup!$E$73,MATCH(AP$5,DedListItem,0),0,1,1))*AP$3))),IF(ISNUMBER(AP$4),AP$4,IgnoreMin)))))</f>
        <v>0</v>
      </c>
      <c r="AQ7" s="148" cm="1">
        <f t="array" aca="1" ref="AQ7" ca="1">-IF($F7="Terminated",0,IF($AA7=0,0,IF(ISNA(MATCH(AQ$5,PayDedList,0)),0,MIN(IF(COUNTIFS(OverEmp,$C7,OverDeduct,AQ$5,OverDate,"&lt;"&amp;DATE(YEAR($AC7),MONTH($AC7)+1,1),OverEnd,"&gt;="&amp;DATE(YEAR($AC7),MONTH($AC7),1))&gt;0,SUMPRODUCT((PayEmp=$C7)*(PayDate&lt;=$AC7)*(OFFSET($N$6,1,MATCH(AQ$5,PayDedList,0)-1,PayCount,1)))/$AA7*12*AQ$3,IF(OR(AQ$1="Fixed",AQ$1="Not Used"),SUMPRODUCT((PayEmp=$C7)*(PayDate&lt;=$AC7)*(OFFSET($N$6,1,MATCH(AQ$5,PayDedList,0)-1,PayCount,1)))/$AA7*12*AQ$3,IF(ISNA(MATCH(AQ$1,EarnListItem,0))=FALSE,SUMPRODUCT((PayEmp=$C7)*(PayDate&lt;=$AC7)*(OFFSET($N$6,1,MATCH(AQ$5,PayDedList,0)-1,PayCount,1)))/$AA7*12*AQ$3,(MIN(((SUMPRODUCT((PayEmp=$C7)*(PayDate&lt;=$AC7)*(ISERROR(SEARCH(PayEarnCode,AQ$2)))*(PayEarnType="Monthly")*(PayEarnValues))/$AA7*12)+(SUMPRODUCT((PayEmp=$C7)*(PayDate&lt;=$AC7)*(ISERROR(SEARCH(PayEarnCode,AQ$2)))*(PayEarnType="Quarterly")*(PayEarnValues))/MAX(1,ROUNDDOWN($AB7/3,0))*4)+(SUMPRODUCT((PayEmp=$C7)*(PayDate&lt;=$AC7)*(ISERROR(SEARCH(PayEarnCode,AQ$2)))*(PayEarnType="Bi-Annual")*(PayEarnValues))/MAX(1,ROUNDDOWN($AB7/6,0))*2)+(SUMPRODUCT((PayEmp=$C7)*(PayDate&lt;=$AC7)*(ISERROR(SEARCH(PayEarnCode,AQ$2)))*(PayEarnType="Annual")*(PayEarnValues)))),IF(ISNUMBER(OFFSET($N$3,0,MATCH(AQ$5,PayDedList,0)-1,1,1)),OFFSET($N$3,0,MATCH(AQ$5,PayDedList,0)-1,1,1),IgnoreMin)))*IF(COUNTIFS(EmpNo,$C7,OFFSET(Emp!$R$4,1,MATCH(AQ$5,DedListItem,0)-1,EmpCount,1),"&lt;&gt;")&gt;0,VLOOKUP($C7,EmpAll,COLUMN(Emp!$R$4)+MATCH(AQ$5,DedListItem,0)-1,0),OFFSET(Setup!$E$73,MATCH(AQ$5,DedListItem,0),0,1,1))*AQ$3))),IF(ISNUMBER(AQ$4),AQ$4,IgnoreMin)))))</f>
        <v>0</v>
      </c>
      <c r="AR7" s="148">
        <f t="shared" ref="AR7:AR36" ca="1" si="10">$AM7+SUM(OFFSET($AM7,0,1,1,COLUMN($AR$2)-COLUMN($AM$2)-1))</f>
        <v>1665000</v>
      </c>
      <c r="AS7" s="148">
        <f t="shared" ref="AS7:AS70" ca="1" si="11">IF($AA7=0,0,(SUMPRODUCT((PayEmp=$C7)*(PayDate&lt;=$AC7)*(PayEarnType="Monthly")*(PayEarnTax)*(PayEarnValues))/$AA7*12))</f>
        <v>1800000</v>
      </c>
      <c r="AT7" s="148" cm="1">
        <f t="array" aca="1" ref="AT7" ca="1">-IF($F7="Terminated",0,IF($AA7=0,0,IF(ISNA(MATCH(AT$5,PayDedList,0)),0,MIN(IF(COUNTIFS(OverEmp,$C7,OverDeduct,AT$5,OverDate,"&lt;"&amp;DATE(YEAR($AC7),MONTH($AC7)+1,1),OverEnd,"&gt;="&amp;DATE(YEAR($AC7),MONTH($AC7),1))&gt;0,SUMPRODUCT((PayEmp=$C7)*(PayDate&lt;=$AC7)*(OFFSET($N$6,1,MATCH(AT$5,PayDedList,0)-1,PayCount,1)))/$AA7*12*AT$3,IF(OR(AT$1="Fixed",AT$1="Not Used"),SUMPRODUCT((PayEmp=$C7)*(PayDate&lt;=$AC7)*(OFFSET($N$6,1,MATCH(AT$5,PayDedList,0)-1,PayCount,1)))/$AA7*12*AT$3,IF(ISNA(MATCH(OFFSET($N$2,0,MATCH(AT$5,PayDedList,0)-1,1,1),EarnListItem,0))=FALSE,SUMPRODUCT((PayEmp=$C7)*(PayDate&lt;=$AC7)*(OFFSET($N$6,1,MATCH(AT$5,PayDedList,0)-1,PayCount,1)))/$AA7*12*AT$3,(MIN(SUMPRODUCT((PayEmp=$C7)*(PayDate&lt;=$AC7)*(ISERROR(SEARCH(PayEarnCode,AT$2)))*(PayEarnType="Monthly")*(PayEarnValues))/$AA7*12,IF(ISNUMBER(OFFSET($N$3,0,MATCH(AT$5,PayDedList,0)-1,1,1)),OFFSET($N$3,0,MATCH(AT$5,PayDedList,0)-1,1,1),IgnoreMin)))*IF(COUNTIFS(EmpNo,$C7,OFFSET(Emp!$R$4,1,MATCH(AT$5,DedListItem,0)-1,EmpCount,1),"&lt;&gt;")&gt;0,VLOOKUP($C7,EmpAll,COLUMN(Emp!$R$4)+MATCH(AT$5,DedListItem,0)-1,0),OFFSET(Setup!$E$73,MATCH(AT$5,DedListItem,0),0,1,1))*AT$3))),IF(ISNUMBER(AT$4),AT$4,IgnoreMin)))))</f>
        <v>0</v>
      </c>
      <c r="AU7" s="148" cm="1">
        <f t="array" aca="1" ref="AU7" ca="1">-IF($F7="Terminated",0,IF($AA7=0,0,IF(ISNA(MATCH(AU$5,PayDedList,0)),0,MIN(IF(COUNTIFS(OverEmp,$C7,OverDeduct,AU$5,OverDate,"&lt;"&amp;DATE(YEAR($AC7),MONTH($AC7)+1,1),OverEnd,"&gt;="&amp;DATE(YEAR($AC7),MONTH($AC7),1))&gt;0,SUMPRODUCT((PayEmp=$C7)*(PayDate&lt;=$AC7)*(OFFSET($N$6,1,MATCH(AU$5,PayDedList,0)-1,PayCount,1)))/$AA7*12*AU$3,IF(OR(AU$1="Fixed",AU$1="Not Used"),SUMPRODUCT((PayEmp=$C7)*(PayDate&lt;=$AC7)*(OFFSET($N$6,1,MATCH(AU$5,PayDedList,0)-1,PayCount,1)))/$AA7*12*AU$3,IF(ISNA(MATCH(OFFSET($N$2,0,MATCH(AU$5,PayDedList,0)-1,1,1),EarnListItem,0))=FALSE,SUMPRODUCT((PayEmp=$C7)*(PayDate&lt;=$AC7)*(OFFSET($N$6,1,MATCH(AU$5,PayDedList,0)-1,PayCount,1)))/$AA7*12*AU$3,(MIN(SUMPRODUCT((PayEmp=$C7)*(PayDate&lt;=$AC7)*(ISERROR(SEARCH(PayEarnCode,AU$2)))*(PayEarnType="Monthly")*(PayEarnValues))/$AA7*12,IF(ISNUMBER(OFFSET($N$3,0,MATCH(AU$5,PayDedList,0)-1,1,1)),OFFSET($N$3,0,MATCH(AU$5,PayDedList,0)-1,1,1),IgnoreMin)))*IF(COUNTIFS(EmpNo,$C7,OFFSET(Emp!$R$4,1,MATCH(AU$5,DedListItem,0)-1,EmpCount,1),"&lt;&gt;")&gt;0,VLOOKUP($C7,EmpAll,COLUMN(Emp!$R$4)+MATCH(AU$5,DedListItem,0)-1,0),OFFSET(Setup!$E$73,MATCH(AU$5,DedListItem,0),0,1,1))*AU$3))),IF(ISNUMBER(AU$4),AU$4,IgnoreMin)))))</f>
        <v>-135000</v>
      </c>
      <c r="AV7" s="148" cm="1">
        <f t="array" aca="1" ref="AV7" ca="1">-IF($F7="Terminated",0,IF($AA7=0,0,IF(ISNA(MATCH(AV$5,PayDedList,0)),0,MIN(IF(COUNTIFS(OverEmp,$C7,OverDeduct,AV$5,OverDate,"&lt;"&amp;DATE(YEAR($AC7),MONTH($AC7)+1,1),OverEnd,"&gt;="&amp;DATE(YEAR($AC7),MONTH($AC7),1))&gt;0,SUMPRODUCT((PayEmp=$C7)*(PayDate&lt;=$AC7)*(OFFSET($N$6,1,MATCH(AV$5,PayDedList,0)-1,PayCount,1)))/$AA7*12*AV$3,IF(OR(AV$1="Fixed",AV$1="Not Used"),SUMPRODUCT((PayEmp=$C7)*(PayDate&lt;=$AC7)*(OFFSET($N$6,1,MATCH(AV$5,PayDedList,0)-1,PayCount,1)))/$AA7*12*AV$3,IF(ISNA(MATCH(OFFSET($N$2,0,MATCH(AV$5,PayDedList,0)-1,1,1),EarnListItem,0))=FALSE,SUMPRODUCT((PayEmp=$C7)*(PayDate&lt;=$AC7)*(OFFSET($N$6,1,MATCH(AV$5,PayDedList,0)-1,PayCount,1)))/$AA7*12*AV$3,(MIN(SUMPRODUCT((PayEmp=$C7)*(PayDate&lt;=$AC7)*(ISERROR(SEARCH(PayEarnCode,AV$2)))*(PayEarnType="Monthly")*(PayEarnValues))/$AA7*12,IF(ISNUMBER(OFFSET($N$3,0,MATCH(AV$5,PayDedList,0)-1,1,1)),OFFSET($N$3,0,MATCH(AV$5,PayDedList,0)-1,1,1),IgnoreMin)))*IF(COUNTIFS(EmpNo,$C7,OFFSET(Emp!$R$4,1,MATCH(AV$5,DedListItem,0)-1,EmpCount,1),"&lt;&gt;")&gt;0,VLOOKUP($C7,EmpAll,COLUMN(Emp!$R$4)+MATCH(AV$5,DedListItem,0)-1,0),OFFSET(Setup!$E$73,MATCH(AV$5,DedListItem,0),0,1,1))*AV$3))),IF(ISNUMBER(AV$4),AV$4,IgnoreMin)))))</f>
        <v>0</v>
      </c>
      <c r="AW7" s="148" cm="1">
        <f t="array" aca="1" ref="AW7" ca="1">-IF($F7="Terminated",0,IF($AA7=0,0,IF(ISNA(MATCH(AW$5,PayDedList,0)),0,MIN(IF(COUNTIFS(OverEmp,$C7,OverDeduct,AW$5,OverDate,"&lt;"&amp;DATE(YEAR($AC7),MONTH($AC7)+1,1),OverEnd,"&gt;="&amp;DATE(YEAR($AC7),MONTH($AC7),1))&gt;0,SUMPRODUCT((PayEmp=$C7)*(PayDate&lt;=$AC7)*(OFFSET($N$6,1,MATCH(AW$5,PayDedList,0)-1,PayCount,1)))/$AA7*12*AW$3,IF(OR(AW$1="Fixed",AW$1="Not Used"),SUMPRODUCT((PayEmp=$C7)*(PayDate&lt;=$AC7)*(OFFSET($N$6,1,MATCH(AW$5,PayDedList,0)-1,PayCount,1)))/$AA7*12*AW$3,IF(ISNA(MATCH(OFFSET($N$2,0,MATCH(AW$5,PayDedList,0)-1,1,1),EarnListItem,0))=FALSE,SUMPRODUCT((PayEmp=$C7)*(PayDate&lt;=$AC7)*(OFFSET($N$6,1,MATCH(AW$5,PayDedList,0)-1,PayCount,1)))/$AA7*12*AW$3,(MIN(SUMPRODUCT((PayEmp=$C7)*(PayDate&lt;=$AC7)*(ISERROR(SEARCH(PayEarnCode,AW$2)))*(PayEarnType="Monthly")*(PayEarnValues))/$AA7*12,IF(ISNUMBER(OFFSET($N$3,0,MATCH(AW$5,PayDedList,0)-1,1,1)),OFFSET($N$3,0,MATCH(AW$5,PayDedList,0)-1,1,1),IgnoreMin)))*IF(COUNTIFS(EmpNo,$C7,OFFSET(Emp!$R$4,1,MATCH(AW$5,DedListItem,0)-1,EmpCount,1),"&lt;&gt;")&gt;0,VLOOKUP($C7,EmpAll,COLUMN(Emp!$R$4)+MATCH(AW$5,DedListItem,0)-1,0),OFFSET(Setup!$E$73,MATCH(AW$5,DedListItem,0),0,1,1))*AW$3))),IF(ISNUMBER(AW$4),AW$4,IgnoreMin)))))</f>
        <v>0</v>
      </c>
      <c r="AX7" s="148">
        <f t="shared" ref="AX7:AX38" ca="1" si="12">$AS7+SUM(OFFSET($AT7,0,0,1,COLUMN($AX$2)-COLUMN($AT$2)))</f>
        <v>1665000</v>
      </c>
      <c r="AY7" s="148">
        <f t="shared" ref="AY7:AY38" ca="1" si="13">AR7-AX7</f>
        <v>0</v>
      </c>
      <c r="AZ7" s="148">
        <f ca="1">IF(ISNUMBER($AL7),($AR7*$AL7)-$AI7-$AK7,MAX(0,IF($AL7="B",IF($AR7&lt;Setup!$C$32,($AR7*Setup!$D$32)-$AI7-$AK7,(($AR7-VLOOKUP($AR7,TaxAll2,1,1))*OFFSET(Setup!$D$32,MATCH($AR7,TaxBracket2,1),0,1,1))+OFFSET(Setup!$E$31,MATCH($AR7,TaxBracket2,1),0,1,1)-$AI7-$AK7),IF($AR7&lt;Setup!$C$21,($AR7*Setup!$D$21)-$AI7-$AK7,(($AR7-VLOOKUP($AR7,TaxAll1,1,1))*OFFSET(Setup!$D$21,MATCH($AR7,TaxBracket1,1),0,1,1))+OFFSET(Setup!$E$20,MATCH($AR7,TaxBracket1,1),0,1,1)-$AI7-$AK7))))</f>
        <v>547342</v>
      </c>
      <c r="BA7" s="148">
        <f ca="1">IF(ISNUMBER($AL7),($AX7*$AL7)-$AI7-$AK7,MAX(0,IF($AL7="B",IF($AX7&lt;Setup!$C$32,($AX7*Setup!$D$32)-$AI7-$AK7,(($AX7-VLOOKUP($AX7,TaxAll2,1,1))*OFFSET(Setup!$D$32,MATCH($AX7,TaxBracket2,1),0,1,1))+OFFSET(Setup!$E$31,MATCH($AX7,TaxBracket2,1),0,1,1)-$AI7-$AK7),IF($AX7&lt;Setup!$C$21,($AX7*Setup!$D$21)-$AI7-$AK7,(($AX7-VLOOKUP($AX7,TaxAll1,1,1))*OFFSET(Setup!$D$21,MATCH($AX7,TaxBracket1,1),0,1,1))+OFFSET(Setup!$E$20,MATCH($AX7,TaxBracket1,1),0,1,1)-$AI7-$AK7))))</f>
        <v>547342</v>
      </c>
      <c r="BB7" s="148">
        <f t="shared" ref="BB7:BB36" ca="1" si="14">AZ7-BA7</f>
        <v>0</v>
      </c>
      <c r="BC7" s="150">
        <f t="shared" ref="BC7:BC70" ca="1" si="15">IF($AA7=0,0,IF($BE7=0,0,(SUMPRODUCT((PayEmp=$C7)*(PayDate&lt;=$AC7)*(ISERROR(SEARCH(PayEarnCode,O$4)))*(PayEarnType="Monthly")*(PayEarnValues))/$AA7*12)/$BE7))</f>
        <v>1</v>
      </c>
      <c r="BD7" s="150">
        <f t="shared" ref="BD7:BD70" ca="1" si="16">IF($BE7=0,0,(SUMPRODUCT((PayEmp=$C7)*(PayDate&lt;=$AC7)*(ISERROR(SEARCH(PayEarnCode,N$4)))*(PayEarnType="Annual")*(PayEarnValues)))/$BE7)</f>
        <v>0</v>
      </c>
      <c r="BE7" s="148">
        <f t="shared" ref="BE7:BE70" ca="1" si="17">IF($AA7=0,0,((SUMPRODUCT((PayEmp=$C7)*(PayDate&lt;=$AC7)*(ISERROR(SEARCH(PayEarnCode,O$4)))*(PayEarnType="Monthly")*(PayEarnValues))/$AA7*12)+(SUMPRODUCT((PayEmp=$C7)*(PayDate&lt;=$AC7)*(ISERROR(SEARCH(PayEarnCode,N$4)))*(PayEarnType="Annual")*(PayEarnValues)))))</f>
        <v>1800000</v>
      </c>
    </row>
    <row r="8" spans="1:57" ht="16.149999999999999" customHeight="1" x14ac:dyDescent="0.25">
      <c r="A8" s="9" t="str" cm="1">
        <f t="array" aca="1" ref="A8" ca="1">IF(ROW($A8)-ROW($A$6)&gt;EmpCount*12,"-",TEXT($B8,"yyyy")&amp;TEXT($B8,"mm")&amp;"-"&amp;$C8)</f>
        <v>202303-EXS002</v>
      </c>
      <c r="B8" s="129" cm="1">
        <f t="array" aca="1" ref="B8" ca="1">IF(ROW($A8)-ROW($A$6)&gt;EmpCount*12,Setup!$D$12,DATE(YEAR(Setup!$F$12),MONTH(Setup!$F$12)+ROUNDDOWN((ROW($A8)-ROW($A$6)-1)/EmpCount,0),IF(Setup!$C$14&gt;DAY(DATE(YEAR(Setup!$F$12),MONTH(Setup!$F$12)+ROUNDDOWN((ROW($A8)-ROW($A$6)-1)/EmpCount,0)+1,0)),DAY(DATE(YEAR(Setup!$F$12),MONTH(Setup!$F$12)+ROUNDDOWN((ROW($A8)-ROW($A$6)-1)/EmpCount,0)+1,0)),Setup!$C$14)))</f>
        <v>45010</v>
      </c>
      <c r="C8" s="130" t="str" cm="1">
        <f t="array" aca="1" ref="C8" ca="1">IF(ROW($A8)-ROW($A$6)&gt;EmpCount*12,"-",OFFSET(Emp!$A$4,ROW($A8)-ROW($A$6)-IF(ROW($A8)-ROW($A$6)&gt;EmpCount,ROUNDDOWN((ROW($A8)-ROW($A$6)-1)/EmpCount,0)*EmpCount,0),0,1,1))</f>
        <v>EXS002</v>
      </c>
      <c r="D8" s="9" t="str">
        <f ca="1">IF(ISNA(VLOOKUP($C8,EmpAll,COLUMN(Emp!$B$4),0)),"-",VLOOKUP($C8,EmpAll,COLUMN(Emp!$B$4),0))</f>
        <v>Smith F</v>
      </c>
      <c r="E8" s="130" t="str">
        <f ca="1">IF(ISNA(VLOOKUP($C8,EmpAll,COLUMN(Emp!$C$4),0)),"-",VLOOKUP($C8,EmpAll,COLUMN(Emp!$C$4),0))</f>
        <v>M</v>
      </c>
      <c r="F8" s="130" t="str">
        <f ca="1">IF(ISNA(VLOOKUP($C8,EmpAll,COLUMN(Emp!$A$4),0)),"-",IF(AND(VLOOKUP($C8,EmpAll,COLUMN(Emp!$E$4),0)&lt;&gt;0,VLOOKUP($C8,EmpAll,COLUMN(Emp!$E$4),0)&gt;=DATE(YEAR($AC8),MONTH($AC8)+1,0)),"Inactive",IF(AND(VLOOKUP($C8,EmpAll,COLUMN(Emp!$F$4),0)&lt;&gt;0,VLOOKUP($C8,EmpAll,COLUMN(Emp!$F$4),0)&lt;=DATE(YEAR($AC8),MONTH($AC8),0)),"Terminated","Active")))</f>
        <v>Active</v>
      </c>
      <c r="G8" s="133" cm="1">
        <f t="array" aca="1" ref="G8" ca="1">IF($F8&lt;&gt;"Active",0,IF(COUNTIFS(OverEmp,$C8,OverEarn,G$2,OverDate,"&lt;"&amp;DATE(YEAR($AC8),MONTH($AC8)+1,1),OverEnd,"&gt;="&amp;DATE(YEAR($AC8),MONTH($AC8),1))&gt;0,SUMIFS(OverValue,OverEmp,$C8,OverEarn,G$2,OverDate,"&lt;"&amp;DATE(YEAR($AC8),MONTH($AC8)+1,1),OverEnd,"&gt;="&amp;DATE(YEAR($AC8),MONTH($AC8),1)),IF(AND($AC8&gt;=Setup!$E$10,SUMIFS(EmpIncrease,EmpCode,$C8)&gt;0),SUMIFS(EmpIncrease,EmpCode,$C8),SUMIFS(EmpSalary,EmpCode,$C8))))</f>
        <v>120000</v>
      </c>
      <c r="H8" s="133" cm="1">
        <f t="array" aca="1" ref="H8" ca="1">IF($F8&lt;&gt;"Active",0,IF(COUNTIFS(OverEmp,$C8,OverEarn,H$2,OverDate,"&lt;"&amp;DATE(YEAR($AC8),MONTH($AC8)+1,1),OverEnd,"&gt;="&amp;DATE(YEAR($AC8),MONTH($AC8),1))&gt;0,SUMIFS(OverValue,OverEmp,$C8,OverEarn,H$2,OverDate,"&lt;"&amp;DATE(YEAR($AC8),MONTH($AC8)+1,1),OverEnd,"&gt;="&amp;DATE(YEAR($AC8),MONTH($AC8),1)),0))</f>
        <v>0</v>
      </c>
      <c r="I8" s="133" cm="1">
        <f t="array" aca="1" ref="I8" ca="1">IF($F8&lt;&gt;"Active",0,IF(COUNTIFS(OverEmp,$C8,OverEarn,I$2,OverDate,"&lt;"&amp;DATE(YEAR($AC8),MONTH($AC8)+1,1),OverEnd,"&gt;="&amp;DATE(YEAR($AC8),MONTH($AC8),1))&gt;0,SUMIFS(OverValue,OverEmp,$C8,OverEarn,I$2,OverDate,"&lt;"&amp;DATE(YEAR($AC8),MONTH($AC8)+1,1),OverEnd,"&gt;="&amp;DATE(YEAR($AC8),MONTH($AC8),1)),IF(MONTH(B8)=Setup!$C$15,SUMIFS(EmpBonus,EmpCode,$C8),0)))</f>
        <v>0</v>
      </c>
      <c r="J8" s="133" cm="1">
        <f t="array" aca="1" ref="J8" ca="1">IF($F8&lt;&gt;"Active",0,IF(COUNTIFS(OverEmp,$C8,OverEarn,J$2,OverDate,"&lt;"&amp;DATE(YEAR($AC8),MONTH($AC8)+1,1),OverEnd,"&gt;="&amp;DATE(YEAR($AC8),MONTH($AC8),1))&gt;0,SUMIFS(OverValue,OverEmp,$C8,OverEarn,J$2,OverDate,"&lt;"&amp;DATE(YEAR($AC8),MONTH($AC8)+1,1),OverEnd,"&gt;="&amp;DATE(YEAR($AC8),MONTH($AC8),1)),0))</f>
        <v>0</v>
      </c>
      <c r="K8" s="133" cm="1">
        <f t="array" aca="1" ref="K8" ca="1">IF($F8&lt;&gt;"Active",0,IF(COUNTIFS(OverEmp,$C8,OverEarn,K$2,OverDate,"&lt;"&amp;DATE(YEAR($AC8),MONTH($AC8)+1,1),OverEnd,"&gt;="&amp;DATE(YEAR($AC8),MONTH($AC8),1))&gt;0,SUMIFS(OverValue,OverEmp,$C8,OverEarn,K$2,OverDate,"&lt;"&amp;DATE(YEAR($AC8),MONTH($AC8)+1,1),OverEnd,"&gt;="&amp;DATE(YEAR($AC8),MONTH($AC8),1)),0))</f>
        <v>0</v>
      </c>
      <c r="L8" s="133">
        <f t="shared" ca="1" si="0"/>
        <v>120000</v>
      </c>
      <c r="M8" s="182" cm="1">
        <f t="array" aca="1" ref="M8" ca="1">IF(COUNTIFS(OverEmp,$C8,OverTax,M$5,OverDate,"&lt;"&amp;DATE(YEAR($AC8),MONTH($AC8)+1,1),OverEnd,"&gt;="&amp;DATE(YEAR($AC8),MONTH($AC8),1))&gt;0,SUMIFS(OverValue,OverEmp,$C8,OverTax,M$5,OverDate,"&lt;"&amp;DATE(YEAR($AC8),MONTH($AC8)+1,1),OverEnd,"&gt;="&amp;DATE(YEAR($AC8),MONTH($AC8),1)),(($BA8/12*$AA8)+(BB8*IF(1-$BC8=0,0,BD8/(1-$BC8))))-IF($F8="Terminated",0,SUMIFS(PayTaxDeduct,PayDate,"&lt;"&amp;$AC8,PayEmp,$C8)))</f>
        <v>38662.333333333336</v>
      </c>
      <c r="N8" s="133" cm="1">
        <f t="array" aca="1" ref="N8" ca="1">IF($F8="Terminated",0,IF($AA8=0,0,IF(ISNA(MATCH(N$5,DedListItem,0)),0,IF(COUNTIFS(OverEmp,$C8,OverDeduct,N$5,OverDate,"&lt;"&amp;DATE(YEAR($AC8),MONTH($AC8)+1,1),OverEnd,"&gt;="&amp;DATE(YEAR($AC8),MONTH($AC8),1))&gt;0,SUMIFS(OverValue,OverEmp,$C8,OverDeduct,N$5,OverDate,"&lt;"&amp;DATE(YEAR($AC8),MONTH($AC8)+1,1),OverEnd,"&gt;="&amp;DATE(YEAR($AC8),MONTH($AC8),1)),IF(OR(N$2="Fixed",N$2="Not Used"),(IF(COUNTIFS(EmpNo,$C8,OFFSET(Emp!$R$4,1,MATCH(N$5,DedListItem,0)-1,EmpCount,1),"&lt;&gt;")&gt;0,VLOOKUP($C8,EmpAll,COLUMN(Emp!$R$4)+MATCH(N$5,DedListItem,0)-1,0),OFFSET(Setup!$E$73,MATCH(N$5,DedListItem,0),0,1,1))*$AA8)-SUMIFS(OFFSET(N$6,1,0,PayCount,1),PayDate,"&lt;"&amp;$AC8,PayEmp,$C8),IF(ISNA(MATCH(N$2,EarnListItem,0))=FALSE,IF(OFFSET(Setup!$G$73,MATCH(N$5,DedListItem,0),0,1,1)="Taxable",SUMPRODUCT((PayEmp=$C8)*(PayDate&lt;=$AC8)*(PayEarnCode=N$2)*(PayEarnTax)*(PayEarnValues)),SUMPRODUCT((PayEmp=$C8)*(PayDate&lt;=$AC8)*(PayEarnCode=N$2)*(PayEarnValues)))*IF(COUNTIFS(EmpNo,$C8,OFFSET(Emp!$R$4,1,MATCH(N$5,DedListItem,0)-1,EmpCount,1),"&lt;&gt;")&gt;0,VLOOKUP($C8,EmpAll,COLUMN(Emp!$R$4)+MATCH(N$5,DedListItem,0)-1,0),OFFSET(Setup!$E$73,MATCH(N$5,DedListItem,0),0,1,1)),(MIN(IF(OFFSET(Setup!$G$73,MATCH(N$5,DedListItem,0),0,1,1)="Taxable",SUMPRODUCT((PayEmp=$C8)*(PayDate&lt;=$AC8)*(ISERROR(SEARCH(PayEarnCode,N$4)))*(PayEarnTax)*(PayEarnValues)),SUMPRODUCT((PayEmp=$C8)*(PayDate&lt;=$AC8)*(ISERROR(SEARCH(PayEarnCode,N$4)))*(PayEarnValues))),IF(ISNUMBER(N$3),N$3/12*$AA8,IgnoreMin)))*IF(COUNTIFS(EmpNo,$C8,OFFSET(Emp!$R$4,1,MATCH(N$5,DedListItem,0)-1,EmpCount,1),"&lt;&gt;")&gt;0,VLOOKUP($C8,EmpAll,COLUMN(Emp!$R$4)+MATCH(N$5,DedListItem,0)-1,0),OFFSET(Setup!$E$73,MATCH(N$5,DedListItem,0),0,1,1)))-SUMIFS(OFFSET(N$6,1,0,PayCount,1),PayDate,"&lt;"&amp;$AC8,PayEmp,$C8))))))</f>
        <v>177.12</v>
      </c>
      <c r="O8" s="133" cm="1">
        <f t="array" aca="1" ref="O8" ca="1">IF($F8="Terminated",0,IF($AA8=0,0,IF(ISNA(MATCH(O$5,DedListItem,0)),0,IF(COUNTIFS(OverEmp,$C8,OverDeduct,O$5,OverDate,"&lt;"&amp;DATE(YEAR($AC8),MONTH($AC8)+1,1),OverEnd,"&gt;="&amp;DATE(YEAR($AC8),MONTH($AC8),1))&gt;0,SUMIFS(OverValue,OverEmp,$C8,OverDeduct,O$5,OverDate,"&lt;"&amp;DATE(YEAR($AC8),MONTH($AC8)+1,1),OverEnd,"&gt;="&amp;DATE(YEAR($AC8),MONTH($AC8),1)),IF(OR(O$2="Fixed",O$2="Not Used"),(IF(COUNTIFS(EmpNo,$C8,OFFSET(Emp!$R$4,1,MATCH(O$5,DedListItem,0)-1,EmpCount,1),"&lt;&gt;")&gt;0,VLOOKUP($C8,EmpAll,COLUMN(Emp!$R$4)+MATCH(O$5,DedListItem,0)-1,0),OFFSET(Setup!$E$73,MATCH(O$5,DedListItem,0),0,1,1))*$AA8)-SUMIFS(OFFSET(O$6,1,0,PayCount,1),PayDate,"&lt;"&amp;$AC8,PayEmp,$C8),IF(ISNA(MATCH(O$2,EarnListItem,0))=FALSE,IF(OFFSET(Setup!$G$73,MATCH(O$5,DedListItem,0),0,1,1)="Taxable",SUMPRODUCT((PayEmp=$C8)*(PayDate&lt;=$AC8)*(PayEarnCode=O$2)*(PayEarnTax)*(PayEarnValues)),SUMPRODUCT((PayEmp=$C8)*(PayDate&lt;=$AC8)*(PayEarnCode=O$2)*(PayEarnValues)))*IF(COUNTIFS(EmpNo,$C8,OFFSET(Emp!$R$4,1,MATCH(O$5,DedListItem,0)-1,EmpCount,1),"&lt;&gt;")&gt;0,VLOOKUP($C8,EmpAll,COLUMN(Emp!$R$4)+MATCH(O$5,DedListItem,0)-1,0),OFFSET(Setup!$E$73,MATCH(O$5,DedListItem,0),0,1,1)),(MIN(IF(OFFSET(Setup!$G$73,MATCH(O$5,DedListItem,0),0,1,1)="Taxable",SUMPRODUCT((PayEmp=$C8)*(PayDate&lt;=$AC8)*(ISERROR(SEARCH(PayEarnCode,O$4)))*(PayEarnTax)*(PayEarnValues)),SUMPRODUCT((PayEmp=$C8)*(PayDate&lt;=$AC8)*(ISERROR(SEARCH(PayEarnCode,O$4)))*(PayEarnValues))),IF(ISNUMBER(O$3),O$3/12*$AA8,IgnoreMin)))*IF(COUNTIFS(EmpNo,$C8,OFFSET(Emp!$R$4,1,MATCH(O$5,DedListItem,0)-1,EmpCount,1),"&lt;&gt;")&gt;0,VLOOKUP($C8,EmpAll,COLUMN(Emp!$R$4)+MATCH(O$5,DedListItem,0)-1,0),OFFSET(Setup!$E$73,MATCH(O$5,DedListItem,0),0,1,1)))-SUMIFS(OFFSET(O$6,1,0,PayCount,1),PayDate,"&lt;"&amp;$AC8,PayEmp,$C8))))))</f>
        <v>0</v>
      </c>
      <c r="P8" s="133" cm="1">
        <f t="array" aca="1" ref="P8" ca="1">IF($F8="Terminated",0,IF($AA8=0,0,IF(ISNA(MATCH(P$5,DedListItem,0)),0,IF(COUNTIFS(OverEmp,$C8,OverDeduct,P$5,OverDate,"&lt;"&amp;DATE(YEAR($AC8),MONTH($AC8)+1,1),OverEnd,"&gt;="&amp;DATE(YEAR($AC8),MONTH($AC8),1))&gt;0,SUMIFS(OverValue,OverEmp,$C8,OverDeduct,P$5,OverDate,"&lt;"&amp;DATE(YEAR($AC8),MONTH($AC8)+1,1),OverEnd,"&gt;="&amp;DATE(YEAR($AC8),MONTH($AC8),1)),IF(OR(P$2="Fixed",P$2="Not Used"),(IF(COUNTIFS(EmpNo,$C8,OFFSET(Emp!$R$4,1,MATCH(P$5,DedListItem,0)-1,EmpCount,1),"&lt;&gt;")&gt;0,VLOOKUP($C8,EmpAll,COLUMN(Emp!$R$4)+MATCH(P$5,DedListItem,0)-1,0),OFFSET(Setup!$E$73,MATCH(P$5,DedListItem,0),0,1,1))*$AA8)-SUMIFS(OFFSET(P$6,1,0,PayCount,1),PayDate,"&lt;"&amp;$AC8,PayEmp,$C8),IF(ISNA(MATCH(P$2,EarnListItem,0))=FALSE,IF(OFFSET(Setup!$G$73,MATCH(P$5,DedListItem,0),0,1,1)="Taxable",SUMPRODUCT((PayEmp=$C8)*(PayDate&lt;=$AC8)*(PayEarnCode=P$2)*(PayEarnTax)*(PayEarnValues)),SUMPRODUCT((PayEmp=$C8)*(PayDate&lt;=$AC8)*(PayEarnCode=P$2)*(PayEarnValues)))*IF(COUNTIFS(EmpNo,$C8,OFFSET(Emp!$R$4,1,MATCH(P$5,DedListItem,0)-1,EmpCount,1),"&lt;&gt;")&gt;0,VLOOKUP($C8,EmpAll,COLUMN(Emp!$R$4)+MATCH(P$5,DedListItem,0)-1,0),OFFSET(Setup!$E$73,MATCH(P$5,DedListItem,0),0,1,1)),(MIN(IF(OFFSET(Setup!$G$73,MATCH(P$5,DedListItem,0),0,1,1)="Taxable",SUMPRODUCT((PayEmp=$C8)*(PayDate&lt;=$AC8)*(ISERROR(SEARCH(PayEarnCode,P$4)))*(PayEarnTax)*(PayEarnValues)),SUMPRODUCT((PayEmp=$C8)*(PayDate&lt;=$AC8)*(ISERROR(SEARCH(PayEarnCode,P$4)))*(PayEarnValues))),IF(ISNUMBER(P$3),P$3/12*$AA8,IgnoreMin)))*IF(COUNTIFS(EmpNo,$C8,OFFSET(Emp!$R$4,1,MATCH(P$5,DedListItem,0)-1,EmpCount,1),"&lt;&gt;")&gt;0,VLOOKUP($C8,EmpAll,COLUMN(Emp!$R$4)+MATCH(P$5,DedListItem,0)-1,0),OFFSET(Setup!$E$73,MATCH(P$5,DedListItem,0),0,1,1)))-SUMIFS(OFFSET(P$6,1,0,PayCount,1),PayDate,"&lt;"&amp;$AC8,PayEmp,$C8))))))</f>
        <v>0</v>
      </c>
      <c r="Q8" s="133" cm="1">
        <f t="array" aca="1" ref="Q8" ca="1">IF($F8="Terminated",0,IF($AA8=0,0,IF(ISNA(MATCH(Q$5,DedListItem,0)),0,IF(COUNTIFS(OverEmp,$C8,OverDeduct,Q$5,OverDate,"&lt;"&amp;DATE(YEAR($AC8),MONTH($AC8)+1,1),OverEnd,"&gt;="&amp;DATE(YEAR($AC8),MONTH($AC8),1))&gt;0,SUMIFS(OverValue,OverEmp,$C8,OverDeduct,Q$5,OverDate,"&lt;"&amp;DATE(YEAR($AC8),MONTH($AC8)+1,1),OverEnd,"&gt;="&amp;DATE(YEAR($AC8),MONTH($AC8),1)),IF(OR(Q$2="Fixed",Q$2="Not Used"),(IF(COUNTIFS(EmpNo,$C8,OFFSET(Emp!$R$4,1,MATCH(Q$5,DedListItem,0)-1,EmpCount,1),"&lt;&gt;")&gt;0,VLOOKUP($C8,EmpAll,COLUMN(Emp!$R$4)+MATCH(Q$5,DedListItem,0)-1,0),OFFSET(Setup!$E$73,MATCH(Q$5,DedListItem,0),0,1,1))*$AA8)-SUMIFS(OFFSET(Q$6,1,0,PayCount,1),PayDate,"&lt;"&amp;$AC8,PayEmp,$C8),IF(ISNA(MATCH(Q$2,EarnListItem,0))=FALSE,IF(OFFSET(Setup!$G$73,MATCH(Q$5,DedListItem,0),0,1,1)="Taxable",SUMPRODUCT((PayEmp=$C8)*(PayDate&lt;=$AC8)*(PayEarnCode=Q$2)*(PayEarnTax)*(PayEarnValues)),SUMPRODUCT((PayEmp=$C8)*(PayDate&lt;=$AC8)*(PayEarnCode=Q$2)*(PayEarnValues)))*IF(COUNTIFS(EmpNo,$C8,OFFSET(Emp!$R$4,1,MATCH(Q$5,DedListItem,0)-1,EmpCount,1),"&lt;&gt;")&gt;0,VLOOKUP($C8,EmpAll,COLUMN(Emp!$R$4)+MATCH(Q$5,DedListItem,0)-1,0),OFFSET(Setup!$E$73,MATCH(Q$5,DedListItem,0),0,1,1)),(MIN(IF(OFFSET(Setup!$G$73,MATCH(Q$5,DedListItem,0),0,1,1)="Taxable",SUMPRODUCT((PayEmp=$C8)*(PayDate&lt;=$AC8)*(ISERROR(SEARCH(PayEarnCode,Q$4)))*(PayEarnTax)*(PayEarnValues)),SUMPRODUCT((PayEmp=$C8)*(PayDate&lt;=$AC8)*(ISERROR(SEARCH(PayEarnCode,Q$4)))*(PayEarnValues))),IF(ISNUMBER(Q$3),Q$3/12*$AA8,IgnoreMin)))*IF(COUNTIFS(EmpNo,$C8,OFFSET(Emp!$R$4,1,MATCH(Q$5,DedListItem,0)-1,EmpCount,1),"&lt;&gt;")&gt;0,VLOOKUP($C8,EmpAll,COLUMN(Emp!$R$4)+MATCH(Q$5,DedListItem,0)-1,0),OFFSET(Setup!$E$73,MATCH(Q$5,DedListItem,0),0,1,1)))-SUMIFS(OFFSET(Q$6,1,0,PayCount,1),PayDate,"&lt;"&amp;$AC8,PayEmp,$C8))))))</f>
        <v>0</v>
      </c>
      <c r="R8" s="133">
        <f t="shared" ca="1" si="1"/>
        <v>38839.453333333338</v>
      </c>
      <c r="S8" s="133">
        <f t="shared" ca="1" si="2"/>
        <v>81160.55</v>
      </c>
      <c r="T8" s="133" cm="1">
        <f t="array" aca="1" ref="T8" ca="1">IF($F8="Terminated",0,IF($AA8=0,0,IF(ISNA(MATCH(T$5,CompListItem,0)),0,IF(COUNTIFS(OverEmp,$C8,OverComp,T$5,OverDate,"&lt;"&amp;DATE(YEAR($AC8),MONTH($AC8)+1,1),OverEnd,"&gt;="&amp;DATE(YEAR($AC8),MONTH($AC8),1))&gt;0,SUMIFS(OverValue,OverEmp,$C8,OverComp,T$5,OverDate,"&lt;"&amp;DATE(YEAR($AC8),MONTH($AC8)+1,1),OverEnd,"&gt;="&amp;DATE(YEAR($AC8),MONTH($AC8),1)),IF(OR(T$2="Fixed",T$2="Not Used"),(OFFSET(Setup!$E$81,MATCH(T$5,CompListItem,0),0,1,1)*$AA8)-SUMIFS(OFFSET(T$6,1,0,PayCount,1),PayDate,"&lt;"&amp;$AC8,PayEmp,$C8),IF(ISNA(MATCH(T$2,DedListItem,0))=FALSE,(SUMPRODUCT((PayEmp=$C8)*(PayDate&lt;=$AC8)*(PayDedList=T$2)*(PayDedValues))*OFFSET(Setup!$E$81,MATCH(T$5,CompListItem,0),0,1,1))-SUMIFS(OFFSET(T$6,1,0,PayCount,1),PayDate,"&lt;"&amp;$AC8,PayEmp,$C8),(MIN(IF(OFFSET(Setup!$G$81,MATCH(T$5,CompListItem,0),0,1,1)="Taxable",SUMPRODUCT((PayEmp=$C8)*(PayDate&lt;=$AC8)*(ISERROR(SEARCH(PayEarnCode,T$4)))*(PayEarnTax)*(PayEarnValues)),SUMPRODUCT((PayEmp=$C8)*(PayDate&lt;=$AC8)*(ISERROR(SEARCH(PayEarnCode,T$4)))*(PayEarnValues))),IF(ISNUMBER(T$3),T$3/12*$AA8,IgnoreMin)))*OFFSET(Setup!$E$81,MATCH(T$5,CompListItem,0),0,1,1)-SUMIFS(OFFSET(T$6,1,0,PayCount,1),PayDate,"&lt;"&amp;$AC8,PayEmp,$C8)))))))</f>
        <v>177.12</v>
      </c>
      <c r="U8" s="133" cm="1">
        <f t="array" aca="1" ref="U8" ca="1">IF($F8="Terminated",0,IF($AA8=0,0,IF(ISNA(MATCH(U$5,CompListItem,0)),0,IF(COUNTIFS(OverEmp,$C8,OverComp,U$5,OverDate,"&lt;"&amp;DATE(YEAR($AC8),MONTH($AC8)+1,1),OverEnd,"&gt;="&amp;DATE(YEAR($AC8),MONTH($AC8),1))&gt;0,SUMIFS(OverValue,OverEmp,$C8,OverComp,U$5,OverDate,"&lt;"&amp;DATE(YEAR($AC8),MONTH($AC8)+1,1),OverEnd,"&gt;="&amp;DATE(YEAR($AC8),MONTH($AC8),1)),IF(OR(U$2="Fixed",U$2="Not Used"),(OFFSET(Setup!$E$81,MATCH(U$5,CompListItem,0),0,1,1)*$AA8)-SUMIFS(OFFSET(U$6,1,0,PayCount,1),PayDate,"&lt;"&amp;$AC8,PayEmp,$C8),IF(ISNA(MATCH(U$2,DedListItem,0))=FALSE,(SUMPRODUCT((PayEmp=$C8)*(PayDate&lt;=$AC8)*(PayDedList=U$2)*(PayDedValues))*OFFSET(Setup!$E$81,MATCH(U$5,CompListItem,0),0,1,1))-SUMIFS(OFFSET(U$6,1,0,PayCount,1),PayDate,"&lt;"&amp;$AC8,PayEmp,$C8),(MIN(IF(OFFSET(Setup!$G$81,MATCH(U$5,CompListItem,0),0,1,1)="Taxable",SUMPRODUCT((PayEmp=$C8)*(PayDate&lt;=$AC8)*(ISERROR(SEARCH(PayEarnCode,U$4)))*(PayEarnTax)*(PayEarnValues)),SUMPRODUCT((PayEmp=$C8)*(PayDate&lt;=$AC8)*(ISERROR(SEARCH(PayEarnCode,U$4)))*(PayEarnValues))),IF(ISNUMBER(U$3),U$3/12*$AA8,IgnoreMin)))*OFFSET(Setup!$E$81,MATCH(U$5,CompListItem,0),0,1,1)-SUMIFS(OFFSET(U$6,1,0,PayCount,1),PayDate,"&lt;"&amp;$AC8,PayEmp,$C8)))))))</f>
        <v>1200</v>
      </c>
      <c r="V8" s="133" cm="1">
        <f t="array" aca="1" ref="V8" ca="1">IF($F8="Terminated",0,IF($AA8=0,0,IF(ISNA(MATCH(V$5,CompListItem,0)),0,IF(COUNTIFS(OverEmp,$C8,OverComp,V$5,OverDate,"&lt;"&amp;DATE(YEAR($AC8),MONTH($AC8)+1,1),OverEnd,"&gt;="&amp;DATE(YEAR($AC8),MONTH($AC8),1))&gt;0,SUMIFS(OverValue,OverEmp,$C8,OverComp,V$5,OverDate,"&lt;"&amp;DATE(YEAR($AC8),MONTH($AC8)+1,1),OverEnd,"&gt;="&amp;DATE(YEAR($AC8),MONTH($AC8),1)),IF(OR(V$2="Fixed",V$2="Not Used"),(OFFSET(Setup!$E$81,MATCH(V$5,CompListItem,0),0,1,1)*$AA8)-SUMIFS(OFFSET(V$6,1,0,PayCount,1),PayDate,"&lt;"&amp;$AC8,PayEmp,$C8),IF(ISNA(MATCH(V$2,DedListItem,0))=FALSE,(SUMPRODUCT((PayEmp=$C8)*(PayDate&lt;=$AC8)*(PayDedList=V$2)*(PayDedValues))*OFFSET(Setup!$E$81,MATCH(V$5,CompListItem,0),0,1,1))-SUMIFS(OFFSET(V$6,1,0,PayCount,1),PayDate,"&lt;"&amp;$AC8,PayEmp,$C8),(MIN(IF(OFFSET(Setup!$G$81,MATCH(V$5,CompListItem,0),0,1,1)="Taxable",SUMPRODUCT((PayEmp=$C8)*(PayDate&lt;=$AC8)*(ISERROR(SEARCH(PayEarnCode,V$4)))*(PayEarnTax)*(PayEarnValues)),SUMPRODUCT((PayEmp=$C8)*(PayDate&lt;=$AC8)*(ISERROR(SEARCH(PayEarnCode,V$4)))*(PayEarnValues))),IF(ISNUMBER(V$3),V$3/12*$AA8,IgnoreMin)))*OFFSET(Setup!$E$81,MATCH(V$5,CompListItem,0),0,1,1)-SUMIFS(OFFSET(V$6,1,0,PayCount,1),PayDate,"&lt;"&amp;$AC8,PayEmp,$C8)))))))</f>
        <v>0</v>
      </c>
      <c r="W8" s="133" cm="1">
        <f t="array" aca="1" ref="W8" ca="1">IF($F8="Terminated",0,IF($AA8=0,0,IF(ISNA(MATCH(W$5,CompListItem,0)),0,IF(COUNTIFS(OverEmp,$C8,OverComp,W$5,OverDate,"&lt;"&amp;DATE(YEAR($AC8),MONTH($AC8)+1,1),OverEnd,"&gt;="&amp;DATE(YEAR($AC8),MONTH($AC8),1))&gt;0,SUMIFS(OverValue,OverEmp,$C8,OverComp,W$5,OverDate,"&lt;"&amp;DATE(YEAR($AC8),MONTH($AC8)+1,1),OverEnd,"&gt;="&amp;DATE(YEAR($AC8),MONTH($AC8),1)),IF(OR(W$2="Fixed",W$2="Not Used"),(OFFSET(Setup!$E$81,MATCH(W$5,CompListItem,0),0,1,1)*$AA8)-SUMIFS(OFFSET(W$6,1,0,PayCount,1),PayDate,"&lt;"&amp;$AC8,PayEmp,$C8),IF(ISNA(MATCH(W$2,DedListItem,0))=FALSE,(SUMPRODUCT((PayEmp=$C8)*(PayDate&lt;=$AC8)*(PayDedList=W$2)*(PayDedValues))*OFFSET(Setup!$E$81,MATCH(W$5,CompListItem,0),0,1,1))-SUMIFS(OFFSET(W$6,1,0,PayCount,1),PayDate,"&lt;"&amp;$AC8,PayEmp,$C8),(MIN(IF(OFFSET(Setup!$G$81,MATCH(W$5,CompListItem,0),0,1,1)="Taxable",SUMPRODUCT((PayEmp=$C8)*(PayDate&lt;=$AC8)*(ISERROR(SEARCH(PayEarnCode,W$4)))*(PayEarnTax)*(PayEarnValues)),SUMPRODUCT((PayEmp=$C8)*(PayDate&lt;=$AC8)*(ISERROR(SEARCH(PayEarnCode,W$4)))*(PayEarnValues))),IF(ISNUMBER(W$3),W$3/12*$AA8,IgnoreMin)))*OFFSET(Setup!$E$81,MATCH(W$5,CompListItem,0),0,1,1)-SUMIFS(OFFSET(W$6,1,0,PayCount,1),PayDate,"&lt;"&amp;$AC8,PayEmp,$C8)))))))</f>
        <v>0</v>
      </c>
      <c r="X8" s="133">
        <f t="shared" ca="1" si="3"/>
        <v>1377.12</v>
      </c>
      <c r="Y8" s="133">
        <f t="shared" ca="1" si="4"/>
        <v>121377.12</v>
      </c>
      <c r="Z8" s="133">
        <f t="shared" ca="1" si="5"/>
        <v>40216.57</v>
      </c>
      <c r="AA8" s="183">
        <f ca="1">IF(OR($B8&lt;=Setup!$E$12,$B8&gt;=Setup!$D$12+1),0,IF($F8&lt;&gt;"Active",0,IF($AE8="Yes",$AB8,((YEAR($AC8)*12)+MONTH($AC8))-((YEAR($AD8)*12)+MONTH($AD8)-1))))</f>
        <v>1</v>
      </c>
      <c r="AB8" s="183">
        <f ca="1">IF(OR($B8&lt;=Setup!$E$12,$B8&gt;=Setup!$D$12+1),0,((YEAR($AC8)*12)+MONTH($AC8))-((YEAR(Setup!$E$12)*12)+MONTH(Setup!$E$12)))</f>
        <v>1</v>
      </c>
      <c r="AC8" s="129">
        <f t="shared" ca="1" si="6"/>
        <v>45010</v>
      </c>
      <c r="AD8" s="184">
        <f ca="1">IF(ISNA(VLOOKUP($C8,EmpAll,COLUMN(Emp!$E$4),0)),$AC8,IF(VLOOKUP($C8,EmpAll,COLUMN(Emp!$E$4),0)&lt;=Setup!$E$12,DATE(YEAR(Setup!$E$12),MONTH(Setup!$E$12)+1,1),VLOOKUP($C8,EmpAll,COLUMN(Emp!$E$4),0)))</f>
        <v>44986</v>
      </c>
      <c r="AE8" s="184" t="str">
        <f ca="1">IF(ISNA(VLOOKUP($C8,EmpAll,COLUMN(Emp!$G$1),0)),"-",IF(VLOOKUP($C8,EmpAll,COLUMN(Emp!$G$1),0)=0,"-",VLOOKUP($C8,EmpAll,COLUMN(Emp!$G$1),0)))</f>
        <v>-</v>
      </c>
      <c r="AF8" s="130">
        <f ca="1">IF(A8=PaySlip!$G$3,1,0)</f>
        <v>0</v>
      </c>
      <c r="AG8" s="130" cm="1">
        <f t="array" aca="1" ref="AG8" ca="1">IF(COUNTIFS(OverEmp,$C8,OverMed,"MED",OverDate,"&lt;"&amp;DATE(YEAR($AC8),MONTH($AC8)+1,1),OverEnd,"&gt;="&amp;DATE(YEAR($AC8),MONTH($AC8),1))&gt;0,SUMIFS(OverValue,OverEmp,$C8,OverMed,"MED",OverDate,"&lt;"&amp;DATE(YEAR($AC8),MONTH($AC8)+1,1),OverEnd,"&gt;="&amp;DATE(YEAR($AC8),MONTH($AC8),1)),IF(ISNA(VLOOKUP($C8,EmpAll,COLUMN(Emp!$N$4),0)),0,VLOOKUP($C8,EmpAll,COLUMN(Emp!$N$4),0)))</f>
        <v>2</v>
      </c>
      <c r="AH8" s="183">
        <f ca="1">VLOOKUP($AG8,MedList,COLUMN(Setup!$C$49),1)</f>
        <v>728</v>
      </c>
      <c r="AI8" s="183">
        <f t="shared" ca="1" si="7"/>
        <v>8736</v>
      </c>
      <c r="AJ8" s="101" t="str">
        <f ca="1">IF(ISNA(VLOOKUP($C8,EmpAll,COLUMN(Emp!$L$4),0)),"None!",VLOOKUP($C8,EmpAll,COLUMN(Emp!$L$4),0))</f>
        <v>A</v>
      </c>
      <c r="AK8" s="147">
        <f t="shared" ca="1" si="8"/>
        <v>17235</v>
      </c>
      <c r="AL8" s="101" t="str">
        <f ca="1">IF(ISNA(VLOOKUP($C8,Employees[],COLUMN(Emp!$M$4),0))=TRUE,"Error!",IF(VLOOKUP($C8,Employees[],COLUMN(Emp!$M$4),0)=0,"Yes",VLOOKUP($C8,Employees[],COLUMN(Emp!$M$4),0)))</f>
        <v>A</v>
      </c>
      <c r="AM8" s="148">
        <f t="shared" ca="1" si="9"/>
        <v>1440000</v>
      </c>
      <c r="AN8" s="148" cm="1">
        <f t="array" aca="1" ref="AN8" ca="1">-IF($F8="Terminated",0,IF($AA8=0,0,IF(ISNA(MATCH(AN$5,PayDedList,0)),0,MIN(IF(COUNTIFS(OverEmp,$C8,OverDeduct,AN$5,OverDate,"&lt;"&amp;DATE(YEAR($AC8),MONTH($AC8)+1,1),OverEnd,"&gt;="&amp;DATE(YEAR($AC8),MONTH($AC8),1))&gt;0,SUMPRODUCT((PayEmp=$C8)*(PayDate&lt;=$AC8)*(OFFSET($N$6,1,MATCH(AN$5,PayDedList,0)-1,PayCount,1)))/$AA8*12*AN$3,IF(OR(AN$1="Fixed",AN$1="Not Used"),SUMPRODUCT((PayEmp=$C8)*(PayDate&lt;=$AC8)*(OFFSET($N$6,1,MATCH(AN$5,PayDedList,0)-1,PayCount,1)))/$AA8*12*AN$3,IF(ISNA(MATCH(AN$1,EarnListItem,0))=FALSE,SUMPRODUCT((PayEmp=$C8)*(PayDate&lt;=$AC8)*(OFFSET($N$6,1,MATCH(AN$5,PayDedList,0)-1,PayCount,1)))/$AA8*12*AN$3,(MIN(((SUMPRODUCT((PayEmp=$C8)*(PayDate&lt;=$AC8)*(ISERROR(SEARCH(PayEarnCode,AN$2)))*(PayEarnType="Monthly")*(PayEarnValues))/$AA8*12)+(SUMPRODUCT((PayEmp=$C8)*(PayDate&lt;=$AC8)*(ISERROR(SEARCH(PayEarnCode,AN$2)))*(PayEarnType="Quarterly")*(PayEarnValues))/MAX(1,ROUNDDOWN($AB8/3,0))*4)+(SUMPRODUCT((PayEmp=$C8)*(PayDate&lt;=$AC8)*(ISERROR(SEARCH(PayEarnCode,AN$2)))*(PayEarnType="Bi-Annual")*(PayEarnValues))/MAX(1,ROUNDDOWN($AB8/6,0))*2)+(SUMPRODUCT((PayEmp=$C8)*(PayDate&lt;=$AC8)*(ISERROR(SEARCH(PayEarnCode,AN$2)))*(PayEarnType="Annual")*(PayEarnValues)))),IF(ISNUMBER(OFFSET($N$3,0,MATCH(AN$5,PayDedList,0)-1,1,1)),OFFSET($N$3,0,MATCH(AN$5,PayDedList,0)-1,1,1),IgnoreMin)))*IF(COUNTIFS(EmpNo,$C8,OFFSET(Emp!$R$4,1,MATCH(AN$5,DedListItem,0)-1,EmpCount,1),"&lt;&gt;")&gt;0,VLOOKUP($C8,EmpAll,COLUMN(Emp!$R$4)+MATCH(AN$5,DedListItem,0)-1,0),OFFSET(Setup!$E$73,MATCH(AN$5,DedListItem,0),0,1,1))*AN$3))),IF(ISNUMBER(AN$4),AN$4,IgnoreMin)))))</f>
        <v>0</v>
      </c>
      <c r="AO8" s="148" cm="1">
        <f t="array" aca="1" ref="AO8" ca="1">-IF($F8="Terminated",0,IF($AA8=0,0,IF(ISNA(MATCH(AO$5,PayDedList,0)),0,MIN(IF(COUNTIFS(OverEmp,$C8,OverDeduct,AO$5,OverDate,"&lt;"&amp;DATE(YEAR($AC8),MONTH($AC8)+1,1),OverEnd,"&gt;="&amp;DATE(YEAR($AC8),MONTH($AC8),1))&gt;0,SUMPRODUCT((PayEmp=$C8)*(PayDate&lt;=$AC8)*(OFFSET($N$6,1,MATCH(AO$5,PayDedList,0)-1,PayCount,1)))/$AA8*12*AO$3,IF(OR(AO$1="Fixed",AO$1="Not Used"),SUMPRODUCT((PayEmp=$C8)*(PayDate&lt;=$AC8)*(OFFSET($N$6,1,MATCH(AO$5,PayDedList,0)-1,PayCount,1)))/$AA8*12*AO$3,IF(ISNA(MATCH(AO$1,EarnListItem,0))=FALSE,SUMPRODUCT((PayEmp=$C8)*(PayDate&lt;=$AC8)*(OFFSET($N$6,1,MATCH(AO$5,PayDedList,0)-1,PayCount,1)))/$AA8*12*AO$3,(MIN(((SUMPRODUCT((PayEmp=$C8)*(PayDate&lt;=$AC8)*(ISERROR(SEARCH(PayEarnCode,AO$2)))*(PayEarnType="Monthly")*(PayEarnValues))/$AA8*12)+(SUMPRODUCT((PayEmp=$C8)*(PayDate&lt;=$AC8)*(ISERROR(SEARCH(PayEarnCode,AO$2)))*(PayEarnType="Quarterly")*(PayEarnValues))/MAX(1,ROUNDDOWN($AB8/3,0))*4)+(SUMPRODUCT((PayEmp=$C8)*(PayDate&lt;=$AC8)*(ISERROR(SEARCH(PayEarnCode,AO$2)))*(PayEarnType="Bi-Annual")*(PayEarnValues))/MAX(1,ROUNDDOWN($AB8/6,0))*2)+(SUMPRODUCT((PayEmp=$C8)*(PayDate&lt;=$AC8)*(ISERROR(SEARCH(PayEarnCode,AO$2)))*(PayEarnType="Annual")*(PayEarnValues)))),IF(ISNUMBER(OFFSET($N$3,0,MATCH(AO$5,PayDedList,0)-1,1,1)),OFFSET($N$3,0,MATCH(AO$5,PayDedList,0)-1,1,1),IgnoreMin)))*IF(COUNTIFS(EmpNo,$C8,OFFSET(Emp!$R$4,1,MATCH(AO$5,DedListItem,0)-1,EmpCount,1),"&lt;&gt;")&gt;0,VLOOKUP($C8,EmpAll,COLUMN(Emp!$R$4)+MATCH(AO$5,DedListItem,0)-1,0),OFFSET(Setup!$E$73,MATCH(AO$5,DedListItem,0),0,1,1))*AO$3))),IF(ISNUMBER(AO$4),AO$4,IgnoreMin)))))</f>
        <v>0</v>
      </c>
      <c r="AP8" s="148" cm="1">
        <f t="array" aca="1" ref="AP8" ca="1">-IF($F8="Terminated",0,IF($AA8=0,0,IF(ISNA(MATCH(AP$5,PayDedList,0)),0,MIN(IF(COUNTIFS(OverEmp,$C8,OverDeduct,AP$5,OverDate,"&lt;"&amp;DATE(YEAR($AC8),MONTH($AC8)+1,1),OverEnd,"&gt;="&amp;DATE(YEAR($AC8),MONTH($AC8),1))&gt;0,SUMPRODUCT((PayEmp=$C8)*(PayDate&lt;=$AC8)*(OFFSET($N$6,1,MATCH(AP$5,PayDedList,0)-1,PayCount,1)))/$AA8*12*AP$3,IF(OR(AP$1="Fixed",AP$1="Not Used"),SUMPRODUCT((PayEmp=$C8)*(PayDate&lt;=$AC8)*(OFFSET($N$6,1,MATCH(AP$5,PayDedList,0)-1,PayCount,1)))/$AA8*12*AP$3,IF(ISNA(MATCH(AP$1,EarnListItem,0))=FALSE,SUMPRODUCT((PayEmp=$C8)*(PayDate&lt;=$AC8)*(OFFSET($N$6,1,MATCH(AP$5,PayDedList,0)-1,PayCount,1)))/$AA8*12*AP$3,(MIN(((SUMPRODUCT((PayEmp=$C8)*(PayDate&lt;=$AC8)*(ISERROR(SEARCH(PayEarnCode,AP$2)))*(PayEarnType="Monthly")*(PayEarnValues))/$AA8*12)+(SUMPRODUCT((PayEmp=$C8)*(PayDate&lt;=$AC8)*(ISERROR(SEARCH(PayEarnCode,AP$2)))*(PayEarnType="Quarterly")*(PayEarnValues))/MAX(1,ROUNDDOWN($AB8/3,0))*4)+(SUMPRODUCT((PayEmp=$C8)*(PayDate&lt;=$AC8)*(ISERROR(SEARCH(PayEarnCode,AP$2)))*(PayEarnType="Bi-Annual")*(PayEarnValues))/MAX(1,ROUNDDOWN($AB8/6,0))*2)+(SUMPRODUCT((PayEmp=$C8)*(PayDate&lt;=$AC8)*(ISERROR(SEARCH(PayEarnCode,AP$2)))*(PayEarnType="Annual")*(PayEarnValues)))),IF(ISNUMBER(OFFSET($N$3,0,MATCH(AP$5,PayDedList,0)-1,1,1)),OFFSET($N$3,0,MATCH(AP$5,PayDedList,0)-1,1,1),IgnoreMin)))*IF(COUNTIFS(EmpNo,$C8,OFFSET(Emp!$R$4,1,MATCH(AP$5,DedListItem,0)-1,EmpCount,1),"&lt;&gt;")&gt;0,VLOOKUP($C8,EmpAll,COLUMN(Emp!$R$4)+MATCH(AP$5,DedListItem,0)-1,0),OFFSET(Setup!$E$73,MATCH(AP$5,DedListItem,0),0,1,1))*AP$3))),IF(ISNUMBER(AP$4),AP$4,IgnoreMin)))))</f>
        <v>0</v>
      </c>
      <c r="AQ8" s="148" cm="1">
        <f t="array" aca="1" ref="AQ8" ca="1">-IF($F8="Terminated",0,IF($AA8=0,0,IF(ISNA(MATCH(AQ$5,PayDedList,0)),0,MIN(IF(COUNTIFS(OverEmp,$C8,OverDeduct,AQ$5,OverDate,"&lt;"&amp;DATE(YEAR($AC8),MONTH($AC8)+1,1),OverEnd,"&gt;="&amp;DATE(YEAR($AC8),MONTH($AC8),1))&gt;0,SUMPRODUCT((PayEmp=$C8)*(PayDate&lt;=$AC8)*(OFFSET($N$6,1,MATCH(AQ$5,PayDedList,0)-1,PayCount,1)))/$AA8*12*AQ$3,IF(OR(AQ$1="Fixed",AQ$1="Not Used"),SUMPRODUCT((PayEmp=$C8)*(PayDate&lt;=$AC8)*(OFFSET($N$6,1,MATCH(AQ$5,PayDedList,0)-1,PayCount,1)))/$AA8*12*AQ$3,IF(ISNA(MATCH(AQ$1,EarnListItem,0))=FALSE,SUMPRODUCT((PayEmp=$C8)*(PayDate&lt;=$AC8)*(OFFSET($N$6,1,MATCH(AQ$5,PayDedList,0)-1,PayCount,1)))/$AA8*12*AQ$3,(MIN(((SUMPRODUCT((PayEmp=$C8)*(PayDate&lt;=$AC8)*(ISERROR(SEARCH(PayEarnCode,AQ$2)))*(PayEarnType="Monthly")*(PayEarnValues))/$AA8*12)+(SUMPRODUCT((PayEmp=$C8)*(PayDate&lt;=$AC8)*(ISERROR(SEARCH(PayEarnCode,AQ$2)))*(PayEarnType="Quarterly")*(PayEarnValues))/MAX(1,ROUNDDOWN($AB8/3,0))*4)+(SUMPRODUCT((PayEmp=$C8)*(PayDate&lt;=$AC8)*(ISERROR(SEARCH(PayEarnCode,AQ$2)))*(PayEarnType="Bi-Annual")*(PayEarnValues))/MAX(1,ROUNDDOWN($AB8/6,0))*2)+(SUMPRODUCT((PayEmp=$C8)*(PayDate&lt;=$AC8)*(ISERROR(SEARCH(PayEarnCode,AQ$2)))*(PayEarnType="Annual")*(PayEarnValues)))),IF(ISNUMBER(OFFSET($N$3,0,MATCH(AQ$5,PayDedList,0)-1,1,1)),OFFSET($N$3,0,MATCH(AQ$5,PayDedList,0)-1,1,1),IgnoreMin)))*IF(COUNTIFS(EmpNo,$C8,OFFSET(Emp!$R$4,1,MATCH(AQ$5,DedListItem,0)-1,EmpCount,1),"&lt;&gt;")&gt;0,VLOOKUP($C8,EmpAll,COLUMN(Emp!$R$4)+MATCH(AQ$5,DedListItem,0)-1,0),OFFSET(Setup!$E$73,MATCH(AQ$5,DedListItem,0),0,1,1))*AQ$3))),IF(ISNUMBER(AQ$4),AQ$4,IgnoreMin)))))</f>
        <v>0</v>
      </c>
      <c r="AR8" s="148">
        <f t="shared" ca="1" si="10"/>
        <v>1440000</v>
      </c>
      <c r="AS8" s="148">
        <f t="shared" ca="1" si="11"/>
        <v>1440000</v>
      </c>
      <c r="AT8" s="148" cm="1">
        <f t="array" aca="1" ref="AT8" ca="1">-IF($F8="Terminated",0,IF($AA8=0,0,IF(ISNA(MATCH(AT$5,PayDedList,0)),0,MIN(IF(COUNTIFS(OverEmp,$C8,OverDeduct,AT$5,OverDate,"&lt;"&amp;DATE(YEAR($AC8),MONTH($AC8)+1,1),OverEnd,"&gt;="&amp;DATE(YEAR($AC8),MONTH($AC8),1))&gt;0,SUMPRODUCT((PayEmp=$C8)*(PayDate&lt;=$AC8)*(OFFSET($N$6,1,MATCH(AT$5,PayDedList,0)-1,PayCount,1)))/$AA8*12*AT$3,IF(OR(AT$1="Fixed",AT$1="Not Used"),SUMPRODUCT((PayEmp=$C8)*(PayDate&lt;=$AC8)*(OFFSET($N$6,1,MATCH(AT$5,PayDedList,0)-1,PayCount,1)))/$AA8*12*AT$3,IF(ISNA(MATCH(OFFSET($N$2,0,MATCH(AT$5,PayDedList,0)-1,1,1),EarnListItem,0))=FALSE,SUMPRODUCT((PayEmp=$C8)*(PayDate&lt;=$AC8)*(OFFSET($N$6,1,MATCH(AT$5,PayDedList,0)-1,PayCount,1)))/$AA8*12*AT$3,(MIN(SUMPRODUCT((PayEmp=$C8)*(PayDate&lt;=$AC8)*(ISERROR(SEARCH(PayEarnCode,AT$2)))*(PayEarnType="Monthly")*(PayEarnValues))/$AA8*12,IF(ISNUMBER(OFFSET($N$3,0,MATCH(AT$5,PayDedList,0)-1,1,1)),OFFSET($N$3,0,MATCH(AT$5,PayDedList,0)-1,1,1),IgnoreMin)))*IF(COUNTIFS(EmpNo,$C8,OFFSET(Emp!$R$4,1,MATCH(AT$5,DedListItem,0)-1,EmpCount,1),"&lt;&gt;")&gt;0,VLOOKUP($C8,EmpAll,COLUMN(Emp!$R$4)+MATCH(AT$5,DedListItem,0)-1,0),OFFSET(Setup!$E$73,MATCH(AT$5,DedListItem,0),0,1,1))*AT$3))),IF(ISNUMBER(AT$4),AT$4,IgnoreMin)))))</f>
        <v>0</v>
      </c>
      <c r="AU8" s="148" cm="1">
        <f t="array" aca="1" ref="AU8" ca="1">-IF($F8="Terminated",0,IF($AA8=0,0,IF(ISNA(MATCH(AU$5,PayDedList,0)),0,MIN(IF(COUNTIFS(OverEmp,$C8,OverDeduct,AU$5,OverDate,"&lt;"&amp;DATE(YEAR($AC8),MONTH($AC8)+1,1),OverEnd,"&gt;="&amp;DATE(YEAR($AC8),MONTH($AC8),1))&gt;0,SUMPRODUCT((PayEmp=$C8)*(PayDate&lt;=$AC8)*(OFFSET($N$6,1,MATCH(AU$5,PayDedList,0)-1,PayCount,1)))/$AA8*12*AU$3,IF(OR(AU$1="Fixed",AU$1="Not Used"),SUMPRODUCT((PayEmp=$C8)*(PayDate&lt;=$AC8)*(OFFSET($N$6,1,MATCH(AU$5,PayDedList,0)-1,PayCount,1)))/$AA8*12*AU$3,IF(ISNA(MATCH(OFFSET($N$2,0,MATCH(AU$5,PayDedList,0)-1,1,1),EarnListItem,0))=FALSE,SUMPRODUCT((PayEmp=$C8)*(PayDate&lt;=$AC8)*(OFFSET($N$6,1,MATCH(AU$5,PayDedList,0)-1,PayCount,1)))/$AA8*12*AU$3,(MIN(SUMPRODUCT((PayEmp=$C8)*(PayDate&lt;=$AC8)*(ISERROR(SEARCH(PayEarnCode,AU$2)))*(PayEarnType="Monthly")*(PayEarnValues))/$AA8*12,IF(ISNUMBER(OFFSET($N$3,0,MATCH(AU$5,PayDedList,0)-1,1,1)),OFFSET($N$3,0,MATCH(AU$5,PayDedList,0)-1,1,1),IgnoreMin)))*IF(COUNTIFS(EmpNo,$C8,OFFSET(Emp!$R$4,1,MATCH(AU$5,DedListItem,0)-1,EmpCount,1),"&lt;&gt;")&gt;0,VLOOKUP($C8,EmpAll,COLUMN(Emp!$R$4)+MATCH(AU$5,DedListItem,0)-1,0),OFFSET(Setup!$E$73,MATCH(AU$5,DedListItem,0),0,1,1))*AU$3))),IF(ISNUMBER(AU$4),AU$4,IgnoreMin)))))</f>
        <v>0</v>
      </c>
      <c r="AV8" s="148" cm="1">
        <f t="array" aca="1" ref="AV8" ca="1">-IF($F8="Terminated",0,IF($AA8=0,0,IF(ISNA(MATCH(AV$5,PayDedList,0)),0,MIN(IF(COUNTIFS(OverEmp,$C8,OverDeduct,AV$5,OverDate,"&lt;"&amp;DATE(YEAR($AC8),MONTH($AC8)+1,1),OverEnd,"&gt;="&amp;DATE(YEAR($AC8),MONTH($AC8),1))&gt;0,SUMPRODUCT((PayEmp=$C8)*(PayDate&lt;=$AC8)*(OFFSET($N$6,1,MATCH(AV$5,PayDedList,0)-1,PayCount,1)))/$AA8*12*AV$3,IF(OR(AV$1="Fixed",AV$1="Not Used"),SUMPRODUCT((PayEmp=$C8)*(PayDate&lt;=$AC8)*(OFFSET($N$6,1,MATCH(AV$5,PayDedList,0)-1,PayCount,1)))/$AA8*12*AV$3,IF(ISNA(MATCH(OFFSET($N$2,0,MATCH(AV$5,PayDedList,0)-1,1,1),EarnListItem,0))=FALSE,SUMPRODUCT((PayEmp=$C8)*(PayDate&lt;=$AC8)*(OFFSET($N$6,1,MATCH(AV$5,PayDedList,0)-1,PayCount,1)))/$AA8*12*AV$3,(MIN(SUMPRODUCT((PayEmp=$C8)*(PayDate&lt;=$AC8)*(ISERROR(SEARCH(PayEarnCode,AV$2)))*(PayEarnType="Monthly")*(PayEarnValues))/$AA8*12,IF(ISNUMBER(OFFSET($N$3,0,MATCH(AV$5,PayDedList,0)-1,1,1)),OFFSET($N$3,0,MATCH(AV$5,PayDedList,0)-1,1,1),IgnoreMin)))*IF(COUNTIFS(EmpNo,$C8,OFFSET(Emp!$R$4,1,MATCH(AV$5,DedListItem,0)-1,EmpCount,1),"&lt;&gt;")&gt;0,VLOOKUP($C8,EmpAll,COLUMN(Emp!$R$4)+MATCH(AV$5,DedListItem,0)-1,0),OFFSET(Setup!$E$73,MATCH(AV$5,DedListItem,0),0,1,1))*AV$3))),IF(ISNUMBER(AV$4),AV$4,IgnoreMin)))))</f>
        <v>0</v>
      </c>
      <c r="AW8" s="148" cm="1">
        <f t="array" aca="1" ref="AW8" ca="1">-IF($F8="Terminated",0,IF($AA8=0,0,IF(ISNA(MATCH(AW$5,PayDedList,0)),0,MIN(IF(COUNTIFS(OverEmp,$C8,OverDeduct,AW$5,OverDate,"&lt;"&amp;DATE(YEAR($AC8),MONTH($AC8)+1,1),OverEnd,"&gt;="&amp;DATE(YEAR($AC8),MONTH($AC8),1))&gt;0,SUMPRODUCT((PayEmp=$C8)*(PayDate&lt;=$AC8)*(OFFSET($N$6,1,MATCH(AW$5,PayDedList,0)-1,PayCount,1)))/$AA8*12*AW$3,IF(OR(AW$1="Fixed",AW$1="Not Used"),SUMPRODUCT((PayEmp=$C8)*(PayDate&lt;=$AC8)*(OFFSET($N$6,1,MATCH(AW$5,PayDedList,0)-1,PayCount,1)))/$AA8*12*AW$3,IF(ISNA(MATCH(OFFSET($N$2,0,MATCH(AW$5,PayDedList,0)-1,1,1),EarnListItem,0))=FALSE,SUMPRODUCT((PayEmp=$C8)*(PayDate&lt;=$AC8)*(OFFSET($N$6,1,MATCH(AW$5,PayDedList,0)-1,PayCount,1)))/$AA8*12*AW$3,(MIN(SUMPRODUCT((PayEmp=$C8)*(PayDate&lt;=$AC8)*(ISERROR(SEARCH(PayEarnCode,AW$2)))*(PayEarnType="Monthly")*(PayEarnValues))/$AA8*12,IF(ISNUMBER(OFFSET($N$3,0,MATCH(AW$5,PayDedList,0)-1,1,1)),OFFSET($N$3,0,MATCH(AW$5,PayDedList,0)-1,1,1),IgnoreMin)))*IF(COUNTIFS(EmpNo,$C8,OFFSET(Emp!$R$4,1,MATCH(AW$5,DedListItem,0)-1,EmpCount,1),"&lt;&gt;")&gt;0,VLOOKUP($C8,EmpAll,COLUMN(Emp!$R$4)+MATCH(AW$5,DedListItem,0)-1,0),OFFSET(Setup!$E$73,MATCH(AW$5,DedListItem,0),0,1,1))*AW$3))),IF(ISNUMBER(AW$4),AW$4,IgnoreMin)))))</f>
        <v>0</v>
      </c>
      <c r="AX8" s="148">
        <f t="shared" ca="1" si="12"/>
        <v>1440000</v>
      </c>
      <c r="AY8" s="148">
        <f t="shared" ca="1" si="13"/>
        <v>0</v>
      </c>
      <c r="AZ8" s="148">
        <f ca="1">IF(ISNUMBER($AL8),($AR8*$AL8)-$AI8-$AK8,MAX(0,IF($AL8="B",IF($AR8&lt;Setup!$C$32,($AR8*Setup!$D$32)-$AI8-$AK8,(($AR8-VLOOKUP($AR8,TaxAll2,1,1))*OFFSET(Setup!$D$32,MATCH($AR8,TaxBracket2,1),0,1,1))+OFFSET(Setup!$E$31,MATCH($AR8,TaxBracket2,1),0,1,1)-$AI8-$AK8),IF($AR8&lt;Setup!$C$21,($AR8*Setup!$D$21)-$AI8-$AK8,(($AR8-VLOOKUP($AR8,TaxAll1,1,1))*OFFSET(Setup!$D$21,MATCH($AR8,TaxBracket1,1),0,1,1))+OFFSET(Setup!$E$20,MATCH($AR8,TaxBracket1,1),0,1,1)-$AI8-$AK8))))</f>
        <v>463948</v>
      </c>
      <c r="BA8" s="148">
        <f ca="1">IF(ISNUMBER($AL8),($AX8*$AL8)-$AI8-$AK8,MAX(0,IF($AL8="B",IF($AX8&lt;Setup!$C$32,($AX8*Setup!$D$32)-$AI8-$AK8,(($AX8-VLOOKUP($AX8,TaxAll2,1,1))*OFFSET(Setup!$D$32,MATCH($AX8,TaxBracket2,1),0,1,1))+OFFSET(Setup!$E$31,MATCH($AX8,TaxBracket2,1),0,1,1)-$AI8-$AK8),IF($AX8&lt;Setup!$C$21,($AX8*Setup!$D$21)-$AI8-$AK8,(($AX8-VLOOKUP($AX8,TaxAll1,1,1))*OFFSET(Setup!$D$21,MATCH($AX8,TaxBracket1,1),0,1,1))+OFFSET(Setup!$E$20,MATCH($AX8,TaxBracket1,1),0,1,1)-$AI8-$AK8))))</f>
        <v>463948</v>
      </c>
      <c r="BB8" s="148">
        <f t="shared" ca="1" si="14"/>
        <v>0</v>
      </c>
      <c r="BC8" s="150">
        <f t="shared" ca="1" si="15"/>
        <v>1</v>
      </c>
      <c r="BD8" s="150">
        <f t="shared" ca="1" si="16"/>
        <v>0</v>
      </c>
      <c r="BE8" s="148">
        <f t="shared" ca="1" si="17"/>
        <v>1440000</v>
      </c>
    </row>
    <row r="9" spans="1:57" ht="16.149999999999999" customHeight="1" x14ac:dyDescent="0.25">
      <c r="A9" s="9" t="str" cm="1">
        <f t="array" aca="1" ref="A9" ca="1">IF(ROW($A9)-ROW($A$6)&gt;EmpCount*12,"-",TEXT($B9,"yyyy")&amp;TEXT($B9,"mm")&amp;"-"&amp;$C9)</f>
        <v>202303-EXS003</v>
      </c>
      <c r="B9" s="129" cm="1">
        <f t="array" aca="1" ref="B9" ca="1">IF(ROW($A9)-ROW($A$6)&gt;EmpCount*12,Setup!$D$12,DATE(YEAR(Setup!$F$12),MONTH(Setup!$F$12)+ROUNDDOWN((ROW($A9)-ROW($A$6)-1)/EmpCount,0),IF(Setup!$C$14&gt;DAY(DATE(YEAR(Setup!$F$12),MONTH(Setup!$F$12)+ROUNDDOWN((ROW($A9)-ROW($A$6)-1)/EmpCount,0)+1,0)),DAY(DATE(YEAR(Setup!$F$12),MONTH(Setup!$F$12)+ROUNDDOWN((ROW($A9)-ROW($A$6)-1)/EmpCount,0)+1,0)),Setup!$C$14)))</f>
        <v>45010</v>
      </c>
      <c r="C9" s="130" t="str" cm="1">
        <f t="array" aca="1" ref="C9" ca="1">IF(ROW($A9)-ROW($A$6)&gt;EmpCount*12,"-",OFFSET(Emp!$A$4,ROW($A9)-ROW($A$6)-IF(ROW($A9)-ROW($A$6)&gt;EmpCount,ROUNDDOWN((ROW($A9)-ROW($A$6)-1)/EmpCount,0)*EmpCount,0),0,1,1))</f>
        <v>EXS003</v>
      </c>
      <c r="D9" s="9" t="str">
        <f ca="1">IF(ISNA(VLOOKUP($C9,EmpAll,COLUMN(Emp!$B$4),0)),"-",VLOOKUP($C9,EmpAll,COLUMN(Emp!$B$4),0))</f>
        <v>Wilson PG</v>
      </c>
      <c r="E9" s="130" t="str">
        <f ca="1">IF(ISNA(VLOOKUP($C9,EmpAll,COLUMN(Emp!$C$4),0)),"-",VLOOKUP($C9,EmpAll,COLUMN(Emp!$C$4),0))</f>
        <v>S</v>
      </c>
      <c r="F9" s="130" t="str">
        <f ca="1">IF(ISNA(VLOOKUP($C9,EmpAll,COLUMN(Emp!$A$4),0)),"-",IF(AND(VLOOKUP($C9,EmpAll,COLUMN(Emp!$E$4),0)&lt;&gt;0,VLOOKUP($C9,EmpAll,COLUMN(Emp!$E$4),0)&gt;=DATE(YEAR($AC9),MONTH($AC9)+1,0)),"Inactive",IF(AND(VLOOKUP($C9,EmpAll,COLUMN(Emp!$F$4),0)&lt;&gt;0,VLOOKUP($C9,EmpAll,COLUMN(Emp!$F$4),0)&lt;=DATE(YEAR($AC9),MONTH($AC9),0)),"Terminated","Active")))</f>
        <v>Active</v>
      </c>
      <c r="G9" s="133" cm="1">
        <f t="array" aca="1" ref="G9" ca="1">IF($F9&lt;&gt;"Active",0,IF(COUNTIFS(OverEmp,$C9,OverEarn,G$2,OverDate,"&lt;"&amp;DATE(YEAR($AC9),MONTH($AC9)+1,1),OverEnd,"&gt;="&amp;DATE(YEAR($AC9),MONTH($AC9),1))&gt;0,SUMIFS(OverValue,OverEmp,$C9,OverEarn,G$2,OverDate,"&lt;"&amp;DATE(YEAR($AC9),MONTH($AC9)+1,1),OverEnd,"&gt;="&amp;DATE(YEAR($AC9),MONTH($AC9),1)),IF(AND($AC9&gt;=Setup!$E$10,SUMIFS(EmpIncrease,EmpCode,$C9)&gt;0),SUMIFS(EmpIncrease,EmpCode,$C9),SUMIFS(EmpSalary,EmpCode,$C9))))</f>
        <v>15000</v>
      </c>
      <c r="H9" s="133" cm="1">
        <f t="array" aca="1" ref="H9" ca="1">IF($F9&lt;&gt;"Active",0,IF(COUNTIFS(OverEmp,$C9,OverEarn,H$2,OverDate,"&lt;"&amp;DATE(YEAR($AC9),MONTH($AC9)+1,1),OverEnd,"&gt;="&amp;DATE(YEAR($AC9),MONTH($AC9),1))&gt;0,SUMIFS(OverValue,OverEmp,$C9,OverEarn,H$2,OverDate,"&lt;"&amp;DATE(YEAR($AC9),MONTH($AC9)+1,1),OverEnd,"&gt;="&amp;DATE(YEAR($AC9),MONTH($AC9),1)),0))</f>
        <v>0</v>
      </c>
      <c r="I9" s="133" cm="1">
        <f t="array" aca="1" ref="I9" ca="1">IF($F9&lt;&gt;"Active",0,IF(COUNTIFS(OverEmp,$C9,OverEarn,I$2,OverDate,"&lt;"&amp;DATE(YEAR($AC9),MONTH($AC9)+1,1),OverEnd,"&gt;="&amp;DATE(YEAR($AC9),MONTH($AC9),1))&gt;0,SUMIFS(OverValue,OverEmp,$C9,OverEarn,I$2,OverDate,"&lt;"&amp;DATE(YEAR($AC9),MONTH($AC9)+1,1),OverEnd,"&gt;="&amp;DATE(YEAR($AC9),MONTH($AC9),1)),IF(MONTH(B9)=Setup!$C$15,SUMIFS(EmpBonus,EmpCode,$C9),0)))</f>
        <v>0</v>
      </c>
      <c r="J9" s="133" cm="1">
        <f t="array" aca="1" ref="J9" ca="1">IF($F9&lt;&gt;"Active",0,IF(COUNTIFS(OverEmp,$C9,OverEarn,J$2,OverDate,"&lt;"&amp;DATE(YEAR($AC9),MONTH($AC9)+1,1),OverEnd,"&gt;="&amp;DATE(YEAR($AC9),MONTH($AC9),1))&gt;0,SUMIFS(OverValue,OverEmp,$C9,OverEarn,J$2,OverDate,"&lt;"&amp;DATE(YEAR($AC9),MONTH($AC9)+1,1),OverEnd,"&gt;="&amp;DATE(YEAR($AC9),MONTH($AC9),1)),0))</f>
        <v>0</v>
      </c>
      <c r="K9" s="133" cm="1">
        <f t="array" aca="1" ref="K9" ca="1">IF($F9&lt;&gt;"Active",0,IF(COUNTIFS(OverEmp,$C9,OverEarn,K$2,OverDate,"&lt;"&amp;DATE(YEAR($AC9),MONTH($AC9)+1,1),OverEnd,"&gt;="&amp;DATE(YEAR($AC9),MONTH($AC9),1))&gt;0,SUMIFS(OverValue,OverEmp,$C9,OverEarn,K$2,OverDate,"&lt;"&amp;DATE(YEAR($AC9),MONTH($AC9)+1,1),OverEnd,"&gt;="&amp;DATE(YEAR($AC9),MONTH($AC9),1)),0))</f>
        <v>0</v>
      </c>
      <c r="L9" s="133">
        <f t="shared" ca="1" si="0"/>
        <v>15000</v>
      </c>
      <c r="M9" s="182" cm="1">
        <f t="array" aca="1" ref="M9" ca="1">IF(COUNTIFS(OverEmp,$C9,OverTax,M$5,OverDate,"&lt;"&amp;DATE(YEAR($AC9),MONTH($AC9)+1,1),OverEnd,"&gt;="&amp;DATE(YEAR($AC9),MONTH($AC9),1))&gt;0,SUMIFS(OverValue,OverEmp,$C9,OverTax,M$5,OverDate,"&lt;"&amp;DATE(YEAR($AC9),MONTH($AC9)+1,1),OverEnd,"&gt;="&amp;DATE(YEAR($AC9),MONTH($AC9),1)),(($BA9/12*$AA9)+(BB9*IF(1-$BC9=0,0,BD9/(1-$BC9))))-IF($F9="Terminated",0,SUMIFS(PayTaxDeduct,PayDate,"&lt;"&amp;$AC9,PayEmp,$C9)))</f>
        <v>899.75</v>
      </c>
      <c r="N9" s="133" cm="1">
        <f t="array" aca="1" ref="N9" ca="1">IF($F9="Terminated",0,IF($AA9=0,0,IF(ISNA(MATCH(N$5,DedListItem,0)),0,IF(COUNTIFS(OverEmp,$C9,OverDeduct,N$5,OverDate,"&lt;"&amp;DATE(YEAR($AC9),MONTH($AC9)+1,1),OverEnd,"&gt;="&amp;DATE(YEAR($AC9),MONTH($AC9),1))&gt;0,SUMIFS(OverValue,OverEmp,$C9,OverDeduct,N$5,OverDate,"&lt;"&amp;DATE(YEAR($AC9),MONTH($AC9)+1,1),OverEnd,"&gt;="&amp;DATE(YEAR($AC9),MONTH($AC9),1)),IF(OR(N$2="Fixed",N$2="Not Used"),(IF(COUNTIFS(EmpNo,$C9,OFFSET(Emp!$R$4,1,MATCH(N$5,DedListItem,0)-1,EmpCount,1),"&lt;&gt;")&gt;0,VLOOKUP($C9,EmpAll,COLUMN(Emp!$R$4)+MATCH(N$5,DedListItem,0)-1,0),OFFSET(Setup!$E$73,MATCH(N$5,DedListItem,0),0,1,1))*$AA9)-SUMIFS(OFFSET(N$6,1,0,PayCount,1),PayDate,"&lt;"&amp;$AC9,PayEmp,$C9),IF(ISNA(MATCH(N$2,EarnListItem,0))=FALSE,IF(OFFSET(Setup!$G$73,MATCH(N$5,DedListItem,0),0,1,1)="Taxable",SUMPRODUCT((PayEmp=$C9)*(PayDate&lt;=$AC9)*(PayEarnCode=N$2)*(PayEarnTax)*(PayEarnValues)),SUMPRODUCT((PayEmp=$C9)*(PayDate&lt;=$AC9)*(PayEarnCode=N$2)*(PayEarnValues)))*IF(COUNTIFS(EmpNo,$C9,OFFSET(Emp!$R$4,1,MATCH(N$5,DedListItem,0)-1,EmpCount,1),"&lt;&gt;")&gt;0,VLOOKUP($C9,EmpAll,COLUMN(Emp!$R$4)+MATCH(N$5,DedListItem,0)-1,0),OFFSET(Setup!$E$73,MATCH(N$5,DedListItem,0),0,1,1)),(MIN(IF(OFFSET(Setup!$G$73,MATCH(N$5,DedListItem,0),0,1,1)="Taxable",SUMPRODUCT((PayEmp=$C9)*(PayDate&lt;=$AC9)*(ISERROR(SEARCH(PayEarnCode,N$4)))*(PayEarnTax)*(PayEarnValues)),SUMPRODUCT((PayEmp=$C9)*(PayDate&lt;=$AC9)*(ISERROR(SEARCH(PayEarnCode,N$4)))*(PayEarnValues))),IF(ISNUMBER(N$3),N$3/12*$AA9,IgnoreMin)))*IF(COUNTIFS(EmpNo,$C9,OFFSET(Emp!$R$4,1,MATCH(N$5,DedListItem,0)-1,EmpCount,1),"&lt;&gt;")&gt;0,VLOOKUP($C9,EmpAll,COLUMN(Emp!$R$4)+MATCH(N$5,DedListItem,0)-1,0),OFFSET(Setup!$E$73,MATCH(N$5,DedListItem,0),0,1,1)))-SUMIFS(OFFSET(N$6,1,0,PayCount,1),PayDate,"&lt;"&amp;$AC9,PayEmp,$C9))))))</f>
        <v>150</v>
      </c>
      <c r="O9" s="133" cm="1">
        <f t="array" aca="1" ref="O9" ca="1">IF($F9="Terminated",0,IF($AA9=0,0,IF(ISNA(MATCH(O$5,DedListItem,0)),0,IF(COUNTIFS(OverEmp,$C9,OverDeduct,O$5,OverDate,"&lt;"&amp;DATE(YEAR($AC9),MONTH($AC9)+1,1),OverEnd,"&gt;="&amp;DATE(YEAR($AC9),MONTH($AC9),1))&gt;0,SUMIFS(OverValue,OverEmp,$C9,OverDeduct,O$5,OverDate,"&lt;"&amp;DATE(YEAR($AC9),MONTH($AC9)+1,1),OverEnd,"&gt;="&amp;DATE(YEAR($AC9),MONTH($AC9),1)),IF(OR(O$2="Fixed",O$2="Not Used"),(IF(COUNTIFS(EmpNo,$C9,OFFSET(Emp!$R$4,1,MATCH(O$5,DedListItem,0)-1,EmpCount,1),"&lt;&gt;")&gt;0,VLOOKUP($C9,EmpAll,COLUMN(Emp!$R$4)+MATCH(O$5,DedListItem,0)-1,0),OFFSET(Setup!$E$73,MATCH(O$5,DedListItem,0),0,1,1))*$AA9)-SUMIFS(OFFSET(O$6,1,0,PayCount,1),PayDate,"&lt;"&amp;$AC9,PayEmp,$C9),IF(ISNA(MATCH(O$2,EarnListItem,0))=FALSE,IF(OFFSET(Setup!$G$73,MATCH(O$5,DedListItem,0),0,1,1)="Taxable",SUMPRODUCT((PayEmp=$C9)*(PayDate&lt;=$AC9)*(PayEarnCode=O$2)*(PayEarnTax)*(PayEarnValues)),SUMPRODUCT((PayEmp=$C9)*(PayDate&lt;=$AC9)*(PayEarnCode=O$2)*(PayEarnValues)))*IF(COUNTIFS(EmpNo,$C9,OFFSET(Emp!$R$4,1,MATCH(O$5,DedListItem,0)-1,EmpCount,1),"&lt;&gt;")&gt;0,VLOOKUP($C9,EmpAll,COLUMN(Emp!$R$4)+MATCH(O$5,DedListItem,0)-1,0),OFFSET(Setup!$E$73,MATCH(O$5,DedListItem,0),0,1,1)),(MIN(IF(OFFSET(Setup!$G$73,MATCH(O$5,DedListItem,0),0,1,1)="Taxable",SUMPRODUCT((PayEmp=$C9)*(PayDate&lt;=$AC9)*(ISERROR(SEARCH(PayEarnCode,O$4)))*(PayEarnTax)*(PayEarnValues)),SUMPRODUCT((PayEmp=$C9)*(PayDate&lt;=$AC9)*(ISERROR(SEARCH(PayEarnCode,O$4)))*(PayEarnValues))),IF(ISNUMBER(O$3),O$3/12*$AA9,IgnoreMin)))*IF(COUNTIFS(EmpNo,$C9,OFFSET(Emp!$R$4,1,MATCH(O$5,DedListItem,0)-1,EmpCount,1),"&lt;&gt;")&gt;0,VLOOKUP($C9,EmpAll,COLUMN(Emp!$R$4)+MATCH(O$5,DedListItem,0)-1,0),OFFSET(Setup!$E$73,MATCH(O$5,DedListItem,0),0,1,1)))-SUMIFS(OFFSET(O$6,1,0,PayCount,1),PayDate,"&lt;"&amp;$AC9,PayEmp,$C9))))))</f>
        <v>0</v>
      </c>
      <c r="P9" s="133" cm="1">
        <f t="array" aca="1" ref="P9" ca="1">IF($F9="Terminated",0,IF($AA9=0,0,IF(ISNA(MATCH(P$5,DedListItem,0)),0,IF(COUNTIFS(OverEmp,$C9,OverDeduct,P$5,OverDate,"&lt;"&amp;DATE(YEAR($AC9),MONTH($AC9)+1,1),OverEnd,"&gt;="&amp;DATE(YEAR($AC9),MONTH($AC9),1))&gt;0,SUMIFS(OverValue,OverEmp,$C9,OverDeduct,P$5,OverDate,"&lt;"&amp;DATE(YEAR($AC9),MONTH($AC9)+1,1),OverEnd,"&gt;="&amp;DATE(YEAR($AC9),MONTH($AC9),1)),IF(OR(P$2="Fixed",P$2="Not Used"),(IF(COUNTIFS(EmpNo,$C9,OFFSET(Emp!$R$4,1,MATCH(P$5,DedListItem,0)-1,EmpCount,1),"&lt;&gt;")&gt;0,VLOOKUP($C9,EmpAll,COLUMN(Emp!$R$4)+MATCH(P$5,DedListItem,0)-1,0),OFFSET(Setup!$E$73,MATCH(P$5,DedListItem,0),0,1,1))*$AA9)-SUMIFS(OFFSET(P$6,1,0,PayCount,1),PayDate,"&lt;"&amp;$AC9,PayEmp,$C9),IF(ISNA(MATCH(P$2,EarnListItem,0))=FALSE,IF(OFFSET(Setup!$G$73,MATCH(P$5,DedListItem,0),0,1,1)="Taxable",SUMPRODUCT((PayEmp=$C9)*(PayDate&lt;=$AC9)*(PayEarnCode=P$2)*(PayEarnTax)*(PayEarnValues)),SUMPRODUCT((PayEmp=$C9)*(PayDate&lt;=$AC9)*(PayEarnCode=P$2)*(PayEarnValues)))*IF(COUNTIFS(EmpNo,$C9,OFFSET(Emp!$R$4,1,MATCH(P$5,DedListItem,0)-1,EmpCount,1),"&lt;&gt;")&gt;0,VLOOKUP($C9,EmpAll,COLUMN(Emp!$R$4)+MATCH(P$5,DedListItem,0)-1,0),OFFSET(Setup!$E$73,MATCH(P$5,DedListItem,0),0,1,1)),(MIN(IF(OFFSET(Setup!$G$73,MATCH(P$5,DedListItem,0),0,1,1)="Taxable",SUMPRODUCT((PayEmp=$C9)*(PayDate&lt;=$AC9)*(ISERROR(SEARCH(PayEarnCode,P$4)))*(PayEarnTax)*(PayEarnValues)),SUMPRODUCT((PayEmp=$C9)*(PayDate&lt;=$AC9)*(ISERROR(SEARCH(PayEarnCode,P$4)))*(PayEarnValues))),IF(ISNUMBER(P$3),P$3/12*$AA9,IgnoreMin)))*IF(COUNTIFS(EmpNo,$C9,OFFSET(Emp!$R$4,1,MATCH(P$5,DedListItem,0)-1,EmpCount,1),"&lt;&gt;")&gt;0,VLOOKUP($C9,EmpAll,COLUMN(Emp!$R$4)+MATCH(P$5,DedListItem,0)-1,0),OFFSET(Setup!$E$73,MATCH(P$5,DedListItem,0),0,1,1)))-SUMIFS(OFFSET(P$6,1,0,PayCount,1),PayDate,"&lt;"&amp;$AC9,PayEmp,$C9))))))</f>
        <v>0</v>
      </c>
      <c r="Q9" s="133" cm="1">
        <f t="array" aca="1" ref="Q9" ca="1">IF($F9="Terminated",0,IF($AA9=0,0,IF(ISNA(MATCH(Q$5,DedListItem,0)),0,IF(COUNTIFS(OverEmp,$C9,OverDeduct,Q$5,OverDate,"&lt;"&amp;DATE(YEAR($AC9),MONTH($AC9)+1,1),OverEnd,"&gt;="&amp;DATE(YEAR($AC9),MONTH($AC9),1))&gt;0,SUMIFS(OverValue,OverEmp,$C9,OverDeduct,Q$5,OverDate,"&lt;"&amp;DATE(YEAR($AC9),MONTH($AC9)+1,1),OverEnd,"&gt;="&amp;DATE(YEAR($AC9),MONTH($AC9),1)),IF(OR(Q$2="Fixed",Q$2="Not Used"),(IF(COUNTIFS(EmpNo,$C9,OFFSET(Emp!$R$4,1,MATCH(Q$5,DedListItem,0)-1,EmpCount,1),"&lt;&gt;")&gt;0,VLOOKUP($C9,EmpAll,COLUMN(Emp!$R$4)+MATCH(Q$5,DedListItem,0)-1,0),OFFSET(Setup!$E$73,MATCH(Q$5,DedListItem,0),0,1,1))*$AA9)-SUMIFS(OFFSET(Q$6,1,0,PayCount,1),PayDate,"&lt;"&amp;$AC9,PayEmp,$C9),IF(ISNA(MATCH(Q$2,EarnListItem,0))=FALSE,IF(OFFSET(Setup!$G$73,MATCH(Q$5,DedListItem,0),0,1,1)="Taxable",SUMPRODUCT((PayEmp=$C9)*(PayDate&lt;=$AC9)*(PayEarnCode=Q$2)*(PayEarnTax)*(PayEarnValues)),SUMPRODUCT((PayEmp=$C9)*(PayDate&lt;=$AC9)*(PayEarnCode=Q$2)*(PayEarnValues)))*IF(COUNTIFS(EmpNo,$C9,OFFSET(Emp!$R$4,1,MATCH(Q$5,DedListItem,0)-1,EmpCount,1),"&lt;&gt;")&gt;0,VLOOKUP($C9,EmpAll,COLUMN(Emp!$R$4)+MATCH(Q$5,DedListItem,0)-1,0),OFFSET(Setup!$E$73,MATCH(Q$5,DedListItem,0),0,1,1)),(MIN(IF(OFFSET(Setup!$G$73,MATCH(Q$5,DedListItem,0),0,1,1)="Taxable",SUMPRODUCT((PayEmp=$C9)*(PayDate&lt;=$AC9)*(ISERROR(SEARCH(PayEarnCode,Q$4)))*(PayEarnTax)*(PayEarnValues)),SUMPRODUCT((PayEmp=$C9)*(PayDate&lt;=$AC9)*(ISERROR(SEARCH(PayEarnCode,Q$4)))*(PayEarnValues))),IF(ISNUMBER(Q$3),Q$3/12*$AA9,IgnoreMin)))*IF(COUNTIFS(EmpNo,$C9,OFFSET(Emp!$R$4,1,MATCH(Q$5,DedListItem,0)-1,EmpCount,1),"&lt;&gt;")&gt;0,VLOOKUP($C9,EmpAll,COLUMN(Emp!$R$4)+MATCH(Q$5,DedListItem,0)-1,0),OFFSET(Setup!$E$73,MATCH(Q$5,DedListItem,0),0,1,1)))-SUMIFS(OFFSET(Q$6,1,0,PayCount,1),PayDate,"&lt;"&amp;$AC9,PayEmp,$C9))))))</f>
        <v>0</v>
      </c>
      <c r="R9" s="133">
        <f t="shared" ca="1" si="1"/>
        <v>1049.75</v>
      </c>
      <c r="S9" s="133">
        <f t="shared" ca="1" si="2"/>
        <v>13950.25</v>
      </c>
      <c r="T9" s="133" cm="1">
        <f t="array" aca="1" ref="T9" ca="1">IF($F9="Terminated",0,IF($AA9=0,0,IF(ISNA(MATCH(T$5,CompListItem,0)),0,IF(COUNTIFS(OverEmp,$C9,OverComp,T$5,OverDate,"&lt;"&amp;DATE(YEAR($AC9),MONTH($AC9)+1,1),OverEnd,"&gt;="&amp;DATE(YEAR($AC9),MONTH($AC9),1))&gt;0,SUMIFS(OverValue,OverEmp,$C9,OverComp,T$5,OverDate,"&lt;"&amp;DATE(YEAR($AC9),MONTH($AC9)+1,1),OverEnd,"&gt;="&amp;DATE(YEAR($AC9),MONTH($AC9),1)),IF(OR(T$2="Fixed",T$2="Not Used"),(OFFSET(Setup!$E$81,MATCH(T$5,CompListItem,0),0,1,1)*$AA9)-SUMIFS(OFFSET(T$6,1,0,PayCount,1),PayDate,"&lt;"&amp;$AC9,PayEmp,$C9),IF(ISNA(MATCH(T$2,DedListItem,0))=FALSE,(SUMPRODUCT((PayEmp=$C9)*(PayDate&lt;=$AC9)*(PayDedList=T$2)*(PayDedValues))*OFFSET(Setup!$E$81,MATCH(T$5,CompListItem,0),0,1,1))-SUMIFS(OFFSET(T$6,1,0,PayCount,1),PayDate,"&lt;"&amp;$AC9,PayEmp,$C9),(MIN(IF(OFFSET(Setup!$G$81,MATCH(T$5,CompListItem,0),0,1,1)="Taxable",SUMPRODUCT((PayEmp=$C9)*(PayDate&lt;=$AC9)*(ISERROR(SEARCH(PayEarnCode,T$4)))*(PayEarnTax)*(PayEarnValues)),SUMPRODUCT((PayEmp=$C9)*(PayDate&lt;=$AC9)*(ISERROR(SEARCH(PayEarnCode,T$4)))*(PayEarnValues))),IF(ISNUMBER(T$3),T$3/12*$AA9,IgnoreMin)))*OFFSET(Setup!$E$81,MATCH(T$5,CompListItem,0),0,1,1)-SUMIFS(OFFSET(T$6,1,0,PayCount,1),PayDate,"&lt;"&amp;$AC9,PayEmp,$C9)))))))</f>
        <v>150</v>
      </c>
      <c r="U9" s="133" cm="1">
        <f t="array" aca="1" ref="U9" ca="1">IF($F9="Terminated",0,IF($AA9=0,0,IF(ISNA(MATCH(U$5,CompListItem,0)),0,IF(COUNTIFS(OverEmp,$C9,OverComp,U$5,OverDate,"&lt;"&amp;DATE(YEAR($AC9),MONTH($AC9)+1,1),OverEnd,"&gt;="&amp;DATE(YEAR($AC9),MONTH($AC9),1))&gt;0,SUMIFS(OverValue,OverEmp,$C9,OverComp,U$5,OverDate,"&lt;"&amp;DATE(YEAR($AC9),MONTH($AC9)+1,1),OverEnd,"&gt;="&amp;DATE(YEAR($AC9),MONTH($AC9),1)),IF(OR(U$2="Fixed",U$2="Not Used"),(OFFSET(Setup!$E$81,MATCH(U$5,CompListItem,0),0,1,1)*$AA9)-SUMIFS(OFFSET(U$6,1,0,PayCount,1),PayDate,"&lt;"&amp;$AC9,PayEmp,$C9),IF(ISNA(MATCH(U$2,DedListItem,0))=FALSE,(SUMPRODUCT((PayEmp=$C9)*(PayDate&lt;=$AC9)*(PayDedList=U$2)*(PayDedValues))*OFFSET(Setup!$E$81,MATCH(U$5,CompListItem,0),0,1,1))-SUMIFS(OFFSET(U$6,1,0,PayCount,1),PayDate,"&lt;"&amp;$AC9,PayEmp,$C9),(MIN(IF(OFFSET(Setup!$G$81,MATCH(U$5,CompListItem,0),0,1,1)="Taxable",SUMPRODUCT((PayEmp=$C9)*(PayDate&lt;=$AC9)*(ISERROR(SEARCH(PayEarnCode,U$4)))*(PayEarnTax)*(PayEarnValues)),SUMPRODUCT((PayEmp=$C9)*(PayDate&lt;=$AC9)*(ISERROR(SEARCH(PayEarnCode,U$4)))*(PayEarnValues))),IF(ISNUMBER(U$3),U$3/12*$AA9,IgnoreMin)))*OFFSET(Setup!$E$81,MATCH(U$5,CompListItem,0),0,1,1)-SUMIFS(OFFSET(U$6,1,0,PayCount,1),PayDate,"&lt;"&amp;$AC9,PayEmp,$C9)))))))</f>
        <v>150</v>
      </c>
      <c r="V9" s="133" cm="1">
        <f t="array" aca="1" ref="V9" ca="1">IF($F9="Terminated",0,IF($AA9=0,0,IF(ISNA(MATCH(V$5,CompListItem,0)),0,IF(COUNTIFS(OverEmp,$C9,OverComp,V$5,OverDate,"&lt;"&amp;DATE(YEAR($AC9),MONTH($AC9)+1,1),OverEnd,"&gt;="&amp;DATE(YEAR($AC9),MONTH($AC9),1))&gt;0,SUMIFS(OverValue,OverEmp,$C9,OverComp,V$5,OverDate,"&lt;"&amp;DATE(YEAR($AC9),MONTH($AC9)+1,1),OverEnd,"&gt;="&amp;DATE(YEAR($AC9),MONTH($AC9),1)),IF(OR(V$2="Fixed",V$2="Not Used"),(OFFSET(Setup!$E$81,MATCH(V$5,CompListItem,0),0,1,1)*$AA9)-SUMIFS(OFFSET(V$6,1,0,PayCount,1),PayDate,"&lt;"&amp;$AC9,PayEmp,$C9),IF(ISNA(MATCH(V$2,DedListItem,0))=FALSE,(SUMPRODUCT((PayEmp=$C9)*(PayDate&lt;=$AC9)*(PayDedList=V$2)*(PayDedValues))*OFFSET(Setup!$E$81,MATCH(V$5,CompListItem,0),0,1,1))-SUMIFS(OFFSET(V$6,1,0,PayCount,1),PayDate,"&lt;"&amp;$AC9,PayEmp,$C9),(MIN(IF(OFFSET(Setup!$G$81,MATCH(V$5,CompListItem,0),0,1,1)="Taxable",SUMPRODUCT((PayEmp=$C9)*(PayDate&lt;=$AC9)*(ISERROR(SEARCH(PayEarnCode,V$4)))*(PayEarnTax)*(PayEarnValues)),SUMPRODUCT((PayEmp=$C9)*(PayDate&lt;=$AC9)*(ISERROR(SEARCH(PayEarnCode,V$4)))*(PayEarnValues))),IF(ISNUMBER(V$3),V$3/12*$AA9,IgnoreMin)))*OFFSET(Setup!$E$81,MATCH(V$5,CompListItem,0),0,1,1)-SUMIFS(OFFSET(V$6,1,0,PayCount,1),PayDate,"&lt;"&amp;$AC9,PayEmp,$C9)))))))</f>
        <v>0</v>
      </c>
      <c r="W9" s="133" cm="1">
        <f t="array" aca="1" ref="W9" ca="1">IF($F9="Terminated",0,IF($AA9=0,0,IF(ISNA(MATCH(W$5,CompListItem,0)),0,IF(COUNTIFS(OverEmp,$C9,OverComp,W$5,OverDate,"&lt;"&amp;DATE(YEAR($AC9),MONTH($AC9)+1,1),OverEnd,"&gt;="&amp;DATE(YEAR($AC9),MONTH($AC9),1))&gt;0,SUMIFS(OverValue,OverEmp,$C9,OverComp,W$5,OverDate,"&lt;"&amp;DATE(YEAR($AC9),MONTH($AC9)+1,1),OverEnd,"&gt;="&amp;DATE(YEAR($AC9),MONTH($AC9),1)),IF(OR(W$2="Fixed",W$2="Not Used"),(OFFSET(Setup!$E$81,MATCH(W$5,CompListItem,0),0,1,1)*$AA9)-SUMIFS(OFFSET(W$6,1,0,PayCount,1),PayDate,"&lt;"&amp;$AC9,PayEmp,$C9),IF(ISNA(MATCH(W$2,DedListItem,0))=FALSE,(SUMPRODUCT((PayEmp=$C9)*(PayDate&lt;=$AC9)*(PayDedList=W$2)*(PayDedValues))*OFFSET(Setup!$E$81,MATCH(W$5,CompListItem,0),0,1,1))-SUMIFS(OFFSET(W$6,1,0,PayCount,1),PayDate,"&lt;"&amp;$AC9,PayEmp,$C9),(MIN(IF(OFFSET(Setup!$G$81,MATCH(W$5,CompListItem,0),0,1,1)="Taxable",SUMPRODUCT((PayEmp=$C9)*(PayDate&lt;=$AC9)*(ISERROR(SEARCH(PayEarnCode,W$4)))*(PayEarnTax)*(PayEarnValues)),SUMPRODUCT((PayEmp=$C9)*(PayDate&lt;=$AC9)*(ISERROR(SEARCH(PayEarnCode,W$4)))*(PayEarnValues))),IF(ISNUMBER(W$3),W$3/12*$AA9,IgnoreMin)))*OFFSET(Setup!$E$81,MATCH(W$5,CompListItem,0),0,1,1)-SUMIFS(OFFSET(W$6,1,0,PayCount,1),PayDate,"&lt;"&amp;$AC9,PayEmp,$C9)))))))</f>
        <v>0</v>
      </c>
      <c r="X9" s="133">
        <f t="shared" ca="1" si="3"/>
        <v>300</v>
      </c>
      <c r="Y9" s="133">
        <f t="shared" ca="1" si="4"/>
        <v>15300</v>
      </c>
      <c r="Z9" s="133">
        <f t="shared" ca="1" si="5"/>
        <v>1349.75</v>
      </c>
      <c r="AA9" s="183">
        <f ca="1">IF(OR($B9&lt;=Setup!$E$12,$B9&gt;=Setup!$D$12+1),0,IF($F9&lt;&gt;"Active",0,IF($AE9="Yes",$AB9,((YEAR($AC9)*12)+MONTH($AC9))-((YEAR($AD9)*12)+MONTH($AD9)-1))))</f>
        <v>1</v>
      </c>
      <c r="AB9" s="183">
        <f ca="1">IF(OR($B9&lt;=Setup!$E$12,$B9&gt;=Setup!$D$12+1),0,((YEAR($AC9)*12)+MONTH($AC9))-((YEAR(Setup!$E$12)*12)+MONTH(Setup!$E$12)))</f>
        <v>1</v>
      </c>
      <c r="AC9" s="129">
        <f t="shared" ca="1" si="6"/>
        <v>45010</v>
      </c>
      <c r="AD9" s="184">
        <f ca="1">IF(ISNA(VLOOKUP($C9,EmpAll,COLUMN(Emp!$E$4),0)),$AC9,IF(VLOOKUP($C9,EmpAll,COLUMN(Emp!$E$4),0)&lt;=Setup!$E$12,DATE(YEAR(Setup!$E$12),MONTH(Setup!$E$12)+1,1),VLOOKUP($C9,EmpAll,COLUMN(Emp!$E$4),0)))</f>
        <v>44986</v>
      </c>
      <c r="AE9" s="184" t="str">
        <f ca="1">IF(ISNA(VLOOKUP($C9,EmpAll,COLUMN(Emp!$G$1),0)),"-",IF(VLOOKUP($C9,EmpAll,COLUMN(Emp!$G$1),0)=0,"-",VLOOKUP($C9,EmpAll,COLUMN(Emp!$G$1),0)))</f>
        <v>-</v>
      </c>
      <c r="AF9" s="130">
        <f ca="1">IF(A9=PaySlip!$G$3,1,0)</f>
        <v>0</v>
      </c>
      <c r="AG9" s="130" cm="1">
        <f t="array" aca="1" ref="AG9" ca="1">IF(COUNTIFS(OverEmp,$C9,OverMed,"MED",OverDate,"&lt;"&amp;DATE(YEAR($AC9),MONTH($AC9)+1,1),OverEnd,"&gt;="&amp;DATE(YEAR($AC9),MONTH($AC9),1))&gt;0,SUMIFS(OverValue,OverEmp,$C9,OverMed,"MED",OverDate,"&lt;"&amp;DATE(YEAR($AC9),MONTH($AC9)+1,1),OverEnd,"&gt;="&amp;DATE(YEAR($AC9),MONTH($AC9),1)),IF(ISNA(VLOOKUP($C9,EmpAll,COLUMN(Emp!$N$4),0)),0,VLOOKUP($C9,EmpAll,COLUMN(Emp!$N$4),0)))</f>
        <v>1</v>
      </c>
      <c r="AH9" s="183">
        <f ca="1">VLOOKUP($AG9,MedList,COLUMN(Setup!$C$49),1)</f>
        <v>364</v>
      </c>
      <c r="AI9" s="183">
        <f t="shared" ca="1" si="7"/>
        <v>4368</v>
      </c>
      <c r="AJ9" s="101" t="str">
        <f ca="1">IF(ISNA(VLOOKUP($C9,EmpAll,COLUMN(Emp!$L$4),0)),"None!",VLOOKUP($C9,EmpAll,COLUMN(Emp!$L$4),0))</f>
        <v>A</v>
      </c>
      <c r="AK9" s="147">
        <f t="shared" ca="1" si="8"/>
        <v>17235</v>
      </c>
      <c r="AL9" s="101" t="str">
        <f ca="1">IF(ISNA(VLOOKUP($C9,Employees[],COLUMN(Emp!$M$4),0))=TRUE,"Error!",IF(VLOOKUP($C9,Employees[],COLUMN(Emp!$M$4),0)=0,"Yes",VLOOKUP($C9,Employees[],COLUMN(Emp!$M$4),0)))</f>
        <v>A</v>
      </c>
      <c r="AM9" s="148">
        <f t="shared" ca="1" si="9"/>
        <v>180000</v>
      </c>
      <c r="AN9" s="148" cm="1">
        <f t="array" aca="1" ref="AN9" ca="1">-IF($F9="Terminated",0,IF($AA9=0,0,IF(ISNA(MATCH(AN$5,PayDedList,0)),0,MIN(IF(COUNTIFS(OverEmp,$C9,OverDeduct,AN$5,OverDate,"&lt;"&amp;DATE(YEAR($AC9),MONTH($AC9)+1,1),OverEnd,"&gt;="&amp;DATE(YEAR($AC9),MONTH($AC9),1))&gt;0,SUMPRODUCT((PayEmp=$C9)*(PayDate&lt;=$AC9)*(OFFSET($N$6,1,MATCH(AN$5,PayDedList,0)-1,PayCount,1)))/$AA9*12*AN$3,IF(OR(AN$1="Fixed",AN$1="Not Used"),SUMPRODUCT((PayEmp=$C9)*(PayDate&lt;=$AC9)*(OFFSET($N$6,1,MATCH(AN$5,PayDedList,0)-1,PayCount,1)))/$AA9*12*AN$3,IF(ISNA(MATCH(AN$1,EarnListItem,0))=FALSE,SUMPRODUCT((PayEmp=$C9)*(PayDate&lt;=$AC9)*(OFFSET($N$6,1,MATCH(AN$5,PayDedList,0)-1,PayCount,1)))/$AA9*12*AN$3,(MIN(((SUMPRODUCT((PayEmp=$C9)*(PayDate&lt;=$AC9)*(ISERROR(SEARCH(PayEarnCode,AN$2)))*(PayEarnType="Monthly")*(PayEarnValues))/$AA9*12)+(SUMPRODUCT((PayEmp=$C9)*(PayDate&lt;=$AC9)*(ISERROR(SEARCH(PayEarnCode,AN$2)))*(PayEarnType="Quarterly")*(PayEarnValues))/MAX(1,ROUNDDOWN($AB9/3,0))*4)+(SUMPRODUCT((PayEmp=$C9)*(PayDate&lt;=$AC9)*(ISERROR(SEARCH(PayEarnCode,AN$2)))*(PayEarnType="Bi-Annual")*(PayEarnValues))/MAX(1,ROUNDDOWN($AB9/6,0))*2)+(SUMPRODUCT((PayEmp=$C9)*(PayDate&lt;=$AC9)*(ISERROR(SEARCH(PayEarnCode,AN$2)))*(PayEarnType="Annual")*(PayEarnValues)))),IF(ISNUMBER(OFFSET($N$3,0,MATCH(AN$5,PayDedList,0)-1,1,1)),OFFSET($N$3,0,MATCH(AN$5,PayDedList,0)-1,1,1),IgnoreMin)))*IF(COUNTIFS(EmpNo,$C9,OFFSET(Emp!$R$4,1,MATCH(AN$5,DedListItem,0)-1,EmpCount,1),"&lt;&gt;")&gt;0,VLOOKUP($C9,EmpAll,COLUMN(Emp!$R$4)+MATCH(AN$5,DedListItem,0)-1,0),OFFSET(Setup!$E$73,MATCH(AN$5,DedListItem,0),0,1,1))*AN$3))),IF(ISNUMBER(AN$4),AN$4,IgnoreMin)))))</f>
        <v>0</v>
      </c>
      <c r="AO9" s="148" cm="1">
        <f t="array" aca="1" ref="AO9" ca="1">-IF($F9="Terminated",0,IF($AA9=0,0,IF(ISNA(MATCH(AO$5,PayDedList,0)),0,MIN(IF(COUNTIFS(OverEmp,$C9,OverDeduct,AO$5,OverDate,"&lt;"&amp;DATE(YEAR($AC9),MONTH($AC9)+1,1),OverEnd,"&gt;="&amp;DATE(YEAR($AC9),MONTH($AC9),1))&gt;0,SUMPRODUCT((PayEmp=$C9)*(PayDate&lt;=$AC9)*(OFFSET($N$6,1,MATCH(AO$5,PayDedList,0)-1,PayCount,1)))/$AA9*12*AO$3,IF(OR(AO$1="Fixed",AO$1="Not Used"),SUMPRODUCT((PayEmp=$C9)*(PayDate&lt;=$AC9)*(OFFSET($N$6,1,MATCH(AO$5,PayDedList,0)-1,PayCount,1)))/$AA9*12*AO$3,IF(ISNA(MATCH(AO$1,EarnListItem,0))=FALSE,SUMPRODUCT((PayEmp=$C9)*(PayDate&lt;=$AC9)*(OFFSET($N$6,1,MATCH(AO$5,PayDedList,0)-1,PayCount,1)))/$AA9*12*AO$3,(MIN(((SUMPRODUCT((PayEmp=$C9)*(PayDate&lt;=$AC9)*(ISERROR(SEARCH(PayEarnCode,AO$2)))*(PayEarnType="Monthly")*(PayEarnValues))/$AA9*12)+(SUMPRODUCT((PayEmp=$C9)*(PayDate&lt;=$AC9)*(ISERROR(SEARCH(PayEarnCode,AO$2)))*(PayEarnType="Quarterly")*(PayEarnValues))/MAX(1,ROUNDDOWN($AB9/3,0))*4)+(SUMPRODUCT((PayEmp=$C9)*(PayDate&lt;=$AC9)*(ISERROR(SEARCH(PayEarnCode,AO$2)))*(PayEarnType="Bi-Annual")*(PayEarnValues))/MAX(1,ROUNDDOWN($AB9/6,0))*2)+(SUMPRODUCT((PayEmp=$C9)*(PayDate&lt;=$AC9)*(ISERROR(SEARCH(PayEarnCode,AO$2)))*(PayEarnType="Annual")*(PayEarnValues)))),IF(ISNUMBER(OFFSET($N$3,0,MATCH(AO$5,PayDedList,0)-1,1,1)),OFFSET($N$3,0,MATCH(AO$5,PayDedList,0)-1,1,1),IgnoreMin)))*IF(COUNTIFS(EmpNo,$C9,OFFSET(Emp!$R$4,1,MATCH(AO$5,DedListItem,0)-1,EmpCount,1),"&lt;&gt;")&gt;0,VLOOKUP($C9,EmpAll,COLUMN(Emp!$R$4)+MATCH(AO$5,DedListItem,0)-1,0),OFFSET(Setup!$E$73,MATCH(AO$5,DedListItem,0),0,1,1))*AO$3))),IF(ISNUMBER(AO$4),AO$4,IgnoreMin)))))</f>
        <v>0</v>
      </c>
      <c r="AP9" s="148" cm="1">
        <f t="array" aca="1" ref="AP9" ca="1">-IF($F9="Terminated",0,IF($AA9=0,0,IF(ISNA(MATCH(AP$5,PayDedList,0)),0,MIN(IF(COUNTIFS(OverEmp,$C9,OverDeduct,AP$5,OverDate,"&lt;"&amp;DATE(YEAR($AC9),MONTH($AC9)+1,1),OverEnd,"&gt;="&amp;DATE(YEAR($AC9),MONTH($AC9),1))&gt;0,SUMPRODUCT((PayEmp=$C9)*(PayDate&lt;=$AC9)*(OFFSET($N$6,1,MATCH(AP$5,PayDedList,0)-1,PayCount,1)))/$AA9*12*AP$3,IF(OR(AP$1="Fixed",AP$1="Not Used"),SUMPRODUCT((PayEmp=$C9)*(PayDate&lt;=$AC9)*(OFFSET($N$6,1,MATCH(AP$5,PayDedList,0)-1,PayCount,1)))/$AA9*12*AP$3,IF(ISNA(MATCH(AP$1,EarnListItem,0))=FALSE,SUMPRODUCT((PayEmp=$C9)*(PayDate&lt;=$AC9)*(OFFSET($N$6,1,MATCH(AP$5,PayDedList,0)-1,PayCount,1)))/$AA9*12*AP$3,(MIN(((SUMPRODUCT((PayEmp=$C9)*(PayDate&lt;=$AC9)*(ISERROR(SEARCH(PayEarnCode,AP$2)))*(PayEarnType="Monthly")*(PayEarnValues))/$AA9*12)+(SUMPRODUCT((PayEmp=$C9)*(PayDate&lt;=$AC9)*(ISERROR(SEARCH(PayEarnCode,AP$2)))*(PayEarnType="Quarterly")*(PayEarnValues))/MAX(1,ROUNDDOWN($AB9/3,0))*4)+(SUMPRODUCT((PayEmp=$C9)*(PayDate&lt;=$AC9)*(ISERROR(SEARCH(PayEarnCode,AP$2)))*(PayEarnType="Bi-Annual")*(PayEarnValues))/MAX(1,ROUNDDOWN($AB9/6,0))*2)+(SUMPRODUCT((PayEmp=$C9)*(PayDate&lt;=$AC9)*(ISERROR(SEARCH(PayEarnCode,AP$2)))*(PayEarnType="Annual")*(PayEarnValues)))),IF(ISNUMBER(OFFSET($N$3,0,MATCH(AP$5,PayDedList,0)-1,1,1)),OFFSET($N$3,0,MATCH(AP$5,PayDedList,0)-1,1,1),IgnoreMin)))*IF(COUNTIFS(EmpNo,$C9,OFFSET(Emp!$R$4,1,MATCH(AP$5,DedListItem,0)-1,EmpCount,1),"&lt;&gt;")&gt;0,VLOOKUP($C9,EmpAll,COLUMN(Emp!$R$4)+MATCH(AP$5,DedListItem,0)-1,0),OFFSET(Setup!$E$73,MATCH(AP$5,DedListItem,0),0,1,1))*AP$3))),IF(ISNUMBER(AP$4),AP$4,IgnoreMin)))))</f>
        <v>0</v>
      </c>
      <c r="AQ9" s="148" cm="1">
        <f t="array" aca="1" ref="AQ9" ca="1">-IF($F9="Terminated",0,IF($AA9=0,0,IF(ISNA(MATCH(AQ$5,PayDedList,0)),0,MIN(IF(COUNTIFS(OverEmp,$C9,OverDeduct,AQ$5,OverDate,"&lt;"&amp;DATE(YEAR($AC9),MONTH($AC9)+1,1),OverEnd,"&gt;="&amp;DATE(YEAR($AC9),MONTH($AC9),1))&gt;0,SUMPRODUCT((PayEmp=$C9)*(PayDate&lt;=$AC9)*(OFFSET($N$6,1,MATCH(AQ$5,PayDedList,0)-1,PayCount,1)))/$AA9*12*AQ$3,IF(OR(AQ$1="Fixed",AQ$1="Not Used"),SUMPRODUCT((PayEmp=$C9)*(PayDate&lt;=$AC9)*(OFFSET($N$6,1,MATCH(AQ$5,PayDedList,0)-1,PayCount,1)))/$AA9*12*AQ$3,IF(ISNA(MATCH(AQ$1,EarnListItem,0))=FALSE,SUMPRODUCT((PayEmp=$C9)*(PayDate&lt;=$AC9)*(OFFSET($N$6,1,MATCH(AQ$5,PayDedList,0)-1,PayCount,1)))/$AA9*12*AQ$3,(MIN(((SUMPRODUCT((PayEmp=$C9)*(PayDate&lt;=$AC9)*(ISERROR(SEARCH(PayEarnCode,AQ$2)))*(PayEarnType="Monthly")*(PayEarnValues))/$AA9*12)+(SUMPRODUCT((PayEmp=$C9)*(PayDate&lt;=$AC9)*(ISERROR(SEARCH(PayEarnCode,AQ$2)))*(PayEarnType="Quarterly")*(PayEarnValues))/MAX(1,ROUNDDOWN($AB9/3,0))*4)+(SUMPRODUCT((PayEmp=$C9)*(PayDate&lt;=$AC9)*(ISERROR(SEARCH(PayEarnCode,AQ$2)))*(PayEarnType="Bi-Annual")*(PayEarnValues))/MAX(1,ROUNDDOWN($AB9/6,0))*2)+(SUMPRODUCT((PayEmp=$C9)*(PayDate&lt;=$AC9)*(ISERROR(SEARCH(PayEarnCode,AQ$2)))*(PayEarnType="Annual")*(PayEarnValues)))),IF(ISNUMBER(OFFSET($N$3,0,MATCH(AQ$5,PayDedList,0)-1,1,1)),OFFSET($N$3,0,MATCH(AQ$5,PayDedList,0)-1,1,1),IgnoreMin)))*IF(COUNTIFS(EmpNo,$C9,OFFSET(Emp!$R$4,1,MATCH(AQ$5,DedListItem,0)-1,EmpCount,1),"&lt;&gt;")&gt;0,VLOOKUP($C9,EmpAll,COLUMN(Emp!$R$4)+MATCH(AQ$5,DedListItem,0)-1,0),OFFSET(Setup!$E$73,MATCH(AQ$5,DedListItem,0),0,1,1))*AQ$3))),IF(ISNUMBER(AQ$4),AQ$4,IgnoreMin)))))</f>
        <v>0</v>
      </c>
      <c r="AR9" s="148">
        <f t="shared" ca="1" si="10"/>
        <v>180000</v>
      </c>
      <c r="AS9" s="148">
        <f t="shared" ca="1" si="11"/>
        <v>180000</v>
      </c>
      <c r="AT9" s="148" cm="1">
        <f t="array" aca="1" ref="AT9" ca="1">-IF($F9="Terminated",0,IF($AA9=0,0,IF(ISNA(MATCH(AT$5,PayDedList,0)),0,MIN(IF(COUNTIFS(OverEmp,$C9,OverDeduct,AT$5,OverDate,"&lt;"&amp;DATE(YEAR($AC9),MONTH($AC9)+1,1),OverEnd,"&gt;="&amp;DATE(YEAR($AC9),MONTH($AC9),1))&gt;0,SUMPRODUCT((PayEmp=$C9)*(PayDate&lt;=$AC9)*(OFFSET($N$6,1,MATCH(AT$5,PayDedList,0)-1,PayCount,1)))/$AA9*12*AT$3,IF(OR(AT$1="Fixed",AT$1="Not Used"),SUMPRODUCT((PayEmp=$C9)*(PayDate&lt;=$AC9)*(OFFSET($N$6,1,MATCH(AT$5,PayDedList,0)-1,PayCount,1)))/$AA9*12*AT$3,IF(ISNA(MATCH(OFFSET($N$2,0,MATCH(AT$5,PayDedList,0)-1,1,1),EarnListItem,0))=FALSE,SUMPRODUCT((PayEmp=$C9)*(PayDate&lt;=$AC9)*(OFFSET($N$6,1,MATCH(AT$5,PayDedList,0)-1,PayCount,1)))/$AA9*12*AT$3,(MIN(SUMPRODUCT((PayEmp=$C9)*(PayDate&lt;=$AC9)*(ISERROR(SEARCH(PayEarnCode,AT$2)))*(PayEarnType="Monthly")*(PayEarnValues))/$AA9*12,IF(ISNUMBER(OFFSET($N$3,0,MATCH(AT$5,PayDedList,0)-1,1,1)),OFFSET($N$3,0,MATCH(AT$5,PayDedList,0)-1,1,1),IgnoreMin)))*IF(COUNTIFS(EmpNo,$C9,OFFSET(Emp!$R$4,1,MATCH(AT$5,DedListItem,0)-1,EmpCount,1),"&lt;&gt;")&gt;0,VLOOKUP($C9,EmpAll,COLUMN(Emp!$R$4)+MATCH(AT$5,DedListItem,0)-1,0),OFFSET(Setup!$E$73,MATCH(AT$5,DedListItem,0),0,1,1))*AT$3))),IF(ISNUMBER(AT$4),AT$4,IgnoreMin)))))</f>
        <v>0</v>
      </c>
      <c r="AU9" s="148" cm="1">
        <f t="array" aca="1" ref="AU9" ca="1">-IF($F9="Terminated",0,IF($AA9=0,0,IF(ISNA(MATCH(AU$5,PayDedList,0)),0,MIN(IF(COUNTIFS(OverEmp,$C9,OverDeduct,AU$5,OverDate,"&lt;"&amp;DATE(YEAR($AC9),MONTH($AC9)+1,1),OverEnd,"&gt;="&amp;DATE(YEAR($AC9),MONTH($AC9),1))&gt;0,SUMPRODUCT((PayEmp=$C9)*(PayDate&lt;=$AC9)*(OFFSET($N$6,1,MATCH(AU$5,PayDedList,0)-1,PayCount,1)))/$AA9*12*AU$3,IF(OR(AU$1="Fixed",AU$1="Not Used"),SUMPRODUCT((PayEmp=$C9)*(PayDate&lt;=$AC9)*(OFFSET($N$6,1,MATCH(AU$5,PayDedList,0)-1,PayCount,1)))/$AA9*12*AU$3,IF(ISNA(MATCH(OFFSET($N$2,0,MATCH(AU$5,PayDedList,0)-1,1,1),EarnListItem,0))=FALSE,SUMPRODUCT((PayEmp=$C9)*(PayDate&lt;=$AC9)*(OFFSET($N$6,1,MATCH(AU$5,PayDedList,0)-1,PayCount,1)))/$AA9*12*AU$3,(MIN(SUMPRODUCT((PayEmp=$C9)*(PayDate&lt;=$AC9)*(ISERROR(SEARCH(PayEarnCode,AU$2)))*(PayEarnType="Monthly")*(PayEarnValues))/$AA9*12,IF(ISNUMBER(OFFSET($N$3,0,MATCH(AU$5,PayDedList,0)-1,1,1)),OFFSET($N$3,0,MATCH(AU$5,PayDedList,0)-1,1,1),IgnoreMin)))*IF(COUNTIFS(EmpNo,$C9,OFFSET(Emp!$R$4,1,MATCH(AU$5,DedListItem,0)-1,EmpCount,1),"&lt;&gt;")&gt;0,VLOOKUP($C9,EmpAll,COLUMN(Emp!$R$4)+MATCH(AU$5,DedListItem,0)-1,0),OFFSET(Setup!$E$73,MATCH(AU$5,DedListItem,0),0,1,1))*AU$3))),IF(ISNUMBER(AU$4),AU$4,IgnoreMin)))))</f>
        <v>0</v>
      </c>
      <c r="AV9" s="148" cm="1">
        <f t="array" aca="1" ref="AV9" ca="1">-IF($F9="Terminated",0,IF($AA9=0,0,IF(ISNA(MATCH(AV$5,PayDedList,0)),0,MIN(IF(COUNTIFS(OverEmp,$C9,OverDeduct,AV$5,OverDate,"&lt;"&amp;DATE(YEAR($AC9),MONTH($AC9)+1,1),OverEnd,"&gt;="&amp;DATE(YEAR($AC9),MONTH($AC9),1))&gt;0,SUMPRODUCT((PayEmp=$C9)*(PayDate&lt;=$AC9)*(OFFSET($N$6,1,MATCH(AV$5,PayDedList,0)-1,PayCount,1)))/$AA9*12*AV$3,IF(OR(AV$1="Fixed",AV$1="Not Used"),SUMPRODUCT((PayEmp=$C9)*(PayDate&lt;=$AC9)*(OFFSET($N$6,1,MATCH(AV$5,PayDedList,0)-1,PayCount,1)))/$AA9*12*AV$3,IF(ISNA(MATCH(OFFSET($N$2,0,MATCH(AV$5,PayDedList,0)-1,1,1),EarnListItem,0))=FALSE,SUMPRODUCT((PayEmp=$C9)*(PayDate&lt;=$AC9)*(OFFSET($N$6,1,MATCH(AV$5,PayDedList,0)-1,PayCount,1)))/$AA9*12*AV$3,(MIN(SUMPRODUCT((PayEmp=$C9)*(PayDate&lt;=$AC9)*(ISERROR(SEARCH(PayEarnCode,AV$2)))*(PayEarnType="Monthly")*(PayEarnValues))/$AA9*12,IF(ISNUMBER(OFFSET($N$3,0,MATCH(AV$5,PayDedList,0)-1,1,1)),OFFSET($N$3,0,MATCH(AV$5,PayDedList,0)-1,1,1),IgnoreMin)))*IF(COUNTIFS(EmpNo,$C9,OFFSET(Emp!$R$4,1,MATCH(AV$5,DedListItem,0)-1,EmpCount,1),"&lt;&gt;")&gt;0,VLOOKUP($C9,EmpAll,COLUMN(Emp!$R$4)+MATCH(AV$5,DedListItem,0)-1,0),OFFSET(Setup!$E$73,MATCH(AV$5,DedListItem,0),0,1,1))*AV$3))),IF(ISNUMBER(AV$4),AV$4,IgnoreMin)))))</f>
        <v>0</v>
      </c>
      <c r="AW9" s="148" cm="1">
        <f t="array" aca="1" ref="AW9" ca="1">-IF($F9="Terminated",0,IF($AA9=0,0,IF(ISNA(MATCH(AW$5,PayDedList,0)),0,MIN(IF(COUNTIFS(OverEmp,$C9,OverDeduct,AW$5,OverDate,"&lt;"&amp;DATE(YEAR($AC9),MONTH($AC9)+1,1),OverEnd,"&gt;="&amp;DATE(YEAR($AC9),MONTH($AC9),1))&gt;0,SUMPRODUCT((PayEmp=$C9)*(PayDate&lt;=$AC9)*(OFFSET($N$6,1,MATCH(AW$5,PayDedList,0)-1,PayCount,1)))/$AA9*12*AW$3,IF(OR(AW$1="Fixed",AW$1="Not Used"),SUMPRODUCT((PayEmp=$C9)*(PayDate&lt;=$AC9)*(OFFSET($N$6,1,MATCH(AW$5,PayDedList,0)-1,PayCount,1)))/$AA9*12*AW$3,IF(ISNA(MATCH(OFFSET($N$2,0,MATCH(AW$5,PayDedList,0)-1,1,1),EarnListItem,0))=FALSE,SUMPRODUCT((PayEmp=$C9)*(PayDate&lt;=$AC9)*(OFFSET($N$6,1,MATCH(AW$5,PayDedList,0)-1,PayCount,1)))/$AA9*12*AW$3,(MIN(SUMPRODUCT((PayEmp=$C9)*(PayDate&lt;=$AC9)*(ISERROR(SEARCH(PayEarnCode,AW$2)))*(PayEarnType="Monthly")*(PayEarnValues))/$AA9*12,IF(ISNUMBER(OFFSET($N$3,0,MATCH(AW$5,PayDedList,0)-1,1,1)),OFFSET($N$3,0,MATCH(AW$5,PayDedList,0)-1,1,1),IgnoreMin)))*IF(COUNTIFS(EmpNo,$C9,OFFSET(Emp!$R$4,1,MATCH(AW$5,DedListItem,0)-1,EmpCount,1),"&lt;&gt;")&gt;0,VLOOKUP($C9,EmpAll,COLUMN(Emp!$R$4)+MATCH(AW$5,DedListItem,0)-1,0),OFFSET(Setup!$E$73,MATCH(AW$5,DedListItem,0),0,1,1))*AW$3))),IF(ISNUMBER(AW$4),AW$4,IgnoreMin)))))</f>
        <v>0</v>
      </c>
      <c r="AX9" s="148">
        <f t="shared" ca="1" si="12"/>
        <v>180000</v>
      </c>
      <c r="AY9" s="148">
        <f t="shared" ca="1" si="13"/>
        <v>0</v>
      </c>
      <c r="AZ9" s="148">
        <f ca="1">IF(ISNUMBER($AL9),($AR9*$AL9)-$AI9-$AK9,MAX(0,IF($AL9="B",IF($AR9&lt;Setup!$C$32,($AR9*Setup!$D$32)-$AI9-$AK9,(($AR9-VLOOKUP($AR9,TaxAll2,1,1))*OFFSET(Setup!$D$32,MATCH($AR9,TaxBracket2,1),0,1,1))+OFFSET(Setup!$E$31,MATCH($AR9,TaxBracket2,1),0,1,1)-$AI9-$AK9),IF($AR9&lt;Setup!$C$21,($AR9*Setup!$D$21)-$AI9-$AK9,(($AR9-VLOOKUP($AR9,TaxAll1,1,1))*OFFSET(Setup!$D$21,MATCH($AR9,TaxBracket1,1),0,1,1))+OFFSET(Setup!$E$20,MATCH($AR9,TaxBracket1,1),0,1,1)-$AI9-$AK9))))</f>
        <v>10797</v>
      </c>
      <c r="BA9" s="148">
        <f ca="1">IF(ISNUMBER($AL9),($AX9*$AL9)-$AI9-$AK9,MAX(0,IF($AL9="B",IF($AX9&lt;Setup!$C$32,($AX9*Setup!$D$32)-$AI9-$AK9,(($AX9-VLOOKUP($AX9,TaxAll2,1,1))*OFFSET(Setup!$D$32,MATCH($AX9,TaxBracket2,1),0,1,1))+OFFSET(Setup!$E$31,MATCH($AX9,TaxBracket2,1),0,1,1)-$AI9-$AK9),IF($AX9&lt;Setup!$C$21,($AX9*Setup!$D$21)-$AI9-$AK9,(($AX9-VLOOKUP($AX9,TaxAll1,1,1))*OFFSET(Setup!$D$21,MATCH($AX9,TaxBracket1,1),0,1,1))+OFFSET(Setup!$E$20,MATCH($AX9,TaxBracket1,1),0,1,1)-$AI9-$AK9))))</f>
        <v>10797</v>
      </c>
      <c r="BB9" s="148">
        <f t="shared" ca="1" si="14"/>
        <v>0</v>
      </c>
      <c r="BC9" s="150">
        <f t="shared" ca="1" si="15"/>
        <v>1</v>
      </c>
      <c r="BD9" s="150">
        <f t="shared" ca="1" si="16"/>
        <v>0</v>
      </c>
      <c r="BE9" s="148">
        <f t="shared" ca="1" si="17"/>
        <v>180000</v>
      </c>
    </row>
    <row r="10" spans="1:57" ht="16.149999999999999" customHeight="1" x14ac:dyDescent="0.25">
      <c r="A10" s="9" t="str" cm="1">
        <f t="array" aca="1" ref="A10" ca="1">IF(ROW($A10)-ROW($A$6)&gt;EmpCount*12,"-",TEXT($B10,"yyyy")&amp;TEXT($B10,"mm")&amp;"-"&amp;$C10)</f>
        <v>202303-EXS004</v>
      </c>
      <c r="B10" s="129" cm="1">
        <f t="array" aca="1" ref="B10" ca="1">IF(ROW($A10)-ROW($A$6)&gt;EmpCount*12,Setup!$D$12,DATE(YEAR(Setup!$F$12),MONTH(Setup!$F$12)+ROUNDDOWN((ROW($A10)-ROW($A$6)-1)/EmpCount,0),IF(Setup!$C$14&gt;DAY(DATE(YEAR(Setup!$F$12),MONTH(Setup!$F$12)+ROUNDDOWN((ROW($A10)-ROW($A$6)-1)/EmpCount,0)+1,0)),DAY(DATE(YEAR(Setup!$F$12),MONTH(Setup!$F$12)+ROUNDDOWN((ROW($A10)-ROW($A$6)-1)/EmpCount,0)+1,0)),Setup!$C$14)))</f>
        <v>45010</v>
      </c>
      <c r="C10" s="130" t="str" cm="1">
        <f t="array" aca="1" ref="C10" ca="1">IF(ROW($A10)-ROW($A$6)&gt;EmpCount*12,"-",OFFSET(Emp!$A$4,ROW($A10)-ROW($A$6)-IF(ROW($A10)-ROW($A$6)&gt;EmpCount,ROUNDDOWN((ROW($A10)-ROW($A$6)-1)/EmpCount,0)*EmpCount,0),0,1,1))</f>
        <v>EXS004</v>
      </c>
      <c r="D10" s="9" t="str">
        <f ca="1">IF(ISNA(VLOOKUP($C10,EmpAll,COLUMN(Emp!$B$4),0)),"-",VLOOKUP($C10,EmpAll,COLUMN(Emp!$B$4),0))</f>
        <v>Osborne S</v>
      </c>
      <c r="E10" s="130" t="str">
        <f ca="1">IF(ISNA(VLOOKUP($C10,EmpAll,COLUMN(Emp!$C$4),0)),"-",VLOOKUP($C10,EmpAll,COLUMN(Emp!$C$4),0))</f>
        <v>S</v>
      </c>
      <c r="F10" s="130" t="str">
        <f ca="1">IF(ISNA(VLOOKUP($C10,EmpAll,COLUMN(Emp!$A$4),0)),"-",IF(AND(VLOOKUP($C10,EmpAll,COLUMN(Emp!$E$4),0)&lt;&gt;0,VLOOKUP($C10,EmpAll,COLUMN(Emp!$E$4),0)&gt;=DATE(YEAR($AC10),MONTH($AC10)+1,0)),"Inactive",IF(AND(VLOOKUP($C10,EmpAll,COLUMN(Emp!$F$4),0)&lt;&gt;0,VLOOKUP($C10,EmpAll,COLUMN(Emp!$F$4),0)&lt;=DATE(YEAR($AC10),MONTH($AC10),0)),"Terminated","Active")))</f>
        <v>Active</v>
      </c>
      <c r="G10" s="133" cm="1">
        <f t="array" aca="1" ref="G10" ca="1">IF($F10&lt;&gt;"Active",0,IF(COUNTIFS(OverEmp,$C10,OverEarn,G$2,OverDate,"&lt;"&amp;DATE(YEAR($AC10),MONTH($AC10)+1,1),OverEnd,"&gt;="&amp;DATE(YEAR($AC10),MONTH($AC10),1))&gt;0,SUMIFS(OverValue,OverEmp,$C10,OverEarn,G$2,OverDate,"&lt;"&amp;DATE(YEAR($AC10),MONTH($AC10)+1,1),OverEnd,"&gt;="&amp;DATE(YEAR($AC10),MONTH($AC10),1)),IF(AND($AC10&gt;=Setup!$E$10,SUMIFS(EmpIncrease,EmpCode,$C10)&gt;0),SUMIFS(EmpIncrease,EmpCode,$C10),SUMIFS(EmpSalary,EmpCode,$C10))))</f>
        <v>15000</v>
      </c>
      <c r="H10" s="133" cm="1">
        <f t="array" aca="1" ref="H10" ca="1">IF($F10&lt;&gt;"Active",0,IF(COUNTIFS(OverEmp,$C10,OverEarn,H$2,OverDate,"&lt;"&amp;DATE(YEAR($AC10),MONTH($AC10)+1,1),OverEnd,"&gt;="&amp;DATE(YEAR($AC10),MONTH($AC10),1))&gt;0,SUMIFS(OverValue,OverEmp,$C10,OverEarn,H$2,OverDate,"&lt;"&amp;DATE(YEAR($AC10),MONTH($AC10)+1,1),OverEnd,"&gt;="&amp;DATE(YEAR($AC10),MONTH($AC10),1)),0))</f>
        <v>3600</v>
      </c>
      <c r="I10" s="133" cm="1">
        <f t="array" aca="1" ref="I10" ca="1">IF($F10&lt;&gt;"Active",0,IF(COUNTIFS(OverEmp,$C10,OverEarn,I$2,OverDate,"&lt;"&amp;DATE(YEAR($AC10),MONTH($AC10)+1,1),OverEnd,"&gt;="&amp;DATE(YEAR($AC10),MONTH($AC10),1))&gt;0,SUMIFS(OverValue,OverEmp,$C10,OverEarn,I$2,OverDate,"&lt;"&amp;DATE(YEAR($AC10),MONTH($AC10)+1,1),OverEnd,"&gt;="&amp;DATE(YEAR($AC10),MONTH($AC10),1)),IF(MONTH(B10)=Setup!$C$15,SUMIFS(EmpBonus,EmpCode,$C10),0)))</f>
        <v>0</v>
      </c>
      <c r="J10" s="133" cm="1">
        <f t="array" aca="1" ref="J10" ca="1">IF($F10&lt;&gt;"Active",0,IF(COUNTIFS(OverEmp,$C10,OverEarn,J$2,OverDate,"&lt;"&amp;DATE(YEAR($AC10),MONTH($AC10)+1,1),OverEnd,"&gt;="&amp;DATE(YEAR($AC10),MONTH($AC10),1))&gt;0,SUMIFS(OverValue,OverEmp,$C10,OverEarn,J$2,OverDate,"&lt;"&amp;DATE(YEAR($AC10),MONTH($AC10)+1,1),OverEnd,"&gt;="&amp;DATE(YEAR($AC10),MONTH($AC10),1)),0))</f>
        <v>0</v>
      </c>
      <c r="K10" s="133" cm="1">
        <f t="array" aca="1" ref="K10" ca="1">IF($F10&lt;&gt;"Active",0,IF(COUNTIFS(OverEmp,$C10,OverEarn,K$2,OverDate,"&lt;"&amp;DATE(YEAR($AC10),MONTH($AC10)+1,1),OverEnd,"&gt;="&amp;DATE(YEAR($AC10),MONTH($AC10),1))&gt;0,SUMIFS(OverValue,OverEmp,$C10,OverEarn,K$2,OverDate,"&lt;"&amp;DATE(YEAR($AC10),MONTH($AC10)+1,1),OverEnd,"&gt;="&amp;DATE(YEAR($AC10),MONTH($AC10),1)),0))</f>
        <v>0</v>
      </c>
      <c r="L10" s="133">
        <f t="shared" ca="1" si="0"/>
        <v>18600</v>
      </c>
      <c r="M10" s="182" cm="1">
        <f t="array" aca="1" ref="M10" ca="1">IF(COUNTIFS(OverEmp,$C10,OverTax,M$5,OverDate,"&lt;"&amp;DATE(YEAR($AC10),MONTH($AC10)+1,1),OverEnd,"&gt;="&amp;DATE(YEAR($AC10),MONTH($AC10),1))&gt;0,SUMIFS(OverValue,OverEmp,$C10,OverTax,M$5,OverDate,"&lt;"&amp;DATE(YEAR($AC10),MONTH($AC10)+1,1),OverEnd,"&gt;="&amp;DATE(YEAR($AC10),MONTH($AC10),1)),(($BA10/12*$AA10)+(BB10*IF(1-$BC10=0,0,BD10/(1-$BC10))))-IF($F10="Terminated",0,SUMIFS(PayTaxDeduct,PayDate,"&lt;"&amp;$AC10,PayEmp,$C10)))</f>
        <v>1547.7499999999986</v>
      </c>
      <c r="N10" s="133" cm="1">
        <f t="array" aca="1" ref="N10" ca="1">IF($F10="Terminated",0,IF($AA10=0,0,IF(ISNA(MATCH(N$5,DedListItem,0)),0,IF(COUNTIFS(OverEmp,$C10,OverDeduct,N$5,OverDate,"&lt;"&amp;DATE(YEAR($AC10),MONTH($AC10)+1,1),OverEnd,"&gt;="&amp;DATE(YEAR($AC10),MONTH($AC10),1))&gt;0,SUMIFS(OverValue,OverEmp,$C10,OverDeduct,N$5,OverDate,"&lt;"&amp;DATE(YEAR($AC10),MONTH($AC10)+1,1),OverEnd,"&gt;="&amp;DATE(YEAR($AC10),MONTH($AC10),1)),IF(OR(N$2="Fixed",N$2="Not Used"),(IF(COUNTIFS(EmpNo,$C10,OFFSET(Emp!$R$4,1,MATCH(N$5,DedListItem,0)-1,EmpCount,1),"&lt;&gt;")&gt;0,VLOOKUP($C10,EmpAll,COLUMN(Emp!$R$4)+MATCH(N$5,DedListItem,0)-1,0),OFFSET(Setup!$E$73,MATCH(N$5,DedListItem,0),0,1,1))*$AA10)-SUMIFS(OFFSET(N$6,1,0,PayCount,1),PayDate,"&lt;"&amp;$AC10,PayEmp,$C10),IF(ISNA(MATCH(N$2,EarnListItem,0))=FALSE,IF(OFFSET(Setup!$G$73,MATCH(N$5,DedListItem,0),0,1,1)="Taxable",SUMPRODUCT((PayEmp=$C10)*(PayDate&lt;=$AC10)*(PayEarnCode=N$2)*(PayEarnTax)*(PayEarnValues)),SUMPRODUCT((PayEmp=$C10)*(PayDate&lt;=$AC10)*(PayEarnCode=N$2)*(PayEarnValues)))*IF(COUNTIFS(EmpNo,$C10,OFFSET(Emp!$R$4,1,MATCH(N$5,DedListItem,0)-1,EmpCount,1),"&lt;&gt;")&gt;0,VLOOKUP($C10,EmpAll,COLUMN(Emp!$R$4)+MATCH(N$5,DedListItem,0)-1,0),OFFSET(Setup!$E$73,MATCH(N$5,DedListItem,0),0,1,1)),(MIN(IF(OFFSET(Setup!$G$73,MATCH(N$5,DedListItem,0),0,1,1)="Taxable",SUMPRODUCT((PayEmp=$C10)*(PayDate&lt;=$AC10)*(ISERROR(SEARCH(PayEarnCode,N$4)))*(PayEarnTax)*(PayEarnValues)),SUMPRODUCT((PayEmp=$C10)*(PayDate&lt;=$AC10)*(ISERROR(SEARCH(PayEarnCode,N$4)))*(PayEarnValues))),IF(ISNUMBER(N$3),N$3/12*$AA10,IgnoreMin)))*IF(COUNTIFS(EmpNo,$C10,OFFSET(Emp!$R$4,1,MATCH(N$5,DedListItem,0)-1,EmpCount,1),"&lt;&gt;")&gt;0,VLOOKUP($C10,EmpAll,COLUMN(Emp!$R$4)+MATCH(N$5,DedListItem,0)-1,0),OFFSET(Setup!$E$73,MATCH(N$5,DedListItem,0),0,1,1)))-SUMIFS(OFFSET(N$6,1,0,PayCount,1),PayDate,"&lt;"&amp;$AC10,PayEmp,$C10))))))</f>
        <v>177.12</v>
      </c>
      <c r="O10" s="133" cm="1">
        <f t="array" aca="1" ref="O10" ca="1">IF($F10="Terminated",0,IF($AA10=0,0,IF(ISNA(MATCH(O$5,DedListItem,0)),0,IF(COUNTIFS(OverEmp,$C10,OverDeduct,O$5,OverDate,"&lt;"&amp;DATE(YEAR($AC10),MONTH($AC10)+1,1),OverEnd,"&gt;="&amp;DATE(YEAR($AC10),MONTH($AC10),1))&gt;0,SUMIFS(OverValue,OverEmp,$C10,OverDeduct,O$5,OverDate,"&lt;"&amp;DATE(YEAR($AC10),MONTH($AC10)+1,1),OverEnd,"&gt;="&amp;DATE(YEAR($AC10),MONTH($AC10),1)),IF(OR(O$2="Fixed",O$2="Not Used"),(IF(COUNTIFS(EmpNo,$C10,OFFSET(Emp!$R$4,1,MATCH(O$5,DedListItem,0)-1,EmpCount,1),"&lt;&gt;")&gt;0,VLOOKUP($C10,EmpAll,COLUMN(Emp!$R$4)+MATCH(O$5,DedListItem,0)-1,0),OFFSET(Setup!$E$73,MATCH(O$5,DedListItem,0),0,1,1))*$AA10)-SUMIFS(OFFSET(O$6,1,0,PayCount,1),PayDate,"&lt;"&amp;$AC10,PayEmp,$C10),IF(ISNA(MATCH(O$2,EarnListItem,0))=FALSE,IF(OFFSET(Setup!$G$73,MATCH(O$5,DedListItem,0),0,1,1)="Taxable",SUMPRODUCT((PayEmp=$C10)*(PayDate&lt;=$AC10)*(PayEarnCode=O$2)*(PayEarnTax)*(PayEarnValues)),SUMPRODUCT((PayEmp=$C10)*(PayDate&lt;=$AC10)*(PayEarnCode=O$2)*(PayEarnValues)))*IF(COUNTIFS(EmpNo,$C10,OFFSET(Emp!$R$4,1,MATCH(O$5,DedListItem,0)-1,EmpCount,1),"&lt;&gt;")&gt;0,VLOOKUP($C10,EmpAll,COLUMN(Emp!$R$4)+MATCH(O$5,DedListItem,0)-1,0),OFFSET(Setup!$E$73,MATCH(O$5,DedListItem,0),0,1,1)),(MIN(IF(OFFSET(Setup!$G$73,MATCH(O$5,DedListItem,0),0,1,1)="Taxable",SUMPRODUCT((PayEmp=$C10)*(PayDate&lt;=$AC10)*(ISERROR(SEARCH(PayEarnCode,O$4)))*(PayEarnTax)*(PayEarnValues)),SUMPRODUCT((PayEmp=$C10)*(PayDate&lt;=$AC10)*(ISERROR(SEARCH(PayEarnCode,O$4)))*(PayEarnValues))),IF(ISNUMBER(O$3),O$3/12*$AA10,IgnoreMin)))*IF(COUNTIFS(EmpNo,$C10,OFFSET(Emp!$R$4,1,MATCH(O$5,DedListItem,0)-1,EmpCount,1),"&lt;&gt;")&gt;0,VLOOKUP($C10,EmpAll,COLUMN(Emp!$R$4)+MATCH(O$5,DedListItem,0)-1,0),OFFSET(Setup!$E$73,MATCH(O$5,DedListItem,0),0,1,1)))-SUMIFS(OFFSET(O$6,1,0,PayCount,1),PayDate,"&lt;"&amp;$AC10,PayEmp,$C10))))))</f>
        <v>0</v>
      </c>
      <c r="P10" s="133" cm="1">
        <f t="array" aca="1" ref="P10" ca="1">IF($F10="Terminated",0,IF($AA10=0,0,IF(ISNA(MATCH(P$5,DedListItem,0)),0,IF(COUNTIFS(OverEmp,$C10,OverDeduct,P$5,OverDate,"&lt;"&amp;DATE(YEAR($AC10),MONTH($AC10)+1,1),OverEnd,"&gt;="&amp;DATE(YEAR($AC10),MONTH($AC10),1))&gt;0,SUMIFS(OverValue,OverEmp,$C10,OverDeduct,P$5,OverDate,"&lt;"&amp;DATE(YEAR($AC10),MONTH($AC10)+1,1),OverEnd,"&gt;="&amp;DATE(YEAR($AC10),MONTH($AC10),1)),IF(OR(P$2="Fixed",P$2="Not Used"),(IF(COUNTIFS(EmpNo,$C10,OFFSET(Emp!$R$4,1,MATCH(P$5,DedListItem,0)-1,EmpCount,1),"&lt;&gt;")&gt;0,VLOOKUP($C10,EmpAll,COLUMN(Emp!$R$4)+MATCH(P$5,DedListItem,0)-1,0),OFFSET(Setup!$E$73,MATCH(P$5,DedListItem,0),0,1,1))*$AA10)-SUMIFS(OFFSET(P$6,1,0,PayCount,1),PayDate,"&lt;"&amp;$AC10,PayEmp,$C10),IF(ISNA(MATCH(P$2,EarnListItem,0))=FALSE,IF(OFFSET(Setup!$G$73,MATCH(P$5,DedListItem,0),0,1,1)="Taxable",SUMPRODUCT((PayEmp=$C10)*(PayDate&lt;=$AC10)*(PayEarnCode=P$2)*(PayEarnTax)*(PayEarnValues)),SUMPRODUCT((PayEmp=$C10)*(PayDate&lt;=$AC10)*(PayEarnCode=P$2)*(PayEarnValues)))*IF(COUNTIFS(EmpNo,$C10,OFFSET(Emp!$R$4,1,MATCH(P$5,DedListItem,0)-1,EmpCount,1),"&lt;&gt;")&gt;0,VLOOKUP($C10,EmpAll,COLUMN(Emp!$R$4)+MATCH(P$5,DedListItem,0)-1,0),OFFSET(Setup!$E$73,MATCH(P$5,DedListItem,0),0,1,1)),(MIN(IF(OFFSET(Setup!$G$73,MATCH(P$5,DedListItem,0),0,1,1)="Taxable",SUMPRODUCT((PayEmp=$C10)*(PayDate&lt;=$AC10)*(ISERROR(SEARCH(PayEarnCode,P$4)))*(PayEarnTax)*(PayEarnValues)),SUMPRODUCT((PayEmp=$C10)*(PayDate&lt;=$AC10)*(ISERROR(SEARCH(PayEarnCode,P$4)))*(PayEarnValues))),IF(ISNUMBER(P$3),P$3/12*$AA10,IgnoreMin)))*IF(COUNTIFS(EmpNo,$C10,OFFSET(Emp!$R$4,1,MATCH(P$5,DedListItem,0)-1,EmpCount,1),"&lt;&gt;")&gt;0,VLOOKUP($C10,EmpAll,COLUMN(Emp!$R$4)+MATCH(P$5,DedListItem,0)-1,0),OFFSET(Setup!$E$73,MATCH(P$5,DedListItem,0),0,1,1)))-SUMIFS(OFFSET(P$6,1,0,PayCount,1),PayDate,"&lt;"&amp;$AC10,PayEmp,$C10))))))</f>
        <v>500</v>
      </c>
      <c r="Q10" s="133" cm="1">
        <f t="array" aca="1" ref="Q10" ca="1">IF($F10="Terminated",0,IF($AA10=0,0,IF(ISNA(MATCH(Q$5,DedListItem,0)),0,IF(COUNTIFS(OverEmp,$C10,OverDeduct,Q$5,OverDate,"&lt;"&amp;DATE(YEAR($AC10),MONTH($AC10)+1,1),OverEnd,"&gt;="&amp;DATE(YEAR($AC10),MONTH($AC10),1))&gt;0,SUMIFS(OverValue,OverEmp,$C10,OverDeduct,Q$5,OverDate,"&lt;"&amp;DATE(YEAR($AC10),MONTH($AC10)+1,1),OverEnd,"&gt;="&amp;DATE(YEAR($AC10),MONTH($AC10),1)),IF(OR(Q$2="Fixed",Q$2="Not Used"),(IF(COUNTIFS(EmpNo,$C10,OFFSET(Emp!$R$4,1,MATCH(Q$5,DedListItem,0)-1,EmpCount,1),"&lt;&gt;")&gt;0,VLOOKUP($C10,EmpAll,COLUMN(Emp!$R$4)+MATCH(Q$5,DedListItem,0)-1,0),OFFSET(Setup!$E$73,MATCH(Q$5,DedListItem,0),0,1,1))*$AA10)-SUMIFS(OFFSET(Q$6,1,0,PayCount,1),PayDate,"&lt;"&amp;$AC10,PayEmp,$C10),IF(ISNA(MATCH(Q$2,EarnListItem,0))=FALSE,IF(OFFSET(Setup!$G$73,MATCH(Q$5,DedListItem,0),0,1,1)="Taxable",SUMPRODUCT((PayEmp=$C10)*(PayDate&lt;=$AC10)*(PayEarnCode=Q$2)*(PayEarnTax)*(PayEarnValues)),SUMPRODUCT((PayEmp=$C10)*(PayDate&lt;=$AC10)*(PayEarnCode=Q$2)*(PayEarnValues)))*IF(COUNTIFS(EmpNo,$C10,OFFSET(Emp!$R$4,1,MATCH(Q$5,DedListItem,0)-1,EmpCount,1),"&lt;&gt;")&gt;0,VLOOKUP($C10,EmpAll,COLUMN(Emp!$R$4)+MATCH(Q$5,DedListItem,0)-1,0),OFFSET(Setup!$E$73,MATCH(Q$5,DedListItem,0),0,1,1)),(MIN(IF(OFFSET(Setup!$G$73,MATCH(Q$5,DedListItem,0),0,1,1)="Taxable",SUMPRODUCT((PayEmp=$C10)*(PayDate&lt;=$AC10)*(ISERROR(SEARCH(PayEarnCode,Q$4)))*(PayEarnTax)*(PayEarnValues)),SUMPRODUCT((PayEmp=$C10)*(PayDate&lt;=$AC10)*(ISERROR(SEARCH(PayEarnCode,Q$4)))*(PayEarnValues))),IF(ISNUMBER(Q$3),Q$3/12*$AA10,IgnoreMin)))*IF(COUNTIFS(EmpNo,$C10,OFFSET(Emp!$R$4,1,MATCH(Q$5,DedListItem,0)-1,EmpCount,1),"&lt;&gt;")&gt;0,VLOOKUP($C10,EmpAll,COLUMN(Emp!$R$4)+MATCH(Q$5,DedListItem,0)-1,0),OFFSET(Setup!$E$73,MATCH(Q$5,DedListItem,0),0,1,1)))-SUMIFS(OFFSET(Q$6,1,0,PayCount,1),PayDate,"&lt;"&amp;$AC10,PayEmp,$C10))))))</f>
        <v>0</v>
      </c>
      <c r="R10" s="133">
        <f t="shared" ca="1" si="1"/>
        <v>2224.8699999999985</v>
      </c>
      <c r="S10" s="133">
        <f t="shared" ca="1" si="2"/>
        <v>16375.13</v>
      </c>
      <c r="T10" s="133" cm="1">
        <f t="array" aca="1" ref="T10" ca="1">IF($F10="Terminated",0,IF($AA10=0,0,IF(ISNA(MATCH(T$5,CompListItem,0)),0,IF(COUNTIFS(OverEmp,$C10,OverComp,T$5,OverDate,"&lt;"&amp;DATE(YEAR($AC10),MONTH($AC10)+1,1),OverEnd,"&gt;="&amp;DATE(YEAR($AC10),MONTH($AC10),1))&gt;0,SUMIFS(OverValue,OverEmp,$C10,OverComp,T$5,OverDate,"&lt;"&amp;DATE(YEAR($AC10),MONTH($AC10)+1,1),OverEnd,"&gt;="&amp;DATE(YEAR($AC10),MONTH($AC10),1)),IF(OR(T$2="Fixed",T$2="Not Used"),(OFFSET(Setup!$E$81,MATCH(T$5,CompListItem,0),0,1,1)*$AA10)-SUMIFS(OFFSET(T$6,1,0,PayCount,1),PayDate,"&lt;"&amp;$AC10,PayEmp,$C10),IF(ISNA(MATCH(T$2,DedListItem,0))=FALSE,(SUMPRODUCT((PayEmp=$C10)*(PayDate&lt;=$AC10)*(PayDedList=T$2)*(PayDedValues))*OFFSET(Setup!$E$81,MATCH(T$5,CompListItem,0),0,1,1))-SUMIFS(OFFSET(T$6,1,0,PayCount,1),PayDate,"&lt;"&amp;$AC10,PayEmp,$C10),(MIN(IF(OFFSET(Setup!$G$81,MATCH(T$5,CompListItem,0),0,1,1)="Taxable",SUMPRODUCT((PayEmp=$C10)*(PayDate&lt;=$AC10)*(ISERROR(SEARCH(PayEarnCode,T$4)))*(PayEarnTax)*(PayEarnValues)),SUMPRODUCT((PayEmp=$C10)*(PayDate&lt;=$AC10)*(ISERROR(SEARCH(PayEarnCode,T$4)))*(PayEarnValues))),IF(ISNUMBER(T$3),T$3/12*$AA10,IgnoreMin)))*OFFSET(Setup!$E$81,MATCH(T$5,CompListItem,0),0,1,1)-SUMIFS(OFFSET(T$6,1,0,PayCount,1),PayDate,"&lt;"&amp;$AC10,PayEmp,$C10)))))))</f>
        <v>177.12</v>
      </c>
      <c r="U10" s="133" cm="1">
        <f t="array" aca="1" ref="U10" ca="1">IF($F10="Terminated",0,IF($AA10=0,0,IF(ISNA(MATCH(U$5,CompListItem,0)),0,IF(COUNTIFS(OverEmp,$C10,OverComp,U$5,OverDate,"&lt;"&amp;DATE(YEAR($AC10),MONTH($AC10)+1,1),OverEnd,"&gt;="&amp;DATE(YEAR($AC10),MONTH($AC10),1))&gt;0,SUMIFS(OverValue,OverEmp,$C10,OverComp,U$5,OverDate,"&lt;"&amp;DATE(YEAR($AC10),MONTH($AC10)+1,1),OverEnd,"&gt;="&amp;DATE(YEAR($AC10),MONTH($AC10),1)),IF(OR(U$2="Fixed",U$2="Not Used"),(OFFSET(Setup!$E$81,MATCH(U$5,CompListItem,0),0,1,1)*$AA10)-SUMIFS(OFFSET(U$6,1,0,PayCount,1),PayDate,"&lt;"&amp;$AC10,PayEmp,$C10),IF(ISNA(MATCH(U$2,DedListItem,0))=FALSE,(SUMPRODUCT((PayEmp=$C10)*(PayDate&lt;=$AC10)*(PayDedList=U$2)*(PayDedValues))*OFFSET(Setup!$E$81,MATCH(U$5,CompListItem,0),0,1,1))-SUMIFS(OFFSET(U$6,1,0,PayCount,1),PayDate,"&lt;"&amp;$AC10,PayEmp,$C10),(MIN(IF(OFFSET(Setup!$G$81,MATCH(U$5,CompListItem,0),0,1,1)="Taxable",SUMPRODUCT((PayEmp=$C10)*(PayDate&lt;=$AC10)*(ISERROR(SEARCH(PayEarnCode,U$4)))*(PayEarnTax)*(PayEarnValues)),SUMPRODUCT((PayEmp=$C10)*(PayDate&lt;=$AC10)*(ISERROR(SEARCH(PayEarnCode,U$4)))*(PayEarnValues))),IF(ISNUMBER(U$3),U$3/12*$AA10,IgnoreMin)))*OFFSET(Setup!$E$81,MATCH(U$5,CompListItem,0),0,1,1)-SUMIFS(OFFSET(U$6,1,0,PayCount,1),PayDate,"&lt;"&amp;$AC10,PayEmp,$C10)))))))</f>
        <v>186</v>
      </c>
      <c r="V10" s="133" cm="1">
        <f t="array" aca="1" ref="V10" ca="1">IF($F10="Terminated",0,IF($AA10=0,0,IF(ISNA(MATCH(V$5,CompListItem,0)),0,IF(COUNTIFS(OverEmp,$C10,OverComp,V$5,OverDate,"&lt;"&amp;DATE(YEAR($AC10),MONTH($AC10)+1,1),OverEnd,"&gt;="&amp;DATE(YEAR($AC10),MONTH($AC10),1))&gt;0,SUMIFS(OverValue,OverEmp,$C10,OverComp,V$5,OverDate,"&lt;"&amp;DATE(YEAR($AC10),MONTH($AC10)+1,1),OverEnd,"&gt;="&amp;DATE(YEAR($AC10),MONTH($AC10),1)),IF(OR(V$2="Fixed",V$2="Not Used"),(OFFSET(Setup!$E$81,MATCH(V$5,CompListItem,0),0,1,1)*$AA10)-SUMIFS(OFFSET(V$6,1,0,PayCount,1),PayDate,"&lt;"&amp;$AC10,PayEmp,$C10),IF(ISNA(MATCH(V$2,DedListItem,0))=FALSE,(SUMPRODUCT((PayEmp=$C10)*(PayDate&lt;=$AC10)*(PayDedList=V$2)*(PayDedValues))*OFFSET(Setup!$E$81,MATCH(V$5,CompListItem,0),0,1,1))-SUMIFS(OFFSET(V$6,1,0,PayCount,1),PayDate,"&lt;"&amp;$AC10,PayEmp,$C10),(MIN(IF(OFFSET(Setup!$G$81,MATCH(V$5,CompListItem,0),0,1,1)="Taxable",SUMPRODUCT((PayEmp=$C10)*(PayDate&lt;=$AC10)*(ISERROR(SEARCH(PayEarnCode,V$4)))*(PayEarnTax)*(PayEarnValues)),SUMPRODUCT((PayEmp=$C10)*(PayDate&lt;=$AC10)*(ISERROR(SEARCH(PayEarnCode,V$4)))*(PayEarnValues))),IF(ISNUMBER(V$3),V$3/12*$AA10,IgnoreMin)))*OFFSET(Setup!$E$81,MATCH(V$5,CompListItem,0),0,1,1)-SUMIFS(OFFSET(V$6,1,0,PayCount,1),PayDate,"&lt;"&amp;$AC10,PayEmp,$C10)))))))</f>
        <v>0</v>
      </c>
      <c r="W10" s="133" cm="1">
        <f t="array" aca="1" ref="W10" ca="1">IF($F10="Terminated",0,IF($AA10=0,0,IF(ISNA(MATCH(W$5,CompListItem,0)),0,IF(COUNTIFS(OverEmp,$C10,OverComp,W$5,OverDate,"&lt;"&amp;DATE(YEAR($AC10),MONTH($AC10)+1,1),OverEnd,"&gt;="&amp;DATE(YEAR($AC10),MONTH($AC10),1))&gt;0,SUMIFS(OverValue,OverEmp,$C10,OverComp,W$5,OverDate,"&lt;"&amp;DATE(YEAR($AC10),MONTH($AC10)+1,1),OverEnd,"&gt;="&amp;DATE(YEAR($AC10),MONTH($AC10),1)),IF(OR(W$2="Fixed",W$2="Not Used"),(OFFSET(Setup!$E$81,MATCH(W$5,CompListItem,0),0,1,1)*$AA10)-SUMIFS(OFFSET(W$6,1,0,PayCount,1),PayDate,"&lt;"&amp;$AC10,PayEmp,$C10),IF(ISNA(MATCH(W$2,DedListItem,0))=FALSE,(SUMPRODUCT((PayEmp=$C10)*(PayDate&lt;=$AC10)*(PayDedList=W$2)*(PayDedValues))*OFFSET(Setup!$E$81,MATCH(W$5,CompListItem,0),0,1,1))-SUMIFS(OFFSET(W$6,1,0,PayCount,1),PayDate,"&lt;"&amp;$AC10,PayEmp,$C10),(MIN(IF(OFFSET(Setup!$G$81,MATCH(W$5,CompListItem,0),0,1,1)="Taxable",SUMPRODUCT((PayEmp=$C10)*(PayDate&lt;=$AC10)*(ISERROR(SEARCH(PayEarnCode,W$4)))*(PayEarnTax)*(PayEarnValues)),SUMPRODUCT((PayEmp=$C10)*(PayDate&lt;=$AC10)*(ISERROR(SEARCH(PayEarnCode,W$4)))*(PayEarnValues))),IF(ISNUMBER(W$3),W$3/12*$AA10,IgnoreMin)))*OFFSET(Setup!$E$81,MATCH(W$5,CompListItem,0),0,1,1)-SUMIFS(OFFSET(W$6,1,0,PayCount,1),PayDate,"&lt;"&amp;$AC10,PayEmp,$C10)))))))</f>
        <v>0</v>
      </c>
      <c r="X10" s="133">
        <f t="shared" ca="1" si="3"/>
        <v>363.12</v>
      </c>
      <c r="Y10" s="133">
        <f t="shared" ca="1" si="4"/>
        <v>18963.12</v>
      </c>
      <c r="Z10" s="133">
        <f t="shared" ca="1" si="5"/>
        <v>2587.9899999999998</v>
      </c>
      <c r="AA10" s="183">
        <f ca="1">IF(OR($B10&lt;=Setup!$E$12,$B10&gt;=Setup!$D$12+1),0,IF($F10&lt;&gt;"Active",0,IF($AE10="Yes",$AB10,((YEAR($AC10)*12)+MONTH($AC10))-((YEAR($AD10)*12)+MONTH($AD10)-1))))</f>
        <v>1</v>
      </c>
      <c r="AB10" s="183">
        <f ca="1">IF(OR($B10&lt;=Setup!$E$12,$B10&gt;=Setup!$D$12+1),0,((YEAR($AC10)*12)+MONTH($AC10))-((YEAR(Setup!$E$12)*12)+MONTH(Setup!$E$12)))</f>
        <v>1</v>
      </c>
      <c r="AC10" s="129">
        <f t="shared" ca="1" si="6"/>
        <v>45010</v>
      </c>
      <c r="AD10" s="184">
        <f ca="1">IF(ISNA(VLOOKUP($C10,EmpAll,COLUMN(Emp!$E$4),0)),$AC10,IF(VLOOKUP($C10,EmpAll,COLUMN(Emp!$E$4),0)&lt;=Setup!$E$12,DATE(YEAR(Setup!$E$12),MONTH(Setup!$E$12)+1,1),VLOOKUP($C10,EmpAll,COLUMN(Emp!$E$4),0)))</f>
        <v>44986</v>
      </c>
      <c r="AE10" s="184" t="str">
        <f ca="1">IF(ISNA(VLOOKUP($C10,EmpAll,COLUMN(Emp!$G$1),0)),"-",IF(VLOOKUP($C10,EmpAll,COLUMN(Emp!$G$1),0)=0,"-",VLOOKUP($C10,EmpAll,COLUMN(Emp!$G$1),0)))</f>
        <v>-</v>
      </c>
      <c r="AF10" s="130">
        <f ca="1">IF(A10=PaySlip!$G$3,1,0)</f>
        <v>0</v>
      </c>
      <c r="AG10" s="130" cm="1">
        <f t="array" aca="1" ref="AG10" ca="1">IF(COUNTIFS(OverEmp,$C10,OverMed,"MED",OverDate,"&lt;"&amp;DATE(YEAR($AC10),MONTH($AC10)+1,1),OverEnd,"&gt;="&amp;DATE(YEAR($AC10),MONTH($AC10),1))&gt;0,SUMIFS(OverValue,OverEmp,$C10,OverMed,"MED",OverDate,"&lt;"&amp;DATE(YEAR($AC10),MONTH($AC10)+1,1),OverEnd,"&gt;="&amp;DATE(YEAR($AC10),MONTH($AC10),1)),IF(ISNA(VLOOKUP($C10,EmpAll,COLUMN(Emp!$N$4),0)),0,VLOOKUP($C10,EmpAll,COLUMN(Emp!$N$4),0)))</f>
        <v>1</v>
      </c>
      <c r="AH10" s="183">
        <f ca="1">VLOOKUP($AG10,MedList,COLUMN(Setup!$C$49),1)</f>
        <v>364</v>
      </c>
      <c r="AI10" s="183">
        <f t="shared" ca="1" si="7"/>
        <v>4368</v>
      </c>
      <c r="AJ10" s="101" t="str">
        <f ca="1">IF(ISNA(VLOOKUP($C10,EmpAll,COLUMN(Emp!$L$4),0)),"None!",VLOOKUP($C10,EmpAll,COLUMN(Emp!$L$4),0))</f>
        <v>A</v>
      </c>
      <c r="AK10" s="147">
        <f t="shared" ca="1" si="8"/>
        <v>17235</v>
      </c>
      <c r="AL10" s="101" t="str">
        <f ca="1">IF(ISNA(VLOOKUP($C10,Employees[],COLUMN(Emp!$M$4),0))=TRUE,"Error!",IF(VLOOKUP($C10,Employees[],COLUMN(Emp!$M$4),0)=0,"Yes",VLOOKUP($C10,Employees[],COLUMN(Emp!$M$4),0)))</f>
        <v>A</v>
      </c>
      <c r="AM10" s="148">
        <f t="shared" ca="1" si="9"/>
        <v>183600</v>
      </c>
      <c r="AN10" s="148" cm="1">
        <f t="array" aca="1" ref="AN10" ca="1">-IF($F10="Terminated",0,IF($AA10=0,0,IF(ISNA(MATCH(AN$5,PayDedList,0)),0,MIN(IF(COUNTIFS(OverEmp,$C10,OverDeduct,AN$5,OverDate,"&lt;"&amp;DATE(YEAR($AC10),MONTH($AC10)+1,1),OverEnd,"&gt;="&amp;DATE(YEAR($AC10),MONTH($AC10),1))&gt;0,SUMPRODUCT((PayEmp=$C10)*(PayDate&lt;=$AC10)*(OFFSET($N$6,1,MATCH(AN$5,PayDedList,0)-1,PayCount,1)))/$AA10*12*AN$3,IF(OR(AN$1="Fixed",AN$1="Not Used"),SUMPRODUCT((PayEmp=$C10)*(PayDate&lt;=$AC10)*(OFFSET($N$6,1,MATCH(AN$5,PayDedList,0)-1,PayCount,1)))/$AA10*12*AN$3,IF(ISNA(MATCH(AN$1,EarnListItem,0))=FALSE,SUMPRODUCT((PayEmp=$C10)*(PayDate&lt;=$AC10)*(OFFSET($N$6,1,MATCH(AN$5,PayDedList,0)-1,PayCount,1)))/$AA10*12*AN$3,(MIN(((SUMPRODUCT((PayEmp=$C10)*(PayDate&lt;=$AC10)*(ISERROR(SEARCH(PayEarnCode,AN$2)))*(PayEarnType="Monthly")*(PayEarnValues))/$AA10*12)+(SUMPRODUCT((PayEmp=$C10)*(PayDate&lt;=$AC10)*(ISERROR(SEARCH(PayEarnCode,AN$2)))*(PayEarnType="Quarterly")*(PayEarnValues))/MAX(1,ROUNDDOWN($AB10/3,0))*4)+(SUMPRODUCT((PayEmp=$C10)*(PayDate&lt;=$AC10)*(ISERROR(SEARCH(PayEarnCode,AN$2)))*(PayEarnType="Bi-Annual")*(PayEarnValues))/MAX(1,ROUNDDOWN($AB10/6,0))*2)+(SUMPRODUCT((PayEmp=$C10)*(PayDate&lt;=$AC10)*(ISERROR(SEARCH(PayEarnCode,AN$2)))*(PayEarnType="Annual")*(PayEarnValues)))),IF(ISNUMBER(OFFSET($N$3,0,MATCH(AN$5,PayDedList,0)-1,1,1)),OFFSET($N$3,0,MATCH(AN$5,PayDedList,0)-1,1,1),IgnoreMin)))*IF(COUNTIFS(EmpNo,$C10,OFFSET(Emp!$R$4,1,MATCH(AN$5,DedListItem,0)-1,EmpCount,1),"&lt;&gt;")&gt;0,VLOOKUP($C10,EmpAll,COLUMN(Emp!$R$4)+MATCH(AN$5,DedListItem,0)-1,0),OFFSET(Setup!$E$73,MATCH(AN$5,DedListItem,0),0,1,1))*AN$3))),IF(ISNUMBER(AN$4),AN$4,IgnoreMin)))))</f>
        <v>0</v>
      </c>
      <c r="AO10" s="148" cm="1">
        <f t="array" aca="1" ref="AO10" ca="1">-IF($F10="Terminated",0,IF($AA10=0,0,IF(ISNA(MATCH(AO$5,PayDedList,0)),0,MIN(IF(COUNTIFS(OverEmp,$C10,OverDeduct,AO$5,OverDate,"&lt;"&amp;DATE(YEAR($AC10),MONTH($AC10)+1,1),OverEnd,"&gt;="&amp;DATE(YEAR($AC10),MONTH($AC10),1))&gt;0,SUMPRODUCT((PayEmp=$C10)*(PayDate&lt;=$AC10)*(OFFSET($N$6,1,MATCH(AO$5,PayDedList,0)-1,PayCount,1)))/$AA10*12*AO$3,IF(OR(AO$1="Fixed",AO$1="Not Used"),SUMPRODUCT((PayEmp=$C10)*(PayDate&lt;=$AC10)*(OFFSET($N$6,1,MATCH(AO$5,PayDedList,0)-1,PayCount,1)))/$AA10*12*AO$3,IF(ISNA(MATCH(AO$1,EarnListItem,0))=FALSE,SUMPRODUCT((PayEmp=$C10)*(PayDate&lt;=$AC10)*(OFFSET($N$6,1,MATCH(AO$5,PayDedList,0)-1,PayCount,1)))/$AA10*12*AO$3,(MIN(((SUMPRODUCT((PayEmp=$C10)*(PayDate&lt;=$AC10)*(ISERROR(SEARCH(PayEarnCode,AO$2)))*(PayEarnType="Monthly")*(PayEarnValues))/$AA10*12)+(SUMPRODUCT((PayEmp=$C10)*(PayDate&lt;=$AC10)*(ISERROR(SEARCH(PayEarnCode,AO$2)))*(PayEarnType="Quarterly")*(PayEarnValues))/MAX(1,ROUNDDOWN($AB10/3,0))*4)+(SUMPRODUCT((PayEmp=$C10)*(PayDate&lt;=$AC10)*(ISERROR(SEARCH(PayEarnCode,AO$2)))*(PayEarnType="Bi-Annual")*(PayEarnValues))/MAX(1,ROUNDDOWN($AB10/6,0))*2)+(SUMPRODUCT((PayEmp=$C10)*(PayDate&lt;=$AC10)*(ISERROR(SEARCH(PayEarnCode,AO$2)))*(PayEarnType="Annual")*(PayEarnValues)))),IF(ISNUMBER(OFFSET($N$3,0,MATCH(AO$5,PayDedList,0)-1,1,1)),OFFSET($N$3,0,MATCH(AO$5,PayDedList,0)-1,1,1),IgnoreMin)))*IF(COUNTIFS(EmpNo,$C10,OFFSET(Emp!$R$4,1,MATCH(AO$5,DedListItem,0)-1,EmpCount,1),"&lt;&gt;")&gt;0,VLOOKUP($C10,EmpAll,COLUMN(Emp!$R$4)+MATCH(AO$5,DedListItem,0)-1,0),OFFSET(Setup!$E$73,MATCH(AO$5,DedListItem,0),0,1,1))*AO$3))),IF(ISNUMBER(AO$4),AO$4,IgnoreMin)))))</f>
        <v>0</v>
      </c>
      <c r="AP10" s="148" cm="1">
        <f t="array" aca="1" ref="AP10" ca="1">-IF($F10="Terminated",0,IF($AA10=0,0,IF(ISNA(MATCH(AP$5,PayDedList,0)),0,MIN(IF(COUNTIFS(OverEmp,$C10,OverDeduct,AP$5,OverDate,"&lt;"&amp;DATE(YEAR($AC10),MONTH($AC10)+1,1),OverEnd,"&gt;="&amp;DATE(YEAR($AC10),MONTH($AC10),1))&gt;0,SUMPRODUCT((PayEmp=$C10)*(PayDate&lt;=$AC10)*(OFFSET($N$6,1,MATCH(AP$5,PayDedList,0)-1,PayCount,1)))/$AA10*12*AP$3,IF(OR(AP$1="Fixed",AP$1="Not Used"),SUMPRODUCT((PayEmp=$C10)*(PayDate&lt;=$AC10)*(OFFSET($N$6,1,MATCH(AP$5,PayDedList,0)-1,PayCount,1)))/$AA10*12*AP$3,IF(ISNA(MATCH(AP$1,EarnListItem,0))=FALSE,SUMPRODUCT((PayEmp=$C10)*(PayDate&lt;=$AC10)*(OFFSET($N$6,1,MATCH(AP$5,PayDedList,0)-1,PayCount,1)))/$AA10*12*AP$3,(MIN(((SUMPRODUCT((PayEmp=$C10)*(PayDate&lt;=$AC10)*(ISERROR(SEARCH(PayEarnCode,AP$2)))*(PayEarnType="Monthly")*(PayEarnValues))/$AA10*12)+(SUMPRODUCT((PayEmp=$C10)*(PayDate&lt;=$AC10)*(ISERROR(SEARCH(PayEarnCode,AP$2)))*(PayEarnType="Quarterly")*(PayEarnValues))/MAX(1,ROUNDDOWN($AB10/3,0))*4)+(SUMPRODUCT((PayEmp=$C10)*(PayDate&lt;=$AC10)*(ISERROR(SEARCH(PayEarnCode,AP$2)))*(PayEarnType="Bi-Annual")*(PayEarnValues))/MAX(1,ROUNDDOWN($AB10/6,0))*2)+(SUMPRODUCT((PayEmp=$C10)*(PayDate&lt;=$AC10)*(ISERROR(SEARCH(PayEarnCode,AP$2)))*(PayEarnType="Annual")*(PayEarnValues)))),IF(ISNUMBER(OFFSET($N$3,0,MATCH(AP$5,PayDedList,0)-1,1,1)),OFFSET($N$3,0,MATCH(AP$5,PayDedList,0)-1,1,1),IgnoreMin)))*IF(COUNTIFS(EmpNo,$C10,OFFSET(Emp!$R$4,1,MATCH(AP$5,DedListItem,0)-1,EmpCount,1),"&lt;&gt;")&gt;0,VLOOKUP($C10,EmpAll,COLUMN(Emp!$R$4)+MATCH(AP$5,DedListItem,0)-1,0),OFFSET(Setup!$E$73,MATCH(AP$5,DedListItem,0),0,1,1))*AP$3))),IF(ISNUMBER(AP$4),AP$4,IgnoreMin)))))</f>
        <v>0</v>
      </c>
      <c r="AQ10" s="148" cm="1">
        <f t="array" aca="1" ref="AQ10" ca="1">-IF($F10="Terminated",0,IF($AA10=0,0,IF(ISNA(MATCH(AQ$5,PayDedList,0)),0,MIN(IF(COUNTIFS(OverEmp,$C10,OverDeduct,AQ$5,OverDate,"&lt;"&amp;DATE(YEAR($AC10),MONTH($AC10)+1,1),OverEnd,"&gt;="&amp;DATE(YEAR($AC10),MONTH($AC10),1))&gt;0,SUMPRODUCT((PayEmp=$C10)*(PayDate&lt;=$AC10)*(OFFSET($N$6,1,MATCH(AQ$5,PayDedList,0)-1,PayCount,1)))/$AA10*12*AQ$3,IF(OR(AQ$1="Fixed",AQ$1="Not Used"),SUMPRODUCT((PayEmp=$C10)*(PayDate&lt;=$AC10)*(OFFSET($N$6,1,MATCH(AQ$5,PayDedList,0)-1,PayCount,1)))/$AA10*12*AQ$3,IF(ISNA(MATCH(AQ$1,EarnListItem,0))=FALSE,SUMPRODUCT((PayEmp=$C10)*(PayDate&lt;=$AC10)*(OFFSET($N$6,1,MATCH(AQ$5,PayDedList,0)-1,PayCount,1)))/$AA10*12*AQ$3,(MIN(((SUMPRODUCT((PayEmp=$C10)*(PayDate&lt;=$AC10)*(ISERROR(SEARCH(PayEarnCode,AQ$2)))*(PayEarnType="Monthly")*(PayEarnValues))/$AA10*12)+(SUMPRODUCT((PayEmp=$C10)*(PayDate&lt;=$AC10)*(ISERROR(SEARCH(PayEarnCode,AQ$2)))*(PayEarnType="Quarterly")*(PayEarnValues))/MAX(1,ROUNDDOWN($AB10/3,0))*4)+(SUMPRODUCT((PayEmp=$C10)*(PayDate&lt;=$AC10)*(ISERROR(SEARCH(PayEarnCode,AQ$2)))*(PayEarnType="Bi-Annual")*(PayEarnValues))/MAX(1,ROUNDDOWN($AB10/6,0))*2)+(SUMPRODUCT((PayEmp=$C10)*(PayDate&lt;=$AC10)*(ISERROR(SEARCH(PayEarnCode,AQ$2)))*(PayEarnType="Annual")*(PayEarnValues)))),IF(ISNUMBER(OFFSET($N$3,0,MATCH(AQ$5,PayDedList,0)-1,1,1)),OFFSET($N$3,0,MATCH(AQ$5,PayDedList,0)-1,1,1),IgnoreMin)))*IF(COUNTIFS(EmpNo,$C10,OFFSET(Emp!$R$4,1,MATCH(AQ$5,DedListItem,0)-1,EmpCount,1),"&lt;&gt;")&gt;0,VLOOKUP($C10,EmpAll,COLUMN(Emp!$R$4)+MATCH(AQ$5,DedListItem,0)-1,0),OFFSET(Setup!$E$73,MATCH(AQ$5,DedListItem,0),0,1,1))*AQ$3))),IF(ISNUMBER(AQ$4),AQ$4,IgnoreMin)))))</f>
        <v>0</v>
      </c>
      <c r="AR10" s="148">
        <f t="shared" ca="1" si="10"/>
        <v>183600</v>
      </c>
      <c r="AS10" s="148">
        <f t="shared" ca="1" si="11"/>
        <v>180000</v>
      </c>
      <c r="AT10" s="148" cm="1">
        <f t="array" aca="1" ref="AT10" ca="1">-IF($F10="Terminated",0,IF($AA10=0,0,IF(ISNA(MATCH(AT$5,PayDedList,0)),0,MIN(IF(COUNTIFS(OverEmp,$C10,OverDeduct,AT$5,OverDate,"&lt;"&amp;DATE(YEAR($AC10),MONTH($AC10)+1,1),OverEnd,"&gt;="&amp;DATE(YEAR($AC10),MONTH($AC10),1))&gt;0,SUMPRODUCT((PayEmp=$C10)*(PayDate&lt;=$AC10)*(OFFSET($N$6,1,MATCH(AT$5,PayDedList,0)-1,PayCount,1)))/$AA10*12*AT$3,IF(OR(AT$1="Fixed",AT$1="Not Used"),SUMPRODUCT((PayEmp=$C10)*(PayDate&lt;=$AC10)*(OFFSET($N$6,1,MATCH(AT$5,PayDedList,0)-1,PayCount,1)))/$AA10*12*AT$3,IF(ISNA(MATCH(OFFSET($N$2,0,MATCH(AT$5,PayDedList,0)-1,1,1),EarnListItem,0))=FALSE,SUMPRODUCT((PayEmp=$C10)*(PayDate&lt;=$AC10)*(OFFSET($N$6,1,MATCH(AT$5,PayDedList,0)-1,PayCount,1)))/$AA10*12*AT$3,(MIN(SUMPRODUCT((PayEmp=$C10)*(PayDate&lt;=$AC10)*(ISERROR(SEARCH(PayEarnCode,AT$2)))*(PayEarnType="Monthly")*(PayEarnValues))/$AA10*12,IF(ISNUMBER(OFFSET($N$3,0,MATCH(AT$5,PayDedList,0)-1,1,1)),OFFSET($N$3,0,MATCH(AT$5,PayDedList,0)-1,1,1),IgnoreMin)))*IF(COUNTIFS(EmpNo,$C10,OFFSET(Emp!$R$4,1,MATCH(AT$5,DedListItem,0)-1,EmpCount,1),"&lt;&gt;")&gt;0,VLOOKUP($C10,EmpAll,COLUMN(Emp!$R$4)+MATCH(AT$5,DedListItem,0)-1,0),OFFSET(Setup!$E$73,MATCH(AT$5,DedListItem,0),0,1,1))*AT$3))),IF(ISNUMBER(AT$4),AT$4,IgnoreMin)))))</f>
        <v>0</v>
      </c>
      <c r="AU10" s="148" cm="1">
        <f t="array" aca="1" ref="AU10" ca="1">-IF($F10="Terminated",0,IF($AA10=0,0,IF(ISNA(MATCH(AU$5,PayDedList,0)),0,MIN(IF(COUNTIFS(OverEmp,$C10,OverDeduct,AU$5,OverDate,"&lt;"&amp;DATE(YEAR($AC10),MONTH($AC10)+1,1),OverEnd,"&gt;="&amp;DATE(YEAR($AC10),MONTH($AC10),1))&gt;0,SUMPRODUCT((PayEmp=$C10)*(PayDate&lt;=$AC10)*(OFFSET($N$6,1,MATCH(AU$5,PayDedList,0)-1,PayCount,1)))/$AA10*12*AU$3,IF(OR(AU$1="Fixed",AU$1="Not Used"),SUMPRODUCT((PayEmp=$C10)*(PayDate&lt;=$AC10)*(OFFSET($N$6,1,MATCH(AU$5,PayDedList,0)-1,PayCount,1)))/$AA10*12*AU$3,IF(ISNA(MATCH(OFFSET($N$2,0,MATCH(AU$5,PayDedList,0)-1,1,1),EarnListItem,0))=FALSE,SUMPRODUCT((PayEmp=$C10)*(PayDate&lt;=$AC10)*(OFFSET($N$6,1,MATCH(AU$5,PayDedList,0)-1,PayCount,1)))/$AA10*12*AU$3,(MIN(SUMPRODUCT((PayEmp=$C10)*(PayDate&lt;=$AC10)*(ISERROR(SEARCH(PayEarnCode,AU$2)))*(PayEarnType="Monthly")*(PayEarnValues))/$AA10*12,IF(ISNUMBER(OFFSET($N$3,0,MATCH(AU$5,PayDedList,0)-1,1,1)),OFFSET($N$3,0,MATCH(AU$5,PayDedList,0)-1,1,1),IgnoreMin)))*IF(COUNTIFS(EmpNo,$C10,OFFSET(Emp!$R$4,1,MATCH(AU$5,DedListItem,0)-1,EmpCount,1),"&lt;&gt;")&gt;0,VLOOKUP($C10,EmpAll,COLUMN(Emp!$R$4)+MATCH(AU$5,DedListItem,0)-1,0),OFFSET(Setup!$E$73,MATCH(AU$5,DedListItem,0),0,1,1))*AU$3))),IF(ISNUMBER(AU$4),AU$4,IgnoreMin)))))</f>
        <v>0</v>
      </c>
      <c r="AV10" s="148" cm="1">
        <f t="array" aca="1" ref="AV10" ca="1">-IF($F10="Terminated",0,IF($AA10=0,0,IF(ISNA(MATCH(AV$5,PayDedList,0)),0,MIN(IF(COUNTIFS(OverEmp,$C10,OverDeduct,AV$5,OverDate,"&lt;"&amp;DATE(YEAR($AC10),MONTH($AC10)+1,1),OverEnd,"&gt;="&amp;DATE(YEAR($AC10),MONTH($AC10),1))&gt;0,SUMPRODUCT((PayEmp=$C10)*(PayDate&lt;=$AC10)*(OFFSET($N$6,1,MATCH(AV$5,PayDedList,0)-1,PayCount,1)))/$AA10*12*AV$3,IF(OR(AV$1="Fixed",AV$1="Not Used"),SUMPRODUCT((PayEmp=$C10)*(PayDate&lt;=$AC10)*(OFFSET($N$6,1,MATCH(AV$5,PayDedList,0)-1,PayCount,1)))/$AA10*12*AV$3,IF(ISNA(MATCH(OFFSET($N$2,0,MATCH(AV$5,PayDedList,0)-1,1,1),EarnListItem,0))=FALSE,SUMPRODUCT((PayEmp=$C10)*(PayDate&lt;=$AC10)*(OFFSET($N$6,1,MATCH(AV$5,PayDedList,0)-1,PayCount,1)))/$AA10*12*AV$3,(MIN(SUMPRODUCT((PayEmp=$C10)*(PayDate&lt;=$AC10)*(ISERROR(SEARCH(PayEarnCode,AV$2)))*(PayEarnType="Monthly")*(PayEarnValues))/$AA10*12,IF(ISNUMBER(OFFSET($N$3,0,MATCH(AV$5,PayDedList,0)-1,1,1)),OFFSET($N$3,0,MATCH(AV$5,PayDedList,0)-1,1,1),IgnoreMin)))*IF(COUNTIFS(EmpNo,$C10,OFFSET(Emp!$R$4,1,MATCH(AV$5,DedListItem,0)-1,EmpCount,1),"&lt;&gt;")&gt;0,VLOOKUP($C10,EmpAll,COLUMN(Emp!$R$4)+MATCH(AV$5,DedListItem,0)-1,0),OFFSET(Setup!$E$73,MATCH(AV$5,DedListItem,0),0,1,1))*AV$3))),IF(ISNUMBER(AV$4),AV$4,IgnoreMin)))))</f>
        <v>0</v>
      </c>
      <c r="AW10" s="148" cm="1">
        <f t="array" aca="1" ref="AW10" ca="1">-IF($F10="Terminated",0,IF($AA10=0,0,IF(ISNA(MATCH(AW$5,PayDedList,0)),0,MIN(IF(COUNTIFS(OverEmp,$C10,OverDeduct,AW$5,OverDate,"&lt;"&amp;DATE(YEAR($AC10),MONTH($AC10)+1,1),OverEnd,"&gt;="&amp;DATE(YEAR($AC10),MONTH($AC10),1))&gt;0,SUMPRODUCT((PayEmp=$C10)*(PayDate&lt;=$AC10)*(OFFSET($N$6,1,MATCH(AW$5,PayDedList,0)-1,PayCount,1)))/$AA10*12*AW$3,IF(OR(AW$1="Fixed",AW$1="Not Used"),SUMPRODUCT((PayEmp=$C10)*(PayDate&lt;=$AC10)*(OFFSET($N$6,1,MATCH(AW$5,PayDedList,0)-1,PayCount,1)))/$AA10*12*AW$3,IF(ISNA(MATCH(OFFSET($N$2,0,MATCH(AW$5,PayDedList,0)-1,1,1),EarnListItem,0))=FALSE,SUMPRODUCT((PayEmp=$C10)*(PayDate&lt;=$AC10)*(OFFSET($N$6,1,MATCH(AW$5,PayDedList,0)-1,PayCount,1)))/$AA10*12*AW$3,(MIN(SUMPRODUCT((PayEmp=$C10)*(PayDate&lt;=$AC10)*(ISERROR(SEARCH(PayEarnCode,AW$2)))*(PayEarnType="Monthly")*(PayEarnValues))/$AA10*12,IF(ISNUMBER(OFFSET($N$3,0,MATCH(AW$5,PayDedList,0)-1,1,1)),OFFSET($N$3,0,MATCH(AW$5,PayDedList,0)-1,1,1),IgnoreMin)))*IF(COUNTIFS(EmpNo,$C10,OFFSET(Emp!$R$4,1,MATCH(AW$5,DedListItem,0)-1,EmpCount,1),"&lt;&gt;")&gt;0,VLOOKUP($C10,EmpAll,COLUMN(Emp!$R$4)+MATCH(AW$5,DedListItem,0)-1,0),OFFSET(Setup!$E$73,MATCH(AW$5,DedListItem,0),0,1,1))*AW$3))),IF(ISNUMBER(AW$4),AW$4,IgnoreMin)))))</f>
        <v>0</v>
      </c>
      <c r="AX10" s="148">
        <f t="shared" ca="1" si="12"/>
        <v>180000</v>
      </c>
      <c r="AY10" s="148">
        <f t="shared" ca="1" si="13"/>
        <v>3600</v>
      </c>
      <c r="AZ10" s="148">
        <f ca="1">IF(ISNUMBER($AL10),($AR10*$AL10)-$AI10-$AK10,MAX(0,IF($AL10="B",IF($AR10&lt;Setup!$C$32,($AR10*Setup!$D$32)-$AI10-$AK10,(($AR10-VLOOKUP($AR10,TaxAll2,1,1))*OFFSET(Setup!$D$32,MATCH($AR10,TaxBracket2,1),0,1,1))+OFFSET(Setup!$E$31,MATCH($AR10,TaxBracket2,1),0,1,1)-$AI10-$AK10),IF($AR10&lt;Setup!$C$21,($AR10*Setup!$D$21)-$AI10-$AK10,(($AR10-VLOOKUP($AR10,TaxAll1,1,1))*OFFSET(Setup!$D$21,MATCH($AR10,TaxBracket1,1),0,1,1))+OFFSET(Setup!$E$20,MATCH($AR10,TaxBracket1,1),0,1,1)-$AI10-$AK10))))</f>
        <v>11445</v>
      </c>
      <c r="BA10" s="148">
        <f ca="1">IF(ISNUMBER($AL10),($AX10*$AL10)-$AI10-$AK10,MAX(0,IF($AL10="B",IF($AX10&lt;Setup!$C$32,($AX10*Setup!$D$32)-$AI10-$AK10,(($AX10-VLOOKUP($AX10,TaxAll2,1,1))*OFFSET(Setup!$D$32,MATCH($AX10,TaxBracket2,1),0,1,1))+OFFSET(Setup!$E$31,MATCH($AX10,TaxBracket2,1),0,1,1)-$AI10-$AK10),IF($AX10&lt;Setup!$C$21,($AX10*Setup!$D$21)-$AI10-$AK10,(($AX10-VLOOKUP($AX10,TaxAll1,1,1))*OFFSET(Setup!$D$21,MATCH($AX10,TaxBracket1,1),0,1,1))+OFFSET(Setup!$E$20,MATCH($AX10,TaxBracket1,1),0,1,1)-$AI10-$AK10))))</f>
        <v>10797</v>
      </c>
      <c r="BB10" s="148">
        <f t="shared" ca="1" si="14"/>
        <v>648</v>
      </c>
      <c r="BC10" s="150">
        <f t="shared" ca="1" si="15"/>
        <v>0.98039215686274506</v>
      </c>
      <c r="BD10" s="150">
        <f t="shared" ca="1" si="16"/>
        <v>1.9607843137254902E-2</v>
      </c>
      <c r="BE10" s="148">
        <f t="shared" ca="1" si="17"/>
        <v>183600</v>
      </c>
    </row>
    <row r="11" spans="1:57" ht="16.149999999999999" customHeight="1" x14ac:dyDescent="0.25">
      <c r="A11" s="9" t="str" cm="1">
        <f t="array" aca="1" ref="A11" ca="1">IF(ROW($A11)-ROW($A$6)&gt;EmpCount*12,"-",TEXT($B11,"yyyy")&amp;TEXT($B11,"mm")&amp;"-"&amp;$C11)</f>
        <v>202303-EXS005</v>
      </c>
      <c r="B11" s="129" cm="1">
        <f t="array" aca="1" ref="B11" ca="1">IF(ROW($A11)-ROW($A$6)&gt;EmpCount*12,Setup!$D$12,DATE(YEAR(Setup!$F$12),MONTH(Setup!$F$12)+ROUNDDOWN((ROW($A11)-ROW($A$6)-1)/EmpCount,0),IF(Setup!$C$14&gt;DAY(DATE(YEAR(Setup!$F$12),MONTH(Setup!$F$12)+ROUNDDOWN((ROW($A11)-ROW($A$6)-1)/EmpCount,0)+1,0)),DAY(DATE(YEAR(Setup!$F$12),MONTH(Setup!$F$12)+ROUNDDOWN((ROW($A11)-ROW($A$6)-1)/EmpCount,0)+1,0)),Setup!$C$14)))</f>
        <v>45010</v>
      </c>
      <c r="C11" s="130" t="str" cm="1">
        <f t="array" aca="1" ref="C11" ca="1">IF(ROW($A11)-ROW($A$6)&gt;EmpCount*12,"-",OFFSET(Emp!$A$4,ROW($A11)-ROW($A$6)-IF(ROW($A11)-ROW($A$6)&gt;EmpCount,ROUNDDOWN((ROW($A11)-ROW($A$6)-1)/EmpCount,0)*EmpCount,0),0,1,1))</f>
        <v>EXS005</v>
      </c>
      <c r="D11" s="9" t="str">
        <f ca="1">IF(ISNA(VLOOKUP($C11,EmpAll,COLUMN(Emp!$B$4),0)),"-",VLOOKUP($C11,EmpAll,COLUMN(Emp!$B$4),0))</f>
        <v>Miller R</v>
      </c>
      <c r="E11" s="130" t="str">
        <f ca="1">IF(ISNA(VLOOKUP($C11,EmpAll,COLUMN(Emp!$C$4),0)),"-",VLOOKUP($C11,EmpAll,COLUMN(Emp!$C$4),0))</f>
        <v>S</v>
      </c>
      <c r="F11" s="130" t="str">
        <f ca="1">IF(ISNA(VLOOKUP($C11,EmpAll,COLUMN(Emp!$A$4),0)),"-",IF(AND(VLOOKUP($C11,EmpAll,COLUMN(Emp!$E$4),0)&lt;&gt;0,VLOOKUP($C11,EmpAll,COLUMN(Emp!$E$4),0)&gt;=DATE(YEAR($AC11),MONTH($AC11)+1,0)),"Inactive",IF(AND(VLOOKUP($C11,EmpAll,COLUMN(Emp!$F$4),0)&lt;&gt;0,VLOOKUP($C11,EmpAll,COLUMN(Emp!$F$4),0)&lt;=DATE(YEAR($AC11),MONTH($AC11),0)),"Terminated","Active")))</f>
        <v>Active</v>
      </c>
      <c r="G11" s="133" cm="1">
        <f t="array" aca="1" ref="G11" ca="1">IF($F11&lt;&gt;"Active",0,IF(COUNTIFS(OverEmp,$C11,OverEarn,G$2,OverDate,"&lt;"&amp;DATE(YEAR($AC11),MONTH($AC11)+1,1),OverEnd,"&gt;="&amp;DATE(YEAR($AC11),MONTH($AC11),1))&gt;0,SUMIFS(OverValue,OverEmp,$C11,OverEarn,G$2,OverDate,"&lt;"&amp;DATE(YEAR($AC11),MONTH($AC11)+1,1),OverEnd,"&gt;="&amp;DATE(YEAR($AC11),MONTH($AC11),1)),IF(AND($AC11&gt;=Setup!$E$10,SUMIFS(EmpIncrease,EmpCode,$C11)&gt;0),SUMIFS(EmpIncrease,EmpCode,$C11),SUMIFS(EmpSalary,EmpCode,$C11))))</f>
        <v>10000</v>
      </c>
      <c r="H11" s="133" cm="1">
        <f t="array" aca="1" ref="H11" ca="1">IF($F11&lt;&gt;"Active",0,IF(COUNTIFS(OverEmp,$C11,OverEarn,H$2,OverDate,"&lt;"&amp;DATE(YEAR($AC11),MONTH($AC11)+1,1),OverEnd,"&gt;="&amp;DATE(YEAR($AC11),MONTH($AC11),1))&gt;0,SUMIFS(OverValue,OverEmp,$C11,OverEarn,H$2,OverDate,"&lt;"&amp;DATE(YEAR($AC11),MONTH($AC11)+1,1),OverEnd,"&gt;="&amp;DATE(YEAR($AC11),MONTH($AC11),1)),0))</f>
        <v>0</v>
      </c>
      <c r="I11" s="133" cm="1">
        <f t="array" aca="1" ref="I11" ca="1">IF($F11&lt;&gt;"Active",0,IF(COUNTIFS(OverEmp,$C11,OverEarn,I$2,OverDate,"&lt;"&amp;DATE(YEAR($AC11),MONTH($AC11)+1,1),OverEnd,"&gt;="&amp;DATE(YEAR($AC11),MONTH($AC11),1))&gt;0,SUMIFS(OverValue,OverEmp,$C11,OverEarn,I$2,OverDate,"&lt;"&amp;DATE(YEAR($AC11),MONTH($AC11)+1,1),OverEnd,"&gt;="&amp;DATE(YEAR($AC11),MONTH($AC11),1)),IF(MONTH(B11)=Setup!$C$15,SUMIFS(EmpBonus,EmpCode,$C11),0)))</f>
        <v>0</v>
      </c>
      <c r="J11" s="133" cm="1">
        <f t="array" aca="1" ref="J11" ca="1">IF($F11&lt;&gt;"Active",0,IF(COUNTIFS(OverEmp,$C11,OverEarn,J$2,OverDate,"&lt;"&amp;DATE(YEAR($AC11),MONTH($AC11)+1,1),OverEnd,"&gt;="&amp;DATE(YEAR($AC11),MONTH($AC11),1))&gt;0,SUMIFS(OverValue,OverEmp,$C11,OverEarn,J$2,OverDate,"&lt;"&amp;DATE(YEAR($AC11),MONTH($AC11)+1,1),OverEnd,"&gt;="&amp;DATE(YEAR($AC11),MONTH($AC11),1)),0))</f>
        <v>0</v>
      </c>
      <c r="K11" s="133" cm="1">
        <f t="array" aca="1" ref="K11" ca="1">IF($F11&lt;&gt;"Active",0,IF(COUNTIFS(OverEmp,$C11,OverEarn,K$2,OverDate,"&lt;"&amp;DATE(YEAR($AC11),MONTH($AC11)+1,1),OverEnd,"&gt;="&amp;DATE(YEAR($AC11),MONTH($AC11),1))&gt;0,SUMIFS(OverValue,OverEmp,$C11,OverEarn,K$2,OverDate,"&lt;"&amp;DATE(YEAR($AC11),MONTH($AC11)+1,1),OverEnd,"&gt;="&amp;DATE(YEAR($AC11),MONTH($AC11),1)),0))</f>
        <v>0</v>
      </c>
      <c r="L11" s="133">
        <f t="shared" ca="1" si="0"/>
        <v>10000</v>
      </c>
      <c r="M11" s="182" cm="1">
        <f t="array" aca="1" ref="M11" ca="1">IF(COUNTIFS(OverEmp,$C11,OverTax,M$5,OverDate,"&lt;"&amp;DATE(YEAR($AC11),MONTH($AC11)+1,1),OverEnd,"&gt;="&amp;DATE(YEAR($AC11),MONTH($AC11),1))&gt;0,SUMIFS(OverValue,OverEmp,$C11,OverTax,M$5,OverDate,"&lt;"&amp;DATE(YEAR($AC11),MONTH($AC11)+1,1),OverEnd,"&gt;="&amp;DATE(YEAR($AC11),MONTH($AC11),1)),(($BA11/12*$AA11)+(BB11*IF(1-$BC11=0,0,BD11/(1-$BC11))))-IF($F11="Terminated",0,SUMIFS(PayTaxDeduct,PayDate,"&lt;"&amp;$AC11,PayEmp,$C11)))</f>
        <v>0</v>
      </c>
      <c r="N11" s="133" cm="1">
        <f t="array" aca="1" ref="N11" ca="1">IF($F11="Terminated",0,IF($AA11=0,0,IF(ISNA(MATCH(N$5,DedListItem,0)),0,IF(COUNTIFS(OverEmp,$C11,OverDeduct,N$5,OverDate,"&lt;"&amp;DATE(YEAR($AC11),MONTH($AC11)+1,1),OverEnd,"&gt;="&amp;DATE(YEAR($AC11),MONTH($AC11),1))&gt;0,SUMIFS(OverValue,OverEmp,$C11,OverDeduct,N$5,OverDate,"&lt;"&amp;DATE(YEAR($AC11),MONTH($AC11)+1,1),OverEnd,"&gt;="&amp;DATE(YEAR($AC11),MONTH($AC11),1)),IF(OR(N$2="Fixed",N$2="Not Used"),(IF(COUNTIFS(EmpNo,$C11,OFFSET(Emp!$R$4,1,MATCH(N$5,DedListItem,0)-1,EmpCount,1),"&lt;&gt;")&gt;0,VLOOKUP($C11,EmpAll,COLUMN(Emp!$R$4)+MATCH(N$5,DedListItem,0)-1,0),OFFSET(Setup!$E$73,MATCH(N$5,DedListItem,0),0,1,1))*$AA11)-SUMIFS(OFFSET(N$6,1,0,PayCount,1),PayDate,"&lt;"&amp;$AC11,PayEmp,$C11),IF(ISNA(MATCH(N$2,EarnListItem,0))=FALSE,IF(OFFSET(Setup!$G$73,MATCH(N$5,DedListItem,0),0,1,1)="Taxable",SUMPRODUCT((PayEmp=$C11)*(PayDate&lt;=$AC11)*(PayEarnCode=N$2)*(PayEarnTax)*(PayEarnValues)),SUMPRODUCT((PayEmp=$C11)*(PayDate&lt;=$AC11)*(PayEarnCode=N$2)*(PayEarnValues)))*IF(COUNTIFS(EmpNo,$C11,OFFSET(Emp!$R$4,1,MATCH(N$5,DedListItem,0)-1,EmpCount,1),"&lt;&gt;")&gt;0,VLOOKUP($C11,EmpAll,COLUMN(Emp!$R$4)+MATCH(N$5,DedListItem,0)-1,0),OFFSET(Setup!$E$73,MATCH(N$5,DedListItem,0),0,1,1)),(MIN(IF(OFFSET(Setup!$G$73,MATCH(N$5,DedListItem,0),0,1,1)="Taxable",SUMPRODUCT((PayEmp=$C11)*(PayDate&lt;=$AC11)*(ISERROR(SEARCH(PayEarnCode,N$4)))*(PayEarnTax)*(PayEarnValues)),SUMPRODUCT((PayEmp=$C11)*(PayDate&lt;=$AC11)*(ISERROR(SEARCH(PayEarnCode,N$4)))*(PayEarnValues))),IF(ISNUMBER(N$3),N$3/12*$AA11,IgnoreMin)))*IF(COUNTIFS(EmpNo,$C11,OFFSET(Emp!$R$4,1,MATCH(N$5,DedListItem,0)-1,EmpCount,1),"&lt;&gt;")&gt;0,VLOOKUP($C11,EmpAll,COLUMN(Emp!$R$4)+MATCH(N$5,DedListItem,0)-1,0),OFFSET(Setup!$E$73,MATCH(N$5,DedListItem,0),0,1,1)))-SUMIFS(OFFSET(N$6,1,0,PayCount,1),PayDate,"&lt;"&amp;$AC11,PayEmp,$C11))))))</f>
        <v>100</v>
      </c>
      <c r="O11" s="133" cm="1">
        <f t="array" aca="1" ref="O11" ca="1">IF($F11="Terminated",0,IF($AA11=0,0,IF(ISNA(MATCH(O$5,DedListItem,0)),0,IF(COUNTIFS(OverEmp,$C11,OverDeduct,O$5,OverDate,"&lt;"&amp;DATE(YEAR($AC11),MONTH($AC11)+1,1),OverEnd,"&gt;="&amp;DATE(YEAR($AC11),MONTH($AC11),1))&gt;0,SUMIFS(OverValue,OverEmp,$C11,OverDeduct,O$5,OverDate,"&lt;"&amp;DATE(YEAR($AC11),MONTH($AC11)+1,1),OverEnd,"&gt;="&amp;DATE(YEAR($AC11),MONTH($AC11),1)),IF(OR(O$2="Fixed",O$2="Not Used"),(IF(COUNTIFS(EmpNo,$C11,OFFSET(Emp!$R$4,1,MATCH(O$5,DedListItem,0)-1,EmpCount,1),"&lt;&gt;")&gt;0,VLOOKUP($C11,EmpAll,COLUMN(Emp!$R$4)+MATCH(O$5,DedListItem,0)-1,0),OFFSET(Setup!$E$73,MATCH(O$5,DedListItem,0),0,1,1))*$AA11)-SUMIFS(OFFSET(O$6,1,0,PayCount,1),PayDate,"&lt;"&amp;$AC11,PayEmp,$C11),IF(ISNA(MATCH(O$2,EarnListItem,0))=FALSE,IF(OFFSET(Setup!$G$73,MATCH(O$5,DedListItem,0),0,1,1)="Taxable",SUMPRODUCT((PayEmp=$C11)*(PayDate&lt;=$AC11)*(PayEarnCode=O$2)*(PayEarnTax)*(PayEarnValues)),SUMPRODUCT((PayEmp=$C11)*(PayDate&lt;=$AC11)*(PayEarnCode=O$2)*(PayEarnValues)))*IF(COUNTIFS(EmpNo,$C11,OFFSET(Emp!$R$4,1,MATCH(O$5,DedListItem,0)-1,EmpCount,1),"&lt;&gt;")&gt;0,VLOOKUP($C11,EmpAll,COLUMN(Emp!$R$4)+MATCH(O$5,DedListItem,0)-1,0),OFFSET(Setup!$E$73,MATCH(O$5,DedListItem,0),0,1,1)),(MIN(IF(OFFSET(Setup!$G$73,MATCH(O$5,DedListItem,0),0,1,1)="Taxable",SUMPRODUCT((PayEmp=$C11)*(PayDate&lt;=$AC11)*(ISERROR(SEARCH(PayEarnCode,O$4)))*(PayEarnTax)*(PayEarnValues)),SUMPRODUCT((PayEmp=$C11)*(PayDate&lt;=$AC11)*(ISERROR(SEARCH(PayEarnCode,O$4)))*(PayEarnValues))),IF(ISNUMBER(O$3),O$3/12*$AA11,IgnoreMin)))*IF(COUNTIFS(EmpNo,$C11,OFFSET(Emp!$R$4,1,MATCH(O$5,DedListItem,0)-1,EmpCount,1),"&lt;&gt;")&gt;0,VLOOKUP($C11,EmpAll,COLUMN(Emp!$R$4)+MATCH(O$5,DedListItem,0)-1,0),OFFSET(Setup!$E$73,MATCH(O$5,DedListItem,0),0,1,1)))-SUMIFS(OFFSET(O$6,1,0,PayCount,1),PayDate,"&lt;"&amp;$AC11,PayEmp,$C11))))))</f>
        <v>0</v>
      </c>
      <c r="P11" s="133" cm="1">
        <f t="array" aca="1" ref="P11" ca="1">IF($F11="Terminated",0,IF($AA11=0,0,IF(ISNA(MATCH(P$5,DedListItem,0)),0,IF(COUNTIFS(OverEmp,$C11,OverDeduct,P$5,OverDate,"&lt;"&amp;DATE(YEAR($AC11),MONTH($AC11)+1,1),OverEnd,"&gt;="&amp;DATE(YEAR($AC11),MONTH($AC11),1))&gt;0,SUMIFS(OverValue,OverEmp,$C11,OverDeduct,P$5,OverDate,"&lt;"&amp;DATE(YEAR($AC11),MONTH($AC11)+1,1),OverEnd,"&gt;="&amp;DATE(YEAR($AC11),MONTH($AC11),1)),IF(OR(P$2="Fixed",P$2="Not Used"),(IF(COUNTIFS(EmpNo,$C11,OFFSET(Emp!$R$4,1,MATCH(P$5,DedListItem,0)-1,EmpCount,1),"&lt;&gt;")&gt;0,VLOOKUP($C11,EmpAll,COLUMN(Emp!$R$4)+MATCH(P$5,DedListItem,0)-1,0),OFFSET(Setup!$E$73,MATCH(P$5,DedListItem,0),0,1,1))*$AA11)-SUMIFS(OFFSET(P$6,1,0,PayCount,1),PayDate,"&lt;"&amp;$AC11,PayEmp,$C11),IF(ISNA(MATCH(P$2,EarnListItem,0))=FALSE,IF(OFFSET(Setup!$G$73,MATCH(P$5,DedListItem,0),0,1,1)="Taxable",SUMPRODUCT((PayEmp=$C11)*(PayDate&lt;=$AC11)*(PayEarnCode=P$2)*(PayEarnTax)*(PayEarnValues)),SUMPRODUCT((PayEmp=$C11)*(PayDate&lt;=$AC11)*(PayEarnCode=P$2)*(PayEarnValues)))*IF(COUNTIFS(EmpNo,$C11,OFFSET(Emp!$R$4,1,MATCH(P$5,DedListItem,0)-1,EmpCount,1),"&lt;&gt;")&gt;0,VLOOKUP($C11,EmpAll,COLUMN(Emp!$R$4)+MATCH(P$5,DedListItem,0)-1,0),OFFSET(Setup!$E$73,MATCH(P$5,DedListItem,0),0,1,1)),(MIN(IF(OFFSET(Setup!$G$73,MATCH(P$5,DedListItem,0),0,1,1)="Taxable",SUMPRODUCT((PayEmp=$C11)*(PayDate&lt;=$AC11)*(ISERROR(SEARCH(PayEarnCode,P$4)))*(PayEarnTax)*(PayEarnValues)),SUMPRODUCT((PayEmp=$C11)*(PayDate&lt;=$AC11)*(ISERROR(SEARCH(PayEarnCode,P$4)))*(PayEarnValues))),IF(ISNUMBER(P$3),P$3/12*$AA11,IgnoreMin)))*IF(COUNTIFS(EmpNo,$C11,OFFSET(Emp!$R$4,1,MATCH(P$5,DedListItem,0)-1,EmpCount,1),"&lt;&gt;")&gt;0,VLOOKUP($C11,EmpAll,COLUMN(Emp!$R$4)+MATCH(P$5,DedListItem,0)-1,0),OFFSET(Setup!$E$73,MATCH(P$5,DedListItem,0),0,1,1)))-SUMIFS(OFFSET(P$6,1,0,PayCount,1),PayDate,"&lt;"&amp;$AC11,PayEmp,$C11))))))</f>
        <v>0</v>
      </c>
      <c r="Q11" s="133" cm="1">
        <f t="array" aca="1" ref="Q11" ca="1">IF($F11="Terminated",0,IF($AA11=0,0,IF(ISNA(MATCH(Q$5,DedListItem,0)),0,IF(COUNTIFS(OverEmp,$C11,OverDeduct,Q$5,OverDate,"&lt;"&amp;DATE(YEAR($AC11),MONTH($AC11)+1,1),OverEnd,"&gt;="&amp;DATE(YEAR($AC11),MONTH($AC11),1))&gt;0,SUMIFS(OverValue,OverEmp,$C11,OverDeduct,Q$5,OverDate,"&lt;"&amp;DATE(YEAR($AC11),MONTH($AC11)+1,1),OverEnd,"&gt;="&amp;DATE(YEAR($AC11),MONTH($AC11),1)),IF(OR(Q$2="Fixed",Q$2="Not Used"),(IF(COUNTIFS(EmpNo,$C11,OFFSET(Emp!$R$4,1,MATCH(Q$5,DedListItem,0)-1,EmpCount,1),"&lt;&gt;")&gt;0,VLOOKUP($C11,EmpAll,COLUMN(Emp!$R$4)+MATCH(Q$5,DedListItem,0)-1,0),OFFSET(Setup!$E$73,MATCH(Q$5,DedListItem,0),0,1,1))*$AA11)-SUMIFS(OFFSET(Q$6,1,0,PayCount,1),PayDate,"&lt;"&amp;$AC11,PayEmp,$C11),IF(ISNA(MATCH(Q$2,EarnListItem,0))=FALSE,IF(OFFSET(Setup!$G$73,MATCH(Q$5,DedListItem,0),0,1,1)="Taxable",SUMPRODUCT((PayEmp=$C11)*(PayDate&lt;=$AC11)*(PayEarnCode=Q$2)*(PayEarnTax)*(PayEarnValues)),SUMPRODUCT((PayEmp=$C11)*(PayDate&lt;=$AC11)*(PayEarnCode=Q$2)*(PayEarnValues)))*IF(COUNTIFS(EmpNo,$C11,OFFSET(Emp!$R$4,1,MATCH(Q$5,DedListItem,0)-1,EmpCount,1),"&lt;&gt;")&gt;0,VLOOKUP($C11,EmpAll,COLUMN(Emp!$R$4)+MATCH(Q$5,DedListItem,0)-1,0),OFFSET(Setup!$E$73,MATCH(Q$5,DedListItem,0),0,1,1)),(MIN(IF(OFFSET(Setup!$G$73,MATCH(Q$5,DedListItem,0),0,1,1)="Taxable",SUMPRODUCT((PayEmp=$C11)*(PayDate&lt;=$AC11)*(ISERROR(SEARCH(PayEarnCode,Q$4)))*(PayEarnTax)*(PayEarnValues)),SUMPRODUCT((PayEmp=$C11)*(PayDate&lt;=$AC11)*(ISERROR(SEARCH(PayEarnCode,Q$4)))*(PayEarnValues))),IF(ISNUMBER(Q$3),Q$3/12*$AA11,IgnoreMin)))*IF(COUNTIFS(EmpNo,$C11,OFFSET(Emp!$R$4,1,MATCH(Q$5,DedListItem,0)-1,EmpCount,1),"&lt;&gt;")&gt;0,VLOOKUP($C11,EmpAll,COLUMN(Emp!$R$4)+MATCH(Q$5,DedListItem,0)-1,0),OFFSET(Setup!$E$73,MATCH(Q$5,DedListItem,0),0,1,1)))-SUMIFS(OFFSET(Q$6,1,0,PayCount,1),PayDate,"&lt;"&amp;$AC11,PayEmp,$C11))))))</f>
        <v>0</v>
      </c>
      <c r="R11" s="133">
        <f t="shared" ca="1" si="1"/>
        <v>100</v>
      </c>
      <c r="S11" s="133">
        <f t="shared" ca="1" si="2"/>
        <v>9900</v>
      </c>
      <c r="T11" s="133" cm="1">
        <f t="array" aca="1" ref="T11" ca="1">IF($F11="Terminated",0,IF($AA11=0,0,IF(ISNA(MATCH(T$5,CompListItem,0)),0,IF(COUNTIFS(OverEmp,$C11,OverComp,T$5,OverDate,"&lt;"&amp;DATE(YEAR($AC11),MONTH($AC11)+1,1),OverEnd,"&gt;="&amp;DATE(YEAR($AC11),MONTH($AC11),1))&gt;0,SUMIFS(OverValue,OverEmp,$C11,OverComp,T$5,OverDate,"&lt;"&amp;DATE(YEAR($AC11),MONTH($AC11)+1,1),OverEnd,"&gt;="&amp;DATE(YEAR($AC11),MONTH($AC11),1)),IF(OR(T$2="Fixed",T$2="Not Used"),(OFFSET(Setup!$E$81,MATCH(T$5,CompListItem,0),0,1,1)*$AA11)-SUMIFS(OFFSET(T$6,1,0,PayCount,1),PayDate,"&lt;"&amp;$AC11,PayEmp,$C11),IF(ISNA(MATCH(T$2,DedListItem,0))=FALSE,(SUMPRODUCT((PayEmp=$C11)*(PayDate&lt;=$AC11)*(PayDedList=T$2)*(PayDedValues))*OFFSET(Setup!$E$81,MATCH(T$5,CompListItem,0),0,1,1))-SUMIFS(OFFSET(T$6,1,0,PayCount,1),PayDate,"&lt;"&amp;$AC11,PayEmp,$C11),(MIN(IF(OFFSET(Setup!$G$81,MATCH(T$5,CompListItem,0),0,1,1)="Taxable",SUMPRODUCT((PayEmp=$C11)*(PayDate&lt;=$AC11)*(ISERROR(SEARCH(PayEarnCode,T$4)))*(PayEarnTax)*(PayEarnValues)),SUMPRODUCT((PayEmp=$C11)*(PayDate&lt;=$AC11)*(ISERROR(SEARCH(PayEarnCode,T$4)))*(PayEarnValues))),IF(ISNUMBER(T$3),T$3/12*$AA11,IgnoreMin)))*OFFSET(Setup!$E$81,MATCH(T$5,CompListItem,0),0,1,1)-SUMIFS(OFFSET(T$6,1,0,PayCount,1),PayDate,"&lt;"&amp;$AC11,PayEmp,$C11)))))))</f>
        <v>100</v>
      </c>
      <c r="U11" s="133" cm="1">
        <f t="array" aca="1" ref="U11" ca="1">IF($F11="Terminated",0,IF($AA11=0,0,IF(ISNA(MATCH(U$5,CompListItem,0)),0,IF(COUNTIFS(OverEmp,$C11,OverComp,U$5,OverDate,"&lt;"&amp;DATE(YEAR($AC11),MONTH($AC11)+1,1),OverEnd,"&gt;="&amp;DATE(YEAR($AC11),MONTH($AC11),1))&gt;0,SUMIFS(OverValue,OverEmp,$C11,OverComp,U$5,OverDate,"&lt;"&amp;DATE(YEAR($AC11),MONTH($AC11)+1,1),OverEnd,"&gt;="&amp;DATE(YEAR($AC11),MONTH($AC11),1)),IF(OR(U$2="Fixed",U$2="Not Used"),(OFFSET(Setup!$E$81,MATCH(U$5,CompListItem,0),0,1,1)*$AA11)-SUMIFS(OFFSET(U$6,1,0,PayCount,1),PayDate,"&lt;"&amp;$AC11,PayEmp,$C11),IF(ISNA(MATCH(U$2,DedListItem,0))=FALSE,(SUMPRODUCT((PayEmp=$C11)*(PayDate&lt;=$AC11)*(PayDedList=U$2)*(PayDedValues))*OFFSET(Setup!$E$81,MATCH(U$5,CompListItem,0),0,1,1))-SUMIFS(OFFSET(U$6,1,0,PayCount,1),PayDate,"&lt;"&amp;$AC11,PayEmp,$C11),(MIN(IF(OFFSET(Setup!$G$81,MATCH(U$5,CompListItem,0),0,1,1)="Taxable",SUMPRODUCT((PayEmp=$C11)*(PayDate&lt;=$AC11)*(ISERROR(SEARCH(PayEarnCode,U$4)))*(PayEarnTax)*(PayEarnValues)),SUMPRODUCT((PayEmp=$C11)*(PayDate&lt;=$AC11)*(ISERROR(SEARCH(PayEarnCode,U$4)))*(PayEarnValues))),IF(ISNUMBER(U$3),U$3/12*$AA11,IgnoreMin)))*OFFSET(Setup!$E$81,MATCH(U$5,CompListItem,0),0,1,1)-SUMIFS(OFFSET(U$6,1,0,PayCount,1),PayDate,"&lt;"&amp;$AC11,PayEmp,$C11)))))))</f>
        <v>100</v>
      </c>
      <c r="V11" s="133" cm="1">
        <f t="array" aca="1" ref="V11" ca="1">IF($F11="Terminated",0,IF($AA11=0,0,IF(ISNA(MATCH(V$5,CompListItem,0)),0,IF(COUNTIFS(OverEmp,$C11,OverComp,V$5,OverDate,"&lt;"&amp;DATE(YEAR($AC11),MONTH($AC11)+1,1),OverEnd,"&gt;="&amp;DATE(YEAR($AC11),MONTH($AC11),1))&gt;0,SUMIFS(OverValue,OverEmp,$C11,OverComp,V$5,OverDate,"&lt;"&amp;DATE(YEAR($AC11),MONTH($AC11)+1,1),OverEnd,"&gt;="&amp;DATE(YEAR($AC11),MONTH($AC11),1)),IF(OR(V$2="Fixed",V$2="Not Used"),(OFFSET(Setup!$E$81,MATCH(V$5,CompListItem,0),0,1,1)*$AA11)-SUMIFS(OFFSET(V$6,1,0,PayCount,1),PayDate,"&lt;"&amp;$AC11,PayEmp,$C11),IF(ISNA(MATCH(V$2,DedListItem,0))=FALSE,(SUMPRODUCT((PayEmp=$C11)*(PayDate&lt;=$AC11)*(PayDedList=V$2)*(PayDedValues))*OFFSET(Setup!$E$81,MATCH(V$5,CompListItem,0),0,1,1))-SUMIFS(OFFSET(V$6,1,0,PayCount,1),PayDate,"&lt;"&amp;$AC11,PayEmp,$C11),(MIN(IF(OFFSET(Setup!$G$81,MATCH(V$5,CompListItem,0),0,1,1)="Taxable",SUMPRODUCT((PayEmp=$C11)*(PayDate&lt;=$AC11)*(ISERROR(SEARCH(PayEarnCode,V$4)))*(PayEarnTax)*(PayEarnValues)),SUMPRODUCT((PayEmp=$C11)*(PayDate&lt;=$AC11)*(ISERROR(SEARCH(PayEarnCode,V$4)))*(PayEarnValues))),IF(ISNUMBER(V$3),V$3/12*$AA11,IgnoreMin)))*OFFSET(Setup!$E$81,MATCH(V$5,CompListItem,0),0,1,1)-SUMIFS(OFFSET(V$6,1,0,PayCount,1),PayDate,"&lt;"&amp;$AC11,PayEmp,$C11)))))))</f>
        <v>0</v>
      </c>
      <c r="W11" s="133" cm="1">
        <f t="array" aca="1" ref="W11" ca="1">IF($F11="Terminated",0,IF($AA11=0,0,IF(ISNA(MATCH(W$5,CompListItem,0)),0,IF(COUNTIFS(OverEmp,$C11,OverComp,W$5,OverDate,"&lt;"&amp;DATE(YEAR($AC11),MONTH($AC11)+1,1),OverEnd,"&gt;="&amp;DATE(YEAR($AC11),MONTH($AC11),1))&gt;0,SUMIFS(OverValue,OverEmp,$C11,OverComp,W$5,OverDate,"&lt;"&amp;DATE(YEAR($AC11),MONTH($AC11)+1,1),OverEnd,"&gt;="&amp;DATE(YEAR($AC11),MONTH($AC11),1)),IF(OR(W$2="Fixed",W$2="Not Used"),(OFFSET(Setup!$E$81,MATCH(W$5,CompListItem,0),0,1,1)*$AA11)-SUMIFS(OFFSET(W$6,1,0,PayCount,1),PayDate,"&lt;"&amp;$AC11,PayEmp,$C11),IF(ISNA(MATCH(W$2,DedListItem,0))=FALSE,(SUMPRODUCT((PayEmp=$C11)*(PayDate&lt;=$AC11)*(PayDedList=W$2)*(PayDedValues))*OFFSET(Setup!$E$81,MATCH(W$5,CompListItem,0),0,1,1))-SUMIFS(OFFSET(W$6,1,0,PayCount,1),PayDate,"&lt;"&amp;$AC11,PayEmp,$C11),(MIN(IF(OFFSET(Setup!$G$81,MATCH(W$5,CompListItem,0),0,1,1)="Taxable",SUMPRODUCT((PayEmp=$C11)*(PayDate&lt;=$AC11)*(ISERROR(SEARCH(PayEarnCode,W$4)))*(PayEarnTax)*(PayEarnValues)),SUMPRODUCT((PayEmp=$C11)*(PayDate&lt;=$AC11)*(ISERROR(SEARCH(PayEarnCode,W$4)))*(PayEarnValues))),IF(ISNUMBER(W$3),W$3/12*$AA11,IgnoreMin)))*OFFSET(Setup!$E$81,MATCH(W$5,CompListItem,0),0,1,1)-SUMIFS(OFFSET(W$6,1,0,PayCount,1),PayDate,"&lt;"&amp;$AC11,PayEmp,$C11)))))))</f>
        <v>0</v>
      </c>
      <c r="X11" s="133">
        <f t="shared" ca="1" si="3"/>
        <v>200</v>
      </c>
      <c r="Y11" s="133">
        <f t="shared" ca="1" si="4"/>
        <v>10200</v>
      </c>
      <c r="Z11" s="133">
        <f t="shared" ca="1" si="5"/>
        <v>300</v>
      </c>
      <c r="AA11" s="183">
        <f ca="1">IF(OR($B11&lt;=Setup!$E$12,$B11&gt;=Setup!$D$12+1),0,IF($F11&lt;&gt;"Active",0,IF($AE11="Yes",$AB11,((YEAR($AC11)*12)+MONTH($AC11))-((YEAR($AD11)*12)+MONTH($AD11)-1))))</f>
        <v>1</v>
      </c>
      <c r="AB11" s="183">
        <f ca="1">IF(OR($B11&lt;=Setup!$E$12,$B11&gt;=Setup!$D$12+1),0,((YEAR($AC11)*12)+MONTH($AC11))-((YEAR(Setup!$E$12)*12)+MONTH(Setup!$E$12)))</f>
        <v>1</v>
      </c>
      <c r="AC11" s="129">
        <f t="shared" ca="1" si="6"/>
        <v>45010</v>
      </c>
      <c r="AD11" s="184">
        <f ca="1">IF(ISNA(VLOOKUP($C11,EmpAll,COLUMN(Emp!$E$4),0)),$AC11,IF(VLOOKUP($C11,EmpAll,COLUMN(Emp!$E$4),0)&lt;=Setup!$E$12,DATE(YEAR(Setup!$E$12),MONTH(Setup!$E$12)+1,1),VLOOKUP($C11,EmpAll,COLUMN(Emp!$E$4),0)))</f>
        <v>44986</v>
      </c>
      <c r="AE11" s="184" t="str">
        <f ca="1">IF(ISNA(VLOOKUP($C11,EmpAll,COLUMN(Emp!$G$1),0)),"-",IF(VLOOKUP($C11,EmpAll,COLUMN(Emp!$G$1),0)=0,"-",VLOOKUP($C11,EmpAll,COLUMN(Emp!$G$1),0)))</f>
        <v>-</v>
      </c>
      <c r="AF11" s="130">
        <f ca="1">IF(A11=PaySlip!$G$3,1,0)</f>
        <v>0</v>
      </c>
      <c r="AG11" s="130" cm="1">
        <f t="array" aca="1" ref="AG11" ca="1">IF(COUNTIFS(OverEmp,$C11,OverMed,"MED",OverDate,"&lt;"&amp;DATE(YEAR($AC11),MONTH($AC11)+1,1),OverEnd,"&gt;="&amp;DATE(YEAR($AC11),MONTH($AC11),1))&gt;0,SUMIFS(OverValue,OverEmp,$C11,OverMed,"MED",OverDate,"&lt;"&amp;DATE(YEAR($AC11),MONTH($AC11)+1,1),OverEnd,"&gt;="&amp;DATE(YEAR($AC11),MONTH($AC11),1)),IF(ISNA(VLOOKUP($C11,EmpAll,COLUMN(Emp!$N$4),0)),0,VLOOKUP($C11,EmpAll,COLUMN(Emp!$N$4),0)))</f>
        <v>1</v>
      </c>
      <c r="AH11" s="183">
        <f ca="1">VLOOKUP($AG11,MedList,COLUMN(Setup!$C$49),1)</f>
        <v>364</v>
      </c>
      <c r="AI11" s="183">
        <f t="shared" ca="1" si="7"/>
        <v>4368</v>
      </c>
      <c r="AJ11" s="101" t="str">
        <f ca="1">IF(ISNA(VLOOKUP($C11,EmpAll,COLUMN(Emp!$L$4),0)),"None!",VLOOKUP($C11,EmpAll,COLUMN(Emp!$L$4),0))</f>
        <v>A</v>
      </c>
      <c r="AK11" s="147">
        <f t="shared" ca="1" si="8"/>
        <v>17235</v>
      </c>
      <c r="AL11" s="101" t="str">
        <f ca="1">IF(ISNA(VLOOKUP($C11,Employees[],COLUMN(Emp!$M$4),0))=TRUE,"Error!",IF(VLOOKUP($C11,Employees[],COLUMN(Emp!$M$4),0)=0,"Yes",VLOOKUP($C11,Employees[],COLUMN(Emp!$M$4),0)))</f>
        <v>A</v>
      </c>
      <c r="AM11" s="148">
        <f t="shared" ca="1" si="9"/>
        <v>120000</v>
      </c>
      <c r="AN11" s="148" cm="1">
        <f t="array" aca="1" ref="AN11" ca="1">-IF($F11="Terminated",0,IF($AA11=0,0,IF(ISNA(MATCH(AN$5,PayDedList,0)),0,MIN(IF(COUNTIFS(OverEmp,$C11,OverDeduct,AN$5,OverDate,"&lt;"&amp;DATE(YEAR($AC11),MONTH($AC11)+1,1),OverEnd,"&gt;="&amp;DATE(YEAR($AC11),MONTH($AC11),1))&gt;0,SUMPRODUCT((PayEmp=$C11)*(PayDate&lt;=$AC11)*(OFFSET($N$6,1,MATCH(AN$5,PayDedList,0)-1,PayCount,1)))/$AA11*12*AN$3,IF(OR(AN$1="Fixed",AN$1="Not Used"),SUMPRODUCT((PayEmp=$C11)*(PayDate&lt;=$AC11)*(OFFSET($N$6,1,MATCH(AN$5,PayDedList,0)-1,PayCount,1)))/$AA11*12*AN$3,IF(ISNA(MATCH(AN$1,EarnListItem,0))=FALSE,SUMPRODUCT((PayEmp=$C11)*(PayDate&lt;=$AC11)*(OFFSET($N$6,1,MATCH(AN$5,PayDedList,0)-1,PayCount,1)))/$AA11*12*AN$3,(MIN(((SUMPRODUCT((PayEmp=$C11)*(PayDate&lt;=$AC11)*(ISERROR(SEARCH(PayEarnCode,AN$2)))*(PayEarnType="Monthly")*(PayEarnValues))/$AA11*12)+(SUMPRODUCT((PayEmp=$C11)*(PayDate&lt;=$AC11)*(ISERROR(SEARCH(PayEarnCode,AN$2)))*(PayEarnType="Quarterly")*(PayEarnValues))/MAX(1,ROUNDDOWN($AB11/3,0))*4)+(SUMPRODUCT((PayEmp=$C11)*(PayDate&lt;=$AC11)*(ISERROR(SEARCH(PayEarnCode,AN$2)))*(PayEarnType="Bi-Annual")*(PayEarnValues))/MAX(1,ROUNDDOWN($AB11/6,0))*2)+(SUMPRODUCT((PayEmp=$C11)*(PayDate&lt;=$AC11)*(ISERROR(SEARCH(PayEarnCode,AN$2)))*(PayEarnType="Annual")*(PayEarnValues)))),IF(ISNUMBER(OFFSET($N$3,0,MATCH(AN$5,PayDedList,0)-1,1,1)),OFFSET($N$3,0,MATCH(AN$5,PayDedList,0)-1,1,1),IgnoreMin)))*IF(COUNTIFS(EmpNo,$C11,OFFSET(Emp!$R$4,1,MATCH(AN$5,DedListItem,0)-1,EmpCount,1),"&lt;&gt;")&gt;0,VLOOKUP($C11,EmpAll,COLUMN(Emp!$R$4)+MATCH(AN$5,DedListItem,0)-1,0),OFFSET(Setup!$E$73,MATCH(AN$5,DedListItem,0),0,1,1))*AN$3))),IF(ISNUMBER(AN$4),AN$4,IgnoreMin)))))</f>
        <v>0</v>
      </c>
      <c r="AO11" s="148" cm="1">
        <f t="array" aca="1" ref="AO11" ca="1">-IF($F11="Terminated",0,IF($AA11=0,0,IF(ISNA(MATCH(AO$5,PayDedList,0)),0,MIN(IF(COUNTIFS(OverEmp,$C11,OverDeduct,AO$5,OverDate,"&lt;"&amp;DATE(YEAR($AC11),MONTH($AC11)+1,1),OverEnd,"&gt;="&amp;DATE(YEAR($AC11),MONTH($AC11),1))&gt;0,SUMPRODUCT((PayEmp=$C11)*(PayDate&lt;=$AC11)*(OFFSET($N$6,1,MATCH(AO$5,PayDedList,0)-1,PayCount,1)))/$AA11*12*AO$3,IF(OR(AO$1="Fixed",AO$1="Not Used"),SUMPRODUCT((PayEmp=$C11)*(PayDate&lt;=$AC11)*(OFFSET($N$6,1,MATCH(AO$5,PayDedList,0)-1,PayCount,1)))/$AA11*12*AO$3,IF(ISNA(MATCH(AO$1,EarnListItem,0))=FALSE,SUMPRODUCT((PayEmp=$C11)*(PayDate&lt;=$AC11)*(OFFSET($N$6,1,MATCH(AO$5,PayDedList,0)-1,PayCount,1)))/$AA11*12*AO$3,(MIN(((SUMPRODUCT((PayEmp=$C11)*(PayDate&lt;=$AC11)*(ISERROR(SEARCH(PayEarnCode,AO$2)))*(PayEarnType="Monthly")*(PayEarnValues))/$AA11*12)+(SUMPRODUCT((PayEmp=$C11)*(PayDate&lt;=$AC11)*(ISERROR(SEARCH(PayEarnCode,AO$2)))*(PayEarnType="Quarterly")*(PayEarnValues))/MAX(1,ROUNDDOWN($AB11/3,0))*4)+(SUMPRODUCT((PayEmp=$C11)*(PayDate&lt;=$AC11)*(ISERROR(SEARCH(PayEarnCode,AO$2)))*(PayEarnType="Bi-Annual")*(PayEarnValues))/MAX(1,ROUNDDOWN($AB11/6,0))*2)+(SUMPRODUCT((PayEmp=$C11)*(PayDate&lt;=$AC11)*(ISERROR(SEARCH(PayEarnCode,AO$2)))*(PayEarnType="Annual")*(PayEarnValues)))),IF(ISNUMBER(OFFSET($N$3,0,MATCH(AO$5,PayDedList,0)-1,1,1)),OFFSET($N$3,0,MATCH(AO$5,PayDedList,0)-1,1,1),IgnoreMin)))*IF(COUNTIFS(EmpNo,$C11,OFFSET(Emp!$R$4,1,MATCH(AO$5,DedListItem,0)-1,EmpCount,1),"&lt;&gt;")&gt;0,VLOOKUP($C11,EmpAll,COLUMN(Emp!$R$4)+MATCH(AO$5,DedListItem,0)-1,0),OFFSET(Setup!$E$73,MATCH(AO$5,DedListItem,0),0,1,1))*AO$3))),IF(ISNUMBER(AO$4),AO$4,IgnoreMin)))))</f>
        <v>0</v>
      </c>
      <c r="AP11" s="148" cm="1">
        <f t="array" aca="1" ref="AP11" ca="1">-IF($F11="Terminated",0,IF($AA11=0,0,IF(ISNA(MATCH(AP$5,PayDedList,0)),0,MIN(IF(COUNTIFS(OverEmp,$C11,OverDeduct,AP$5,OverDate,"&lt;"&amp;DATE(YEAR($AC11),MONTH($AC11)+1,1),OverEnd,"&gt;="&amp;DATE(YEAR($AC11),MONTH($AC11),1))&gt;0,SUMPRODUCT((PayEmp=$C11)*(PayDate&lt;=$AC11)*(OFFSET($N$6,1,MATCH(AP$5,PayDedList,0)-1,PayCount,1)))/$AA11*12*AP$3,IF(OR(AP$1="Fixed",AP$1="Not Used"),SUMPRODUCT((PayEmp=$C11)*(PayDate&lt;=$AC11)*(OFFSET($N$6,1,MATCH(AP$5,PayDedList,0)-1,PayCount,1)))/$AA11*12*AP$3,IF(ISNA(MATCH(AP$1,EarnListItem,0))=FALSE,SUMPRODUCT((PayEmp=$C11)*(PayDate&lt;=$AC11)*(OFFSET($N$6,1,MATCH(AP$5,PayDedList,0)-1,PayCount,1)))/$AA11*12*AP$3,(MIN(((SUMPRODUCT((PayEmp=$C11)*(PayDate&lt;=$AC11)*(ISERROR(SEARCH(PayEarnCode,AP$2)))*(PayEarnType="Monthly")*(PayEarnValues))/$AA11*12)+(SUMPRODUCT((PayEmp=$C11)*(PayDate&lt;=$AC11)*(ISERROR(SEARCH(PayEarnCode,AP$2)))*(PayEarnType="Quarterly")*(PayEarnValues))/MAX(1,ROUNDDOWN($AB11/3,0))*4)+(SUMPRODUCT((PayEmp=$C11)*(PayDate&lt;=$AC11)*(ISERROR(SEARCH(PayEarnCode,AP$2)))*(PayEarnType="Bi-Annual")*(PayEarnValues))/MAX(1,ROUNDDOWN($AB11/6,0))*2)+(SUMPRODUCT((PayEmp=$C11)*(PayDate&lt;=$AC11)*(ISERROR(SEARCH(PayEarnCode,AP$2)))*(PayEarnType="Annual")*(PayEarnValues)))),IF(ISNUMBER(OFFSET($N$3,0,MATCH(AP$5,PayDedList,0)-1,1,1)),OFFSET($N$3,0,MATCH(AP$5,PayDedList,0)-1,1,1),IgnoreMin)))*IF(COUNTIFS(EmpNo,$C11,OFFSET(Emp!$R$4,1,MATCH(AP$5,DedListItem,0)-1,EmpCount,1),"&lt;&gt;")&gt;0,VLOOKUP($C11,EmpAll,COLUMN(Emp!$R$4)+MATCH(AP$5,DedListItem,0)-1,0),OFFSET(Setup!$E$73,MATCH(AP$5,DedListItem,0),0,1,1))*AP$3))),IF(ISNUMBER(AP$4),AP$4,IgnoreMin)))))</f>
        <v>0</v>
      </c>
      <c r="AQ11" s="148" cm="1">
        <f t="array" aca="1" ref="AQ11" ca="1">-IF($F11="Terminated",0,IF($AA11=0,0,IF(ISNA(MATCH(AQ$5,PayDedList,0)),0,MIN(IF(COUNTIFS(OverEmp,$C11,OverDeduct,AQ$5,OverDate,"&lt;"&amp;DATE(YEAR($AC11),MONTH($AC11)+1,1),OverEnd,"&gt;="&amp;DATE(YEAR($AC11),MONTH($AC11),1))&gt;0,SUMPRODUCT((PayEmp=$C11)*(PayDate&lt;=$AC11)*(OFFSET($N$6,1,MATCH(AQ$5,PayDedList,0)-1,PayCount,1)))/$AA11*12*AQ$3,IF(OR(AQ$1="Fixed",AQ$1="Not Used"),SUMPRODUCT((PayEmp=$C11)*(PayDate&lt;=$AC11)*(OFFSET($N$6,1,MATCH(AQ$5,PayDedList,0)-1,PayCount,1)))/$AA11*12*AQ$3,IF(ISNA(MATCH(AQ$1,EarnListItem,0))=FALSE,SUMPRODUCT((PayEmp=$C11)*(PayDate&lt;=$AC11)*(OFFSET($N$6,1,MATCH(AQ$5,PayDedList,0)-1,PayCount,1)))/$AA11*12*AQ$3,(MIN(((SUMPRODUCT((PayEmp=$C11)*(PayDate&lt;=$AC11)*(ISERROR(SEARCH(PayEarnCode,AQ$2)))*(PayEarnType="Monthly")*(PayEarnValues))/$AA11*12)+(SUMPRODUCT((PayEmp=$C11)*(PayDate&lt;=$AC11)*(ISERROR(SEARCH(PayEarnCode,AQ$2)))*(PayEarnType="Quarterly")*(PayEarnValues))/MAX(1,ROUNDDOWN($AB11/3,0))*4)+(SUMPRODUCT((PayEmp=$C11)*(PayDate&lt;=$AC11)*(ISERROR(SEARCH(PayEarnCode,AQ$2)))*(PayEarnType="Bi-Annual")*(PayEarnValues))/MAX(1,ROUNDDOWN($AB11/6,0))*2)+(SUMPRODUCT((PayEmp=$C11)*(PayDate&lt;=$AC11)*(ISERROR(SEARCH(PayEarnCode,AQ$2)))*(PayEarnType="Annual")*(PayEarnValues)))),IF(ISNUMBER(OFFSET($N$3,0,MATCH(AQ$5,PayDedList,0)-1,1,1)),OFFSET($N$3,0,MATCH(AQ$5,PayDedList,0)-1,1,1),IgnoreMin)))*IF(COUNTIFS(EmpNo,$C11,OFFSET(Emp!$R$4,1,MATCH(AQ$5,DedListItem,0)-1,EmpCount,1),"&lt;&gt;")&gt;0,VLOOKUP($C11,EmpAll,COLUMN(Emp!$R$4)+MATCH(AQ$5,DedListItem,0)-1,0),OFFSET(Setup!$E$73,MATCH(AQ$5,DedListItem,0),0,1,1))*AQ$3))),IF(ISNUMBER(AQ$4),AQ$4,IgnoreMin)))))</f>
        <v>0</v>
      </c>
      <c r="AR11" s="148">
        <f t="shared" ca="1" si="10"/>
        <v>120000</v>
      </c>
      <c r="AS11" s="148">
        <f t="shared" ca="1" si="11"/>
        <v>120000</v>
      </c>
      <c r="AT11" s="148" cm="1">
        <f t="array" aca="1" ref="AT11" ca="1">-IF($F11="Terminated",0,IF($AA11=0,0,IF(ISNA(MATCH(AT$5,PayDedList,0)),0,MIN(IF(COUNTIFS(OverEmp,$C11,OverDeduct,AT$5,OverDate,"&lt;"&amp;DATE(YEAR($AC11),MONTH($AC11)+1,1),OverEnd,"&gt;="&amp;DATE(YEAR($AC11),MONTH($AC11),1))&gt;0,SUMPRODUCT((PayEmp=$C11)*(PayDate&lt;=$AC11)*(OFFSET($N$6,1,MATCH(AT$5,PayDedList,0)-1,PayCount,1)))/$AA11*12*AT$3,IF(OR(AT$1="Fixed",AT$1="Not Used"),SUMPRODUCT((PayEmp=$C11)*(PayDate&lt;=$AC11)*(OFFSET($N$6,1,MATCH(AT$5,PayDedList,0)-1,PayCount,1)))/$AA11*12*AT$3,IF(ISNA(MATCH(OFFSET($N$2,0,MATCH(AT$5,PayDedList,0)-1,1,1),EarnListItem,0))=FALSE,SUMPRODUCT((PayEmp=$C11)*(PayDate&lt;=$AC11)*(OFFSET($N$6,1,MATCH(AT$5,PayDedList,0)-1,PayCount,1)))/$AA11*12*AT$3,(MIN(SUMPRODUCT((PayEmp=$C11)*(PayDate&lt;=$AC11)*(ISERROR(SEARCH(PayEarnCode,AT$2)))*(PayEarnType="Monthly")*(PayEarnValues))/$AA11*12,IF(ISNUMBER(OFFSET($N$3,0,MATCH(AT$5,PayDedList,0)-1,1,1)),OFFSET($N$3,0,MATCH(AT$5,PayDedList,0)-1,1,1),IgnoreMin)))*IF(COUNTIFS(EmpNo,$C11,OFFSET(Emp!$R$4,1,MATCH(AT$5,DedListItem,0)-1,EmpCount,1),"&lt;&gt;")&gt;0,VLOOKUP($C11,EmpAll,COLUMN(Emp!$R$4)+MATCH(AT$5,DedListItem,0)-1,0),OFFSET(Setup!$E$73,MATCH(AT$5,DedListItem,0),0,1,1))*AT$3))),IF(ISNUMBER(AT$4),AT$4,IgnoreMin)))))</f>
        <v>0</v>
      </c>
      <c r="AU11" s="148" cm="1">
        <f t="array" aca="1" ref="AU11" ca="1">-IF($F11="Terminated",0,IF($AA11=0,0,IF(ISNA(MATCH(AU$5,PayDedList,0)),0,MIN(IF(COUNTIFS(OverEmp,$C11,OverDeduct,AU$5,OverDate,"&lt;"&amp;DATE(YEAR($AC11),MONTH($AC11)+1,1),OverEnd,"&gt;="&amp;DATE(YEAR($AC11),MONTH($AC11),1))&gt;0,SUMPRODUCT((PayEmp=$C11)*(PayDate&lt;=$AC11)*(OFFSET($N$6,1,MATCH(AU$5,PayDedList,0)-1,PayCount,1)))/$AA11*12*AU$3,IF(OR(AU$1="Fixed",AU$1="Not Used"),SUMPRODUCT((PayEmp=$C11)*(PayDate&lt;=$AC11)*(OFFSET($N$6,1,MATCH(AU$5,PayDedList,0)-1,PayCount,1)))/$AA11*12*AU$3,IF(ISNA(MATCH(OFFSET($N$2,0,MATCH(AU$5,PayDedList,0)-1,1,1),EarnListItem,0))=FALSE,SUMPRODUCT((PayEmp=$C11)*(PayDate&lt;=$AC11)*(OFFSET($N$6,1,MATCH(AU$5,PayDedList,0)-1,PayCount,1)))/$AA11*12*AU$3,(MIN(SUMPRODUCT((PayEmp=$C11)*(PayDate&lt;=$AC11)*(ISERROR(SEARCH(PayEarnCode,AU$2)))*(PayEarnType="Monthly")*(PayEarnValues))/$AA11*12,IF(ISNUMBER(OFFSET($N$3,0,MATCH(AU$5,PayDedList,0)-1,1,1)),OFFSET($N$3,0,MATCH(AU$5,PayDedList,0)-1,1,1),IgnoreMin)))*IF(COUNTIFS(EmpNo,$C11,OFFSET(Emp!$R$4,1,MATCH(AU$5,DedListItem,0)-1,EmpCount,1),"&lt;&gt;")&gt;0,VLOOKUP($C11,EmpAll,COLUMN(Emp!$R$4)+MATCH(AU$5,DedListItem,0)-1,0),OFFSET(Setup!$E$73,MATCH(AU$5,DedListItem,0),0,1,1))*AU$3))),IF(ISNUMBER(AU$4),AU$4,IgnoreMin)))))</f>
        <v>0</v>
      </c>
      <c r="AV11" s="148" cm="1">
        <f t="array" aca="1" ref="AV11" ca="1">-IF($F11="Terminated",0,IF($AA11=0,0,IF(ISNA(MATCH(AV$5,PayDedList,0)),0,MIN(IF(COUNTIFS(OverEmp,$C11,OverDeduct,AV$5,OverDate,"&lt;"&amp;DATE(YEAR($AC11),MONTH($AC11)+1,1),OverEnd,"&gt;="&amp;DATE(YEAR($AC11),MONTH($AC11),1))&gt;0,SUMPRODUCT((PayEmp=$C11)*(PayDate&lt;=$AC11)*(OFFSET($N$6,1,MATCH(AV$5,PayDedList,0)-1,PayCount,1)))/$AA11*12*AV$3,IF(OR(AV$1="Fixed",AV$1="Not Used"),SUMPRODUCT((PayEmp=$C11)*(PayDate&lt;=$AC11)*(OFFSET($N$6,1,MATCH(AV$5,PayDedList,0)-1,PayCount,1)))/$AA11*12*AV$3,IF(ISNA(MATCH(OFFSET($N$2,0,MATCH(AV$5,PayDedList,0)-1,1,1),EarnListItem,0))=FALSE,SUMPRODUCT((PayEmp=$C11)*(PayDate&lt;=$AC11)*(OFFSET($N$6,1,MATCH(AV$5,PayDedList,0)-1,PayCount,1)))/$AA11*12*AV$3,(MIN(SUMPRODUCT((PayEmp=$C11)*(PayDate&lt;=$AC11)*(ISERROR(SEARCH(PayEarnCode,AV$2)))*(PayEarnType="Monthly")*(PayEarnValues))/$AA11*12,IF(ISNUMBER(OFFSET($N$3,0,MATCH(AV$5,PayDedList,0)-1,1,1)),OFFSET($N$3,0,MATCH(AV$5,PayDedList,0)-1,1,1),IgnoreMin)))*IF(COUNTIFS(EmpNo,$C11,OFFSET(Emp!$R$4,1,MATCH(AV$5,DedListItem,0)-1,EmpCount,1),"&lt;&gt;")&gt;0,VLOOKUP($C11,EmpAll,COLUMN(Emp!$R$4)+MATCH(AV$5,DedListItem,0)-1,0),OFFSET(Setup!$E$73,MATCH(AV$5,DedListItem,0),0,1,1))*AV$3))),IF(ISNUMBER(AV$4),AV$4,IgnoreMin)))))</f>
        <v>0</v>
      </c>
      <c r="AW11" s="148" cm="1">
        <f t="array" aca="1" ref="AW11" ca="1">-IF($F11="Terminated",0,IF($AA11=0,0,IF(ISNA(MATCH(AW$5,PayDedList,0)),0,MIN(IF(COUNTIFS(OverEmp,$C11,OverDeduct,AW$5,OverDate,"&lt;"&amp;DATE(YEAR($AC11),MONTH($AC11)+1,1),OverEnd,"&gt;="&amp;DATE(YEAR($AC11),MONTH($AC11),1))&gt;0,SUMPRODUCT((PayEmp=$C11)*(PayDate&lt;=$AC11)*(OFFSET($N$6,1,MATCH(AW$5,PayDedList,0)-1,PayCount,1)))/$AA11*12*AW$3,IF(OR(AW$1="Fixed",AW$1="Not Used"),SUMPRODUCT((PayEmp=$C11)*(PayDate&lt;=$AC11)*(OFFSET($N$6,1,MATCH(AW$5,PayDedList,0)-1,PayCount,1)))/$AA11*12*AW$3,IF(ISNA(MATCH(OFFSET($N$2,0,MATCH(AW$5,PayDedList,0)-1,1,1),EarnListItem,0))=FALSE,SUMPRODUCT((PayEmp=$C11)*(PayDate&lt;=$AC11)*(OFFSET($N$6,1,MATCH(AW$5,PayDedList,0)-1,PayCount,1)))/$AA11*12*AW$3,(MIN(SUMPRODUCT((PayEmp=$C11)*(PayDate&lt;=$AC11)*(ISERROR(SEARCH(PayEarnCode,AW$2)))*(PayEarnType="Monthly")*(PayEarnValues))/$AA11*12,IF(ISNUMBER(OFFSET($N$3,0,MATCH(AW$5,PayDedList,0)-1,1,1)),OFFSET($N$3,0,MATCH(AW$5,PayDedList,0)-1,1,1),IgnoreMin)))*IF(COUNTIFS(EmpNo,$C11,OFFSET(Emp!$R$4,1,MATCH(AW$5,DedListItem,0)-1,EmpCount,1),"&lt;&gt;")&gt;0,VLOOKUP($C11,EmpAll,COLUMN(Emp!$R$4)+MATCH(AW$5,DedListItem,0)-1,0),OFFSET(Setup!$E$73,MATCH(AW$5,DedListItem,0),0,1,1))*AW$3))),IF(ISNUMBER(AW$4),AW$4,IgnoreMin)))))</f>
        <v>0</v>
      </c>
      <c r="AX11" s="148">
        <f t="shared" ca="1" si="12"/>
        <v>120000</v>
      </c>
      <c r="AY11" s="148">
        <f t="shared" ca="1" si="13"/>
        <v>0</v>
      </c>
      <c r="AZ11" s="148">
        <f ca="1">IF(ISNUMBER($AL11),($AR11*$AL11)-$AI11-$AK11,MAX(0,IF($AL11="B",IF($AR11&lt;Setup!$C$32,($AR11*Setup!$D$32)-$AI11-$AK11,(($AR11-VLOOKUP($AR11,TaxAll2,1,1))*OFFSET(Setup!$D$32,MATCH($AR11,TaxBracket2,1),0,1,1))+OFFSET(Setup!$E$31,MATCH($AR11,TaxBracket2,1),0,1,1)-$AI11-$AK11),IF($AR11&lt;Setup!$C$21,($AR11*Setup!$D$21)-$AI11-$AK11,(($AR11-VLOOKUP($AR11,TaxAll1,1,1))*OFFSET(Setup!$D$21,MATCH($AR11,TaxBracket1,1),0,1,1))+OFFSET(Setup!$E$20,MATCH($AR11,TaxBracket1,1),0,1,1)-$AI11-$AK11))))</f>
        <v>0</v>
      </c>
      <c r="BA11" s="148">
        <f ca="1">IF(ISNUMBER($AL11),($AX11*$AL11)-$AI11-$AK11,MAX(0,IF($AL11="B",IF($AX11&lt;Setup!$C$32,($AX11*Setup!$D$32)-$AI11-$AK11,(($AX11-VLOOKUP($AX11,TaxAll2,1,1))*OFFSET(Setup!$D$32,MATCH($AX11,TaxBracket2,1),0,1,1))+OFFSET(Setup!$E$31,MATCH($AX11,TaxBracket2,1),0,1,1)-$AI11-$AK11),IF($AX11&lt;Setup!$C$21,($AX11*Setup!$D$21)-$AI11-$AK11,(($AX11-VLOOKUP($AX11,TaxAll1,1,1))*OFFSET(Setup!$D$21,MATCH($AX11,TaxBracket1,1),0,1,1))+OFFSET(Setup!$E$20,MATCH($AX11,TaxBracket1,1),0,1,1)-$AI11-$AK11))))</f>
        <v>0</v>
      </c>
      <c r="BB11" s="148">
        <f t="shared" ca="1" si="14"/>
        <v>0</v>
      </c>
      <c r="BC11" s="150">
        <f t="shared" ca="1" si="15"/>
        <v>1</v>
      </c>
      <c r="BD11" s="150">
        <f t="shared" ca="1" si="16"/>
        <v>0</v>
      </c>
      <c r="BE11" s="148">
        <f t="shared" ca="1" si="17"/>
        <v>120000</v>
      </c>
    </row>
    <row r="12" spans="1:57" ht="16.149999999999999" customHeight="1" x14ac:dyDescent="0.25">
      <c r="A12" s="9" t="str" cm="1">
        <f t="array" aca="1" ref="A12" ca="1">IF(ROW($A12)-ROW($A$6)&gt;EmpCount*12,"-",TEXT($B12,"yyyy")&amp;TEXT($B12,"mm")&amp;"-"&amp;$C12)</f>
        <v>202303-EXS006</v>
      </c>
      <c r="B12" s="129" cm="1">
        <f t="array" aca="1" ref="B12" ca="1">IF(ROW($A12)-ROW($A$6)&gt;EmpCount*12,Setup!$D$12,DATE(YEAR(Setup!$F$12),MONTH(Setup!$F$12)+ROUNDDOWN((ROW($A12)-ROW($A$6)-1)/EmpCount,0),IF(Setup!$C$14&gt;DAY(DATE(YEAR(Setup!$F$12),MONTH(Setup!$F$12)+ROUNDDOWN((ROW($A12)-ROW($A$6)-1)/EmpCount,0)+1,0)),DAY(DATE(YEAR(Setup!$F$12),MONTH(Setup!$F$12)+ROUNDDOWN((ROW($A12)-ROW($A$6)-1)/EmpCount,0)+1,0)),Setup!$C$14)))</f>
        <v>45010</v>
      </c>
      <c r="C12" s="130" t="str" cm="1">
        <f t="array" aca="1" ref="C12" ca="1">IF(ROW($A12)-ROW($A$6)&gt;EmpCount*12,"-",OFFSET(Emp!$A$4,ROW($A12)-ROW($A$6)-IF(ROW($A12)-ROW($A$6)&gt;EmpCount,ROUNDDOWN((ROW($A12)-ROW($A$6)-1)/EmpCount,0)*EmpCount,0),0,1,1))</f>
        <v>EXS006</v>
      </c>
      <c r="D12" s="9" t="str">
        <f ca="1">IF(ISNA(VLOOKUP($C12,EmpAll,COLUMN(Emp!$B$4),0)),"-",VLOOKUP($C12,EmpAll,COLUMN(Emp!$B$4),0))</f>
        <v>Andrews MS</v>
      </c>
      <c r="E12" s="130" t="str">
        <f ca="1">IF(ISNA(VLOOKUP($C12,EmpAll,COLUMN(Emp!$C$4),0)),"-",VLOOKUP($C12,EmpAll,COLUMN(Emp!$C$4),0))</f>
        <v>S</v>
      </c>
      <c r="F12" s="130" t="str">
        <f ca="1">IF(ISNA(VLOOKUP($C12,EmpAll,COLUMN(Emp!$A$4),0)),"-",IF(AND(VLOOKUP($C12,EmpAll,COLUMN(Emp!$E$4),0)&lt;&gt;0,VLOOKUP($C12,EmpAll,COLUMN(Emp!$E$4),0)&gt;=DATE(YEAR($AC12),MONTH($AC12)+1,0)),"Inactive",IF(AND(VLOOKUP($C12,EmpAll,COLUMN(Emp!$F$4),0)&lt;&gt;0,VLOOKUP($C12,EmpAll,COLUMN(Emp!$F$4),0)&lt;=DATE(YEAR($AC12),MONTH($AC12),0)),"Terminated","Active")))</f>
        <v>Active</v>
      </c>
      <c r="G12" s="133" cm="1">
        <f t="array" aca="1" ref="G12" ca="1">IF($F12&lt;&gt;"Active",0,IF(COUNTIFS(OverEmp,$C12,OverEarn,G$2,OverDate,"&lt;"&amp;DATE(YEAR($AC12),MONTH($AC12)+1,1),OverEnd,"&gt;="&amp;DATE(YEAR($AC12),MONTH($AC12),1))&gt;0,SUMIFS(OverValue,OverEmp,$C12,OverEarn,G$2,OverDate,"&lt;"&amp;DATE(YEAR($AC12),MONTH($AC12)+1,1),OverEnd,"&gt;="&amp;DATE(YEAR($AC12),MONTH($AC12),1)),IF(AND($AC12&gt;=Setup!$E$10,SUMIFS(EmpIncrease,EmpCode,$C12)&gt;0),SUMIFS(EmpIncrease,EmpCode,$C12),SUMIFS(EmpSalary,EmpCode,$C12))))</f>
        <v>10000</v>
      </c>
      <c r="H12" s="133" cm="1">
        <f t="array" aca="1" ref="H12" ca="1">IF($F12&lt;&gt;"Active",0,IF(COUNTIFS(OverEmp,$C12,OverEarn,H$2,OverDate,"&lt;"&amp;DATE(YEAR($AC12),MONTH($AC12)+1,1),OverEnd,"&gt;="&amp;DATE(YEAR($AC12),MONTH($AC12),1))&gt;0,SUMIFS(OverValue,OverEmp,$C12,OverEarn,H$2,OverDate,"&lt;"&amp;DATE(YEAR($AC12),MONTH($AC12)+1,1),OverEnd,"&gt;="&amp;DATE(YEAR($AC12),MONTH($AC12),1)),0))</f>
        <v>0</v>
      </c>
      <c r="I12" s="133" cm="1">
        <f t="array" aca="1" ref="I12" ca="1">IF($F12&lt;&gt;"Active",0,IF(COUNTIFS(OverEmp,$C12,OverEarn,I$2,OverDate,"&lt;"&amp;DATE(YEAR($AC12),MONTH($AC12)+1,1),OverEnd,"&gt;="&amp;DATE(YEAR($AC12),MONTH($AC12),1))&gt;0,SUMIFS(OverValue,OverEmp,$C12,OverEarn,I$2,OverDate,"&lt;"&amp;DATE(YEAR($AC12),MONTH($AC12)+1,1),OverEnd,"&gt;="&amp;DATE(YEAR($AC12),MONTH($AC12),1)),IF(MONTH(B12)=Setup!$C$15,SUMIFS(EmpBonus,EmpCode,$C12),0)))</f>
        <v>0</v>
      </c>
      <c r="J12" s="133" cm="1">
        <f t="array" aca="1" ref="J12" ca="1">IF($F12&lt;&gt;"Active",0,IF(COUNTIFS(OverEmp,$C12,OverEarn,J$2,OverDate,"&lt;"&amp;DATE(YEAR($AC12),MONTH($AC12)+1,1),OverEnd,"&gt;="&amp;DATE(YEAR($AC12),MONTH($AC12),1))&gt;0,SUMIFS(OverValue,OverEmp,$C12,OverEarn,J$2,OverDate,"&lt;"&amp;DATE(YEAR($AC12),MONTH($AC12)+1,1),OverEnd,"&gt;="&amp;DATE(YEAR($AC12),MONTH($AC12),1)),0))</f>
        <v>0</v>
      </c>
      <c r="K12" s="133" cm="1">
        <f t="array" aca="1" ref="K12" ca="1">IF($F12&lt;&gt;"Active",0,IF(COUNTIFS(OverEmp,$C12,OverEarn,K$2,OverDate,"&lt;"&amp;DATE(YEAR($AC12),MONTH($AC12)+1,1),OverEnd,"&gt;="&amp;DATE(YEAR($AC12),MONTH($AC12),1))&gt;0,SUMIFS(OverValue,OverEmp,$C12,OverEarn,K$2,OverDate,"&lt;"&amp;DATE(YEAR($AC12),MONTH($AC12)+1,1),OverEnd,"&gt;="&amp;DATE(YEAR($AC12),MONTH($AC12),1)),0))</f>
        <v>0</v>
      </c>
      <c r="L12" s="133">
        <f t="shared" ca="1" si="0"/>
        <v>10000</v>
      </c>
      <c r="M12" s="182" cm="1">
        <f t="array" aca="1" ref="M12" ca="1">IF(COUNTIFS(OverEmp,$C12,OverTax,M$5,OverDate,"&lt;"&amp;DATE(YEAR($AC12),MONTH($AC12)+1,1),OverEnd,"&gt;="&amp;DATE(YEAR($AC12),MONTH($AC12),1))&gt;0,SUMIFS(OverValue,OverEmp,$C12,OverTax,M$5,OverDate,"&lt;"&amp;DATE(YEAR($AC12),MONTH($AC12)+1,1),OverEnd,"&gt;="&amp;DATE(YEAR($AC12),MONTH($AC12),1)),(($BA12/12*$AA12)+(BB12*IF(1-$BC12=0,0,BD12/(1-$BC12))))-IF($F12="Terminated",0,SUMIFS(PayTaxDeduct,PayDate,"&lt;"&amp;$AC12,PayEmp,$C12)))</f>
        <v>0</v>
      </c>
      <c r="N12" s="133" cm="1">
        <f t="array" aca="1" ref="N12" ca="1">IF($F12="Terminated",0,IF($AA12=0,0,IF(ISNA(MATCH(N$5,DedListItem,0)),0,IF(COUNTIFS(OverEmp,$C12,OverDeduct,N$5,OverDate,"&lt;"&amp;DATE(YEAR($AC12),MONTH($AC12)+1,1),OverEnd,"&gt;="&amp;DATE(YEAR($AC12),MONTH($AC12),1))&gt;0,SUMIFS(OverValue,OverEmp,$C12,OverDeduct,N$5,OverDate,"&lt;"&amp;DATE(YEAR($AC12),MONTH($AC12)+1,1),OverEnd,"&gt;="&amp;DATE(YEAR($AC12),MONTH($AC12),1)),IF(OR(N$2="Fixed",N$2="Not Used"),(IF(COUNTIFS(EmpNo,$C12,OFFSET(Emp!$R$4,1,MATCH(N$5,DedListItem,0)-1,EmpCount,1),"&lt;&gt;")&gt;0,VLOOKUP($C12,EmpAll,COLUMN(Emp!$R$4)+MATCH(N$5,DedListItem,0)-1,0),OFFSET(Setup!$E$73,MATCH(N$5,DedListItem,0),0,1,1))*$AA12)-SUMIFS(OFFSET(N$6,1,0,PayCount,1),PayDate,"&lt;"&amp;$AC12,PayEmp,$C12),IF(ISNA(MATCH(N$2,EarnListItem,0))=FALSE,IF(OFFSET(Setup!$G$73,MATCH(N$5,DedListItem,0),0,1,1)="Taxable",SUMPRODUCT((PayEmp=$C12)*(PayDate&lt;=$AC12)*(PayEarnCode=N$2)*(PayEarnTax)*(PayEarnValues)),SUMPRODUCT((PayEmp=$C12)*(PayDate&lt;=$AC12)*(PayEarnCode=N$2)*(PayEarnValues)))*IF(COUNTIFS(EmpNo,$C12,OFFSET(Emp!$R$4,1,MATCH(N$5,DedListItem,0)-1,EmpCount,1),"&lt;&gt;")&gt;0,VLOOKUP($C12,EmpAll,COLUMN(Emp!$R$4)+MATCH(N$5,DedListItem,0)-1,0),OFFSET(Setup!$E$73,MATCH(N$5,DedListItem,0),0,1,1)),(MIN(IF(OFFSET(Setup!$G$73,MATCH(N$5,DedListItem,0),0,1,1)="Taxable",SUMPRODUCT((PayEmp=$C12)*(PayDate&lt;=$AC12)*(ISERROR(SEARCH(PayEarnCode,N$4)))*(PayEarnTax)*(PayEarnValues)),SUMPRODUCT((PayEmp=$C12)*(PayDate&lt;=$AC12)*(ISERROR(SEARCH(PayEarnCode,N$4)))*(PayEarnValues))),IF(ISNUMBER(N$3),N$3/12*$AA12,IgnoreMin)))*IF(COUNTIFS(EmpNo,$C12,OFFSET(Emp!$R$4,1,MATCH(N$5,DedListItem,0)-1,EmpCount,1),"&lt;&gt;")&gt;0,VLOOKUP($C12,EmpAll,COLUMN(Emp!$R$4)+MATCH(N$5,DedListItem,0)-1,0),OFFSET(Setup!$E$73,MATCH(N$5,DedListItem,0),0,1,1)))-SUMIFS(OFFSET(N$6,1,0,PayCount,1),PayDate,"&lt;"&amp;$AC12,PayEmp,$C12))))))</f>
        <v>100</v>
      </c>
      <c r="O12" s="133" cm="1">
        <f t="array" aca="1" ref="O12" ca="1">IF($F12="Terminated",0,IF($AA12=0,0,IF(ISNA(MATCH(O$5,DedListItem,0)),0,IF(COUNTIFS(OverEmp,$C12,OverDeduct,O$5,OverDate,"&lt;"&amp;DATE(YEAR($AC12),MONTH($AC12)+1,1),OverEnd,"&gt;="&amp;DATE(YEAR($AC12),MONTH($AC12),1))&gt;0,SUMIFS(OverValue,OverEmp,$C12,OverDeduct,O$5,OverDate,"&lt;"&amp;DATE(YEAR($AC12),MONTH($AC12)+1,1),OverEnd,"&gt;="&amp;DATE(YEAR($AC12),MONTH($AC12),1)),IF(OR(O$2="Fixed",O$2="Not Used"),(IF(COUNTIFS(EmpNo,$C12,OFFSET(Emp!$R$4,1,MATCH(O$5,DedListItem,0)-1,EmpCount,1),"&lt;&gt;")&gt;0,VLOOKUP($C12,EmpAll,COLUMN(Emp!$R$4)+MATCH(O$5,DedListItem,0)-1,0),OFFSET(Setup!$E$73,MATCH(O$5,DedListItem,0),0,1,1))*$AA12)-SUMIFS(OFFSET(O$6,1,0,PayCount,1),PayDate,"&lt;"&amp;$AC12,PayEmp,$C12),IF(ISNA(MATCH(O$2,EarnListItem,0))=FALSE,IF(OFFSET(Setup!$G$73,MATCH(O$5,DedListItem,0),0,1,1)="Taxable",SUMPRODUCT((PayEmp=$C12)*(PayDate&lt;=$AC12)*(PayEarnCode=O$2)*(PayEarnTax)*(PayEarnValues)),SUMPRODUCT((PayEmp=$C12)*(PayDate&lt;=$AC12)*(PayEarnCode=O$2)*(PayEarnValues)))*IF(COUNTIFS(EmpNo,$C12,OFFSET(Emp!$R$4,1,MATCH(O$5,DedListItem,0)-1,EmpCount,1),"&lt;&gt;")&gt;0,VLOOKUP($C12,EmpAll,COLUMN(Emp!$R$4)+MATCH(O$5,DedListItem,0)-1,0),OFFSET(Setup!$E$73,MATCH(O$5,DedListItem,0),0,1,1)),(MIN(IF(OFFSET(Setup!$G$73,MATCH(O$5,DedListItem,0),0,1,1)="Taxable",SUMPRODUCT((PayEmp=$C12)*(PayDate&lt;=$AC12)*(ISERROR(SEARCH(PayEarnCode,O$4)))*(PayEarnTax)*(PayEarnValues)),SUMPRODUCT((PayEmp=$C12)*(PayDate&lt;=$AC12)*(ISERROR(SEARCH(PayEarnCode,O$4)))*(PayEarnValues))),IF(ISNUMBER(O$3),O$3/12*$AA12,IgnoreMin)))*IF(COUNTIFS(EmpNo,$C12,OFFSET(Emp!$R$4,1,MATCH(O$5,DedListItem,0)-1,EmpCount,1),"&lt;&gt;")&gt;0,VLOOKUP($C12,EmpAll,COLUMN(Emp!$R$4)+MATCH(O$5,DedListItem,0)-1,0),OFFSET(Setup!$E$73,MATCH(O$5,DedListItem,0),0,1,1)))-SUMIFS(OFFSET(O$6,1,0,PayCount,1),PayDate,"&lt;"&amp;$AC12,PayEmp,$C12))))))</f>
        <v>0</v>
      </c>
      <c r="P12" s="133" cm="1">
        <f t="array" aca="1" ref="P12" ca="1">IF($F12="Terminated",0,IF($AA12=0,0,IF(ISNA(MATCH(P$5,DedListItem,0)),0,IF(COUNTIFS(OverEmp,$C12,OverDeduct,P$5,OverDate,"&lt;"&amp;DATE(YEAR($AC12),MONTH($AC12)+1,1),OverEnd,"&gt;="&amp;DATE(YEAR($AC12),MONTH($AC12),1))&gt;0,SUMIFS(OverValue,OverEmp,$C12,OverDeduct,P$5,OverDate,"&lt;"&amp;DATE(YEAR($AC12),MONTH($AC12)+1,1),OverEnd,"&gt;="&amp;DATE(YEAR($AC12),MONTH($AC12),1)),IF(OR(P$2="Fixed",P$2="Not Used"),(IF(COUNTIFS(EmpNo,$C12,OFFSET(Emp!$R$4,1,MATCH(P$5,DedListItem,0)-1,EmpCount,1),"&lt;&gt;")&gt;0,VLOOKUP($C12,EmpAll,COLUMN(Emp!$R$4)+MATCH(P$5,DedListItem,0)-1,0),OFFSET(Setup!$E$73,MATCH(P$5,DedListItem,0),0,1,1))*$AA12)-SUMIFS(OFFSET(P$6,1,0,PayCount,1),PayDate,"&lt;"&amp;$AC12,PayEmp,$C12),IF(ISNA(MATCH(P$2,EarnListItem,0))=FALSE,IF(OFFSET(Setup!$G$73,MATCH(P$5,DedListItem,0),0,1,1)="Taxable",SUMPRODUCT((PayEmp=$C12)*(PayDate&lt;=$AC12)*(PayEarnCode=P$2)*(PayEarnTax)*(PayEarnValues)),SUMPRODUCT((PayEmp=$C12)*(PayDate&lt;=$AC12)*(PayEarnCode=P$2)*(PayEarnValues)))*IF(COUNTIFS(EmpNo,$C12,OFFSET(Emp!$R$4,1,MATCH(P$5,DedListItem,0)-1,EmpCount,1),"&lt;&gt;")&gt;0,VLOOKUP($C12,EmpAll,COLUMN(Emp!$R$4)+MATCH(P$5,DedListItem,0)-1,0),OFFSET(Setup!$E$73,MATCH(P$5,DedListItem,0),0,1,1)),(MIN(IF(OFFSET(Setup!$G$73,MATCH(P$5,DedListItem,0),0,1,1)="Taxable",SUMPRODUCT((PayEmp=$C12)*(PayDate&lt;=$AC12)*(ISERROR(SEARCH(PayEarnCode,P$4)))*(PayEarnTax)*(PayEarnValues)),SUMPRODUCT((PayEmp=$C12)*(PayDate&lt;=$AC12)*(ISERROR(SEARCH(PayEarnCode,P$4)))*(PayEarnValues))),IF(ISNUMBER(P$3),P$3/12*$AA12,IgnoreMin)))*IF(COUNTIFS(EmpNo,$C12,OFFSET(Emp!$R$4,1,MATCH(P$5,DedListItem,0)-1,EmpCount,1),"&lt;&gt;")&gt;0,VLOOKUP($C12,EmpAll,COLUMN(Emp!$R$4)+MATCH(P$5,DedListItem,0)-1,0),OFFSET(Setup!$E$73,MATCH(P$5,DedListItem,0),0,1,1)))-SUMIFS(OFFSET(P$6,1,0,PayCount,1),PayDate,"&lt;"&amp;$AC12,PayEmp,$C12))))))</f>
        <v>0</v>
      </c>
      <c r="Q12" s="133" cm="1">
        <f t="array" aca="1" ref="Q12" ca="1">IF($F12="Terminated",0,IF($AA12=0,0,IF(ISNA(MATCH(Q$5,DedListItem,0)),0,IF(COUNTIFS(OverEmp,$C12,OverDeduct,Q$5,OverDate,"&lt;"&amp;DATE(YEAR($AC12),MONTH($AC12)+1,1),OverEnd,"&gt;="&amp;DATE(YEAR($AC12),MONTH($AC12),1))&gt;0,SUMIFS(OverValue,OverEmp,$C12,OverDeduct,Q$5,OverDate,"&lt;"&amp;DATE(YEAR($AC12),MONTH($AC12)+1,1),OverEnd,"&gt;="&amp;DATE(YEAR($AC12),MONTH($AC12),1)),IF(OR(Q$2="Fixed",Q$2="Not Used"),(IF(COUNTIFS(EmpNo,$C12,OFFSET(Emp!$R$4,1,MATCH(Q$5,DedListItem,0)-1,EmpCount,1),"&lt;&gt;")&gt;0,VLOOKUP($C12,EmpAll,COLUMN(Emp!$R$4)+MATCH(Q$5,DedListItem,0)-1,0),OFFSET(Setup!$E$73,MATCH(Q$5,DedListItem,0),0,1,1))*$AA12)-SUMIFS(OFFSET(Q$6,1,0,PayCount,1),PayDate,"&lt;"&amp;$AC12,PayEmp,$C12),IF(ISNA(MATCH(Q$2,EarnListItem,0))=FALSE,IF(OFFSET(Setup!$G$73,MATCH(Q$5,DedListItem,0),0,1,1)="Taxable",SUMPRODUCT((PayEmp=$C12)*(PayDate&lt;=$AC12)*(PayEarnCode=Q$2)*(PayEarnTax)*(PayEarnValues)),SUMPRODUCT((PayEmp=$C12)*(PayDate&lt;=$AC12)*(PayEarnCode=Q$2)*(PayEarnValues)))*IF(COUNTIFS(EmpNo,$C12,OFFSET(Emp!$R$4,1,MATCH(Q$5,DedListItem,0)-1,EmpCount,1),"&lt;&gt;")&gt;0,VLOOKUP($C12,EmpAll,COLUMN(Emp!$R$4)+MATCH(Q$5,DedListItem,0)-1,0),OFFSET(Setup!$E$73,MATCH(Q$5,DedListItem,0),0,1,1)),(MIN(IF(OFFSET(Setup!$G$73,MATCH(Q$5,DedListItem,0),0,1,1)="Taxable",SUMPRODUCT((PayEmp=$C12)*(PayDate&lt;=$AC12)*(ISERROR(SEARCH(PayEarnCode,Q$4)))*(PayEarnTax)*(PayEarnValues)),SUMPRODUCT((PayEmp=$C12)*(PayDate&lt;=$AC12)*(ISERROR(SEARCH(PayEarnCode,Q$4)))*(PayEarnValues))),IF(ISNUMBER(Q$3),Q$3/12*$AA12,IgnoreMin)))*IF(COUNTIFS(EmpNo,$C12,OFFSET(Emp!$R$4,1,MATCH(Q$5,DedListItem,0)-1,EmpCount,1),"&lt;&gt;")&gt;0,VLOOKUP($C12,EmpAll,COLUMN(Emp!$R$4)+MATCH(Q$5,DedListItem,0)-1,0),OFFSET(Setup!$E$73,MATCH(Q$5,DedListItem,0),0,1,1)))-SUMIFS(OFFSET(Q$6,1,0,PayCount,1),PayDate,"&lt;"&amp;$AC12,PayEmp,$C12))))))</f>
        <v>0</v>
      </c>
      <c r="R12" s="133">
        <f t="shared" ca="1" si="1"/>
        <v>100</v>
      </c>
      <c r="S12" s="133">
        <f t="shared" ca="1" si="2"/>
        <v>9900</v>
      </c>
      <c r="T12" s="133" cm="1">
        <f t="array" aca="1" ref="T12" ca="1">IF($F12="Terminated",0,IF($AA12=0,0,IF(ISNA(MATCH(T$5,CompListItem,0)),0,IF(COUNTIFS(OverEmp,$C12,OverComp,T$5,OverDate,"&lt;"&amp;DATE(YEAR($AC12),MONTH($AC12)+1,1),OverEnd,"&gt;="&amp;DATE(YEAR($AC12),MONTH($AC12),1))&gt;0,SUMIFS(OverValue,OverEmp,$C12,OverComp,T$5,OverDate,"&lt;"&amp;DATE(YEAR($AC12),MONTH($AC12)+1,1),OverEnd,"&gt;="&amp;DATE(YEAR($AC12),MONTH($AC12),1)),IF(OR(T$2="Fixed",T$2="Not Used"),(OFFSET(Setup!$E$81,MATCH(T$5,CompListItem,0),0,1,1)*$AA12)-SUMIFS(OFFSET(T$6,1,0,PayCount,1),PayDate,"&lt;"&amp;$AC12,PayEmp,$C12),IF(ISNA(MATCH(T$2,DedListItem,0))=FALSE,(SUMPRODUCT((PayEmp=$C12)*(PayDate&lt;=$AC12)*(PayDedList=T$2)*(PayDedValues))*OFFSET(Setup!$E$81,MATCH(T$5,CompListItem,0),0,1,1))-SUMIFS(OFFSET(T$6,1,0,PayCount,1),PayDate,"&lt;"&amp;$AC12,PayEmp,$C12),(MIN(IF(OFFSET(Setup!$G$81,MATCH(T$5,CompListItem,0),0,1,1)="Taxable",SUMPRODUCT((PayEmp=$C12)*(PayDate&lt;=$AC12)*(ISERROR(SEARCH(PayEarnCode,T$4)))*(PayEarnTax)*(PayEarnValues)),SUMPRODUCT((PayEmp=$C12)*(PayDate&lt;=$AC12)*(ISERROR(SEARCH(PayEarnCode,T$4)))*(PayEarnValues))),IF(ISNUMBER(T$3),T$3/12*$AA12,IgnoreMin)))*OFFSET(Setup!$E$81,MATCH(T$5,CompListItem,0),0,1,1)-SUMIFS(OFFSET(T$6,1,0,PayCount,1),PayDate,"&lt;"&amp;$AC12,PayEmp,$C12)))))))</f>
        <v>100</v>
      </c>
      <c r="U12" s="133" cm="1">
        <f t="array" aca="1" ref="U12" ca="1">IF($F12="Terminated",0,IF($AA12=0,0,IF(ISNA(MATCH(U$5,CompListItem,0)),0,IF(COUNTIFS(OverEmp,$C12,OverComp,U$5,OverDate,"&lt;"&amp;DATE(YEAR($AC12),MONTH($AC12)+1,1),OverEnd,"&gt;="&amp;DATE(YEAR($AC12),MONTH($AC12),1))&gt;0,SUMIFS(OverValue,OverEmp,$C12,OverComp,U$5,OverDate,"&lt;"&amp;DATE(YEAR($AC12),MONTH($AC12)+1,1),OverEnd,"&gt;="&amp;DATE(YEAR($AC12),MONTH($AC12),1)),IF(OR(U$2="Fixed",U$2="Not Used"),(OFFSET(Setup!$E$81,MATCH(U$5,CompListItem,0),0,1,1)*$AA12)-SUMIFS(OFFSET(U$6,1,0,PayCount,1),PayDate,"&lt;"&amp;$AC12,PayEmp,$C12),IF(ISNA(MATCH(U$2,DedListItem,0))=FALSE,(SUMPRODUCT((PayEmp=$C12)*(PayDate&lt;=$AC12)*(PayDedList=U$2)*(PayDedValues))*OFFSET(Setup!$E$81,MATCH(U$5,CompListItem,0),0,1,1))-SUMIFS(OFFSET(U$6,1,0,PayCount,1),PayDate,"&lt;"&amp;$AC12,PayEmp,$C12),(MIN(IF(OFFSET(Setup!$G$81,MATCH(U$5,CompListItem,0),0,1,1)="Taxable",SUMPRODUCT((PayEmp=$C12)*(PayDate&lt;=$AC12)*(ISERROR(SEARCH(PayEarnCode,U$4)))*(PayEarnTax)*(PayEarnValues)),SUMPRODUCT((PayEmp=$C12)*(PayDate&lt;=$AC12)*(ISERROR(SEARCH(PayEarnCode,U$4)))*(PayEarnValues))),IF(ISNUMBER(U$3),U$3/12*$AA12,IgnoreMin)))*OFFSET(Setup!$E$81,MATCH(U$5,CompListItem,0),0,1,1)-SUMIFS(OFFSET(U$6,1,0,PayCount,1),PayDate,"&lt;"&amp;$AC12,PayEmp,$C12)))))))</f>
        <v>100</v>
      </c>
      <c r="V12" s="133" cm="1">
        <f t="array" aca="1" ref="V12" ca="1">IF($F12="Terminated",0,IF($AA12=0,0,IF(ISNA(MATCH(V$5,CompListItem,0)),0,IF(COUNTIFS(OverEmp,$C12,OverComp,V$5,OverDate,"&lt;"&amp;DATE(YEAR($AC12),MONTH($AC12)+1,1),OverEnd,"&gt;="&amp;DATE(YEAR($AC12),MONTH($AC12),1))&gt;0,SUMIFS(OverValue,OverEmp,$C12,OverComp,V$5,OverDate,"&lt;"&amp;DATE(YEAR($AC12),MONTH($AC12)+1,1),OverEnd,"&gt;="&amp;DATE(YEAR($AC12),MONTH($AC12),1)),IF(OR(V$2="Fixed",V$2="Not Used"),(OFFSET(Setup!$E$81,MATCH(V$5,CompListItem,0),0,1,1)*$AA12)-SUMIFS(OFFSET(V$6,1,0,PayCount,1),PayDate,"&lt;"&amp;$AC12,PayEmp,$C12),IF(ISNA(MATCH(V$2,DedListItem,0))=FALSE,(SUMPRODUCT((PayEmp=$C12)*(PayDate&lt;=$AC12)*(PayDedList=V$2)*(PayDedValues))*OFFSET(Setup!$E$81,MATCH(V$5,CompListItem,0),0,1,1))-SUMIFS(OFFSET(V$6,1,0,PayCount,1),PayDate,"&lt;"&amp;$AC12,PayEmp,$C12),(MIN(IF(OFFSET(Setup!$G$81,MATCH(V$5,CompListItem,0),0,1,1)="Taxable",SUMPRODUCT((PayEmp=$C12)*(PayDate&lt;=$AC12)*(ISERROR(SEARCH(PayEarnCode,V$4)))*(PayEarnTax)*(PayEarnValues)),SUMPRODUCT((PayEmp=$C12)*(PayDate&lt;=$AC12)*(ISERROR(SEARCH(PayEarnCode,V$4)))*(PayEarnValues))),IF(ISNUMBER(V$3),V$3/12*$AA12,IgnoreMin)))*OFFSET(Setup!$E$81,MATCH(V$5,CompListItem,0),0,1,1)-SUMIFS(OFFSET(V$6,1,0,PayCount,1),PayDate,"&lt;"&amp;$AC12,PayEmp,$C12)))))))</f>
        <v>0</v>
      </c>
      <c r="W12" s="133" cm="1">
        <f t="array" aca="1" ref="W12" ca="1">IF($F12="Terminated",0,IF($AA12=0,0,IF(ISNA(MATCH(W$5,CompListItem,0)),0,IF(COUNTIFS(OverEmp,$C12,OverComp,W$5,OverDate,"&lt;"&amp;DATE(YEAR($AC12),MONTH($AC12)+1,1),OverEnd,"&gt;="&amp;DATE(YEAR($AC12),MONTH($AC12),1))&gt;0,SUMIFS(OverValue,OverEmp,$C12,OverComp,W$5,OverDate,"&lt;"&amp;DATE(YEAR($AC12),MONTH($AC12)+1,1),OverEnd,"&gt;="&amp;DATE(YEAR($AC12),MONTH($AC12),1)),IF(OR(W$2="Fixed",W$2="Not Used"),(OFFSET(Setup!$E$81,MATCH(W$5,CompListItem,0),0,1,1)*$AA12)-SUMIFS(OFFSET(W$6,1,0,PayCount,1),PayDate,"&lt;"&amp;$AC12,PayEmp,$C12),IF(ISNA(MATCH(W$2,DedListItem,0))=FALSE,(SUMPRODUCT((PayEmp=$C12)*(PayDate&lt;=$AC12)*(PayDedList=W$2)*(PayDedValues))*OFFSET(Setup!$E$81,MATCH(W$5,CompListItem,0),0,1,1))-SUMIFS(OFFSET(W$6,1,0,PayCount,1),PayDate,"&lt;"&amp;$AC12,PayEmp,$C12),(MIN(IF(OFFSET(Setup!$G$81,MATCH(W$5,CompListItem,0),0,1,1)="Taxable",SUMPRODUCT((PayEmp=$C12)*(PayDate&lt;=$AC12)*(ISERROR(SEARCH(PayEarnCode,W$4)))*(PayEarnTax)*(PayEarnValues)),SUMPRODUCT((PayEmp=$C12)*(PayDate&lt;=$AC12)*(ISERROR(SEARCH(PayEarnCode,W$4)))*(PayEarnValues))),IF(ISNUMBER(W$3),W$3/12*$AA12,IgnoreMin)))*OFFSET(Setup!$E$81,MATCH(W$5,CompListItem,0),0,1,1)-SUMIFS(OFFSET(W$6,1,0,PayCount,1),PayDate,"&lt;"&amp;$AC12,PayEmp,$C12)))))))</f>
        <v>0</v>
      </c>
      <c r="X12" s="133">
        <f t="shared" ca="1" si="3"/>
        <v>200</v>
      </c>
      <c r="Y12" s="133">
        <f t="shared" ca="1" si="4"/>
        <v>10200</v>
      </c>
      <c r="Z12" s="133">
        <f t="shared" ca="1" si="5"/>
        <v>300</v>
      </c>
      <c r="AA12" s="183">
        <f ca="1">IF(OR($B12&lt;=Setup!$E$12,$B12&gt;=Setup!$D$12+1),0,IF($F12&lt;&gt;"Active",0,IF($AE12="Yes",$AB12,((YEAR($AC12)*12)+MONTH($AC12))-((YEAR($AD12)*12)+MONTH($AD12)-1))))</f>
        <v>1</v>
      </c>
      <c r="AB12" s="183">
        <f ca="1">IF(OR($B12&lt;=Setup!$E$12,$B12&gt;=Setup!$D$12+1),0,((YEAR($AC12)*12)+MONTH($AC12))-((YEAR(Setup!$E$12)*12)+MONTH(Setup!$E$12)))</f>
        <v>1</v>
      </c>
      <c r="AC12" s="129">
        <f t="shared" ca="1" si="6"/>
        <v>45010</v>
      </c>
      <c r="AD12" s="184">
        <f ca="1">IF(ISNA(VLOOKUP($C12,EmpAll,COLUMN(Emp!$E$4),0)),$AC12,IF(VLOOKUP($C12,EmpAll,COLUMN(Emp!$E$4),0)&lt;=Setup!$E$12,DATE(YEAR(Setup!$E$12),MONTH(Setup!$E$12)+1,1),VLOOKUP($C12,EmpAll,COLUMN(Emp!$E$4),0)))</f>
        <v>44986</v>
      </c>
      <c r="AE12" s="184" t="str">
        <f ca="1">IF(ISNA(VLOOKUP($C12,EmpAll,COLUMN(Emp!$G$1),0)),"-",IF(VLOOKUP($C12,EmpAll,COLUMN(Emp!$G$1),0)=0,"-",VLOOKUP($C12,EmpAll,COLUMN(Emp!$G$1),0)))</f>
        <v>-</v>
      </c>
      <c r="AF12" s="130">
        <f ca="1">IF(A12=PaySlip!$G$3,1,0)</f>
        <v>0</v>
      </c>
      <c r="AG12" s="130" cm="1">
        <f t="array" aca="1" ref="AG12" ca="1">IF(COUNTIFS(OverEmp,$C12,OverMed,"MED",OverDate,"&lt;"&amp;DATE(YEAR($AC12),MONTH($AC12)+1,1),OverEnd,"&gt;="&amp;DATE(YEAR($AC12),MONTH($AC12),1))&gt;0,SUMIFS(OverValue,OverEmp,$C12,OverMed,"MED",OverDate,"&lt;"&amp;DATE(YEAR($AC12),MONTH($AC12)+1,1),OverEnd,"&gt;="&amp;DATE(YEAR($AC12),MONTH($AC12),1)),IF(ISNA(VLOOKUP($C12,EmpAll,COLUMN(Emp!$N$4),0)),0,VLOOKUP($C12,EmpAll,COLUMN(Emp!$N$4),0)))</f>
        <v>1</v>
      </c>
      <c r="AH12" s="183">
        <f ca="1">VLOOKUP($AG12,MedList,COLUMN(Setup!$C$49),1)</f>
        <v>364</v>
      </c>
      <c r="AI12" s="183">
        <f t="shared" ca="1" si="7"/>
        <v>4368</v>
      </c>
      <c r="AJ12" s="101" t="str">
        <f ca="1">IF(ISNA(VLOOKUP($C12,EmpAll,COLUMN(Emp!$L$4),0)),"None!",VLOOKUP($C12,EmpAll,COLUMN(Emp!$L$4),0))</f>
        <v>A</v>
      </c>
      <c r="AK12" s="147">
        <f t="shared" ca="1" si="8"/>
        <v>17235</v>
      </c>
      <c r="AL12" s="101" t="str">
        <f ca="1">IF(ISNA(VLOOKUP($C12,Employees[],COLUMN(Emp!$M$4),0))=TRUE,"Error!",IF(VLOOKUP($C12,Employees[],COLUMN(Emp!$M$4),0)=0,"Yes",VLOOKUP($C12,Employees[],COLUMN(Emp!$M$4),0)))</f>
        <v>A</v>
      </c>
      <c r="AM12" s="148">
        <f t="shared" ca="1" si="9"/>
        <v>120000</v>
      </c>
      <c r="AN12" s="148" cm="1">
        <f t="array" aca="1" ref="AN12" ca="1">-IF($F12="Terminated",0,IF($AA12=0,0,IF(ISNA(MATCH(AN$5,PayDedList,0)),0,MIN(IF(COUNTIFS(OverEmp,$C12,OverDeduct,AN$5,OverDate,"&lt;"&amp;DATE(YEAR($AC12),MONTH($AC12)+1,1),OverEnd,"&gt;="&amp;DATE(YEAR($AC12),MONTH($AC12),1))&gt;0,SUMPRODUCT((PayEmp=$C12)*(PayDate&lt;=$AC12)*(OFFSET($N$6,1,MATCH(AN$5,PayDedList,0)-1,PayCount,1)))/$AA12*12*AN$3,IF(OR(AN$1="Fixed",AN$1="Not Used"),SUMPRODUCT((PayEmp=$C12)*(PayDate&lt;=$AC12)*(OFFSET($N$6,1,MATCH(AN$5,PayDedList,0)-1,PayCount,1)))/$AA12*12*AN$3,IF(ISNA(MATCH(AN$1,EarnListItem,0))=FALSE,SUMPRODUCT((PayEmp=$C12)*(PayDate&lt;=$AC12)*(OFFSET($N$6,1,MATCH(AN$5,PayDedList,0)-1,PayCount,1)))/$AA12*12*AN$3,(MIN(((SUMPRODUCT((PayEmp=$C12)*(PayDate&lt;=$AC12)*(ISERROR(SEARCH(PayEarnCode,AN$2)))*(PayEarnType="Monthly")*(PayEarnValues))/$AA12*12)+(SUMPRODUCT((PayEmp=$C12)*(PayDate&lt;=$AC12)*(ISERROR(SEARCH(PayEarnCode,AN$2)))*(PayEarnType="Quarterly")*(PayEarnValues))/MAX(1,ROUNDDOWN($AB12/3,0))*4)+(SUMPRODUCT((PayEmp=$C12)*(PayDate&lt;=$AC12)*(ISERROR(SEARCH(PayEarnCode,AN$2)))*(PayEarnType="Bi-Annual")*(PayEarnValues))/MAX(1,ROUNDDOWN($AB12/6,0))*2)+(SUMPRODUCT((PayEmp=$C12)*(PayDate&lt;=$AC12)*(ISERROR(SEARCH(PayEarnCode,AN$2)))*(PayEarnType="Annual")*(PayEarnValues)))),IF(ISNUMBER(OFFSET($N$3,0,MATCH(AN$5,PayDedList,0)-1,1,1)),OFFSET($N$3,0,MATCH(AN$5,PayDedList,0)-1,1,1),IgnoreMin)))*IF(COUNTIFS(EmpNo,$C12,OFFSET(Emp!$R$4,1,MATCH(AN$5,DedListItem,0)-1,EmpCount,1),"&lt;&gt;")&gt;0,VLOOKUP($C12,EmpAll,COLUMN(Emp!$R$4)+MATCH(AN$5,DedListItem,0)-1,0),OFFSET(Setup!$E$73,MATCH(AN$5,DedListItem,0),0,1,1))*AN$3))),IF(ISNUMBER(AN$4),AN$4,IgnoreMin)))))</f>
        <v>0</v>
      </c>
      <c r="AO12" s="148" cm="1">
        <f t="array" aca="1" ref="AO12" ca="1">-IF($F12="Terminated",0,IF($AA12=0,0,IF(ISNA(MATCH(AO$5,PayDedList,0)),0,MIN(IF(COUNTIFS(OverEmp,$C12,OverDeduct,AO$5,OverDate,"&lt;"&amp;DATE(YEAR($AC12),MONTH($AC12)+1,1),OverEnd,"&gt;="&amp;DATE(YEAR($AC12),MONTH($AC12),1))&gt;0,SUMPRODUCT((PayEmp=$C12)*(PayDate&lt;=$AC12)*(OFFSET($N$6,1,MATCH(AO$5,PayDedList,0)-1,PayCount,1)))/$AA12*12*AO$3,IF(OR(AO$1="Fixed",AO$1="Not Used"),SUMPRODUCT((PayEmp=$C12)*(PayDate&lt;=$AC12)*(OFFSET($N$6,1,MATCH(AO$5,PayDedList,0)-1,PayCount,1)))/$AA12*12*AO$3,IF(ISNA(MATCH(AO$1,EarnListItem,0))=FALSE,SUMPRODUCT((PayEmp=$C12)*(PayDate&lt;=$AC12)*(OFFSET($N$6,1,MATCH(AO$5,PayDedList,0)-1,PayCount,1)))/$AA12*12*AO$3,(MIN(((SUMPRODUCT((PayEmp=$C12)*(PayDate&lt;=$AC12)*(ISERROR(SEARCH(PayEarnCode,AO$2)))*(PayEarnType="Monthly")*(PayEarnValues))/$AA12*12)+(SUMPRODUCT((PayEmp=$C12)*(PayDate&lt;=$AC12)*(ISERROR(SEARCH(PayEarnCode,AO$2)))*(PayEarnType="Quarterly")*(PayEarnValues))/MAX(1,ROUNDDOWN($AB12/3,0))*4)+(SUMPRODUCT((PayEmp=$C12)*(PayDate&lt;=$AC12)*(ISERROR(SEARCH(PayEarnCode,AO$2)))*(PayEarnType="Bi-Annual")*(PayEarnValues))/MAX(1,ROUNDDOWN($AB12/6,0))*2)+(SUMPRODUCT((PayEmp=$C12)*(PayDate&lt;=$AC12)*(ISERROR(SEARCH(PayEarnCode,AO$2)))*(PayEarnType="Annual")*(PayEarnValues)))),IF(ISNUMBER(OFFSET($N$3,0,MATCH(AO$5,PayDedList,0)-1,1,1)),OFFSET($N$3,0,MATCH(AO$5,PayDedList,0)-1,1,1),IgnoreMin)))*IF(COUNTIFS(EmpNo,$C12,OFFSET(Emp!$R$4,1,MATCH(AO$5,DedListItem,0)-1,EmpCount,1),"&lt;&gt;")&gt;0,VLOOKUP($C12,EmpAll,COLUMN(Emp!$R$4)+MATCH(AO$5,DedListItem,0)-1,0),OFFSET(Setup!$E$73,MATCH(AO$5,DedListItem,0),0,1,1))*AO$3))),IF(ISNUMBER(AO$4),AO$4,IgnoreMin)))))</f>
        <v>0</v>
      </c>
      <c r="AP12" s="148" cm="1">
        <f t="array" aca="1" ref="AP12" ca="1">-IF($F12="Terminated",0,IF($AA12=0,0,IF(ISNA(MATCH(AP$5,PayDedList,0)),0,MIN(IF(COUNTIFS(OverEmp,$C12,OverDeduct,AP$5,OverDate,"&lt;"&amp;DATE(YEAR($AC12),MONTH($AC12)+1,1),OverEnd,"&gt;="&amp;DATE(YEAR($AC12),MONTH($AC12),1))&gt;0,SUMPRODUCT((PayEmp=$C12)*(PayDate&lt;=$AC12)*(OFFSET($N$6,1,MATCH(AP$5,PayDedList,0)-1,PayCount,1)))/$AA12*12*AP$3,IF(OR(AP$1="Fixed",AP$1="Not Used"),SUMPRODUCT((PayEmp=$C12)*(PayDate&lt;=$AC12)*(OFFSET($N$6,1,MATCH(AP$5,PayDedList,0)-1,PayCount,1)))/$AA12*12*AP$3,IF(ISNA(MATCH(AP$1,EarnListItem,0))=FALSE,SUMPRODUCT((PayEmp=$C12)*(PayDate&lt;=$AC12)*(OFFSET($N$6,1,MATCH(AP$5,PayDedList,0)-1,PayCount,1)))/$AA12*12*AP$3,(MIN(((SUMPRODUCT((PayEmp=$C12)*(PayDate&lt;=$AC12)*(ISERROR(SEARCH(PayEarnCode,AP$2)))*(PayEarnType="Monthly")*(PayEarnValues))/$AA12*12)+(SUMPRODUCT((PayEmp=$C12)*(PayDate&lt;=$AC12)*(ISERROR(SEARCH(PayEarnCode,AP$2)))*(PayEarnType="Quarterly")*(PayEarnValues))/MAX(1,ROUNDDOWN($AB12/3,0))*4)+(SUMPRODUCT((PayEmp=$C12)*(PayDate&lt;=$AC12)*(ISERROR(SEARCH(PayEarnCode,AP$2)))*(PayEarnType="Bi-Annual")*(PayEarnValues))/MAX(1,ROUNDDOWN($AB12/6,0))*2)+(SUMPRODUCT((PayEmp=$C12)*(PayDate&lt;=$AC12)*(ISERROR(SEARCH(PayEarnCode,AP$2)))*(PayEarnType="Annual")*(PayEarnValues)))),IF(ISNUMBER(OFFSET($N$3,0,MATCH(AP$5,PayDedList,0)-1,1,1)),OFFSET($N$3,0,MATCH(AP$5,PayDedList,0)-1,1,1),IgnoreMin)))*IF(COUNTIFS(EmpNo,$C12,OFFSET(Emp!$R$4,1,MATCH(AP$5,DedListItem,0)-1,EmpCount,1),"&lt;&gt;")&gt;0,VLOOKUP($C12,EmpAll,COLUMN(Emp!$R$4)+MATCH(AP$5,DedListItem,0)-1,0),OFFSET(Setup!$E$73,MATCH(AP$5,DedListItem,0),0,1,1))*AP$3))),IF(ISNUMBER(AP$4),AP$4,IgnoreMin)))))</f>
        <v>0</v>
      </c>
      <c r="AQ12" s="148" cm="1">
        <f t="array" aca="1" ref="AQ12" ca="1">-IF($F12="Terminated",0,IF($AA12=0,0,IF(ISNA(MATCH(AQ$5,PayDedList,0)),0,MIN(IF(COUNTIFS(OverEmp,$C12,OverDeduct,AQ$5,OverDate,"&lt;"&amp;DATE(YEAR($AC12),MONTH($AC12)+1,1),OverEnd,"&gt;="&amp;DATE(YEAR($AC12),MONTH($AC12),1))&gt;0,SUMPRODUCT((PayEmp=$C12)*(PayDate&lt;=$AC12)*(OFFSET($N$6,1,MATCH(AQ$5,PayDedList,0)-1,PayCount,1)))/$AA12*12*AQ$3,IF(OR(AQ$1="Fixed",AQ$1="Not Used"),SUMPRODUCT((PayEmp=$C12)*(PayDate&lt;=$AC12)*(OFFSET($N$6,1,MATCH(AQ$5,PayDedList,0)-1,PayCount,1)))/$AA12*12*AQ$3,IF(ISNA(MATCH(AQ$1,EarnListItem,0))=FALSE,SUMPRODUCT((PayEmp=$C12)*(PayDate&lt;=$AC12)*(OFFSET($N$6,1,MATCH(AQ$5,PayDedList,0)-1,PayCount,1)))/$AA12*12*AQ$3,(MIN(((SUMPRODUCT((PayEmp=$C12)*(PayDate&lt;=$AC12)*(ISERROR(SEARCH(PayEarnCode,AQ$2)))*(PayEarnType="Monthly")*(PayEarnValues))/$AA12*12)+(SUMPRODUCT((PayEmp=$C12)*(PayDate&lt;=$AC12)*(ISERROR(SEARCH(PayEarnCode,AQ$2)))*(PayEarnType="Quarterly")*(PayEarnValues))/MAX(1,ROUNDDOWN($AB12/3,0))*4)+(SUMPRODUCT((PayEmp=$C12)*(PayDate&lt;=$AC12)*(ISERROR(SEARCH(PayEarnCode,AQ$2)))*(PayEarnType="Bi-Annual")*(PayEarnValues))/MAX(1,ROUNDDOWN($AB12/6,0))*2)+(SUMPRODUCT((PayEmp=$C12)*(PayDate&lt;=$AC12)*(ISERROR(SEARCH(PayEarnCode,AQ$2)))*(PayEarnType="Annual")*(PayEarnValues)))),IF(ISNUMBER(OFFSET($N$3,0,MATCH(AQ$5,PayDedList,0)-1,1,1)),OFFSET($N$3,0,MATCH(AQ$5,PayDedList,0)-1,1,1),IgnoreMin)))*IF(COUNTIFS(EmpNo,$C12,OFFSET(Emp!$R$4,1,MATCH(AQ$5,DedListItem,0)-1,EmpCount,1),"&lt;&gt;")&gt;0,VLOOKUP($C12,EmpAll,COLUMN(Emp!$R$4)+MATCH(AQ$5,DedListItem,0)-1,0),OFFSET(Setup!$E$73,MATCH(AQ$5,DedListItem,0),0,1,1))*AQ$3))),IF(ISNUMBER(AQ$4),AQ$4,IgnoreMin)))))</f>
        <v>0</v>
      </c>
      <c r="AR12" s="148">
        <f t="shared" ca="1" si="10"/>
        <v>120000</v>
      </c>
      <c r="AS12" s="148">
        <f t="shared" ca="1" si="11"/>
        <v>120000</v>
      </c>
      <c r="AT12" s="148" cm="1">
        <f t="array" aca="1" ref="AT12" ca="1">-IF($F12="Terminated",0,IF($AA12=0,0,IF(ISNA(MATCH(AT$5,PayDedList,0)),0,MIN(IF(COUNTIFS(OverEmp,$C12,OverDeduct,AT$5,OverDate,"&lt;"&amp;DATE(YEAR($AC12),MONTH($AC12)+1,1),OverEnd,"&gt;="&amp;DATE(YEAR($AC12),MONTH($AC12),1))&gt;0,SUMPRODUCT((PayEmp=$C12)*(PayDate&lt;=$AC12)*(OFFSET($N$6,1,MATCH(AT$5,PayDedList,0)-1,PayCount,1)))/$AA12*12*AT$3,IF(OR(AT$1="Fixed",AT$1="Not Used"),SUMPRODUCT((PayEmp=$C12)*(PayDate&lt;=$AC12)*(OFFSET($N$6,1,MATCH(AT$5,PayDedList,0)-1,PayCount,1)))/$AA12*12*AT$3,IF(ISNA(MATCH(OFFSET($N$2,0,MATCH(AT$5,PayDedList,0)-1,1,1),EarnListItem,0))=FALSE,SUMPRODUCT((PayEmp=$C12)*(PayDate&lt;=$AC12)*(OFFSET($N$6,1,MATCH(AT$5,PayDedList,0)-1,PayCount,1)))/$AA12*12*AT$3,(MIN(SUMPRODUCT((PayEmp=$C12)*(PayDate&lt;=$AC12)*(ISERROR(SEARCH(PayEarnCode,AT$2)))*(PayEarnType="Monthly")*(PayEarnValues))/$AA12*12,IF(ISNUMBER(OFFSET($N$3,0,MATCH(AT$5,PayDedList,0)-1,1,1)),OFFSET($N$3,0,MATCH(AT$5,PayDedList,0)-1,1,1),IgnoreMin)))*IF(COUNTIFS(EmpNo,$C12,OFFSET(Emp!$R$4,1,MATCH(AT$5,DedListItem,0)-1,EmpCount,1),"&lt;&gt;")&gt;0,VLOOKUP($C12,EmpAll,COLUMN(Emp!$R$4)+MATCH(AT$5,DedListItem,0)-1,0),OFFSET(Setup!$E$73,MATCH(AT$5,DedListItem,0),0,1,1))*AT$3))),IF(ISNUMBER(AT$4),AT$4,IgnoreMin)))))</f>
        <v>0</v>
      </c>
      <c r="AU12" s="148" cm="1">
        <f t="array" aca="1" ref="AU12" ca="1">-IF($F12="Terminated",0,IF($AA12=0,0,IF(ISNA(MATCH(AU$5,PayDedList,0)),0,MIN(IF(COUNTIFS(OverEmp,$C12,OverDeduct,AU$5,OverDate,"&lt;"&amp;DATE(YEAR($AC12),MONTH($AC12)+1,1),OverEnd,"&gt;="&amp;DATE(YEAR($AC12),MONTH($AC12),1))&gt;0,SUMPRODUCT((PayEmp=$C12)*(PayDate&lt;=$AC12)*(OFFSET($N$6,1,MATCH(AU$5,PayDedList,0)-1,PayCount,1)))/$AA12*12*AU$3,IF(OR(AU$1="Fixed",AU$1="Not Used"),SUMPRODUCT((PayEmp=$C12)*(PayDate&lt;=$AC12)*(OFFSET($N$6,1,MATCH(AU$5,PayDedList,0)-1,PayCount,1)))/$AA12*12*AU$3,IF(ISNA(MATCH(OFFSET($N$2,0,MATCH(AU$5,PayDedList,0)-1,1,1),EarnListItem,0))=FALSE,SUMPRODUCT((PayEmp=$C12)*(PayDate&lt;=$AC12)*(OFFSET($N$6,1,MATCH(AU$5,PayDedList,0)-1,PayCount,1)))/$AA12*12*AU$3,(MIN(SUMPRODUCT((PayEmp=$C12)*(PayDate&lt;=$AC12)*(ISERROR(SEARCH(PayEarnCode,AU$2)))*(PayEarnType="Monthly")*(PayEarnValues))/$AA12*12,IF(ISNUMBER(OFFSET($N$3,0,MATCH(AU$5,PayDedList,0)-1,1,1)),OFFSET($N$3,0,MATCH(AU$5,PayDedList,0)-1,1,1),IgnoreMin)))*IF(COUNTIFS(EmpNo,$C12,OFFSET(Emp!$R$4,1,MATCH(AU$5,DedListItem,0)-1,EmpCount,1),"&lt;&gt;")&gt;0,VLOOKUP($C12,EmpAll,COLUMN(Emp!$R$4)+MATCH(AU$5,DedListItem,0)-1,0),OFFSET(Setup!$E$73,MATCH(AU$5,DedListItem,0),0,1,1))*AU$3))),IF(ISNUMBER(AU$4),AU$4,IgnoreMin)))))</f>
        <v>0</v>
      </c>
      <c r="AV12" s="148" cm="1">
        <f t="array" aca="1" ref="AV12" ca="1">-IF($F12="Terminated",0,IF($AA12=0,0,IF(ISNA(MATCH(AV$5,PayDedList,0)),0,MIN(IF(COUNTIFS(OverEmp,$C12,OverDeduct,AV$5,OverDate,"&lt;"&amp;DATE(YEAR($AC12),MONTH($AC12)+1,1),OverEnd,"&gt;="&amp;DATE(YEAR($AC12),MONTH($AC12),1))&gt;0,SUMPRODUCT((PayEmp=$C12)*(PayDate&lt;=$AC12)*(OFFSET($N$6,1,MATCH(AV$5,PayDedList,0)-1,PayCount,1)))/$AA12*12*AV$3,IF(OR(AV$1="Fixed",AV$1="Not Used"),SUMPRODUCT((PayEmp=$C12)*(PayDate&lt;=$AC12)*(OFFSET($N$6,1,MATCH(AV$5,PayDedList,0)-1,PayCount,1)))/$AA12*12*AV$3,IF(ISNA(MATCH(OFFSET($N$2,0,MATCH(AV$5,PayDedList,0)-1,1,1),EarnListItem,0))=FALSE,SUMPRODUCT((PayEmp=$C12)*(PayDate&lt;=$AC12)*(OFFSET($N$6,1,MATCH(AV$5,PayDedList,0)-1,PayCount,1)))/$AA12*12*AV$3,(MIN(SUMPRODUCT((PayEmp=$C12)*(PayDate&lt;=$AC12)*(ISERROR(SEARCH(PayEarnCode,AV$2)))*(PayEarnType="Monthly")*(PayEarnValues))/$AA12*12,IF(ISNUMBER(OFFSET($N$3,0,MATCH(AV$5,PayDedList,0)-1,1,1)),OFFSET($N$3,0,MATCH(AV$5,PayDedList,0)-1,1,1),IgnoreMin)))*IF(COUNTIFS(EmpNo,$C12,OFFSET(Emp!$R$4,1,MATCH(AV$5,DedListItem,0)-1,EmpCount,1),"&lt;&gt;")&gt;0,VLOOKUP($C12,EmpAll,COLUMN(Emp!$R$4)+MATCH(AV$5,DedListItem,0)-1,0),OFFSET(Setup!$E$73,MATCH(AV$5,DedListItem,0),0,1,1))*AV$3))),IF(ISNUMBER(AV$4),AV$4,IgnoreMin)))))</f>
        <v>0</v>
      </c>
      <c r="AW12" s="148" cm="1">
        <f t="array" aca="1" ref="AW12" ca="1">-IF($F12="Terminated",0,IF($AA12=0,0,IF(ISNA(MATCH(AW$5,PayDedList,0)),0,MIN(IF(COUNTIFS(OverEmp,$C12,OverDeduct,AW$5,OverDate,"&lt;"&amp;DATE(YEAR($AC12),MONTH($AC12)+1,1),OverEnd,"&gt;="&amp;DATE(YEAR($AC12),MONTH($AC12),1))&gt;0,SUMPRODUCT((PayEmp=$C12)*(PayDate&lt;=$AC12)*(OFFSET($N$6,1,MATCH(AW$5,PayDedList,0)-1,PayCount,1)))/$AA12*12*AW$3,IF(OR(AW$1="Fixed",AW$1="Not Used"),SUMPRODUCT((PayEmp=$C12)*(PayDate&lt;=$AC12)*(OFFSET($N$6,1,MATCH(AW$5,PayDedList,0)-1,PayCount,1)))/$AA12*12*AW$3,IF(ISNA(MATCH(OFFSET($N$2,0,MATCH(AW$5,PayDedList,0)-1,1,1),EarnListItem,0))=FALSE,SUMPRODUCT((PayEmp=$C12)*(PayDate&lt;=$AC12)*(OFFSET($N$6,1,MATCH(AW$5,PayDedList,0)-1,PayCount,1)))/$AA12*12*AW$3,(MIN(SUMPRODUCT((PayEmp=$C12)*(PayDate&lt;=$AC12)*(ISERROR(SEARCH(PayEarnCode,AW$2)))*(PayEarnType="Monthly")*(PayEarnValues))/$AA12*12,IF(ISNUMBER(OFFSET($N$3,0,MATCH(AW$5,PayDedList,0)-1,1,1)),OFFSET($N$3,0,MATCH(AW$5,PayDedList,0)-1,1,1),IgnoreMin)))*IF(COUNTIFS(EmpNo,$C12,OFFSET(Emp!$R$4,1,MATCH(AW$5,DedListItem,0)-1,EmpCount,1),"&lt;&gt;")&gt;0,VLOOKUP($C12,EmpAll,COLUMN(Emp!$R$4)+MATCH(AW$5,DedListItem,0)-1,0),OFFSET(Setup!$E$73,MATCH(AW$5,DedListItem,0),0,1,1))*AW$3))),IF(ISNUMBER(AW$4),AW$4,IgnoreMin)))))</f>
        <v>0</v>
      </c>
      <c r="AX12" s="148">
        <f t="shared" ca="1" si="12"/>
        <v>120000</v>
      </c>
      <c r="AY12" s="148">
        <f t="shared" ca="1" si="13"/>
        <v>0</v>
      </c>
      <c r="AZ12" s="148">
        <f ca="1">IF(ISNUMBER($AL12),($AR12*$AL12)-$AI12-$AK12,MAX(0,IF($AL12="B",IF($AR12&lt;Setup!$C$32,($AR12*Setup!$D$32)-$AI12-$AK12,(($AR12-VLOOKUP($AR12,TaxAll2,1,1))*OFFSET(Setup!$D$32,MATCH($AR12,TaxBracket2,1),0,1,1))+OFFSET(Setup!$E$31,MATCH($AR12,TaxBracket2,1),0,1,1)-$AI12-$AK12),IF($AR12&lt;Setup!$C$21,($AR12*Setup!$D$21)-$AI12-$AK12,(($AR12-VLOOKUP($AR12,TaxAll1,1,1))*OFFSET(Setup!$D$21,MATCH($AR12,TaxBracket1,1),0,1,1))+OFFSET(Setup!$E$20,MATCH($AR12,TaxBracket1,1),0,1,1)-$AI12-$AK12))))</f>
        <v>0</v>
      </c>
      <c r="BA12" s="148">
        <f ca="1">IF(ISNUMBER($AL12),($AX12*$AL12)-$AI12-$AK12,MAX(0,IF($AL12="B",IF($AX12&lt;Setup!$C$32,($AX12*Setup!$D$32)-$AI12-$AK12,(($AX12-VLOOKUP($AX12,TaxAll2,1,1))*OFFSET(Setup!$D$32,MATCH($AX12,TaxBracket2,1),0,1,1))+OFFSET(Setup!$E$31,MATCH($AX12,TaxBracket2,1),0,1,1)-$AI12-$AK12),IF($AX12&lt;Setup!$C$21,($AX12*Setup!$D$21)-$AI12-$AK12,(($AX12-VLOOKUP($AX12,TaxAll1,1,1))*OFFSET(Setup!$D$21,MATCH($AX12,TaxBracket1,1),0,1,1))+OFFSET(Setup!$E$20,MATCH($AX12,TaxBracket1,1),0,1,1)-$AI12-$AK12))))</f>
        <v>0</v>
      </c>
      <c r="BB12" s="148">
        <f t="shared" ca="1" si="14"/>
        <v>0</v>
      </c>
      <c r="BC12" s="150">
        <f t="shared" ca="1" si="15"/>
        <v>1</v>
      </c>
      <c r="BD12" s="150">
        <f t="shared" ca="1" si="16"/>
        <v>0</v>
      </c>
      <c r="BE12" s="148">
        <f t="shared" ca="1" si="17"/>
        <v>120000</v>
      </c>
    </row>
    <row r="13" spans="1:57" ht="16.149999999999999" customHeight="1" x14ac:dyDescent="0.25">
      <c r="A13" s="9" t="str" cm="1">
        <f t="array" aca="1" ref="A13" ca="1">IF(ROW($A13)-ROW($A$6)&gt;EmpCount*12,"-",TEXT($B13,"yyyy")&amp;TEXT($B13,"mm")&amp;"-"&amp;$C13)</f>
        <v>202303-EXS007</v>
      </c>
      <c r="B13" s="129" cm="1">
        <f t="array" aca="1" ref="B13" ca="1">IF(ROW($A13)-ROW($A$6)&gt;EmpCount*12,Setup!$D$12,DATE(YEAR(Setup!$F$12),MONTH(Setup!$F$12)+ROUNDDOWN((ROW($A13)-ROW($A$6)-1)/EmpCount,0),IF(Setup!$C$14&gt;DAY(DATE(YEAR(Setup!$F$12),MONTH(Setup!$F$12)+ROUNDDOWN((ROW($A13)-ROW($A$6)-1)/EmpCount,0)+1,0)),DAY(DATE(YEAR(Setup!$F$12),MONTH(Setup!$F$12)+ROUNDDOWN((ROW($A13)-ROW($A$6)-1)/EmpCount,0)+1,0)),Setup!$C$14)))</f>
        <v>45010</v>
      </c>
      <c r="C13" s="130" t="str" cm="1">
        <f t="array" aca="1" ref="C13" ca="1">IF(ROW($A13)-ROW($A$6)&gt;EmpCount*12,"-",OFFSET(Emp!$A$4,ROW($A13)-ROW($A$6)-IF(ROW($A13)-ROW($A$6)&gt;EmpCount,ROUNDDOWN((ROW($A13)-ROW($A$6)-1)/EmpCount,0)*EmpCount,0),0,1,1))</f>
        <v>EXS007</v>
      </c>
      <c r="D13" s="9" t="str">
        <f ca="1">IF(ISNA(VLOOKUP($C13,EmpAll,COLUMN(Emp!$B$4),0)),"-",VLOOKUP($C13,EmpAll,COLUMN(Emp!$B$4),0))</f>
        <v>Phillips KE</v>
      </c>
      <c r="E13" s="130" t="str">
        <f ca="1">IF(ISNA(VLOOKUP($C13,EmpAll,COLUMN(Emp!$C$4),0)),"-",VLOOKUP($C13,EmpAll,COLUMN(Emp!$C$4),0))</f>
        <v>A</v>
      </c>
      <c r="F13" s="130" t="str">
        <f ca="1">IF(ISNA(VLOOKUP($C13,EmpAll,COLUMN(Emp!$A$4),0)),"-",IF(AND(VLOOKUP($C13,EmpAll,COLUMN(Emp!$E$4),0)&lt;&gt;0,VLOOKUP($C13,EmpAll,COLUMN(Emp!$E$4),0)&gt;=DATE(YEAR($AC13),MONTH($AC13)+1,0)),"Inactive",IF(AND(VLOOKUP($C13,EmpAll,COLUMN(Emp!$F$4),0)&lt;&gt;0,VLOOKUP($C13,EmpAll,COLUMN(Emp!$F$4),0)&lt;=DATE(YEAR($AC13),MONTH($AC13),0)),"Terminated","Active")))</f>
        <v>Active</v>
      </c>
      <c r="G13" s="133" cm="1">
        <f t="array" aca="1" ref="G13" ca="1">IF($F13&lt;&gt;"Active",0,IF(COUNTIFS(OverEmp,$C13,OverEarn,G$2,OverDate,"&lt;"&amp;DATE(YEAR($AC13),MONTH($AC13)+1,1),OverEnd,"&gt;="&amp;DATE(YEAR($AC13),MONTH($AC13),1))&gt;0,SUMIFS(OverValue,OverEmp,$C13,OverEarn,G$2,OverDate,"&lt;"&amp;DATE(YEAR($AC13),MONTH($AC13)+1,1),OverEnd,"&gt;="&amp;DATE(YEAR($AC13),MONTH($AC13),1)),IF(AND($AC13&gt;=Setup!$E$10,SUMIFS(EmpIncrease,EmpCode,$C13)&gt;0),SUMIFS(EmpIncrease,EmpCode,$C13),SUMIFS(EmpSalary,EmpCode,$C13))))</f>
        <v>25000</v>
      </c>
      <c r="H13" s="133" cm="1">
        <f t="array" aca="1" ref="H13" ca="1">IF($F13&lt;&gt;"Active",0,IF(COUNTIFS(OverEmp,$C13,OverEarn,H$2,OverDate,"&lt;"&amp;DATE(YEAR($AC13),MONTH($AC13)+1,1),OverEnd,"&gt;="&amp;DATE(YEAR($AC13),MONTH($AC13),1))&gt;0,SUMIFS(OverValue,OverEmp,$C13,OverEarn,H$2,OverDate,"&lt;"&amp;DATE(YEAR($AC13),MONTH($AC13)+1,1),OverEnd,"&gt;="&amp;DATE(YEAR($AC13),MONTH($AC13),1)),0))</f>
        <v>0</v>
      </c>
      <c r="I13" s="133" cm="1">
        <f t="array" aca="1" ref="I13" ca="1">IF($F13&lt;&gt;"Active",0,IF(COUNTIFS(OverEmp,$C13,OverEarn,I$2,OverDate,"&lt;"&amp;DATE(YEAR($AC13),MONTH($AC13)+1,1),OverEnd,"&gt;="&amp;DATE(YEAR($AC13),MONTH($AC13),1))&gt;0,SUMIFS(OverValue,OverEmp,$C13,OverEarn,I$2,OverDate,"&lt;"&amp;DATE(YEAR($AC13),MONTH($AC13)+1,1),OverEnd,"&gt;="&amp;DATE(YEAR($AC13),MONTH($AC13),1)),IF(MONTH(B13)=Setup!$C$15,SUMIFS(EmpBonus,EmpCode,$C13),0)))</f>
        <v>0</v>
      </c>
      <c r="J13" s="133" cm="1">
        <f t="array" aca="1" ref="J13" ca="1">IF($F13&lt;&gt;"Active",0,IF(COUNTIFS(OverEmp,$C13,OverEarn,J$2,OverDate,"&lt;"&amp;DATE(YEAR($AC13),MONTH($AC13)+1,1),OverEnd,"&gt;="&amp;DATE(YEAR($AC13),MONTH($AC13),1))&gt;0,SUMIFS(OverValue,OverEmp,$C13,OverEarn,J$2,OverDate,"&lt;"&amp;DATE(YEAR($AC13),MONTH($AC13)+1,1),OverEnd,"&gt;="&amp;DATE(YEAR($AC13),MONTH($AC13),1)),0))</f>
        <v>0</v>
      </c>
      <c r="K13" s="133" cm="1">
        <f t="array" aca="1" ref="K13" ca="1">IF($F13&lt;&gt;"Active",0,IF(COUNTIFS(OverEmp,$C13,OverEarn,K$2,OverDate,"&lt;"&amp;DATE(YEAR($AC13),MONTH($AC13)+1,1),OverEnd,"&gt;="&amp;DATE(YEAR($AC13),MONTH($AC13),1))&gt;0,SUMIFS(OverValue,OverEmp,$C13,OverEarn,K$2,OverDate,"&lt;"&amp;DATE(YEAR($AC13),MONTH($AC13)+1,1),OverEnd,"&gt;="&amp;DATE(YEAR($AC13),MONTH($AC13),1)),0))</f>
        <v>0</v>
      </c>
      <c r="L13" s="133">
        <f t="shared" ca="1" si="0"/>
        <v>25000</v>
      </c>
      <c r="M13" s="182" cm="1">
        <f t="array" aca="1" ref="M13" ca="1">IF(COUNTIFS(OverEmp,$C13,OverTax,M$5,OverDate,"&lt;"&amp;DATE(YEAR($AC13),MONTH($AC13)+1,1),OverEnd,"&gt;="&amp;DATE(YEAR($AC13),MONTH($AC13),1))&gt;0,SUMIFS(OverValue,OverEmp,$C13,OverTax,M$5,OverDate,"&lt;"&amp;DATE(YEAR($AC13),MONTH($AC13)+1,1),OverEnd,"&gt;="&amp;DATE(YEAR($AC13),MONTH($AC13),1)),(($BA13/12*$AA13)+(BB13*IF(1-$BC13=0,0,BD13/(1-$BC13))))-IF($F13="Terminated",0,SUMIFS(PayTaxDeduct,PayDate,"&lt;"&amp;$AC13,PayEmp,$C13)))</f>
        <v>3483.0833333333335</v>
      </c>
      <c r="N13" s="133" cm="1">
        <f t="array" aca="1" ref="N13" ca="1">IF($F13="Terminated",0,IF($AA13=0,0,IF(ISNA(MATCH(N$5,DedListItem,0)),0,IF(COUNTIFS(OverEmp,$C13,OverDeduct,N$5,OverDate,"&lt;"&amp;DATE(YEAR($AC13),MONTH($AC13)+1,1),OverEnd,"&gt;="&amp;DATE(YEAR($AC13),MONTH($AC13),1))&gt;0,SUMIFS(OverValue,OverEmp,$C13,OverDeduct,N$5,OverDate,"&lt;"&amp;DATE(YEAR($AC13),MONTH($AC13)+1,1),OverEnd,"&gt;="&amp;DATE(YEAR($AC13),MONTH($AC13),1)),IF(OR(N$2="Fixed",N$2="Not Used"),(IF(COUNTIFS(EmpNo,$C13,OFFSET(Emp!$R$4,1,MATCH(N$5,DedListItem,0)-1,EmpCount,1),"&lt;&gt;")&gt;0,VLOOKUP($C13,EmpAll,COLUMN(Emp!$R$4)+MATCH(N$5,DedListItem,0)-1,0),OFFSET(Setup!$E$73,MATCH(N$5,DedListItem,0),0,1,1))*$AA13)-SUMIFS(OFFSET(N$6,1,0,PayCount,1),PayDate,"&lt;"&amp;$AC13,PayEmp,$C13),IF(ISNA(MATCH(N$2,EarnListItem,0))=FALSE,IF(OFFSET(Setup!$G$73,MATCH(N$5,DedListItem,0),0,1,1)="Taxable",SUMPRODUCT((PayEmp=$C13)*(PayDate&lt;=$AC13)*(PayEarnCode=N$2)*(PayEarnTax)*(PayEarnValues)),SUMPRODUCT((PayEmp=$C13)*(PayDate&lt;=$AC13)*(PayEarnCode=N$2)*(PayEarnValues)))*IF(COUNTIFS(EmpNo,$C13,OFFSET(Emp!$R$4,1,MATCH(N$5,DedListItem,0)-1,EmpCount,1),"&lt;&gt;")&gt;0,VLOOKUP($C13,EmpAll,COLUMN(Emp!$R$4)+MATCH(N$5,DedListItem,0)-1,0),OFFSET(Setup!$E$73,MATCH(N$5,DedListItem,0),0,1,1)),(MIN(IF(OFFSET(Setup!$G$73,MATCH(N$5,DedListItem,0),0,1,1)="Taxable",SUMPRODUCT((PayEmp=$C13)*(PayDate&lt;=$AC13)*(ISERROR(SEARCH(PayEarnCode,N$4)))*(PayEarnTax)*(PayEarnValues)),SUMPRODUCT((PayEmp=$C13)*(PayDate&lt;=$AC13)*(ISERROR(SEARCH(PayEarnCode,N$4)))*(PayEarnValues))),IF(ISNUMBER(N$3),N$3/12*$AA13,IgnoreMin)))*IF(COUNTIFS(EmpNo,$C13,OFFSET(Emp!$R$4,1,MATCH(N$5,DedListItem,0)-1,EmpCount,1),"&lt;&gt;")&gt;0,VLOOKUP($C13,EmpAll,COLUMN(Emp!$R$4)+MATCH(N$5,DedListItem,0)-1,0),OFFSET(Setup!$E$73,MATCH(N$5,DedListItem,0),0,1,1)))-SUMIFS(OFFSET(N$6,1,0,PayCount,1),PayDate,"&lt;"&amp;$AC13,PayEmp,$C13))))))</f>
        <v>177.12</v>
      </c>
      <c r="O13" s="133" cm="1">
        <f t="array" aca="1" ref="O13" ca="1">IF($F13="Terminated",0,IF($AA13=0,0,IF(ISNA(MATCH(O$5,DedListItem,0)),0,IF(COUNTIFS(OverEmp,$C13,OverDeduct,O$5,OverDate,"&lt;"&amp;DATE(YEAR($AC13),MONTH($AC13)+1,1),OverEnd,"&gt;="&amp;DATE(YEAR($AC13),MONTH($AC13),1))&gt;0,SUMIFS(OverValue,OverEmp,$C13,OverDeduct,O$5,OverDate,"&lt;"&amp;DATE(YEAR($AC13),MONTH($AC13)+1,1),OverEnd,"&gt;="&amp;DATE(YEAR($AC13),MONTH($AC13),1)),IF(OR(O$2="Fixed",O$2="Not Used"),(IF(COUNTIFS(EmpNo,$C13,OFFSET(Emp!$R$4,1,MATCH(O$5,DedListItem,0)-1,EmpCount,1),"&lt;&gt;")&gt;0,VLOOKUP($C13,EmpAll,COLUMN(Emp!$R$4)+MATCH(O$5,DedListItem,0)-1,0),OFFSET(Setup!$E$73,MATCH(O$5,DedListItem,0),0,1,1))*$AA13)-SUMIFS(OFFSET(O$6,1,0,PayCount,1),PayDate,"&lt;"&amp;$AC13,PayEmp,$C13),IF(ISNA(MATCH(O$2,EarnListItem,0))=FALSE,IF(OFFSET(Setup!$G$73,MATCH(O$5,DedListItem,0),0,1,1)="Taxable",SUMPRODUCT((PayEmp=$C13)*(PayDate&lt;=$AC13)*(PayEarnCode=O$2)*(PayEarnTax)*(PayEarnValues)),SUMPRODUCT((PayEmp=$C13)*(PayDate&lt;=$AC13)*(PayEarnCode=O$2)*(PayEarnValues)))*IF(COUNTIFS(EmpNo,$C13,OFFSET(Emp!$R$4,1,MATCH(O$5,DedListItem,0)-1,EmpCount,1),"&lt;&gt;")&gt;0,VLOOKUP($C13,EmpAll,COLUMN(Emp!$R$4)+MATCH(O$5,DedListItem,0)-1,0),OFFSET(Setup!$E$73,MATCH(O$5,DedListItem,0),0,1,1)),(MIN(IF(OFFSET(Setup!$G$73,MATCH(O$5,DedListItem,0),0,1,1)="Taxable",SUMPRODUCT((PayEmp=$C13)*(PayDate&lt;=$AC13)*(ISERROR(SEARCH(PayEarnCode,O$4)))*(PayEarnTax)*(PayEarnValues)),SUMPRODUCT((PayEmp=$C13)*(PayDate&lt;=$AC13)*(ISERROR(SEARCH(PayEarnCode,O$4)))*(PayEarnValues))),IF(ISNUMBER(O$3),O$3/12*$AA13,IgnoreMin)))*IF(COUNTIFS(EmpNo,$C13,OFFSET(Emp!$R$4,1,MATCH(O$5,DedListItem,0)-1,EmpCount,1),"&lt;&gt;")&gt;0,VLOOKUP($C13,EmpAll,COLUMN(Emp!$R$4)+MATCH(O$5,DedListItem,0)-1,0),OFFSET(Setup!$E$73,MATCH(O$5,DedListItem,0),0,1,1)))-SUMIFS(OFFSET(O$6,1,0,PayCount,1),PayDate,"&lt;"&amp;$AC13,PayEmp,$C13))))))</f>
        <v>0</v>
      </c>
      <c r="P13" s="133" cm="1">
        <f t="array" aca="1" ref="P13" ca="1">IF($F13="Terminated",0,IF($AA13=0,0,IF(ISNA(MATCH(P$5,DedListItem,0)),0,IF(COUNTIFS(OverEmp,$C13,OverDeduct,P$5,OverDate,"&lt;"&amp;DATE(YEAR($AC13),MONTH($AC13)+1,1),OverEnd,"&gt;="&amp;DATE(YEAR($AC13),MONTH($AC13),1))&gt;0,SUMIFS(OverValue,OverEmp,$C13,OverDeduct,P$5,OverDate,"&lt;"&amp;DATE(YEAR($AC13),MONTH($AC13)+1,1),OverEnd,"&gt;="&amp;DATE(YEAR($AC13),MONTH($AC13),1)),IF(OR(P$2="Fixed",P$2="Not Used"),(IF(COUNTIFS(EmpNo,$C13,OFFSET(Emp!$R$4,1,MATCH(P$5,DedListItem,0)-1,EmpCount,1),"&lt;&gt;")&gt;0,VLOOKUP($C13,EmpAll,COLUMN(Emp!$R$4)+MATCH(P$5,DedListItem,0)-1,0),OFFSET(Setup!$E$73,MATCH(P$5,DedListItem,0),0,1,1))*$AA13)-SUMIFS(OFFSET(P$6,1,0,PayCount,1),PayDate,"&lt;"&amp;$AC13,PayEmp,$C13),IF(ISNA(MATCH(P$2,EarnListItem,0))=FALSE,IF(OFFSET(Setup!$G$73,MATCH(P$5,DedListItem,0),0,1,1)="Taxable",SUMPRODUCT((PayEmp=$C13)*(PayDate&lt;=$AC13)*(PayEarnCode=P$2)*(PayEarnTax)*(PayEarnValues)),SUMPRODUCT((PayEmp=$C13)*(PayDate&lt;=$AC13)*(PayEarnCode=P$2)*(PayEarnValues)))*IF(COUNTIFS(EmpNo,$C13,OFFSET(Emp!$R$4,1,MATCH(P$5,DedListItem,0)-1,EmpCount,1),"&lt;&gt;")&gt;0,VLOOKUP($C13,EmpAll,COLUMN(Emp!$R$4)+MATCH(P$5,DedListItem,0)-1,0),OFFSET(Setup!$E$73,MATCH(P$5,DedListItem,0),0,1,1)),(MIN(IF(OFFSET(Setup!$G$73,MATCH(P$5,DedListItem,0),0,1,1)="Taxable",SUMPRODUCT((PayEmp=$C13)*(PayDate&lt;=$AC13)*(ISERROR(SEARCH(PayEarnCode,P$4)))*(PayEarnTax)*(PayEarnValues)),SUMPRODUCT((PayEmp=$C13)*(PayDate&lt;=$AC13)*(ISERROR(SEARCH(PayEarnCode,P$4)))*(PayEarnValues))),IF(ISNUMBER(P$3),P$3/12*$AA13,IgnoreMin)))*IF(COUNTIFS(EmpNo,$C13,OFFSET(Emp!$R$4,1,MATCH(P$5,DedListItem,0)-1,EmpCount,1),"&lt;&gt;")&gt;0,VLOOKUP($C13,EmpAll,COLUMN(Emp!$R$4)+MATCH(P$5,DedListItem,0)-1,0),OFFSET(Setup!$E$73,MATCH(P$5,DedListItem,0),0,1,1)))-SUMIFS(OFFSET(P$6,1,0,PayCount,1),PayDate,"&lt;"&amp;$AC13,PayEmp,$C13))))))</f>
        <v>0</v>
      </c>
      <c r="Q13" s="133" cm="1">
        <f t="array" aca="1" ref="Q13" ca="1">IF($F13="Terminated",0,IF($AA13=0,0,IF(ISNA(MATCH(Q$5,DedListItem,0)),0,IF(COUNTIFS(OverEmp,$C13,OverDeduct,Q$5,OverDate,"&lt;"&amp;DATE(YEAR($AC13),MONTH($AC13)+1,1),OverEnd,"&gt;="&amp;DATE(YEAR($AC13),MONTH($AC13),1))&gt;0,SUMIFS(OverValue,OverEmp,$C13,OverDeduct,Q$5,OverDate,"&lt;"&amp;DATE(YEAR($AC13),MONTH($AC13)+1,1),OverEnd,"&gt;="&amp;DATE(YEAR($AC13),MONTH($AC13),1)),IF(OR(Q$2="Fixed",Q$2="Not Used"),(IF(COUNTIFS(EmpNo,$C13,OFFSET(Emp!$R$4,1,MATCH(Q$5,DedListItem,0)-1,EmpCount,1),"&lt;&gt;")&gt;0,VLOOKUP($C13,EmpAll,COLUMN(Emp!$R$4)+MATCH(Q$5,DedListItem,0)-1,0),OFFSET(Setup!$E$73,MATCH(Q$5,DedListItem,0),0,1,1))*$AA13)-SUMIFS(OFFSET(Q$6,1,0,PayCount,1),PayDate,"&lt;"&amp;$AC13,PayEmp,$C13),IF(ISNA(MATCH(Q$2,EarnListItem,0))=FALSE,IF(OFFSET(Setup!$G$73,MATCH(Q$5,DedListItem,0),0,1,1)="Taxable",SUMPRODUCT((PayEmp=$C13)*(PayDate&lt;=$AC13)*(PayEarnCode=Q$2)*(PayEarnTax)*(PayEarnValues)),SUMPRODUCT((PayEmp=$C13)*(PayDate&lt;=$AC13)*(PayEarnCode=Q$2)*(PayEarnValues)))*IF(COUNTIFS(EmpNo,$C13,OFFSET(Emp!$R$4,1,MATCH(Q$5,DedListItem,0)-1,EmpCount,1),"&lt;&gt;")&gt;0,VLOOKUP($C13,EmpAll,COLUMN(Emp!$R$4)+MATCH(Q$5,DedListItem,0)-1,0),OFFSET(Setup!$E$73,MATCH(Q$5,DedListItem,0),0,1,1)),(MIN(IF(OFFSET(Setup!$G$73,MATCH(Q$5,DedListItem,0),0,1,1)="Taxable",SUMPRODUCT((PayEmp=$C13)*(PayDate&lt;=$AC13)*(ISERROR(SEARCH(PayEarnCode,Q$4)))*(PayEarnTax)*(PayEarnValues)),SUMPRODUCT((PayEmp=$C13)*(PayDate&lt;=$AC13)*(ISERROR(SEARCH(PayEarnCode,Q$4)))*(PayEarnValues))),IF(ISNUMBER(Q$3),Q$3/12*$AA13,IgnoreMin)))*IF(COUNTIFS(EmpNo,$C13,OFFSET(Emp!$R$4,1,MATCH(Q$5,DedListItem,0)-1,EmpCount,1),"&lt;&gt;")&gt;0,VLOOKUP($C13,EmpAll,COLUMN(Emp!$R$4)+MATCH(Q$5,DedListItem,0)-1,0),OFFSET(Setup!$E$73,MATCH(Q$5,DedListItem,0),0,1,1)))-SUMIFS(OFFSET(Q$6,1,0,PayCount,1),PayDate,"&lt;"&amp;$AC13,PayEmp,$C13))))))</f>
        <v>0</v>
      </c>
      <c r="R13" s="133">
        <f t="shared" ca="1" si="1"/>
        <v>3660.2033333333334</v>
      </c>
      <c r="S13" s="133">
        <f t="shared" ca="1" si="2"/>
        <v>21339.8</v>
      </c>
      <c r="T13" s="133" cm="1">
        <f t="array" aca="1" ref="T13" ca="1">IF($F13="Terminated",0,IF($AA13=0,0,IF(ISNA(MATCH(T$5,CompListItem,0)),0,IF(COUNTIFS(OverEmp,$C13,OverComp,T$5,OverDate,"&lt;"&amp;DATE(YEAR($AC13),MONTH($AC13)+1,1),OverEnd,"&gt;="&amp;DATE(YEAR($AC13),MONTH($AC13),1))&gt;0,SUMIFS(OverValue,OverEmp,$C13,OverComp,T$5,OverDate,"&lt;"&amp;DATE(YEAR($AC13),MONTH($AC13)+1,1),OverEnd,"&gt;="&amp;DATE(YEAR($AC13),MONTH($AC13),1)),IF(OR(T$2="Fixed",T$2="Not Used"),(OFFSET(Setup!$E$81,MATCH(T$5,CompListItem,0),0,1,1)*$AA13)-SUMIFS(OFFSET(T$6,1,0,PayCount,1),PayDate,"&lt;"&amp;$AC13,PayEmp,$C13),IF(ISNA(MATCH(T$2,DedListItem,0))=FALSE,(SUMPRODUCT((PayEmp=$C13)*(PayDate&lt;=$AC13)*(PayDedList=T$2)*(PayDedValues))*OFFSET(Setup!$E$81,MATCH(T$5,CompListItem,0),0,1,1))-SUMIFS(OFFSET(T$6,1,0,PayCount,1),PayDate,"&lt;"&amp;$AC13,PayEmp,$C13),(MIN(IF(OFFSET(Setup!$G$81,MATCH(T$5,CompListItem,0),0,1,1)="Taxable",SUMPRODUCT((PayEmp=$C13)*(PayDate&lt;=$AC13)*(ISERROR(SEARCH(PayEarnCode,T$4)))*(PayEarnTax)*(PayEarnValues)),SUMPRODUCT((PayEmp=$C13)*(PayDate&lt;=$AC13)*(ISERROR(SEARCH(PayEarnCode,T$4)))*(PayEarnValues))),IF(ISNUMBER(T$3),T$3/12*$AA13,IgnoreMin)))*OFFSET(Setup!$E$81,MATCH(T$5,CompListItem,0),0,1,1)-SUMIFS(OFFSET(T$6,1,0,PayCount,1),PayDate,"&lt;"&amp;$AC13,PayEmp,$C13)))))))</f>
        <v>177.12</v>
      </c>
      <c r="U13" s="133" cm="1">
        <f t="array" aca="1" ref="U13" ca="1">IF($F13="Terminated",0,IF($AA13=0,0,IF(ISNA(MATCH(U$5,CompListItem,0)),0,IF(COUNTIFS(OverEmp,$C13,OverComp,U$5,OverDate,"&lt;"&amp;DATE(YEAR($AC13),MONTH($AC13)+1,1),OverEnd,"&gt;="&amp;DATE(YEAR($AC13),MONTH($AC13),1))&gt;0,SUMIFS(OverValue,OverEmp,$C13,OverComp,U$5,OverDate,"&lt;"&amp;DATE(YEAR($AC13),MONTH($AC13)+1,1),OverEnd,"&gt;="&amp;DATE(YEAR($AC13),MONTH($AC13),1)),IF(OR(U$2="Fixed",U$2="Not Used"),(OFFSET(Setup!$E$81,MATCH(U$5,CompListItem,0),0,1,1)*$AA13)-SUMIFS(OFFSET(U$6,1,0,PayCount,1),PayDate,"&lt;"&amp;$AC13,PayEmp,$C13),IF(ISNA(MATCH(U$2,DedListItem,0))=FALSE,(SUMPRODUCT((PayEmp=$C13)*(PayDate&lt;=$AC13)*(PayDedList=U$2)*(PayDedValues))*OFFSET(Setup!$E$81,MATCH(U$5,CompListItem,0),0,1,1))-SUMIFS(OFFSET(U$6,1,0,PayCount,1),PayDate,"&lt;"&amp;$AC13,PayEmp,$C13),(MIN(IF(OFFSET(Setup!$G$81,MATCH(U$5,CompListItem,0),0,1,1)="Taxable",SUMPRODUCT((PayEmp=$C13)*(PayDate&lt;=$AC13)*(ISERROR(SEARCH(PayEarnCode,U$4)))*(PayEarnTax)*(PayEarnValues)),SUMPRODUCT((PayEmp=$C13)*(PayDate&lt;=$AC13)*(ISERROR(SEARCH(PayEarnCode,U$4)))*(PayEarnValues))),IF(ISNUMBER(U$3),U$3/12*$AA13,IgnoreMin)))*OFFSET(Setup!$E$81,MATCH(U$5,CompListItem,0),0,1,1)-SUMIFS(OFFSET(U$6,1,0,PayCount,1),PayDate,"&lt;"&amp;$AC13,PayEmp,$C13)))))))</f>
        <v>250</v>
      </c>
      <c r="V13" s="133" cm="1">
        <f t="array" aca="1" ref="V13" ca="1">IF($F13="Terminated",0,IF($AA13=0,0,IF(ISNA(MATCH(V$5,CompListItem,0)),0,IF(COUNTIFS(OverEmp,$C13,OverComp,V$5,OverDate,"&lt;"&amp;DATE(YEAR($AC13),MONTH($AC13)+1,1),OverEnd,"&gt;="&amp;DATE(YEAR($AC13),MONTH($AC13),1))&gt;0,SUMIFS(OverValue,OverEmp,$C13,OverComp,V$5,OverDate,"&lt;"&amp;DATE(YEAR($AC13),MONTH($AC13)+1,1),OverEnd,"&gt;="&amp;DATE(YEAR($AC13),MONTH($AC13),1)),IF(OR(V$2="Fixed",V$2="Not Used"),(OFFSET(Setup!$E$81,MATCH(V$5,CompListItem,0),0,1,1)*$AA13)-SUMIFS(OFFSET(V$6,1,0,PayCount,1),PayDate,"&lt;"&amp;$AC13,PayEmp,$C13),IF(ISNA(MATCH(V$2,DedListItem,0))=FALSE,(SUMPRODUCT((PayEmp=$C13)*(PayDate&lt;=$AC13)*(PayDedList=V$2)*(PayDedValues))*OFFSET(Setup!$E$81,MATCH(V$5,CompListItem,0),0,1,1))-SUMIFS(OFFSET(V$6,1,0,PayCount,1),PayDate,"&lt;"&amp;$AC13,PayEmp,$C13),(MIN(IF(OFFSET(Setup!$G$81,MATCH(V$5,CompListItem,0),0,1,1)="Taxable",SUMPRODUCT((PayEmp=$C13)*(PayDate&lt;=$AC13)*(ISERROR(SEARCH(PayEarnCode,V$4)))*(PayEarnTax)*(PayEarnValues)),SUMPRODUCT((PayEmp=$C13)*(PayDate&lt;=$AC13)*(ISERROR(SEARCH(PayEarnCode,V$4)))*(PayEarnValues))),IF(ISNUMBER(V$3),V$3/12*$AA13,IgnoreMin)))*OFFSET(Setup!$E$81,MATCH(V$5,CompListItem,0),0,1,1)-SUMIFS(OFFSET(V$6,1,0,PayCount,1),PayDate,"&lt;"&amp;$AC13,PayEmp,$C13)))))))</f>
        <v>0</v>
      </c>
      <c r="W13" s="133" cm="1">
        <f t="array" aca="1" ref="W13" ca="1">IF($F13="Terminated",0,IF($AA13=0,0,IF(ISNA(MATCH(W$5,CompListItem,0)),0,IF(COUNTIFS(OverEmp,$C13,OverComp,W$5,OverDate,"&lt;"&amp;DATE(YEAR($AC13),MONTH($AC13)+1,1),OverEnd,"&gt;="&amp;DATE(YEAR($AC13),MONTH($AC13),1))&gt;0,SUMIFS(OverValue,OverEmp,$C13,OverComp,W$5,OverDate,"&lt;"&amp;DATE(YEAR($AC13),MONTH($AC13)+1,1),OverEnd,"&gt;="&amp;DATE(YEAR($AC13),MONTH($AC13),1)),IF(OR(W$2="Fixed",W$2="Not Used"),(OFFSET(Setup!$E$81,MATCH(W$5,CompListItem,0),0,1,1)*$AA13)-SUMIFS(OFFSET(W$6,1,0,PayCount,1),PayDate,"&lt;"&amp;$AC13,PayEmp,$C13),IF(ISNA(MATCH(W$2,DedListItem,0))=FALSE,(SUMPRODUCT((PayEmp=$C13)*(PayDate&lt;=$AC13)*(PayDedList=W$2)*(PayDedValues))*OFFSET(Setup!$E$81,MATCH(W$5,CompListItem,0),0,1,1))-SUMIFS(OFFSET(W$6,1,0,PayCount,1),PayDate,"&lt;"&amp;$AC13,PayEmp,$C13),(MIN(IF(OFFSET(Setup!$G$81,MATCH(W$5,CompListItem,0),0,1,1)="Taxable",SUMPRODUCT((PayEmp=$C13)*(PayDate&lt;=$AC13)*(ISERROR(SEARCH(PayEarnCode,W$4)))*(PayEarnTax)*(PayEarnValues)),SUMPRODUCT((PayEmp=$C13)*(PayDate&lt;=$AC13)*(ISERROR(SEARCH(PayEarnCode,W$4)))*(PayEarnValues))),IF(ISNUMBER(W$3),W$3/12*$AA13,IgnoreMin)))*OFFSET(Setup!$E$81,MATCH(W$5,CompListItem,0),0,1,1)-SUMIFS(OFFSET(W$6,1,0,PayCount,1),PayDate,"&lt;"&amp;$AC13,PayEmp,$C13)))))))</f>
        <v>0</v>
      </c>
      <c r="X13" s="133">
        <f t="shared" ca="1" si="3"/>
        <v>427.12</v>
      </c>
      <c r="Y13" s="133">
        <f t="shared" ca="1" si="4"/>
        <v>25427.119999999999</v>
      </c>
      <c r="Z13" s="133">
        <f t="shared" ca="1" si="5"/>
        <v>4087.32</v>
      </c>
      <c r="AA13" s="183">
        <f ca="1">IF(OR($B13&lt;=Setup!$E$12,$B13&gt;=Setup!$D$12+1),0,IF($F13&lt;&gt;"Active",0,IF($AE13="Yes",$AB13,((YEAR($AC13)*12)+MONTH($AC13))-((YEAR($AD13)*12)+MONTH($AD13)-1))))</f>
        <v>1</v>
      </c>
      <c r="AB13" s="183">
        <f ca="1">IF(OR($B13&lt;=Setup!$E$12,$B13&gt;=Setup!$D$12+1),0,((YEAR($AC13)*12)+MONTH($AC13))-((YEAR(Setup!$E$12)*12)+MONTH(Setup!$E$12)))</f>
        <v>1</v>
      </c>
      <c r="AC13" s="129">
        <f t="shared" ca="1" si="6"/>
        <v>45010</v>
      </c>
      <c r="AD13" s="184">
        <f ca="1">IF(ISNA(VLOOKUP($C13,EmpAll,COLUMN(Emp!$E$4),0)),$AC13,IF(VLOOKUP($C13,EmpAll,COLUMN(Emp!$E$4),0)&lt;=Setup!$E$12,DATE(YEAR(Setup!$E$12),MONTH(Setup!$E$12)+1,1),VLOOKUP($C13,EmpAll,COLUMN(Emp!$E$4),0)))</f>
        <v>44986</v>
      </c>
      <c r="AE13" s="184" t="str">
        <f ca="1">IF(ISNA(VLOOKUP($C13,EmpAll,COLUMN(Emp!$G$1),0)),"-",IF(VLOOKUP($C13,EmpAll,COLUMN(Emp!$G$1),0)=0,"-",VLOOKUP($C13,EmpAll,COLUMN(Emp!$G$1),0)))</f>
        <v>-</v>
      </c>
      <c r="AF13" s="130">
        <f ca="1">IF(A13=PaySlip!$G$3,1,0)</f>
        <v>0</v>
      </c>
      <c r="AG13" s="130" cm="1">
        <f t="array" aca="1" ref="AG13" ca="1">IF(COUNTIFS(OverEmp,$C13,OverMed,"MED",OverDate,"&lt;"&amp;DATE(YEAR($AC13),MONTH($AC13)+1,1),OverEnd,"&gt;="&amp;DATE(YEAR($AC13),MONTH($AC13),1))&gt;0,SUMIFS(OverValue,OverEmp,$C13,OverMed,"MED",OverDate,"&lt;"&amp;DATE(YEAR($AC13),MONTH($AC13)+1,1),OverEnd,"&gt;="&amp;DATE(YEAR($AC13),MONTH($AC13),1)),IF(ISNA(VLOOKUP($C13,EmpAll,COLUMN(Emp!$N$4),0)),0,VLOOKUP($C13,EmpAll,COLUMN(Emp!$N$4),0)))</f>
        <v>0</v>
      </c>
      <c r="AH13" s="183">
        <f ca="1">VLOOKUP($AG13,MedList,COLUMN(Setup!$C$49),1)</f>
        <v>0</v>
      </c>
      <c r="AI13" s="183">
        <f t="shared" ca="1" si="7"/>
        <v>0</v>
      </c>
      <c r="AJ13" s="101" t="str">
        <f ca="1">IF(ISNA(VLOOKUP($C13,EmpAll,COLUMN(Emp!$L$4),0)),"None!",VLOOKUP($C13,EmpAll,COLUMN(Emp!$L$4),0))</f>
        <v>A</v>
      </c>
      <c r="AK13" s="147">
        <f t="shared" ca="1" si="8"/>
        <v>17235</v>
      </c>
      <c r="AL13" s="101" t="str">
        <f ca="1">IF(ISNA(VLOOKUP($C13,Employees[],COLUMN(Emp!$M$4),0))=TRUE,"Error!",IF(VLOOKUP($C13,Employees[],COLUMN(Emp!$M$4),0)=0,"Yes",VLOOKUP($C13,Employees[],COLUMN(Emp!$M$4),0)))</f>
        <v>A</v>
      </c>
      <c r="AM13" s="148">
        <f t="shared" ca="1" si="9"/>
        <v>300000</v>
      </c>
      <c r="AN13" s="148" cm="1">
        <f t="array" aca="1" ref="AN13" ca="1">-IF($F13="Terminated",0,IF($AA13=0,0,IF(ISNA(MATCH(AN$5,PayDedList,0)),0,MIN(IF(COUNTIFS(OverEmp,$C13,OverDeduct,AN$5,OverDate,"&lt;"&amp;DATE(YEAR($AC13),MONTH($AC13)+1,1),OverEnd,"&gt;="&amp;DATE(YEAR($AC13),MONTH($AC13),1))&gt;0,SUMPRODUCT((PayEmp=$C13)*(PayDate&lt;=$AC13)*(OFFSET($N$6,1,MATCH(AN$5,PayDedList,0)-1,PayCount,1)))/$AA13*12*AN$3,IF(OR(AN$1="Fixed",AN$1="Not Used"),SUMPRODUCT((PayEmp=$C13)*(PayDate&lt;=$AC13)*(OFFSET($N$6,1,MATCH(AN$5,PayDedList,0)-1,PayCount,1)))/$AA13*12*AN$3,IF(ISNA(MATCH(AN$1,EarnListItem,0))=FALSE,SUMPRODUCT((PayEmp=$C13)*(PayDate&lt;=$AC13)*(OFFSET($N$6,1,MATCH(AN$5,PayDedList,0)-1,PayCount,1)))/$AA13*12*AN$3,(MIN(((SUMPRODUCT((PayEmp=$C13)*(PayDate&lt;=$AC13)*(ISERROR(SEARCH(PayEarnCode,AN$2)))*(PayEarnType="Monthly")*(PayEarnValues))/$AA13*12)+(SUMPRODUCT((PayEmp=$C13)*(PayDate&lt;=$AC13)*(ISERROR(SEARCH(PayEarnCode,AN$2)))*(PayEarnType="Quarterly")*(PayEarnValues))/MAX(1,ROUNDDOWN($AB13/3,0))*4)+(SUMPRODUCT((PayEmp=$C13)*(PayDate&lt;=$AC13)*(ISERROR(SEARCH(PayEarnCode,AN$2)))*(PayEarnType="Bi-Annual")*(PayEarnValues))/MAX(1,ROUNDDOWN($AB13/6,0))*2)+(SUMPRODUCT((PayEmp=$C13)*(PayDate&lt;=$AC13)*(ISERROR(SEARCH(PayEarnCode,AN$2)))*(PayEarnType="Annual")*(PayEarnValues)))),IF(ISNUMBER(OFFSET($N$3,0,MATCH(AN$5,PayDedList,0)-1,1,1)),OFFSET($N$3,0,MATCH(AN$5,PayDedList,0)-1,1,1),IgnoreMin)))*IF(COUNTIFS(EmpNo,$C13,OFFSET(Emp!$R$4,1,MATCH(AN$5,DedListItem,0)-1,EmpCount,1),"&lt;&gt;")&gt;0,VLOOKUP($C13,EmpAll,COLUMN(Emp!$R$4)+MATCH(AN$5,DedListItem,0)-1,0),OFFSET(Setup!$E$73,MATCH(AN$5,DedListItem,0),0,1,1))*AN$3))),IF(ISNUMBER(AN$4),AN$4,IgnoreMin)))))</f>
        <v>0</v>
      </c>
      <c r="AO13" s="148" cm="1">
        <f t="array" aca="1" ref="AO13" ca="1">-IF($F13="Terminated",0,IF($AA13=0,0,IF(ISNA(MATCH(AO$5,PayDedList,0)),0,MIN(IF(COUNTIFS(OverEmp,$C13,OverDeduct,AO$5,OverDate,"&lt;"&amp;DATE(YEAR($AC13),MONTH($AC13)+1,1),OverEnd,"&gt;="&amp;DATE(YEAR($AC13),MONTH($AC13),1))&gt;0,SUMPRODUCT((PayEmp=$C13)*(PayDate&lt;=$AC13)*(OFFSET($N$6,1,MATCH(AO$5,PayDedList,0)-1,PayCount,1)))/$AA13*12*AO$3,IF(OR(AO$1="Fixed",AO$1="Not Used"),SUMPRODUCT((PayEmp=$C13)*(PayDate&lt;=$AC13)*(OFFSET($N$6,1,MATCH(AO$5,PayDedList,0)-1,PayCount,1)))/$AA13*12*AO$3,IF(ISNA(MATCH(AO$1,EarnListItem,0))=FALSE,SUMPRODUCT((PayEmp=$C13)*(PayDate&lt;=$AC13)*(OFFSET($N$6,1,MATCH(AO$5,PayDedList,0)-1,PayCount,1)))/$AA13*12*AO$3,(MIN(((SUMPRODUCT((PayEmp=$C13)*(PayDate&lt;=$AC13)*(ISERROR(SEARCH(PayEarnCode,AO$2)))*(PayEarnType="Monthly")*(PayEarnValues))/$AA13*12)+(SUMPRODUCT((PayEmp=$C13)*(PayDate&lt;=$AC13)*(ISERROR(SEARCH(PayEarnCode,AO$2)))*(PayEarnType="Quarterly")*(PayEarnValues))/MAX(1,ROUNDDOWN($AB13/3,0))*4)+(SUMPRODUCT((PayEmp=$C13)*(PayDate&lt;=$AC13)*(ISERROR(SEARCH(PayEarnCode,AO$2)))*(PayEarnType="Bi-Annual")*(PayEarnValues))/MAX(1,ROUNDDOWN($AB13/6,0))*2)+(SUMPRODUCT((PayEmp=$C13)*(PayDate&lt;=$AC13)*(ISERROR(SEARCH(PayEarnCode,AO$2)))*(PayEarnType="Annual")*(PayEarnValues)))),IF(ISNUMBER(OFFSET($N$3,0,MATCH(AO$5,PayDedList,0)-1,1,1)),OFFSET($N$3,0,MATCH(AO$5,PayDedList,0)-1,1,1),IgnoreMin)))*IF(COUNTIFS(EmpNo,$C13,OFFSET(Emp!$R$4,1,MATCH(AO$5,DedListItem,0)-1,EmpCount,1),"&lt;&gt;")&gt;0,VLOOKUP($C13,EmpAll,COLUMN(Emp!$R$4)+MATCH(AO$5,DedListItem,0)-1,0),OFFSET(Setup!$E$73,MATCH(AO$5,DedListItem,0),0,1,1))*AO$3))),IF(ISNUMBER(AO$4),AO$4,IgnoreMin)))))</f>
        <v>0</v>
      </c>
      <c r="AP13" s="148" cm="1">
        <f t="array" aca="1" ref="AP13" ca="1">-IF($F13="Terminated",0,IF($AA13=0,0,IF(ISNA(MATCH(AP$5,PayDedList,0)),0,MIN(IF(COUNTIFS(OverEmp,$C13,OverDeduct,AP$5,OverDate,"&lt;"&amp;DATE(YEAR($AC13),MONTH($AC13)+1,1),OverEnd,"&gt;="&amp;DATE(YEAR($AC13),MONTH($AC13),1))&gt;0,SUMPRODUCT((PayEmp=$C13)*(PayDate&lt;=$AC13)*(OFFSET($N$6,1,MATCH(AP$5,PayDedList,0)-1,PayCount,1)))/$AA13*12*AP$3,IF(OR(AP$1="Fixed",AP$1="Not Used"),SUMPRODUCT((PayEmp=$C13)*(PayDate&lt;=$AC13)*(OFFSET($N$6,1,MATCH(AP$5,PayDedList,0)-1,PayCount,1)))/$AA13*12*AP$3,IF(ISNA(MATCH(AP$1,EarnListItem,0))=FALSE,SUMPRODUCT((PayEmp=$C13)*(PayDate&lt;=$AC13)*(OFFSET($N$6,1,MATCH(AP$5,PayDedList,0)-1,PayCount,1)))/$AA13*12*AP$3,(MIN(((SUMPRODUCT((PayEmp=$C13)*(PayDate&lt;=$AC13)*(ISERROR(SEARCH(PayEarnCode,AP$2)))*(PayEarnType="Monthly")*(PayEarnValues))/$AA13*12)+(SUMPRODUCT((PayEmp=$C13)*(PayDate&lt;=$AC13)*(ISERROR(SEARCH(PayEarnCode,AP$2)))*(PayEarnType="Quarterly")*(PayEarnValues))/MAX(1,ROUNDDOWN($AB13/3,0))*4)+(SUMPRODUCT((PayEmp=$C13)*(PayDate&lt;=$AC13)*(ISERROR(SEARCH(PayEarnCode,AP$2)))*(PayEarnType="Bi-Annual")*(PayEarnValues))/MAX(1,ROUNDDOWN($AB13/6,0))*2)+(SUMPRODUCT((PayEmp=$C13)*(PayDate&lt;=$AC13)*(ISERROR(SEARCH(PayEarnCode,AP$2)))*(PayEarnType="Annual")*(PayEarnValues)))),IF(ISNUMBER(OFFSET($N$3,0,MATCH(AP$5,PayDedList,0)-1,1,1)),OFFSET($N$3,0,MATCH(AP$5,PayDedList,0)-1,1,1),IgnoreMin)))*IF(COUNTIFS(EmpNo,$C13,OFFSET(Emp!$R$4,1,MATCH(AP$5,DedListItem,0)-1,EmpCount,1),"&lt;&gt;")&gt;0,VLOOKUP($C13,EmpAll,COLUMN(Emp!$R$4)+MATCH(AP$5,DedListItem,0)-1,0),OFFSET(Setup!$E$73,MATCH(AP$5,DedListItem,0),0,1,1))*AP$3))),IF(ISNUMBER(AP$4),AP$4,IgnoreMin)))))</f>
        <v>0</v>
      </c>
      <c r="AQ13" s="148" cm="1">
        <f t="array" aca="1" ref="AQ13" ca="1">-IF($F13="Terminated",0,IF($AA13=0,0,IF(ISNA(MATCH(AQ$5,PayDedList,0)),0,MIN(IF(COUNTIFS(OverEmp,$C13,OverDeduct,AQ$5,OverDate,"&lt;"&amp;DATE(YEAR($AC13),MONTH($AC13)+1,1),OverEnd,"&gt;="&amp;DATE(YEAR($AC13),MONTH($AC13),1))&gt;0,SUMPRODUCT((PayEmp=$C13)*(PayDate&lt;=$AC13)*(OFFSET($N$6,1,MATCH(AQ$5,PayDedList,0)-1,PayCount,1)))/$AA13*12*AQ$3,IF(OR(AQ$1="Fixed",AQ$1="Not Used"),SUMPRODUCT((PayEmp=$C13)*(PayDate&lt;=$AC13)*(OFFSET($N$6,1,MATCH(AQ$5,PayDedList,0)-1,PayCount,1)))/$AA13*12*AQ$3,IF(ISNA(MATCH(AQ$1,EarnListItem,0))=FALSE,SUMPRODUCT((PayEmp=$C13)*(PayDate&lt;=$AC13)*(OFFSET($N$6,1,MATCH(AQ$5,PayDedList,0)-1,PayCount,1)))/$AA13*12*AQ$3,(MIN(((SUMPRODUCT((PayEmp=$C13)*(PayDate&lt;=$AC13)*(ISERROR(SEARCH(PayEarnCode,AQ$2)))*(PayEarnType="Monthly")*(PayEarnValues))/$AA13*12)+(SUMPRODUCT((PayEmp=$C13)*(PayDate&lt;=$AC13)*(ISERROR(SEARCH(PayEarnCode,AQ$2)))*(PayEarnType="Quarterly")*(PayEarnValues))/MAX(1,ROUNDDOWN($AB13/3,0))*4)+(SUMPRODUCT((PayEmp=$C13)*(PayDate&lt;=$AC13)*(ISERROR(SEARCH(PayEarnCode,AQ$2)))*(PayEarnType="Bi-Annual")*(PayEarnValues))/MAX(1,ROUNDDOWN($AB13/6,0))*2)+(SUMPRODUCT((PayEmp=$C13)*(PayDate&lt;=$AC13)*(ISERROR(SEARCH(PayEarnCode,AQ$2)))*(PayEarnType="Annual")*(PayEarnValues)))),IF(ISNUMBER(OFFSET($N$3,0,MATCH(AQ$5,PayDedList,0)-1,1,1)),OFFSET($N$3,0,MATCH(AQ$5,PayDedList,0)-1,1,1),IgnoreMin)))*IF(COUNTIFS(EmpNo,$C13,OFFSET(Emp!$R$4,1,MATCH(AQ$5,DedListItem,0)-1,EmpCount,1),"&lt;&gt;")&gt;0,VLOOKUP($C13,EmpAll,COLUMN(Emp!$R$4)+MATCH(AQ$5,DedListItem,0)-1,0),OFFSET(Setup!$E$73,MATCH(AQ$5,DedListItem,0),0,1,1))*AQ$3))),IF(ISNUMBER(AQ$4),AQ$4,IgnoreMin)))))</f>
        <v>0</v>
      </c>
      <c r="AR13" s="148">
        <f t="shared" ca="1" si="10"/>
        <v>300000</v>
      </c>
      <c r="AS13" s="148">
        <f t="shared" ca="1" si="11"/>
        <v>300000</v>
      </c>
      <c r="AT13" s="148" cm="1">
        <f t="array" aca="1" ref="AT13" ca="1">-IF($F13="Terminated",0,IF($AA13=0,0,IF(ISNA(MATCH(AT$5,PayDedList,0)),0,MIN(IF(COUNTIFS(OverEmp,$C13,OverDeduct,AT$5,OverDate,"&lt;"&amp;DATE(YEAR($AC13),MONTH($AC13)+1,1),OverEnd,"&gt;="&amp;DATE(YEAR($AC13),MONTH($AC13),1))&gt;0,SUMPRODUCT((PayEmp=$C13)*(PayDate&lt;=$AC13)*(OFFSET($N$6,1,MATCH(AT$5,PayDedList,0)-1,PayCount,1)))/$AA13*12*AT$3,IF(OR(AT$1="Fixed",AT$1="Not Used"),SUMPRODUCT((PayEmp=$C13)*(PayDate&lt;=$AC13)*(OFFSET($N$6,1,MATCH(AT$5,PayDedList,0)-1,PayCount,1)))/$AA13*12*AT$3,IF(ISNA(MATCH(OFFSET($N$2,0,MATCH(AT$5,PayDedList,0)-1,1,1),EarnListItem,0))=FALSE,SUMPRODUCT((PayEmp=$C13)*(PayDate&lt;=$AC13)*(OFFSET($N$6,1,MATCH(AT$5,PayDedList,0)-1,PayCount,1)))/$AA13*12*AT$3,(MIN(SUMPRODUCT((PayEmp=$C13)*(PayDate&lt;=$AC13)*(ISERROR(SEARCH(PayEarnCode,AT$2)))*(PayEarnType="Monthly")*(PayEarnValues))/$AA13*12,IF(ISNUMBER(OFFSET($N$3,0,MATCH(AT$5,PayDedList,0)-1,1,1)),OFFSET($N$3,0,MATCH(AT$5,PayDedList,0)-1,1,1),IgnoreMin)))*IF(COUNTIFS(EmpNo,$C13,OFFSET(Emp!$R$4,1,MATCH(AT$5,DedListItem,0)-1,EmpCount,1),"&lt;&gt;")&gt;0,VLOOKUP($C13,EmpAll,COLUMN(Emp!$R$4)+MATCH(AT$5,DedListItem,0)-1,0),OFFSET(Setup!$E$73,MATCH(AT$5,DedListItem,0),0,1,1))*AT$3))),IF(ISNUMBER(AT$4),AT$4,IgnoreMin)))))</f>
        <v>0</v>
      </c>
      <c r="AU13" s="148" cm="1">
        <f t="array" aca="1" ref="AU13" ca="1">-IF($F13="Terminated",0,IF($AA13=0,0,IF(ISNA(MATCH(AU$5,PayDedList,0)),0,MIN(IF(COUNTIFS(OverEmp,$C13,OverDeduct,AU$5,OverDate,"&lt;"&amp;DATE(YEAR($AC13),MONTH($AC13)+1,1),OverEnd,"&gt;="&amp;DATE(YEAR($AC13),MONTH($AC13),1))&gt;0,SUMPRODUCT((PayEmp=$C13)*(PayDate&lt;=$AC13)*(OFFSET($N$6,1,MATCH(AU$5,PayDedList,0)-1,PayCount,1)))/$AA13*12*AU$3,IF(OR(AU$1="Fixed",AU$1="Not Used"),SUMPRODUCT((PayEmp=$C13)*(PayDate&lt;=$AC13)*(OFFSET($N$6,1,MATCH(AU$5,PayDedList,0)-1,PayCount,1)))/$AA13*12*AU$3,IF(ISNA(MATCH(OFFSET($N$2,0,MATCH(AU$5,PayDedList,0)-1,1,1),EarnListItem,0))=FALSE,SUMPRODUCT((PayEmp=$C13)*(PayDate&lt;=$AC13)*(OFFSET($N$6,1,MATCH(AU$5,PayDedList,0)-1,PayCount,1)))/$AA13*12*AU$3,(MIN(SUMPRODUCT((PayEmp=$C13)*(PayDate&lt;=$AC13)*(ISERROR(SEARCH(PayEarnCode,AU$2)))*(PayEarnType="Monthly")*(PayEarnValues))/$AA13*12,IF(ISNUMBER(OFFSET($N$3,0,MATCH(AU$5,PayDedList,0)-1,1,1)),OFFSET($N$3,0,MATCH(AU$5,PayDedList,0)-1,1,1),IgnoreMin)))*IF(COUNTIFS(EmpNo,$C13,OFFSET(Emp!$R$4,1,MATCH(AU$5,DedListItem,0)-1,EmpCount,1),"&lt;&gt;")&gt;0,VLOOKUP($C13,EmpAll,COLUMN(Emp!$R$4)+MATCH(AU$5,DedListItem,0)-1,0),OFFSET(Setup!$E$73,MATCH(AU$5,DedListItem,0),0,1,1))*AU$3))),IF(ISNUMBER(AU$4),AU$4,IgnoreMin)))))</f>
        <v>0</v>
      </c>
      <c r="AV13" s="148" cm="1">
        <f t="array" aca="1" ref="AV13" ca="1">-IF($F13="Terminated",0,IF($AA13=0,0,IF(ISNA(MATCH(AV$5,PayDedList,0)),0,MIN(IF(COUNTIFS(OverEmp,$C13,OverDeduct,AV$5,OverDate,"&lt;"&amp;DATE(YEAR($AC13),MONTH($AC13)+1,1),OverEnd,"&gt;="&amp;DATE(YEAR($AC13),MONTH($AC13),1))&gt;0,SUMPRODUCT((PayEmp=$C13)*(PayDate&lt;=$AC13)*(OFFSET($N$6,1,MATCH(AV$5,PayDedList,0)-1,PayCount,1)))/$AA13*12*AV$3,IF(OR(AV$1="Fixed",AV$1="Not Used"),SUMPRODUCT((PayEmp=$C13)*(PayDate&lt;=$AC13)*(OFFSET($N$6,1,MATCH(AV$5,PayDedList,0)-1,PayCount,1)))/$AA13*12*AV$3,IF(ISNA(MATCH(OFFSET($N$2,0,MATCH(AV$5,PayDedList,0)-1,1,1),EarnListItem,0))=FALSE,SUMPRODUCT((PayEmp=$C13)*(PayDate&lt;=$AC13)*(OFFSET($N$6,1,MATCH(AV$5,PayDedList,0)-1,PayCount,1)))/$AA13*12*AV$3,(MIN(SUMPRODUCT((PayEmp=$C13)*(PayDate&lt;=$AC13)*(ISERROR(SEARCH(PayEarnCode,AV$2)))*(PayEarnType="Monthly")*(PayEarnValues))/$AA13*12,IF(ISNUMBER(OFFSET($N$3,0,MATCH(AV$5,PayDedList,0)-1,1,1)),OFFSET($N$3,0,MATCH(AV$5,PayDedList,0)-1,1,1),IgnoreMin)))*IF(COUNTIFS(EmpNo,$C13,OFFSET(Emp!$R$4,1,MATCH(AV$5,DedListItem,0)-1,EmpCount,1),"&lt;&gt;")&gt;0,VLOOKUP($C13,EmpAll,COLUMN(Emp!$R$4)+MATCH(AV$5,DedListItem,0)-1,0),OFFSET(Setup!$E$73,MATCH(AV$5,DedListItem,0),0,1,1))*AV$3))),IF(ISNUMBER(AV$4),AV$4,IgnoreMin)))))</f>
        <v>0</v>
      </c>
      <c r="AW13" s="148" cm="1">
        <f t="array" aca="1" ref="AW13" ca="1">-IF($F13="Terminated",0,IF($AA13=0,0,IF(ISNA(MATCH(AW$5,PayDedList,0)),0,MIN(IF(COUNTIFS(OverEmp,$C13,OverDeduct,AW$5,OverDate,"&lt;"&amp;DATE(YEAR($AC13),MONTH($AC13)+1,1),OverEnd,"&gt;="&amp;DATE(YEAR($AC13),MONTH($AC13),1))&gt;0,SUMPRODUCT((PayEmp=$C13)*(PayDate&lt;=$AC13)*(OFFSET($N$6,1,MATCH(AW$5,PayDedList,0)-1,PayCount,1)))/$AA13*12*AW$3,IF(OR(AW$1="Fixed",AW$1="Not Used"),SUMPRODUCT((PayEmp=$C13)*(PayDate&lt;=$AC13)*(OFFSET($N$6,1,MATCH(AW$5,PayDedList,0)-1,PayCount,1)))/$AA13*12*AW$3,IF(ISNA(MATCH(OFFSET($N$2,0,MATCH(AW$5,PayDedList,0)-1,1,1),EarnListItem,0))=FALSE,SUMPRODUCT((PayEmp=$C13)*(PayDate&lt;=$AC13)*(OFFSET($N$6,1,MATCH(AW$5,PayDedList,0)-1,PayCount,1)))/$AA13*12*AW$3,(MIN(SUMPRODUCT((PayEmp=$C13)*(PayDate&lt;=$AC13)*(ISERROR(SEARCH(PayEarnCode,AW$2)))*(PayEarnType="Monthly")*(PayEarnValues))/$AA13*12,IF(ISNUMBER(OFFSET($N$3,0,MATCH(AW$5,PayDedList,0)-1,1,1)),OFFSET($N$3,0,MATCH(AW$5,PayDedList,0)-1,1,1),IgnoreMin)))*IF(COUNTIFS(EmpNo,$C13,OFFSET(Emp!$R$4,1,MATCH(AW$5,DedListItem,0)-1,EmpCount,1),"&lt;&gt;")&gt;0,VLOOKUP($C13,EmpAll,COLUMN(Emp!$R$4)+MATCH(AW$5,DedListItem,0)-1,0),OFFSET(Setup!$E$73,MATCH(AW$5,DedListItem,0),0,1,1))*AW$3))),IF(ISNUMBER(AW$4),AW$4,IgnoreMin)))))</f>
        <v>0</v>
      </c>
      <c r="AX13" s="148">
        <f t="shared" ca="1" si="12"/>
        <v>300000</v>
      </c>
      <c r="AY13" s="148">
        <f t="shared" ca="1" si="13"/>
        <v>0</v>
      </c>
      <c r="AZ13" s="148">
        <f ca="1">IF(ISNUMBER($AL13),($AR13*$AL13)-$AI13-$AK13,MAX(0,IF($AL13="B",IF($AR13&lt;Setup!$C$32,($AR13*Setup!$D$32)-$AI13-$AK13,(($AR13-VLOOKUP($AR13,TaxAll2,1,1))*OFFSET(Setup!$D$32,MATCH($AR13,TaxBracket2,1),0,1,1))+OFFSET(Setup!$E$31,MATCH($AR13,TaxBracket2,1),0,1,1)-$AI13-$AK13),IF($AR13&lt;Setup!$C$21,($AR13*Setup!$D$21)-$AI13-$AK13,(($AR13-VLOOKUP($AR13,TaxAll1,1,1))*OFFSET(Setup!$D$21,MATCH($AR13,TaxBracket1,1),0,1,1))+OFFSET(Setup!$E$20,MATCH($AR13,TaxBracket1,1),0,1,1)-$AI13-$AK13))))</f>
        <v>41797</v>
      </c>
      <c r="BA13" s="148">
        <f ca="1">IF(ISNUMBER($AL13),($AX13*$AL13)-$AI13-$AK13,MAX(0,IF($AL13="B",IF($AX13&lt;Setup!$C$32,($AX13*Setup!$D$32)-$AI13-$AK13,(($AX13-VLOOKUP($AX13,TaxAll2,1,1))*OFFSET(Setup!$D$32,MATCH($AX13,TaxBracket2,1),0,1,1))+OFFSET(Setup!$E$31,MATCH($AX13,TaxBracket2,1),0,1,1)-$AI13-$AK13),IF($AX13&lt;Setup!$C$21,($AX13*Setup!$D$21)-$AI13-$AK13,(($AX13-VLOOKUP($AX13,TaxAll1,1,1))*OFFSET(Setup!$D$21,MATCH($AX13,TaxBracket1,1),0,1,1))+OFFSET(Setup!$E$20,MATCH($AX13,TaxBracket1,1),0,1,1)-$AI13-$AK13))))</f>
        <v>41797</v>
      </c>
      <c r="BB13" s="148">
        <f t="shared" ca="1" si="14"/>
        <v>0</v>
      </c>
      <c r="BC13" s="150">
        <f t="shared" ca="1" si="15"/>
        <v>1</v>
      </c>
      <c r="BD13" s="150">
        <f t="shared" ca="1" si="16"/>
        <v>0</v>
      </c>
      <c r="BE13" s="148">
        <f t="shared" ca="1" si="17"/>
        <v>300000</v>
      </c>
    </row>
    <row r="14" spans="1:57" ht="16.149999999999999" customHeight="1" x14ac:dyDescent="0.25">
      <c r="A14" s="9" t="str" cm="1">
        <f t="array" aca="1" ref="A14" ca="1">IF(ROW($A14)-ROW($A$6)&gt;EmpCount*12,"-",TEXT($B14,"yyyy")&amp;TEXT($B14,"mm")&amp;"-"&amp;$C14)</f>
        <v>202303-EXS008</v>
      </c>
      <c r="B14" s="129" cm="1">
        <f t="array" aca="1" ref="B14" ca="1">IF(ROW($A14)-ROW($A$6)&gt;EmpCount*12,Setup!$D$12,DATE(YEAR(Setup!$F$12),MONTH(Setup!$F$12)+ROUNDDOWN((ROW($A14)-ROW($A$6)-1)/EmpCount,0),IF(Setup!$C$14&gt;DAY(DATE(YEAR(Setup!$F$12),MONTH(Setup!$F$12)+ROUNDDOWN((ROW($A14)-ROW($A$6)-1)/EmpCount,0)+1,0)),DAY(DATE(YEAR(Setup!$F$12),MONTH(Setup!$F$12)+ROUNDDOWN((ROW($A14)-ROW($A$6)-1)/EmpCount,0)+1,0)),Setup!$C$14)))</f>
        <v>45010</v>
      </c>
      <c r="C14" s="130" t="str" cm="1">
        <f t="array" aca="1" ref="C14" ca="1">IF(ROW($A14)-ROW($A$6)&gt;EmpCount*12,"-",OFFSET(Emp!$A$4,ROW($A14)-ROW($A$6)-IF(ROW($A14)-ROW($A$6)&gt;EmpCount,ROUNDDOWN((ROW($A14)-ROW($A$6)-1)/EmpCount,0)*EmpCount,0),0,1,1))</f>
        <v>EXS008</v>
      </c>
      <c r="D14" s="9" t="str">
        <f ca="1">IF(ISNA(VLOOKUP($C14,EmpAll,COLUMN(Emp!$B$4),0)),"-",VLOOKUP($C14,EmpAll,COLUMN(Emp!$B$4),0))</f>
        <v>Matthews B</v>
      </c>
      <c r="E14" s="130" t="str">
        <f ca="1">IF(ISNA(VLOOKUP($C14,EmpAll,COLUMN(Emp!$C$4),0)),"-",VLOOKUP($C14,EmpAll,COLUMN(Emp!$C$4),0))</f>
        <v>A</v>
      </c>
      <c r="F14" s="130" t="str">
        <f ca="1">IF(ISNA(VLOOKUP($C14,EmpAll,COLUMN(Emp!$A$4),0)),"-",IF(AND(VLOOKUP($C14,EmpAll,COLUMN(Emp!$E$4),0)&lt;&gt;0,VLOOKUP($C14,EmpAll,COLUMN(Emp!$E$4),0)&gt;=DATE(YEAR($AC14),MONTH($AC14)+1,0)),"Inactive",IF(AND(VLOOKUP($C14,EmpAll,COLUMN(Emp!$F$4),0)&lt;&gt;0,VLOOKUP($C14,EmpAll,COLUMN(Emp!$F$4),0)&lt;=DATE(YEAR($AC14),MONTH($AC14),0)),"Terminated","Active")))</f>
        <v>Active</v>
      </c>
      <c r="G14" s="133" cm="1">
        <f t="array" aca="1" ref="G14" ca="1">IF($F14&lt;&gt;"Active",0,IF(COUNTIFS(OverEmp,$C14,OverEarn,G$2,OverDate,"&lt;"&amp;DATE(YEAR($AC14),MONTH($AC14)+1,1),OverEnd,"&gt;="&amp;DATE(YEAR($AC14),MONTH($AC14),1))&gt;0,SUMIFS(OverValue,OverEmp,$C14,OverEarn,G$2,OverDate,"&lt;"&amp;DATE(YEAR($AC14),MONTH($AC14)+1,1),OverEnd,"&gt;="&amp;DATE(YEAR($AC14),MONTH($AC14),1)),IF(AND($AC14&gt;=Setup!$E$10,SUMIFS(EmpIncrease,EmpCode,$C14)&gt;0),SUMIFS(EmpIncrease,EmpCode,$C14),SUMIFS(EmpSalary,EmpCode,$C14))))</f>
        <v>9000</v>
      </c>
      <c r="H14" s="133" cm="1">
        <f t="array" aca="1" ref="H14" ca="1">IF($F14&lt;&gt;"Active",0,IF(COUNTIFS(OverEmp,$C14,OverEarn,H$2,OverDate,"&lt;"&amp;DATE(YEAR($AC14),MONTH($AC14)+1,1),OverEnd,"&gt;="&amp;DATE(YEAR($AC14),MONTH($AC14),1))&gt;0,SUMIFS(OverValue,OverEmp,$C14,OverEarn,H$2,OverDate,"&lt;"&amp;DATE(YEAR($AC14),MONTH($AC14)+1,1),OverEnd,"&gt;="&amp;DATE(YEAR($AC14),MONTH($AC14),1)),0))</f>
        <v>0</v>
      </c>
      <c r="I14" s="133" cm="1">
        <f t="array" aca="1" ref="I14" ca="1">IF($F14&lt;&gt;"Active",0,IF(COUNTIFS(OverEmp,$C14,OverEarn,I$2,OverDate,"&lt;"&amp;DATE(YEAR($AC14),MONTH($AC14)+1,1),OverEnd,"&gt;="&amp;DATE(YEAR($AC14),MONTH($AC14),1))&gt;0,SUMIFS(OverValue,OverEmp,$C14,OverEarn,I$2,OverDate,"&lt;"&amp;DATE(YEAR($AC14),MONTH($AC14)+1,1),OverEnd,"&gt;="&amp;DATE(YEAR($AC14),MONTH($AC14),1)),IF(MONTH(B14)=Setup!$C$15,SUMIFS(EmpBonus,EmpCode,$C14),0)))</f>
        <v>0</v>
      </c>
      <c r="J14" s="133" cm="1">
        <f t="array" aca="1" ref="J14" ca="1">IF($F14&lt;&gt;"Active",0,IF(COUNTIFS(OverEmp,$C14,OverEarn,J$2,OverDate,"&lt;"&amp;DATE(YEAR($AC14),MONTH($AC14)+1,1),OverEnd,"&gt;="&amp;DATE(YEAR($AC14),MONTH($AC14),1))&gt;0,SUMIFS(OverValue,OverEmp,$C14,OverEarn,J$2,OverDate,"&lt;"&amp;DATE(YEAR($AC14),MONTH($AC14)+1,1),OverEnd,"&gt;="&amp;DATE(YEAR($AC14),MONTH($AC14),1)),0))</f>
        <v>0</v>
      </c>
      <c r="K14" s="133" cm="1">
        <f t="array" aca="1" ref="K14" ca="1">IF($F14&lt;&gt;"Active",0,IF(COUNTIFS(OverEmp,$C14,OverEarn,K$2,OverDate,"&lt;"&amp;DATE(YEAR($AC14),MONTH($AC14)+1,1),OverEnd,"&gt;="&amp;DATE(YEAR($AC14),MONTH($AC14),1))&gt;0,SUMIFS(OverValue,OverEmp,$C14,OverEarn,K$2,OverDate,"&lt;"&amp;DATE(YEAR($AC14),MONTH($AC14)+1,1),OverEnd,"&gt;="&amp;DATE(YEAR($AC14),MONTH($AC14),1)),0))</f>
        <v>0</v>
      </c>
      <c r="L14" s="133">
        <f t="shared" ca="1" si="0"/>
        <v>9000</v>
      </c>
      <c r="M14" s="182" cm="1">
        <f t="array" aca="1" ref="M14" ca="1">IF(COUNTIFS(OverEmp,$C14,OverTax,M$5,OverDate,"&lt;"&amp;DATE(YEAR($AC14),MONTH($AC14)+1,1),OverEnd,"&gt;="&amp;DATE(YEAR($AC14),MONTH($AC14),1))&gt;0,SUMIFS(OverValue,OverEmp,$C14,OverTax,M$5,OverDate,"&lt;"&amp;DATE(YEAR($AC14),MONTH($AC14)+1,1),OverEnd,"&gt;="&amp;DATE(YEAR($AC14),MONTH($AC14),1)),(($BA14/12*$AA14)+(BB14*IF(1-$BC14=0,0,BD14/(1-$BC14))))-IF($F14="Terminated",0,SUMIFS(PayTaxDeduct,PayDate,"&lt;"&amp;$AC14,PayEmp,$C14)))</f>
        <v>183.75</v>
      </c>
      <c r="N14" s="133" cm="1">
        <f t="array" aca="1" ref="N14" ca="1">IF($F14="Terminated",0,IF($AA14=0,0,IF(ISNA(MATCH(N$5,DedListItem,0)),0,IF(COUNTIFS(OverEmp,$C14,OverDeduct,N$5,OverDate,"&lt;"&amp;DATE(YEAR($AC14),MONTH($AC14)+1,1),OverEnd,"&gt;="&amp;DATE(YEAR($AC14),MONTH($AC14),1))&gt;0,SUMIFS(OverValue,OverEmp,$C14,OverDeduct,N$5,OverDate,"&lt;"&amp;DATE(YEAR($AC14),MONTH($AC14)+1,1),OverEnd,"&gt;="&amp;DATE(YEAR($AC14),MONTH($AC14),1)),IF(OR(N$2="Fixed",N$2="Not Used"),(IF(COUNTIFS(EmpNo,$C14,OFFSET(Emp!$R$4,1,MATCH(N$5,DedListItem,0)-1,EmpCount,1),"&lt;&gt;")&gt;0,VLOOKUP($C14,EmpAll,COLUMN(Emp!$R$4)+MATCH(N$5,DedListItem,0)-1,0),OFFSET(Setup!$E$73,MATCH(N$5,DedListItem,0),0,1,1))*$AA14)-SUMIFS(OFFSET(N$6,1,0,PayCount,1),PayDate,"&lt;"&amp;$AC14,PayEmp,$C14),IF(ISNA(MATCH(N$2,EarnListItem,0))=FALSE,IF(OFFSET(Setup!$G$73,MATCH(N$5,DedListItem,0),0,1,1)="Taxable",SUMPRODUCT((PayEmp=$C14)*(PayDate&lt;=$AC14)*(PayEarnCode=N$2)*(PayEarnTax)*(PayEarnValues)),SUMPRODUCT((PayEmp=$C14)*(PayDate&lt;=$AC14)*(PayEarnCode=N$2)*(PayEarnValues)))*IF(COUNTIFS(EmpNo,$C14,OFFSET(Emp!$R$4,1,MATCH(N$5,DedListItem,0)-1,EmpCount,1),"&lt;&gt;")&gt;0,VLOOKUP($C14,EmpAll,COLUMN(Emp!$R$4)+MATCH(N$5,DedListItem,0)-1,0),OFFSET(Setup!$E$73,MATCH(N$5,DedListItem,0),0,1,1)),(MIN(IF(OFFSET(Setup!$G$73,MATCH(N$5,DedListItem,0),0,1,1)="Taxable",SUMPRODUCT((PayEmp=$C14)*(PayDate&lt;=$AC14)*(ISERROR(SEARCH(PayEarnCode,N$4)))*(PayEarnTax)*(PayEarnValues)),SUMPRODUCT((PayEmp=$C14)*(PayDate&lt;=$AC14)*(ISERROR(SEARCH(PayEarnCode,N$4)))*(PayEarnValues))),IF(ISNUMBER(N$3),N$3/12*$AA14,IgnoreMin)))*IF(COUNTIFS(EmpNo,$C14,OFFSET(Emp!$R$4,1,MATCH(N$5,DedListItem,0)-1,EmpCount,1),"&lt;&gt;")&gt;0,VLOOKUP($C14,EmpAll,COLUMN(Emp!$R$4)+MATCH(N$5,DedListItem,0)-1,0),OFFSET(Setup!$E$73,MATCH(N$5,DedListItem,0),0,1,1)))-SUMIFS(OFFSET(N$6,1,0,PayCount,1),PayDate,"&lt;"&amp;$AC14,PayEmp,$C14))))))</f>
        <v>90</v>
      </c>
      <c r="O14" s="133" cm="1">
        <f t="array" aca="1" ref="O14" ca="1">IF($F14="Terminated",0,IF($AA14=0,0,IF(ISNA(MATCH(O$5,DedListItem,0)),0,IF(COUNTIFS(OverEmp,$C14,OverDeduct,O$5,OverDate,"&lt;"&amp;DATE(YEAR($AC14),MONTH($AC14)+1,1),OverEnd,"&gt;="&amp;DATE(YEAR($AC14),MONTH($AC14),1))&gt;0,SUMIFS(OverValue,OverEmp,$C14,OverDeduct,O$5,OverDate,"&lt;"&amp;DATE(YEAR($AC14),MONTH($AC14)+1,1),OverEnd,"&gt;="&amp;DATE(YEAR($AC14),MONTH($AC14),1)),IF(OR(O$2="Fixed",O$2="Not Used"),(IF(COUNTIFS(EmpNo,$C14,OFFSET(Emp!$R$4,1,MATCH(O$5,DedListItem,0)-1,EmpCount,1),"&lt;&gt;")&gt;0,VLOOKUP($C14,EmpAll,COLUMN(Emp!$R$4)+MATCH(O$5,DedListItem,0)-1,0),OFFSET(Setup!$E$73,MATCH(O$5,DedListItem,0),0,1,1))*$AA14)-SUMIFS(OFFSET(O$6,1,0,PayCount,1),PayDate,"&lt;"&amp;$AC14,PayEmp,$C14),IF(ISNA(MATCH(O$2,EarnListItem,0))=FALSE,IF(OFFSET(Setup!$G$73,MATCH(O$5,DedListItem,0),0,1,1)="Taxable",SUMPRODUCT((PayEmp=$C14)*(PayDate&lt;=$AC14)*(PayEarnCode=O$2)*(PayEarnTax)*(PayEarnValues)),SUMPRODUCT((PayEmp=$C14)*(PayDate&lt;=$AC14)*(PayEarnCode=O$2)*(PayEarnValues)))*IF(COUNTIFS(EmpNo,$C14,OFFSET(Emp!$R$4,1,MATCH(O$5,DedListItem,0)-1,EmpCount,1),"&lt;&gt;")&gt;0,VLOOKUP($C14,EmpAll,COLUMN(Emp!$R$4)+MATCH(O$5,DedListItem,0)-1,0),OFFSET(Setup!$E$73,MATCH(O$5,DedListItem,0),0,1,1)),(MIN(IF(OFFSET(Setup!$G$73,MATCH(O$5,DedListItem,0),0,1,1)="Taxable",SUMPRODUCT((PayEmp=$C14)*(PayDate&lt;=$AC14)*(ISERROR(SEARCH(PayEarnCode,O$4)))*(PayEarnTax)*(PayEarnValues)),SUMPRODUCT((PayEmp=$C14)*(PayDate&lt;=$AC14)*(ISERROR(SEARCH(PayEarnCode,O$4)))*(PayEarnValues))),IF(ISNUMBER(O$3),O$3/12*$AA14,IgnoreMin)))*IF(COUNTIFS(EmpNo,$C14,OFFSET(Emp!$R$4,1,MATCH(O$5,DedListItem,0)-1,EmpCount,1),"&lt;&gt;")&gt;0,VLOOKUP($C14,EmpAll,COLUMN(Emp!$R$4)+MATCH(O$5,DedListItem,0)-1,0),OFFSET(Setup!$E$73,MATCH(O$5,DedListItem,0),0,1,1)))-SUMIFS(OFFSET(O$6,1,0,PayCount,1),PayDate,"&lt;"&amp;$AC14,PayEmp,$C14))))))</f>
        <v>0</v>
      </c>
      <c r="P14" s="133" cm="1">
        <f t="array" aca="1" ref="P14" ca="1">IF($F14="Terminated",0,IF($AA14=0,0,IF(ISNA(MATCH(P$5,DedListItem,0)),0,IF(COUNTIFS(OverEmp,$C14,OverDeduct,P$5,OverDate,"&lt;"&amp;DATE(YEAR($AC14),MONTH($AC14)+1,1),OverEnd,"&gt;="&amp;DATE(YEAR($AC14),MONTH($AC14),1))&gt;0,SUMIFS(OverValue,OverEmp,$C14,OverDeduct,P$5,OverDate,"&lt;"&amp;DATE(YEAR($AC14),MONTH($AC14)+1,1),OverEnd,"&gt;="&amp;DATE(YEAR($AC14),MONTH($AC14),1)),IF(OR(P$2="Fixed",P$2="Not Used"),(IF(COUNTIFS(EmpNo,$C14,OFFSET(Emp!$R$4,1,MATCH(P$5,DedListItem,0)-1,EmpCount,1),"&lt;&gt;")&gt;0,VLOOKUP($C14,EmpAll,COLUMN(Emp!$R$4)+MATCH(P$5,DedListItem,0)-1,0),OFFSET(Setup!$E$73,MATCH(P$5,DedListItem,0),0,1,1))*$AA14)-SUMIFS(OFFSET(P$6,1,0,PayCount,1),PayDate,"&lt;"&amp;$AC14,PayEmp,$C14),IF(ISNA(MATCH(P$2,EarnListItem,0))=FALSE,IF(OFFSET(Setup!$G$73,MATCH(P$5,DedListItem,0),0,1,1)="Taxable",SUMPRODUCT((PayEmp=$C14)*(PayDate&lt;=$AC14)*(PayEarnCode=P$2)*(PayEarnTax)*(PayEarnValues)),SUMPRODUCT((PayEmp=$C14)*(PayDate&lt;=$AC14)*(PayEarnCode=P$2)*(PayEarnValues)))*IF(COUNTIFS(EmpNo,$C14,OFFSET(Emp!$R$4,1,MATCH(P$5,DedListItem,0)-1,EmpCount,1),"&lt;&gt;")&gt;0,VLOOKUP($C14,EmpAll,COLUMN(Emp!$R$4)+MATCH(P$5,DedListItem,0)-1,0),OFFSET(Setup!$E$73,MATCH(P$5,DedListItem,0),0,1,1)),(MIN(IF(OFFSET(Setup!$G$73,MATCH(P$5,DedListItem,0),0,1,1)="Taxable",SUMPRODUCT((PayEmp=$C14)*(PayDate&lt;=$AC14)*(ISERROR(SEARCH(PayEarnCode,P$4)))*(PayEarnTax)*(PayEarnValues)),SUMPRODUCT((PayEmp=$C14)*(PayDate&lt;=$AC14)*(ISERROR(SEARCH(PayEarnCode,P$4)))*(PayEarnValues))),IF(ISNUMBER(P$3),P$3/12*$AA14,IgnoreMin)))*IF(COUNTIFS(EmpNo,$C14,OFFSET(Emp!$R$4,1,MATCH(P$5,DedListItem,0)-1,EmpCount,1),"&lt;&gt;")&gt;0,VLOOKUP($C14,EmpAll,COLUMN(Emp!$R$4)+MATCH(P$5,DedListItem,0)-1,0),OFFSET(Setup!$E$73,MATCH(P$5,DedListItem,0),0,1,1)))-SUMIFS(OFFSET(P$6,1,0,PayCount,1),PayDate,"&lt;"&amp;$AC14,PayEmp,$C14))))))</f>
        <v>0</v>
      </c>
      <c r="Q14" s="133" cm="1">
        <f t="array" aca="1" ref="Q14" ca="1">IF($F14="Terminated",0,IF($AA14=0,0,IF(ISNA(MATCH(Q$5,DedListItem,0)),0,IF(COUNTIFS(OverEmp,$C14,OverDeduct,Q$5,OverDate,"&lt;"&amp;DATE(YEAR($AC14),MONTH($AC14)+1,1),OverEnd,"&gt;="&amp;DATE(YEAR($AC14),MONTH($AC14),1))&gt;0,SUMIFS(OverValue,OverEmp,$C14,OverDeduct,Q$5,OverDate,"&lt;"&amp;DATE(YEAR($AC14),MONTH($AC14)+1,1),OverEnd,"&gt;="&amp;DATE(YEAR($AC14),MONTH($AC14),1)),IF(OR(Q$2="Fixed",Q$2="Not Used"),(IF(COUNTIFS(EmpNo,$C14,OFFSET(Emp!$R$4,1,MATCH(Q$5,DedListItem,0)-1,EmpCount,1),"&lt;&gt;")&gt;0,VLOOKUP($C14,EmpAll,COLUMN(Emp!$R$4)+MATCH(Q$5,DedListItem,0)-1,0),OFFSET(Setup!$E$73,MATCH(Q$5,DedListItem,0),0,1,1))*$AA14)-SUMIFS(OFFSET(Q$6,1,0,PayCount,1),PayDate,"&lt;"&amp;$AC14,PayEmp,$C14),IF(ISNA(MATCH(Q$2,EarnListItem,0))=FALSE,IF(OFFSET(Setup!$G$73,MATCH(Q$5,DedListItem,0),0,1,1)="Taxable",SUMPRODUCT((PayEmp=$C14)*(PayDate&lt;=$AC14)*(PayEarnCode=Q$2)*(PayEarnTax)*(PayEarnValues)),SUMPRODUCT((PayEmp=$C14)*(PayDate&lt;=$AC14)*(PayEarnCode=Q$2)*(PayEarnValues)))*IF(COUNTIFS(EmpNo,$C14,OFFSET(Emp!$R$4,1,MATCH(Q$5,DedListItem,0)-1,EmpCount,1),"&lt;&gt;")&gt;0,VLOOKUP($C14,EmpAll,COLUMN(Emp!$R$4)+MATCH(Q$5,DedListItem,0)-1,0),OFFSET(Setup!$E$73,MATCH(Q$5,DedListItem,0),0,1,1)),(MIN(IF(OFFSET(Setup!$G$73,MATCH(Q$5,DedListItem,0),0,1,1)="Taxable",SUMPRODUCT((PayEmp=$C14)*(PayDate&lt;=$AC14)*(ISERROR(SEARCH(PayEarnCode,Q$4)))*(PayEarnTax)*(PayEarnValues)),SUMPRODUCT((PayEmp=$C14)*(PayDate&lt;=$AC14)*(ISERROR(SEARCH(PayEarnCode,Q$4)))*(PayEarnValues))),IF(ISNUMBER(Q$3),Q$3/12*$AA14,IgnoreMin)))*IF(COUNTIFS(EmpNo,$C14,OFFSET(Emp!$R$4,1,MATCH(Q$5,DedListItem,0)-1,EmpCount,1),"&lt;&gt;")&gt;0,VLOOKUP($C14,EmpAll,COLUMN(Emp!$R$4)+MATCH(Q$5,DedListItem,0)-1,0),OFFSET(Setup!$E$73,MATCH(Q$5,DedListItem,0),0,1,1)))-SUMIFS(OFFSET(Q$6,1,0,PayCount,1),PayDate,"&lt;"&amp;$AC14,PayEmp,$C14))))))</f>
        <v>0</v>
      </c>
      <c r="R14" s="133">
        <f t="shared" ca="1" si="1"/>
        <v>273.75</v>
      </c>
      <c r="S14" s="133">
        <f t="shared" ca="1" si="2"/>
        <v>8726.25</v>
      </c>
      <c r="T14" s="133" cm="1">
        <f t="array" aca="1" ref="T14" ca="1">IF($F14="Terminated",0,IF($AA14=0,0,IF(ISNA(MATCH(T$5,CompListItem,0)),0,IF(COUNTIFS(OverEmp,$C14,OverComp,T$5,OverDate,"&lt;"&amp;DATE(YEAR($AC14),MONTH($AC14)+1,1),OverEnd,"&gt;="&amp;DATE(YEAR($AC14),MONTH($AC14),1))&gt;0,SUMIFS(OverValue,OverEmp,$C14,OverComp,T$5,OverDate,"&lt;"&amp;DATE(YEAR($AC14),MONTH($AC14)+1,1),OverEnd,"&gt;="&amp;DATE(YEAR($AC14),MONTH($AC14),1)),IF(OR(T$2="Fixed",T$2="Not Used"),(OFFSET(Setup!$E$81,MATCH(T$5,CompListItem,0),0,1,1)*$AA14)-SUMIFS(OFFSET(T$6,1,0,PayCount,1),PayDate,"&lt;"&amp;$AC14,PayEmp,$C14),IF(ISNA(MATCH(T$2,DedListItem,0))=FALSE,(SUMPRODUCT((PayEmp=$C14)*(PayDate&lt;=$AC14)*(PayDedList=T$2)*(PayDedValues))*OFFSET(Setup!$E$81,MATCH(T$5,CompListItem,0),0,1,1))-SUMIFS(OFFSET(T$6,1,0,PayCount,1),PayDate,"&lt;"&amp;$AC14,PayEmp,$C14),(MIN(IF(OFFSET(Setup!$G$81,MATCH(T$5,CompListItem,0),0,1,1)="Taxable",SUMPRODUCT((PayEmp=$C14)*(PayDate&lt;=$AC14)*(ISERROR(SEARCH(PayEarnCode,T$4)))*(PayEarnTax)*(PayEarnValues)),SUMPRODUCT((PayEmp=$C14)*(PayDate&lt;=$AC14)*(ISERROR(SEARCH(PayEarnCode,T$4)))*(PayEarnValues))),IF(ISNUMBER(T$3),T$3/12*$AA14,IgnoreMin)))*OFFSET(Setup!$E$81,MATCH(T$5,CompListItem,0),0,1,1)-SUMIFS(OFFSET(T$6,1,0,PayCount,1),PayDate,"&lt;"&amp;$AC14,PayEmp,$C14)))))))</f>
        <v>90</v>
      </c>
      <c r="U14" s="133" cm="1">
        <f t="array" aca="1" ref="U14" ca="1">IF($F14="Terminated",0,IF($AA14=0,0,IF(ISNA(MATCH(U$5,CompListItem,0)),0,IF(COUNTIFS(OverEmp,$C14,OverComp,U$5,OverDate,"&lt;"&amp;DATE(YEAR($AC14),MONTH($AC14)+1,1),OverEnd,"&gt;="&amp;DATE(YEAR($AC14),MONTH($AC14),1))&gt;0,SUMIFS(OverValue,OverEmp,$C14,OverComp,U$5,OverDate,"&lt;"&amp;DATE(YEAR($AC14),MONTH($AC14)+1,1),OverEnd,"&gt;="&amp;DATE(YEAR($AC14),MONTH($AC14),1)),IF(OR(U$2="Fixed",U$2="Not Used"),(OFFSET(Setup!$E$81,MATCH(U$5,CompListItem,0),0,1,1)*$AA14)-SUMIFS(OFFSET(U$6,1,0,PayCount,1),PayDate,"&lt;"&amp;$AC14,PayEmp,$C14),IF(ISNA(MATCH(U$2,DedListItem,0))=FALSE,(SUMPRODUCT((PayEmp=$C14)*(PayDate&lt;=$AC14)*(PayDedList=U$2)*(PayDedValues))*OFFSET(Setup!$E$81,MATCH(U$5,CompListItem,0),0,1,1))-SUMIFS(OFFSET(U$6,1,0,PayCount,1),PayDate,"&lt;"&amp;$AC14,PayEmp,$C14),(MIN(IF(OFFSET(Setup!$G$81,MATCH(U$5,CompListItem,0),0,1,1)="Taxable",SUMPRODUCT((PayEmp=$C14)*(PayDate&lt;=$AC14)*(ISERROR(SEARCH(PayEarnCode,U$4)))*(PayEarnTax)*(PayEarnValues)),SUMPRODUCT((PayEmp=$C14)*(PayDate&lt;=$AC14)*(ISERROR(SEARCH(PayEarnCode,U$4)))*(PayEarnValues))),IF(ISNUMBER(U$3),U$3/12*$AA14,IgnoreMin)))*OFFSET(Setup!$E$81,MATCH(U$5,CompListItem,0),0,1,1)-SUMIFS(OFFSET(U$6,1,0,PayCount,1),PayDate,"&lt;"&amp;$AC14,PayEmp,$C14)))))))</f>
        <v>90</v>
      </c>
      <c r="V14" s="133" cm="1">
        <f t="array" aca="1" ref="V14" ca="1">IF($F14="Terminated",0,IF($AA14=0,0,IF(ISNA(MATCH(V$5,CompListItem,0)),0,IF(COUNTIFS(OverEmp,$C14,OverComp,V$5,OverDate,"&lt;"&amp;DATE(YEAR($AC14),MONTH($AC14)+1,1),OverEnd,"&gt;="&amp;DATE(YEAR($AC14),MONTH($AC14),1))&gt;0,SUMIFS(OverValue,OverEmp,$C14,OverComp,V$5,OverDate,"&lt;"&amp;DATE(YEAR($AC14),MONTH($AC14)+1,1),OverEnd,"&gt;="&amp;DATE(YEAR($AC14),MONTH($AC14),1)),IF(OR(V$2="Fixed",V$2="Not Used"),(OFFSET(Setup!$E$81,MATCH(V$5,CompListItem,0),0,1,1)*$AA14)-SUMIFS(OFFSET(V$6,1,0,PayCount,1),PayDate,"&lt;"&amp;$AC14,PayEmp,$C14),IF(ISNA(MATCH(V$2,DedListItem,0))=FALSE,(SUMPRODUCT((PayEmp=$C14)*(PayDate&lt;=$AC14)*(PayDedList=V$2)*(PayDedValues))*OFFSET(Setup!$E$81,MATCH(V$5,CompListItem,0),0,1,1))-SUMIFS(OFFSET(V$6,1,0,PayCount,1),PayDate,"&lt;"&amp;$AC14,PayEmp,$C14),(MIN(IF(OFFSET(Setup!$G$81,MATCH(V$5,CompListItem,0),0,1,1)="Taxable",SUMPRODUCT((PayEmp=$C14)*(PayDate&lt;=$AC14)*(ISERROR(SEARCH(PayEarnCode,V$4)))*(PayEarnTax)*(PayEarnValues)),SUMPRODUCT((PayEmp=$C14)*(PayDate&lt;=$AC14)*(ISERROR(SEARCH(PayEarnCode,V$4)))*(PayEarnValues))),IF(ISNUMBER(V$3),V$3/12*$AA14,IgnoreMin)))*OFFSET(Setup!$E$81,MATCH(V$5,CompListItem,0),0,1,1)-SUMIFS(OFFSET(V$6,1,0,PayCount,1),PayDate,"&lt;"&amp;$AC14,PayEmp,$C14)))))))</f>
        <v>0</v>
      </c>
      <c r="W14" s="133" cm="1">
        <f t="array" aca="1" ref="W14" ca="1">IF($F14="Terminated",0,IF($AA14=0,0,IF(ISNA(MATCH(W$5,CompListItem,0)),0,IF(COUNTIFS(OverEmp,$C14,OverComp,W$5,OverDate,"&lt;"&amp;DATE(YEAR($AC14),MONTH($AC14)+1,1),OverEnd,"&gt;="&amp;DATE(YEAR($AC14),MONTH($AC14),1))&gt;0,SUMIFS(OverValue,OverEmp,$C14,OverComp,W$5,OverDate,"&lt;"&amp;DATE(YEAR($AC14),MONTH($AC14)+1,1),OverEnd,"&gt;="&amp;DATE(YEAR($AC14),MONTH($AC14),1)),IF(OR(W$2="Fixed",W$2="Not Used"),(OFFSET(Setup!$E$81,MATCH(W$5,CompListItem,0),0,1,1)*$AA14)-SUMIFS(OFFSET(W$6,1,0,PayCount,1),PayDate,"&lt;"&amp;$AC14,PayEmp,$C14),IF(ISNA(MATCH(W$2,DedListItem,0))=FALSE,(SUMPRODUCT((PayEmp=$C14)*(PayDate&lt;=$AC14)*(PayDedList=W$2)*(PayDedValues))*OFFSET(Setup!$E$81,MATCH(W$5,CompListItem,0),0,1,1))-SUMIFS(OFFSET(W$6,1,0,PayCount,1),PayDate,"&lt;"&amp;$AC14,PayEmp,$C14),(MIN(IF(OFFSET(Setup!$G$81,MATCH(W$5,CompListItem,0),0,1,1)="Taxable",SUMPRODUCT((PayEmp=$C14)*(PayDate&lt;=$AC14)*(ISERROR(SEARCH(PayEarnCode,W$4)))*(PayEarnTax)*(PayEarnValues)),SUMPRODUCT((PayEmp=$C14)*(PayDate&lt;=$AC14)*(ISERROR(SEARCH(PayEarnCode,W$4)))*(PayEarnValues))),IF(ISNUMBER(W$3),W$3/12*$AA14,IgnoreMin)))*OFFSET(Setup!$E$81,MATCH(W$5,CompListItem,0),0,1,1)-SUMIFS(OFFSET(W$6,1,0,PayCount,1),PayDate,"&lt;"&amp;$AC14,PayEmp,$C14)))))))</f>
        <v>0</v>
      </c>
      <c r="X14" s="133">
        <f t="shared" ca="1" si="3"/>
        <v>180</v>
      </c>
      <c r="Y14" s="133">
        <f t="shared" ca="1" si="4"/>
        <v>9180</v>
      </c>
      <c r="Z14" s="133">
        <f t="shared" ca="1" si="5"/>
        <v>453.75</v>
      </c>
      <c r="AA14" s="183">
        <f ca="1">IF(OR($B14&lt;=Setup!$E$12,$B14&gt;=Setup!$D$12+1),0,IF($F14&lt;&gt;"Active",0,IF($AE14="Yes",$AB14,((YEAR($AC14)*12)+MONTH($AC14))-((YEAR($AD14)*12)+MONTH($AD14)-1))))</f>
        <v>1</v>
      </c>
      <c r="AB14" s="183">
        <f ca="1">IF(OR($B14&lt;=Setup!$E$12,$B14&gt;=Setup!$D$12+1),0,((YEAR($AC14)*12)+MONTH($AC14))-((YEAR(Setup!$E$12)*12)+MONTH(Setup!$E$12)))</f>
        <v>1</v>
      </c>
      <c r="AC14" s="129">
        <f t="shared" ca="1" si="6"/>
        <v>45010</v>
      </c>
      <c r="AD14" s="184">
        <f ca="1">IF(ISNA(VLOOKUP($C14,EmpAll,COLUMN(Emp!$E$4),0)),$AC14,IF(VLOOKUP($C14,EmpAll,COLUMN(Emp!$E$4),0)&lt;=Setup!$E$12,DATE(YEAR(Setup!$E$12),MONTH(Setup!$E$12)+1,1),VLOOKUP($C14,EmpAll,COLUMN(Emp!$E$4),0)))</f>
        <v>44986</v>
      </c>
      <c r="AE14" s="184" t="str">
        <f ca="1">IF(ISNA(VLOOKUP($C14,EmpAll,COLUMN(Emp!$G$1),0)),"-",IF(VLOOKUP($C14,EmpAll,COLUMN(Emp!$G$1),0)=0,"-",VLOOKUP($C14,EmpAll,COLUMN(Emp!$G$1),0)))</f>
        <v>-</v>
      </c>
      <c r="AF14" s="130">
        <f ca="1">IF(A14=PaySlip!$G$3,1,0)</f>
        <v>0</v>
      </c>
      <c r="AG14" s="130" cm="1">
        <f t="array" aca="1" ref="AG14" ca="1">IF(COUNTIFS(OverEmp,$C14,OverMed,"MED",OverDate,"&lt;"&amp;DATE(YEAR($AC14),MONTH($AC14)+1,1),OverEnd,"&gt;="&amp;DATE(YEAR($AC14),MONTH($AC14),1))&gt;0,SUMIFS(OverValue,OverEmp,$C14,OverMed,"MED",OverDate,"&lt;"&amp;DATE(YEAR($AC14),MONTH($AC14)+1,1),OverEnd,"&gt;="&amp;DATE(YEAR($AC14),MONTH($AC14),1)),IF(ISNA(VLOOKUP($C14,EmpAll,COLUMN(Emp!$N$4),0)),0,VLOOKUP($C14,EmpAll,COLUMN(Emp!$N$4),0)))</f>
        <v>0</v>
      </c>
      <c r="AH14" s="183">
        <f ca="1">VLOOKUP($AG14,MedList,COLUMN(Setup!$C$49),1)</f>
        <v>0</v>
      </c>
      <c r="AI14" s="183">
        <f t="shared" ca="1" si="7"/>
        <v>0</v>
      </c>
      <c r="AJ14" s="101" t="str">
        <f ca="1">IF(ISNA(VLOOKUP($C14,EmpAll,COLUMN(Emp!$L$4),0)),"None!",VLOOKUP($C14,EmpAll,COLUMN(Emp!$L$4),0))</f>
        <v>A</v>
      </c>
      <c r="AK14" s="147">
        <f t="shared" ca="1" si="8"/>
        <v>17235</v>
      </c>
      <c r="AL14" s="101" t="str">
        <f ca="1">IF(ISNA(VLOOKUP($C14,Employees[],COLUMN(Emp!$M$4),0))=TRUE,"Error!",IF(VLOOKUP($C14,Employees[],COLUMN(Emp!$M$4),0)=0,"Yes",VLOOKUP($C14,Employees[],COLUMN(Emp!$M$4),0)))</f>
        <v>A</v>
      </c>
      <c r="AM14" s="148">
        <f t="shared" ca="1" si="9"/>
        <v>108000</v>
      </c>
      <c r="AN14" s="148" cm="1">
        <f t="array" aca="1" ref="AN14" ca="1">-IF($F14="Terminated",0,IF($AA14=0,0,IF(ISNA(MATCH(AN$5,PayDedList,0)),0,MIN(IF(COUNTIFS(OverEmp,$C14,OverDeduct,AN$5,OverDate,"&lt;"&amp;DATE(YEAR($AC14),MONTH($AC14)+1,1),OverEnd,"&gt;="&amp;DATE(YEAR($AC14),MONTH($AC14),1))&gt;0,SUMPRODUCT((PayEmp=$C14)*(PayDate&lt;=$AC14)*(OFFSET($N$6,1,MATCH(AN$5,PayDedList,0)-1,PayCount,1)))/$AA14*12*AN$3,IF(OR(AN$1="Fixed",AN$1="Not Used"),SUMPRODUCT((PayEmp=$C14)*(PayDate&lt;=$AC14)*(OFFSET($N$6,1,MATCH(AN$5,PayDedList,0)-1,PayCount,1)))/$AA14*12*AN$3,IF(ISNA(MATCH(AN$1,EarnListItem,0))=FALSE,SUMPRODUCT((PayEmp=$C14)*(PayDate&lt;=$AC14)*(OFFSET($N$6,1,MATCH(AN$5,PayDedList,0)-1,PayCount,1)))/$AA14*12*AN$3,(MIN(((SUMPRODUCT((PayEmp=$C14)*(PayDate&lt;=$AC14)*(ISERROR(SEARCH(PayEarnCode,AN$2)))*(PayEarnType="Monthly")*(PayEarnValues))/$AA14*12)+(SUMPRODUCT((PayEmp=$C14)*(PayDate&lt;=$AC14)*(ISERROR(SEARCH(PayEarnCode,AN$2)))*(PayEarnType="Quarterly")*(PayEarnValues))/MAX(1,ROUNDDOWN($AB14/3,0))*4)+(SUMPRODUCT((PayEmp=$C14)*(PayDate&lt;=$AC14)*(ISERROR(SEARCH(PayEarnCode,AN$2)))*(PayEarnType="Bi-Annual")*(PayEarnValues))/MAX(1,ROUNDDOWN($AB14/6,0))*2)+(SUMPRODUCT((PayEmp=$C14)*(PayDate&lt;=$AC14)*(ISERROR(SEARCH(PayEarnCode,AN$2)))*(PayEarnType="Annual")*(PayEarnValues)))),IF(ISNUMBER(OFFSET($N$3,0,MATCH(AN$5,PayDedList,0)-1,1,1)),OFFSET($N$3,0,MATCH(AN$5,PayDedList,0)-1,1,1),IgnoreMin)))*IF(COUNTIFS(EmpNo,$C14,OFFSET(Emp!$R$4,1,MATCH(AN$5,DedListItem,0)-1,EmpCount,1),"&lt;&gt;")&gt;0,VLOOKUP($C14,EmpAll,COLUMN(Emp!$R$4)+MATCH(AN$5,DedListItem,0)-1,0),OFFSET(Setup!$E$73,MATCH(AN$5,DedListItem,0),0,1,1))*AN$3))),IF(ISNUMBER(AN$4),AN$4,IgnoreMin)))))</f>
        <v>0</v>
      </c>
      <c r="AO14" s="148" cm="1">
        <f t="array" aca="1" ref="AO14" ca="1">-IF($F14="Terminated",0,IF($AA14=0,0,IF(ISNA(MATCH(AO$5,PayDedList,0)),0,MIN(IF(COUNTIFS(OverEmp,$C14,OverDeduct,AO$5,OverDate,"&lt;"&amp;DATE(YEAR($AC14),MONTH($AC14)+1,1),OverEnd,"&gt;="&amp;DATE(YEAR($AC14),MONTH($AC14),1))&gt;0,SUMPRODUCT((PayEmp=$C14)*(PayDate&lt;=$AC14)*(OFFSET($N$6,1,MATCH(AO$5,PayDedList,0)-1,PayCount,1)))/$AA14*12*AO$3,IF(OR(AO$1="Fixed",AO$1="Not Used"),SUMPRODUCT((PayEmp=$C14)*(PayDate&lt;=$AC14)*(OFFSET($N$6,1,MATCH(AO$5,PayDedList,0)-1,PayCount,1)))/$AA14*12*AO$3,IF(ISNA(MATCH(AO$1,EarnListItem,0))=FALSE,SUMPRODUCT((PayEmp=$C14)*(PayDate&lt;=$AC14)*(OFFSET($N$6,1,MATCH(AO$5,PayDedList,0)-1,PayCount,1)))/$AA14*12*AO$3,(MIN(((SUMPRODUCT((PayEmp=$C14)*(PayDate&lt;=$AC14)*(ISERROR(SEARCH(PayEarnCode,AO$2)))*(PayEarnType="Monthly")*(PayEarnValues))/$AA14*12)+(SUMPRODUCT((PayEmp=$C14)*(PayDate&lt;=$AC14)*(ISERROR(SEARCH(PayEarnCode,AO$2)))*(PayEarnType="Quarterly")*(PayEarnValues))/MAX(1,ROUNDDOWN($AB14/3,0))*4)+(SUMPRODUCT((PayEmp=$C14)*(PayDate&lt;=$AC14)*(ISERROR(SEARCH(PayEarnCode,AO$2)))*(PayEarnType="Bi-Annual")*(PayEarnValues))/MAX(1,ROUNDDOWN($AB14/6,0))*2)+(SUMPRODUCT((PayEmp=$C14)*(PayDate&lt;=$AC14)*(ISERROR(SEARCH(PayEarnCode,AO$2)))*(PayEarnType="Annual")*(PayEarnValues)))),IF(ISNUMBER(OFFSET($N$3,0,MATCH(AO$5,PayDedList,0)-1,1,1)),OFFSET($N$3,0,MATCH(AO$5,PayDedList,0)-1,1,1),IgnoreMin)))*IF(COUNTIFS(EmpNo,$C14,OFFSET(Emp!$R$4,1,MATCH(AO$5,DedListItem,0)-1,EmpCount,1),"&lt;&gt;")&gt;0,VLOOKUP($C14,EmpAll,COLUMN(Emp!$R$4)+MATCH(AO$5,DedListItem,0)-1,0),OFFSET(Setup!$E$73,MATCH(AO$5,DedListItem,0),0,1,1))*AO$3))),IF(ISNUMBER(AO$4),AO$4,IgnoreMin)))))</f>
        <v>0</v>
      </c>
      <c r="AP14" s="148" cm="1">
        <f t="array" aca="1" ref="AP14" ca="1">-IF($F14="Terminated",0,IF($AA14=0,0,IF(ISNA(MATCH(AP$5,PayDedList,0)),0,MIN(IF(COUNTIFS(OverEmp,$C14,OverDeduct,AP$5,OverDate,"&lt;"&amp;DATE(YEAR($AC14),MONTH($AC14)+1,1),OverEnd,"&gt;="&amp;DATE(YEAR($AC14),MONTH($AC14),1))&gt;0,SUMPRODUCT((PayEmp=$C14)*(PayDate&lt;=$AC14)*(OFFSET($N$6,1,MATCH(AP$5,PayDedList,0)-1,PayCount,1)))/$AA14*12*AP$3,IF(OR(AP$1="Fixed",AP$1="Not Used"),SUMPRODUCT((PayEmp=$C14)*(PayDate&lt;=$AC14)*(OFFSET($N$6,1,MATCH(AP$5,PayDedList,0)-1,PayCount,1)))/$AA14*12*AP$3,IF(ISNA(MATCH(AP$1,EarnListItem,0))=FALSE,SUMPRODUCT((PayEmp=$C14)*(PayDate&lt;=$AC14)*(OFFSET($N$6,1,MATCH(AP$5,PayDedList,0)-1,PayCount,1)))/$AA14*12*AP$3,(MIN(((SUMPRODUCT((PayEmp=$C14)*(PayDate&lt;=$AC14)*(ISERROR(SEARCH(PayEarnCode,AP$2)))*(PayEarnType="Monthly")*(PayEarnValues))/$AA14*12)+(SUMPRODUCT((PayEmp=$C14)*(PayDate&lt;=$AC14)*(ISERROR(SEARCH(PayEarnCode,AP$2)))*(PayEarnType="Quarterly")*(PayEarnValues))/MAX(1,ROUNDDOWN($AB14/3,0))*4)+(SUMPRODUCT((PayEmp=$C14)*(PayDate&lt;=$AC14)*(ISERROR(SEARCH(PayEarnCode,AP$2)))*(PayEarnType="Bi-Annual")*(PayEarnValues))/MAX(1,ROUNDDOWN($AB14/6,0))*2)+(SUMPRODUCT((PayEmp=$C14)*(PayDate&lt;=$AC14)*(ISERROR(SEARCH(PayEarnCode,AP$2)))*(PayEarnType="Annual")*(PayEarnValues)))),IF(ISNUMBER(OFFSET($N$3,0,MATCH(AP$5,PayDedList,0)-1,1,1)),OFFSET($N$3,0,MATCH(AP$5,PayDedList,0)-1,1,1),IgnoreMin)))*IF(COUNTIFS(EmpNo,$C14,OFFSET(Emp!$R$4,1,MATCH(AP$5,DedListItem,0)-1,EmpCount,1),"&lt;&gt;")&gt;0,VLOOKUP($C14,EmpAll,COLUMN(Emp!$R$4)+MATCH(AP$5,DedListItem,0)-1,0),OFFSET(Setup!$E$73,MATCH(AP$5,DedListItem,0),0,1,1))*AP$3))),IF(ISNUMBER(AP$4),AP$4,IgnoreMin)))))</f>
        <v>0</v>
      </c>
      <c r="AQ14" s="148" cm="1">
        <f t="array" aca="1" ref="AQ14" ca="1">-IF($F14="Terminated",0,IF($AA14=0,0,IF(ISNA(MATCH(AQ$5,PayDedList,0)),0,MIN(IF(COUNTIFS(OverEmp,$C14,OverDeduct,AQ$5,OverDate,"&lt;"&amp;DATE(YEAR($AC14),MONTH($AC14)+1,1),OverEnd,"&gt;="&amp;DATE(YEAR($AC14),MONTH($AC14),1))&gt;0,SUMPRODUCT((PayEmp=$C14)*(PayDate&lt;=$AC14)*(OFFSET($N$6,1,MATCH(AQ$5,PayDedList,0)-1,PayCount,1)))/$AA14*12*AQ$3,IF(OR(AQ$1="Fixed",AQ$1="Not Used"),SUMPRODUCT((PayEmp=$C14)*(PayDate&lt;=$AC14)*(OFFSET($N$6,1,MATCH(AQ$5,PayDedList,0)-1,PayCount,1)))/$AA14*12*AQ$3,IF(ISNA(MATCH(AQ$1,EarnListItem,0))=FALSE,SUMPRODUCT((PayEmp=$C14)*(PayDate&lt;=$AC14)*(OFFSET($N$6,1,MATCH(AQ$5,PayDedList,0)-1,PayCount,1)))/$AA14*12*AQ$3,(MIN(((SUMPRODUCT((PayEmp=$C14)*(PayDate&lt;=$AC14)*(ISERROR(SEARCH(PayEarnCode,AQ$2)))*(PayEarnType="Monthly")*(PayEarnValues))/$AA14*12)+(SUMPRODUCT((PayEmp=$C14)*(PayDate&lt;=$AC14)*(ISERROR(SEARCH(PayEarnCode,AQ$2)))*(PayEarnType="Quarterly")*(PayEarnValues))/MAX(1,ROUNDDOWN($AB14/3,0))*4)+(SUMPRODUCT((PayEmp=$C14)*(PayDate&lt;=$AC14)*(ISERROR(SEARCH(PayEarnCode,AQ$2)))*(PayEarnType="Bi-Annual")*(PayEarnValues))/MAX(1,ROUNDDOWN($AB14/6,0))*2)+(SUMPRODUCT((PayEmp=$C14)*(PayDate&lt;=$AC14)*(ISERROR(SEARCH(PayEarnCode,AQ$2)))*(PayEarnType="Annual")*(PayEarnValues)))),IF(ISNUMBER(OFFSET($N$3,0,MATCH(AQ$5,PayDedList,0)-1,1,1)),OFFSET($N$3,0,MATCH(AQ$5,PayDedList,0)-1,1,1),IgnoreMin)))*IF(COUNTIFS(EmpNo,$C14,OFFSET(Emp!$R$4,1,MATCH(AQ$5,DedListItem,0)-1,EmpCount,1),"&lt;&gt;")&gt;0,VLOOKUP($C14,EmpAll,COLUMN(Emp!$R$4)+MATCH(AQ$5,DedListItem,0)-1,0),OFFSET(Setup!$E$73,MATCH(AQ$5,DedListItem,0),0,1,1))*AQ$3))),IF(ISNUMBER(AQ$4),AQ$4,IgnoreMin)))))</f>
        <v>0</v>
      </c>
      <c r="AR14" s="148">
        <f t="shared" ca="1" si="10"/>
        <v>108000</v>
      </c>
      <c r="AS14" s="148">
        <f t="shared" ca="1" si="11"/>
        <v>108000</v>
      </c>
      <c r="AT14" s="148" cm="1">
        <f t="array" aca="1" ref="AT14" ca="1">-IF($F14="Terminated",0,IF($AA14=0,0,IF(ISNA(MATCH(AT$5,PayDedList,0)),0,MIN(IF(COUNTIFS(OverEmp,$C14,OverDeduct,AT$5,OverDate,"&lt;"&amp;DATE(YEAR($AC14),MONTH($AC14)+1,1),OverEnd,"&gt;="&amp;DATE(YEAR($AC14),MONTH($AC14),1))&gt;0,SUMPRODUCT((PayEmp=$C14)*(PayDate&lt;=$AC14)*(OFFSET($N$6,1,MATCH(AT$5,PayDedList,0)-1,PayCount,1)))/$AA14*12*AT$3,IF(OR(AT$1="Fixed",AT$1="Not Used"),SUMPRODUCT((PayEmp=$C14)*(PayDate&lt;=$AC14)*(OFFSET($N$6,1,MATCH(AT$5,PayDedList,0)-1,PayCount,1)))/$AA14*12*AT$3,IF(ISNA(MATCH(OFFSET($N$2,0,MATCH(AT$5,PayDedList,0)-1,1,1),EarnListItem,0))=FALSE,SUMPRODUCT((PayEmp=$C14)*(PayDate&lt;=$AC14)*(OFFSET($N$6,1,MATCH(AT$5,PayDedList,0)-1,PayCount,1)))/$AA14*12*AT$3,(MIN(SUMPRODUCT((PayEmp=$C14)*(PayDate&lt;=$AC14)*(ISERROR(SEARCH(PayEarnCode,AT$2)))*(PayEarnType="Monthly")*(PayEarnValues))/$AA14*12,IF(ISNUMBER(OFFSET($N$3,0,MATCH(AT$5,PayDedList,0)-1,1,1)),OFFSET($N$3,0,MATCH(AT$5,PayDedList,0)-1,1,1),IgnoreMin)))*IF(COUNTIFS(EmpNo,$C14,OFFSET(Emp!$R$4,1,MATCH(AT$5,DedListItem,0)-1,EmpCount,1),"&lt;&gt;")&gt;0,VLOOKUP($C14,EmpAll,COLUMN(Emp!$R$4)+MATCH(AT$5,DedListItem,0)-1,0),OFFSET(Setup!$E$73,MATCH(AT$5,DedListItem,0),0,1,1))*AT$3))),IF(ISNUMBER(AT$4),AT$4,IgnoreMin)))))</f>
        <v>0</v>
      </c>
      <c r="AU14" s="148" cm="1">
        <f t="array" aca="1" ref="AU14" ca="1">-IF($F14="Terminated",0,IF($AA14=0,0,IF(ISNA(MATCH(AU$5,PayDedList,0)),0,MIN(IF(COUNTIFS(OverEmp,$C14,OverDeduct,AU$5,OverDate,"&lt;"&amp;DATE(YEAR($AC14),MONTH($AC14)+1,1),OverEnd,"&gt;="&amp;DATE(YEAR($AC14),MONTH($AC14),1))&gt;0,SUMPRODUCT((PayEmp=$C14)*(PayDate&lt;=$AC14)*(OFFSET($N$6,1,MATCH(AU$5,PayDedList,0)-1,PayCount,1)))/$AA14*12*AU$3,IF(OR(AU$1="Fixed",AU$1="Not Used"),SUMPRODUCT((PayEmp=$C14)*(PayDate&lt;=$AC14)*(OFFSET($N$6,1,MATCH(AU$5,PayDedList,0)-1,PayCount,1)))/$AA14*12*AU$3,IF(ISNA(MATCH(OFFSET($N$2,0,MATCH(AU$5,PayDedList,0)-1,1,1),EarnListItem,0))=FALSE,SUMPRODUCT((PayEmp=$C14)*(PayDate&lt;=$AC14)*(OFFSET($N$6,1,MATCH(AU$5,PayDedList,0)-1,PayCount,1)))/$AA14*12*AU$3,(MIN(SUMPRODUCT((PayEmp=$C14)*(PayDate&lt;=$AC14)*(ISERROR(SEARCH(PayEarnCode,AU$2)))*(PayEarnType="Monthly")*(PayEarnValues))/$AA14*12,IF(ISNUMBER(OFFSET($N$3,0,MATCH(AU$5,PayDedList,0)-1,1,1)),OFFSET($N$3,0,MATCH(AU$5,PayDedList,0)-1,1,1),IgnoreMin)))*IF(COUNTIFS(EmpNo,$C14,OFFSET(Emp!$R$4,1,MATCH(AU$5,DedListItem,0)-1,EmpCount,1),"&lt;&gt;")&gt;0,VLOOKUP($C14,EmpAll,COLUMN(Emp!$R$4)+MATCH(AU$5,DedListItem,0)-1,0),OFFSET(Setup!$E$73,MATCH(AU$5,DedListItem,0),0,1,1))*AU$3))),IF(ISNUMBER(AU$4),AU$4,IgnoreMin)))))</f>
        <v>0</v>
      </c>
      <c r="AV14" s="148" cm="1">
        <f t="array" aca="1" ref="AV14" ca="1">-IF($F14="Terminated",0,IF($AA14=0,0,IF(ISNA(MATCH(AV$5,PayDedList,0)),0,MIN(IF(COUNTIFS(OverEmp,$C14,OverDeduct,AV$5,OverDate,"&lt;"&amp;DATE(YEAR($AC14),MONTH($AC14)+1,1),OverEnd,"&gt;="&amp;DATE(YEAR($AC14),MONTH($AC14),1))&gt;0,SUMPRODUCT((PayEmp=$C14)*(PayDate&lt;=$AC14)*(OFFSET($N$6,1,MATCH(AV$5,PayDedList,0)-1,PayCount,1)))/$AA14*12*AV$3,IF(OR(AV$1="Fixed",AV$1="Not Used"),SUMPRODUCT((PayEmp=$C14)*(PayDate&lt;=$AC14)*(OFFSET($N$6,1,MATCH(AV$5,PayDedList,0)-1,PayCount,1)))/$AA14*12*AV$3,IF(ISNA(MATCH(OFFSET($N$2,0,MATCH(AV$5,PayDedList,0)-1,1,1),EarnListItem,0))=FALSE,SUMPRODUCT((PayEmp=$C14)*(PayDate&lt;=$AC14)*(OFFSET($N$6,1,MATCH(AV$5,PayDedList,0)-1,PayCount,1)))/$AA14*12*AV$3,(MIN(SUMPRODUCT((PayEmp=$C14)*(PayDate&lt;=$AC14)*(ISERROR(SEARCH(PayEarnCode,AV$2)))*(PayEarnType="Monthly")*(PayEarnValues))/$AA14*12,IF(ISNUMBER(OFFSET($N$3,0,MATCH(AV$5,PayDedList,0)-1,1,1)),OFFSET($N$3,0,MATCH(AV$5,PayDedList,0)-1,1,1),IgnoreMin)))*IF(COUNTIFS(EmpNo,$C14,OFFSET(Emp!$R$4,1,MATCH(AV$5,DedListItem,0)-1,EmpCount,1),"&lt;&gt;")&gt;0,VLOOKUP($C14,EmpAll,COLUMN(Emp!$R$4)+MATCH(AV$5,DedListItem,0)-1,0),OFFSET(Setup!$E$73,MATCH(AV$5,DedListItem,0),0,1,1))*AV$3))),IF(ISNUMBER(AV$4),AV$4,IgnoreMin)))))</f>
        <v>0</v>
      </c>
      <c r="AW14" s="148" cm="1">
        <f t="array" aca="1" ref="AW14" ca="1">-IF($F14="Terminated",0,IF($AA14=0,0,IF(ISNA(MATCH(AW$5,PayDedList,0)),0,MIN(IF(COUNTIFS(OverEmp,$C14,OverDeduct,AW$5,OverDate,"&lt;"&amp;DATE(YEAR($AC14),MONTH($AC14)+1,1),OverEnd,"&gt;="&amp;DATE(YEAR($AC14),MONTH($AC14),1))&gt;0,SUMPRODUCT((PayEmp=$C14)*(PayDate&lt;=$AC14)*(OFFSET($N$6,1,MATCH(AW$5,PayDedList,0)-1,PayCount,1)))/$AA14*12*AW$3,IF(OR(AW$1="Fixed",AW$1="Not Used"),SUMPRODUCT((PayEmp=$C14)*(PayDate&lt;=$AC14)*(OFFSET($N$6,1,MATCH(AW$5,PayDedList,0)-1,PayCount,1)))/$AA14*12*AW$3,IF(ISNA(MATCH(OFFSET($N$2,0,MATCH(AW$5,PayDedList,0)-1,1,1),EarnListItem,0))=FALSE,SUMPRODUCT((PayEmp=$C14)*(PayDate&lt;=$AC14)*(OFFSET($N$6,1,MATCH(AW$5,PayDedList,0)-1,PayCount,1)))/$AA14*12*AW$3,(MIN(SUMPRODUCT((PayEmp=$C14)*(PayDate&lt;=$AC14)*(ISERROR(SEARCH(PayEarnCode,AW$2)))*(PayEarnType="Monthly")*(PayEarnValues))/$AA14*12,IF(ISNUMBER(OFFSET($N$3,0,MATCH(AW$5,PayDedList,0)-1,1,1)),OFFSET($N$3,0,MATCH(AW$5,PayDedList,0)-1,1,1),IgnoreMin)))*IF(COUNTIFS(EmpNo,$C14,OFFSET(Emp!$R$4,1,MATCH(AW$5,DedListItem,0)-1,EmpCount,1),"&lt;&gt;")&gt;0,VLOOKUP($C14,EmpAll,COLUMN(Emp!$R$4)+MATCH(AW$5,DedListItem,0)-1,0),OFFSET(Setup!$E$73,MATCH(AW$5,DedListItem,0),0,1,1))*AW$3))),IF(ISNUMBER(AW$4),AW$4,IgnoreMin)))))</f>
        <v>0</v>
      </c>
      <c r="AX14" s="148">
        <f t="shared" ca="1" si="12"/>
        <v>108000</v>
      </c>
      <c r="AY14" s="148">
        <f t="shared" ca="1" si="13"/>
        <v>0</v>
      </c>
      <c r="AZ14" s="148">
        <f ca="1">IF(ISNUMBER($AL14),($AR14*$AL14)-$AI14-$AK14,MAX(0,IF($AL14="B",IF($AR14&lt;Setup!$C$32,($AR14*Setup!$D$32)-$AI14-$AK14,(($AR14-VLOOKUP($AR14,TaxAll2,1,1))*OFFSET(Setup!$D$32,MATCH($AR14,TaxBracket2,1),0,1,1))+OFFSET(Setup!$E$31,MATCH($AR14,TaxBracket2,1),0,1,1)-$AI14-$AK14),IF($AR14&lt;Setup!$C$21,($AR14*Setup!$D$21)-$AI14-$AK14,(($AR14-VLOOKUP($AR14,TaxAll1,1,1))*OFFSET(Setup!$D$21,MATCH($AR14,TaxBracket1,1),0,1,1))+OFFSET(Setup!$E$20,MATCH($AR14,TaxBracket1,1),0,1,1)-$AI14-$AK14))))</f>
        <v>2205</v>
      </c>
      <c r="BA14" s="148">
        <f ca="1">IF(ISNUMBER($AL14),($AX14*$AL14)-$AI14-$AK14,MAX(0,IF($AL14="B",IF($AX14&lt;Setup!$C$32,($AX14*Setup!$D$32)-$AI14-$AK14,(($AX14-VLOOKUP($AX14,TaxAll2,1,1))*OFFSET(Setup!$D$32,MATCH($AX14,TaxBracket2,1),0,1,1))+OFFSET(Setup!$E$31,MATCH($AX14,TaxBracket2,1),0,1,1)-$AI14-$AK14),IF($AX14&lt;Setup!$C$21,($AX14*Setup!$D$21)-$AI14-$AK14,(($AX14-VLOOKUP($AX14,TaxAll1,1,1))*OFFSET(Setup!$D$21,MATCH($AX14,TaxBracket1,1),0,1,1))+OFFSET(Setup!$E$20,MATCH($AX14,TaxBracket1,1),0,1,1)-$AI14-$AK14))))</f>
        <v>2205</v>
      </c>
      <c r="BB14" s="148">
        <f t="shared" ca="1" si="14"/>
        <v>0</v>
      </c>
      <c r="BC14" s="150">
        <f t="shared" ca="1" si="15"/>
        <v>1</v>
      </c>
      <c r="BD14" s="150">
        <f t="shared" ca="1" si="16"/>
        <v>0</v>
      </c>
      <c r="BE14" s="148">
        <f t="shared" ca="1" si="17"/>
        <v>108000</v>
      </c>
    </row>
    <row r="15" spans="1:57" ht="16.149999999999999" customHeight="1" x14ac:dyDescent="0.25">
      <c r="A15" s="9" t="str" cm="1">
        <f t="array" aca="1" ref="A15" ca="1">IF(ROW($A15)-ROW($A$6)&gt;EmpCount*12,"-",TEXT($B15,"yyyy")&amp;TEXT($B15,"mm")&amp;"-"&amp;$C15)</f>
        <v>202303-EXS009</v>
      </c>
      <c r="B15" s="129" cm="1">
        <f t="array" aca="1" ref="B15" ca="1">IF(ROW($A15)-ROW($A$6)&gt;EmpCount*12,Setup!$D$12,DATE(YEAR(Setup!$F$12),MONTH(Setup!$F$12)+ROUNDDOWN((ROW($A15)-ROW($A$6)-1)/EmpCount,0),IF(Setup!$C$14&gt;DAY(DATE(YEAR(Setup!$F$12),MONTH(Setup!$F$12)+ROUNDDOWN((ROW($A15)-ROW($A$6)-1)/EmpCount,0)+1,0)),DAY(DATE(YEAR(Setup!$F$12),MONTH(Setup!$F$12)+ROUNDDOWN((ROW($A15)-ROW($A$6)-1)/EmpCount,0)+1,0)),Setup!$C$14)))</f>
        <v>45010</v>
      </c>
      <c r="C15" s="130" t="str" cm="1">
        <f t="array" aca="1" ref="C15" ca="1">IF(ROW($A15)-ROW($A$6)&gt;EmpCount*12,"-",OFFSET(Emp!$A$4,ROW($A15)-ROW($A$6)-IF(ROW($A15)-ROW($A$6)&gt;EmpCount,ROUNDDOWN((ROW($A15)-ROW($A$6)-1)/EmpCount,0)*EmpCount,0),0,1,1))</f>
        <v>EXS009</v>
      </c>
      <c r="D15" s="9" t="str">
        <f ca="1">IF(ISNA(VLOOKUP($C15,EmpAll,COLUMN(Emp!$B$4),0)),"-",VLOOKUP($C15,EmpAll,COLUMN(Emp!$B$4),0))</f>
        <v>Brown JT</v>
      </c>
      <c r="E15" s="130" t="str">
        <f ca="1">IF(ISNA(VLOOKUP($C15,EmpAll,COLUMN(Emp!$C$4),0)),"-",VLOOKUP($C15,EmpAll,COLUMN(Emp!$C$4),0))</f>
        <v>A</v>
      </c>
      <c r="F15" s="130" t="str">
        <f ca="1">IF(ISNA(VLOOKUP($C15,EmpAll,COLUMN(Emp!$A$4),0)),"-",IF(AND(VLOOKUP($C15,EmpAll,COLUMN(Emp!$E$4),0)&lt;&gt;0,VLOOKUP($C15,EmpAll,COLUMN(Emp!$E$4),0)&gt;=DATE(YEAR($AC15),MONTH($AC15)+1,0)),"Inactive",IF(AND(VLOOKUP($C15,EmpAll,COLUMN(Emp!$F$4),0)&lt;&gt;0,VLOOKUP($C15,EmpAll,COLUMN(Emp!$F$4),0)&lt;=DATE(YEAR($AC15),MONTH($AC15),0)),"Terminated","Active")))</f>
        <v>Active</v>
      </c>
      <c r="G15" s="133" cm="1">
        <f t="array" aca="1" ref="G15" ca="1">IF($F15&lt;&gt;"Active",0,IF(COUNTIFS(OverEmp,$C15,OverEarn,G$2,OverDate,"&lt;"&amp;DATE(YEAR($AC15),MONTH($AC15)+1,1),OverEnd,"&gt;="&amp;DATE(YEAR($AC15),MONTH($AC15),1))&gt;0,SUMIFS(OverValue,OverEmp,$C15,OverEarn,G$2,OverDate,"&lt;"&amp;DATE(YEAR($AC15),MONTH($AC15)+1,1),OverEnd,"&gt;="&amp;DATE(YEAR($AC15),MONTH($AC15),1)),IF(AND($AC15&gt;=Setup!$E$10,SUMIFS(EmpIncrease,EmpCode,$C15)&gt;0),SUMIFS(EmpIncrease,EmpCode,$C15),SUMIFS(EmpSalary,EmpCode,$C15))))</f>
        <v>9000</v>
      </c>
      <c r="H15" s="133" cm="1">
        <f t="array" aca="1" ref="H15" ca="1">IF($F15&lt;&gt;"Active",0,IF(COUNTIFS(OverEmp,$C15,OverEarn,H$2,OverDate,"&lt;"&amp;DATE(YEAR($AC15),MONTH($AC15)+1,1),OverEnd,"&gt;="&amp;DATE(YEAR($AC15),MONTH($AC15),1))&gt;0,SUMIFS(OverValue,OverEmp,$C15,OverEarn,H$2,OverDate,"&lt;"&amp;DATE(YEAR($AC15),MONTH($AC15)+1,1),OverEnd,"&gt;="&amp;DATE(YEAR($AC15),MONTH($AC15),1)),0))</f>
        <v>0</v>
      </c>
      <c r="I15" s="133" cm="1">
        <f t="array" aca="1" ref="I15" ca="1">IF($F15&lt;&gt;"Active",0,IF(COUNTIFS(OverEmp,$C15,OverEarn,I$2,OverDate,"&lt;"&amp;DATE(YEAR($AC15),MONTH($AC15)+1,1),OverEnd,"&gt;="&amp;DATE(YEAR($AC15),MONTH($AC15),1))&gt;0,SUMIFS(OverValue,OverEmp,$C15,OverEarn,I$2,OverDate,"&lt;"&amp;DATE(YEAR($AC15),MONTH($AC15)+1,1),OverEnd,"&gt;="&amp;DATE(YEAR($AC15),MONTH($AC15),1)),IF(MONTH(B15)=Setup!$C$15,SUMIFS(EmpBonus,EmpCode,$C15),0)))</f>
        <v>0</v>
      </c>
      <c r="J15" s="133" cm="1">
        <f t="array" aca="1" ref="J15" ca="1">IF($F15&lt;&gt;"Active",0,IF(COUNTIFS(OverEmp,$C15,OverEarn,J$2,OverDate,"&lt;"&amp;DATE(YEAR($AC15),MONTH($AC15)+1,1),OverEnd,"&gt;="&amp;DATE(YEAR($AC15),MONTH($AC15),1))&gt;0,SUMIFS(OverValue,OverEmp,$C15,OverEarn,J$2,OverDate,"&lt;"&amp;DATE(YEAR($AC15),MONTH($AC15)+1,1),OverEnd,"&gt;="&amp;DATE(YEAR($AC15),MONTH($AC15),1)),0))</f>
        <v>0</v>
      </c>
      <c r="K15" s="133" cm="1">
        <f t="array" aca="1" ref="K15" ca="1">IF($F15&lt;&gt;"Active",0,IF(COUNTIFS(OverEmp,$C15,OverEarn,K$2,OverDate,"&lt;"&amp;DATE(YEAR($AC15),MONTH($AC15)+1,1),OverEnd,"&gt;="&amp;DATE(YEAR($AC15),MONTH($AC15),1))&gt;0,SUMIFS(OverValue,OverEmp,$C15,OverEarn,K$2,OverDate,"&lt;"&amp;DATE(YEAR($AC15),MONTH($AC15)+1,1),OverEnd,"&gt;="&amp;DATE(YEAR($AC15),MONTH($AC15),1)),0))</f>
        <v>0</v>
      </c>
      <c r="L15" s="133">
        <f t="shared" ca="1" si="0"/>
        <v>9000</v>
      </c>
      <c r="M15" s="182" cm="1">
        <f t="array" aca="1" ref="M15" ca="1">IF(COUNTIFS(OverEmp,$C15,OverTax,M$5,OverDate,"&lt;"&amp;DATE(YEAR($AC15),MONTH($AC15)+1,1),OverEnd,"&gt;="&amp;DATE(YEAR($AC15),MONTH($AC15),1))&gt;0,SUMIFS(OverValue,OverEmp,$C15,OverTax,M$5,OverDate,"&lt;"&amp;DATE(YEAR($AC15),MONTH($AC15)+1,1),OverEnd,"&gt;="&amp;DATE(YEAR($AC15),MONTH($AC15),1)),(($BA15/12*$AA15)+(BB15*IF(1-$BC15=0,0,BD15/(1-$BC15))))-IF($F15="Terminated",0,SUMIFS(PayTaxDeduct,PayDate,"&lt;"&amp;$AC15,PayEmp,$C15)))</f>
        <v>183.75</v>
      </c>
      <c r="N15" s="133" cm="1">
        <f t="array" aca="1" ref="N15" ca="1">IF($F15="Terminated",0,IF($AA15=0,0,IF(ISNA(MATCH(N$5,DedListItem,0)),0,IF(COUNTIFS(OverEmp,$C15,OverDeduct,N$5,OverDate,"&lt;"&amp;DATE(YEAR($AC15),MONTH($AC15)+1,1),OverEnd,"&gt;="&amp;DATE(YEAR($AC15),MONTH($AC15),1))&gt;0,SUMIFS(OverValue,OverEmp,$C15,OverDeduct,N$5,OverDate,"&lt;"&amp;DATE(YEAR($AC15),MONTH($AC15)+1,1),OverEnd,"&gt;="&amp;DATE(YEAR($AC15),MONTH($AC15),1)),IF(OR(N$2="Fixed",N$2="Not Used"),(IF(COUNTIFS(EmpNo,$C15,OFFSET(Emp!$R$4,1,MATCH(N$5,DedListItem,0)-1,EmpCount,1),"&lt;&gt;")&gt;0,VLOOKUP($C15,EmpAll,COLUMN(Emp!$R$4)+MATCH(N$5,DedListItem,0)-1,0),OFFSET(Setup!$E$73,MATCH(N$5,DedListItem,0),0,1,1))*$AA15)-SUMIFS(OFFSET(N$6,1,0,PayCount,1),PayDate,"&lt;"&amp;$AC15,PayEmp,$C15),IF(ISNA(MATCH(N$2,EarnListItem,0))=FALSE,IF(OFFSET(Setup!$G$73,MATCH(N$5,DedListItem,0),0,1,1)="Taxable",SUMPRODUCT((PayEmp=$C15)*(PayDate&lt;=$AC15)*(PayEarnCode=N$2)*(PayEarnTax)*(PayEarnValues)),SUMPRODUCT((PayEmp=$C15)*(PayDate&lt;=$AC15)*(PayEarnCode=N$2)*(PayEarnValues)))*IF(COUNTIFS(EmpNo,$C15,OFFSET(Emp!$R$4,1,MATCH(N$5,DedListItem,0)-1,EmpCount,1),"&lt;&gt;")&gt;0,VLOOKUP($C15,EmpAll,COLUMN(Emp!$R$4)+MATCH(N$5,DedListItem,0)-1,0),OFFSET(Setup!$E$73,MATCH(N$5,DedListItem,0),0,1,1)),(MIN(IF(OFFSET(Setup!$G$73,MATCH(N$5,DedListItem,0),0,1,1)="Taxable",SUMPRODUCT((PayEmp=$C15)*(PayDate&lt;=$AC15)*(ISERROR(SEARCH(PayEarnCode,N$4)))*(PayEarnTax)*(PayEarnValues)),SUMPRODUCT((PayEmp=$C15)*(PayDate&lt;=$AC15)*(ISERROR(SEARCH(PayEarnCode,N$4)))*(PayEarnValues))),IF(ISNUMBER(N$3),N$3/12*$AA15,IgnoreMin)))*IF(COUNTIFS(EmpNo,$C15,OFFSET(Emp!$R$4,1,MATCH(N$5,DedListItem,0)-1,EmpCount,1),"&lt;&gt;")&gt;0,VLOOKUP($C15,EmpAll,COLUMN(Emp!$R$4)+MATCH(N$5,DedListItem,0)-1,0),OFFSET(Setup!$E$73,MATCH(N$5,DedListItem,0),0,1,1)))-SUMIFS(OFFSET(N$6,1,0,PayCount,1),PayDate,"&lt;"&amp;$AC15,PayEmp,$C15))))))</f>
        <v>90</v>
      </c>
      <c r="O15" s="133" cm="1">
        <f t="array" aca="1" ref="O15" ca="1">IF($F15="Terminated",0,IF($AA15=0,0,IF(ISNA(MATCH(O$5,DedListItem,0)),0,IF(COUNTIFS(OverEmp,$C15,OverDeduct,O$5,OverDate,"&lt;"&amp;DATE(YEAR($AC15),MONTH($AC15)+1,1),OverEnd,"&gt;="&amp;DATE(YEAR($AC15),MONTH($AC15),1))&gt;0,SUMIFS(OverValue,OverEmp,$C15,OverDeduct,O$5,OverDate,"&lt;"&amp;DATE(YEAR($AC15),MONTH($AC15)+1,1),OverEnd,"&gt;="&amp;DATE(YEAR($AC15),MONTH($AC15),1)),IF(OR(O$2="Fixed",O$2="Not Used"),(IF(COUNTIFS(EmpNo,$C15,OFFSET(Emp!$R$4,1,MATCH(O$5,DedListItem,0)-1,EmpCount,1),"&lt;&gt;")&gt;0,VLOOKUP($C15,EmpAll,COLUMN(Emp!$R$4)+MATCH(O$5,DedListItem,0)-1,0),OFFSET(Setup!$E$73,MATCH(O$5,DedListItem,0),0,1,1))*$AA15)-SUMIFS(OFFSET(O$6,1,0,PayCount,1),PayDate,"&lt;"&amp;$AC15,PayEmp,$C15),IF(ISNA(MATCH(O$2,EarnListItem,0))=FALSE,IF(OFFSET(Setup!$G$73,MATCH(O$5,DedListItem,0),0,1,1)="Taxable",SUMPRODUCT((PayEmp=$C15)*(PayDate&lt;=$AC15)*(PayEarnCode=O$2)*(PayEarnTax)*(PayEarnValues)),SUMPRODUCT((PayEmp=$C15)*(PayDate&lt;=$AC15)*(PayEarnCode=O$2)*(PayEarnValues)))*IF(COUNTIFS(EmpNo,$C15,OFFSET(Emp!$R$4,1,MATCH(O$5,DedListItem,0)-1,EmpCount,1),"&lt;&gt;")&gt;0,VLOOKUP($C15,EmpAll,COLUMN(Emp!$R$4)+MATCH(O$5,DedListItem,0)-1,0),OFFSET(Setup!$E$73,MATCH(O$5,DedListItem,0),0,1,1)),(MIN(IF(OFFSET(Setup!$G$73,MATCH(O$5,DedListItem,0),0,1,1)="Taxable",SUMPRODUCT((PayEmp=$C15)*(PayDate&lt;=$AC15)*(ISERROR(SEARCH(PayEarnCode,O$4)))*(PayEarnTax)*(PayEarnValues)),SUMPRODUCT((PayEmp=$C15)*(PayDate&lt;=$AC15)*(ISERROR(SEARCH(PayEarnCode,O$4)))*(PayEarnValues))),IF(ISNUMBER(O$3),O$3/12*$AA15,IgnoreMin)))*IF(COUNTIFS(EmpNo,$C15,OFFSET(Emp!$R$4,1,MATCH(O$5,DedListItem,0)-1,EmpCount,1),"&lt;&gt;")&gt;0,VLOOKUP($C15,EmpAll,COLUMN(Emp!$R$4)+MATCH(O$5,DedListItem,0)-1,0),OFFSET(Setup!$E$73,MATCH(O$5,DedListItem,0),0,1,1)))-SUMIFS(OFFSET(O$6,1,0,PayCount,1),PayDate,"&lt;"&amp;$AC15,PayEmp,$C15))))))</f>
        <v>0</v>
      </c>
      <c r="P15" s="133" cm="1">
        <f t="array" aca="1" ref="P15" ca="1">IF($F15="Terminated",0,IF($AA15=0,0,IF(ISNA(MATCH(P$5,DedListItem,0)),0,IF(COUNTIFS(OverEmp,$C15,OverDeduct,P$5,OverDate,"&lt;"&amp;DATE(YEAR($AC15),MONTH($AC15)+1,1),OverEnd,"&gt;="&amp;DATE(YEAR($AC15),MONTH($AC15),1))&gt;0,SUMIFS(OverValue,OverEmp,$C15,OverDeduct,P$5,OverDate,"&lt;"&amp;DATE(YEAR($AC15),MONTH($AC15)+1,1),OverEnd,"&gt;="&amp;DATE(YEAR($AC15),MONTH($AC15),1)),IF(OR(P$2="Fixed",P$2="Not Used"),(IF(COUNTIFS(EmpNo,$C15,OFFSET(Emp!$R$4,1,MATCH(P$5,DedListItem,0)-1,EmpCount,1),"&lt;&gt;")&gt;0,VLOOKUP($C15,EmpAll,COLUMN(Emp!$R$4)+MATCH(P$5,DedListItem,0)-1,0),OFFSET(Setup!$E$73,MATCH(P$5,DedListItem,0),0,1,1))*$AA15)-SUMIFS(OFFSET(P$6,1,0,PayCount,1),PayDate,"&lt;"&amp;$AC15,PayEmp,$C15),IF(ISNA(MATCH(P$2,EarnListItem,0))=FALSE,IF(OFFSET(Setup!$G$73,MATCH(P$5,DedListItem,0),0,1,1)="Taxable",SUMPRODUCT((PayEmp=$C15)*(PayDate&lt;=$AC15)*(PayEarnCode=P$2)*(PayEarnTax)*(PayEarnValues)),SUMPRODUCT((PayEmp=$C15)*(PayDate&lt;=$AC15)*(PayEarnCode=P$2)*(PayEarnValues)))*IF(COUNTIFS(EmpNo,$C15,OFFSET(Emp!$R$4,1,MATCH(P$5,DedListItem,0)-1,EmpCount,1),"&lt;&gt;")&gt;0,VLOOKUP($C15,EmpAll,COLUMN(Emp!$R$4)+MATCH(P$5,DedListItem,0)-1,0),OFFSET(Setup!$E$73,MATCH(P$5,DedListItem,0),0,1,1)),(MIN(IF(OFFSET(Setup!$G$73,MATCH(P$5,DedListItem,0),0,1,1)="Taxable",SUMPRODUCT((PayEmp=$C15)*(PayDate&lt;=$AC15)*(ISERROR(SEARCH(PayEarnCode,P$4)))*(PayEarnTax)*(PayEarnValues)),SUMPRODUCT((PayEmp=$C15)*(PayDate&lt;=$AC15)*(ISERROR(SEARCH(PayEarnCode,P$4)))*(PayEarnValues))),IF(ISNUMBER(P$3),P$3/12*$AA15,IgnoreMin)))*IF(COUNTIFS(EmpNo,$C15,OFFSET(Emp!$R$4,1,MATCH(P$5,DedListItem,0)-1,EmpCount,1),"&lt;&gt;")&gt;0,VLOOKUP($C15,EmpAll,COLUMN(Emp!$R$4)+MATCH(P$5,DedListItem,0)-1,0),OFFSET(Setup!$E$73,MATCH(P$5,DedListItem,0),0,1,1)))-SUMIFS(OFFSET(P$6,1,0,PayCount,1),PayDate,"&lt;"&amp;$AC15,PayEmp,$C15))))))</f>
        <v>0</v>
      </c>
      <c r="Q15" s="133" cm="1">
        <f t="array" aca="1" ref="Q15" ca="1">IF($F15="Terminated",0,IF($AA15=0,0,IF(ISNA(MATCH(Q$5,DedListItem,0)),0,IF(COUNTIFS(OverEmp,$C15,OverDeduct,Q$5,OverDate,"&lt;"&amp;DATE(YEAR($AC15),MONTH($AC15)+1,1),OverEnd,"&gt;="&amp;DATE(YEAR($AC15),MONTH($AC15),1))&gt;0,SUMIFS(OverValue,OverEmp,$C15,OverDeduct,Q$5,OverDate,"&lt;"&amp;DATE(YEAR($AC15),MONTH($AC15)+1,1),OverEnd,"&gt;="&amp;DATE(YEAR($AC15),MONTH($AC15),1)),IF(OR(Q$2="Fixed",Q$2="Not Used"),(IF(COUNTIFS(EmpNo,$C15,OFFSET(Emp!$R$4,1,MATCH(Q$5,DedListItem,0)-1,EmpCount,1),"&lt;&gt;")&gt;0,VLOOKUP($C15,EmpAll,COLUMN(Emp!$R$4)+MATCH(Q$5,DedListItem,0)-1,0),OFFSET(Setup!$E$73,MATCH(Q$5,DedListItem,0),0,1,1))*$AA15)-SUMIFS(OFFSET(Q$6,1,0,PayCount,1),PayDate,"&lt;"&amp;$AC15,PayEmp,$C15),IF(ISNA(MATCH(Q$2,EarnListItem,0))=FALSE,IF(OFFSET(Setup!$G$73,MATCH(Q$5,DedListItem,0),0,1,1)="Taxable",SUMPRODUCT((PayEmp=$C15)*(PayDate&lt;=$AC15)*(PayEarnCode=Q$2)*(PayEarnTax)*(PayEarnValues)),SUMPRODUCT((PayEmp=$C15)*(PayDate&lt;=$AC15)*(PayEarnCode=Q$2)*(PayEarnValues)))*IF(COUNTIFS(EmpNo,$C15,OFFSET(Emp!$R$4,1,MATCH(Q$5,DedListItem,0)-1,EmpCount,1),"&lt;&gt;")&gt;0,VLOOKUP($C15,EmpAll,COLUMN(Emp!$R$4)+MATCH(Q$5,DedListItem,0)-1,0),OFFSET(Setup!$E$73,MATCH(Q$5,DedListItem,0),0,1,1)),(MIN(IF(OFFSET(Setup!$G$73,MATCH(Q$5,DedListItem,0),0,1,1)="Taxable",SUMPRODUCT((PayEmp=$C15)*(PayDate&lt;=$AC15)*(ISERROR(SEARCH(PayEarnCode,Q$4)))*(PayEarnTax)*(PayEarnValues)),SUMPRODUCT((PayEmp=$C15)*(PayDate&lt;=$AC15)*(ISERROR(SEARCH(PayEarnCode,Q$4)))*(PayEarnValues))),IF(ISNUMBER(Q$3),Q$3/12*$AA15,IgnoreMin)))*IF(COUNTIFS(EmpNo,$C15,OFFSET(Emp!$R$4,1,MATCH(Q$5,DedListItem,0)-1,EmpCount,1),"&lt;&gt;")&gt;0,VLOOKUP($C15,EmpAll,COLUMN(Emp!$R$4)+MATCH(Q$5,DedListItem,0)-1,0),OFFSET(Setup!$E$73,MATCH(Q$5,DedListItem,0),0,1,1)))-SUMIFS(OFFSET(Q$6,1,0,PayCount,1),PayDate,"&lt;"&amp;$AC15,PayEmp,$C15))))))</f>
        <v>0</v>
      </c>
      <c r="R15" s="133">
        <f t="shared" ca="1" si="1"/>
        <v>273.75</v>
      </c>
      <c r="S15" s="133">
        <f t="shared" ca="1" si="2"/>
        <v>8726.25</v>
      </c>
      <c r="T15" s="133" cm="1">
        <f t="array" aca="1" ref="T15" ca="1">IF($F15="Terminated",0,IF($AA15=0,0,IF(ISNA(MATCH(T$5,CompListItem,0)),0,IF(COUNTIFS(OverEmp,$C15,OverComp,T$5,OverDate,"&lt;"&amp;DATE(YEAR($AC15),MONTH($AC15)+1,1),OverEnd,"&gt;="&amp;DATE(YEAR($AC15),MONTH($AC15),1))&gt;0,SUMIFS(OverValue,OverEmp,$C15,OverComp,T$5,OverDate,"&lt;"&amp;DATE(YEAR($AC15),MONTH($AC15)+1,1),OverEnd,"&gt;="&amp;DATE(YEAR($AC15),MONTH($AC15),1)),IF(OR(T$2="Fixed",T$2="Not Used"),(OFFSET(Setup!$E$81,MATCH(T$5,CompListItem,0),0,1,1)*$AA15)-SUMIFS(OFFSET(T$6,1,0,PayCount,1),PayDate,"&lt;"&amp;$AC15,PayEmp,$C15),IF(ISNA(MATCH(T$2,DedListItem,0))=FALSE,(SUMPRODUCT((PayEmp=$C15)*(PayDate&lt;=$AC15)*(PayDedList=T$2)*(PayDedValues))*OFFSET(Setup!$E$81,MATCH(T$5,CompListItem,0),0,1,1))-SUMIFS(OFFSET(T$6,1,0,PayCount,1),PayDate,"&lt;"&amp;$AC15,PayEmp,$C15),(MIN(IF(OFFSET(Setup!$G$81,MATCH(T$5,CompListItem,0),0,1,1)="Taxable",SUMPRODUCT((PayEmp=$C15)*(PayDate&lt;=$AC15)*(ISERROR(SEARCH(PayEarnCode,T$4)))*(PayEarnTax)*(PayEarnValues)),SUMPRODUCT((PayEmp=$C15)*(PayDate&lt;=$AC15)*(ISERROR(SEARCH(PayEarnCode,T$4)))*(PayEarnValues))),IF(ISNUMBER(T$3),T$3/12*$AA15,IgnoreMin)))*OFFSET(Setup!$E$81,MATCH(T$5,CompListItem,0),0,1,1)-SUMIFS(OFFSET(T$6,1,0,PayCount,1),PayDate,"&lt;"&amp;$AC15,PayEmp,$C15)))))))</f>
        <v>90</v>
      </c>
      <c r="U15" s="133" cm="1">
        <f t="array" aca="1" ref="U15" ca="1">IF($F15="Terminated",0,IF($AA15=0,0,IF(ISNA(MATCH(U$5,CompListItem,0)),0,IF(COUNTIFS(OverEmp,$C15,OverComp,U$5,OverDate,"&lt;"&amp;DATE(YEAR($AC15),MONTH($AC15)+1,1),OverEnd,"&gt;="&amp;DATE(YEAR($AC15),MONTH($AC15),1))&gt;0,SUMIFS(OverValue,OverEmp,$C15,OverComp,U$5,OverDate,"&lt;"&amp;DATE(YEAR($AC15),MONTH($AC15)+1,1),OverEnd,"&gt;="&amp;DATE(YEAR($AC15),MONTH($AC15),1)),IF(OR(U$2="Fixed",U$2="Not Used"),(OFFSET(Setup!$E$81,MATCH(U$5,CompListItem,0),0,1,1)*$AA15)-SUMIFS(OFFSET(U$6,1,0,PayCount,1),PayDate,"&lt;"&amp;$AC15,PayEmp,$C15),IF(ISNA(MATCH(U$2,DedListItem,0))=FALSE,(SUMPRODUCT((PayEmp=$C15)*(PayDate&lt;=$AC15)*(PayDedList=U$2)*(PayDedValues))*OFFSET(Setup!$E$81,MATCH(U$5,CompListItem,0),0,1,1))-SUMIFS(OFFSET(U$6,1,0,PayCount,1),PayDate,"&lt;"&amp;$AC15,PayEmp,$C15),(MIN(IF(OFFSET(Setup!$G$81,MATCH(U$5,CompListItem,0),0,1,1)="Taxable",SUMPRODUCT((PayEmp=$C15)*(PayDate&lt;=$AC15)*(ISERROR(SEARCH(PayEarnCode,U$4)))*(PayEarnTax)*(PayEarnValues)),SUMPRODUCT((PayEmp=$C15)*(PayDate&lt;=$AC15)*(ISERROR(SEARCH(PayEarnCode,U$4)))*(PayEarnValues))),IF(ISNUMBER(U$3),U$3/12*$AA15,IgnoreMin)))*OFFSET(Setup!$E$81,MATCH(U$5,CompListItem,0),0,1,1)-SUMIFS(OFFSET(U$6,1,0,PayCount,1),PayDate,"&lt;"&amp;$AC15,PayEmp,$C15)))))))</f>
        <v>90</v>
      </c>
      <c r="V15" s="133" cm="1">
        <f t="array" aca="1" ref="V15" ca="1">IF($F15="Terminated",0,IF($AA15=0,0,IF(ISNA(MATCH(V$5,CompListItem,0)),0,IF(COUNTIFS(OverEmp,$C15,OverComp,V$5,OverDate,"&lt;"&amp;DATE(YEAR($AC15),MONTH($AC15)+1,1),OverEnd,"&gt;="&amp;DATE(YEAR($AC15),MONTH($AC15),1))&gt;0,SUMIFS(OverValue,OverEmp,$C15,OverComp,V$5,OverDate,"&lt;"&amp;DATE(YEAR($AC15),MONTH($AC15)+1,1),OverEnd,"&gt;="&amp;DATE(YEAR($AC15),MONTH($AC15),1)),IF(OR(V$2="Fixed",V$2="Not Used"),(OFFSET(Setup!$E$81,MATCH(V$5,CompListItem,0),0,1,1)*$AA15)-SUMIFS(OFFSET(V$6,1,0,PayCount,1),PayDate,"&lt;"&amp;$AC15,PayEmp,$C15),IF(ISNA(MATCH(V$2,DedListItem,0))=FALSE,(SUMPRODUCT((PayEmp=$C15)*(PayDate&lt;=$AC15)*(PayDedList=V$2)*(PayDedValues))*OFFSET(Setup!$E$81,MATCH(V$5,CompListItem,0),0,1,1))-SUMIFS(OFFSET(V$6,1,0,PayCount,1),PayDate,"&lt;"&amp;$AC15,PayEmp,$C15),(MIN(IF(OFFSET(Setup!$G$81,MATCH(V$5,CompListItem,0),0,1,1)="Taxable",SUMPRODUCT((PayEmp=$C15)*(PayDate&lt;=$AC15)*(ISERROR(SEARCH(PayEarnCode,V$4)))*(PayEarnTax)*(PayEarnValues)),SUMPRODUCT((PayEmp=$C15)*(PayDate&lt;=$AC15)*(ISERROR(SEARCH(PayEarnCode,V$4)))*(PayEarnValues))),IF(ISNUMBER(V$3),V$3/12*$AA15,IgnoreMin)))*OFFSET(Setup!$E$81,MATCH(V$5,CompListItem,0),0,1,1)-SUMIFS(OFFSET(V$6,1,0,PayCount,1),PayDate,"&lt;"&amp;$AC15,PayEmp,$C15)))))))</f>
        <v>0</v>
      </c>
      <c r="W15" s="133" cm="1">
        <f t="array" aca="1" ref="W15" ca="1">IF($F15="Terminated",0,IF($AA15=0,0,IF(ISNA(MATCH(W$5,CompListItem,0)),0,IF(COUNTIFS(OverEmp,$C15,OverComp,W$5,OverDate,"&lt;"&amp;DATE(YEAR($AC15),MONTH($AC15)+1,1),OverEnd,"&gt;="&amp;DATE(YEAR($AC15),MONTH($AC15),1))&gt;0,SUMIFS(OverValue,OverEmp,$C15,OverComp,W$5,OverDate,"&lt;"&amp;DATE(YEAR($AC15),MONTH($AC15)+1,1),OverEnd,"&gt;="&amp;DATE(YEAR($AC15),MONTH($AC15),1)),IF(OR(W$2="Fixed",W$2="Not Used"),(OFFSET(Setup!$E$81,MATCH(W$5,CompListItem,0),0,1,1)*$AA15)-SUMIFS(OFFSET(W$6,1,0,PayCount,1),PayDate,"&lt;"&amp;$AC15,PayEmp,$C15),IF(ISNA(MATCH(W$2,DedListItem,0))=FALSE,(SUMPRODUCT((PayEmp=$C15)*(PayDate&lt;=$AC15)*(PayDedList=W$2)*(PayDedValues))*OFFSET(Setup!$E$81,MATCH(W$5,CompListItem,0),0,1,1))-SUMIFS(OFFSET(W$6,1,0,PayCount,1),PayDate,"&lt;"&amp;$AC15,PayEmp,$C15),(MIN(IF(OFFSET(Setup!$G$81,MATCH(W$5,CompListItem,0),0,1,1)="Taxable",SUMPRODUCT((PayEmp=$C15)*(PayDate&lt;=$AC15)*(ISERROR(SEARCH(PayEarnCode,W$4)))*(PayEarnTax)*(PayEarnValues)),SUMPRODUCT((PayEmp=$C15)*(PayDate&lt;=$AC15)*(ISERROR(SEARCH(PayEarnCode,W$4)))*(PayEarnValues))),IF(ISNUMBER(W$3),W$3/12*$AA15,IgnoreMin)))*OFFSET(Setup!$E$81,MATCH(W$5,CompListItem,0),0,1,1)-SUMIFS(OFFSET(W$6,1,0,PayCount,1),PayDate,"&lt;"&amp;$AC15,PayEmp,$C15)))))))</f>
        <v>0</v>
      </c>
      <c r="X15" s="133">
        <f ca="1">SUM(OFFSET($T15,0,0,1,COLUMN($X$6)-COLUMN($T$7)))</f>
        <v>180</v>
      </c>
      <c r="Y15" s="133">
        <f t="shared" ca="1" si="4"/>
        <v>9180</v>
      </c>
      <c r="Z15" s="133">
        <f ca="1">ROUND(SUM(R15,X15),2)</f>
        <v>453.75</v>
      </c>
      <c r="AA15" s="183">
        <f ca="1">IF(OR($B15&lt;=Setup!$E$12,$B15&gt;=Setup!$D$12+1),0,IF($F15&lt;&gt;"Active",0,IF($AE15="Yes",$AB15,((YEAR($AC15)*12)+MONTH($AC15))-((YEAR($AD15)*12)+MONTH($AD15)-1))))</f>
        <v>1</v>
      </c>
      <c r="AB15" s="183">
        <f ca="1">IF(OR($B15&lt;=Setup!$E$12,$B15&gt;=Setup!$D$12+1),0,((YEAR($AC15)*12)+MONTH($AC15))-((YEAR(Setup!$E$12)*12)+MONTH(Setup!$E$12)))</f>
        <v>1</v>
      </c>
      <c r="AC15" s="129">
        <f ca="1">DATE(YEAR($B15),MONTH($B15),DAY($B15))</f>
        <v>45010</v>
      </c>
      <c r="AD15" s="184">
        <f ca="1">IF(ISNA(VLOOKUP($C15,EmpAll,COLUMN(Emp!$E$4),0)),$AC15,IF(VLOOKUP($C15,EmpAll,COLUMN(Emp!$E$4),0)&lt;=Setup!$E$12,DATE(YEAR(Setup!$E$12),MONTH(Setup!$E$12)+1,1),VLOOKUP($C15,EmpAll,COLUMN(Emp!$E$4),0)))</f>
        <v>44986</v>
      </c>
      <c r="AE15" s="184" t="str">
        <f ca="1">IF(ISNA(VLOOKUP($C15,EmpAll,COLUMN(Emp!$G$1),0)),"-",IF(VLOOKUP($C15,EmpAll,COLUMN(Emp!$G$1),0)=0,"-",VLOOKUP($C15,EmpAll,COLUMN(Emp!$G$1),0)))</f>
        <v>-</v>
      </c>
      <c r="AF15" s="130">
        <f ca="1">IF(A15=PaySlip!$G$3,1,0)</f>
        <v>0</v>
      </c>
      <c r="AG15" s="130" cm="1">
        <f t="array" aca="1" ref="AG15" ca="1">IF(COUNTIFS(OverEmp,$C15,OverMed,"MED",OverDate,"&lt;"&amp;DATE(YEAR($AC15),MONTH($AC15)+1,1),OverEnd,"&gt;="&amp;DATE(YEAR($AC15),MONTH($AC15),1))&gt;0,SUMIFS(OverValue,OverEmp,$C15,OverMed,"MED",OverDate,"&lt;"&amp;DATE(YEAR($AC15),MONTH($AC15)+1,1),OverEnd,"&gt;="&amp;DATE(YEAR($AC15),MONTH($AC15),1)),IF(ISNA(VLOOKUP($C15,EmpAll,COLUMN(Emp!$N$4),0)),0,VLOOKUP($C15,EmpAll,COLUMN(Emp!$N$4),0)))</f>
        <v>0</v>
      </c>
      <c r="AH15" s="183">
        <f ca="1">VLOOKUP($AG15,MedList,COLUMN(Setup!$C$49),1)</f>
        <v>0</v>
      </c>
      <c r="AI15" s="183">
        <f t="shared" ca="1" si="7"/>
        <v>0</v>
      </c>
      <c r="AJ15" s="101" t="str">
        <f ca="1">IF(ISNA(VLOOKUP($C15,EmpAll,COLUMN(Emp!$L$4),0)),"None!",VLOOKUP($C15,EmpAll,COLUMN(Emp!$L$4),0))</f>
        <v>A</v>
      </c>
      <c r="AK15" s="147">
        <f ca="1">IF(ISNA(VLOOKUP($AJ15,RebateList,4,0)),VLOOKUP("A",RebateList,3,0),VLOOKUP($AJ15,RebateList,4,0))</f>
        <v>17235</v>
      </c>
      <c r="AL15" s="101" t="str">
        <f ca="1">IF(ISNA(VLOOKUP($C15,Employees[],COLUMN(Emp!$M$4),0))=TRUE,"Error!",IF(VLOOKUP($C15,Employees[],COLUMN(Emp!$M$4),0)=0,"Yes",VLOOKUP($C15,Employees[],COLUMN(Emp!$M$4),0)))</f>
        <v>A</v>
      </c>
      <c r="AM15" s="148">
        <f t="shared" ca="1" si="9"/>
        <v>108000</v>
      </c>
      <c r="AN15" s="148" cm="1">
        <f t="array" aca="1" ref="AN15" ca="1">-IF($F15="Terminated",0,IF($AA15=0,0,IF(ISNA(MATCH(AN$5,PayDedList,0)),0,MIN(IF(COUNTIFS(OverEmp,$C15,OverDeduct,AN$5,OverDate,"&lt;"&amp;DATE(YEAR($AC15),MONTH($AC15)+1,1),OverEnd,"&gt;="&amp;DATE(YEAR($AC15),MONTH($AC15),1))&gt;0,SUMPRODUCT((PayEmp=$C15)*(PayDate&lt;=$AC15)*(OFFSET($N$6,1,MATCH(AN$5,PayDedList,0)-1,PayCount,1)))/$AA15*12*AN$3,IF(OR(AN$1="Fixed",AN$1="Not Used"),SUMPRODUCT((PayEmp=$C15)*(PayDate&lt;=$AC15)*(OFFSET($N$6,1,MATCH(AN$5,PayDedList,0)-1,PayCount,1)))/$AA15*12*AN$3,IF(ISNA(MATCH(AN$1,EarnListItem,0))=FALSE,SUMPRODUCT((PayEmp=$C15)*(PayDate&lt;=$AC15)*(OFFSET($N$6,1,MATCH(AN$5,PayDedList,0)-1,PayCount,1)))/$AA15*12*AN$3,(MIN(((SUMPRODUCT((PayEmp=$C15)*(PayDate&lt;=$AC15)*(ISERROR(SEARCH(PayEarnCode,AN$2)))*(PayEarnType="Monthly")*(PayEarnValues))/$AA15*12)+(SUMPRODUCT((PayEmp=$C15)*(PayDate&lt;=$AC15)*(ISERROR(SEARCH(PayEarnCode,AN$2)))*(PayEarnType="Quarterly")*(PayEarnValues))/MAX(1,ROUNDDOWN($AB15/3,0))*4)+(SUMPRODUCT((PayEmp=$C15)*(PayDate&lt;=$AC15)*(ISERROR(SEARCH(PayEarnCode,AN$2)))*(PayEarnType="Bi-Annual")*(PayEarnValues))/MAX(1,ROUNDDOWN($AB15/6,0))*2)+(SUMPRODUCT((PayEmp=$C15)*(PayDate&lt;=$AC15)*(ISERROR(SEARCH(PayEarnCode,AN$2)))*(PayEarnType="Annual")*(PayEarnValues)))),IF(ISNUMBER(OFFSET($N$3,0,MATCH(AN$5,PayDedList,0)-1,1,1)),OFFSET($N$3,0,MATCH(AN$5,PayDedList,0)-1,1,1),IgnoreMin)))*IF(COUNTIFS(EmpNo,$C15,OFFSET(Emp!$R$4,1,MATCH(AN$5,DedListItem,0)-1,EmpCount,1),"&lt;&gt;")&gt;0,VLOOKUP($C15,EmpAll,COLUMN(Emp!$R$4)+MATCH(AN$5,DedListItem,0)-1,0),OFFSET(Setup!$E$73,MATCH(AN$5,DedListItem,0),0,1,1))*AN$3))),IF(ISNUMBER(AN$4),AN$4,IgnoreMin)))))</f>
        <v>0</v>
      </c>
      <c r="AO15" s="148" cm="1">
        <f t="array" aca="1" ref="AO15" ca="1">-IF($F15="Terminated",0,IF($AA15=0,0,IF(ISNA(MATCH(AO$5,PayDedList,0)),0,MIN(IF(COUNTIFS(OverEmp,$C15,OverDeduct,AO$5,OverDate,"&lt;"&amp;DATE(YEAR($AC15),MONTH($AC15)+1,1),OverEnd,"&gt;="&amp;DATE(YEAR($AC15),MONTH($AC15),1))&gt;0,SUMPRODUCT((PayEmp=$C15)*(PayDate&lt;=$AC15)*(OFFSET($N$6,1,MATCH(AO$5,PayDedList,0)-1,PayCount,1)))/$AA15*12*AO$3,IF(OR(AO$1="Fixed",AO$1="Not Used"),SUMPRODUCT((PayEmp=$C15)*(PayDate&lt;=$AC15)*(OFFSET($N$6,1,MATCH(AO$5,PayDedList,0)-1,PayCount,1)))/$AA15*12*AO$3,IF(ISNA(MATCH(AO$1,EarnListItem,0))=FALSE,SUMPRODUCT((PayEmp=$C15)*(PayDate&lt;=$AC15)*(OFFSET($N$6,1,MATCH(AO$5,PayDedList,0)-1,PayCount,1)))/$AA15*12*AO$3,(MIN(((SUMPRODUCT((PayEmp=$C15)*(PayDate&lt;=$AC15)*(ISERROR(SEARCH(PayEarnCode,AO$2)))*(PayEarnType="Monthly")*(PayEarnValues))/$AA15*12)+(SUMPRODUCT((PayEmp=$C15)*(PayDate&lt;=$AC15)*(ISERROR(SEARCH(PayEarnCode,AO$2)))*(PayEarnType="Quarterly")*(PayEarnValues))/MAX(1,ROUNDDOWN($AB15/3,0))*4)+(SUMPRODUCT((PayEmp=$C15)*(PayDate&lt;=$AC15)*(ISERROR(SEARCH(PayEarnCode,AO$2)))*(PayEarnType="Bi-Annual")*(PayEarnValues))/MAX(1,ROUNDDOWN($AB15/6,0))*2)+(SUMPRODUCT((PayEmp=$C15)*(PayDate&lt;=$AC15)*(ISERROR(SEARCH(PayEarnCode,AO$2)))*(PayEarnType="Annual")*(PayEarnValues)))),IF(ISNUMBER(OFFSET($N$3,0,MATCH(AO$5,PayDedList,0)-1,1,1)),OFFSET($N$3,0,MATCH(AO$5,PayDedList,0)-1,1,1),IgnoreMin)))*IF(COUNTIFS(EmpNo,$C15,OFFSET(Emp!$R$4,1,MATCH(AO$5,DedListItem,0)-1,EmpCount,1),"&lt;&gt;")&gt;0,VLOOKUP($C15,EmpAll,COLUMN(Emp!$R$4)+MATCH(AO$5,DedListItem,0)-1,0),OFFSET(Setup!$E$73,MATCH(AO$5,DedListItem,0),0,1,1))*AO$3))),IF(ISNUMBER(AO$4),AO$4,IgnoreMin)))))</f>
        <v>0</v>
      </c>
      <c r="AP15" s="148" cm="1">
        <f t="array" aca="1" ref="AP15" ca="1">-IF($F15="Terminated",0,IF($AA15=0,0,IF(ISNA(MATCH(AP$5,PayDedList,0)),0,MIN(IF(COUNTIFS(OverEmp,$C15,OverDeduct,AP$5,OverDate,"&lt;"&amp;DATE(YEAR($AC15),MONTH($AC15)+1,1),OverEnd,"&gt;="&amp;DATE(YEAR($AC15),MONTH($AC15),1))&gt;0,SUMPRODUCT((PayEmp=$C15)*(PayDate&lt;=$AC15)*(OFFSET($N$6,1,MATCH(AP$5,PayDedList,0)-1,PayCount,1)))/$AA15*12*AP$3,IF(OR(AP$1="Fixed",AP$1="Not Used"),SUMPRODUCT((PayEmp=$C15)*(PayDate&lt;=$AC15)*(OFFSET($N$6,1,MATCH(AP$5,PayDedList,0)-1,PayCount,1)))/$AA15*12*AP$3,IF(ISNA(MATCH(AP$1,EarnListItem,0))=FALSE,SUMPRODUCT((PayEmp=$C15)*(PayDate&lt;=$AC15)*(OFFSET($N$6,1,MATCH(AP$5,PayDedList,0)-1,PayCount,1)))/$AA15*12*AP$3,(MIN(((SUMPRODUCT((PayEmp=$C15)*(PayDate&lt;=$AC15)*(ISERROR(SEARCH(PayEarnCode,AP$2)))*(PayEarnType="Monthly")*(PayEarnValues))/$AA15*12)+(SUMPRODUCT((PayEmp=$C15)*(PayDate&lt;=$AC15)*(ISERROR(SEARCH(PayEarnCode,AP$2)))*(PayEarnType="Quarterly")*(PayEarnValues))/MAX(1,ROUNDDOWN($AB15/3,0))*4)+(SUMPRODUCT((PayEmp=$C15)*(PayDate&lt;=$AC15)*(ISERROR(SEARCH(PayEarnCode,AP$2)))*(PayEarnType="Bi-Annual")*(PayEarnValues))/MAX(1,ROUNDDOWN($AB15/6,0))*2)+(SUMPRODUCT((PayEmp=$C15)*(PayDate&lt;=$AC15)*(ISERROR(SEARCH(PayEarnCode,AP$2)))*(PayEarnType="Annual")*(PayEarnValues)))),IF(ISNUMBER(OFFSET($N$3,0,MATCH(AP$5,PayDedList,0)-1,1,1)),OFFSET($N$3,0,MATCH(AP$5,PayDedList,0)-1,1,1),IgnoreMin)))*IF(COUNTIFS(EmpNo,$C15,OFFSET(Emp!$R$4,1,MATCH(AP$5,DedListItem,0)-1,EmpCount,1),"&lt;&gt;")&gt;0,VLOOKUP($C15,EmpAll,COLUMN(Emp!$R$4)+MATCH(AP$5,DedListItem,0)-1,0),OFFSET(Setup!$E$73,MATCH(AP$5,DedListItem,0),0,1,1))*AP$3))),IF(ISNUMBER(AP$4),AP$4,IgnoreMin)))))</f>
        <v>0</v>
      </c>
      <c r="AQ15" s="148" cm="1">
        <f t="array" aca="1" ref="AQ15" ca="1">-IF($F15="Terminated",0,IF($AA15=0,0,IF(ISNA(MATCH(AQ$5,PayDedList,0)),0,MIN(IF(COUNTIFS(OverEmp,$C15,OverDeduct,AQ$5,OverDate,"&lt;"&amp;DATE(YEAR($AC15),MONTH($AC15)+1,1),OverEnd,"&gt;="&amp;DATE(YEAR($AC15),MONTH($AC15),1))&gt;0,SUMPRODUCT((PayEmp=$C15)*(PayDate&lt;=$AC15)*(OFFSET($N$6,1,MATCH(AQ$5,PayDedList,0)-1,PayCount,1)))/$AA15*12*AQ$3,IF(OR(AQ$1="Fixed",AQ$1="Not Used"),SUMPRODUCT((PayEmp=$C15)*(PayDate&lt;=$AC15)*(OFFSET($N$6,1,MATCH(AQ$5,PayDedList,0)-1,PayCount,1)))/$AA15*12*AQ$3,IF(ISNA(MATCH(AQ$1,EarnListItem,0))=FALSE,SUMPRODUCT((PayEmp=$C15)*(PayDate&lt;=$AC15)*(OFFSET($N$6,1,MATCH(AQ$5,PayDedList,0)-1,PayCount,1)))/$AA15*12*AQ$3,(MIN(((SUMPRODUCT((PayEmp=$C15)*(PayDate&lt;=$AC15)*(ISERROR(SEARCH(PayEarnCode,AQ$2)))*(PayEarnType="Monthly")*(PayEarnValues))/$AA15*12)+(SUMPRODUCT((PayEmp=$C15)*(PayDate&lt;=$AC15)*(ISERROR(SEARCH(PayEarnCode,AQ$2)))*(PayEarnType="Quarterly")*(PayEarnValues))/MAX(1,ROUNDDOWN($AB15/3,0))*4)+(SUMPRODUCT((PayEmp=$C15)*(PayDate&lt;=$AC15)*(ISERROR(SEARCH(PayEarnCode,AQ$2)))*(PayEarnType="Bi-Annual")*(PayEarnValues))/MAX(1,ROUNDDOWN($AB15/6,0))*2)+(SUMPRODUCT((PayEmp=$C15)*(PayDate&lt;=$AC15)*(ISERROR(SEARCH(PayEarnCode,AQ$2)))*(PayEarnType="Annual")*(PayEarnValues)))),IF(ISNUMBER(OFFSET($N$3,0,MATCH(AQ$5,PayDedList,0)-1,1,1)),OFFSET($N$3,0,MATCH(AQ$5,PayDedList,0)-1,1,1),IgnoreMin)))*IF(COUNTIFS(EmpNo,$C15,OFFSET(Emp!$R$4,1,MATCH(AQ$5,DedListItem,0)-1,EmpCount,1),"&lt;&gt;")&gt;0,VLOOKUP($C15,EmpAll,COLUMN(Emp!$R$4)+MATCH(AQ$5,DedListItem,0)-1,0),OFFSET(Setup!$E$73,MATCH(AQ$5,DedListItem,0),0,1,1))*AQ$3))),IF(ISNUMBER(AQ$4),AQ$4,IgnoreMin)))))</f>
        <v>0</v>
      </c>
      <c r="AR15" s="148">
        <f ca="1">$AM15+SUM(OFFSET($AM15,0,1,1,COLUMN($AR$2)-COLUMN($AM$2)-1))</f>
        <v>108000</v>
      </c>
      <c r="AS15" s="148">
        <f t="shared" ca="1" si="11"/>
        <v>108000</v>
      </c>
      <c r="AT15" s="148" cm="1">
        <f t="array" aca="1" ref="AT15" ca="1">-IF($F15="Terminated",0,IF($AA15=0,0,IF(ISNA(MATCH(AT$5,PayDedList,0)),0,MIN(IF(COUNTIFS(OverEmp,$C15,OverDeduct,AT$5,OverDate,"&lt;"&amp;DATE(YEAR($AC15),MONTH($AC15)+1,1),OverEnd,"&gt;="&amp;DATE(YEAR($AC15),MONTH($AC15),1))&gt;0,SUMPRODUCT((PayEmp=$C15)*(PayDate&lt;=$AC15)*(OFFSET($N$6,1,MATCH(AT$5,PayDedList,0)-1,PayCount,1)))/$AA15*12*AT$3,IF(OR(AT$1="Fixed",AT$1="Not Used"),SUMPRODUCT((PayEmp=$C15)*(PayDate&lt;=$AC15)*(OFFSET($N$6,1,MATCH(AT$5,PayDedList,0)-1,PayCount,1)))/$AA15*12*AT$3,IF(ISNA(MATCH(OFFSET($N$2,0,MATCH(AT$5,PayDedList,0)-1,1,1),EarnListItem,0))=FALSE,SUMPRODUCT((PayEmp=$C15)*(PayDate&lt;=$AC15)*(OFFSET($N$6,1,MATCH(AT$5,PayDedList,0)-1,PayCount,1)))/$AA15*12*AT$3,(MIN(SUMPRODUCT((PayEmp=$C15)*(PayDate&lt;=$AC15)*(ISERROR(SEARCH(PayEarnCode,AT$2)))*(PayEarnType="Monthly")*(PayEarnValues))/$AA15*12,IF(ISNUMBER(OFFSET($N$3,0,MATCH(AT$5,PayDedList,0)-1,1,1)),OFFSET($N$3,0,MATCH(AT$5,PayDedList,0)-1,1,1),IgnoreMin)))*IF(COUNTIFS(EmpNo,$C15,OFFSET(Emp!$R$4,1,MATCH(AT$5,DedListItem,0)-1,EmpCount,1),"&lt;&gt;")&gt;0,VLOOKUP($C15,EmpAll,COLUMN(Emp!$R$4)+MATCH(AT$5,DedListItem,0)-1,0),OFFSET(Setup!$E$73,MATCH(AT$5,DedListItem,0),0,1,1))*AT$3))),IF(ISNUMBER(AT$4),AT$4,IgnoreMin)))))</f>
        <v>0</v>
      </c>
      <c r="AU15" s="148" cm="1">
        <f t="array" aca="1" ref="AU15" ca="1">-IF($F15="Terminated",0,IF($AA15=0,0,IF(ISNA(MATCH(AU$5,PayDedList,0)),0,MIN(IF(COUNTIFS(OverEmp,$C15,OverDeduct,AU$5,OverDate,"&lt;"&amp;DATE(YEAR($AC15),MONTH($AC15)+1,1),OverEnd,"&gt;="&amp;DATE(YEAR($AC15),MONTH($AC15),1))&gt;0,SUMPRODUCT((PayEmp=$C15)*(PayDate&lt;=$AC15)*(OFFSET($N$6,1,MATCH(AU$5,PayDedList,0)-1,PayCount,1)))/$AA15*12*AU$3,IF(OR(AU$1="Fixed",AU$1="Not Used"),SUMPRODUCT((PayEmp=$C15)*(PayDate&lt;=$AC15)*(OFFSET($N$6,1,MATCH(AU$5,PayDedList,0)-1,PayCount,1)))/$AA15*12*AU$3,IF(ISNA(MATCH(OFFSET($N$2,0,MATCH(AU$5,PayDedList,0)-1,1,1),EarnListItem,0))=FALSE,SUMPRODUCT((PayEmp=$C15)*(PayDate&lt;=$AC15)*(OFFSET($N$6,1,MATCH(AU$5,PayDedList,0)-1,PayCount,1)))/$AA15*12*AU$3,(MIN(SUMPRODUCT((PayEmp=$C15)*(PayDate&lt;=$AC15)*(ISERROR(SEARCH(PayEarnCode,AU$2)))*(PayEarnType="Monthly")*(PayEarnValues))/$AA15*12,IF(ISNUMBER(OFFSET($N$3,0,MATCH(AU$5,PayDedList,0)-1,1,1)),OFFSET($N$3,0,MATCH(AU$5,PayDedList,0)-1,1,1),IgnoreMin)))*IF(COUNTIFS(EmpNo,$C15,OFFSET(Emp!$R$4,1,MATCH(AU$5,DedListItem,0)-1,EmpCount,1),"&lt;&gt;")&gt;0,VLOOKUP($C15,EmpAll,COLUMN(Emp!$R$4)+MATCH(AU$5,DedListItem,0)-1,0),OFFSET(Setup!$E$73,MATCH(AU$5,DedListItem,0),0,1,1))*AU$3))),IF(ISNUMBER(AU$4),AU$4,IgnoreMin)))))</f>
        <v>0</v>
      </c>
      <c r="AV15" s="148" cm="1">
        <f t="array" aca="1" ref="AV15" ca="1">-IF($F15="Terminated",0,IF($AA15=0,0,IF(ISNA(MATCH(AV$5,PayDedList,0)),0,MIN(IF(COUNTIFS(OverEmp,$C15,OverDeduct,AV$5,OverDate,"&lt;"&amp;DATE(YEAR($AC15),MONTH($AC15)+1,1),OverEnd,"&gt;="&amp;DATE(YEAR($AC15),MONTH($AC15),1))&gt;0,SUMPRODUCT((PayEmp=$C15)*(PayDate&lt;=$AC15)*(OFFSET($N$6,1,MATCH(AV$5,PayDedList,0)-1,PayCount,1)))/$AA15*12*AV$3,IF(OR(AV$1="Fixed",AV$1="Not Used"),SUMPRODUCT((PayEmp=$C15)*(PayDate&lt;=$AC15)*(OFFSET($N$6,1,MATCH(AV$5,PayDedList,0)-1,PayCount,1)))/$AA15*12*AV$3,IF(ISNA(MATCH(OFFSET($N$2,0,MATCH(AV$5,PayDedList,0)-1,1,1),EarnListItem,0))=FALSE,SUMPRODUCT((PayEmp=$C15)*(PayDate&lt;=$AC15)*(OFFSET($N$6,1,MATCH(AV$5,PayDedList,0)-1,PayCount,1)))/$AA15*12*AV$3,(MIN(SUMPRODUCT((PayEmp=$C15)*(PayDate&lt;=$AC15)*(ISERROR(SEARCH(PayEarnCode,AV$2)))*(PayEarnType="Monthly")*(PayEarnValues))/$AA15*12,IF(ISNUMBER(OFFSET($N$3,0,MATCH(AV$5,PayDedList,0)-1,1,1)),OFFSET($N$3,0,MATCH(AV$5,PayDedList,0)-1,1,1),IgnoreMin)))*IF(COUNTIFS(EmpNo,$C15,OFFSET(Emp!$R$4,1,MATCH(AV$5,DedListItem,0)-1,EmpCount,1),"&lt;&gt;")&gt;0,VLOOKUP($C15,EmpAll,COLUMN(Emp!$R$4)+MATCH(AV$5,DedListItem,0)-1,0),OFFSET(Setup!$E$73,MATCH(AV$5,DedListItem,0),0,1,1))*AV$3))),IF(ISNUMBER(AV$4),AV$4,IgnoreMin)))))</f>
        <v>0</v>
      </c>
      <c r="AW15" s="148" cm="1">
        <f t="array" aca="1" ref="AW15" ca="1">-IF($F15="Terminated",0,IF($AA15=0,0,IF(ISNA(MATCH(AW$5,PayDedList,0)),0,MIN(IF(COUNTIFS(OverEmp,$C15,OverDeduct,AW$5,OverDate,"&lt;"&amp;DATE(YEAR($AC15),MONTH($AC15)+1,1),OverEnd,"&gt;="&amp;DATE(YEAR($AC15),MONTH($AC15),1))&gt;0,SUMPRODUCT((PayEmp=$C15)*(PayDate&lt;=$AC15)*(OFFSET($N$6,1,MATCH(AW$5,PayDedList,0)-1,PayCount,1)))/$AA15*12*AW$3,IF(OR(AW$1="Fixed",AW$1="Not Used"),SUMPRODUCT((PayEmp=$C15)*(PayDate&lt;=$AC15)*(OFFSET($N$6,1,MATCH(AW$5,PayDedList,0)-1,PayCount,1)))/$AA15*12*AW$3,IF(ISNA(MATCH(OFFSET($N$2,0,MATCH(AW$5,PayDedList,0)-1,1,1),EarnListItem,0))=FALSE,SUMPRODUCT((PayEmp=$C15)*(PayDate&lt;=$AC15)*(OFFSET($N$6,1,MATCH(AW$5,PayDedList,0)-1,PayCount,1)))/$AA15*12*AW$3,(MIN(SUMPRODUCT((PayEmp=$C15)*(PayDate&lt;=$AC15)*(ISERROR(SEARCH(PayEarnCode,AW$2)))*(PayEarnType="Monthly")*(PayEarnValues))/$AA15*12,IF(ISNUMBER(OFFSET($N$3,0,MATCH(AW$5,PayDedList,0)-1,1,1)),OFFSET($N$3,0,MATCH(AW$5,PayDedList,0)-1,1,1),IgnoreMin)))*IF(COUNTIFS(EmpNo,$C15,OFFSET(Emp!$R$4,1,MATCH(AW$5,DedListItem,0)-1,EmpCount,1),"&lt;&gt;")&gt;0,VLOOKUP($C15,EmpAll,COLUMN(Emp!$R$4)+MATCH(AW$5,DedListItem,0)-1,0),OFFSET(Setup!$E$73,MATCH(AW$5,DedListItem,0),0,1,1))*AW$3))),IF(ISNUMBER(AW$4),AW$4,IgnoreMin)))))</f>
        <v>0</v>
      </c>
      <c r="AX15" s="148">
        <f t="shared" ca="1" si="12"/>
        <v>108000</v>
      </c>
      <c r="AY15" s="148">
        <f t="shared" ca="1" si="13"/>
        <v>0</v>
      </c>
      <c r="AZ15" s="148">
        <f ca="1">IF(ISNUMBER($AL15),($AR15*$AL15)-$AI15-$AK15,MAX(0,IF($AL15="B",IF($AR15&lt;Setup!$C$32,($AR15*Setup!$D$32)-$AI15-$AK15,(($AR15-VLOOKUP($AR15,TaxAll2,1,1))*OFFSET(Setup!$D$32,MATCH($AR15,TaxBracket2,1),0,1,1))+OFFSET(Setup!$E$31,MATCH($AR15,TaxBracket2,1),0,1,1)-$AI15-$AK15),IF($AR15&lt;Setup!$C$21,($AR15*Setup!$D$21)-$AI15-$AK15,(($AR15-VLOOKUP($AR15,TaxAll1,1,1))*OFFSET(Setup!$D$21,MATCH($AR15,TaxBracket1,1),0,1,1))+OFFSET(Setup!$E$20,MATCH($AR15,TaxBracket1,1),0,1,1)-$AI15-$AK15))))</f>
        <v>2205</v>
      </c>
      <c r="BA15" s="148">
        <f ca="1">IF(ISNUMBER($AL15),($AX15*$AL15)-$AI15-$AK15,MAX(0,IF($AL15="B",IF($AX15&lt;Setup!$C$32,($AX15*Setup!$D$32)-$AI15-$AK15,(($AX15-VLOOKUP($AX15,TaxAll2,1,1))*OFFSET(Setup!$D$32,MATCH($AX15,TaxBracket2,1),0,1,1))+OFFSET(Setup!$E$31,MATCH($AX15,TaxBracket2,1),0,1,1)-$AI15-$AK15),IF($AX15&lt;Setup!$C$21,($AX15*Setup!$D$21)-$AI15-$AK15,(($AX15-VLOOKUP($AX15,TaxAll1,1,1))*OFFSET(Setup!$D$21,MATCH($AX15,TaxBracket1,1),0,1,1))+OFFSET(Setup!$E$20,MATCH($AX15,TaxBracket1,1),0,1,1)-$AI15-$AK15))))</f>
        <v>2205</v>
      </c>
      <c r="BB15" s="148">
        <f ca="1">AZ15-BA15</f>
        <v>0</v>
      </c>
      <c r="BC15" s="150">
        <f t="shared" ca="1" si="15"/>
        <v>1</v>
      </c>
      <c r="BD15" s="150">
        <f t="shared" ca="1" si="16"/>
        <v>0</v>
      </c>
      <c r="BE15" s="148">
        <f t="shared" ca="1" si="17"/>
        <v>108000</v>
      </c>
    </row>
    <row r="16" spans="1:57" ht="16.149999999999999" customHeight="1" x14ac:dyDescent="0.25">
      <c r="A16" s="9" t="str" cm="1">
        <f t="array" aca="1" ref="A16" ca="1">IF(ROW($A16)-ROW($A$6)&gt;EmpCount*12,"-",TEXT($B16,"yyyy")&amp;TEXT($B16,"mm")&amp;"-"&amp;$C16)</f>
        <v>202303-EXS010</v>
      </c>
      <c r="B16" s="129" cm="1">
        <f t="array" aca="1" ref="B16" ca="1">IF(ROW($A16)-ROW($A$6)&gt;EmpCount*12,Setup!$D$12,DATE(YEAR(Setup!$F$12),MONTH(Setup!$F$12)+ROUNDDOWN((ROW($A16)-ROW($A$6)-1)/EmpCount,0),IF(Setup!$C$14&gt;DAY(DATE(YEAR(Setup!$F$12),MONTH(Setup!$F$12)+ROUNDDOWN((ROW($A16)-ROW($A$6)-1)/EmpCount,0)+1,0)),DAY(DATE(YEAR(Setup!$F$12),MONTH(Setup!$F$12)+ROUNDDOWN((ROW($A16)-ROW($A$6)-1)/EmpCount,0)+1,0)),Setup!$C$14)))</f>
        <v>45010</v>
      </c>
      <c r="C16" s="130" t="str" cm="1">
        <f t="array" aca="1" ref="C16" ca="1">IF(ROW($A16)-ROW($A$6)&gt;EmpCount*12,"-",OFFSET(Emp!$A$4,ROW($A16)-ROW($A$6)-IF(ROW($A16)-ROW($A$6)&gt;EmpCount,ROUNDDOWN((ROW($A16)-ROW($A$6)-1)/EmpCount,0)*EmpCount,0),0,1,1))</f>
        <v>EXS010</v>
      </c>
      <c r="D16" s="9" t="str">
        <f ca="1">IF(ISNA(VLOOKUP($C16,EmpAll,COLUMN(Emp!$B$4),0)),"-",VLOOKUP($C16,EmpAll,COLUMN(Emp!$B$4),0))</f>
        <v>Lewis I</v>
      </c>
      <c r="E16" s="130" t="str">
        <f ca="1">IF(ISNA(VLOOKUP($C16,EmpAll,COLUMN(Emp!$C$4),0)),"-",VLOOKUP($C16,EmpAll,COLUMN(Emp!$C$4),0))</f>
        <v>A</v>
      </c>
      <c r="F16" s="130" t="str">
        <f ca="1">IF(ISNA(VLOOKUP($C16,EmpAll,COLUMN(Emp!$A$4),0)),"-",IF(AND(VLOOKUP($C16,EmpAll,COLUMN(Emp!$E$4),0)&lt;&gt;0,VLOOKUP($C16,EmpAll,COLUMN(Emp!$E$4),0)&gt;=DATE(YEAR($AC16),MONTH($AC16)+1,0)),"Inactive",IF(AND(VLOOKUP($C16,EmpAll,COLUMN(Emp!$F$4),0)&lt;&gt;0,VLOOKUP($C16,EmpAll,COLUMN(Emp!$F$4),0)&lt;=DATE(YEAR($AC16),MONTH($AC16),0)),"Terminated","Active")))</f>
        <v>Active</v>
      </c>
      <c r="G16" s="133" cm="1">
        <f t="array" aca="1" ref="G16" ca="1">IF($F16&lt;&gt;"Active",0,IF(COUNTIFS(OverEmp,$C16,OverEarn,G$2,OverDate,"&lt;"&amp;DATE(YEAR($AC16),MONTH($AC16)+1,1),OverEnd,"&gt;="&amp;DATE(YEAR($AC16),MONTH($AC16),1))&gt;0,SUMIFS(OverValue,OverEmp,$C16,OverEarn,G$2,OverDate,"&lt;"&amp;DATE(YEAR($AC16),MONTH($AC16)+1,1),OverEnd,"&gt;="&amp;DATE(YEAR($AC16),MONTH($AC16),1)),IF(AND($AC16&gt;=Setup!$E$10,SUMIFS(EmpIncrease,EmpCode,$C16)&gt;0),SUMIFS(EmpIncrease,EmpCode,$C16),SUMIFS(EmpSalary,EmpCode,$C16))))</f>
        <v>9000</v>
      </c>
      <c r="H16" s="133" cm="1">
        <f t="array" aca="1" ref="H16" ca="1">IF($F16&lt;&gt;"Active",0,IF(COUNTIFS(OverEmp,$C16,OverEarn,H$2,OverDate,"&lt;"&amp;DATE(YEAR($AC16),MONTH($AC16)+1,1),OverEnd,"&gt;="&amp;DATE(YEAR($AC16),MONTH($AC16),1))&gt;0,SUMIFS(OverValue,OverEmp,$C16,OverEarn,H$2,OverDate,"&lt;"&amp;DATE(YEAR($AC16),MONTH($AC16)+1,1),OverEnd,"&gt;="&amp;DATE(YEAR($AC16),MONTH($AC16),1)),0))</f>
        <v>0</v>
      </c>
      <c r="I16" s="133" cm="1">
        <f t="array" aca="1" ref="I16" ca="1">IF($F16&lt;&gt;"Active",0,IF(COUNTIFS(OverEmp,$C16,OverEarn,I$2,OverDate,"&lt;"&amp;DATE(YEAR($AC16),MONTH($AC16)+1,1),OverEnd,"&gt;="&amp;DATE(YEAR($AC16),MONTH($AC16),1))&gt;0,SUMIFS(OverValue,OverEmp,$C16,OverEarn,I$2,OverDate,"&lt;"&amp;DATE(YEAR($AC16),MONTH($AC16)+1,1),OverEnd,"&gt;="&amp;DATE(YEAR($AC16),MONTH($AC16),1)),IF(MONTH(B16)=Setup!$C$15,SUMIFS(EmpBonus,EmpCode,$C16),0)))</f>
        <v>0</v>
      </c>
      <c r="J16" s="133" cm="1">
        <f t="array" aca="1" ref="J16" ca="1">IF($F16&lt;&gt;"Active",0,IF(COUNTIFS(OverEmp,$C16,OverEarn,J$2,OverDate,"&lt;"&amp;DATE(YEAR($AC16),MONTH($AC16)+1,1),OverEnd,"&gt;="&amp;DATE(YEAR($AC16),MONTH($AC16),1))&gt;0,SUMIFS(OverValue,OverEmp,$C16,OverEarn,J$2,OverDate,"&lt;"&amp;DATE(YEAR($AC16),MONTH($AC16)+1,1),OverEnd,"&gt;="&amp;DATE(YEAR($AC16),MONTH($AC16),1)),0))</f>
        <v>0</v>
      </c>
      <c r="K16" s="133" cm="1">
        <f t="array" aca="1" ref="K16" ca="1">IF($F16&lt;&gt;"Active",0,IF(COUNTIFS(OverEmp,$C16,OverEarn,K$2,OverDate,"&lt;"&amp;DATE(YEAR($AC16),MONTH($AC16)+1,1),OverEnd,"&gt;="&amp;DATE(YEAR($AC16),MONTH($AC16),1))&gt;0,SUMIFS(OverValue,OverEmp,$C16,OverEarn,K$2,OverDate,"&lt;"&amp;DATE(YEAR($AC16),MONTH($AC16)+1,1),OverEnd,"&gt;="&amp;DATE(YEAR($AC16),MONTH($AC16),1)),0))</f>
        <v>0</v>
      </c>
      <c r="L16" s="133">
        <f t="shared" ca="1" si="0"/>
        <v>9000</v>
      </c>
      <c r="M16" s="182" cm="1">
        <f t="array" aca="1" ref="M16" ca="1">IF(COUNTIFS(OverEmp,$C16,OverTax,M$5,OverDate,"&lt;"&amp;DATE(YEAR($AC16),MONTH($AC16)+1,1),OverEnd,"&gt;="&amp;DATE(YEAR($AC16),MONTH($AC16),1))&gt;0,SUMIFS(OverValue,OverEmp,$C16,OverTax,M$5,OverDate,"&lt;"&amp;DATE(YEAR($AC16),MONTH($AC16)+1,1),OverEnd,"&gt;="&amp;DATE(YEAR($AC16),MONTH($AC16),1)),(($BA16/12*$AA16)+(BB16*IF(1-$BC16=0,0,BD16/(1-$BC16))))-IF($F16="Terminated",0,SUMIFS(PayTaxDeduct,PayDate,"&lt;"&amp;$AC16,PayEmp,$C16)))</f>
        <v>183.75</v>
      </c>
      <c r="N16" s="133" cm="1">
        <f t="array" aca="1" ref="N16" ca="1">IF($F16="Terminated",0,IF($AA16=0,0,IF(ISNA(MATCH(N$5,DedListItem,0)),0,IF(COUNTIFS(OverEmp,$C16,OverDeduct,N$5,OverDate,"&lt;"&amp;DATE(YEAR($AC16),MONTH($AC16)+1,1),OverEnd,"&gt;="&amp;DATE(YEAR($AC16),MONTH($AC16),1))&gt;0,SUMIFS(OverValue,OverEmp,$C16,OverDeduct,N$5,OverDate,"&lt;"&amp;DATE(YEAR($AC16),MONTH($AC16)+1,1),OverEnd,"&gt;="&amp;DATE(YEAR($AC16),MONTH($AC16),1)),IF(OR(N$2="Fixed",N$2="Not Used"),(IF(COUNTIFS(EmpNo,$C16,OFFSET(Emp!$R$4,1,MATCH(N$5,DedListItem,0)-1,EmpCount,1),"&lt;&gt;")&gt;0,VLOOKUP($C16,EmpAll,COLUMN(Emp!$R$4)+MATCH(N$5,DedListItem,0)-1,0),OFFSET(Setup!$E$73,MATCH(N$5,DedListItem,0),0,1,1))*$AA16)-SUMIFS(OFFSET(N$6,1,0,PayCount,1),PayDate,"&lt;"&amp;$AC16,PayEmp,$C16),IF(ISNA(MATCH(N$2,EarnListItem,0))=FALSE,IF(OFFSET(Setup!$G$73,MATCH(N$5,DedListItem,0),0,1,1)="Taxable",SUMPRODUCT((PayEmp=$C16)*(PayDate&lt;=$AC16)*(PayEarnCode=N$2)*(PayEarnTax)*(PayEarnValues)),SUMPRODUCT((PayEmp=$C16)*(PayDate&lt;=$AC16)*(PayEarnCode=N$2)*(PayEarnValues)))*IF(COUNTIFS(EmpNo,$C16,OFFSET(Emp!$R$4,1,MATCH(N$5,DedListItem,0)-1,EmpCount,1),"&lt;&gt;")&gt;0,VLOOKUP($C16,EmpAll,COLUMN(Emp!$R$4)+MATCH(N$5,DedListItem,0)-1,0),OFFSET(Setup!$E$73,MATCH(N$5,DedListItem,0),0,1,1)),(MIN(IF(OFFSET(Setup!$G$73,MATCH(N$5,DedListItem,0),0,1,1)="Taxable",SUMPRODUCT((PayEmp=$C16)*(PayDate&lt;=$AC16)*(ISERROR(SEARCH(PayEarnCode,N$4)))*(PayEarnTax)*(PayEarnValues)),SUMPRODUCT((PayEmp=$C16)*(PayDate&lt;=$AC16)*(ISERROR(SEARCH(PayEarnCode,N$4)))*(PayEarnValues))),IF(ISNUMBER(N$3),N$3/12*$AA16,IgnoreMin)))*IF(COUNTIFS(EmpNo,$C16,OFFSET(Emp!$R$4,1,MATCH(N$5,DedListItem,0)-1,EmpCount,1),"&lt;&gt;")&gt;0,VLOOKUP($C16,EmpAll,COLUMN(Emp!$R$4)+MATCH(N$5,DedListItem,0)-1,0),OFFSET(Setup!$E$73,MATCH(N$5,DedListItem,0),0,1,1)))-SUMIFS(OFFSET(N$6,1,0,PayCount,1),PayDate,"&lt;"&amp;$AC16,PayEmp,$C16))))))</f>
        <v>90</v>
      </c>
      <c r="O16" s="133" cm="1">
        <f t="array" aca="1" ref="O16" ca="1">IF($F16="Terminated",0,IF($AA16=0,0,IF(ISNA(MATCH(O$5,DedListItem,0)),0,IF(COUNTIFS(OverEmp,$C16,OverDeduct,O$5,OverDate,"&lt;"&amp;DATE(YEAR($AC16),MONTH($AC16)+1,1),OverEnd,"&gt;="&amp;DATE(YEAR($AC16),MONTH($AC16),1))&gt;0,SUMIFS(OverValue,OverEmp,$C16,OverDeduct,O$5,OverDate,"&lt;"&amp;DATE(YEAR($AC16),MONTH($AC16)+1,1),OverEnd,"&gt;="&amp;DATE(YEAR($AC16),MONTH($AC16),1)),IF(OR(O$2="Fixed",O$2="Not Used"),(IF(COUNTIFS(EmpNo,$C16,OFFSET(Emp!$R$4,1,MATCH(O$5,DedListItem,0)-1,EmpCount,1),"&lt;&gt;")&gt;0,VLOOKUP($C16,EmpAll,COLUMN(Emp!$R$4)+MATCH(O$5,DedListItem,0)-1,0),OFFSET(Setup!$E$73,MATCH(O$5,DedListItem,0),0,1,1))*$AA16)-SUMIFS(OFFSET(O$6,1,0,PayCount,1),PayDate,"&lt;"&amp;$AC16,PayEmp,$C16),IF(ISNA(MATCH(O$2,EarnListItem,0))=FALSE,IF(OFFSET(Setup!$G$73,MATCH(O$5,DedListItem,0),0,1,1)="Taxable",SUMPRODUCT((PayEmp=$C16)*(PayDate&lt;=$AC16)*(PayEarnCode=O$2)*(PayEarnTax)*(PayEarnValues)),SUMPRODUCT((PayEmp=$C16)*(PayDate&lt;=$AC16)*(PayEarnCode=O$2)*(PayEarnValues)))*IF(COUNTIFS(EmpNo,$C16,OFFSET(Emp!$R$4,1,MATCH(O$5,DedListItem,0)-1,EmpCount,1),"&lt;&gt;")&gt;0,VLOOKUP($C16,EmpAll,COLUMN(Emp!$R$4)+MATCH(O$5,DedListItem,0)-1,0),OFFSET(Setup!$E$73,MATCH(O$5,DedListItem,0),0,1,1)),(MIN(IF(OFFSET(Setup!$G$73,MATCH(O$5,DedListItem,0),0,1,1)="Taxable",SUMPRODUCT((PayEmp=$C16)*(PayDate&lt;=$AC16)*(ISERROR(SEARCH(PayEarnCode,O$4)))*(PayEarnTax)*(PayEarnValues)),SUMPRODUCT((PayEmp=$C16)*(PayDate&lt;=$AC16)*(ISERROR(SEARCH(PayEarnCode,O$4)))*(PayEarnValues))),IF(ISNUMBER(O$3),O$3/12*$AA16,IgnoreMin)))*IF(COUNTIFS(EmpNo,$C16,OFFSET(Emp!$R$4,1,MATCH(O$5,DedListItem,0)-1,EmpCount,1),"&lt;&gt;")&gt;0,VLOOKUP($C16,EmpAll,COLUMN(Emp!$R$4)+MATCH(O$5,DedListItem,0)-1,0),OFFSET(Setup!$E$73,MATCH(O$5,DedListItem,0),0,1,1)))-SUMIFS(OFFSET(O$6,1,0,PayCount,1),PayDate,"&lt;"&amp;$AC16,PayEmp,$C16))))))</f>
        <v>0</v>
      </c>
      <c r="P16" s="133" cm="1">
        <f t="array" aca="1" ref="P16" ca="1">IF($F16="Terminated",0,IF($AA16=0,0,IF(ISNA(MATCH(P$5,DedListItem,0)),0,IF(COUNTIFS(OverEmp,$C16,OverDeduct,P$5,OverDate,"&lt;"&amp;DATE(YEAR($AC16),MONTH($AC16)+1,1),OverEnd,"&gt;="&amp;DATE(YEAR($AC16),MONTH($AC16),1))&gt;0,SUMIFS(OverValue,OverEmp,$C16,OverDeduct,P$5,OverDate,"&lt;"&amp;DATE(YEAR($AC16),MONTH($AC16)+1,1),OverEnd,"&gt;="&amp;DATE(YEAR($AC16),MONTH($AC16),1)),IF(OR(P$2="Fixed",P$2="Not Used"),(IF(COUNTIFS(EmpNo,$C16,OFFSET(Emp!$R$4,1,MATCH(P$5,DedListItem,0)-1,EmpCount,1),"&lt;&gt;")&gt;0,VLOOKUP($C16,EmpAll,COLUMN(Emp!$R$4)+MATCH(P$5,DedListItem,0)-1,0),OFFSET(Setup!$E$73,MATCH(P$5,DedListItem,0),0,1,1))*$AA16)-SUMIFS(OFFSET(P$6,1,0,PayCount,1),PayDate,"&lt;"&amp;$AC16,PayEmp,$C16),IF(ISNA(MATCH(P$2,EarnListItem,0))=FALSE,IF(OFFSET(Setup!$G$73,MATCH(P$5,DedListItem,0),0,1,1)="Taxable",SUMPRODUCT((PayEmp=$C16)*(PayDate&lt;=$AC16)*(PayEarnCode=P$2)*(PayEarnTax)*(PayEarnValues)),SUMPRODUCT((PayEmp=$C16)*(PayDate&lt;=$AC16)*(PayEarnCode=P$2)*(PayEarnValues)))*IF(COUNTIFS(EmpNo,$C16,OFFSET(Emp!$R$4,1,MATCH(P$5,DedListItem,0)-1,EmpCount,1),"&lt;&gt;")&gt;0,VLOOKUP($C16,EmpAll,COLUMN(Emp!$R$4)+MATCH(P$5,DedListItem,0)-1,0),OFFSET(Setup!$E$73,MATCH(P$5,DedListItem,0),0,1,1)),(MIN(IF(OFFSET(Setup!$G$73,MATCH(P$5,DedListItem,0),0,1,1)="Taxable",SUMPRODUCT((PayEmp=$C16)*(PayDate&lt;=$AC16)*(ISERROR(SEARCH(PayEarnCode,P$4)))*(PayEarnTax)*(PayEarnValues)),SUMPRODUCT((PayEmp=$C16)*(PayDate&lt;=$AC16)*(ISERROR(SEARCH(PayEarnCode,P$4)))*(PayEarnValues))),IF(ISNUMBER(P$3),P$3/12*$AA16,IgnoreMin)))*IF(COUNTIFS(EmpNo,$C16,OFFSET(Emp!$R$4,1,MATCH(P$5,DedListItem,0)-1,EmpCount,1),"&lt;&gt;")&gt;0,VLOOKUP($C16,EmpAll,COLUMN(Emp!$R$4)+MATCH(P$5,DedListItem,0)-1,0),OFFSET(Setup!$E$73,MATCH(P$5,DedListItem,0),0,1,1)))-SUMIFS(OFFSET(P$6,1,0,PayCount,1),PayDate,"&lt;"&amp;$AC16,PayEmp,$C16))))))</f>
        <v>0</v>
      </c>
      <c r="Q16" s="133" cm="1">
        <f t="array" aca="1" ref="Q16" ca="1">IF($F16="Terminated",0,IF($AA16=0,0,IF(ISNA(MATCH(Q$5,DedListItem,0)),0,IF(COUNTIFS(OverEmp,$C16,OverDeduct,Q$5,OverDate,"&lt;"&amp;DATE(YEAR($AC16),MONTH($AC16)+1,1),OverEnd,"&gt;="&amp;DATE(YEAR($AC16),MONTH($AC16),1))&gt;0,SUMIFS(OverValue,OverEmp,$C16,OverDeduct,Q$5,OverDate,"&lt;"&amp;DATE(YEAR($AC16),MONTH($AC16)+1,1),OverEnd,"&gt;="&amp;DATE(YEAR($AC16),MONTH($AC16),1)),IF(OR(Q$2="Fixed",Q$2="Not Used"),(IF(COUNTIFS(EmpNo,$C16,OFFSET(Emp!$R$4,1,MATCH(Q$5,DedListItem,0)-1,EmpCount,1),"&lt;&gt;")&gt;0,VLOOKUP($C16,EmpAll,COLUMN(Emp!$R$4)+MATCH(Q$5,DedListItem,0)-1,0),OFFSET(Setup!$E$73,MATCH(Q$5,DedListItem,0),0,1,1))*$AA16)-SUMIFS(OFFSET(Q$6,1,0,PayCount,1),PayDate,"&lt;"&amp;$AC16,PayEmp,$C16),IF(ISNA(MATCH(Q$2,EarnListItem,0))=FALSE,IF(OFFSET(Setup!$G$73,MATCH(Q$5,DedListItem,0),0,1,1)="Taxable",SUMPRODUCT((PayEmp=$C16)*(PayDate&lt;=$AC16)*(PayEarnCode=Q$2)*(PayEarnTax)*(PayEarnValues)),SUMPRODUCT((PayEmp=$C16)*(PayDate&lt;=$AC16)*(PayEarnCode=Q$2)*(PayEarnValues)))*IF(COUNTIFS(EmpNo,$C16,OFFSET(Emp!$R$4,1,MATCH(Q$5,DedListItem,0)-1,EmpCount,1),"&lt;&gt;")&gt;0,VLOOKUP($C16,EmpAll,COLUMN(Emp!$R$4)+MATCH(Q$5,DedListItem,0)-1,0),OFFSET(Setup!$E$73,MATCH(Q$5,DedListItem,0),0,1,1)),(MIN(IF(OFFSET(Setup!$G$73,MATCH(Q$5,DedListItem,0),0,1,1)="Taxable",SUMPRODUCT((PayEmp=$C16)*(PayDate&lt;=$AC16)*(ISERROR(SEARCH(PayEarnCode,Q$4)))*(PayEarnTax)*(PayEarnValues)),SUMPRODUCT((PayEmp=$C16)*(PayDate&lt;=$AC16)*(ISERROR(SEARCH(PayEarnCode,Q$4)))*(PayEarnValues))),IF(ISNUMBER(Q$3),Q$3/12*$AA16,IgnoreMin)))*IF(COUNTIFS(EmpNo,$C16,OFFSET(Emp!$R$4,1,MATCH(Q$5,DedListItem,0)-1,EmpCount,1),"&lt;&gt;")&gt;0,VLOOKUP($C16,EmpAll,COLUMN(Emp!$R$4)+MATCH(Q$5,DedListItem,0)-1,0),OFFSET(Setup!$E$73,MATCH(Q$5,DedListItem,0),0,1,1)))-SUMIFS(OFFSET(Q$6,1,0,PayCount,1),PayDate,"&lt;"&amp;$AC16,PayEmp,$C16))))))</f>
        <v>0</v>
      </c>
      <c r="R16" s="133">
        <f t="shared" ca="1" si="1"/>
        <v>273.75</v>
      </c>
      <c r="S16" s="133">
        <f t="shared" ca="1" si="2"/>
        <v>8726.25</v>
      </c>
      <c r="T16" s="133" cm="1">
        <f t="array" aca="1" ref="T16" ca="1">IF($F16="Terminated",0,IF($AA16=0,0,IF(ISNA(MATCH(T$5,CompListItem,0)),0,IF(COUNTIFS(OverEmp,$C16,OverComp,T$5,OverDate,"&lt;"&amp;DATE(YEAR($AC16),MONTH($AC16)+1,1),OverEnd,"&gt;="&amp;DATE(YEAR($AC16),MONTH($AC16),1))&gt;0,SUMIFS(OverValue,OverEmp,$C16,OverComp,T$5,OverDate,"&lt;"&amp;DATE(YEAR($AC16),MONTH($AC16)+1,1),OverEnd,"&gt;="&amp;DATE(YEAR($AC16),MONTH($AC16),1)),IF(OR(T$2="Fixed",T$2="Not Used"),(OFFSET(Setup!$E$81,MATCH(T$5,CompListItem,0),0,1,1)*$AA16)-SUMIFS(OFFSET(T$6,1,0,PayCount,1),PayDate,"&lt;"&amp;$AC16,PayEmp,$C16),IF(ISNA(MATCH(T$2,DedListItem,0))=FALSE,(SUMPRODUCT((PayEmp=$C16)*(PayDate&lt;=$AC16)*(PayDedList=T$2)*(PayDedValues))*OFFSET(Setup!$E$81,MATCH(T$5,CompListItem,0),0,1,1))-SUMIFS(OFFSET(T$6,1,0,PayCount,1),PayDate,"&lt;"&amp;$AC16,PayEmp,$C16),(MIN(IF(OFFSET(Setup!$G$81,MATCH(T$5,CompListItem,0),0,1,1)="Taxable",SUMPRODUCT((PayEmp=$C16)*(PayDate&lt;=$AC16)*(ISERROR(SEARCH(PayEarnCode,T$4)))*(PayEarnTax)*(PayEarnValues)),SUMPRODUCT((PayEmp=$C16)*(PayDate&lt;=$AC16)*(ISERROR(SEARCH(PayEarnCode,T$4)))*(PayEarnValues))),IF(ISNUMBER(T$3),T$3/12*$AA16,IgnoreMin)))*OFFSET(Setup!$E$81,MATCH(T$5,CompListItem,0),0,1,1)-SUMIFS(OFFSET(T$6,1,0,PayCount,1),PayDate,"&lt;"&amp;$AC16,PayEmp,$C16)))))))</f>
        <v>90</v>
      </c>
      <c r="U16" s="133" cm="1">
        <f t="array" aca="1" ref="U16" ca="1">IF($F16="Terminated",0,IF($AA16=0,0,IF(ISNA(MATCH(U$5,CompListItem,0)),0,IF(COUNTIFS(OverEmp,$C16,OverComp,U$5,OverDate,"&lt;"&amp;DATE(YEAR($AC16),MONTH($AC16)+1,1),OverEnd,"&gt;="&amp;DATE(YEAR($AC16),MONTH($AC16),1))&gt;0,SUMIFS(OverValue,OverEmp,$C16,OverComp,U$5,OverDate,"&lt;"&amp;DATE(YEAR($AC16),MONTH($AC16)+1,1),OverEnd,"&gt;="&amp;DATE(YEAR($AC16),MONTH($AC16),1)),IF(OR(U$2="Fixed",U$2="Not Used"),(OFFSET(Setup!$E$81,MATCH(U$5,CompListItem,0),0,1,1)*$AA16)-SUMIFS(OFFSET(U$6,1,0,PayCount,1),PayDate,"&lt;"&amp;$AC16,PayEmp,$C16),IF(ISNA(MATCH(U$2,DedListItem,0))=FALSE,(SUMPRODUCT((PayEmp=$C16)*(PayDate&lt;=$AC16)*(PayDedList=U$2)*(PayDedValues))*OFFSET(Setup!$E$81,MATCH(U$5,CompListItem,0),0,1,1))-SUMIFS(OFFSET(U$6,1,0,PayCount,1),PayDate,"&lt;"&amp;$AC16,PayEmp,$C16),(MIN(IF(OFFSET(Setup!$G$81,MATCH(U$5,CompListItem,0),0,1,1)="Taxable",SUMPRODUCT((PayEmp=$C16)*(PayDate&lt;=$AC16)*(ISERROR(SEARCH(PayEarnCode,U$4)))*(PayEarnTax)*(PayEarnValues)),SUMPRODUCT((PayEmp=$C16)*(PayDate&lt;=$AC16)*(ISERROR(SEARCH(PayEarnCode,U$4)))*(PayEarnValues))),IF(ISNUMBER(U$3),U$3/12*$AA16,IgnoreMin)))*OFFSET(Setup!$E$81,MATCH(U$5,CompListItem,0),0,1,1)-SUMIFS(OFFSET(U$6,1,0,PayCount,1),PayDate,"&lt;"&amp;$AC16,PayEmp,$C16)))))))</f>
        <v>90</v>
      </c>
      <c r="V16" s="133" cm="1">
        <f t="array" aca="1" ref="V16" ca="1">IF($F16="Terminated",0,IF($AA16=0,0,IF(ISNA(MATCH(V$5,CompListItem,0)),0,IF(COUNTIFS(OverEmp,$C16,OverComp,V$5,OverDate,"&lt;"&amp;DATE(YEAR($AC16),MONTH($AC16)+1,1),OverEnd,"&gt;="&amp;DATE(YEAR($AC16),MONTH($AC16),1))&gt;0,SUMIFS(OverValue,OverEmp,$C16,OverComp,V$5,OverDate,"&lt;"&amp;DATE(YEAR($AC16),MONTH($AC16)+1,1),OverEnd,"&gt;="&amp;DATE(YEAR($AC16),MONTH($AC16),1)),IF(OR(V$2="Fixed",V$2="Not Used"),(OFFSET(Setup!$E$81,MATCH(V$5,CompListItem,0),0,1,1)*$AA16)-SUMIFS(OFFSET(V$6,1,0,PayCount,1),PayDate,"&lt;"&amp;$AC16,PayEmp,$C16),IF(ISNA(MATCH(V$2,DedListItem,0))=FALSE,(SUMPRODUCT((PayEmp=$C16)*(PayDate&lt;=$AC16)*(PayDedList=V$2)*(PayDedValues))*OFFSET(Setup!$E$81,MATCH(V$5,CompListItem,0),0,1,1))-SUMIFS(OFFSET(V$6,1,0,PayCount,1),PayDate,"&lt;"&amp;$AC16,PayEmp,$C16),(MIN(IF(OFFSET(Setup!$G$81,MATCH(V$5,CompListItem,0),0,1,1)="Taxable",SUMPRODUCT((PayEmp=$C16)*(PayDate&lt;=$AC16)*(ISERROR(SEARCH(PayEarnCode,V$4)))*(PayEarnTax)*(PayEarnValues)),SUMPRODUCT((PayEmp=$C16)*(PayDate&lt;=$AC16)*(ISERROR(SEARCH(PayEarnCode,V$4)))*(PayEarnValues))),IF(ISNUMBER(V$3),V$3/12*$AA16,IgnoreMin)))*OFFSET(Setup!$E$81,MATCH(V$5,CompListItem,0),0,1,1)-SUMIFS(OFFSET(V$6,1,0,PayCount,1),PayDate,"&lt;"&amp;$AC16,PayEmp,$C16)))))))</f>
        <v>0</v>
      </c>
      <c r="W16" s="133" cm="1">
        <f t="array" aca="1" ref="W16" ca="1">IF($F16="Terminated",0,IF($AA16=0,0,IF(ISNA(MATCH(W$5,CompListItem,0)),0,IF(COUNTIFS(OverEmp,$C16,OverComp,W$5,OverDate,"&lt;"&amp;DATE(YEAR($AC16),MONTH($AC16)+1,1),OverEnd,"&gt;="&amp;DATE(YEAR($AC16),MONTH($AC16),1))&gt;0,SUMIFS(OverValue,OverEmp,$C16,OverComp,W$5,OverDate,"&lt;"&amp;DATE(YEAR($AC16),MONTH($AC16)+1,1),OverEnd,"&gt;="&amp;DATE(YEAR($AC16),MONTH($AC16),1)),IF(OR(W$2="Fixed",W$2="Not Used"),(OFFSET(Setup!$E$81,MATCH(W$5,CompListItem,0),0,1,1)*$AA16)-SUMIFS(OFFSET(W$6,1,0,PayCount,1),PayDate,"&lt;"&amp;$AC16,PayEmp,$C16),IF(ISNA(MATCH(W$2,DedListItem,0))=FALSE,(SUMPRODUCT((PayEmp=$C16)*(PayDate&lt;=$AC16)*(PayDedList=W$2)*(PayDedValues))*OFFSET(Setup!$E$81,MATCH(W$5,CompListItem,0),0,1,1))-SUMIFS(OFFSET(W$6,1,0,PayCount,1),PayDate,"&lt;"&amp;$AC16,PayEmp,$C16),(MIN(IF(OFFSET(Setup!$G$81,MATCH(W$5,CompListItem,0),0,1,1)="Taxable",SUMPRODUCT((PayEmp=$C16)*(PayDate&lt;=$AC16)*(ISERROR(SEARCH(PayEarnCode,W$4)))*(PayEarnTax)*(PayEarnValues)),SUMPRODUCT((PayEmp=$C16)*(PayDate&lt;=$AC16)*(ISERROR(SEARCH(PayEarnCode,W$4)))*(PayEarnValues))),IF(ISNUMBER(W$3),W$3/12*$AA16,IgnoreMin)))*OFFSET(Setup!$E$81,MATCH(W$5,CompListItem,0),0,1,1)-SUMIFS(OFFSET(W$6,1,0,PayCount,1),PayDate,"&lt;"&amp;$AC16,PayEmp,$C16)))))))</f>
        <v>0</v>
      </c>
      <c r="X16" s="133">
        <f ca="1">SUM(OFFSET($T16,0,0,1,COLUMN($X$6)-COLUMN($T$7)))</f>
        <v>180</v>
      </c>
      <c r="Y16" s="133">
        <f t="shared" ca="1" si="4"/>
        <v>9180</v>
      </c>
      <c r="Z16" s="133">
        <f ca="1">ROUND(SUM(R16,X16),2)</f>
        <v>453.75</v>
      </c>
      <c r="AA16" s="183">
        <f ca="1">IF(OR($B16&lt;=Setup!$E$12,$B16&gt;=Setup!$D$12+1),0,IF($F16&lt;&gt;"Active",0,IF($AE16="Yes",$AB16,((YEAR($AC16)*12)+MONTH($AC16))-((YEAR($AD16)*12)+MONTH($AD16)-1))))</f>
        <v>1</v>
      </c>
      <c r="AB16" s="183">
        <f ca="1">IF(OR($B16&lt;=Setup!$E$12,$B16&gt;=Setup!$D$12+1),0,((YEAR($AC16)*12)+MONTH($AC16))-((YEAR(Setup!$E$12)*12)+MONTH(Setup!$E$12)))</f>
        <v>1</v>
      </c>
      <c r="AC16" s="129">
        <f ca="1">DATE(YEAR($B16),MONTH($B16),DAY($B16))</f>
        <v>45010</v>
      </c>
      <c r="AD16" s="184">
        <f ca="1">IF(ISNA(VLOOKUP($C16,EmpAll,COLUMN(Emp!$E$4),0)),$AC16,IF(VLOOKUP($C16,EmpAll,COLUMN(Emp!$E$4),0)&lt;=Setup!$E$12,DATE(YEAR(Setup!$E$12),MONTH(Setup!$E$12)+1,1),VLOOKUP($C16,EmpAll,COLUMN(Emp!$E$4),0)))</f>
        <v>44986</v>
      </c>
      <c r="AE16" s="184" t="str">
        <f ca="1">IF(ISNA(VLOOKUP($C16,EmpAll,COLUMN(Emp!$G$1),0)),"-",IF(VLOOKUP($C16,EmpAll,COLUMN(Emp!$G$1),0)=0,"-",VLOOKUP($C16,EmpAll,COLUMN(Emp!$G$1),0)))</f>
        <v>-</v>
      </c>
      <c r="AF16" s="130">
        <f ca="1">IF(A16=PaySlip!$G$3,1,0)</f>
        <v>0</v>
      </c>
      <c r="AG16" s="130" cm="1">
        <f t="array" aca="1" ref="AG16" ca="1">IF(COUNTIFS(OverEmp,$C16,OverMed,"MED",OverDate,"&lt;"&amp;DATE(YEAR($AC16),MONTH($AC16)+1,1),OverEnd,"&gt;="&amp;DATE(YEAR($AC16),MONTH($AC16),1))&gt;0,SUMIFS(OverValue,OverEmp,$C16,OverMed,"MED",OverDate,"&lt;"&amp;DATE(YEAR($AC16),MONTH($AC16)+1,1),OverEnd,"&gt;="&amp;DATE(YEAR($AC16),MONTH($AC16),1)),IF(ISNA(VLOOKUP($C16,EmpAll,COLUMN(Emp!$N$4),0)),0,VLOOKUP($C16,EmpAll,COLUMN(Emp!$N$4),0)))</f>
        <v>0</v>
      </c>
      <c r="AH16" s="183">
        <f ca="1">VLOOKUP($AG16,MedList,COLUMN(Setup!$C$49),1)</f>
        <v>0</v>
      </c>
      <c r="AI16" s="183">
        <f t="shared" ca="1" si="7"/>
        <v>0</v>
      </c>
      <c r="AJ16" s="101" t="str">
        <f ca="1">IF(ISNA(VLOOKUP($C16,EmpAll,COLUMN(Emp!$L$4),0)),"None!",VLOOKUP($C16,EmpAll,COLUMN(Emp!$L$4),0))</f>
        <v>A</v>
      </c>
      <c r="AK16" s="147">
        <f ca="1">IF(ISNA(VLOOKUP($AJ16,RebateList,4,0)),VLOOKUP("A",RebateList,3,0),VLOOKUP($AJ16,RebateList,4,0))</f>
        <v>17235</v>
      </c>
      <c r="AL16" s="101" t="str">
        <f ca="1">IF(ISNA(VLOOKUP($C16,Employees[],COLUMN(Emp!$M$4),0))=TRUE,"Error!",IF(VLOOKUP($C16,Employees[],COLUMN(Emp!$M$4),0)=0,"Yes",VLOOKUP($C16,Employees[],COLUMN(Emp!$M$4),0)))</f>
        <v>A</v>
      </c>
      <c r="AM16" s="148">
        <f t="shared" ca="1" si="9"/>
        <v>108000</v>
      </c>
      <c r="AN16" s="148" cm="1">
        <f t="array" aca="1" ref="AN16" ca="1">-IF($F16="Terminated",0,IF($AA16=0,0,IF(ISNA(MATCH(AN$5,PayDedList,0)),0,MIN(IF(COUNTIFS(OverEmp,$C16,OverDeduct,AN$5,OverDate,"&lt;"&amp;DATE(YEAR($AC16),MONTH($AC16)+1,1),OverEnd,"&gt;="&amp;DATE(YEAR($AC16),MONTH($AC16),1))&gt;0,SUMPRODUCT((PayEmp=$C16)*(PayDate&lt;=$AC16)*(OFFSET($N$6,1,MATCH(AN$5,PayDedList,0)-1,PayCount,1)))/$AA16*12*AN$3,IF(OR(AN$1="Fixed",AN$1="Not Used"),SUMPRODUCT((PayEmp=$C16)*(PayDate&lt;=$AC16)*(OFFSET($N$6,1,MATCH(AN$5,PayDedList,0)-1,PayCount,1)))/$AA16*12*AN$3,IF(ISNA(MATCH(AN$1,EarnListItem,0))=FALSE,SUMPRODUCT((PayEmp=$C16)*(PayDate&lt;=$AC16)*(OFFSET($N$6,1,MATCH(AN$5,PayDedList,0)-1,PayCount,1)))/$AA16*12*AN$3,(MIN(((SUMPRODUCT((PayEmp=$C16)*(PayDate&lt;=$AC16)*(ISERROR(SEARCH(PayEarnCode,AN$2)))*(PayEarnType="Monthly")*(PayEarnValues))/$AA16*12)+(SUMPRODUCT((PayEmp=$C16)*(PayDate&lt;=$AC16)*(ISERROR(SEARCH(PayEarnCode,AN$2)))*(PayEarnType="Quarterly")*(PayEarnValues))/MAX(1,ROUNDDOWN($AB16/3,0))*4)+(SUMPRODUCT((PayEmp=$C16)*(PayDate&lt;=$AC16)*(ISERROR(SEARCH(PayEarnCode,AN$2)))*(PayEarnType="Bi-Annual")*(PayEarnValues))/MAX(1,ROUNDDOWN($AB16/6,0))*2)+(SUMPRODUCT((PayEmp=$C16)*(PayDate&lt;=$AC16)*(ISERROR(SEARCH(PayEarnCode,AN$2)))*(PayEarnType="Annual")*(PayEarnValues)))),IF(ISNUMBER(OFFSET($N$3,0,MATCH(AN$5,PayDedList,0)-1,1,1)),OFFSET($N$3,0,MATCH(AN$5,PayDedList,0)-1,1,1),IgnoreMin)))*IF(COUNTIFS(EmpNo,$C16,OFFSET(Emp!$R$4,1,MATCH(AN$5,DedListItem,0)-1,EmpCount,1),"&lt;&gt;")&gt;0,VLOOKUP($C16,EmpAll,COLUMN(Emp!$R$4)+MATCH(AN$5,DedListItem,0)-1,0),OFFSET(Setup!$E$73,MATCH(AN$5,DedListItem,0),0,1,1))*AN$3))),IF(ISNUMBER(AN$4),AN$4,IgnoreMin)))))</f>
        <v>0</v>
      </c>
      <c r="AO16" s="148" cm="1">
        <f t="array" aca="1" ref="AO16" ca="1">-IF($F16="Terminated",0,IF($AA16=0,0,IF(ISNA(MATCH(AO$5,PayDedList,0)),0,MIN(IF(COUNTIFS(OverEmp,$C16,OverDeduct,AO$5,OverDate,"&lt;"&amp;DATE(YEAR($AC16),MONTH($AC16)+1,1),OverEnd,"&gt;="&amp;DATE(YEAR($AC16),MONTH($AC16),1))&gt;0,SUMPRODUCT((PayEmp=$C16)*(PayDate&lt;=$AC16)*(OFFSET($N$6,1,MATCH(AO$5,PayDedList,0)-1,PayCount,1)))/$AA16*12*AO$3,IF(OR(AO$1="Fixed",AO$1="Not Used"),SUMPRODUCT((PayEmp=$C16)*(PayDate&lt;=$AC16)*(OFFSET($N$6,1,MATCH(AO$5,PayDedList,0)-1,PayCount,1)))/$AA16*12*AO$3,IF(ISNA(MATCH(AO$1,EarnListItem,0))=FALSE,SUMPRODUCT((PayEmp=$C16)*(PayDate&lt;=$AC16)*(OFFSET($N$6,1,MATCH(AO$5,PayDedList,0)-1,PayCount,1)))/$AA16*12*AO$3,(MIN(((SUMPRODUCT((PayEmp=$C16)*(PayDate&lt;=$AC16)*(ISERROR(SEARCH(PayEarnCode,AO$2)))*(PayEarnType="Monthly")*(PayEarnValues))/$AA16*12)+(SUMPRODUCT((PayEmp=$C16)*(PayDate&lt;=$AC16)*(ISERROR(SEARCH(PayEarnCode,AO$2)))*(PayEarnType="Quarterly")*(PayEarnValues))/MAX(1,ROUNDDOWN($AB16/3,0))*4)+(SUMPRODUCT((PayEmp=$C16)*(PayDate&lt;=$AC16)*(ISERROR(SEARCH(PayEarnCode,AO$2)))*(PayEarnType="Bi-Annual")*(PayEarnValues))/MAX(1,ROUNDDOWN($AB16/6,0))*2)+(SUMPRODUCT((PayEmp=$C16)*(PayDate&lt;=$AC16)*(ISERROR(SEARCH(PayEarnCode,AO$2)))*(PayEarnType="Annual")*(PayEarnValues)))),IF(ISNUMBER(OFFSET($N$3,0,MATCH(AO$5,PayDedList,0)-1,1,1)),OFFSET($N$3,0,MATCH(AO$5,PayDedList,0)-1,1,1),IgnoreMin)))*IF(COUNTIFS(EmpNo,$C16,OFFSET(Emp!$R$4,1,MATCH(AO$5,DedListItem,0)-1,EmpCount,1),"&lt;&gt;")&gt;0,VLOOKUP($C16,EmpAll,COLUMN(Emp!$R$4)+MATCH(AO$5,DedListItem,0)-1,0),OFFSET(Setup!$E$73,MATCH(AO$5,DedListItem,0),0,1,1))*AO$3))),IF(ISNUMBER(AO$4),AO$4,IgnoreMin)))))</f>
        <v>0</v>
      </c>
      <c r="AP16" s="148" cm="1">
        <f t="array" aca="1" ref="AP16" ca="1">-IF($F16="Terminated",0,IF($AA16=0,0,IF(ISNA(MATCH(AP$5,PayDedList,0)),0,MIN(IF(COUNTIFS(OverEmp,$C16,OverDeduct,AP$5,OverDate,"&lt;"&amp;DATE(YEAR($AC16),MONTH($AC16)+1,1),OverEnd,"&gt;="&amp;DATE(YEAR($AC16),MONTH($AC16),1))&gt;0,SUMPRODUCT((PayEmp=$C16)*(PayDate&lt;=$AC16)*(OFFSET($N$6,1,MATCH(AP$5,PayDedList,0)-1,PayCount,1)))/$AA16*12*AP$3,IF(OR(AP$1="Fixed",AP$1="Not Used"),SUMPRODUCT((PayEmp=$C16)*(PayDate&lt;=$AC16)*(OFFSET($N$6,1,MATCH(AP$5,PayDedList,0)-1,PayCount,1)))/$AA16*12*AP$3,IF(ISNA(MATCH(AP$1,EarnListItem,0))=FALSE,SUMPRODUCT((PayEmp=$C16)*(PayDate&lt;=$AC16)*(OFFSET($N$6,1,MATCH(AP$5,PayDedList,0)-1,PayCount,1)))/$AA16*12*AP$3,(MIN(((SUMPRODUCT((PayEmp=$C16)*(PayDate&lt;=$AC16)*(ISERROR(SEARCH(PayEarnCode,AP$2)))*(PayEarnType="Monthly")*(PayEarnValues))/$AA16*12)+(SUMPRODUCT((PayEmp=$C16)*(PayDate&lt;=$AC16)*(ISERROR(SEARCH(PayEarnCode,AP$2)))*(PayEarnType="Quarterly")*(PayEarnValues))/MAX(1,ROUNDDOWN($AB16/3,0))*4)+(SUMPRODUCT((PayEmp=$C16)*(PayDate&lt;=$AC16)*(ISERROR(SEARCH(PayEarnCode,AP$2)))*(PayEarnType="Bi-Annual")*(PayEarnValues))/MAX(1,ROUNDDOWN($AB16/6,0))*2)+(SUMPRODUCT((PayEmp=$C16)*(PayDate&lt;=$AC16)*(ISERROR(SEARCH(PayEarnCode,AP$2)))*(PayEarnType="Annual")*(PayEarnValues)))),IF(ISNUMBER(OFFSET($N$3,0,MATCH(AP$5,PayDedList,0)-1,1,1)),OFFSET($N$3,0,MATCH(AP$5,PayDedList,0)-1,1,1),IgnoreMin)))*IF(COUNTIFS(EmpNo,$C16,OFFSET(Emp!$R$4,1,MATCH(AP$5,DedListItem,0)-1,EmpCount,1),"&lt;&gt;")&gt;0,VLOOKUP($C16,EmpAll,COLUMN(Emp!$R$4)+MATCH(AP$5,DedListItem,0)-1,0),OFFSET(Setup!$E$73,MATCH(AP$5,DedListItem,0),0,1,1))*AP$3))),IF(ISNUMBER(AP$4),AP$4,IgnoreMin)))))</f>
        <v>0</v>
      </c>
      <c r="AQ16" s="148" cm="1">
        <f t="array" aca="1" ref="AQ16" ca="1">-IF($F16="Terminated",0,IF($AA16=0,0,IF(ISNA(MATCH(AQ$5,PayDedList,0)),0,MIN(IF(COUNTIFS(OverEmp,$C16,OverDeduct,AQ$5,OverDate,"&lt;"&amp;DATE(YEAR($AC16),MONTH($AC16)+1,1),OverEnd,"&gt;="&amp;DATE(YEAR($AC16),MONTH($AC16),1))&gt;0,SUMPRODUCT((PayEmp=$C16)*(PayDate&lt;=$AC16)*(OFFSET($N$6,1,MATCH(AQ$5,PayDedList,0)-1,PayCount,1)))/$AA16*12*AQ$3,IF(OR(AQ$1="Fixed",AQ$1="Not Used"),SUMPRODUCT((PayEmp=$C16)*(PayDate&lt;=$AC16)*(OFFSET($N$6,1,MATCH(AQ$5,PayDedList,0)-1,PayCount,1)))/$AA16*12*AQ$3,IF(ISNA(MATCH(AQ$1,EarnListItem,0))=FALSE,SUMPRODUCT((PayEmp=$C16)*(PayDate&lt;=$AC16)*(OFFSET($N$6,1,MATCH(AQ$5,PayDedList,0)-1,PayCount,1)))/$AA16*12*AQ$3,(MIN(((SUMPRODUCT((PayEmp=$C16)*(PayDate&lt;=$AC16)*(ISERROR(SEARCH(PayEarnCode,AQ$2)))*(PayEarnType="Monthly")*(PayEarnValues))/$AA16*12)+(SUMPRODUCT((PayEmp=$C16)*(PayDate&lt;=$AC16)*(ISERROR(SEARCH(PayEarnCode,AQ$2)))*(PayEarnType="Quarterly")*(PayEarnValues))/MAX(1,ROUNDDOWN($AB16/3,0))*4)+(SUMPRODUCT((PayEmp=$C16)*(PayDate&lt;=$AC16)*(ISERROR(SEARCH(PayEarnCode,AQ$2)))*(PayEarnType="Bi-Annual")*(PayEarnValues))/MAX(1,ROUNDDOWN($AB16/6,0))*2)+(SUMPRODUCT((PayEmp=$C16)*(PayDate&lt;=$AC16)*(ISERROR(SEARCH(PayEarnCode,AQ$2)))*(PayEarnType="Annual")*(PayEarnValues)))),IF(ISNUMBER(OFFSET($N$3,0,MATCH(AQ$5,PayDedList,0)-1,1,1)),OFFSET($N$3,0,MATCH(AQ$5,PayDedList,0)-1,1,1),IgnoreMin)))*IF(COUNTIFS(EmpNo,$C16,OFFSET(Emp!$R$4,1,MATCH(AQ$5,DedListItem,0)-1,EmpCount,1),"&lt;&gt;")&gt;0,VLOOKUP($C16,EmpAll,COLUMN(Emp!$R$4)+MATCH(AQ$5,DedListItem,0)-1,0),OFFSET(Setup!$E$73,MATCH(AQ$5,DedListItem,0),0,1,1))*AQ$3))),IF(ISNUMBER(AQ$4),AQ$4,IgnoreMin)))))</f>
        <v>0</v>
      </c>
      <c r="AR16" s="148">
        <f ca="1">$AM16+SUM(OFFSET($AM16,0,1,1,COLUMN($AR$2)-COLUMN($AM$2)-1))</f>
        <v>108000</v>
      </c>
      <c r="AS16" s="148">
        <f t="shared" ca="1" si="11"/>
        <v>108000</v>
      </c>
      <c r="AT16" s="148" cm="1">
        <f t="array" aca="1" ref="AT16" ca="1">-IF($F16="Terminated",0,IF($AA16=0,0,IF(ISNA(MATCH(AT$5,PayDedList,0)),0,MIN(IF(COUNTIFS(OverEmp,$C16,OverDeduct,AT$5,OverDate,"&lt;"&amp;DATE(YEAR($AC16),MONTH($AC16)+1,1),OverEnd,"&gt;="&amp;DATE(YEAR($AC16),MONTH($AC16),1))&gt;0,SUMPRODUCT((PayEmp=$C16)*(PayDate&lt;=$AC16)*(OFFSET($N$6,1,MATCH(AT$5,PayDedList,0)-1,PayCount,1)))/$AA16*12*AT$3,IF(OR(AT$1="Fixed",AT$1="Not Used"),SUMPRODUCT((PayEmp=$C16)*(PayDate&lt;=$AC16)*(OFFSET($N$6,1,MATCH(AT$5,PayDedList,0)-1,PayCount,1)))/$AA16*12*AT$3,IF(ISNA(MATCH(OFFSET($N$2,0,MATCH(AT$5,PayDedList,0)-1,1,1),EarnListItem,0))=FALSE,SUMPRODUCT((PayEmp=$C16)*(PayDate&lt;=$AC16)*(OFFSET($N$6,1,MATCH(AT$5,PayDedList,0)-1,PayCount,1)))/$AA16*12*AT$3,(MIN(SUMPRODUCT((PayEmp=$C16)*(PayDate&lt;=$AC16)*(ISERROR(SEARCH(PayEarnCode,AT$2)))*(PayEarnType="Monthly")*(PayEarnValues))/$AA16*12,IF(ISNUMBER(OFFSET($N$3,0,MATCH(AT$5,PayDedList,0)-1,1,1)),OFFSET($N$3,0,MATCH(AT$5,PayDedList,0)-1,1,1),IgnoreMin)))*IF(COUNTIFS(EmpNo,$C16,OFFSET(Emp!$R$4,1,MATCH(AT$5,DedListItem,0)-1,EmpCount,1),"&lt;&gt;")&gt;0,VLOOKUP($C16,EmpAll,COLUMN(Emp!$R$4)+MATCH(AT$5,DedListItem,0)-1,0),OFFSET(Setup!$E$73,MATCH(AT$5,DedListItem,0),0,1,1))*AT$3))),IF(ISNUMBER(AT$4),AT$4,IgnoreMin)))))</f>
        <v>0</v>
      </c>
      <c r="AU16" s="148" cm="1">
        <f t="array" aca="1" ref="AU16" ca="1">-IF($F16="Terminated",0,IF($AA16=0,0,IF(ISNA(MATCH(AU$5,PayDedList,0)),0,MIN(IF(COUNTIFS(OverEmp,$C16,OverDeduct,AU$5,OverDate,"&lt;"&amp;DATE(YEAR($AC16),MONTH($AC16)+1,1),OverEnd,"&gt;="&amp;DATE(YEAR($AC16),MONTH($AC16),1))&gt;0,SUMPRODUCT((PayEmp=$C16)*(PayDate&lt;=$AC16)*(OFFSET($N$6,1,MATCH(AU$5,PayDedList,0)-1,PayCount,1)))/$AA16*12*AU$3,IF(OR(AU$1="Fixed",AU$1="Not Used"),SUMPRODUCT((PayEmp=$C16)*(PayDate&lt;=$AC16)*(OFFSET($N$6,1,MATCH(AU$5,PayDedList,0)-1,PayCount,1)))/$AA16*12*AU$3,IF(ISNA(MATCH(OFFSET($N$2,0,MATCH(AU$5,PayDedList,0)-1,1,1),EarnListItem,0))=FALSE,SUMPRODUCT((PayEmp=$C16)*(PayDate&lt;=$AC16)*(OFFSET($N$6,1,MATCH(AU$5,PayDedList,0)-1,PayCount,1)))/$AA16*12*AU$3,(MIN(SUMPRODUCT((PayEmp=$C16)*(PayDate&lt;=$AC16)*(ISERROR(SEARCH(PayEarnCode,AU$2)))*(PayEarnType="Monthly")*(PayEarnValues))/$AA16*12,IF(ISNUMBER(OFFSET($N$3,0,MATCH(AU$5,PayDedList,0)-1,1,1)),OFFSET($N$3,0,MATCH(AU$5,PayDedList,0)-1,1,1),IgnoreMin)))*IF(COUNTIFS(EmpNo,$C16,OFFSET(Emp!$R$4,1,MATCH(AU$5,DedListItem,0)-1,EmpCount,1),"&lt;&gt;")&gt;0,VLOOKUP($C16,EmpAll,COLUMN(Emp!$R$4)+MATCH(AU$5,DedListItem,0)-1,0),OFFSET(Setup!$E$73,MATCH(AU$5,DedListItem,0),0,1,1))*AU$3))),IF(ISNUMBER(AU$4),AU$4,IgnoreMin)))))</f>
        <v>0</v>
      </c>
      <c r="AV16" s="148" cm="1">
        <f t="array" aca="1" ref="AV16" ca="1">-IF($F16="Terminated",0,IF($AA16=0,0,IF(ISNA(MATCH(AV$5,PayDedList,0)),0,MIN(IF(COUNTIFS(OverEmp,$C16,OverDeduct,AV$5,OverDate,"&lt;"&amp;DATE(YEAR($AC16),MONTH($AC16)+1,1),OverEnd,"&gt;="&amp;DATE(YEAR($AC16),MONTH($AC16),1))&gt;0,SUMPRODUCT((PayEmp=$C16)*(PayDate&lt;=$AC16)*(OFFSET($N$6,1,MATCH(AV$5,PayDedList,0)-1,PayCount,1)))/$AA16*12*AV$3,IF(OR(AV$1="Fixed",AV$1="Not Used"),SUMPRODUCT((PayEmp=$C16)*(PayDate&lt;=$AC16)*(OFFSET($N$6,1,MATCH(AV$5,PayDedList,0)-1,PayCount,1)))/$AA16*12*AV$3,IF(ISNA(MATCH(OFFSET($N$2,0,MATCH(AV$5,PayDedList,0)-1,1,1),EarnListItem,0))=FALSE,SUMPRODUCT((PayEmp=$C16)*(PayDate&lt;=$AC16)*(OFFSET($N$6,1,MATCH(AV$5,PayDedList,0)-1,PayCount,1)))/$AA16*12*AV$3,(MIN(SUMPRODUCT((PayEmp=$C16)*(PayDate&lt;=$AC16)*(ISERROR(SEARCH(PayEarnCode,AV$2)))*(PayEarnType="Monthly")*(PayEarnValues))/$AA16*12,IF(ISNUMBER(OFFSET($N$3,0,MATCH(AV$5,PayDedList,0)-1,1,1)),OFFSET($N$3,0,MATCH(AV$5,PayDedList,0)-1,1,1),IgnoreMin)))*IF(COUNTIFS(EmpNo,$C16,OFFSET(Emp!$R$4,1,MATCH(AV$5,DedListItem,0)-1,EmpCount,1),"&lt;&gt;")&gt;0,VLOOKUP($C16,EmpAll,COLUMN(Emp!$R$4)+MATCH(AV$5,DedListItem,0)-1,0),OFFSET(Setup!$E$73,MATCH(AV$5,DedListItem,0),0,1,1))*AV$3))),IF(ISNUMBER(AV$4),AV$4,IgnoreMin)))))</f>
        <v>0</v>
      </c>
      <c r="AW16" s="148" cm="1">
        <f t="array" aca="1" ref="AW16" ca="1">-IF($F16="Terminated",0,IF($AA16=0,0,IF(ISNA(MATCH(AW$5,PayDedList,0)),0,MIN(IF(COUNTIFS(OverEmp,$C16,OverDeduct,AW$5,OverDate,"&lt;"&amp;DATE(YEAR($AC16),MONTH($AC16)+1,1),OverEnd,"&gt;="&amp;DATE(YEAR($AC16),MONTH($AC16),1))&gt;0,SUMPRODUCT((PayEmp=$C16)*(PayDate&lt;=$AC16)*(OFFSET($N$6,1,MATCH(AW$5,PayDedList,0)-1,PayCount,1)))/$AA16*12*AW$3,IF(OR(AW$1="Fixed",AW$1="Not Used"),SUMPRODUCT((PayEmp=$C16)*(PayDate&lt;=$AC16)*(OFFSET($N$6,1,MATCH(AW$5,PayDedList,0)-1,PayCount,1)))/$AA16*12*AW$3,IF(ISNA(MATCH(OFFSET($N$2,0,MATCH(AW$5,PayDedList,0)-1,1,1),EarnListItem,0))=FALSE,SUMPRODUCT((PayEmp=$C16)*(PayDate&lt;=$AC16)*(OFFSET($N$6,1,MATCH(AW$5,PayDedList,0)-1,PayCount,1)))/$AA16*12*AW$3,(MIN(SUMPRODUCT((PayEmp=$C16)*(PayDate&lt;=$AC16)*(ISERROR(SEARCH(PayEarnCode,AW$2)))*(PayEarnType="Monthly")*(PayEarnValues))/$AA16*12,IF(ISNUMBER(OFFSET($N$3,0,MATCH(AW$5,PayDedList,0)-1,1,1)),OFFSET($N$3,0,MATCH(AW$5,PayDedList,0)-1,1,1),IgnoreMin)))*IF(COUNTIFS(EmpNo,$C16,OFFSET(Emp!$R$4,1,MATCH(AW$5,DedListItem,0)-1,EmpCount,1),"&lt;&gt;")&gt;0,VLOOKUP($C16,EmpAll,COLUMN(Emp!$R$4)+MATCH(AW$5,DedListItem,0)-1,0),OFFSET(Setup!$E$73,MATCH(AW$5,DedListItem,0),0,1,1))*AW$3))),IF(ISNUMBER(AW$4),AW$4,IgnoreMin)))))</f>
        <v>0</v>
      </c>
      <c r="AX16" s="148">
        <f t="shared" ca="1" si="12"/>
        <v>108000</v>
      </c>
      <c r="AY16" s="148">
        <f t="shared" ca="1" si="13"/>
        <v>0</v>
      </c>
      <c r="AZ16" s="148">
        <f ca="1">IF(ISNUMBER($AL16),($AR16*$AL16)-$AI16-$AK16,MAX(0,IF($AL16="B",IF($AR16&lt;Setup!$C$32,($AR16*Setup!$D$32)-$AI16-$AK16,(($AR16-VLOOKUP($AR16,TaxAll2,1,1))*OFFSET(Setup!$D$32,MATCH($AR16,TaxBracket2,1),0,1,1))+OFFSET(Setup!$E$31,MATCH($AR16,TaxBracket2,1),0,1,1)-$AI16-$AK16),IF($AR16&lt;Setup!$C$21,($AR16*Setup!$D$21)-$AI16-$AK16,(($AR16-VLOOKUP($AR16,TaxAll1,1,1))*OFFSET(Setup!$D$21,MATCH($AR16,TaxBracket1,1),0,1,1))+OFFSET(Setup!$E$20,MATCH($AR16,TaxBracket1,1),0,1,1)-$AI16-$AK16))))</f>
        <v>2205</v>
      </c>
      <c r="BA16" s="148">
        <f ca="1">IF(ISNUMBER($AL16),($AX16*$AL16)-$AI16-$AK16,MAX(0,IF($AL16="B",IF($AX16&lt;Setup!$C$32,($AX16*Setup!$D$32)-$AI16-$AK16,(($AX16-VLOOKUP($AX16,TaxAll2,1,1))*OFFSET(Setup!$D$32,MATCH($AX16,TaxBracket2,1),0,1,1))+OFFSET(Setup!$E$31,MATCH($AX16,TaxBracket2,1),0,1,1)-$AI16-$AK16),IF($AX16&lt;Setup!$C$21,($AX16*Setup!$D$21)-$AI16-$AK16,(($AX16-VLOOKUP($AX16,TaxAll1,1,1))*OFFSET(Setup!$D$21,MATCH($AX16,TaxBracket1,1),0,1,1))+OFFSET(Setup!$E$20,MATCH($AX16,TaxBracket1,1),0,1,1)-$AI16-$AK16))))</f>
        <v>2205</v>
      </c>
      <c r="BB16" s="148">
        <f ca="1">AZ16-BA16</f>
        <v>0</v>
      </c>
      <c r="BC16" s="150">
        <f t="shared" ca="1" si="15"/>
        <v>1</v>
      </c>
      <c r="BD16" s="150">
        <f t="shared" ca="1" si="16"/>
        <v>0</v>
      </c>
      <c r="BE16" s="148">
        <f t="shared" ca="1" si="17"/>
        <v>108000</v>
      </c>
    </row>
    <row r="17" spans="1:57" ht="16.149999999999999" customHeight="1" x14ac:dyDescent="0.25">
      <c r="A17" s="10" t="str" cm="1">
        <f t="array" aca="1" ref="A17" ca="1">IF(ROW($A17)-ROW($A$6)&gt;EmpCount*12,"-",TEXT($B17,"yyyy")&amp;TEXT($B17,"mm")&amp;"-"&amp;$C17)</f>
        <v>202303-EXS011</v>
      </c>
      <c r="B17" s="137" cm="1">
        <f t="array" aca="1" ref="B17" ca="1">IF(ROW($A17)-ROW($A$6)&gt;EmpCount*12,Setup!$D$12,DATE(YEAR(Setup!$F$12),MONTH(Setup!$F$12)+ROUNDDOWN((ROW($A17)-ROW($A$6)-1)/EmpCount,0),IF(Setup!$C$14&gt;DAY(DATE(YEAR(Setup!$F$12),MONTH(Setup!$F$12)+ROUNDDOWN((ROW($A17)-ROW($A$6)-1)/EmpCount,0)+1,0)),DAY(DATE(YEAR(Setup!$F$12),MONTH(Setup!$F$12)+ROUNDDOWN((ROW($A17)-ROW($A$6)-1)/EmpCount,0)+1,0)),Setup!$C$14)))</f>
        <v>45010</v>
      </c>
      <c r="C17" s="101" t="str" cm="1">
        <f t="array" aca="1" ref="C17" ca="1">IF(ROW($A17)-ROW($A$6)&gt;EmpCount*12,"-",OFFSET(Emp!$A$4,ROW($A17)-ROW($A$6)-IF(ROW($A17)-ROW($A$6)&gt;EmpCount,ROUNDDOWN((ROW($A17)-ROW($A$6)-1)/EmpCount,0)*EmpCount,0),0,1,1))</f>
        <v>EXS011</v>
      </c>
      <c r="D17" s="10" t="str">
        <f ca="1">IF(ISNA(VLOOKUP($C17,EmpAll,COLUMN(Emp!$B$4),0)),"-",VLOOKUP($C17,EmpAll,COLUMN(Emp!$B$4),0))</f>
        <v>Newport GD</v>
      </c>
      <c r="E17" s="145" t="str">
        <f ca="1">IF(ISNA(VLOOKUP($C17,EmpAll,COLUMN(Emp!$C$4),0)),"-",VLOOKUP($C17,EmpAll,COLUMN(Emp!$C$4),0))</f>
        <v>A</v>
      </c>
      <c r="F17" s="101" t="str">
        <f ca="1">IF(ISNA(VLOOKUP($C17,EmpAll,COLUMN(Emp!$A$4),0)),"-",IF(AND(VLOOKUP($C17,EmpAll,COLUMN(Emp!$E$4),0)&lt;&gt;0,VLOOKUP($C17,EmpAll,COLUMN(Emp!$E$4),0)&gt;=DATE(YEAR($AC17),MONTH($AC17)+1,0)),"Inactive",IF(AND(VLOOKUP($C17,EmpAll,COLUMN(Emp!$F$4),0)&lt;&gt;0,VLOOKUP($C17,EmpAll,COLUMN(Emp!$F$4),0)&lt;=DATE(YEAR($AC17),MONTH($AC17),0)),"Terminated","Active")))</f>
        <v>Active</v>
      </c>
      <c r="G17" s="133" cm="1">
        <f t="array" aca="1" ref="G17" ca="1">IF($F17&lt;&gt;"Active",0,IF(COUNTIFS(OverEmp,$C17,OverEarn,G$2,OverDate,"&lt;"&amp;DATE(YEAR($AC17),MONTH($AC17)+1,1),OverEnd,"&gt;="&amp;DATE(YEAR($AC17),MONTH($AC17),1))&gt;0,SUMIFS(OverValue,OverEmp,$C17,OverEarn,G$2,OverDate,"&lt;"&amp;DATE(YEAR($AC17),MONTH($AC17)+1,1),OverEnd,"&gt;="&amp;DATE(YEAR($AC17),MONTH($AC17),1)),IF(AND($AC17&gt;=Setup!$E$10,SUMIFS(EmpIncrease,EmpCode,$C17)&gt;0),SUMIFS(EmpIncrease,EmpCode,$C17),SUMIFS(EmpSalary,EmpCode,$C17))))</f>
        <v>5000</v>
      </c>
      <c r="H17" s="133" cm="1">
        <f t="array" aca="1" ref="H17" ca="1">IF($F17&lt;&gt;"Active",0,IF(COUNTIFS(OverEmp,$C17,OverEarn,H$2,OverDate,"&lt;"&amp;DATE(YEAR($AC17),MONTH($AC17)+1,1),OverEnd,"&gt;="&amp;DATE(YEAR($AC17),MONTH($AC17),1))&gt;0,SUMIFS(OverValue,OverEmp,$C17,OverEarn,H$2,OverDate,"&lt;"&amp;DATE(YEAR($AC17),MONTH($AC17)+1,1),OverEnd,"&gt;="&amp;DATE(YEAR($AC17),MONTH($AC17),1)),0))</f>
        <v>0</v>
      </c>
      <c r="I17" s="133" cm="1">
        <f t="array" aca="1" ref="I17" ca="1">IF($F17&lt;&gt;"Active",0,IF(COUNTIFS(OverEmp,$C17,OverEarn,I$2,OverDate,"&lt;"&amp;DATE(YEAR($AC17),MONTH($AC17)+1,1),OverEnd,"&gt;="&amp;DATE(YEAR($AC17),MONTH($AC17),1))&gt;0,SUMIFS(OverValue,OverEmp,$C17,OverEarn,I$2,OverDate,"&lt;"&amp;DATE(YEAR($AC17),MONTH($AC17)+1,1),OverEnd,"&gt;="&amp;DATE(YEAR($AC17),MONTH($AC17),1)),IF(MONTH(B17)=Setup!$C$15,SUMIFS(EmpBonus,EmpCode,$C17),0)))</f>
        <v>0</v>
      </c>
      <c r="J17" s="133" cm="1">
        <f t="array" aca="1" ref="J17" ca="1">IF($F17&lt;&gt;"Active",0,IF(COUNTIFS(OverEmp,$C17,OverEarn,J$2,OverDate,"&lt;"&amp;DATE(YEAR($AC17),MONTH($AC17)+1,1),OverEnd,"&gt;="&amp;DATE(YEAR($AC17),MONTH($AC17),1))&gt;0,SUMIFS(OverValue,OverEmp,$C17,OverEarn,J$2,OverDate,"&lt;"&amp;DATE(YEAR($AC17),MONTH($AC17)+1,1),OverEnd,"&gt;="&amp;DATE(YEAR($AC17),MONTH($AC17),1)),0))</f>
        <v>0</v>
      </c>
      <c r="K17" s="133" cm="1">
        <f t="array" aca="1" ref="K17" ca="1">IF($F17&lt;&gt;"Active",0,IF(COUNTIFS(OverEmp,$C17,OverEarn,K$2,OverDate,"&lt;"&amp;DATE(YEAR($AC17),MONTH($AC17)+1,1),OverEnd,"&gt;="&amp;DATE(YEAR($AC17),MONTH($AC17),1))&gt;0,SUMIFS(OverValue,OverEmp,$C17,OverEarn,K$2,OverDate,"&lt;"&amp;DATE(YEAR($AC17),MONTH($AC17)+1,1),OverEnd,"&gt;="&amp;DATE(YEAR($AC17),MONTH($AC17),1)),0))</f>
        <v>0</v>
      </c>
      <c r="L17" s="185">
        <f t="shared" ca="1" si="0"/>
        <v>5000</v>
      </c>
      <c r="M17" s="182" cm="1">
        <f t="array" aca="1" ref="M17" ca="1">IF(COUNTIFS(OverEmp,$C17,OverTax,M$5,OverDate,"&lt;"&amp;DATE(YEAR($AC17),MONTH($AC17)+1,1),OverEnd,"&gt;="&amp;DATE(YEAR($AC17),MONTH($AC17),1))&gt;0,SUMIFS(OverValue,OverEmp,$C17,OverTax,M$5,OverDate,"&lt;"&amp;DATE(YEAR($AC17),MONTH($AC17)+1,1),OverEnd,"&gt;="&amp;DATE(YEAR($AC17),MONTH($AC17),1)),(($BA17/12*$AA17)+(BB17*IF(1-$BC17=0,0,BD17/(1-$BC17))))-IF($F17="Terminated",0,SUMIFS(PayTaxDeduct,PayDate,"&lt;"&amp;$AC17,PayEmp,$C17)))</f>
        <v>0</v>
      </c>
      <c r="N17" s="133" cm="1">
        <f t="array" aca="1" ref="N17" ca="1">IF($F17="Terminated",0,IF($AA17=0,0,IF(ISNA(MATCH(N$5,DedListItem,0)),0,IF(COUNTIFS(OverEmp,$C17,OverDeduct,N$5,OverDate,"&lt;"&amp;DATE(YEAR($AC17),MONTH($AC17)+1,1),OverEnd,"&gt;="&amp;DATE(YEAR($AC17),MONTH($AC17),1))&gt;0,SUMIFS(OverValue,OverEmp,$C17,OverDeduct,N$5,OverDate,"&lt;"&amp;DATE(YEAR($AC17),MONTH($AC17)+1,1),OverEnd,"&gt;="&amp;DATE(YEAR($AC17),MONTH($AC17),1)),IF(OR(N$2="Fixed",N$2="Not Used"),(IF(COUNTIFS(EmpNo,$C17,OFFSET(Emp!$R$4,1,MATCH(N$5,DedListItem,0)-1,EmpCount,1),"&lt;&gt;")&gt;0,VLOOKUP($C17,EmpAll,COLUMN(Emp!$R$4)+MATCH(N$5,DedListItem,0)-1,0),OFFSET(Setup!$E$73,MATCH(N$5,DedListItem,0),0,1,1))*$AA17)-SUMIFS(OFFSET(N$6,1,0,PayCount,1),PayDate,"&lt;"&amp;$AC17,PayEmp,$C17),IF(ISNA(MATCH(N$2,EarnListItem,0))=FALSE,IF(OFFSET(Setup!$G$73,MATCH(N$5,DedListItem,0),0,1,1)="Taxable",SUMPRODUCT((PayEmp=$C17)*(PayDate&lt;=$AC17)*(PayEarnCode=N$2)*(PayEarnTax)*(PayEarnValues)),SUMPRODUCT((PayEmp=$C17)*(PayDate&lt;=$AC17)*(PayEarnCode=N$2)*(PayEarnValues)))*IF(COUNTIFS(EmpNo,$C17,OFFSET(Emp!$R$4,1,MATCH(N$5,DedListItem,0)-1,EmpCount,1),"&lt;&gt;")&gt;0,VLOOKUP($C17,EmpAll,COLUMN(Emp!$R$4)+MATCH(N$5,DedListItem,0)-1,0),OFFSET(Setup!$E$73,MATCH(N$5,DedListItem,0),0,1,1)),(MIN(IF(OFFSET(Setup!$G$73,MATCH(N$5,DedListItem,0),0,1,1)="Taxable",SUMPRODUCT((PayEmp=$C17)*(PayDate&lt;=$AC17)*(ISERROR(SEARCH(PayEarnCode,N$4)))*(PayEarnTax)*(PayEarnValues)),SUMPRODUCT((PayEmp=$C17)*(PayDate&lt;=$AC17)*(ISERROR(SEARCH(PayEarnCode,N$4)))*(PayEarnValues))),IF(ISNUMBER(N$3),N$3/12*$AA17,IgnoreMin)))*IF(COUNTIFS(EmpNo,$C17,OFFSET(Emp!$R$4,1,MATCH(N$5,DedListItem,0)-1,EmpCount,1),"&lt;&gt;")&gt;0,VLOOKUP($C17,EmpAll,COLUMN(Emp!$R$4)+MATCH(N$5,DedListItem,0)-1,0),OFFSET(Setup!$E$73,MATCH(N$5,DedListItem,0),0,1,1)))-SUMIFS(OFFSET(N$6,1,0,PayCount,1),PayDate,"&lt;"&amp;$AC17,PayEmp,$C17))))))</f>
        <v>50</v>
      </c>
      <c r="O17" s="133" cm="1">
        <f t="array" aca="1" ref="O17" ca="1">IF($F17="Terminated",0,IF($AA17=0,0,IF(ISNA(MATCH(O$5,DedListItem,0)),0,IF(COUNTIFS(OverEmp,$C17,OverDeduct,O$5,OverDate,"&lt;"&amp;DATE(YEAR($AC17),MONTH($AC17)+1,1),OverEnd,"&gt;="&amp;DATE(YEAR($AC17),MONTH($AC17),1))&gt;0,SUMIFS(OverValue,OverEmp,$C17,OverDeduct,O$5,OverDate,"&lt;"&amp;DATE(YEAR($AC17),MONTH($AC17)+1,1),OverEnd,"&gt;="&amp;DATE(YEAR($AC17),MONTH($AC17),1)),IF(OR(O$2="Fixed",O$2="Not Used"),(IF(COUNTIFS(EmpNo,$C17,OFFSET(Emp!$R$4,1,MATCH(O$5,DedListItem,0)-1,EmpCount,1),"&lt;&gt;")&gt;0,VLOOKUP($C17,EmpAll,COLUMN(Emp!$R$4)+MATCH(O$5,DedListItem,0)-1,0),OFFSET(Setup!$E$73,MATCH(O$5,DedListItem,0),0,1,1))*$AA17)-SUMIFS(OFFSET(O$6,1,0,PayCount,1),PayDate,"&lt;"&amp;$AC17,PayEmp,$C17),IF(ISNA(MATCH(O$2,EarnListItem,0))=FALSE,IF(OFFSET(Setup!$G$73,MATCH(O$5,DedListItem,0),0,1,1)="Taxable",SUMPRODUCT((PayEmp=$C17)*(PayDate&lt;=$AC17)*(PayEarnCode=O$2)*(PayEarnTax)*(PayEarnValues)),SUMPRODUCT((PayEmp=$C17)*(PayDate&lt;=$AC17)*(PayEarnCode=O$2)*(PayEarnValues)))*IF(COUNTIFS(EmpNo,$C17,OFFSET(Emp!$R$4,1,MATCH(O$5,DedListItem,0)-1,EmpCount,1),"&lt;&gt;")&gt;0,VLOOKUP($C17,EmpAll,COLUMN(Emp!$R$4)+MATCH(O$5,DedListItem,0)-1,0),OFFSET(Setup!$E$73,MATCH(O$5,DedListItem,0),0,1,1)),(MIN(IF(OFFSET(Setup!$G$73,MATCH(O$5,DedListItem,0),0,1,1)="Taxable",SUMPRODUCT((PayEmp=$C17)*(PayDate&lt;=$AC17)*(ISERROR(SEARCH(PayEarnCode,O$4)))*(PayEarnTax)*(PayEarnValues)),SUMPRODUCT((PayEmp=$C17)*(PayDate&lt;=$AC17)*(ISERROR(SEARCH(PayEarnCode,O$4)))*(PayEarnValues))),IF(ISNUMBER(O$3),O$3/12*$AA17,IgnoreMin)))*IF(COUNTIFS(EmpNo,$C17,OFFSET(Emp!$R$4,1,MATCH(O$5,DedListItem,0)-1,EmpCount,1),"&lt;&gt;")&gt;0,VLOOKUP($C17,EmpAll,COLUMN(Emp!$R$4)+MATCH(O$5,DedListItem,0)-1,0),OFFSET(Setup!$E$73,MATCH(O$5,DedListItem,0),0,1,1)))-SUMIFS(OFFSET(O$6,1,0,PayCount,1),PayDate,"&lt;"&amp;$AC17,PayEmp,$C17))))))</f>
        <v>0</v>
      </c>
      <c r="P17" s="133" cm="1">
        <f t="array" aca="1" ref="P17" ca="1">IF($F17="Terminated",0,IF($AA17=0,0,IF(ISNA(MATCH(P$5,DedListItem,0)),0,IF(COUNTIFS(OverEmp,$C17,OverDeduct,P$5,OverDate,"&lt;"&amp;DATE(YEAR($AC17),MONTH($AC17)+1,1),OverEnd,"&gt;="&amp;DATE(YEAR($AC17),MONTH($AC17),1))&gt;0,SUMIFS(OverValue,OverEmp,$C17,OverDeduct,P$5,OverDate,"&lt;"&amp;DATE(YEAR($AC17),MONTH($AC17)+1,1),OverEnd,"&gt;="&amp;DATE(YEAR($AC17),MONTH($AC17),1)),IF(OR(P$2="Fixed",P$2="Not Used"),(IF(COUNTIFS(EmpNo,$C17,OFFSET(Emp!$R$4,1,MATCH(P$5,DedListItem,0)-1,EmpCount,1),"&lt;&gt;")&gt;0,VLOOKUP($C17,EmpAll,COLUMN(Emp!$R$4)+MATCH(P$5,DedListItem,0)-1,0),OFFSET(Setup!$E$73,MATCH(P$5,DedListItem,0),0,1,1))*$AA17)-SUMIFS(OFFSET(P$6,1,0,PayCount,1),PayDate,"&lt;"&amp;$AC17,PayEmp,$C17),IF(ISNA(MATCH(P$2,EarnListItem,0))=FALSE,IF(OFFSET(Setup!$G$73,MATCH(P$5,DedListItem,0),0,1,1)="Taxable",SUMPRODUCT((PayEmp=$C17)*(PayDate&lt;=$AC17)*(PayEarnCode=P$2)*(PayEarnTax)*(PayEarnValues)),SUMPRODUCT((PayEmp=$C17)*(PayDate&lt;=$AC17)*(PayEarnCode=P$2)*(PayEarnValues)))*IF(COUNTIFS(EmpNo,$C17,OFFSET(Emp!$R$4,1,MATCH(P$5,DedListItem,0)-1,EmpCount,1),"&lt;&gt;")&gt;0,VLOOKUP($C17,EmpAll,COLUMN(Emp!$R$4)+MATCH(P$5,DedListItem,0)-1,0),OFFSET(Setup!$E$73,MATCH(P$5,DedListItem,0),0,1,1)),(MIN(IF(OFFSET(Setup!$G$73,MATCH(P$5,DedListItem,0),0,1,1)="Taxable",SUMPRODUCT((PayEmp=$C17)*(PayDate&lt;=$AC17)*(ISERROR(SEARCH(PayEarnCode,P$4)))*(PayEarnTax)*(PayEarnValues)),SUMPRODUCT((PayEmp=$C17)*(PayDate&lt;=$AC17)*(ISERROR(SEARCH(PayEarnCode,P$4)))*(PayEarnValues))),IF(ISNUMBER(P$3),P$3/12*$AA17,IgnoreMin)))*IF(COUNTIFS(EmpNo,$C17,OFFSET(Emp!$R$4,1,MATCH(P$5,DedListItem,0)-1,EmpCount,1),"&lt;&gt;")&gt;0,VLOOKUP($C17,EmpAll,COLUMN(Emp!$R$4)+MATCH(P$5,DedListItem,0)-1,0),OFFSET(Setup!$E$73,MATCH(P$5,DedListItem,0),0,1,1)))-SUMIFS(OFFSET(P$6,1,0,PayCount,1),PayDate,"&lt;"&amp;$AC17,PayEmp,$C17))))))</f>
        <v>0</v>
      </c>
      <c r="Q17" s="133" cm="1">
        <f t="array" aca="1" ref="Q17" ca="1">IF($F17="Terminated",0,IF($AA17=0,0,IF(ISNA(MATCH(Q$5,DedListItem,0)),0,IF(COUNTIFS(OverEmp,$C17,OverDeduct,Q$5,OverDate,"&lt;"&amp;DATE(YEAR($AC17),MONTH($AC17)+1,1),OverEnd,"&gt;="&amp;DATE(YEAR($AC17),MONTH($AC17),1))&gt;0,SUMIFS(OverValue,OverEmp,$C17,OverDeduct,Q$5,OverDate,"&lt;"&amp;DATE(YEAR($AC17),MONTH($AC17)+1,1),OverEnd,"&gt;="&amp;DATE(YEAR($AC17),MONTH($AC17),1)),IF(OR(Q$2="Fixed",Q$2="Not Used"),(IF(COUNTIFS(EmpNo,$C17,OFFSET(Emp!$R$4,1,MATCH(Q$5,DedListItem,0)-1,EmpCount,1),"&lt;&gt;")&gt;0,VLOOKUP($C17,EmpAll,COLUMN(Emp!$R$4)+MATCH(Q$5,DedListItem,0)-1,0),OFFSET(Setup!$E$73,MATCH(Q$5,DedListItem,0),0,1,1))*$AA17)-SUMIFS(OFFSET(Q$6,1,0,PayCount,1),PayDate,"&lt;"&amp;$AC17,PayEmp,$C17),IF(ISNA(MATCH(Q$2,EarnListItem,0))=FALSE,IF(OFFSET(Setup!$G$73,MATCH(Q$5,DedListItem,0),0,1,1)="Taxable",SUMPRODUCT((PayEmp=$C17)*(PayDate&lt;=$AC17)*(PayEarnCode=Q$2)*(PayEarnTax)*(PayEarnValues)),SUMPRODUCT((PayEmp=$C17)*(PayDate&lt;=$AC17)*(PayEarnCode=Q$2)*(PayEarnValues)))*IF(COUNTIFS(EmpNo,$C17,OFFSET(Emp!$R$4,1,MATCH(Q$5,DedListItem,0)-1,EmpCount,1),"&lt;&gt;")&gt;0,VLOOKUP($C17,EmpAll,COLUMN(Emp!$R$4)+MATCH(Q$5,DedListItem,0)-1,0),OFFSET(Setup!$E$73,MATCH(Q$5,DedListItem,0),0,1,1)),(MIN(IF(OFFSET(Setup!$G$73,MATCH(Q$5,DedListItem,0),0,1,1)="Taxable",SUMPRODUCT((PayEmp=$C17)*(PayDate&lt;=$AC17)*(ISERROR(SEARCH(PayEarnCode,Q$4)))*(PayEarnTax)*(PayEarnValues)),SUMPRODUCT((PayEmp=$C17)*(PayDate&lt;=$AC17)*(ISERROR(SEARCH(PayEarnCode,Q$4)))*(PayEarnValues))),IF(ISNUMBER(Q$3),Q$3/12*$AA17,IgnoreMin)))*IF(COUNTIFS(EmpNo,$C17,OFFSET(Emp!$R$4,1,MATCH(Q$5,DedListItem,0)-1,EmpCount,1),"&lt;&gt;")&gt;0,VLOOKUP($C17,EmpAll,COLUMN(Emp!$R$4)+MATCH(Q$5,DedListItem,0)-1,0),OFFSET(Setup!$E$73,MATCH(Q$5,DedListItem,0),0,1,1)))-SUMIFS(OFFSET(Q$6,1,0,PayCount,1),PayDate,"&lt;"&amp;$AC17,PayEmp,$C17))))))</f>
        <v>0</v>
      </c>
      <c r="R17" s="185">
        <f t="shared" ca="1" si="1"/>
        <v>50</v>
      </c>
      <c r="S17" s="139">
        <f t="shared" ca="1" si="2"/>
        <v>4950</v>
      </c>
      <c r="T17" s="133" cm="1">
        <f t="array" aca="1" ref="T17" ca="1">IF($F17="Terminated",0,IF($AA17=0,0,IF(ISNA(MATCH(T$5,CompListItem,0)),0,IF(COUNTIFS(OverEmp,$C17,OverComp,T$5,OverDate,"&lt;"&amp;DATE(YEAR($AC17),MONTH($AC17)+1,1),OverEnd,"&gt;="&amp;DATE(YEAR($AC17),MONTH($AC17),1))&gt;0,SUMIFS(OverValue,OverEmp,$C17,OverComp,T$5,OverDate,"&lt;"&amp;DATE(YEAR($AC17),MONTH($AC17)+1,1),OverEnd,"&gt;="&amp;DATE(YEAR($AC17),MONTH($AC17),1)),IF(OR(T$2="Fixed",T$2="Not Used"),(OFFSET(Setup!$E$81,MATCH(T$5,CompListItem,0),0,1,1)*$AA17)-SUMIFS(OFFSET(T$6,1,0,PayCount,1),PayDate,"&lt;"&amp;$AC17,PayEmp,$C17),IF(ISNA(MATCH(T$2,DedListItem,0))=FALSE,(SUMPRODUCT((PayEmp=$C17)*(PayDate&lt;=$AC17)*(PayDedList=T$2)*(PayDedValues))*OFFSET(Setup!$E$81,MATCH(T$5,CompListItem,0),0,1,1))-SUMIFS(OFFSET(T$6,1,0,PayCount,1),PayDate,"&lt;"&amp;$AC17,PayEmp,$C17),(MIN(IF(OFFSET(Setup!$G$81,MATCH(T$5,CompListItem,0),0,1,1)="Taxable",SUMPRODUCT((PayEmp=$C17)*(PayDate&lt;=$AC17)*(ISERROR(SEARCH(PayEarnCode,T$4)))*(PayEarnTax)*(PayEarnValues)),SUMPRODUCT((PayEmp=$C17)*(PayDate&lt;=$AC17)*(ISERROR(SEARCH(PayEarnCode,T$4)))*(PayEarnValues))),IF(ISNUMBER(T$3),T$3/12*$AA17,IgnoreMin)))*OFFSET(Setup!$E$81,MATCH(T$5,CompListItem,0),0,1,1)-SUMIFS(OFFSET(T$6,1,0,PayCount,1),PayDate,"&lt;"&amp;$AC17,PayEmp,$C17)))))))</f>
        <v>50</v>
      </c>
      <c r="U17" s="133" cm="1">
        <f t="array" aca="1" ref="U17" ca="1">IF($F17="Terminated",0,IF($AA17=0,0,IF(ISNA(MATCH(U$5,CompListItem,0)),0,IF(COUNTIFS(OverEmp,$C17,OverComp,U$5,OverDate,"&lt;"&amp;DATE(YEAR($AC17),MONTH($AC17)+1,1),OverEnd,"&gt;="&amp;DATE(YEAR($AC17),MONTH($AC17),1))&gt;0,SUMIFS(OverValue,OverEmp,$C17,OverComp,U$5,OverDate,"&lt;"&amp;DATE(YEAR($AC17),MONTH($AC17)+1,1),OverEnd,"&gt;="&amp;DATE(YEAR($AC17),MONTH($AC17),1)),IF(OR(U$2="Fixed",U$2="Not Used"),(OFFSET(Setup!$E$81,MATCH(U$5,CompListItem,0),0,1,1)*$AA17)-SUMIFS(OFFSET(U$6,1,0,PayCount,1),PayDate,"&lt;"&amp;$AC17,PayEmp,$C17),IF(ISNA(MATCH(U$2,DedListItem,0))=FALSE,(SUMPRODUCT((PayEmp=$C17)*(PayDate&lt;=$AC17)*(PayDedList=U$2)*(PayDedValues))*OFFSET(Setup!$E$81,MATCH(U$5,CompListItem,0),0,1,1))-SUMIFS(OFFSET(U$6,1,0,PayCount,1),PayDate,"&lt;"&amp;$AC17,PayEmp,$C17),(MIN(IF(OFFSET(Setup!$G$81,MATCH(U$5,CompListItem,0),0,1,1)="Taxable",SUMPRODUCT((PayEmp=$C17)*(PayDate&lt;=$AC17)*(ISERROR(SEARCH(PayEarnCode,U$4)))*(PayEarnTax)*(PayEarnValues)),SUMPRODUCT((PayEmp=$C17)*(PayDate&lt;=$AC17)*(ISERROR(SEARCH(PayEarnCode,U$4)))*(PayEarnValues))),IF(ISNUMBER(U$3),U$3/12*$AA17,IgnoreMin)))*OFFSET(Setup!$E$81,MATCH(U$5,CompListItem,0),0,1,1)-SUMIFS(OFFSET(U$6,1,0,PayCount,1),PayDate,"&lt;"&amp;$AC17,PayEmp,$C17)))))))</f>
        <v>50</v>
      </c>
      <c r="V17" s="133" cm="1">
        <f t="array" aca="1" ref="V17" ca="1">IF($F17="Terminated",0,IF($AA17=0,0,IF(ISNA(MATCH(V$5,CompListItem,0)),0,IF(COUNTIFS(OverEmp,$C17,OverComp,V$5,OverDate,"&lt;"&amp;DATE(YEAR($AC17),MONTH($AC17)+1,1),OverEnd,"&gt;="&amp;DATE(YEAR($AC17),MONTH($AC17),1))&gt;0,SUMIFS(OverValue,OverEmp,$C17,OverComp,V$5,OverDate,"&lt;"&amp;DATE(YEAR($AC17),MONTH($AC17)+1,1),OverEnd,"&gt;="&amp;DATE(YEAR($AC17),MONTH($AC17),1)),IF(OR(V$2="Fixed",V$2="Not Used"),(OFFSET(Setup!$E$81,MATCH(V$5,CompListItem,0),0,1,1)*$AA17)-SUMIFS(OFFSET(V$6,1,0,PayCount,1),PayDate,"&lt;"&amp;$AC17,PayEmp,$C17),IF(ISNA(MATCH(V$2,DedListItem,0))=FALSE,(SUMPRODUCT((PayEmp=$C17)*(PayDate&lt;=$AC17)*(PayDedList=V$2)*(PayDedValues))*OFFSET(Setup!$E$81,MATCH(V$5,CompListItem,0),0,1,1))-SUMIFS(OFFSET(V$6,1,0,PayCount,1),PayDate,"&lt;"&amp;$AC17,PayEmp,$C17),(MIN(IF(OFFSET(Setup!$G$81,MATCH(V$5,CompListItem,0),0,1,1)="Taxable",SUMPRODUCT((PayEmp=$C17)*(PayDate&lt;=$AC17)*(ISERROR(SEARCH(PayEarnCode,V$4)))*(PayEarnTax)*(PayEarnValues)),SUMPRODUCT((PayEmp=$C17)*(PayDate&lt;=$AC17)*(ISERROR(SEARCH(PayEarnCode,V$4)))*(PayEarnValues))),IF(ISNUMBER(V$3),V$3/12*$AA17,IgnoreMin)))*OFFSET(Setup!$E$81,MATCH(V$5,CompListItem,0),0,1,1)-SUMIFS(OFFSET(V$6,1,0,PayCount,1),PayDate,"&lt;"&amp;$AC17,PayEmp,$C17)))))))</f>
        <v>0</v>
      </c>
      <c r="W17" s="133" cm="1">
        <f t="array" aca="1" ref="W17" ca="1">IF($F17="Terminated",0,IF($AA17=0,0,IF(ISNA(MATCH(W$5,CompListItem,0)),0,IF(COUNTIFS(OverEmp,$C17,OverComp,W$5,OverDate,"&lt;"&amp;DATE(YEAR($AC17),MONTH($AC17)+1,1),OverEnd,"&gt;="&amp;DATE(YEAR($AC17),MONTH($AC17),1))&gt;0,SUMIFS(OverValue,OverEmp,$C17,OverComp,W$5,OverDate,"&lt;"&amp;DATE(YEAR($AC17),MONTH($AC17)+1,1),OverEnd,"&gt;="&amp;DATE(YEAR($AC17),MONTH($AC17),1)),IF(OR(W$2="Fixed",W$2="Not Used"),(OFFSET(Setup!$E$81,MATCH(W$5,CompListItem,0),0,1,1)*$AA17)-SUMIFS(OFFSET(W$6,1,0,PayCount,1),PayDate,"&lt;"&amp;$AC17,PayEmp,$C17),IF(ISNA(MATCH(W$2,DedListItem,0))=FALSE,(SUMPRODUCT((PayEmp=$C17)*(PayDate&lt;=$AC17)*(PayDedList=W$2)*(PayDedValues))*OFFSET(Setup!$E$81,MATCH(W$5,CompListItem,0),0,1,1))-SUMIFS(OFFSET(W$6,1,0,PayCount,1),PayDate,"&lt;"&amp;$AC17,PayEmp,$C17),(MIN(IF(OFFSET(Setup!$G$81,MATCH(W$5,CompListItem,0),0,1,1)="Taxable",SUMPRODUCT((PayEmp=$C17)*(PayDate&lt;=$AC17)*(ISERROR(SEARCH(PayEarnCode,W$4)))*(PayEarnTax)*(PayEarnValues)),SUMPRODUCT((PayEmp=$C17)*(PayDate&lt;=$AC17)*(ISERROR(SEARCH(PayEarnCode,W$4)))*(PayEarnValues))),IF(ISNUMBER(W$3),W$3/12*$AA17,IgnoreMin)))*OFFSET(Setup!$E$81,MATCH(W$5,CompListItem,0),0,1,1)-SUMIFS(OFFSET(W$6,1,0,PayCount,1),PayDate,"&lt;"&amp;$AC17,PayEmp,$C17)))))))</f>
        <v>0</v>
      </c>
      <c r="X17" s="185">
        <f t="shared" ca="1" si="3"/>
        <v>100</v>
      </c>
      <c r="Y17" s="139">
        <f t="shared" ca="1" si="4"/>
        <v>5100</v>
      </c>
      <c r="Z17" s="139">
        <f t="shared" ca="1" si="5"/>
        <v>150</v>
      </c>
      <c r="AA17" s="146">
        <f ca="1">IF(OR($B17&lt;=Setup!$E$12,$B17&gt;=Setup!$D$12+1),0,IF($F17&lt;&gt;"Active",0,IF($AE17="Yes",$AB17,((YEAR($AC17)*12)+MONTH($AC17))-((YEAR($AD17)*12)+MONTH($AD17)-1))))</f>
        <v>1</v>
      </c>
      <c r="AB17" s="146">
        <f ca="1">IF(OR($B17&lt;=Setup!$E$12,$B17&gt;=Setup!$D$12+1),0,((YEAR($AC17)*12)+MONTH($AC17))-((YEAR(Setup!$E$12)*12)+MONTH(Setup!$E$12)))</f>
        <v>1</v>
      </c>
      <c r="AC17" s="186">
        <f t="shared" ca="1" si="6"/>
        <v>45010</v>
      </c>
      <c r="AD17" s="144">
        <f ca="1">IF(ISNA(VLOOKUP($C17,EmpAll,COLUMN(Emp!$E$4),0)),$AC17,IF(VLOOKUP($C17,EmpAll,COLUMN(Emp!$E$4),0)&lt;=Setup!$E$12,DATE(YEAR(Setup!$E$12),MONTH(Setup!$E$12)+1,1),VLOOKUP($C17,EmpAll,COLUMN(Emp!$E$4),0)))</f>
        <v>44986</v>
      </c>
      <c r="AE17" s="144" t="str">
        <f ca="1">IF(ISNA(VLOOKUP($C17,EmpAll,COLUMN(Emp!$G$1),0)),"-",IF(VLOOKUP($C17,EmpAll,COLUMN(Emp!$G$1),0)=0,"-",VLOOKUP($C17,EmpAll,COLUMN(Emp!$G$1),0)))</f>
        <v>-</v>
      </c>
      <c r="AF17" s="145">
        <f ca="1">IF(A17=PaySlip!$G$3,1,0)</f>
        <v>0</v>
      </c>
      <c r="AG17" s="130" cm="1">
        <f t="array" aca="1" ref="AG17" ca="1">IF(COUNTIFS(OverEmp,$C17,OverMed,"MED",OverDate,"&lt;"&amp;DATE(YEAR($AC17),MONTH($AC17)+1,1),OverEnd,"&gt;="&amp;DATE(YEAR($AC17),MONTH($AC17),1))&gt;0,SUMIFS(OverValue,OverEmp,$C17,OverMed,"MED",OverDate,"&lt;"&amp;DATE(YEAR($AC17),MONTH($AC17)+1,1),OverEnd,"&gt;="&amp;DATE(YEAR($AC17),MONTH($AC17),1)),IF(ISNA(VLOOKUP($C17,EmpAll,COLUMN(Emp!$N$4),0)),0,VLOOKUP($C17,EmpAll,COLUMN(Emp!$N$4),0)))</f>
        <v>0</v>
      </c>
      <c r="AH17" s="146">
        <f ca="1">VLOOKUP($AG17,MedList,COLUMN(Setup!$C$49),1)</f>
        <v>0</v>
      </c>
      <c r="AI17" s="146">
        <f t="shared" ca="1" si="7"/>
        <v>0</v>
      </c>
      <c r="AJ17" s="101" t="str">
        <f ca="1">IF(ISNA(VLOOKUP($C17,EmpAll,COLUMN(Emp!$L$4),0)),"None!",VLOOKUP($C17,EmpAll,COLUMN(Emp!$L$4),0))</f>
        <v>A</v>
      </c>
      <c r="AK17" s="147">
        <f t="shared" ca="1" si="8"/>
        <v>17235</v>
      </c>
      <c r="AL17" s="101" t="str">
        <f ca="1">IF(ISNA(VLOOKUP($C17,Employees[],COLUMN(Emp!$M$4),0))=TRUE,"Error!",IF(VLOOKUP($C17,Employees[],COLUMN(Emp!$M$4),0)=0,"Yes",VLOOKUP($C17,Employees[],COLUMN(Emp!$M$4),0)))</f>
        <v>A</v>
      </c>
      <c r="AM17" s="148">
        <f t="shared" ca="1" si="9"/>
        <v>60000</v>
      </c>
      <c r="AN17" s="148" cm="1">
        <f t="array" aca="1" ref="AN17" ca="1">-IF($F17="Terminated",0,IF($AA17=0,0,IF(ISNA(MATCH(AN$5,PayDedList,0)),0,MIN(IF(COUNTIFS(OverEmp,$C17,OverDeduct,AN$5,OverDate,"&lt;"&amp;DATE(YEAR($AC17),MONTH($AC17)+1,1),OverEnd,"&gt;="&amp;DATE(YEAR($AC17),MONTH($AC17),1))&gt;0,SUMPRODUCT((PayEmp=$C17)*(PayDate&lt;=$AC17)*(OFFSET($N$6,1,MATCH(AN$5,PayDedList,0)-1,PayCount,1)))/$AA17*12*AN$3,IF(OR(AN$1="Fixed",AN$1="Not Used"),SUMPRODUCT((PayEmp=$C17)*(PayDate&lt;=$AC17)*(OFFSET($N$6,1,MATCH(AN$5,PayDedList,0)-1,PayCount,1)))/$AA17*12*AN$3,IF(ISNA(MATCH(AN$1,EarnListItem,0))=FALSE,SUMPRODUCT((PayEmp=$C17)*(PayDate&lt;=$AC17)*(OFFSET($N$6,1,MATCH(AN$5,PayDedList,0)-1,PayCount,1)))/$AA17*12*AN$3,(MIN(((SUMPRODUCT((PayEmp=$C17)*(PayDate&lt;=$AC17)*(ISERROR(SEARCH(PayEarnCode,AN$2)))*(PayEarnType="Monthly")*(PayEarnValues))/$AA17*12)+(SUMPRODUCT((PayEmp=$C17)*(PayDate&lt;=$AC17)*(ISERROR(SEARCH(PayEarnCode,AN$2)))*(PayEarnType="Quarterly")*(PayEarnValues))/MAX(1,ROUNDDOWN($AB17/3,0))*4)+(SUMPRODUCT((PayEmp=$C17)*(PayDate&lt;=$AC17)*(ISERROR(SEARCH(PayEarnCode,AN$2)))*(PayEarnType="Bi-Annual")*(PayEarnValues))/MAX(1,ROUNDDOWN($AB17/6,0))*2)+(SUMPRODUCT((PayEmp=$C17)*(PayDate&lt;=$AC17)*(ISERROR(SEARCH(PayEarnCode,AN$2)))*(PayEarnType="Annual")*(PayEarnValues)))),IF(ISNUMBER(OFFSET($N$3,0,MATCH(AN$5,PayDedList,0)-1,1,1)),OFFSET($N$3,0,MATCH(AN$5,PayDedList,0)-1,1,1),IgnoreMin)))*IF(COUNTIFS(EmpNo,$C17,OFFSET(Emp!$R$4,1,MATCH(AN$5,DedListItem,0)-1,EmpCount,1),"&lt;&gt;")&gt;0,VLOOKUP($C17,EmpAll,COLUMN(Emp!$R$4)+MATCH(AN$5,DedListItem,0)-1,0),OFFSET(Setup!$E$73,MATCH(AN$5,DedListItem,0),0,1,1))*AN$3))),IF(ISNUMBER(AN$4),AN$4,IgnoreMin)))))</f>
        <v>0</v>
      </c>
      <c r="AO17" s="148" cm="1">
        <f t="array" aca="1" ref="AO17" ca="1">-IF($F17="Terminated",0,IF($AA17=0,0,IF(ISNA(MATCH(AO$5,PayDedList,0)),0,MIN(IF(COUNTIFS(OverEmp,$C17,OverDeduct,AO$5,OverDate,"&lt;"&amp;DATE(YEAR($AC17),MONTH($AC17)+1,1),OverEnd,"&gt;="&amp;DATE(YEAR($AC17),MONTH($AC17),1))&gt;0,SUMPRODUCT((PayEmp=$C17)*(PayDate&lt;=$AC17)*(OFFSET($N$6,1,MATCH(AO$5,PayDedList,0)-1,PayCount,1)))/$AA17*12*AO$3,IF(OR(AO$1="Fixed",AO$1="Not Used"),SUMPRODUCT((PayEmp=$C17)*(PayDate&lt;=$AC17)*(OFFSET($N$6,1,MATCH(AO$5,PayDedList,0)-1,PayCount,1)))/$AA17*12*AO$3,IF(ISNA(MATCH(AO$1,EarnListItem,0))=FALSE,SUMPRODUCT((PayEmp=$C17)*(PayDate&lt;=$AC17)*(OFFSET($N$6,1,MATCH(AO$5,PayDedList,0)-1,PayCount,1)))/$AA17*12*AO$3,(MIN(((SUMPRODUCT((PayEmp=$C17)*(PayDate&lt;=$AC17)*(ISERROR(SEARCH(PayEarnCode,AO$2)))*(PayEarnType="Monthly")*(PayEarnValues))/$AA17*12)+(SUMPRODUCT((PayEmp=$C17)*(PayDate&lt;=$AC17)*(ISERROR(SEARCH(PayEarnCode,AO$2)))*(PayEarnType="Quarterly")*(PayEarnValues))/MAX(1,ROUNDDOWN($AB17/3,0))*4)+(SUMPRODUCT((PayEmp=$C17)*(PayDate&lt;=$AC17)*(ISERROR(SEARCH(PayEarnCode,AO$2)))*(PayEarnType="Bi-Annual")*(PayEarnValues))/MAX(1,ROUNDDOWN($AB17/6,0))*2)+(SUMPRODUCT((PayEmp=$C17)*(PayDate&lt;=$AC17)*(ISERROR(SEARCH(PayEarnCode,AO$2)))*(PayEarnType="Annual")*(PayEarnValues)))),IF(ISNUMBER(OFFSET($N$3,0,MATCH(AO$5,PayDedList,0)-1,1,1)),OFFSET($N$3,0,MATCH(AO$5,PayDedList,0)-1,1,1),IgnoreMin)))*IF(COUNTIFS(EmpNo,$C17,OFFSET(Emp!$R$4,1,MATCH(AO$5,DedListItem,0)-1,EmpCount,1),"&lt;&gt;")&gt;0,VLOOKUP($C17,EmpAll,COLUMN(Emp!$R$4)+MATCH(AO$5,DedListItem,0)-1,0),OFFSET(Setup!$E$73,MATCH(AO$5,DedListItem,0),0,1,1))*AO$3))),IF(ISNUMBER(AO$4),AO$4,IgnoreMin)))))</f>
        <v>0</v>
      </c>
      <c r="AP17" s="148" cm="1">
        <f t="array" aca="1" ref="AP17" ca="1">-IF($F17="Terminated",0,IF($AA17=0,0,IF(ISNA(MATCH(AP$5,PayDedList,0)),0,MIN(IF(COUNTIFS(OverEmp,$C17,OverDeduct,AP$5,OverDate,"&lt;"&amp;DATE(YEAR($AC17),MONTH($AC17)+1,1),OverEnd,"&gt;="&amp;DATE(YEAR($AC17),MONTH($AC17),1))&gt;0,SUMPRODUCT((PayEmp=$C17)*(PayDate&lt;=$AC17)*(OFFSET($N$6,1,MATCH(AP$5,PayDedList,0)-1,PayCount,1)))/$AA17*12*AP$3,IF(OR(AP$1="Fixed",AP$1="Not Used"),SUMPRODUCT((PayEmp=$C17)*(PayDate&lt;=$AC17)*(OFFSET($N$6,1,MATCH(AP$5,PayDedList,0)-1,PayCount,1)))/$AA17*12*AP$3,IF(ISNA(MATCH(AP$1,EarnListItem,0))=FALSE,SUMPRODUCT((PayEmp=$C17)*(PayDate&lt;=$AC17)*(OFFSET($N$6,1,MATCH(AP$5,PayDedList,0)-1,PayCount,1)))/$AA17*12*AP$3,(MIN(((SUMPRODUCT((PayEmp=$C17)*(PayDate&lt;=$AC17)*(ISERROR(SEARCH(PayEarnCode,AP$2)))*(PayEarnType="Monthly")*(PayEarnValues))/$AA17*12)+(SUMPRODUCT((PayEmp=$C17)*(PayDate&lt;=$AC17)*(ISERROR(SEARCH(PayEarnCode,AP$2)))*(PayEarnType="Quarterly")*(PayEarnValues))/MAX(1,ROUNDDOWN($AB17/3,0))*4)+(SUMPRODUCT((PayEmp=$C17)*(PayDate&lt;=$AC17)*(ISERROR(SEARCH(PayEarnCode,AP$2)))*(PayEarnType="Bi-Annual")*(PayEarnValues))/MAX(1,ROUNDDOWN($AB17/6,0))*2)+(SUMPRODUCT((PayEmp=$C17)*(PayDate&lt;=$AC17)*(ISERROR(SEARCH(PayEarnCode,AP$2)))*(PayEarnType="Annual")*(PayEarnValues)))),IF(ISNUMBER(OFFSET($N$3,0,MATCH(AP$5,PayDedList,0)-1,1,1)),OFFSET($N$3,0,MATCH(AP$5,PayDedList,0)-1,1,1),IgnoreMin)))*IF(COUNTIFS(EmpNo,$C17,OFFSET(Emp!$R$4,1,MATCH(AP$5,DedListItem,0)-1,EmpCount,1),"&lt;&gt;")&gt;0,VLOOKUP($C17,EmpAll,COLUMN(Emp!$R$4)+MATCH(AP$5,DedListItem,0)-1,0),OFFSET(Setup!$E$73,MATCH(AP$5,DedListItem,0),0,1,1))*AP$3))),IF(ISNUMBER(AP$4),AP$4,IgnoreMin)))))</f>
        <v>0</v>
      </c>
      <c r="AQ17" s="148" cm="1">
        <f t="array" aca="1" ref="AQ17" ca="1">-IF($F17="Terminated",0,IF($AA17=0,0,IF(ISNA(MATCH(AQ$5,PayDedList,0)),0,MIN(IF(COUNTIFS(OverEmp,$C17,OverDeduct,AQ$5,OverDate,"&lt;"&amp;DATE(YEAR($AC17),MONTH($AC17)+1,1),OverEnd,"&gt;="&amp;DATE(YEAR($AC17),MONTH($AC17),1))&gt;0,SUMPRODUCT((PayEmp=$C17)*(PayDate&lt;=$AC17)*(OFFSET($N$6,1,MATCH(AQ$5,PayDedList,0)-1,PayCount,1)))/$AA17*12*AQ$3,IF(OR(AQ$1="Fixed",AQ$1="Not Used"),SUMPRODUCT((PayEmp=$C17)*(PayDate&lt;=$AC17)*(OFFSET($N$6,1,MATCH(AQ$5,PayDedList,0)-1,PayCount,1)))/$AA17*12*AQ$3,IF(ISNA(MATCH(AQ$1,EarnListItem,0))=FALSE,SUMPRODUCT((PayEmp=$C17)*(PayDate&lt;=$AC17)*(OFFSET($N$6,1,MATCH(AQ$5,PayDedList,0)-1,PayCount,1)))/$AA17*12*AQ$3,(MIN(((SUMPRODUCT((PayEmp=$C17)*(PayDate&lt;=$AC17)*(ISERROR(SEARCH(PayEarnCode,AQ$2)))*(PayEarnType="Monthly")*(PayEarnValues))/$AA17*12)+(SUMPRODUCT((PayEmp=$C17)*(PayDate&lt;=$AC17)*(ISERROR(SEARCH(PayEarnCode,AQ$2)))*(PayEarnType="Quarterly")*(PayEarnValues))/MAX(1,ROUNDDOWN($AB17/3,0))*4)+(SUMPRODUCT((PayEmp=$C17)*(PayDate&lt;=$AC17)*(ISERROR(SEARCH(PayEarnCode,AQ$2)))*(PayEarnType="Bi-Annual")*(PayEarnValues))/MAX(1,ROUNDDOWN($AB17/6,0))*2)+(SUMPRODUCT((PayEmp=$C17)*(PayDate&lt;=$AC17)*(ISERROR(SEARCH(PayEarnCode,AQ$2)))*(PayEarnType="Annual")*(PayEarnValues)))),IF(ISNUMBER(OFFSET($N$3,0,MATCH(AQ$5,PayDedList,0)-1,1,1)),OFFSET($N$3,0,MATCH(AQ$5,PayDedList,0)-1,1,1),IgnoreMin)))*IF(COUNTIFS(EmpNo,$C17,OFFSET(Emp!$R$4,1,MATCH(AQ$5,DedListItem,0)-1,EmpCount,1),"&lt;&gt;")&gt;0,VLOOKUP($C17,EmpAll,COLUMN(Emp!$R$4)+MATCH(AQ$5,DedListItem,0)-1,0),OFFSET(Setup!$E$73,MATCH(AQ$5,DedListItem,0),0,1,1))*AQ$3))),IF(ISNUMBER(AQ$4),AQ$4,IgnoreMin)))))</f>
        <v>0</v>
      </c>
      <c r="AR17" s="148">
        <f t="shared" ca="1" si="10"/>
        <v>60000</v>
      </c>
      <c r="AS17" s="148">
        <f t="shared" ca="1" si="11"/>
        <v>60000</v>
      </c>
      <c r="AT17" s="148" cm="1">
        <f t="array" aca="1" ref="AT17" ca="1">-IF($F17="Terminated",0,IF($AA17=0,0,IF(ISNA(MATCH(AT$5,PayDedList,0)),0,MIN(IF(COUNTIFS(OverEmp,$C17,OverDeduct,AT$5,OverDate,"&lt;"&amp;DATE(YEAR($AC17),MONTH($AC17)+1,1),OverEnd,"&gt;="&amp;DATE(YEAR($AC17),MONTH($AC17),1))&gt;0,SUMPRODUCT((PayEmp=$C17)*(PayDate&lt;=$AC17)*(OFFSET($N$6,1,MATCH(AT$5,PayDedList,0)-1,PayCount,1)))/$AA17*12*AT$3,IF(OR(AT$1="Fixed",AT$1="Not Used"),SUMPRODUCT((PayEmp=$C17)*(PayDate&lt;=$AC17)*(OFFSET($N$6,1,MATCH(AT$5,PayDedList,0)-1,PayCount,1)))/$AA17*12*AT$3,IF(ISNA(MATCH(OFFSET($N$2,0,MATCH(AT$5,PayDedList,0)-1,1,1),EarnListItem,0))=FALSE,SUMPRODUCT((PayEmp=$C17)*(PayDate&lt;=$AC17)*(OFFSET($N$6,1,MATCH(AT$5,PayDedList,0)-1,PayCount,1)))/$AA17*12*AT$3,(MIN(SUMPRODUCT((PayEmp=$C17)*(PayDate&lt;=$AC17)*(ISERROR(SEARCH(PayEarnCode,AT$2)))*(PayEarnType="Monthly")*(PayEarnValues))/$AA17*12,IF(ISNUMBER(OFFSET($N$3,0,MATCH(AT$5,PayDedList,0)-1,1,1)),OFFSET($N$3,0,MATCH(AT$5,PayDedList,0)-1,1,1),IgnoreMin)))*IF(COUNTIFS(EmpNo,$C17,OFFSET(Emp!$R$4,1,MATCH(AT$5,DedListItem,0)-1,EmpCount,1),"&lt;&gt;")&gt;0,VLOOKUP($C17,EmpAll,COLUMN(Emp!$R$4)+MATCH(AT$5,DedListItem,0)-1,0),OFFSET(Setup!$E$73,MATCH(AT$5,DedListItem,0),0,1,1))*AT$3))),IF(ISNUMBER(AT$4),AT$4,IgnoreMin)))))</f>
        <v>0</v>
      </c>
      <c r="AU17" s="148" cm="1">
        <f t="array" aca="1" ref="AU17" ca="1">-IF($F17="Terminated",0,IF($AA17=0,0,IF(ISNA(MATCH(AU$5,PayDedList,0)),0,MIN(IF(COUNTIFS(OverEmp,$C17,OverDeduct,AU$5,OverDate,"&lt;"&amp;DATE(YEAR($AC17),MONTH($AC17)+1,1),OverEnd,"&gt;="&amp;DATE(YEAR($AC17),MONTH($AC17),1))&gt;0,SUMPRODUCT((PayEmp=$C17)*(PayDate&lt;=$AC17)*(OFFSET($N$6,1,MATCH(AU$5,PayDedList,0)-1,PayCount,1)))/$AA17*12*AU$3,IF(OR(AU$1="Fixed",AU$1="Not Used"),SUMPRODUCT((PayEmp=$C17)*(PayDate&lt;=$AC17)*(OFFSET($N$6,1,MATCH(AU$5,PayDedList,0)-1,PayCount,1)))/$AA17*12*AU$3,IF(ISNA(MATCH(OFFSET($N$2,0,MATCH(AU$5,PayDedList,0)-1,1,1),EarnListItem,0))=FALSE,SUMPRODUCT((PayEmp=$C17)*(PayDate&lt;=$AC17)*(OFFSET($N$6,1,MATCH(AU$5,PayDedList,0)-1,PayCount,1)))/$AA17*12*AU$3,(MIN(SUMPRODUCT((PayEmp=$C17)*(PayDate&lt;=$AC17)*(ISERROR(SEARCH(PayEarnCode,AU$2)))*(PayEarnType="Monthly")*(PayEarnValues))/$AA17*12,IF(ISNUMBER(OFFSET($N$3,0,MATCH(AU$5,PayDedList,0)-1,1,1)),OFFSET($N$3,0,MATCH(AU$5,PayDedList,0)-1,1,1),IgnoreMin)))*IF(COUNTIFS(EmpNo,$C17,OFFSET(Emp!$R$4,1,MATCH(AU$5,DedListItem,0)-1,EmpCount,1),"&lt;&gt;")&gt;0,VLOOKUP($C17,EmpAll,COLUMN(Emp!$R$4)+MATCH(AU$5,DedListItem,0)-1,0),OFFSET(Setup!$E$73,MATCH(AU$5,DedListItem,0),0,1,1))*AU$3))),IF(ISNUMBER(AU$4),AU$4,IgnoreMin)))))</f>
        <v>0</v>
      </c>
      <c r="AV17" s="148" cm="1">
        <f t="array" aca="1" ref="AV17" ca="1">-IF($F17="Terminated",0,IF($AA17=0,0,IF(ISNA(MATCH(AV$5,PayDedList,0)),0,MIN(IF(COUNTIFS(OverEmp,$C17,OverDeduct,AV$5,OverDate,"&lt;"&amp;DATE(YEAR($AC17),MONTH($AC17)+1,1),OverEnd,"&gt;="&amp;DATE(YEAR($AC17),MONTH($AC17),1))&gt;0,SUMPRODUCT((PayEmp=$C17)*(PayDate&lt;=$AC17)*(OFFSET($N$6,1,MATCH(AV$5,PayDedList,0)-1,PayCount,1)))/$AA17*12*AV$3,IF(OR(AV$1="Fixed",AV$1="Not Used"),SUMPRODUCT((PayEmp=$C17)*(PayDate&lt;=$AC17)*(OFFSET($N$6,1,MATCH(AV$5,PayDedList,0)-1,PayCount,1)))/$AA17*12*AV$3,IF(ISNA(MATCH(OFFSET($N$2,0,MATCH(AV$5,PayDedList,0)-1,1,1),EarnListItem,0))=FALSE,SUMPRODUCT((PayEmp=$C17)*(PayDate&lt;=$AC17)*(OFFSET($N$6,1,MATCH(AV$5,PayDedList,0)-1,PayCount,1)))/$AA17*12*AV$3,(MIN(SUMPRODUCT((PayEmp=$C17)*(PayDate&lt;=$AC17)*(ISERROR(SEARCH(PayEarnCode,AV$2)))*(PayEarnType="Monthly")*(PayEarnValues))/$AA17*12,IF(ISNUMBER(OFFSET($N$3,0,MATCH(AV$5,PayDedList,0)-1,1,1)),OFFSET($N$3,0,MATCH(AV$5,PayDedList,0)-1,1,1),IgnoreMin)))*IF(COUNTIFS(EmpNo,$C17,OFFSET(Emp!$R$4,1,MATCH(AV$5,DedListItem,0)-1,EmpCount,1),"&lt;&gt;")&gt;0,VLOOKUP($C17,EmpAll,COLUMN(Emp!$R$4)+MATCH(AV$5,DedListItem,0)-1,0),OFFSET(Setup!$E$73,MATCH(AV$5,DedListItem,0),0,1,1))*AV$3))),IF(ISNUMBER(AV$4),AV$4,IgnoreMin)))))</f>
        <v>0</v>
      </c>
      <c r="AW17" s="148" cm="1">
        <f t="array" aca="1" ref="AW17" ca="1">-IF($F17="Terminated",0,IF($AA17=0,0,IF(ISNA(MATCH(AW$5,PayDedList,0)),0,MIN(IF(COUNTIFS(OverEmp,$C17,OverDeduct,AW$5,OverDate,"&lt;"&amp;DATE(YEAR($AC17),MONTH($AC17)+1,1),OverEnd,"&gt;="&amp;DATE(YEAR($AC17),MONTH($AC17),1))&gt;0,SUMPRODUCT((PayEmp=$C17)*(PayDate&lt;=$AC17)*(OFFSET($N$6,1,MATCH(AW$5,PayDedList,0)-1,PayCount,1)))/$AA17*12*AW$3,IF(OR(AW$1="Fixed",AW$1="Not Used"),SUMPRODUCT((PayEmp=$C17)*(PayDate&lt;=$AC17)*(OFFSET($N$6,1,MATCH(AW$5,PayDedList,0)-1,PayCount,1)))/$AA17*12*AW$3,IF(ISNA(MATCH(OFFSET($N$2,0,MATCH(AW$5,PayDedList,0)-1,1,1),EarnListItem,0))=FALSE,SUMPRODUCT((PayEmp=$C17)*(PayDate&lt;=$AC17)*(OFFSET($N$6,1,MATCH(AW$5,PayDedList,0)-1,PayCount,1)))/$AA17*12*AW$3,(MIN(SUMPRODUCT((PayEmp=$C17)*(PayDate&lt;=$AC17)*(ISERROR(SEARCH(PayEarnCode,AW$2)))*(PayEarnType="Monthly")*(PayEarnValues))/$AA17*12,IF(ISNUMBER(OFFSET($N$3,0,MATCH(AW$5,PayDedList,0)-1,1,1)),OFFSET($N$3,0,MATCH(AW$5,PayDedList,0)-1,1,1),IgnoreMin)))*IF(COUNTIFS(EmpNo,$C17,OFFSET(Emp!$R$4,1,MATCH(AW$5,DedListItem,0)-1,EmpCount,1),"&lt;&gt;")&gt;0,VLOOKUP($C17,EmpAll,COLUMN(Emp!$R$4)+MATCH(AW$5,DedListItem,0)-1,0),OFFSET(Setup!$E$73,MATCH(AW$5,DedListItem,0),0,1,1))*AW$3))),IF(ISNUMBER(AW$4),AW$4,IgnoreMin)))))</f>
        <v>0</v>
      </c>
      <c r="AX17" s="148">
        <f t="shared" ca="1" si="12"/>
        <v>60000</v>
      </c>
      <c r="AY17" s="148">
        <f t="shared" ca="1" si="13"/>
        <v>0</v>
      </c>
      <c r="AZ17" s="148">
        <f ca="1">IF(ISNUMBER($AL17),($AR17*$AL17)-$AI17-$AK17,MAX(0,IF($AL17="B",IF($AR17&lt;Setup!$C$32,($AR17*Setup!$D$32)-$AI17-$AK17,(($AR17-VLOOKUP($AR17,TaxAll2,1,1))*OFFSET(Setup!$D$32,MATCH($AR17,TaxBracket2,1),0,1,1))+OFFSET(Setup!$E$31,MATCH($AR17,TaxBracket2,1),0,1,1)-$AI17-$AK17),IF($AR17&lt;Setup!$C$21,($AR17*Setup!$D$21)-$AI17-$AK17,(($AR17-VLOOKUP($AR17,TaxAll1,1,1))*OFFSET(Setup!$D$21,MATCH($AR17,TaxBracket1,1),0,1,1))+OFFSET(Setup!$E$20,MATCH($AR17,TaxBracket1,1),0,1,1)-$AI17-$AK17))))</f>
        <v>0</v>
      </c>
      <c r="BA17" s="148">
        <f ca="1">IF(ISNUMBER($AL17),($AX17*$AL17)-$AI17-$AK17,MAX(0,IF($AL17="B",IF($AX17&lt;Setup!$C$32,($AX17*Setup!$D$32)-$AI17-$AK17,(($AX17-VLOOKUP($AX17,TaxAll2,1,1))*OFFSET(Setup!$D$32,MATCH($AX17,TaxBracket2,1),0,1,1))+OFFSET(Setup!$E$31,MATCH($AX17,TaxBracket2,1),0,1,1)-$AI17-$AK17),IF($AX17&lt;Setup!$C$21,($AX17*Setup!$D$21)-$AI17-$AK17,(($AX17-VLOOKUP($AX17,TaxAll1,1,1))*OFFSET(Setup!$D$21,MATCH($AX17,TaxBracket1,1),0,1,1))+OFFSET(Setup!$E$20,MATCH($AX17,TaxBracket1,1),0,1,1)-$AI17-$AK17))))</f>
        <v>0</v>
      </c>
      <c r="BB17" s="148">
        <f t="shared" ca="1" si="14"/>
        <v>0</v>
      </c>
      <c r="BC17" s="150">
        <f t="shared" ca="1" si="15"/>
        <v>1</v>
      </c>
      <c r="BD17" s="150">
        <f t="shared" ca="1" si="16"/>
        <v>0</v>
      </c>
      <c r="BE17" s="148">
        <f t="shared" ca="1" si="17"/>
        <v>60000</v>
      </c>
    </row>
    <row r="18" spans="1:57" ht="16.149999999999999" customHeight="1" x14ac:dyDescent="0.25">
      <c r="A18" s="10" t="str" cm="1">
        <f t="array" aca="1" ref="A18" ca="1">IF(ROW($A18)-ROW($A$6)&gt;EmpCount*12,"-",TEXT($B18,"yyyy")&amp;TEXT($B18,"mm")&amp;"-"&amp;$C18)</f>
        <v>202303-EXS012</v>
      </c>
      <c r="B18" s="137" cm="1">
        <f t="array" aca="1" ref="B18" ca="1">IF(ROW($A18)-ROW($A$6)&gt;EmpCount*12,Setup!$D$12,DATE(YEAR(Setup!$F$12),MONTH(Setup!$F$12)+ROUNDDOWN((ROW($A18)-ROW($A$6)-1)/EmpCount,0),IF(Setup!$C$14&gt;DAY(DATE(YEAR(Setup!$F$12),MONTH(Setup!$F$12)+ROUNDDOWN((ROW($A18)-ROW($A$6)-1)/EmpCount,0)+1,0)),DAY(DATE(YEAR(Setup!$F$12),MONTH(Setup!$F$12)+ROUNDDOWN((ROW($A18)-ROW($A$6)-1)/EmpCount,0)+1,0)),Setup!$C$14)))</f>
        <v>45010</v>
      </c>
      <c r="C18" s="101" t="str" cm="1">
        <f t="array" aca="1" ref="C18" ca="1">IF(ROW($A18)-ROW($A$6)&gt;EmpCount*12,"-",OFFSET(Emp!$A$4,ROW($A18)-ROW($A$6)-IF(ROW($A18)-ROW($A$6)&gt;EmpCount,ROUNDDOWN((ROW($A18)-ROW($A$6)-1)/EmpCount,0)*EmpCount,0),0,1,1))</f>
        <v>EXS012</v>
      </c>
      <c r="D18" s="10" t="str">
        <f ca="1">IF(ISNA(VLOOKUP($C18,EmpAll,COLUMN(Emp!$B$4),0)),"-",VLOOKUP($C18,EmpAll,COLUMN(Emp!$B$4),0))</f>
        <v>Williams VS</v>
      </c>
      <c r="E18" s="145" t="str">
        <f ca="1">IF(ISNA(VLOOKUP($C18,EmpAll,COLUMN(Emp!$C$4),0)),"-",VLOOKUP($C18,EmpAll,COLUMN(Emp!$C$4),0))</f>
        <v>A</v>
      </c>
      <c r="F18" s="101" t="str">
        <f ca="1">IF(ISNA(VLOOKUP($C18,EmpAll,COLUMN(Emp!$A$4),0)),"-",IF(AND(VLOOKUP($C18,EmpAll,COLUMN(Emp!$E$4),0)&lt;&gt;0,VLOOKUP($C18,EmpAll,COLUMN(Emp!$E$4),0)&gt;=DATE(YEAR($AC18),MONTH($AC18)+1,0)),"Inactive",IF(AND(VLOOKUP($C18,EmpAll,COLUMN(Emp!$F$4),0)&lt;&gt;0,VLOOKUP($C18,EmpAll,COLUMN(Emp!$F$4),0)&lt;=DATE(YEAR($AC18),MONTH($AC18),0)),"Terminated","Active")))</f>
        <v>Active</v>
      </c>
      <c r="G18" s="133" cm="1">
        <f t="array" aca="1" ref="G18" ca="1">IF($F18&lt;&gt;"Active",0,IF(COUNTIFS(OverEmp,$C18,OverEarn,G$2,OverDate,"&lt;"&amp;DATE(YEAR($AC18),MONTH($AC18)+1,1),OverEnd,"&gt;="&amp;DATE(YEAR($AC18),MONTH($AC18),1))&gt;0,SUMIFS(OverValue,OverEmp,$C18,OverEarn,G$2,OverDate,"&lt;"&amp;DATE(YEAR($AC18),MONTH($AC18)+1,1),OverEnd,"&gt;="&amp;DATE(YEAR($AC18),MONTH($AC18),1)),IF(AND($AC18&gt;=Setup!$E$10,SUMIFS(EmpIncrease,EmpCode,$C18)&gt;0),SUMIFS(EmpIncrease,EmpCode,$C18),SUMIFS(EmpSalary,EmpCode,$C18))))</f>
        <v>5000</v>
      </c>
      <c r="H18" s="133" cm="1">
        <f t="array" aca="1" ref="H18" ca="1">IF($F18&lt;&gt;"Active",0,IF(COUNTIFS(OverEmp,$C18,OverEarn,H$2,OverDate,"&lt;"&amp;DATE(YEAR($AC18),MONTH($AC18)+1,1),OverEnd,"&gt;="&amp;DATE(YEAR($AC18),MONTH($AC18),1))&gt;0,SUMIFS(OverValue,OverEmp,$C18,OverEarn,H$2,OverDate,"&lt;"&amp;DATE(YEAR($AC18),MONTH($AC18)+1,1),OverEnd,"&gt;="&amp;DATE(YEAR($AC18),MONTH($AC18),1)),0))</f>
        <v>0</v>
      </c>
      <c r="I18" s="133" cm="1">
        <f t="array" aca="1" ref="I18" ca="1">IF($F18&lt;&gt;"Active",0,IF(COUNTIFS(OverEmp,$C18,OverEarn,I$2,OverDate,"&lt;"&amp;DATE(YEAR($AC18),MONTH($AC18)+1,1),OverEnd,"&gt;="&amp;DATE(YEAR($AC18),MONTH($AC18),1))&gt;0,SUMIFS(OverValue,OverEmp,$C18,OverEarn,I$2,OverDate,"&lt;"&amp;DATE(YEAR($AC18),MONTH($AC18)+1,1),OverEnd,"&gt;="&amp;DATE(YEAR($AC18),MONTH($AC18),1)),IF(MONTH(B18)=Setup!$C$15,SUMIFS(EmpBonus,EmpCode,$C18),0)))</f>
        <v>0</v>
      </c>
      <c r="J18" s="133" cm="1">
        <f t="array" aca="1" ref="J18" ca="1">IF($F18&lt;&gt;"Active",0,IF(COUNTIFS(OverEmp,$C18,OverEarn,J$2,OverDate,"&lt;"&amp;DATE(YEAR($AC18),MONTH($AC18)+1,1),OverEnd,"&gt;="&amp;DATE(YEAR($AC18),MONTH($AC18),1))&gt;0,SUMIFS(OverValue,OverEmp,$C18,OverEarn,J$2,OverDate,"&lt;"&amp;DATE(YEAR($AC18),MONTH($AC18)+1,1),OverEnd,"&gt;="&amp;DATE(YEAR($AC18),MONTH($AC18),1)),0))</f>
        <v>0</v>
      </c>
      <c r="K18" s="133" cm="1">
        <f t="array" aca="1" ref="K18" ca="1">IF($F18&lt;&gt;"Active",0,IF(COUNTIFS(OverEmp,$C18,OverEarn,K$2,OverDate,"&lt;"&amp;DATE(YEAR($AC18),MONTH($AC18)+1,1),OverEnd,"&gt;="&amp;DATE(YEAR($AC18),MONTH($AC18),1))&gt;0,SUMIFS(OverValue,OverEmp,$C18,OverEarn,K$2,OverDate,"&lt;"&amp;DATE(YEAR($AC18),MONTH($AC18)+1,1),OverEnd,"&gt;="&amp;DATE(YEAR($AC18),MONTH($AC18),1)),0))</f>
        <v>0</v>
      </c>
      <c r="L18" s="185">
        <f t="shared" ca="1" si="0"/>
        <v>5000</v>
      </c>
      <c r="M18" s="182" cm="1">
        <f t="array" aca="1" ref="M18" ca="1">IF(COUNTIFS(OverEmp,$C18,OverTax,M$5,OverDate,"&lt;"&amp;DATE(YEAR($AC18),MONTH($AC18)+1,1),OverEnd,"&gt;="&amp;DATE(YEAR($AC18),MONTH($AC18),1))&gt;0,SUMIFS(OverValue,OverEmp,$C18,OverTax,M$5,OverDate,"&lt;"&amp;DATE(YEAR($AC18),MONTH($AC18)+1,1),OverEnd,"&gt;="&amp;DATE(YEAR($AC18),MONTH($AC18),1)),(($BA18/12*$AA18)+(BB18*IF(1-$BC18=0,0,BD18/(1-$BC18))))-IF($F18="Terminated",0,SUMIFS(PayTaxDeduct,PayDate,"&lt;"&amp;$AC18,PayEmp,$C18)))</f>
        <v>0</v>
      </c>
      <c r="N18" s="133" cm="1">
        <f t="array" aca="1" ref="N18" ca="1">IF($F18="Terminated",0,IF($AA18=0,0,IF(ISNA(MATCH(N$5,DedListItem,0)),0,IF(COUNTIFS(OverEmp,$C18,OverDeduct,N$5,OverDate,"&lt;"&amp;DATE(YEAR($AC18),MONTH($AC18)+1,1),OverEnd,"&gt;="&amp;DATE(YEAR($AC18),MONTH($AC18),1))&gt;0,SUMIFS(OverValue,OverEmp,$C18,OverDeduct,N$5,OverDate,"&lt;"&amp;DATE(YEAR($AC18),MONTH($AC18)+1,1),OverEnd,"&gt;="&amp;DATE(YEAR($AC18),MONTH($AC18),1)),IF(OR(N$2="Fixed",N$2="Not Used"),(IF(COUNTIFS(EmpNo,$C18,OFFSET(Emp!$R$4,1,MATCH(N$5,DedListItem,0)-1,EmpCount,1),"&lt;&gt;")&gt;0,VLOOKUP($C18,EmpAll,COLUMN(Emp!$R$4)+MATCH(N$5,DedListItem,0)-1,0),OFFSET(Setup!$E$73,MATCH(N$5,DedListItem,0),0,1,1))*$AA18)-SUMIFS(OFFSET(N$6,1,0,PayCount,1),PayDate,"&lt;"&amp;$AC18,PayEmp,$C18),IF(ISNA(MATCH(N$2,EarnListItem,0))=FALSE,IF(OFFSET(Setup!$G$73,MATCH(N$5,DedListItem,0),0,1,1)="Taxable",SUMPRODUCT((PayEmp=$C18)*(PayDate&lt;=$AC18)*(PayEarnCode=N$2)*(PayEarnTax)*(PayEarnValues)),SUMPRODUCT((PayEmp=$C18)*(PayDate&lt;=$AC18)*(PayEarnCode=N$2)*(PayEarnValues)))*IF(COUNTIFS(EmpNo,$C18,OFFSET(Emp!$R$4,1,MATCH(N$5,DedListItem,0)-1,EmpCount,1),"&lt;&gt;")&gt;0,VLOOKUP($C18,EmpAll,COLUMN(Emp!$R$4)+MATCH(N$5,DedListItem,0)-1,0),OFFSET(Setup!$E$73,MATCH(N$5,DedListItem,0),0,1,1)),(MIN(IF(OFFSET(Setup!$G$73,MATCH(N$5,DedListItem,0),0,1,1)="Taxable",SUMPRODUCT((PayEmp=$C18)*(PayDate&lt;=$AC18)*(ISERROR(SEARCH(PayEarnCode,N$4)))*(PayEarnTax)*(PayEarnValues)),SUMPRODUCT((PayEmp=$C18)*(PayDate&lt;=$AC18)*(ISERROR(SEARCH(PayEarnCode,N$4)))*(PayEarnValues))),IF(ISNUMBER(N$3),N$3/12*$AA18,IgnoreMin)))*IF(COUNTIFS(EmpNo,$C18,OFFSET(Emp!$R$4,1,MATCH(N$5,DedListItem,0)-1,EmpCount,1),"&lt;&gt;")&gt;0,VLOOKUP($C18,EmpAll,COLUMN(Emp!$R$4)+MATCH(N$5,DedListItem,0)-1,0),OFFSET(Setup!$E$73,MATCH(N$5,DedListItem,0),0,1,1)))-SUMIFS(OFFSET(N$6,1,0,PayCount,1),PayDate,"&lt;"&amp;$AC18,PayEmp,$C18))))))</f>
        <v>50</v>
      </c>
      <c r="O18" s="133" cm="1">
        <f t="array" aca="1" ref="O18" ca="1">IF($F18="Terminated",0,IF($AA18=0,0,IF(ISNA(MATCH(O$5,DedListItem,0)),0,IF(COUNTIFS(OverEmp,$C18,OverDeduct,O$5,OverDate,"&lt;"&amp;DATE(YEAR($AC18),MONTH($AC18)+1,1),OverEnd,"&gt;="&amp;DATE(YEAR($AC18),MONTH($AC18),1))&gt;0,SUMIFS(OverValue,OverEmp,$C18,OverDeduct,O$5,OverDate,"&lt;"&amp;DATE(YEAR($AC18),MONTH($AC18)+1,1),OverEnd,"&gt;="&amp;DATE(YEAR($AC18),MONTH($AC18),1)),IF(OR(O$2="Fixed",O$2="Not Used"),(IF(COUNTIFS(EmpNo,$C18,OFFSET(Emp!$R$4,1,MATCH(O$5,DedListItem,0)-1,EmpCount,1),"&lt;&gt;")&gt;0,VLOOKUP($C18,EmpAll,COLUMN(Emp!$R$4)+MATCH(O$5,DedListItem,0)-1,0),OFFSET(Setup!$E$73,MATCH(O$5,DedListItem,0),0,1,1))*$AA18)-SUMIFS(OFFSET(O$6,1,0,PayCount,1),PayDate,"&lt;"&amp;$AC18,PayEmp,$C18),IF(ISNA(MATCH(O$2,EarnListItem,0))=FALSE,IF(OFFSET(Setup!$G$73,MATCH(O$5,DedListItem,0),0,1,1)="Taxable",SUMPRODUCT((PayEmp=$C18)*(PayDate&lt;=$AC18)*(PayEarnCode=O$2)*(PayEarnTax)*(PayEarnValues)),SUMPRODUCT((PayEmp=$C18)*(PayDate&lt;=$AC18)*(PayEarnCode=O$2)*(PayEarnValues)))*IF(COUNTIFS(EmpNo,$C18,OFFSET(Emp!$R$4,1,MATCH(O$5,DedListItem,0)-1,EmpCount,1),"&lt;&gt;")&gt;0,VLOOKUP($C18,EmpAll,COLUMN(Emp!$R$4)+MATCH(O$5,DedListItem,0)-1,0),OFFSET(Setup!$E$73,MATCH(O$5,DedListItem,0),0,1,1)),(MIN(IF(OFFSET(Setup!$G$73,MATCH(O$5,DedListItem,0),0,1,1)="Taxable",SUMPRODUCT((PayEmp=$C18)*(PayDate&lt;=$AC18)*(ISERROR(SEARCH(PayEarnCode,O$4)))*(PayEarnTax)*(PayEarnValues)),SUMPRODUCT((PayEmp=$C18)*(PayDate&lt;=$AC18)*(ISERROR(SEARCH(PayEarnCode,O$4)))*(PayEarnValues))),IF(ISNUMBER(O$3),O$3/12*$AA18,IgnoreMin)))*IF(COUNTIFS(EmpNo,$C18,OFFSET(Emp!$R$4,1,MATCH(O$5,DedListItem,0)-1,EmpCount,1),"&lt;&gt;")&gt;0,VLOOKUP($C18,EmpAll,COLUMN(Emp!$R$4)+MATCH(O$5,DedListItem,0)-1,0),OFFSET(Setup!$E$73,MATCH(O$5,DedListItem,0),0,1,1)))-SUMIFS(OFFSET(O$6,1,0,PayCount,1),PayDate,"&lt;"&amp;$AC18,PayEmp,$C18))))))</f>
        <v>0</v>
      </c>
      <c r="P18" s="133" cm="1">
        <f t="array" aca="1" ref="P18" ca="1">IF($F18="Terminated",0,IF($AA18=0,0,IF(ISNA(MATCH(P$5,DedListItem,0)),0,IF(COUNTIFS(OverEmp,$C18,OverDeduct,P$5,OverDate,"&lt;"&amp;DATE(YEAR($AC18),MONTH($AC18)+1,1),OverEnd,"&gt;="&amp;DATE(YEAR($AC18),MONTH($AC18),1))&gt;0,SUMIFS(OverValue,OverEmp,$C18,OverDeduct,P$5,OverDate,"&lt;"&amp;DATE(YEAR($AC18),MONTH($AC18)+1,1),OverEnd,"&gt;="&amp;DATE(YEAR($AC18),MONTH($AC18),1)),IF(OR(P$2="Fixed",P$2="Not Used"),(IF(COUNTIFS(EmpNo,$C18,OFFSET(Emp!$R$4,1,MATCH(P$5,DedListItem,0)-1,EmpCount,1),"&lt;&gt;")&gt;0,VLOOKUP($C18,EmpAll,COLUMN(Emp!$R$4)+MATCH(P$5,DedListItem,0)-1,0),OFFSET(Setup!$E$73,MATCH(P$5,DedListItem,0),0,1,1))*$AA18)-SUMIFS(OFFSET(P$6,1,0,PayCount,1),PayDate,"&lt;"&amp;$AC18,PayEmp,$C18),IF(ISNA(MATCH(P$2,EarnListItem,0))=FALSE,IF(OFFSET(Setup!$G$73,MATCH(P$5,DedListItem,0),0,1,1)="Taxable",SUMPRODUCT((PayEmp=$C18)*(PayDate&lt;=$AC18)*(PayEarnCode=P$2)*(PayEarnTax)*(PayEarnValues)),SUMPRODUCT((PayEmp=$C18)*(PayDate&lt;=$AC18)*(PayEarnCode=P$2)*(PayEarnValues)))*IF(COUNTIFS(EmpNo,$C18,OFFSET(Emp!$R$4,1,MATCH(P$5,DedListItem,0)-1,EmpCount,1),"&lt;&gt;")&gt;0,VLOOKUP($C18,EmpAll,COLUMN(Emp!$R$4)+MATCH(P$5,DedListItem,0)-1,0),OFFSET(Setup!$E$73,MATCH(P$5,DedListItem,0),0,1,1)),(MIN(IF(OFFSET(Setup!$G$73,MATCH(P$5,DedListItem,0),0,1,1)="Taxable",SUMPRODUCT((PayEmp=$C18)*(PayDate&lt;=$AC18)*(ISERROR(SEARCH(PayEarnCode,P$4)))*(PayEarnTax)*(PayEarnValues)),SUMPRODUCT((PayEmp=$C18)*(PayDate&lt;=$AC18)*(ISERROR(SEARCH(PayEarnCode,P$4)))*(PayEarnValues))),IF(ISNUMBER(P$3),P$3/12*$AA18,IgnoreMin)))*IF(COUNTIFS(EmpNo,$C18,OFFSET(Emp!$R$4,1,MATCH(P$5,DedListItem,0)-1,EmpCount,1),"&lt;&gt;")&gt;0,VLOOKUP($C18,EmpAll,COLUMN(Emp!$R$4)+MATCH(P$5,DedListItem,0)-1,0),OFFSET(Setup!$E$73,MATCH(P$5,DedListItem,0),0,1,1)))-SUMIFS(OFFSET(P$6,1,0,PayCount,1),PayDate,"&lt;"&amp;$AC18,PayEmp,$C18))))))</f>
        <v>0</v>
      </c>
      <c r="Q18" s="133" cm="1">
        <f t="array" aca="1" ref="Q18" ca="1">IF($F18="Terminated",0,IF($AA18=0,0,IF(ISNA(MATCH(Q$5,DedListItem,0)),0,IF(COUNTIFS(OverEmp,$C18,OverDeduct,Q$5,OverDate,"&lt;"&amp;DATE(YEAR($AC18),MONTH($AC18)+1,1),OverEnd,"&gt;="&amp;DATE(YEAR($AC18),MONTH($AC18),1))&gt;0,SUMIFS(OverValue,OverEmp,$C18,OverDeduct,Q$5,OverDate,"&lt;"&amp;DATE(YEAR($AC18),MONTH($AC18)+1,1),OverEnd,"&gt;="&amp;DATE(YEAR($AC18),MONTH($AC18),1)),IF(OR(Q$2="Fixed",Q$2="Not Used"),(IF(COUNTIFS(EmpNo,$C18,OFFSET(Emp!$R$4,1,MATCH(Q$5,DedListItem,0)-1,EmpCount,1),"&lt;&gt;")&gt;0,VLOOKUP($C18,EmpAll,COLUMN(Emp!$R$4)+MATCH(Q$5,DedListItem,0)-1,0),OFFSET(Setup!$E$73,MATCH(Q$5,DedListItem,0),0,1,1))*$AA18)-SUMIFS(OFFSET(Q$6,1,0,PayCount,1),PayDate,"&lt;"&amp;$AC18,PayEmp,$C18),IF(ISNA(MATCH(Q$2,EarnListItem,0))=FALSE,IF(OFFSET(Setup!$G$73,MATCH(Q$5,DedListItem,0),0,1,1)="Taxable",SUMPRODUCT((PayEmp=$C18)*(PayDate&lt;=$AC18)*(PayEarnCode=Q$2)*(PayEarnTax)*(PayEarnValues)),SUMPRODUCT((PayEmp=$C18)*(PayDate&lt;=$AC18)*(PayEarnCode=Q$2)*(PayEarnValues)))*IF(COUNTIFS(EmpNo,$C18,OFFSET(Emp!$R$4,1,MATCH(Q$5,DedListItem,0)-1,EmpCount,1),"&lt;&gt;")&gt;0,VLOOKUP($C18,EmpAll,COLUMN(Emp!$R$4)+MATCH(Q$5,DedListItem,0)-1,0),OFFSET(Setup!$E$73,MATCH(Q$5,DedListItem,0),0,1,1)),(MIN(IF(OFFSET(Setup!$G$73,MATCH(Q$5,DedListItem,0),0,1,1)="Taxable",SUMPRODUCT((PayEmp=$C18)*(PayDate&lt;=$AC18)*(ISERROR(SEARCH(PayEarnCode,Q$4)))*(PayEarnTax)*(PayEarnValues)),SUMPRODUCT((PayEmp=$C18)*(PayDate&lt;=$AC18)*(ISERROR(SEARCH(PayEarnCode,Q$4)))*(PayEarnValues))),IF(ISNUMBER(Q$3),Q$3/12*$AA18,IgnoreMin)))*IF(COUNTIFS(EmpNo,$C18,OFFSET(Emp!$R$4,1,MATCH(Q$5,DedListItem,0)-1,EmpCount,1),"&lt;&gt;")&gt;0,VLOOKUP($C18,EmpAll,COLUMN(Emp!$R$4)+MATCH(Q$5,DedListItem,0)-1,0),OFFSET(Setup!$E$73,MATCH(Q$5,DedListItem,0),0,1,1)))-SUMIFS(OFFSET(Q$6,1,0,PayCount,1),PayDate,"&lt;"&amp;$AC18,PayEmp,$C18))))))</f>
        <v>0</v>
      </c>
      <c r="R18" s="185">
        <f t="shared" ca="1" si="1"/>
        <v>50</v>
      </c>
      <c r="S18" s="139">
        <f t="shared" ca="1" si="2"/>
        <v>4950</v>
      </c>
      <c r="T18" s="133" cm="1">
        <f t="array" aca="1" ref="T18" ca="1">IF($F18="Terminated",0,IF($AA18=0,0,IF(ISNA(MATCH(T$5,CompListItem,0)),0,IF(COUNTIFS(OverEmp,$C18,OverComp,T$5,OverDate,"&lt;"&amp;DATE(YEAR($AC18),MONTH($AC18)+1,1),OverEnd,"&gt;="&amp;DATE(YEAR($AC18),MONTH($AC18),1))&gt;0,SUMIFS(OverValue,OverEmp,$C18,OverComp,T$5,OverDate,"&lt;"&amp;DATE(YEAR($AC18),MONTH($AC18)+1,1),OverEnd,"&gt;="&amp;DATE(YEAR($AC18),MONTH($AC18),1)),IF(OR(T$2="Fixed",T$2="Not Used"),(OFFSET(Setup!$E$81,MATCH(T$5,CompListItem,0),0,1,1)*$AA18)-SUMIFS(OFFSET(T$6,1,0,PayCount,1),PayDate,"&lt;"&amp;$AC18,PayEmp,$C18),IF(ISNA(MATCH(T$2,DedListItem,0))=FALSE,(SUMPRODUCT((PayEmp=$C18)*(PayDate&lt;=$AC18)*(PayDedList=T$2)*(PayDedValues))*OFFSET(Setup!$E$81,MATCH(T$5,CompListItem,0),0,1,1))-SUMIFS(OFFSET(T$6,1,0,PayCount,1),PayDate,"&lt;"&amp;$AC18,PayEmp,$C18),(MIN(IF(OFFSET(Setup!$G$81,MATCH(T$5,CompListItem,0),0,1,1)="Taxable",SUMPRODUCT((PayEmp=$C18)*(PayDate&lt;=$AC18)*(ISERROR(SEARCH(PayEarnCode,T$4)))*(PayEarnTax)*(PayEarnValues)),SUMPRODUCT((PayEmp=$C18)*(PayDate&lt;=$AC18)*(ISERROR(SEARCH(PayEarnCode,T$4)))*(PayEarnValues))),IF(ISNUMBER(T$3),T$3/12*$AA18,IgnoreMin)))*OFFSET(Setup!$E$81,MATCH(T$5,CompListItem,0),0,1,1)-SUMIFS(OFFSET(T$6,1,0,PayCount,1),PayDate,"&lt;"&amp;$AC18,PayEmp,$C18)))))))</f>
        <v>50</v>
      </c>
      <c r="U18" s="133" cm="1">
        <f t="array" aca="1" ref="U18" ca="1">IF($F18="Terminated",0,IF($AA18=0,0,IF(ISNA(MATCH(U$5,CompListItem,0)),0,IF(COUNTIFS(OverEmp,$C18,OverComp,U$5,OverDate,"&lt;"&amp;DATE(YEAR($AC18),MONTH($AC18)+1,1),OverEnd,"&gt;="&amp;DATE(YEAR($AC18),MONTH($AC18),1))&gt;0,SUMIFS(OverValue,OverEmp,$C18,OverComp,U$5,OverDate,"&lt;"&amp;DATE(YEAR($AC18),MONTH($AC18)+1,1),OverEnd,"&gt;="&amp;DATE(YEAR($AC18),MONTH($AC18),1)),IF(OR(U$2="Fixed",U$2="Not Used"),(OFFSET(Setup!$E$81,MATCH(U$5,CompListItem,0),0,1,1)*$AA18)-SUMIFS(OFFSET(U$6,1,0,PayCount,1),PayDate,"&lt;"&amp;$AC18,PayEmp,$C18),IF(ISNA(MATCH(U$2,DedListItem,0))=FALSE,(SUMPRODUCT((PayEmp=$C18)*(PayDate&lt;=$AC18)*(PayDedList=U$2)*(PayDedValues))*OFFSET(Setup!$E$81,MATCH(U$5,CompListItem,0),0,1,1))-SUMIFS(OFFSET(U$6,1,0,PayCount,1),PayDate,"&lt;"&amp;$AC18,PayEmp,$C18),(MIN(IF(OFFSET(Setup!$G$81,MATCH(U$5,CompListItem,0),0,1,1)="Taxable",SUMPRODUCT((PayEmp=$C18)*(PayDate&lt;=$AC18)*(ISERROR(SEARCH(PayEarnCode,U$4)))*(PayEarnTax)*(PayEarnValues)),SUMPRODUCT((PayEmp=$C18)*(PayDate&lt;=$AC18)*(ISERROR(SEARCH(PayEarnCode,U$4)))*(PayEarnValues))),IF(ISNUMBER(U$3),U$3/12*$AA18,IgnoreMin)))*OFFSET(Setup!$E$81,MATCH(U$5,CompListItem,0),0,1,1)-SUMIFS(OFFSET(U$6,1,0,PayCount,1),PayDate,"&lt;"&amp;$AC18,PayEmp,$C18)))))))</f>
        <v>50</v>
      </c>
      <c r="V18" s="133" cm="1">
        <f t="array" aca="1" ref="V18" ca="1">IF($F18="Terminated",0,IF($AA18=0,0,IF(ISNA(MATCH(V$5,CompListItem,0)),0,IF(COUNTIFS(OverEmp,$C18,OverComp,V$5,OverDate,"&lt;"&amp;DATE(YEAR($AC18),MONTH($AC18)+1,1),OverEnd,"&gt;="&amp;DATE(YEAR($AC18),MONTH($AC18),1))&gt;0,SUMIFS(OverValue,OverEmp,$C18,OverComp,V$5,OverDate,"&lt;"&amp;DATE(YEAR($AC18),MONTH($AC18)+1,1),OverEnd,"&gt;="&amp;DATE(YEAR($AC18),MONTH($AC18),1)),IF(OR(V$2="Fixed",V$2="Not Used"),(OFFSET(Setup!$E$81,MATCH(V$5,CompListItem,0),0,1,1)*$AA18)-SUMIFS(OFFSET(V$6,1,0,PayCount,1),PayDate,"&lt;"&amp;$AC18,PayEmp,$C18),IF(ISNA(MATCH(V$2,DedListItem,0))=FALSE,(SUMPRODUCT((PayEmp=$C18)*(PayDate&lt;=$AC18)*(PayDedList=V$2)*(PayDedValues))*OFFSET(Setup!$E$81,MATCH(V$5,CompListItem,0),0,1,1))-SUMIFS(OFFSET(V$6,1,0,PayCount,1),PayDate,"&lt;"&amp;$AC18,PayEmp,$C18),(MIN(IF(OFFSET(Setup!$G$81,MATCH(V$5,CompListItem,0),0,1,1)="Taxable",SUMPRODUCT((PayEmp=$C18)*(PayDate&lt;=$AC18)*(ISERROR(SEARCH(PayEarnCode,V$4)))*(PayEarnTax)*(PayEarnValues)),SUMPRODUCT((PayEmp=$C18)*(PayDate&lt;=$AC18)*(ISERROR(SEARCH(PayEarnCode,V$4)))*(PayEarnValues))),IF(ISNUMBER(V$3),V$3/12*$AA18,IgnoreMin)))*OFFSET(Setup!$E$81,MATCH(V$5,CompListItem,0),0,1,1)-SUMIFS(OFFSET(V$6,1,0,PayCount,1),PayDate,"&lt;"&amp;$AC18,PayEmp,$C18)))))))</f>
        <v>0</v>
      </c>
      <c r="W18" s="133" cm="1">
        <f t="array" aca="1" ref="W18" ca="1">IF($F18="Terminated",0,IF($AA18=0,0,IF(ISNA(MATCH(W$5,CompListItem,0)),0,IF(COUNTIFS(OverEmp,$C18,OverComp,W$5,OverDate,"&lt;"&amp;DATE(YEAR($AC18),MONTH($AC18)+1,1),OverEnd,"&gt;="&amp;DATE(YEAR($AC18),MONTH($AC18),1))&gt;0,SUMIFS(OverValue,OverEmp,$C18,OverComp,W$5,OverDate,"&lt;"&amp;DATE(YEAR($AC18),MONTH($AC18)+1,1),OverEnd,"&gt;="&amp;DATE(YEAR($AC18),MONTH($AC18),1)),IF(OR(W$2="Fixed",W$2="Not Used"),(OFFSET(Setup!$E$81,MATCH(W$5,CompListItem,0),0,1,1)*$AA18)-SUMIFS(OFFSET(W$6,1,0,PayCount,1),PayDate,"&lt;"&amp;$AC18,PayEmp,$C18),IF(ISNA(MATCH(W$2,DedListItem,0))=FALSE,(SUMPRODUCT((PayEmp=$C18)*(PayDate&lt;=$AC18)*(PayDedList=W$2)*(PayDedValues))*OFFSET(Setup!$E$81,MATCH(W$5,CompListItem,0),0,1,1))-SUMIFS(OFFSET(W$6,1,0,PayCount,1),PayDate,"&lt;"&amp;$AC18,PayEmp,$C18),(MIN(IF(OFFSET(Setup!$G$81,MATCH(W$5,CompListItem,0),0,1,1)="Taxable",SUMPRODUCT((PayEmp=$C18)*(PayDate&lt;=$AC18)*(ISERROR(SEARCH(PayEarnCode,W$4)))*(PayEarnTax)*(PayEarnValues)),SUMPRODUCT((PayEmp=$C18)*(PayDate&lt;=$AC18)*(ISERROR(SEARCH(PayEarnCode,W$4)))*(PayEarnValues))),IF(ISNUMBER(W$3),W$3/12*$AA18,IgnoreMin)))*OFFSET(Setup!$E$81,MATCH(W$5,CompListItem,0),0,1,1)-SUMIFS(OFFSET(W$6,1,0,PayCount,1),PayDate,"&lt;"&amp;$AC18,PayEmp,$C18)))))))</f>
        <v>0</v>
      </c>
      <c r="X18" s="185">
        <f t="shared" ca="1" si="3"/>
        <v>100</v>
      </c>
      <c r="Y18" s="139">
        <f t="shared" ca="1" si="4"/>
        <v>5100</v>
      </c>
      <c r="Z18" s="139">
        <f t="shared" ca="1" si="5"/>
        <v>150</v>
      </c>
      <c r="AA18" s="146">
        <f ca="1">IF(OR($B18&lt;=Setup!$E$12,$B18&gt;=Setup!$D$12+1),0,IF($F18&lt;&gt;"Active",0,IF($AE18="Yes",$AB18,((YEAR($AC18)*12)+MONTH($AC18))-((YEAR($AD18)*12)+MONTH($AD18)-1))))</f>
        <v>1</v>
      </c>
      <c r="AB18" s="146">
        <f ca="1">IF(OR($B18&lt;=Setup!$E$12,$B18&gt;=Setup!$D$12+1),0,((YEAR($AC18)*12)+MONTH($AC18))-((YEAR(Setup!$E$12)*12)+MONTH(Setup!$E$12)))</f>
        <v>1</v>
      </c>
      <c r="AC18" s="186">
        <f t="shared" ca="1" si="6"/>
        <v>45010</v>
      </c>
      <c r="AD18" s="144">
        <f ca="1">IF(ISNA(VLOOKUP($C18,EmpAll,COLUMN(Emp!$E$4),0)),$AC18,IF(VLOOKUP($C18,EmpAll,COLUMN(Emp!$E$4),0)&lt;=Setup!$E$12,DATE(YEAR(Setup!$E$12),MONTH(Setup!$E$12)+1,1),VLOOKUP($C18,EmpAll,COLUMN(Emp!$E$4),0)))</f>
        <v>44986</v>
      </c>
      <c r="AE18" s="144" t="str">
        <f ca="1">IF(ISNA(VLOOKUP($C18,EmpAll,COLUMN(Emp!$G$1),0)),"-",IF(VLOOKUP($C18,EmpAll,COLUMN(Emp!$G$1),0)=0,"-",VLOOKUP($C18,EmpAll,COLUMN(Emp!$G$1),0)))</f>
        <v>-</v>
      </c>
      <c r="AF18" s="145">
        <f ca="1">IF(A18=PaySlip!$G$3,1,0)</f>
        <v>0</v>
      </c>
      <c r="AG18" s="130" cm="1">
        <f t="array" aca="1" ref="AG18" ca="1">IF(COUNTIFS(OverEmp,$C18,OverMed,"MED",OverDate,"&lt;"&amp;DATE(YEAR($AC18),MONTH($AC18)+1,1),OverEnd,"&gt;="&amp;DATE(YEAR($AC18),MONTH($AC18),1))&gt;0,SUMIFS(OverValue,OverEmp,$C18,OverMed,"MED",OverDate,"&lt;"&amp;DATE(YEAR($AC18),MONTH($AC18)+1,1),OverEnd,"&gt;="&amp;DATE(YEAR($AC18),MONTH($AC18),1)),IF(ISNA(VLOOKUP($C18,EmpAll,COLUMN(Emp!$N$4),0)),0,VLOOKUP($C18,EmpAll,COLUMN(Emp!$N$4),0)))</f>
        <v>0</v>
      </c>
      <c r="AH18" s="146">
        <f ca="1">VLOOKUP($AG18,MedList,COLUMN(Setup!$C$49),1)</f>
        <v>0</v>
      </c>
      <c r="AI18" s="146">
        <f t="shared" ca="1" si="7"/>
        <v>0</v>
      </c>
      <c r="AJ18" s="101" t="str">
        <f ca="1">IF(ISNA(VLOOKUP($C18,EmpAll,COLUMN(Emp!$L$4),0)),"None!",VLOOKUP($C18,EmpAll,COLUMN(Emp!$L$4),0))</f>
        <v>A</v>
      </c>
      <c r="AK18" s="147">
        <f t="shared" ca="1" si="8"/>
        <v>17235</v>
      </c>
      <c r="AL18" s="101" t="str">
        <f ca="1">IF(ISNA(VLOOKUP($C18,Employees[],COLUMN(Emp!$M$4),0))=TRUE,"Error!",IF(VLOOKUP($C18,Employees[],COLUMN(Emp!$M$4),0)=0,"Yes",VLOOKUP($C18,Employees[],COLUMN(Emp!$M$4),0)))</f>
        <v>A</v>
      </c>
      <c r="AM18" s="148">
        <f t="shared" ca="1" si="9"/>
        <v>60000</v>
      </c>
      <c r="AN18" s="148" cm="1">
        <f t="array" aca="1" ref="AN18" ca="1">-IF($F18="Terminated",0,IF($AA18=0,0,IF(ISNA(MATCH(AN$5,PayDedList,0)),0,MIN(IF(COUNTIFS(OverEmp,$C18,OverDeduct,AN$5,OverDate,"&lt;"&amp;DATE(YEAR($AC18),MONTH($AC18)+1,1),OverEnd,"&gt;="&amp;DATE(YEAR($AC18),MONTH($AC18),1))&gt;0,SUMPRODUCT((PayEmp=$C18)*(PayDate&lt;=$AC18)*(OFFSET($N$6,1,MATCH(AN$5,PayDedList,0)-1,PayCount,1)))/$AA18*12*AN$3,IF(OR(AN$1="Fixed",AN$1="Not Used"),SUMPRODUCT((PayEmp=$C18)*(PayDate&lt;=$AC18)*(OFFSET($N$6,1,MATCH(AN$5,PayDedList,0)-1,PayCount,1)))/$AA18*12*AN$3,IF(ISNA(MATCH(AN$1,EarnListItem,0))=FALSE,SUMPRODUCT((PayEmp=$C18)*(PayDate&lt;=$AC18)*(OFFSET($N$6,1,MATCH(AN$5,PayDedList,0)-1,PayCount,1)))/$AA18*12*AN$3,(MIN(((SUMPRODUCT((PayEmp=$C18)*(PayDate&lt;=$AC18)*(ISERROR(SEARCH(PayEarnCode,AN$2)))*(PayEarnType="Monthly")*(PayEarnValues))/$AA18*12)+(SUMPRODUCT((PayEmp=$C18)*(PayDate&lt;=$AC18)*(ISERROR(SEARCH(PayEarnCode,AN$2)))*(PayEarnType="Quarterly")*(PayEarnValues))/MAX(1,ROUNDDOWN($AB18/3,0))*4)+(SUMPRODUCT((PayEmp=$C18)*(PayDate&lt;=$AC18)*(ISERROR(SEARCH(PayEarnCode,AN$2)))*(PayEarnType="Bi-Annual")*(PayEarnValues))/MAX(1,ROUNDDOWN($AB18/6,0))*2)+(SUMPRODUCT((PayEmp=$C18)*(PayDate&lt;=$AC18)*(ISERROR(SEARCH(PayEarnCode,AN$2)))*(PayEarnType="Annual")*(PayEarnValues)))),IF(ISNUMBER(OFFSET($N$3,0,MATCH(AN$5,PayDedList,0)-1,1,1)),OFFSET($N$3,0,MATCH(AN$5,PayDedList,0)-1,1,1),IgnoreMin)))*IF(COUNTIFS(EmpNo,$C18,OFFSET(Emp!$R$4,1,MATCH(AN$5,DedListItem,0)-1,EmpCount,1),"&lt;&gt;")&gt;0,VLOOKUP($C18,EmpAll,COLUMN(Emp!$R$4)+MATCH(AN$5,DedListItem,0)-1,0),OFFSET(Setup!$E$73,MATCH(AN$5,DedListItem,0),0,1,1))*AN$3))),IF(ISNUMBER(AN$4),AN$4,IgnoreMin)))))</f>
        <v>0</v>
      </c>
      <c r="AO18" s="148" cm="1">
        <f t="array" aca="1" ref="AO18" ca="1">-IF($F18="Terminated",0,IF($AA18=0,0,IF(ISNA(MATCH(AO$5,PayDedList,0)),0,MIN(IF(COUNTIFS(OverEmp,$C18,OverDeduct,AO$5,OverDate,"&lt;"&amp;DATE(YEAR($AC18),MONTH($AC18)+1,1),OverEnd,"&gt;="&amp;DATE(YEAR($AC18),MONTH($AC18),1))&gt;0,SUMPRODUCT((PayEmp=$C18)*(PayDate&lt;=$AC18)*(OFFSET($N$6,1,MATCH(AO$5,PayDedList,0)-1,PayCount,1)))/$AA18*12*AO$3,IF(OR(AO$1="Fixed",AO$1="Not Used"),SUMPRODUCT((PayEmp=$C18)*(PayDate&lt;=$AC18)*(OFFSET($N$6,1,MATCH(AO$5,PayDedList,0)-1,PayCount,1)))/$AA18*12*AO$3,IF(ISNA(MATCH(AO$1,EarnListItem,0))=FALSE,SUMPRODUCT((PayEmp=$C18)*(PayDate&lt;=$AC18)*(OFFSET($N$6,1,MATCH(AO$5,PayDedList,0)-1,PayCount,1)))/$AA18*12*AO$3,(MIN(((SUMPRODUCT((PayEmp=$C18)*(PayDate&lt;=$AC18)*(ISERROR(SEARCH(PayEarnCode,AO$2)))*(PayEarnType="Monthly")*(PayEarnValues))/$AA18*12)+(SUMPRODUCT((PayEmp=$C18)*(PayDate&lt;=$AC18)*(ISERROR(SEARCH(PayEarnCode,AO$2)))*(PayEarnType="Quarterly")*(PayEarnValues))/MAX(1,ROUNDDOWN($AB18/3,0))*4)+(SUMPRODUCT((PayEmp=$C18)*(PayDate&lt;=$AC18)*(ISERROR(SEARCH(PayEarnCode,AO$2)))*(PayEarnType="Bi-Annual")*(PayEarnValues))/MAX(1,ROUNDDOWN($AB18/6,0))*2)+(SUMPRODUCT((PayEmp=$C18)*(PayDate&lt;=$AC18)*(ISERROR(SEARCH(PayEarnCode,AO$2)))*(PayEarnType="Annual")*(PayEarnValues)))),IF(ISNUMBER(OFFSET($N$3,0,MATCH(AO$5,PayDedList,0)-1,1,1)),OFFSET($N$3,0,MATCH(AO$5,PayDedList,0)-1,1,1),IgnoreMin)))*IF(COUNTIFS(EmpNo,$C18,OFFSET(Emp!$R$4,1,MATCH(AO$5,DedListItem,0)-1,EmpCount,1),"&lt;&gt;")&gt;0,VLOOKUP($C18,EmpAll,COLUMN(Emp!$R$4)+MATCH(AO$5,DedListItem,0)-1,0),OFFSET(Setup!$E$73,MATCH(AO$5,DedListItem,0),0,1,1))*AO$3))),IF(ISNUMBER(AO$4),AO$4,IgnoreMin)))))</f>
        <v>0</v>
      </c>
      <c r="AP18" s="148" cm="1">
        <f t="array" aca="1" ref="AP18" ca="1">-IF($F18="Terminated",0,IF($AA18=0,0,IF(ISNA(MATCH(AP$5,PayDedList,0)),0,MIN(IF(COUNTIFS(OverEmp,$C18,OverDeduct,AP$5,OverDate,"&lt;"&amp;DATE(YEAR($AC18),MONTH($AC18)+1,1),OverEnd,"&gt;="&amp;DATE(YEAR($AC18),MONTH($AC18),1))&gt;0,SUMPRODUCT((PayEmp=$C18)*(PayDate&lt;=$AC18)*(OFFSET($N$6,1,MATCH(AP$5,PayDedList,0)-1,PayCount,1)))/$AA18*12*AP$3,IF(OR(AP$1="Fixed",AP$1="Not Used"),SUMPRODUCT((PayEmp=$C18)*(PayDate&lt;=$AC18)*(OFFSET($N$6,1,MATCH(AP$5,PayDedList,0)-1,PayCount,1)))/$AA18*12*AP$3,IF(ISNA(MATCH(AP$1,EarnListItem,0))=FALSE,SUMPRODUCT((PayEmp=$C18)*(PayDate&lt;=$AC18)*(OFFSET($N$6,1,MATCH(AP$5,PayDedList,0)-1,PayCount,1)))/$AA18*12*AP$3,(MIN(((SUMPRODUCT((PayEmp=$C18)*(PayDate&lt;=$AC18)*(ISERROR(SEARCH(PayEarnCode,AP$2)))*(PayEarnType="Monthly")*(PayEarnValues))/$AA18*12)+(SUMPRODUCT((PayEmp=$C18)*(PayDate&lt;=$AC18)*(ISERROR(SEARCH(PayEarnCode,AP$2)))*(PayEarnType="Quarterly")*(PayEarnValues))/MAX(1,ROUNDDOWN($AB18/3,0))*4)+(SUMPRODUCT((PayEmp=$C18)*(PayDate&lt;=$AC18)*(ISERROR(SEARCH(PayEarnCode,AP$2)))*(PayEarnType="Bi-Annual")*(PayEarnValues))/MAX(1,ROUNDDOWN($AB18/6,0))*2)+(SUMPRODUCT((PayEmp=$C18)*(PayDate&lt;=$AC18)*(ISERROR(SEARCH(PayEarnCode,AP$2)))*(PayEarnType="Annual")*(PayEarnValues)))),IF(ISNUMBER(OFFSET($N$3,0,MATCH(AP$5,PayDedList,0)-1,1,1)),OFFSET($N$3,0,MATCH(AP$5,PayDedList,0)-1,1,1),IgnoreMin)))*IF(COUNTIFS(EmpNo,$C18,OFFSET(Emp!$R$4,1,MATCH(AP$5,DedListItem,0)-1,EmpCount,1),"&lt;&gt;")&gt;0,VLOOKUP($C18,EmpAll,COLUMN(Emp!$R$4)+MATCH(AP$5,DedListItem,0)-1,0),OFFSET(Setup!$E$73,MATCH(AP$5,DedListItem,0),0,1,1))*AP$3))),IF(ISNUMBER(AP$4),AP$4,IgnoreMin)))))</f>
        <v>0</v>
      </c>
      <c r="AQ18" s="148" cm="1">
        <f t="array" aca="1" ref="AQ18" ca="1">-IF($F18="Terminated",0,IF($AA18=0,0,IF(ISNA(MATCH(AQ$5,PayDedList,0)),0,MIN(IF(COUNTIFS(OverEmp,$C18,OverDeduct,AQ$5,OverDate,"&lt;"&amp;DATE(YEAR($AC18),MONTH($AC18)+1,1),OverEnd,"&gt;="&amp;DATE(YEAR($AC18),MONTH($AC18),1))&gt;0,SUMPRODUCT((PayEmp=$C18)*(PayDate&lt;=$AC18)*(OFFSET($N$6,1,MATCH(AQ$5,PayDedList,0)-1,PayCount,1)))/$AA18*12*AQ$3,IF(OR(AQ$1="Fixed",AQ$1="Not Used"),SUMPRODUCT((PayEmp=$C18)*(PayDate&lt;=$AC18)*(OFFSET($N$6,1,MATCH(AQ$5,PayDedList,0)-1,PayCount,1)))/$AA18*12*AQ$3,IF(ISNA(MATCH(AQ$1,EarnListItem,0))=FALSE,SUMPRODUCT((PayEmp=$C18)*(PayDate&lt;=$AC18)*(OFFSET($N$6,1,MATCH(AQ$5,PayDedList,0)-1,PayCount,1)))/$AA18*12*AQ$3,(MIN(((SUMPRODUCT((PayEmp=$C18)*(PayDate&lt;=$AC18)*(ISERROR(SEARCH(PayEarnCode,AQ$2)))*(PayEarnType="Monthly")*(PayEarnValues))/$AA18*12)+(SUMPRODUCT((PayEmp=$C18)*(PayDate&lt;=$AC18)*(ISERROR(SEARCH(PayEarnCode,AQ$2)))*(PayEarnType="Quarterly")*(PayEarnValues))/MAX(1,ROUNDDOWN($AB18/3,0))*4)+(SUMPRODUCT((PayEmp=$C18)*(PayDate&lt;=$AC18)*(ISERROR(SEARCH(PayEarnCode,AQ$2)))*(PayEarnType="Bi-Annual")*(PayEarnValues))/MAX(1,ROUNDDOWN($AB18/6,0))*2)+(SUMPRODUCT((PayEmp=$C18)*(PayDate&lt;=$AC18)*(ISERROR(SEARCH(PayEarnCode,AQ$2)))*(PayEarnType="Annual")*(PayEarnValues)))),IF(ISNUMBER(OFFSET($N$3,0,MATCH(AQ$5,PayDedList,0)-1,1,1)),OFFSET($N$3,0,MATCH(AQ$5,PayDedList,0)-1,1,1),IgnoreMin)))*IF(COUNTIFS(EmpNo,$C18,OFFSET(Emp!$R$4,1,MATCH(AQ$5,DedListItem,0)-1,EmpCount,1),"&lt;&gt;")&gt;0,VLOOKUP($C18,EmpAll,COLUMN(Emp!$R$4)+MATCH(AQ$5,DedListItem,0)-1,0),OFFSET(Setup!$E$73,MATCH(AQ$5,DedListItem,0),0,1,1))*AQ$3))),IF(ISNUMBER(AQ$4),AQ$4,IgnoreMin)))))</f>
        <v>0</v>
      </c>
      <c r="AR18" s="148">
        <f t="shared" ca="1" si="10"/>
        <v>60000</v>
      </c>
      <c r="AS18" s="148">
        <f t="shared" ca="1" si="11"/>
        <v>60000</v>
      </c>
      <c r="AT18" s="148" cm="1">
        <f t="array" aca="1" ref="AT18" ca="1">-IF($F18="Terminated",0,IF($AA18=0,0,IF(ISNA(MATCH(AT$5,PayDedList,0)),0,MIN(IF(COUNTIFS(OverEmp,$C18,OverDeduct,AT$5,OverDate,"&lt;"&amp;DATE(YEAR($AC18),MONTH($AC18)+1,1),OverEnd,"&gt;="&amp;DATE(YEAR($AC18),MONTH($AC18),1))&gt;0,SUMPRODUCT((PayEmp=$C18)*(PayDate&lt;=$AC18)*(OFFSET($N$6,1,MATCH(AT$5,PayDedList,0)-1,PayCount,1)))/$AA18*12*AT$3,IF(OR(AT$1="Fixed",AT$1="Not Used"),SUMPRODUCT((PayEmp=$C18)*(PayDate&lt;=$AC18)*(OFFSET($N$6,1,MATCH(AT$5,PayDedList,0)-1,PayCount,1)))/$AA18*12*AT$3,IF(ISNA(MATCH(OFFSET($N$2,0,MATCH(AT$5,PayDedList,0)-1,1,1),EarnListItem,0))=FALSE,SUMPRODUCT((PayEmp=$C18)*(PayDate&lt;=$AC18)*(OFFSET($N$6,1,MATCH(AT$5,PayDedList,0)-1,PayCount,1)))/$AA18*12*AT$3,(MIN(SUMPRODUCT((PayEmp=$C18)*(PayDate&lt;=$AC18)*(ISERROR(SEARCH(PayEarnCode,AT$2)))*(PayEarnType="Monthly")*(PayEarnValues))/$AA18*12,IF(ISNUMBER(OFFSET($N$3,0,MATCH(AT$5,PayDedList,0)-1,1,1)),OFFSET($N$3,0,MATCH(AT$5,PayDedList,0)-1,1,1),IgnoreMin)))*IF(COUNTIFS(EmpNo,$C18,OFFSET(Emp!$R$4,1,MATCH(AT$5,DedListItem,0)-1,EmpCount,1),"&lt;&gt;")&gt;0,VLOOKUP($C18,EmpAll,COLUMN(Emp!$R$4)+MATCH(AT$5,DedListItem,0)-1,0),OFFSET(Setup!$E$73,MATCH(AT$5,DedListItem,0),0,1,1))*AT$3))),IF(ISNUMBER(AT$4),AT$4,IgnoreMin)))))</f>
        <v>0</v>
      </c>
      <c r="AU18" s="148" cm="1">
        <f t="array" aca="1" ref="AU18" ca="1">-IF($F18="Terminated",0,IF($AA18=0,0,IF(ISNA(MATCH(AU$5,PayDedList,0)),0,MIN(IF(COUNTIFS(OverEmp,$C18,OverDeduct,AU$5,OverDate,"&lt;"&amp;DATE(YEAR($AC18),MONTH($AC18)+1,1),OverEnd,"&gt;="&amp;DATE(YEAR($AC18),MONTH($AC18),1))&gt;0,SUMPRODUCT((PayEmp=$C18)*(PayDate&lt;=$AC18)*(OFFSET($N$6,1,MATCH(AU$5,PayDedList,0)-1,PayCount,1)))/$AA18*12*AU$3,IF(OR(AU$1="Fixed",AU$1="Not Used"),SUMPRODUCT((PayEmp=$C18)*(PayDate&lt;=$AC18)*(OFFSET($N$6,1,MATCH(AU$5,PayDedList,0)-1,PayCount,1)))/$AA18*12*AU$3,IF(ISNA(MATCH(OFFSET($N$2,0,MATCH(AU$5,PayDedList,0)-1,1,1),EarnListItem,0))=FALSE,SUMPRODUCT((PayEmp=$C18)*(PayDate&lt;=$AC18)*(OFFSET($N$6,1,MATCH(AU$5,PayDedList,0)-1,PayCount,1)))/$AA18*12*AU$3,(MIN(SUMPRODUCT((PayEmp=$C18)*(PayDate&lt;=$AC18)*(ISERROR(SEARCH(PayEarnCode,AU$2)))*(PayEarnType="Monthly")*(PayEarnValues))/$AA18*12,IF(ISNUMBER(OFFSET($N$3,0,MATCH(AU$5,PayDedList,0)-1,1,1)),OFFSET($N$3,0,MATCH(AU$5,PayDedList,0)-1,1,1),IgnoreMin)))*IF(COUNTIFS(EmpNo,$C18,OFFSET(Emp!$R$4,1,MATCH(AU$5,DedListItem,0)-1,EmpCount,1),"&lt;&gt;")&gt;0,VLOOKUP($C18,EmpAll,COLUMN(Emp!$R$4)+MATCH(AU$5,DedListItem,0)-1,0),OFFSET(Setup!$E$73,MATCH(AU$5,DedListItem,0),0,1,1))*AU$3))),IF(ISNUMBER(AU$4),AU$4,IgnoreMin)))))</f>
        <v>0</v>
      </c>
      <c r="AV18" s="148" cm="1">
        <f t="array" aca="1" ref="AV18" ca="1">-IF($F18="Terminated",0,IF($AA18=0,0,IF(ISNA(MATCH(AV$5,PayDedList,0)),0,MIN(IF(COUNTIFS(OverEmp,$C18,OverDeduct,AV$5,OverDate,"&lt;"&amp;DATE(YEAR($AC18),MONTH($AC18)+1,1),OverEnd,"&gt;="&amp;DATE(YEAR($AC18),MONTH($AC18),1))&gt;0,SUMPRODUCT((PayEmp=$C18)*(PayDate&lt;=$AC18)*(OFFSET($N$6,1,MATCH(AV$5,PayDedList,0)-1,PayCount,1)))/$AA18*12*AV$3,IF(OR(AV$1="Fixed",AV$1="Not Used"),SUMPRODUCT((PayEmp=$C18)*(PayDate&lt;=$AC18)*(OFFSET($N$6,1,MATCH(AV$5,PayDedList,0)-1,PayCount,1)))/$AA18*12*AV$3,IF(ISNA(MATCH(OFFSET($N$2,0,MATCH(AV$5,PayDedList,0)-1,1,1),EarnListItem,0))=FALSE,SUMPRODUCT((PayEmp=$C18)*(PayDate&lt;=$AC18)*(OFFSET($N$6,1,MATCH(AV$5,PayDedList,0)-1,PayCount,1)))/$AA18*12*AV$3,(MIN(SUMPRODUCT((PayEmp=$C18)*(PayDate&lt;=$AC18)*(ISERROR(SEARCH(PayEarnCode,AV$2)))*(PayEarnType="Monthly")*(PayEarnValues))/$AA18*12,IF(ISNUMBER(OFFSET($N$3,0,MATCH(AV$5,PayDedList,0)-1,1,1)),OFFSET($N$3,0,MATCH(AV$5,PayDedList,0)-1,1,1),IgnoreMin)))*IF(COUNTIFS(EmpNo,$C18,OFFSET(Emp!$R$4,1,MATCH(AV$5,DedListItem,0)-1,EmpCount,1),"&lt;&gt;")&gt;0,VLOOKUP($C18,EmpAll,COLUMN(Emp!$R$4)+MATCH(AV$5,DedListItem,0)-1,0),OFFSET(Setup!$E$73,MATCH(AV$5,DedListItem,0),0,1,1))*AV$3))),IF(ISNUMBER(AV$4),AV$4,IgnoreMin)))))</f>
        <v>0</v>
      </c>
      <c r="AW18" s="148" cm="1">
        <f t="array" aca="1" ref="AW18" ca="1">-IF($F18="Terminated",0,IF($AA18=0,0,IF(ISNA(MATCH(AW$5,PayDedList,0)),0,MIN(IF(COUNTIFS(OverEmp,$C18,OverDeduct,AW$5,OverDate,"&lt;"&amp;DATE(YEAR($AC18),MONTH($AC18)+1,1),OverEnd,"&gt;="&amp;DATE(YEAR($AC18),MONTH($AC18),1))&gt;0,SUMPRODUCT((PayEmp=$C18)*(PayDate&lt;=$AC18)*(OFFSET($N$6,1,MATCH(AW$5,PayDedList,0)-1,PayCount,1)))/$AA18*12*AW$3,IF(OR(AW$1="Fixed",AW$1="Not Used"),SUMPRODUCT((PayEmp=$C18)*(PayDate&lt;=$AC18)*(OFFSET($N$6,1,MATCH(AW$5,PayDedList,0)-1,PayCount,1)))/$AA18*12*AW$3,IF(ISNA(MATCH(OFFSET($N$2,0,MATCH(AW$5,PayDedList,0)-1,1,1),EarnListItem,0))=FALSE,SUMPRODUCT((PayEmp=$C18)*(PayDate&lt;=$AC18)*(OFFSET($N$6,1,MATCH(AW$5,PayDedList,0)-1,PayCount,1)))/$AA18*12*AW$3,(MIN(SUMPRODUCT((PayEmp=$C18)*(PayDate&lt;=$AC18)*(ISERROR(SEARCH(PayEarnCode,AW$2)))*(PayEarnType="Monthly")*(PayEarnValues))/$AA18*12,IF(ISNUMBER(OFFSET($N$3,0,MATCH(AW$5,PayDedList,0)-1,1,1)),OFFSET($N$3,0,MATCH(AW$5,PayDedList,0)-1,1,1),IgnoreMin)))*IF(COUNTIFS(EmpNo,$C18,OFFSET(Emp!$R$4,1,MATCH(AW$5,DedListItem,0)-1,EmpCount,1),"&lt;&gt;")&gt;0,VLOOKUP($C18,EmpAll,COLUMN(Emp!$R$4)+MATCH(AW$5,DedListItem,0)-1,0),OFFSET(Setup!$E$73,MATCH(AW$5,DedListItem,0),0,1,1))*AW$3))),IF(ISNUMBER(AW$4),AW$4,IgnoreMin)))))</f>
        <v>0</v>
      </c>
      <c r="AX18" s="148">
        <f t="shared" ca="1" si="12"/>
        <v>60000</v>
      </c>
      <c r="AY18" s="148">
        <f t="shared" ca="1" si="13"/>
        <v>0</v>
      </c>
      <c r="AZ18" s="148">
        <f ca="1">IF(ISNUMBER($AL18),($AR18*$AL18)-$AI18-$AK18,MAX(0,IF($AL18="B",IF($AR18&lt;Setup!$C$32,($AR18*Setup!$D$32)-$AI18-$AK18,(($AR18-VLOOKUP($AR18,TaxAll2,1,1))*OFFSET(Setup!$D$32,MATCH($AR18,TaxBracket2,1),0,1,1))+OFFSET(Setup!$E$31,MATCH($AR18,TaxBracket2,1),0,1,1)-$AI18-$AK18),IF($AR18&lt;Setup!$C$21,($AR18*Setup!$D$21)-$AI18-$AK18,(($AR18-VLOOKUP($AR18,TaxAll1,1,1))*OFFSET(Setup!$D$21,MATCH($AR18,TaxBracket1,1),0,1,1))+OFFSET(Setup!$E$20,MATCH($AR18,TaxBracket1,1),0,1,1)-$AI18-$AK18))))</f>
        <v>0</v>
      </c>
      <c r="BA18" s="148">
        <f ca="1">IF(ISNUMBER($AL18),($AX18*$AL18)-$AI18-$AK18,MAX(0,IF($AL18="B",IF($AX18&lt;Setup!$C$32,($AX18*Setup!$D$32)-$AI18-$AK18,(($AX18-VLOOKUP($AX18,TaxAll2,1,1))*OFFSET(Setup!$D$32,MATCH($AX18,TaxBracket2,1),0,1,1))+OFFSET(Setup!$E$31,MATCH($AX18,TaxBracket2,1),0,1,1)-$AI18-$AK18),IF($AX18&lt;Setup!$C$21,($AX18*Setup!$D$21)-$AI18-$AK18,(($AX18-VLOOKUP($AX18,TaxAll1,1,1))*OFFSET(Setup!$D$21,MATCH($AX18,TaxBracket1,1),0,1,1))+OFFSET(Setup!$E$20,MATCH($AX18,TaxBracket1,1),0,1,1)-$AI18-$AK18))))</f>
        <v>0</v>
      </c>
      <c r="BB18" s="148">
        <f t="shared" ca="1" si="14"/>
        <v>0</v>
      </c>
      <c r="BC18" s="150">
        <f t="shared" ca="1" si="15"/>
        <v>1</v>
      </c>
      <c r="BD18" s="150">
        <f t="shared" ca="1" si="16"/>
        <v>0</v>
      </c>
      <c r="BE18" s="148">
        <f t="shared" ca="1" si="17"/>
        <v>60000</v>
      </c>
    </row>
    <row r="19" spans="1:57" ht="16.149999999999999" customHeight="1" x14ac:dyDescent="0.25">
      <c r="A19" s="10" t="str" cm="1">
        <f t="array" aca="1" ref="A19" ca="1">IF(ROW($A19)-ROW($A$6)&gt;EmpCount*12,"-",TEXT($B19,"yyyy")&amp;TEXT($B19,"mm")&amp;"-"&amp;$C19)</f>
        <v>202303-EXS013</v>
      </c>
      <c r="B19" s="137" cm="1">
        <f t="array" aca="1" ref="B19" ca="1">IF(ROW($A19)-ROW($A$6)&gt;EmpCount*12,Setup!$D$12,DATE(YEAR(Setup!$F$12),MONTH(Setup!$F$12)+ROUNDDOWN((ROW($A19)-ROW($A$6)-1)/EmpCount,0),IF(Setup!$C$14&gt;DAY(DATE(YEAR(Setup!$F$12),MONTH(Setup!$F$12)+ROUNDDOWN((ROW($A19)-ROW($A$6)-1)/EmpCount,0)+1,0)),DAY(DATE(YEAR(Setup!$F$12),MONTH(Setup!$F$12)+ROUNDDOWN((ROW($A19)-ROW($A$6)-1)/EmpCount,0)+1,0)),Setup!$C$14)))</f>
        <v>45010</v>
      </c>
      <c r="C19" s="101" t="str" cm="1">
        <f t="array" aca="1" ref="C19" ca="1">IF(ROW($A19)-ROW($A$6)&gt;EmpCount*12,"-",OFFSET(Emp!$A$4,ROW($A19)-ROW($A$6)-IF(ROW($A19)-ROW($A$6)&gt;EmpCount,ROUNDDOWN((ROW($A19)-ROW($A$6)-1)/EmpCount,0)*EmpCount,0),0,1,1))</f>
        <v>EXS013</v>
      </c>
      <c r="D19" s="10" t="str">
        <f ca="1">IF(ISNA(VLOOKUP($C19,EmpAll,COLUMN(Emp!$B$4),0)),"-",VLOOKUP($C19,EmpAll,COLUMN(Emp!$B$4),0))</f>
        <v>East WD</v>
      </c>
      <c r="E19" s="145" t="str">
        <f ca="1">IF(ISNA(VLOOKUP($C19,EmpAll,COLUMN(Emp!$C$4),0)),"-",VLOOKUP($C19,EmpAll,COLUMN(Emp!$C$4),0))</f>
        <v>A</v>
      </c>
      <c r="F19" s="101" t="str">
        <f ca="1">IF(ISNA(VLOOKUP($C19,EmpAll,COLUMN(Emp!$A$4),0)),"-",IF(AND(VLOOKUP($C19,EmpAll,COLUMN(Emp!$E$4),0)&lt;&gt;0,VLOOKUP($C19,EmpAll,COLUMN(Emp!$E$4),0)&gt;=DATE(YEAR($AC19),MONTH($AC19)+1,0)),"Inactive",IF(AND(VLOOKUP($C19,EmpAll,COLUMN(Emp!$F$4),0)&lt;&gt;0,VLOOKUP($C19,EmpAll,COLUMN(Emp!$F$4),0)&lt;=DATE(YEAR($AC19),MONTH($AC19),0)),"Terminated","Active")))</f>
        <v>Active</v>
      </c>
      <c r="G19" s="133" cm="1">
        <f t="array" aca="1" ref="G19" ca="1">IF($F19&lt;&gt;"Active",0,IF(COUNTIFS(OverEmp,$C19,OverEarn,G$2,OverDate,"&lt;"&amp;DATE(YEAR($AC19),MONTH($AC19)+1,1),OverEnd,"&gt;="&amp;DATE(YEAR($AC19),MONTH($AC19),1))&gt;0,SUMIFS(OverValue,OverEmp,$C19,OverEarn,G$2,OverDate,"&lt;"&amp;DATE(YEAR($AC19),MONTH($AC19)+1,1),OverEnd,"&gt;="&amp;DATE(YEAR($AC19),MONTH($AC19),1)),IF(AND($AC19&gt;=Setup!$E$10,SUMIFS(EmpIncrease,EmpCode,$C19)&gt;0),SUMIFS(EmpIncrease,EmpCode,$C19),SUMIFS(EmpSalary,EmpCode,$C19))))</f>
        <v>5000</v>
      </c>
      <c r="H19" s="133" cm="1">
        <f t="array" aca="1" ref="H19" ca="1">IF($F19&lt;&gt;"Active",0,IF(COUNTIFS(OverEmp,$C19,OverEarn,H$2,OverDate,"&lt;"&amp;DATE(YEAR($AC19),MONTH($AC19)+1,1),OverEnd,"&gt;="&amp;DATE(YEAR($AC19),MONTH($AC19),1))&gt;0,SUMIFS(OverValue,OverEmp,$C19,OverEarn,H$2,OverDate,"&lt;"&amp;DATE(YEAR($AC19),MONTH($AC19)+1,1),OverEnd,"&gt;="&amp;DATE(YEAR($AC19),MONTH($AC19),1)),0))</f>
        <v>0</v>
      </c>
      <c r="I19" s="133" cm="1">
        <f t="array" aca="1" ref="I19" ca="1">IF($F19&lt;&gt;"Active",0,IF(COUNTIFS(OverEmp,$C19,OverEarn,I$2,OverDate,"&lt;"&amp;DATE(YEAR($AC19),MONTH($AC19)+1,1),OverEnd,"&gt;="&amp;DATE(YEAR($AC19),MONTH($AC19),1))&gt;0,SUMIFS(OverValue,OverEmp,$C19,OverEarn,I$2,OverDate,"&lt;"&amp;DATE(YEAR($AC19),MONTH($AC19)+1,1),OverEnd,"&gt;="&amp;DATE(YEAR($AC19),MONTH($AC19),1)),IF(MONTH(B19)=Setup!$C$15,SUMIFS(EmpBonus,EmpCode,$C19),0)))</f>
        <v>0</v>
      </c>
      <c r="J19" s="133" cm="1">
        <f t="array" aca="1" ref="J19" ca="1">IF($F19&lt;&gt;"Active",0,IF(COUNTIFS(OverEmp,$C19,OverEarn,J$2,OverDate,"&lt;"&amp;DATE(YEAR($AC19),MONTH($AC19)+1,1),OverEnd,"&gt;="&amp;DATE(YEAR($AC19),MONTH($AC19),1))&gt;0,SUMIFS(OverValue,OverEmp,$C19,OverEarn,J$2,OverDate,"&lt;"&amp;DATE(YEAR($AC19),MONTH($AC19)+1,1),OverEnd,"&gt;="&amp;DATE(YEAR($AC19),MONTH($AC19),1)),0))</f>
        <v>0</v>
      </c>
      <c r="K19" s="133" cm="1">
        <f t="array" aca="1" ref="K19" ca="1">IF($F19&lt;&gt;"Active",0,IF(COUNTIFS(OverEmp,$C19,OverEarn,K$2,OverDate,"&lt;"&amp;DATE(YEAR($AC19),MONTH($AC19)+1,1),OverEnd,"&gt;="&amp;DATE(YEAR($AC19),MONTH($AC19),1))&gt;0,SUMIFS(OverValue,OverEmp,$C19,OverEarn,K$2,OverDate,"&lt;"&amp;DATE(YEAR($AC19),MONTH($AC19)+1,1),OverEnd,"&gt;="&amp;DATE(YEAR($AC19),MONTH($AC19),1)),0))</f>
        <v>0</v>
      </c>
      <c r="L19" s="185">
        <f t="shared" ca="1" si="0"/>
        <v>5000</v>
      </c>
      <c r="M19" s="182" cm="1">
        <f t="array" aca="1" ref="M19" ca="1">IF(COUNTIFS(OverEmp,$C19,OverTax,M$5,OverDate,"&lt;"&amp;DATE(YEAR($AC19),MONTH($AC19)+1,1),OverEnd,"&gt;="&amp;DATE(YEAR($AC19),MONTH($AC19),1))&gt;0,SUMIFS(OverValue,OverEmp,$C19,OverTax,M$5,OverDate,"&lt;"&amp;DATE(YEAR($AC19),MONTH($AC19)+1,1),OverEnd,"&gt;="&amp;DATE(YEAR($AC19),MONTH($AC19),1)),(($BA19/12*$AA19)+(BB19*IF(1-$BC19=0,0,BD19/(1-$BC19))))-IF($F19="Terminated",0,SUMIFS(PayTaxDeduct,PayDate,"&lt;"&amp;$AC19,PayEmp,$C19)))</f>
        <v>0</v>
      </c>
      <c r="N19" s="133" cm="1">
        <f t="array" aca="1" ref="N19" ca="1">IF($F19="Terminated",0,IF($AA19=0,0,IF(ISNA(MATCH(N$5,DedListItem,0)),0,IF(COUNTIFS(OverEmp,$C19,OverDeduct,N$5,OverDate,"&lt;"&amp;DATE(YEAR($AC19),MONTH($AC19)+1,1),OverEnd,"&gt;="&amp;DATE(YEAR($AC19),MONTH($AC19),1))&gt;0,SUMIFS(OverValue,OverEmp,$C19,OverDeduct,N$5,OverDate,"&lt;"&amp;DATE(YEAR($AC19),MONTH($AC19)+1,1),OverEnd,"&gt;="&amp;DATE(YEAR($AC19),MONTH($AC19),1)),IF(OR(N$2="Fixed",N$2="Not Used"),(IF(COUNTIFS(EmpNo,$C19,OFFSET(Emp!$R$4,1,MATCH(N$5,DedListItem,0)-1,EmpCount,1),"&lt;&gt;")&gt;0,VLOOKUP($C19,EmpAll,COLUMN(Emp!$R$4)+MATCH(N$5,DedListItem,0)-1,0),OFFSET(Setup!$E$73,MATCH(N$5,DedListItem,0),0,1,1))*$AA19)-SUMIFS(OFFSET(N$6,1,0,PayCount,1),PayDate,"&lt;"&amp;$AC19,PayEmp,$C19),IF(ISNA(MATCH(N$2,EarnListItem,0))=FALSE,IF(OFFSET(Setup!$G$73,MATCH(N$5,DedListItem,0),0,1,1)="Taxable",SUMPRODUCT((PayEmp=$C19)*(PayDate&lt;=$AC19)*(PayEarnCode=N$2)*(PayEarnTax)*(PayEarnValues)),SUMPRODUCT((PayEmp=$C19)*(PayDate&lt;=$AC19)*(PayEarnCode=N$2)*(PayEarnValues)))*IF(COUNTIFS(EmpNo,$C19,OFFSET(Emp!$R$4,1,MATCH(N$5,DedListItem,0)-1,EmpCount,1),"&lt;&gt;")&gt;0,VLOOKUP($C19,EmpAll,COLUMN(Emp!$R$4)+MATCH(N$5,DedListItem,0)-1,0),OFFSET(Setup!$E$73,MATCH(N$5,DedListItem,0),0,1,1)),(MIN(IF(OFFSET(Setup!$G$73,MATCH(N$5,DedListItem,0),0,1,1)="Taxable",SUMPRODUCT((PayEmp=$C19)*(PayDate&lt;=$AC19)*(ISERROR(SEARCH(PayEarnCode,N$4)))*(PayEarnTax)*(PayEarnValues)),SUMPRODUCT((PayEmp=$C19)*(PayDate&lt;=$AC19)*(ISERROR(SEARCH(PayEarnCode,N$4)))*(PayEarnValues))),IF(ISNUMBER(N$3),N$3/12*$AA19,IgnoreMin)))*IF(COUNTIFS(EmpNo,$C19,OFFSET(Emp!$R$4,1,MATCH(N$5,DedListItem,0)-1,EmpCount,1),"&lt;&gt;")&gt;0,VLOOKUP($C19,EmpAll,COLUMN(Emp!$R$4)+MATCH(N$5,DedListItem,0)-1,0),OFFSET(Setup!$E$73,MATCH(N$5,DedListItem,0),0,1,1)))-SUMIFS(OFFSET(N$6,1,0,PayCount,1),PayDate,"&lt;"&amp;$AC19,PayEmp,$C19))))))</f>
        <v>50</v>
      </c>
      <c r="O19" s="133" cm="1">
        <f t="array" aca="1" ref="O19" ca="1">IF($F19="Terminated",0,IF($AA19=0,0,IF(ISNA(MATCH(O$5,DedListItem,0)),0,IF(COUNTIFS(OverEmp,$C19,OverDeduct,O$5,OverDate,"&lt;"&amp;DATE(YEAR($AC19),MONTH($AC19)+1,1),OverEnd,"&gt;="&amp;DATE(YEAR($AC19),MONTH($AC19),1))&gt;0,SUMIFS(OverValue,OverEmp,$C19,OverDeduct,O$5,OverDate,"&lt;"&amp;DATE(YEAR($AC19),MONTH($AC19)+1,1),OverEnd,"&gt;="&amp;DATE(YEAR($AC19),MONTH($AC19),1)),IF(OR(O$2="Fixed",O$2="Not Used"),(IF(COUNTIFS(EmpNo,$C19,OFFSET(Emp!$R$4,1,MATCH(O$5,DedListItem,0)-1,EmpCount,1),"&lt;&gt;")&gt;0,VLOOKUP($C19,EmpAll,COLUMN(Emp!$R$4)+MATCH(O$5,DedListItem,0)-1,0),OFFSET(Setup!$E$73,MATCH(O$5,DedListItem,0),0,1,1))*$AA19)-SUMIFS(OFFSET(O$6,1,0,PayCount,1),PayDate,"&lt;"&amp;$AC19,PayEmp,$C19),IF(ISNA(MATCH(O$2,EarnListItem,0))=FALSE,IF(OFFSET(Setup!$G$73,MATCH(O$5,DedListItem,0),0,1,1)="Taxable",SUMPRODUCT((PayEmp=$C19)*(PayDate&lt;=$AC19)*(PayEarnCode=O$2)*(PayEarnTax)*(PayEarnValues)),SUMPRODUCT((PayEmp=$C19)*(PayDate&lt;=$AC19)*(PayEarnCode=O$2)*(PayEarnValues)))*IF(COUNTIFS(EmpNo,$C19,OFFSET(Emp!$R$4,1,MATCH(O$5,DedListItem,0)-1,EmpCount,1),"&lt;&gt;")&gt;0,VLOOKUP($C19,EmpAll,COLUMN(Emp!$R$4)+MATCH(O$5,DedListItem,0)-1,0),OFFSET(Setup!$E$73,MATCH(O$5,DedListItem,0),0,1,1)),(MIN(IF(OFFSET(Setup!$G$73,MATCH(O$5,DedListItem,0),0,1,1)="Taxable",SUMPRODUCT((PayEmp=$C19)*(PayDate&lt;=$AC19)*(ISERROR(SEARCH(PayEarnCode,O$4)))*(PayEarnTax)*(PayEarnValues)),SUMPRODUCT((PayEmp=$C19)*(PayDate&lt;=$AC19)*(ISERROR(SEARCH(PayEarnCode,O$4)))*(PayEarnValues))),IF(ISNUMBER(O$3),O$3/12*$AA19,IgnoreMin)))*IF(COUNTIFS(EmpNo,$C19,OFFSET(Emp!$R$4,1,MATCH(O$5,DedListItem,0)-1,EmpCount,1),"&lt;&gt;")&gt;0,VLOOKUP($C19,EmpAll,COLUMN(Emp!$R$4)+MATCH(O$5,DedListItem,0)-1,0),OFFSET(Setup!$E$73,MATCH(O$5,DedListItem,0),0,1,1)))-SUMIFS(OFFSET(O$6,1,0,PayCount,1),PayDate,"&lt;"&amp;$AC19,PayEmp,$C19))))))</f>
        <v>0</v>
      </c>
      <c r="P19" s="133" cm="1">
        <f t="array" aca="1" ref="P19" ca="1">IF($F19="Terminated",0,IF($AA19=0,0,IF(ISNA(MATCH(P$5,DedListItem,0)),0,IF(COUNTIFS(OverEmp,$C19,OverDeduct,P$5,OverDate,"&lt;"&amp;DATE(YEAR($AC19),MONTH($AC19)+1,1),OverEnd,"&gt;="&amp;DATE(YEAR($AC19),MONTH($AC19),1))&gt;0,SUMIFS(OverValue,OverEmp,$C19,OverDeduct,P$5,OverDate,"&lt;"&amp;DATE(YEAR($AC19),MONTH($AC19)+1,1),OverEnd,"&gt;="&amp;DATE(YEAR($AC19),MONTH($AC19),1)),IF(OR(P$2="Fixed",P$2="Not Used"),(IF(COUNTIFS(EmpNo,$C19,OFFSET(Emp!$R$4,1,MATCH(P$5,DedListItem,0)-1,EmpCount,1),"&lt;&gt;")&gt;0,VLOOKUP($C19,EmpAll,COLUMN(Emp!$R$4)+MATCH(P$5,DedListItem,0)-1,0),OFFSET(Setup!$E$73,MATCH(P$5,DedListItem,0),0,1,1))*$AA19)-SUMIFS(OFFSET(P$6,1,0,PayCount,1),PayDate,"&lt;"&amp;$AC19,PayEmp,$C19),IF(ISNA(MATCH(P$2,EarnListItem,0))=FALSE,IF(OFFSET(Setup!$G$73,MATCH(P$5,DedListItem,0),0,1,1)="Taxable",SUMPRODUCT((PayEmp=$C19)*(PayDate&lt;=$AC19)*(PayEarnCode=P$2)*(PayEarnTax)*(PayEarnValues)),SUMPRODUCT((PayEmp=$C19)*(PayDate&lt;=$AC19)*(PayEarnCode=P$2)*(PayEarnValues)))*IF(COUNTIFS(EmpNo,$C19,OFFSET(Emp!$R$4,1,MATCH(P$5,DedListItem,0)-1,EmpCount,1),"&lt;&gt;")&gt;0,VLOOKUP($C19,EmpAll,COLUMN(Emp!$R$4)+MATCH(P$5,DedListItem,0)-1,0),OFFSET(Setup!$E$73,MATCH(P$5,DedListItem,0),0,1,1)),(MIN(IF(OFFSET(Setup!$G$73,MATCH(P$5,DedListItem,0),0,1,1)="Taxable",SUMPRODUCT((PayEmp=$C19)*(PayDate&lt;=$AC19)*(ISERROR(SEARCH(PayEarnCode,P$4)))*(PayEarnTax)*(PayEarnValues)),SUMPRODUCT((PayEmp=$C19)*(PayDate&lt;=$AC19)*(ISERROR(SEARCH(PayEarnCode,P$4)))*(PayEarnValues))),IF(ISNUMBER(P$3),P$3/12*$AA19,IgnoreMin)))*IF(COUNTIFS(EmpNo,$C19,OFFSET(Emp!$R$4,1,MATCH(P$5,DedListItem,0)-1,EmpCount,1),"&lt;&gt;")&gt;0,VLOOKUP($C19,EmpAll,COLUMN(Emp!$R$4)+MATCH(P$5,DedListItem,0)-1,0),OFFSET(Setup!$E$73,MATCH(P$5,DedListItem,0),0,1,1)))-SUMIFS(OFFSET(P$6,1,0,PayCount,1),PayDate,"&lt;"&amp;$AC19,PayEmp,$C19))))))</f>
        <v>0</v>
      </c>
      <c r="Q19" s="133" cm="1">
        <f t="array" aca="1" ref="Q19" ca="1">IF($F19="Terminated",0,IF($AA19=0,0,IF(ISNA(MATCH(Q$5,DedListItem,0)),0,IF(COUNTIFS(OverEmp,$C19,OverDeduct,Q$5,OverDate,"&lt;"&amp;DATE(YEAR($AC19),MONTH($AC19)+1,1),OverEnd,"&gt;="&amp;DATE(YEAR($AC19),MONTH($AC19),1))&gt;0,SUMIFS(OverValue,OverEmp,$C19,OverDeduct,Q$5,OverDate,"&lt;"&amp;DATE(YEAR($AC19),MONTH($AC19)+1,1),OverEnd,"&gt;="&amp;DATE(YEAR($AC19),MONTH($AC19),1)),IF(OR(Q$2="Fixed",Q$2="Not Used"),(IF(COUNTIFS(EmpNo,$C19,OFFSET(Emp!$R$4,1,MATCH(Q$5,DedListItem,0)-1,EmpCount,1),"&lt;&gt;")&gt;0,VLOOKUP($C19,EmpAll,COLUMN(Emp!$R$4)+MATCH(Q$5,DedListItem,0)-1,0),OFFSET(Setup!$E$73,MATCH(Q$5,DedListItem,0),0,1,1))*$AA19)-SUMIFS(OFFSET(Q$6,1,0,PayCount,1),PayDate,"&lt;"&amp;$AC19,PayEmp,$C19),IF(ISNA(MATCH(Q$2,EarnListItem,0))=FALSE,IF(OFFSET(Setup!$G$73,MATCH(Q$5,DedListItem,0),0,1,1)="Taxable",SUMPRODUCT((PayEmp=$C19)*(PayDate&lt;=$AC19)*(PayEarnCode=Q$2)*(PayEarnTax)*(PayEarnValues)),SUMPRODUCT((PayEmp=$C19)*(PayDate&lt;=$AC19)*(PayEarnCode=Q$2)*(PayEarnValues)))*IF(COUNTIFS(EmpNo,$C19,OFFSET(Emp!$R$4,1,MATCH(Q$5,DedListItem,0)-1,EmpCount,1),"&lt;&gt;")&gt;0,VLOOKUP($C19,EmpAll,COLUMN(Emp!$R$4)+MATCH(Q$5,DedListItem,0)-1,0),OFFSET(Setup!$E$73,MATCH(Q$5,DedListItem,0),0,1,1)),(MIN(IF(OFFSET(Setup!$G$73,MATCH(Q$5,DedListItem,0),0,1,1)="Taxable",SUMPRODUCT((PayEmp=$C19)*(PayDate&lt;=$AC19)*(ISERROR(SEARCH(PayEarnCode,Q$4)))*(PayEarnTax)*(PayEarnValues)),SUMPRODUCT((PayEmp=$C19)*(PayDate&lt;=$AC19)*(ISERROR(SEARCH(PayEarnCode,Q$4)))*(PayEarnValues))),IF(ISNUMBER(Q$3),Q$3/12*$AA19,IgnoreMin)))*IF(COUNTIFS(EmpNo,$C19,OFFSET(Emp!$R$4,1,MATCH(Q$5,DedListItem,0)-1,EmpCount,1),"&lt;&gt;")&gt;0,VLOOKUP($C19,EmpAll,COLUMN(Emp!$R$4)+MATCH(Q$5,DedListItem,0)-1,0),OFFSET(Setup!$E$73,MATCH(Q$5,DedListItem,0),0,1,1)))-SUMIFS(OFFSET(Q$6,1,0,PayCount,1),PayDate,"&lt;"&amp;$AC19,PayEmp,$C19))))))</f>
        <v>0</v>
      </c>
      <c r="R19" s="185">
        <f t="shared" ca="1" si="1"/>
        <v>50</v>
      </c>
      <c r="S19" s="139">
        <f t="shared" ca="1" si="2"/>
        <v>4950</v>
      </c>
      <c r="T19" s="133" cm="1">
        <f t="array" aca="1" ref="T19" ca="1">IF($F19="Terminated",0,IF($AA19=0,0,IF(ISNA(MATCH(T$5,CompListItem,0)),0,IF(COUNTIFS(OverEmp,$C19,OverComp,T$5,OverDate,"&lt;"&amp;DATE(YEAR($AC19),MONTH($AC19)+1,1),OverEnd,"&gt;="&amp;DATE(YEAR($AC19),MONTH($AC19),1))&gt;0,SUMIFS(OverValue,OverEmp,$C19,OverComp,T$5,OverDate,"&lt;"&amp;DATE(YEAR($AC19),MONTH($AC19)+1,1),OverEnd,"&gt;="&amp;DATE(YEAR($AC19),MONTH($AC19),1)),IF(OR(T$2="Fixed",T$2="Not Used"),(OFFSET(Setup!$E$81,MATCH(T$5,CompListItem,0),0,1,1)*$AA19)-SUMIFS(OFFSET(T$6,1,0,PayCount,1),PayDate,"&lt;"&amp;$AC19,PayEmp,$C19),IF(ISNA(MATCH(T$2,DedListItem,0))=FALSE,(SUMPRODUCT((PayEmp=$C19)*(PayDate&lt;=$AC19)*(PayDedList=T$2)*(PayDedValues))*OFFSET(Setup!$E$81,MATCH(T$5,CompListItem,0),0,1,1))-SUMIFS(OFFSET(T$6,1,0,PayCount,1),PayDate,"&lt;"&amp;$AC19,PayEmp,$C19),(MIN(IF(OFFSET(Setup!$G$81,MATCH(T$5,CompListItem,0),0,1,1)="Taxable",SUMPRODUCT((PayEmp=$C19)*(PayDate&lt;=$AC19)*(ISERROR(SEARCH(PayEarnCode,T$4)))*(PayEarnTax)*(PayEarnValues)),SUMPRODUCT((PayEmp=$C19)*(PayDate&lt;=$AC19)*(ISERROR(SEARCH(PayEarnCode,T$4)))*(PayEarnValues))),IF(ISNUMBER(T$3),T$3/12*$AA19,IgnoreMin)))*OFFSET(Setup!$E$81,MATCH(T$5,CompListItem,0),0,1,1)-SUMIFS(OFFSET(T$6,1,0,PayCount,1),PayDate,"&lt;"&amp;$AC19,PayEmp,$C19)))))))</f>
        <v>50</v>
      </c>
      <c r="U19" s="133" cm="1">
        <f t="array" aca="1" ref="U19" ca="1">IF($F19="Terminated",0,IF($AA19=0,0,IF(ISNA(MATCH(U$5,CompListItem,0)),0,IF(COUNTIFS(OverEmp,$C19,OverComp,U$5,OverDate,"&lt;"&amp;DATE(YEAR($AC19),MONTH($AC19)+1,1),OverEnd,"&gt;="&amp;DATE(YEAR($AC19),MONTH($AC19),1))&gt;0,SUMIFS(OverValue,OverEmp,$C19,OverComp,U$5,OverDate,"&lt;"&amp;DATE(YEAR($AC19),MONTH($AC19)+1,1),OverEnd,"&gt;="&amp;DATE(YEAR($AC19),MONTH($AC19),1)),IF(OR(U$2="Fixed",U$2="Not Used"),(OFFSET(Setup!$E$81,MATCH(U$5,CompListItem,0),0,1,1)*$AA19)-SUMIFS(OFFSET(U$6,1,0,PayCount,1),PayDate,"&lt;"&amp;$AC19,PayEmp,$C19),IF(ISNA(MATCH(U$2,DedListItem,0))=FALSE,(SUMPRODUCT((PayEmp=$C19)*(PayDate&lt;=$AC19)*(PayDedList=U$2)*(PayDedValues))*OFFSET(Setup!$E$81,MATCH(U$5,CompListItem,0),0,1,1))-SUMIFS(OFFSET(U$6,1,0,PayCount,1),PayDate,"&lt;"&amp;$AC19,PayEmp,$C19),(MIN(IF(OFFSET(Setup!$G$81,MATCH(U$5,CompListItem,0),0,1,1)="Taxable",SUMPRODUCT((PayEmp=$C19)*(PayDate&lt;=$AC19)*(ISERROR(SEARCH(PayEarnCode,U$4)))*(PayEarnTax)*(PayEarnValues)),SUMPRODUCT((PayEmp=$C19)*(PayDate&lt;=$AC19)*(ISERROR(SEARCH(PayEarnCode,U$4)))*(PayEarnValues))),IF(ISNUMBER(U$3),U$3/12*$AA19,IgnoreMin)))*OFFSET(Setup!$E$81,MATCH(U$5,CompListItem,0),0,1,1)-SUMIFS(OFFSET(U$6,1,0,PayCount,1),PayDate,"&lt;"&amp;$AC19,PayEmp,$C19)))))))</f>
        <v>50</v>
      </c>
      <c r="V19" s="133" cm="1">
        <f t="array" aca="1" ref="V19" ca="1">IF($F19="Terminated",0,IF($AA19=0,0,IF(ISNA(MATCH(V$5,CompListItem,0)),0,IF(COUNTIFS(OverEmp,$C19,OverComp,V$5,OverDate,"&lt;"&amp;DATE(YEAR($AC19),MONTH($AC19)+1,1),OverEnd,"&gt;="&amp;DATE(YEAR($AC19),MONTH($AC19),1))&gt;0,SUMIFS(OverValue,OverEmp,$C19,OverComp,V$5,OverDate,"&lt;"&amp;DATE(YEAR($AC19),MONTH($AC19)+1,1),OverEnd,"&gt;="&amp;DATE(YEAR($AC19),MONTH($AC19),1)),IF(OR(V$2="Fixed",V$2="Not Used"),(OFFSET(Setup!$E$81,MATCH(V$5,CompListItem,0),0,1,1)*$AA19)-SUMIFS(OFFSET(V$6,1,0,PayCount,1),PayDate,"&lt;"&amp;$AC19,PayEmp,$C19),IF(ISNA(MATCH(V$2,DedListItem,0))=FALSE,(SUMPRODUCT((PayEmp=$C19)*(PayDate&lt;=$AC19)*(PayDedList=V$2)*(PayDedValues))*OFFSET(Setup!$E$81,MATCH(V$5,CompListItem,0),0,1,1))-SUMIFS(OFFSET(V$6,1,0,PayCount,1),PayDate,"&lt;"&amp;$AC19,PayEmp,$C19),(MIN(IF(OFFSET(Setup!$G$81,MATCH(V$5,CompListItem,0),0,1,1)="Taxable",SUMPRODUCT((PayEmp=$C19)*(PayDate&lt;=$AC19)*(ISERROR(SEARCH(PayEarnCode,V$4)))*(PayEarnTax)*(PayEarnValues)),SUMPRODUCT((PayEmp=$C19)*(PayDate&lt;=$AC19)*(ISERROR(SEARCH(PayEarnCode,V$4)))*(PayEarnValues))),IF(ISNUMBER(V$3),V$3/12*$AA19,IgnoreMin)))*OFFSET(Setup!$E$81,MATCH(V$5,CompListItem,0),0,1,1)-SUMIFS(OFFSET(V$6,1,0,PayCount,1),PayDate,"&lt;"&amp;$AC19,PayEmp,$C19)))))))</f>
        <v>0</v>
      </c>
      <c r="W19" s="133" cm="1">
        <f t="array" aca="1" ref="W19" ca="1">IF($F19="Terminated",0,IF($AA19=0,0,IF(ISNA(MATCH(W$5,CompListItem,0)),0,IF(COUNTIFS(OverEmp,$C19,OverComp,W$5,OverDate,"&lt;"&amp;DATE(YEAR($AC19),MONTH($AC19)+1,1),OverEnd,"&gt;="&amp;DATE(YEAR($AC19),MONTH($AC19),1))&gt;0,SUMIFS(OverValue,OverEmp,$C19,OverComp,W$5,OverDate,"&lt;"&amp;DATE(YEAR($AC19),MONTH($AC19)+1,1),OverEnd,"&gt;="&amp;DATE(YEAR($AC19),MONTH($AC19),1)),IF(OR(W$2="Fixed",W$2="Not Used"),(OFFSET(Setup!$E$81,MATCH(W$5,CompListItem,0),0,1,1)*$AA19)-SUMIFS(OFFSET(W$6,1,0,PayCount,1),PayDate,"&lt;"&amp;$AC19,PayEmp,$C19),IF(ISNA(MATCH(W$2,DedListItem,0))=FALSE,(SUMPRODUCT((PayEmp=$C19)*(PayDate&lt;=$AC19)*(PayDedList=W$2)*(PayDedValues))*OFFSET(Setup!$E$81,MATCH(W$5,CompListItem,0),0,1,1))-SUMIFS(OFFSET(W$6,1,0,PayCount,1),PayDate,"&lt;"&amp;$AC19,PayEmp,$C19),(MIN(IF(OFFSET(Setup!$G$81,MATCH(W$5,CompListItem,0),0,1,1)="Taxable",SUMPRODUCT((PayEmp=$C19)*(PayDate&lt;=$AC19)*(ISERROR(SEARCH(PayEarnCode,W$4)))*(PayEarnTax)*(PayEarnValues)),SUMPRODUCT((PayEmp=$C19)*(PayDate&lt;=$AC19)*(ISERROR(SEARCH(PayEarnCode,W$4)))*(PayEarnValues))),IF(ISNUMBER(W$3),W$3/12*$AA19,IgnoreMin)))*OFFSET(Setup!$E$81,MATCH(W$5,CompListItem,0),0,1,1)-SUMIFS(OFFSET(W$6,1,0,PayCount,1),PayDate,"&lt;"&amp;$AC19,PayEmp,$C19)))))))</f>
        <v>0</v>
      </c>
      <c r="X19" s="185">
        <f t="shared" ca="1" si="3"/>
        <v>100</v>
      </c>
      <c r="Y19" s="139">
        <f t="shared" ca="1" si="4"/>
        <v>5100</v>
      </c>
      <c r="Z19" s="139">
        <f t="shared" ca="1" si="5"/>
        <v>150</v>
      </c>
      <c r="AA19" s="146">
        <f ca="1">IF(OR($B19&lt;=Setup!$E$12,$B19&gt;=Setup!$D$12+1),0,IF($F19&lt;&gt;"Active",0,IF($AE19="Yes",$AB19,((YEAR($AC19)*12)+MONTH($AC19))-((YEAR($AD19)*12)+MONTH($AD19)-1))))</f>
        <v>1</v>
      </c>
      <c r="AB19" s="146">
        <f ca="1">IF(OR($B19&lt;=Setup!$E$12,$B19&gt;=Setup!$D$12+1),0,((YEAR($AC19)*12)+MONTH($AC19))-((YEAR(Setup!$E$12)*12)+MONTH(Setup!$E$12)))</f>
        <v>1</v>
      </c>
      <c r="AC19" s="186">
        <f t="shared" ca="1" si="6"/>
        <v>45010</v>
      </c>
      <c r="AD19" s="144">
        <f ca="1">IF(ISNA(VLOOKUP($C19,EmpAll,COLUMN(Emp!$E$4),0)),$AC19,IF(VLOOKUP($C19,EmpAll,COLUMN(Emp!$E$4),0)&lt;=Setup!$E$12,DATE(YEAR(Setup!$E$12),MONTH(Setup!$E$12)+1,1),VLOOKUP($C19,EmpAll,COLUMN(Emp!$E$4),0)))</f>
        <v>44986</v>
      </c>
      <c r="AE19" s="144" t="str">
        <f ca="1">IF(ISNA(VLOOKUP($C19,EmpAll,COLUMN(Emp!$G$1),0)),"-",IF(VLOOKUP($C19,EmpAll,COLUMN(Emp!$G$1),0)=0,"-",VLOOKUP($C19,EmpAll,COLUMN(Emp!$G$1),0)))</f>
        <v>-</v>
      </c>
      <c r="AF19" s="145">
        <f ca="1">IF(A19=PaySlip!$G$3,1,0)</f>
        <v>0</v>
      </c>
      <c r="AG19" s="130" cm="1">
        <f t="array" aca="1" ref="AG19" ca="1">IF(COUNTIFS(OverEmp,$C19,OverMed,"MED",OverDate,"&lt;"&amp;DATE(YEAR($AC19),MONTH($AC19)+1,1),OverEnd,"&gt;="&amp;DATE(YEAR($AC19),MONTH($AC19),1))&gt;0,SUMIFS(OverValue,OverEmp,$C19,OverMed,"MED",OverDate,"&lt;"&amp;DATE(YEAR($AC19),MONTH($AC19)+1,1),OverEnd,"&gt;="&amp;DATE(YEAR($AC19),MONTH($AC19),1)),IF(ISNA(VLOOKUP($C19,EmpAll,COLUMN(Emp!$N$4),0)),0,VLOOKUP($C19,EmpAll,COLUMN(Emp!$N$4),0)))</f>
        <v>0</v>
      </c>
      <c r="AH19" s="146">
        <f ca="1">VLOOKUP($AG19,MedList,COLUMN(Setup!$C$49),1)</f>
        <v>0</v>
      </c>
      <c r="AI19" s="146">
        <f t="shared" ca="1" si="7"/>
        <v>0</v>
      </c>
      <c r="AJ19" s="101" t="str">
        <f ca="1">IF(ISNA(VLOOKUP($C19,EmpAll,COLUMN(Emp!$L$4),0)),"None!",VLOOKUP($C19,EmpAll,COLUMN(Emp!$L$4),0))</f>
        <v>A</v>
      </c>
      <c r="AK19" s="147">
        <f t="shared" ca="1" si="8"/>
        <v>17235</v>
      </c>
      <c r="AL19" s="101" t="str">
        <f ca="1">IF(ISNA(VLOOKUP($C19,Employees[],COLUMN(Emp!$M$4),0))=TRUE,"Error!",IF(VLOOKUP($C19,Employees[],COLUMN(Emp!$M$4),0)=0,"Yes",VLOOKUP($C19,Employees[],COLUMN(Emp!$M$4),0)))</f>
        <v>A</v>
      </c>
      <c r="AM19" s="148">
        <f t="shared" ca="1" si="9"/>
        <v>60000</v>
      </c>
      <c r="AN19" s="148" cm="1">
        <f t="array" aca="1" ref="AN19" ca="1">-IF($F19="Terminated",0,IF($AA19=0,0,IF(ISNA(MATCH(AN$5,PayDedList,0)),0,MIN(IF(COUNTIFS(OverEmp,$C19,OverDeduct,AN$5,OverDate,"&lt;"&amp;DATE(YEAR($AC19),MONTH($AC19)+1,1),OverEnd,"&gt;="&amp;DATE(YEAR($AC19),MONTH($AC19),1))&gt;0,SUMPRODUCT((PayEmp=$C19)*(PayDate&lt;=$AC19)*(OFFSET($N$6,1,MATCH(AN$5,PayDedList,0)-1,PayCount,1)))/$AA19*12*AN$3,IF(OR(AN$1="Fixed",AN$1="Not Used"),SUMPRODUCT((PayEmp=$C19)*(PayDate&lt;=$AC19)*(OFFSET($N$6,1,MATCH(AN$5,PayDedList,0)-1,PayCount,1)))/$AA19*12*AN$3,IF(ISNA(MATCH(AN$1,EarnListItem,0))=FALSE,SUMPRODUCT((PayEmp=$C19)*(PayDate&lt;=$AC19)*(OFFSET($N$6,1,MATCH(AN$5,PayDedList,0)-1,PayCount,1)))/$AA19*12*AN$3,(MIN(((SUMPRODUCT((PayEmp=$C19)*(PayDate&lt;=$AC19)*(ISERROR(SEARCH(PayEarnCode,AN$2)))*(PayEarnType="Monthly")*(PayEarnValues))/$AA19*12)+(SUMPRODUCT((PayEmp=$C19)*(PayDate&lt;=$AC19)*(ISERROR(SEARCH(PayEarnCode,AN$2)))*(PayEarnType="Quarterly")*(PayEarnValues))/MAX(1,ROUNDDOWN($AB19/3,0))*4)+(SUMPRODUCT((PayEmp=$C19)*(PayDate&lt;=$AC19)*(ISERROR(SEARCH(PayEarnCode,AN$2)))*(PayEarnType="Bi-Annual")*(PayEarnValues))/MAX(1,ROUNDDOWN($AB19/6,0))*2)+(SUMPRODUCT((PayEmp=$C19)*(PayDate&lt;=$AC19)*(ISERROR(SEARCH(PayEarnCode,AN$2)))*(PayEarnType="Annual")*(PayEarnValues)))),IF(ISNUMBER(OFFSET($N$3,0,MATCH(AN$5,PayDedList,0)-1,1,1)),OFFSET($N$3,0,MATCH(AN$5,PayDedList,0)-1,1,1),IgnoreMin)))*IF(COUNTIFS(EmpNo,$C19,OFFSET(Emp!$R$4,1,MATCH(AN$5,DedListItem,0)-1,EmpCount,1),"&lt;&gt;")&gt;0,VLOOKUP($C19,EmpAll,COLUMN(Emp!$R$4)+MATCH(AN$5,DedListItem,0)-1,0),OFFSET(Setup!$E$73,MATCH(AN$5,DedListItem,0),0,1,1))*AN$3))),IF(ISNUMBER(AN$4),AN$4,IgnoreMin)))))</f>
        <v>0</v>
      </c>
      <c r="AO19" s="148" cm="1">
        <f t="array" aca="1" ref="AO19" ca="1">-IF($F19="Terminated",0,IF($AA19=0,0,IF(ISNA(MATCH(AO$5,PayDedList,0)),0,MIN(IF(COUNTIFS(OverEmp,$C19,OverDeduct,AO$5,OverDate,"&lt;"&amp;DATE(YEAR($AC19),MONTH($AC19)+1,1),OverEnd,"&gt;="&amp;DATE(YEAR($AC19),MONTH($AC19),1))&gt;0,SUMPRODUCT((PayEmp=$C19)*(PayDate&lt;=$AC19)*(OFFSET($N$6,1,MATCH(AO$5,PayDedList,0)-1,PayCount,1)))/$AA19*12*AO$3,IF(OR(AO$1="Fixed",AO$1="Not Used"),SUMPRODUCT((PayEmp=$C19)*(PayDate&lt;=$AC19)*(OFFSET($N$6,1,MATCH(AO$5,PayDedList,0)-1,PayCount,1)))/$AA19*12*AO$3,IF(ISNA(MATCH(AO$1,EarnListItem,0))=FALSE,SUMPRODUCT((PayEmp=$C19)*(PayDate&lt;=$AC19)*(OFFSET($N$6,1,MATCH(AO$5,PayDedList,0)-1,PayCount,1)))/$AA19*12*AO$3,(MIN(((SUMPRODUCT((PayEmp=$C19)*(PayDate&lt;=$AC19)*(ISERROR(SEARCH(PayEarnCode,AO$2)))*(PayEarnType="Monthly")*(PayEarnValues))/$AA19*12)+(SUMPRODUCT((PayEmp=$C19)*(PayDate&lt;=$AC19)*(ISERROR(SEARCH(PayEarnCode,AO$2)))*(PayEarnType="Quarterly")*(PayEarnValues))/MAX(1,ROUNDDOWN($AB19/3,0))*4)+(SUMPRODUCT((PayEmp=$C19)*(PayDate&lt;=$AC19)*(ISERROR(SEARCH(PayEarnCode,AO$2)))*(PayEarnType="Bi-Annual")*(PayEarnValues))/MAX(1,ROUNDDOWN($AB19/6,0))*2)+(SUMPRODUCT((PayEmp=$C19)*(PayDate&lt;=$AC19)*(ISERROR(SEARCH(PayEarnCode,AO$2)))*(PayEarnType="Annual")*(PayEarnValues)))),IF(ISNUMBER(OFFSET($N$3,0,MATCH(AO$5,PayDedList,0)-1,1,1)),OFFSET($N$3,0,MATCH(AO$5,PayDedList,0)-1,1,1),IgnoreMin)))*IF(COUNTIFS(EmpNo,$C19,OFFSET(Emp!$R$4,1,MATCH(AO$5,DedListItem,0)-1,EmpCount,1),"&lt;&gt;")&gt;0,VLOOKUP($C19,EmpAll,COLUMN(Emp!$R$4)+MATCH(AO$5,DedListItem,0)-1,0),OFFSET(Setup!$E$73,MATCH(AO$5,DedListItem,0),0,1,1))*AO$3))),IF(ISNUMBER(AO$4),AO$4,IgnoreMin)))))</f>
        <v>0</v>
      </c>
      <c r="AP19" s="148" cm="1">
        <f t="array" aca="1" ref="AP19" ca="1">-IF($F19="Terminated",0,IF($AA19=0,0,IF(ISNA(MATCH(AP$5,PayDedList,0)),0,MIN(IF(COUNTIFS(OverEmp,$C19,OverDeduct,AP$5,OverDate,"&lt;"&amp;DATE(YEAR($AC19),MONTH($AC19)+1,1),OverEnd,"&gt;="&amp;DATE(YEAR($AC19),MONTH($AC19),1))&gt;0,SUMPRODUCT((PayEmp=$C19)*(PayDate&lt;=$AC19)*(OFFSET($N$6,1,MATCH(AP$5,PayDedList,0)-1,PayCount,1)))/$AA19*12*AP$3,IF(OR(AP$1="Fixed",AP$1="Not Used"),SUMPRODUCT((PayEmp=$C19)*(PayDate&lt;=$AC19)*(OFFSET($N$6,1,MATCH(AP$5,PayDedList,0)-1,PayCount,1)))/$AA19*12*AP$3,IF(ISNA(MATCH(AP$1,EarnListItem,0))=FALSE,SUMPRODUCT((PayEmp=$C19)*(PayDate&lt;=$AC19)*(OFFSET($N$6,1,MATCH(AP$5,PayDedList,0)-1,PayCount,1)))/$AA19*12*AP$3,(MIN(((SUMPRODUCT((PayEmp=$C19)*(PayDate&lt;=$AC19)*(ISERROR(SEARCH(PayEarnCode,AP$2)))*(PayEarnType="Monthly")*(PayEarnValues))/$AA19*12)+(SUMPRODUCT((PayEmp=$C19)*(PayDate&lt;=$AC19)*(ISERROR(SEARCH(PayEarnCode,AP$2)))*(PayEarnType="Quarterly")*(PayEarnValues))/MAX(1,ROUNDDOWN($AB19/3,0))*4)+(SUMPRODUCT((PayEmp=$C19)*(PayDate&lt;=$AC19)*(ISERROR(SEARCH(PayEarnCode,AP$2)))*(PayEarnType="Bi-Annual")*(PayEarnValues))/MAX(1,ROUNDDOWN($AB19/6,0))*2)+(SUMPRODUCT((PayEmp=$C19)*(PayDate&lt;=$AC19)*(ISERROR(SEARCH(PayEarnCode,AP$2)))*(PayEarnType="Annual")*(PayEarnValues)))),IF(ISNUMBER(OFFSET($N$3,0,MATCH(AP$5,PayDedList,0)-1,1,1)),OFFSET($N$3,0,MATCH(AP$5,PayDedList,0)-1,1,1),IgnoreMin)))*IF(COUNTIFS(EmpNo,$C19,OFFSET(Emp!$R$4,1,MATCH(AP$5,DedListItem,0)-1,EmpCount,1),"&lt;&gt;")&gt;0,VLOOKUP($C19,EmpAll,COLUMN(Emp!$R$4)+MATCH(AP$5,DedListItem,0)-1,0),OFFSET(Setup!$E$73,MATCH(AP$5,DedListItem,0),0,1,1))*AP$3))),IF(ISNUMBER(AP$4),AP$4,IgnoreMin)))))</f>
        <v>0</v>
      </c>
      <c r="AQ19" s="148" cm="1">
        <f t="array" aca="1" ref="AQ19" ca="1">-IF($F19="Terminated",0,IF($AA19=0,0,IF(ISNA(MATCH(AQ$5,PayDedList,0)),0,MIN(IF(COUNTIFS(OverEmp,$C19,OverDeduct,AQ$5,OverDate,"&lt;"&amp;DATE(YEAR($AC19),MONTH($AC19)+1,1),OverEnd,"&gt;="&amp;DATE(YEAR($AC19),MONTH($AC19),1))&gt;0,SUMPRODUCT((PayEmp=$C19)*(PayDate&lt;=$AC19)*(OFFSET($N$6,1,MATCH(AQ$5,PayDedList,0)-1,PayCount,1)))/$AA19*12*AQ$3,IF(OR(AQ$1="Fixed",AQ$1="Not Used"),SUMPRODUCT((PayEmp=$C19)*(PayDate&lt;=$AC19)*(OFFSET($N$6,1,MATCH(AQ$5,PayDedList,0)-1,PayCount,1)))/$AA19*12*AQ$3,IF(ISNA(MATCH(AQ$1,EarnListItem,0))=FALSE,SUMPRODUCT((PayEmp=$C19)*(PayDate&lt;=$AC19)*(OFFSET($N$6,1,MATCH(AQ$5,PayDedList,0)-1,PayCount,1)))/$AA19*12*AQ$3,(MIN(((SUMPRODUCT((PayEmp=$C19)*(PayDate&lt;=$AC19)*(ISERROR(SEARCH(PayEarnCode,AQ$2)))*(PayEarnType="Monthly")*(PayEarnValues))/$AA19*12)+(SUMPRODUCT((PayEmp=$C19)*(PayDate&lt;=$AC19)*(ISERROR(SEARCH(PayEarnCode,AQ$2)))*(PayEarnType="Quarterly")*(PayEarnValues))/MAX(1,ROUNDDOWN($AB19/3,0))*4)+(SUMPRODUCT((PayEmp=$C19)*(PayDate&lt;=$AC19)*(ISERROR(SEARCH(PayEarnCode,AQ$2)))*(PayEarnType="Bi-Annual")*(PayEarnValues))/MAX(1,ROUNDDOWN($AB19/6,0))*2)+(SUMPRODUCT((PayEmp=$C19)*(PayDate&lt;=$AC19)*(ISERROR(SEARCH(PayEarnCode,AQ$2)))*(PayEarnType="Annual")*(PayEarnValues)))),IF(ISNUMBER(OFFSET($N$3,0,MATCH(AQ$5,PayDedList,0)-1,1,1)),OFFSET($N$3,0,MATCH(AQ$5,PayDedList,0)-1,1,1),IgnoreMin)))*IF(COUNTIFS(EmpNo,$C19,OFFSET(Emp!$R$4,1,MATCH(AQ$5,DedListItem,0)-1,EmpCount,1),"&lt;&gt;")&gt;0,VLOOKUP($C19,EmpAll,COLUMN(Emp!$R$4)+MATCH(AQ$5,DedListItem,0)-1,0),OFFSET(Setup!$E$73,MATCH(AQ$5,DedListItem,0),0,1,1))*AQ$3))),IF(ISNUMBER(AQ$4),AQ$4,IgnoreMin)))))</f>
        <v>0</v>
      </c>
      <c r="AR19" s="148">
        <f t="shared" ca="1" si="10"/>
        <v>60000</v>
      </c>
      <c r="AS19" s="148">
        <f t="shared" ca="1" si="11"/>
        <v>60000</v>
      </c>
      <c r="AT19" s="148" cm="1">
        <f t="array" aca="1" ref="AT19" ca="1">-IF($F19="Terminated",0,IF($AA19=0,0,IF(ISNA(MATCH(AT$5,PayDedList,0)),0,MIN(IF(COUNTIFS(OverEmp,$C19,OverDeduct,AT$5,OverDate,"&lt;"&amp;DATE(YEAR($AC19),MONTH($AC19)+1,1),OverEnd,"&gt;="&amp;DATE(YEAR($AC19),MONTH($AC19),1))&gt;0,SUMPRODUCT((PayEmp=$C19)*(PayDate&lt;=$AC19)*(OFFSET($N$6,1,MATCH(AT$5,PayDedList,0)-1,PayCount,1)))/$AA19*12*AT$3,IF(OR(AT$1="Fixed",AT$1="Not Used"),SUMPRODUCT((PayEmp=$C19)*(PayDate&lt;=$AC19)*(OFFSET($N$6,1,MATCH(AT$5,PayDedList,0)-1,PayCount,1)))/$AA19*12*AT$3,IF(ISNA(MATCH(OFFSET($N$2,0,MATCH(AT$5,PayDedList,0)-1,1,1),EarnListItem,0))=FALSE,SUMPRODUCT((PayEmp=$C19)*(PayDate&lt;=$AC19)*(OFFSET($N$6,1,MATCH(AT$5,PayDedList,0)-1,PayCount,1)))/$AA19*12*AT$3,(MIN(SUMPRODUCT((PayEmp=$C19)*(PayDate&lt;=$AC19)*(ISERROR(SEARCH(PayEarnCode,AT$2)))*(PayEarnType="Monthly")*(PayEarnValues))/$AA19*12,IF(ISNUMBER(OFFSET($N$3,0,MATCH(AT$5,PayDedList,0)-1,1,1)),OFFSET($N$3,0,MATCH(AT$5,PayDedList,0)-1,1,1),IgnoreMin)))*IF(COUNTIFS(EmpNo,$C19,OFFSET(Emp!$R$4,1,MATCH(AT$5,DedListItem,0)-1,EmpCount,1),"&lt;&gt;")&gt;0,VLOOKUP($C19,EmpAll,COLUMN(Emp!$R$4)+MATCH(AT$5,DedListItem,0)-1,0),OFFSET(Setup!$E$73,MATCH(AT$5,DedListItem,0),0,1,1))*AT$3))),IF(ISNUMBER(AT$4),AT$4,IgnoreMin)))))</f>
        <v>0</v>
      </c>
      <c r="AU19" s="148" cm="1">
        <f t="array" aca="1" ref="AU19" ca="1">-IF($F19="Terminated",0,IF($AA19=0,0,IF(ISNA(MATCH(AU$5,PayDedList,0)),0,MIN(IF(COUNTIFS(OverEmp,$C19,OverDeduct,AU$5,OverDate,"&lt;"&amp;DATE(YEAR($AC19),MONTH($AC19)+1,1),OverEnd,"&gt;="&amp;DATE(YEAR($AC19),MONTH($AC19),1))&gt;0,SUMPRODUCT((PayEmp=$C19)*(PayDate&lt;=$AC19)*(OFFSET($N$6,1,MATCH(AU$5,PayDedList,0)-1,PayCount,1)))/$AA19*12*AU$3,IF(OR(AU$1="Fixed",AU$1="Not Used"),SUMPRODUCT((PayEmp=$C19)*(PayDate&lt;=$AC19)*(OFFSET($N$6,1,MATCH(AU$5,PayDedList,0)-1,PayCount,1)))/$AA19*12*AU$3,IF(ISNA(MATCH(OFFSET($N$2,0,MATCH(AU$5,PayDedList,0)-1,1,1),EarnListItem,0))=FALSE,SUMPRODUCT((PayEmp=$C19)*(PayDate&lt;=$AC19)*(OFFSET($N$6,1,MATCH(AU$5,PayDedList,0)-1,PayCount,1)))/$AA19*12*AU$3,(MIN(SUMPRODUCT((PayEmp=$C19)*(PayDate&lt;=$AC19)*(ISERROR(SEARCH(PayEarnCode,AU$2)))*(PayEarnType="Monthly")*(PayEarnValues))/$AA19*12,IF(ISNUMBER(OFFSET($N$3,0,MATCH(AU$5,PayDedList,0)-1,1,1)),OFFSET($N$3,0,MATCH(AU$5,PayDedList,0)-1,1,1),IgnoreMin)))*IF(COUNTIFS(EmpNo,$C19,OFFSET(Emp!$R$4,1,MATCH(AU$5,DedListItem,0)-1,EmpCount,1),"&lt;&gt;")&gt;0,VLOOKUP($C19,EmpAll,COLUMN(Emp!$R$4)+MATCH(AU$5,DedListItem,0)-1,0),OFFSET(Setup!$E$73,MATCH(AU$5,DedListItem,0),0,1,1))*AU$3))),IF(ISNUMBER(AU$4),AU$4,IgnoreMin)))))</f>
        <v>0</v>
      </c>
      <c r="AV19" s="148" cm="1">
        <f t="array" aca="1" ref="AV19" ca="1">-IF($F19="Terminated",0,IF($AA19=0,0,IF(ISNA(MATCH(AV$5,PayDedList,0)),0,MIN(IF(COUNTIFS(OverEmp,$C19,OverDeduct,AV$5,OverDate,"&lt;"&amp;DATE(YEAR($AC19),MONTH($AC19)+1,1),OverEnd,"&gt;="&amp;DATE(YEAR($AC19),MONTH($AC19),1))&gt;0,SUMPRODUCT((PayEmp=$C19)*(PayDate&lt;=$AC19)*(OFFSET($N$6,1,MATCH(AV$5,PayDedList,0)-1,PayCount,1)))/$AA19*12*AV$3,IF(OR(AV$1="Fixed",AV$1="Not Used"),SUMPRODUCT((PayEmp=$C19)*(PayDate&lt;=$AC19)*(OFFSET($N$6,1,MATCH(AV$5,PayDedList,0)-1,PayCount,1)))/$AA19*12*AV$3,IF(ISNA(MATCH(OFFSET($N$2,0,MATCH(AV$5,PayDedList,0)-1,1,1),EarnListItem,0))=FALSE,SUMPRODUCT((PayEmp=$C19)*(PayDate&lt;=$AC19)*(OFFSET($N$6,1,MATCH(AV$5,PayDedList,0)-1,PayCount,1)))/$AA19*12*AV$3,(MIN(SUMPRODUCT((PayEmp=$C19)*(PayDate&lt;=$AC19)*(ISERROR(SEARCH(PayEarnCode,AV$2)))*(PayEarnType="Monthly")*(PayEarnValues))/$AA19*12,IF(ISNUMBER(OFFSET($N$3,0,MATCH(AV$5,PayDedList,0)-1,1,1)),OFFSET($N$3,0,MATCH(AV$5,PayDedList,0)-1,1,1),IgnoreMin)))*IF(COUNTIFS(EmpNo,$C19,OFFSET(Emp!$R$4,1,MATCH(AV$5,DedListItem,0)-1,EmpCount,1),"&lt;&gt;")&gt;0,VLOOKUP($C19,EmpAll,COLUMN(Emp!$R$4)+MATCH(AV$5,DedListItem,0)-1,0),OFFSET(Setup!$E$73,MATCH(AV$5,DedListItem,0),0,1,1))*AV$3))),IF(ISNUMBER(AV$4),AV$4,IgnoreMin)))))</f>
        <v>0</v>
      </c>
      <c r="AW19" s="148" cm="1">
        <f t="array" aca="1" ref="AW19" ca="1">-IF($F19="Terminated",0,IF($AA19=0,0,IF(ISNA(MATCH(AW$5,PayDedList,0)),0,MIN(IF(COUNTIFS(OverEmp,$C19,OverDeduct,AW$5,OverDate,"&lt;"&amp;DATE(YEAR($AC19),MONTH($AC19)+1,1),OverEnd,"&gt;="&amp;DATE(YEAR($AC19),MONTH($AC19),1))&gt;0,SUMPRODUCT((PayEmp=$C19)*(PayDate&lt;=$AC19)*(OFFSET($N$6,1,MATCH(AW$5,PayDedList,0)-1,PayCount,1)))/$AA19*12*AW$3,IF(OR(AW$1="Fixed",AW$1="Not Used"),SUMPRODUCT((PayEmp=$C19)*(PayDate&lt;=$AC19)*(OFFSET($N$6,1,MATCH(AW$5,PayDedList,0)-1,PayCount,1)))/$AA19*12*AW$3,IF(ISNA(MATCH(OFFSET($N$2,0,MATCH(AW$5,PayDedList,0)-1,1,1),EarnListItem,0))=FALSE,SUMPRODUCT((PayEmp=$C19)*(PayDate&lt;=$AC19)*(OFFSET($N$6,1,MATCH(AW$5,PayDedList,0)-1,PayCount,1)))/$AA19*12*AW$3,(MIN(SUMPRODUCT((PayEmp=$C19)*(PayDate&lt;=$AC19)*(ISERROR(SEARCH(PayEarnCode,AW$2)))*(PayEarnType="Monthly")*(PayEarnValues))/$AA19*12,IF(ISNUMBER(OFFSET($N$3,0,MATCH(AW$5,PayDedList,0)-1,1,1)),OFFSET($N$3,0,MATCH(AW$5,PayDedList,0)-1,1,1),IgnoreMin)))*IF(COUNTIFS(EmpNo,$C19,OFFSET(Emp!$R$4,1,MATCH(AW$5,DedListItem,0)-1,EmpCount,1),"&lt;&gt;")&gt;0,VLOOKUP($C19,EmpAll,COLUMN(Emp!$R$4)+MATCH(AW$5,DedListItem,0)-1,0),OFFSET(Setup!$E$73,MATCH(AW$5,DedListItem,0),0,1,1))*AW$3))),IF(ISNUMBER(AW$4),AW$4,IgnoreMin)))))</f>
        <v>0</v>
      </c>
      <c r="AX19" s="148">
        <f t="shared" ca="1" si="12"/>
        <v>60000</v>
      </c>
      <c r="AY19" s="148">
        <f t="shared" ca="1" si="13"/>
        <v>0</v>
      </c>
      <c r="AZ19" s="148">
        <f ca="1">IF(ISNUMBER($AL19),($AR19*$AL19)-$AI19-$AK19,MAX(0,IF($AL19="B",IF($AR19&lt;Setup!$C$32,($AR19*Setup!$D$32)-$AI19-$AK19,(($AR19-VLOOKUP($AR19,TaxAll2,1,1))*OFFSET(Setup!$D$32,MATCH($AR19,TaxBracket2,1),0,1,1))+OFFSET(Setup!$E$31,MATCH($AR19,TaxBracket2,1),0,1,1)-$AI19-$AK19),IF($AR19&lt;Setup!$C$21,($AR19*Setup!$D$21)-$AI19-$AK19,(($AR19-VLOOKUP($AR19,TaxAll1,1,1))*OFFSET(Setup!$D$21,MATCH($AR19,TaxBracket1,1),0,1,1))+OFFSET(Setup!$E$20,MATCH($AR19,TaxBracket1,1),0,1,1)-$AI19-$AK19))))</f>
        <v>0</v>
      </c>
      <c r="BA19" s="148">
        <f ca="1">IF(ISNUMBER($AL19),($AX19*$AL19)-$AI19-$AK19,MAX(0,IF($AL19="B",IF($AX19&lt;Setup!$C$32,($AX19*Setup!$D$32)-$AI19-$AK19,(($AX19-VLOOKUP($AX19,TaxAll2,1,1))*OFFSET(Setup!$D$32,MATCH($AX19,TaxBracket2,1),0,1,1))+OFFSET(Setup!$E$31,MATCH($AX19,TaxBracket2,1),0,1,1)-$AI19-$AK19),IF($AX19&lt;Setup!$C$21,($AX19*Setup!$D$21)-$AI19-$AK19,(($AX19-VLOOKUP($AX19,TaxAll1,1,1))*OFFSET(Setup!$D$21,MATCH($AX19,TaxBracket1,1),0,1,1))+OFFSET(Setup!$E$20,MATCH($AX19,TaxBracket1,1),0,1,1)-$AI19-$AK19))))</f>
        <v>0</v>
      </c>
      <c r="BB19" s="148">
        <f t="shared" ca="1" si="14"/>
        <v>0</v>
      </c>
      <c r="BC19" s="150">
        <f t="shared" ca="1" si="15"/>
        <v>1</v>
      </c>
      <c r="BD19" s="150">
        <f t="shared" ca="1" si="16"/>
        <v>0</v>
      </c>
      <c r="BE19" s="148">
        <f t="shared" ca="1" si="17"/>
        <v>60000</v>
      </c>
    </row>
    <row r="20" spans="1:57" ht="16.149999999999999" customHeight="1" x14ac:dyDescent="0.25">
      <c r="A20" s="10" t="str" cm="1">
        <f t="array" aca="1" ref="A20" ca="1">IF(ROW($A20)-ROW($A$6)&gt;EmpCount*12,"-",TEXT($B20,"yyyy")&amp;TEXT($B20,"mm")&amp;"-"&amp;$C20)</f>
        <v>202303-EXS014</v>
      </c>
      <c r="B20" s="137" cm="1">
        <f t="array" aca="1" ref="B20" ca="1">IF(ROW($A20)-ROW($A$6)&gt;EmpCount*12,Setup!$D$12,DATE(YEAR(Setup!$F$12),MONTH(Setup!$F$12)+ROUNDDOWN((ROW($A20)-ROW($A$6)-1)/EmpCount,0),IF(Setup!$C$14&gt;DAY(DATE(YEAR(Setup!$F$12),MONTH(Setup!$F$12)+ROUNDDOWN((ROW($A20)-ROW($A$6)-1)/EmpCount,0)+1,0)),DAY(DATE(YEAR(Setup!$F$12),MONTH(Setup!$F$12)+ROUNDDOWN((ROW($A20)-ROW($A$6)-1)/EmpCount,0)+1,0)),Setup!$C$14)))</f>
        <v>45010</v>
      </c>
      <c r="C20" s="101" t="str" cm="1">
        <f t="array" aca="1" ref="C20" ca="1">IF(ROW($A20)-ROW($A$6)&gt;EmpCount*12,"-",OFFSET(Emp!$A$4,ROW($A20)-ROW($A$6)-IF(ROW($A20)-ROW($A$6)&gt;EmpCount,ROUNDDOWN((ROW($A20)-ROW($A$6)-1)/EmpCount,0)*EmpCount,0),0,1,1))</f>
        <v>EXS014</v>
      </c>
      <c r="D20" s="10" t="str">
        <f ca="1">IF(ISNA(VLOOKUP($C20,EmpAll,COLUMN(Emp!$B$4),0)),"-",VLOOKUP($C20,EmpAll,COLUMN(Emp!$B$4),0))</f>
        <v>Ross Q</v>
      </c>
      <c r="E20" s="145" t="str">
        <f ca="1">IF(ISNA(VLOOKUP($C20,EmpAll,COLUMN(Emp!$C$4),0)),"-",VLOOKUP($C20,EmpAll,COLUMN(Emp!$C$4),0))</f>
        <v>A</v>
      </c>
      <c r="F20" s="101" t="str">
        <f ca="1">IF(ISNA(VLOOKUP($C20,EmpAll,COLUMN(Emp!$A$4),0)),"-",IF(AND(VLOOKUP($C20,EmpAll,COLUMN(Emp!$E$4),0)&lt;&gt;0,VLOOKUP($C20,EmpAll,COLUMN(Emp!$E$4),0)&gt;=DATE(YEAR($AC20),MONTH($AC20)+1,0)),"Inactive",IF(AND(VLOOKUP($C20,EmpAll,COLUMN(Emp!$F$4),0)&lt;&gt;0,VLOOKUP($C20,EmpAll,COLUMN(Emp!$F$4),0)&lt;=DATE(YEAR($AC20),MONTH($AC20),0)),"Terminated","Active")))</f>
        <v>Inactive</v>
      </c>
      <c r="G20" s="133" cm="1">
        <f t="array" aca="1" ref="G20" ca="1">IF($F20&lt;&gt;"Active",0,IF(COUNTIFS(OverEmp,$C20,OverEarn,G$2,OverDate,"&lt;"&amp;DATE(YEAR($AC20),MONTH($AC20)+1,1),OverEnd,"&gt;="&amp;DATE(YEAR($AC20),MONTH($AC20),1))&gt;0,SUMIFS(OverValue,OverEmp,$C20,OverEarn,G$2,OverDate,"&lt;"&amp;DATE(YEAR($AC20),MONTH($AC20)+1,1),OverEnd,"&gt;="&amp;DATE(YEAR($AC20),MONTH($AC20),1)),IF(AND($AC20&gt;=Setup!$E$10,SUMIFS(EmpIncrease,EmpCode,$C20)&gt;0),SUMIFS(EmpIncrease,EmpCode,$C20),SUMIFS(EmpSalary,EmpCode,$C20))))</f>
        <v>0</v>
      </c>
      <c r="H20" s="133" cm="1">
        <f t="array" aca="1" ref="H20" ca="1">IF($F20&lt;&gt;"Active",0,IF(COUNTIFS(OverEmp,$C20,OverEarn,H$2,OverDate,"&lt;"&amp;DATE(YEAR($AC20),MONTH($AC20)+1,1),OverEnd,"&gt;="&amp;DATE(YEAR($AC20),MONTH($AC20),1))&gt;0,SUMIFS(OverValue,OverEmp,$C20,OverEarn,H$2,OverDate,"&lt;"&amp;DATE(YEAR($AC20),MONTH($AC20)+1,1),OverEnd,"&gt;="&amp;DATE(YEAR($AC20),MONTH($AC20),1)),0))</f>
        <v>0</v>
      </c>
      <c r="I20" s="133" cm="1">
        <f t="array" aca="1" ref="I20" ca="1">IF($F20&lt;&gt;"Active",0,IF(COUNTIFS(OverEmp,$C20,OverEarn,I$2,OverDate,"&lt;"&amp;DATE(YEAR($AC20),MONTH($AC20)+1,1),OverEnd,"&gt;="&amp;DATE(YEAR($AC20),MONTH($AC20),1))&gt;0,SUMIFS(OverValue,OverEmp,$C20,OverEarn,I$2,OverDate,"&lt;"&amp;DATE(YEAR($AC20),MONTH($AC20)+1,1),OverEnd,"&gt;="&amp;DATE(YEAR($AC20),MONTH($AC20),1)),IF(MONTH(B20)=Setup!$C$15,SUMIFS(EmpBonus,EmpCode,$C20),0)))</f>
        <v>0</v>
      </c>
      <c r="J20" s="133" cm="1">
        <f t="array" aca="1" ref="J20" ca="1">IF($F20&lt;&gt;"Active",0,IF(COUNTIFS(OverEmp,$C20,OverEarn,J$2,OverDate,"&lt;"&amp;DATE(YEAR($AC20),MONTH($AC20)+1,1),OverEnd,"&gt;="&amp;DATE(YEAR($AC20),MONTH($AC20),1))&gt;0,SUMIFS(OverValue,OverEmp,$C20,OverEarn,J$2,OverDate,"&lt;"&amp;DATE(YEAR($AC20),MONTH($AC20)+1,1),OverEnd,"&gt;="&amp;DATE(YEAR($AC20),MONTH($AC20),1)),0))</f>
        <v>0</v>
      </c>
      <c r="K20" s="133" cm="1">
        <f t="array" aca="1" ref="K20" ca="1">IF($F20&lt;&gt;"Active",0,IF(COUNTIFS(OverEmp,$C20,OverEarn,K$2,OverDate,"&lt;"&amp;DATE(YEAR($AC20),MONTH($AC20)+1,1),OverEnd,"&gt;="&amp;DATE(YEAR($AC20),MONTH($AC20),1))&gt;0,SUMIFS(OverValue,OverEmp,$C20,OverEarn,K$2,OverDate,"&lt;"&amp;DATE(YEAR($AC20),MONTH($AC20)+1,1),OverEnd,"&gt;="&amp;DATE(YEAR($AC20),MONTH($AC20),1)),0))</f>
        <v>0</v>
      </c>
      <c r="L20" s="185">
        <f t="shared" ca="1" si="0"/>
        <v>0</v>
      </c>
      <c r="M20" s="182" cm="1">
        <f t="array" aca="1" ref="M20" ca="1">IF(COUNTIFS(OverEmp,$C20,OverTax,M$5,OverDate,"&lt;"&amp;DATE(YEAR($AC20),MONTH($AC20)+1,1),OverEnd,"&gt;="&amp;DATE(YEAR($AC20),MONTH($AC20),1))&gt;0,SUMIFS(OverValue,OverEmp,$C20,OverTax,M$5,OverDate,"&lt;"&amp;DATE(YEAR($AC20),MONTH($AC20)+1,1),OverEnd,"&gt;="&amp;DATE(YEAR($AC20),MONTH($AC20),1)),(($BA20/12*$AA20)+(BB20*IF(1-$BC20=0,0,BD20/(1-$BC20))))-IF($F20="Terminated",0,SUMIFS(PayTaxDeduct,PayDate,"&lt;"&amp;$AC20,PayEmp,$C20)))</f>
        <v>0</v>
      </c>
      <c r="N20" s="133" cm="1">
        <f t="array" aca="1" ref="N20" ca="1">IF($F20="Terminated",0,IF($AA20=0,0,IF(ISNA(MATCH(N$5,DedListItem,0)),0,IF(COUNTIFS(OverEmp,$C20,OverDeduct,N$5,OverDate,"&lt;"&amp;DATE(YEAR($AC20),MONTH($AC20)+1,1),OverEnd,"&gt;="&amp;DATE(YEAR($AC20),MONTH($AC20),1))&gt;0,SUMIFS(OverValue,OverEmp,$C20,OverDeduct,N$5,OverDate,"&lt;"&amp;DATE(YEAR($AC20),MONTH($AC20)+1,1),OverEnd,"&gt;="&amp;DATE(YEAR($AC20),MONTH($AC20),1)),IF(OR(N$2="Fixed",N$2="Not Used"),(IF(COUNTIFS(EmpNo,$C20,OFFSET(Emp!$R$4,1,MATCH(N$5,DedListItem,0)-1,EmpCount,1),"&lt;&gt;")&gt;0,VLOOKUP($C20,EmpAll,COLUMN(Emp!$R$4)+MATCH(N$5,DedListItem,0)-1,0),OFFSET(Setup!$E$73,MATCH(N$5,DedListItem,0),0,1,1))*$AA20)-SUMIFS(OFFSET(N$6,1,0,PayCount,1),PayDate,"&lt;"&amp;$AC20,PayEmp,$C20),IF(ISNA(MATCH(N$2,EarnListItem,0))=FALSE,IF(OFFSET(Setup!$G$73,MATCH(N$5,DedListItem,0),0,1,1)="Taxable",SUMPRODUCT((PayEmp=$C20)*(PayDate&lt;=$AC20)*(PayEarnCode=N$2)*(PayEarnTax)*(PayEarnValues)),SUMPRODUCT((PayEmp=$C20)*(PayDate&lt;=$AC20)*(PayEarnCode=N$2)*(PayEarnValues)))*IF(COUNTIFS(EmpNo,$C20,OFFSET(Emp!$R$4,1,MATCH(N$5,DedListItem,0)-1,EmpCount,1),"&lt;&gt;")&gt;0,VLOOKUP($C20,EmpAll,COLUMN(Emp!$R$4)+MATCH(N$5,DedListItem,0)-1,0),OFFSET(Setup!$E$73,MATCH(N$5,DedListItem,0),0,1,1)),(MIN(IF(OFFSET(Setup!$G$73,MATCH(N$5,DedListItem,0),0,1,1)="Taxable",SUMPRODUCT((PayEmp=$C20)*(PayDate&lt;=$AC20)*(ISERROR(SEARCH(PayEarnCode,N$4)))*(PayEarnTax)*(PayEarnValues)),SUMPRODUCT((PayEmp=$C20)*(PayDate&lt;=$AC20)*(ISERROR(SEARCH(PayEarnCode,N$4)))*(PayEarnValues))),IF(ISNUMBER(N$3),N$3/12*$AA20,IgnoreMin)))*IF(COUNTIFS(EmpNo,$C20,OFFSET(Emp!$R$4,1,MATCH(N$5,DedListItem,0)-1,EmpCount,1),"&lt;&gt;")&gt;0,VLOOKUP($C20,EmpAll,COLUMN(Emp!$R$4)+MATCH(N$5,DedListItem,0)-1,0),OFFSET(Setup!$E$73,MATCH(N$5,DedListItem,0),0,1,1)))-SUMIFS(OFFSET(N$6,1,0,PayCount,1),PayDate,"&lt;"&amp;$AC20,PayEmp,$C20))))))</f>
        <v>0</v>
      </c>
      <c r="O20" s="133" cm="1">
        <f t="array" aca="1" ref="O20" ca="1">IF($F20="Terminated",0,IF($AA20=0,0,IF(ISNA(MATCH(O$5,DedListItem,0)),0,IF(COUNTIFS(OverEmp,$C20,OverDeduct,O$5,OverDate,"&lt;"&amp;DATE(YEAR($AC20),MONTH($AC20)+1,1),OverEnd,"&gt;="&amp;DATE(YEAR($AC20),MONTH($AC20),1))&gt;0,SUMIFS(OverValue,OverEmp,$C20,OverDeduct,O$5,OverDate,"&lt;"&amp;DATE(YEAR($AC20),MONTH($AC20)+1,1),OverEnd,"&gt;="&amp;DATE(YEAR($AC20),MONTH($AC20),1)),IF(OR(O$2="Fixed",O$2="Not Used"),(IF(COUNTIFS(EmpNo,$C20,OFFSET(Emp!$R$4,1,MATCH(O$5,DedListItem,0)-1,EmpCount,1),"&lt;&gt;")&gt;0,VLOOKUP($C20,EmpAll,COLUMN(Emp!$R$4)+MATCH(O$5,DedListItem,0)-1,0),OFFSET(Setup!$E$73,MATCH(O$5,DedListItem,0),0,1,1))*$AA20)-SUMIFS(OFFSET(O$6,1,0,PayCount,1),PayDate,"&lt;"&amp;$AC20,PayEmp,$C20),IF(ISNA(MATCH(O$2,EarnListItem,0))=FALSE,IF(OFFSET(Setup!$G$73,MATCH(O$5,DedListItem,0),0,1,1)="Taxable",SUMPRODUCT((PayEmp=$C20)*(PayDate&lt;=$AC20)*(PayEarnCode=O$2)*(PayEarnTax)*(PayEarnValues)),SUMPRODUCT((PayEmp=$C20)*(PayDate&lt;=$AC20)*(PayEarnCode=O$2)*(PayEarnValues)))*IF(COUNTIFS(EmpNo,$C20,OFFSET(Emp!$R$4,1,MATCH(O$5,DedListItem,0)-1,EmpCount,1),"&lt;&gt;")&gt;0,VLOOKUP($C20,EmpAll,COLUMN(Emp!$R$4)+MATCH(O$5,DedListItem,0)-1,0),OFFSET(Setup!$E$73,MATCH(O$5,DedListItem,0),0,1,1)),(MIN(IF(OFFSET(Setup!$G$73,MATCH(O$5,DedListItem,0),0,1,1)="Taxable",SUMPRODUCT((PayEmp=$C20)*(PayDate&lt;=$AC20)*(ISERROR(SEARCH(PayEarnCode,O$4)))*(PayEarnTax)*(PayEarnValues)),SUMPRODUCT((PayEmp=$C20)*(PayDate&lt;=$AC20)*(ISERROR(SEARCH(PayEarnCode,O$4)))*(PayEarnValues))),IF(ISNUMBER(O$3),O$3/12*$AA20,IgnoreMin)))*IF(COUNTIFS(EmpNo,$C20,OFFSET(Emp!$R$4,1,MATCH(O$5,DedListItem,0)-1,EmpCount,1),"&lt;&gt;")&gt;0,VLOOKUP($C20,EmpAll,COLUMN(Emp!$R$4)+MATCH(O$5,DedListItem,0)-1,0),OFFSET(Setup!$E$73,MATCH(O$5,DedListItem,0),0,1,1)))-SUMIFS(OFFSET(O$6,1,0,PayCount,1),PayDate,"&lt;"&amp;$AC20,PayEmp,$C20))))))</f>
        <v>0</v>
      </c>
      <c r="P20" s="133" cm="1">
        <f t="array" aca="1" ref="P20" ca="1">IF($F20="Terminated",0,IF($AA20=0,0,IF(ISNA(MATCH(P$5,DedListItem,0)),0,IF(COUNTIFS(OverEmp,$C20,OverDeduct,P$5,OverDate,"&lt;"&amp;DATE(YEAR($AC20),MONTH($AC20)+1,1),OverEnd,"&gt;="&amp;DATE(YEAR($AC20),MONTH($AC20),1))&gt;0,SUMIFS(OverValue,OverEmp,$C20,OverDeduct,P$5,OverDate,"&lt;"&amp;DATE(YEAR($AC20),MONTH($AC20)+1,1),OverEnd,"&gt;="&amp;DATE(YEAR($AC20),MONTH($AC20),1)),IF(OR(P$2="Fixed",P$2="Not Used"),(IF(COUNTIFS(EmpNo,$C20,OFFSET(Emp!$R$4,1,MATCH(P$5,DedListItem,0)-1,EmpCount,1),"&lt;&gt;")&gt;0,VLOOKUP($C20,EmpAll,COLUMN(Emp!$R$4)+MATCH(P$5,DedListItem,0)-1,0),OFFSET(Setup!$E$73,MATCH(P$5,DedListItem,0),0,1,1))*$AA20)-SUMIFS(OFFSET(P$6,1,0,PayCount,1),PayDate,"&lt;"&amp;$AC20,PayEmp,$C20),IF(ISNA(MATCH(P$2,EarnListItem,0))=FALSE,IF(OFFSET(Setup!$G$73,MATCH(P$5,DedListItem,0),0,1,1)="Taxable",SUMPRODUCT((PayEmp=$C20)*(PayDate&lt;=$AC20)*(PayEarnCode=P$2)*(PayEarnTax)*(PayEarnValues)),SUMPRODUCT((PayEmp=$C20)*(PayDate&lt;=$AC20)*(PayEarnCode=P$2)*(PayEarnValues)))*IF(COUNTIFS(EmpNo,$C20,OFFSET(Emp!$R$4,1,MATCH(P$5,DedListItem,0)-1,EmpCount,1),"&lt;&gt;")&gt;0,VLOOKUP($C20,EmpAll,COLUMN(Emp!$R$4)+MATCH(P$5,DedListItem,0)-1,0),OFFSET(Setup!$E$73,MATCH(P$5,DedListItem,0),0,1,1)),(MIN(IF(OFFSET(Setup!$G$73,MATCH(P$5,DedListItem,0),0,1,1)="Taxable",SUMPRODUCT((PayEmp=$C20)*(PayDate&lt;=$AC20)*(ISERROR(SEARCH(PayEarnCode,P$4)))*(PayEarnTax)*(PayEarnValues)),SUMPRODUCT((PayEmp=$C20)*(PayDate&lt;=$AC20)*(ISERROR(SEARCH(PayEarnCode,P$4)))*(PayEarnValues))),IF(ISNUMBER(P$3),P$3/12*$AA20,IgnoreMin)))*IF(COUNTIFS(EmpNo,$C20,OFFSET(Emp!$R$4,1,MATCH(P$5,DedListItem,0)-1,EmpCount,1),"&lt;&gt;")&gt;0,VLOOKUP($C20,EmpAll,COLUMN(Emp!$R$4)+MATCH(P$5,DedListItem,0)-1,0),OFFSET(Setup!$E$73,MATCH(P$5,DedListItem,0),0,1,1)))-SUMIFS(OFFSET(P$6,1,0,PayCount,1),PayDate,"&lt;"&amp;$AC20,PayEmp,$C20))))))</f>
        <v>0</v>
      </c>
      <c r="Q20" s="133" cm="1">
        <f t="array" aca="1" ref="Q20" ca="1">IF($F20="Terminated",0,IF($AA20=0,0,IF(ISNA(MATCH(Q$5,DedListItem,0)),0,IF(COUNTIFS(OverEmp,$C20,OverDeduct,Q$5,OverDate,"&lt;"&amp;DATE(YEAR($AC20),MONTH($AC20)+1,1),OverEnd,"&gt;="&amp;DATE(YEAR($AC20),MONTH($AC20),1))&gt;0,SUMIFS(OverValue,OverEmp,$C20,OverDeduct,Q$5,OverDate,"&lt;"&amp;DATE(YEAR($AC20),MONTH($AC20)+1,1),OverEnd,"&gt;="&amp;DATE(YEAR($AC20),MONTH($AC20),1)),IF(OR(Q$2="Fixed",Q$2="Not Used"),(IF(COUNTIFS(EmpNo,$C20,OFFSET(Emp!$R$4,1,MATCH(Q$5,DedListItem,0)-1,EmpCount,1),"&lt;&gt;")&gt;0,VLOOKUP($C20,EmpAll,COLUMN(Emp!$R$4)+MATCH(Q$5,DedListItem,0)-1,0),OFFSET(Setup!$E$73,MATCH(Q$5,DedListItem,0),0,1,1))*$AA20)-SUMIFS(OFFSET(Q$6,1,0,PayCount,1),PayDate,"&lt;"&amp;$AC20,PayEmp,$C20),IF(ISNA(MATCH(Q$2,EarnListItem,0))=FALSE,IF(OFFSET(Setup!$G$73,MATCH(Q$5,DedListItem,0),0,1,1)="Taxable",SUMPRODUCT((PayEmp=$C20)*(PayDate&lt;=$AC20)*(PayEarnCode=Q$2)*(PayEarnTax)*(PayEarnValues)),SUMPRODUCT((PayEmp=$C20)*(PayDate&lt;=$AC20)*(PayEarnCode=Q$2)*(PayEarnValues)))*IF(COUNTIFS(EmpNo,$C20,OFFSET(Emp!$R$4,1,MATCH(Q$5,DedListItem,0)-1,EmpCount,1),"&lt;&gt;")&gt;0,VLOOKUP($C20,EmpAll,COLUMN(Emp!$R$4)+MATCH(Q$5,DedListItem,0)-1,0),OFFSET(Setup!$E$73,MATCH(Q$5,DedListItem,0),0,1,1)),(MIN(IF(OFFSET(Setup!$G$73,MATCH(Q$5,DedListItem,0),0,1,1)="Taxable",SUMPRODUCT((PayEmp=$C20)*(PayDate&lt;=$AC20)*(ISERROR(SEARCH(PayEarnCode,Q$4)))*(PayEarnTax)*(PayEarnValues)),SUMPRODUCT((PayEmp=$C20)*(PayDate&lt;=$AC20)*(ISERROR(SEARCH(PayEarnCode,Q$4)))*(PayEarnValues))),IF(ISNUMBER(Q$3),Q$3/12*$AA20,IgnoreMin)))*IF(COUNTIFS(EmpNo,$C20,OFFSET(Emp!$R$4,1,MATCH(Q$5,DedListItem,0)-1,EmpCount,1),"&lt;&gt;")&gt;0,VLOOKUP($C20,EmpAll,COLUMN(Emp!$R$4)+MATCH(Q$5,DedListItem,0)-1,0),OFFSET(Setup!$E$73,MATCH(Q$5,DedListItem,0),0,1,1)))-SUMIFS(OFFSET(Q$6,1,0,PayCount,1),PayDate,"&lt;"&amp;$AC20,PayEmp,$C20))))))</f>
        <v>0</v>
      </c>
      <c r="R20" s="185">
        <f t="shared" ca="1" si="1"/>
        <v>0</v>
      </c>
      <c r="S20" s="139">
        <f t="shared" ca="1" si="2"/>
        <v>0</v>
      </c>
      <c r="T20" s="133" cm="1">
        <f t="array" aca="1" ref="T20" ca="1">IF($F20="Terminated",0,IF($AA20=0,0,IF(ISNA(MATCH(T$5,CompListItem,0)),0,IF(COUNTIFS(OverEmp,$C20,OverComp,T$5,OverDate,"&lt;"&amp;DATE(YEAR($AC20),MONTH($AC20)+1,1),OverEnd,"&gt;="&amp;DATE(YEAR($AC20),MONTH($AC20),1))&gt;0,SUMIFS(OverValue,OverEmp,$C20,OverComp,T$5,OverDate,"&lt;"&amp;DATE(YEAR($AC20),MONTH($AC20)+1,1),OverEnd,"&gt;="&amp;DATE(YEAR($AC20),MONTH($AC20),1)),IF(OR(T$2="Fixed",T$2="Not Used"),(OFFSET(Setup!$E$81,MATCH(T$5,CompListItem,0),0,1,1)*$AA20)-SUMIFS(OFFSET(T$6,1,0,PayCount,1),PayDate,"&lt;"&amp;$AC20,PayEmp,$C20),IF(ISNA(MATCH(T$2,DedListItem,0))=FALSE,(SUMPRODUCT((PayEmp=$C20)*(PayDate&lt;=$AC20)*(PayDedList=T$2)*(PayDedValues))*OFFSET(Setup!$E$81,MATCH(T$5,CompListItem,0),0,1,1))-SUMIFS(OFFSET(T$6,1,0,PayCount,1),PayDate,"&lt;"&amp;$AC20,PayEmp,$C20),(MIN(IF(OFFSET(Setup!$G$81,MATCH(T$5,CompListItem,0),0,1,1)="Taxable",SUMPRODUCT((PayEmp=$C20)*(PayDate&lt;=$AC20)*(ISERROR(SEARCH(PayEarnCode,T$4)))*(PayEarnTax)*(PayEarnValues)),SUMPRODUCT((PayEmp=$C20)*(PayDate&lt;=$AC20)*(ISERROR(SEARCH(PayEarnCode,T$4)))*(PayEarnValues))),IF(ISNUMBER(T$3),T$3/12*$AA20,IgnoreMin)))*OFFSET(Setup!$E$81,MATCH(T$5,CompListItem,0),0,1,1)-SUMIFS(OFFSET(T$6,1,0,PayCount,1),PayDate,"&lt;"&amp;$AC20,PayEmp,$C20)))))))</f>
        <v>0</v>
      </c>
      <c r="U20" s="133" cm="1">
        <f t="array" aca="1" ref="U20" ca="1">IF($F20="Terminated",0,IF($AA20=0,0,IF(ISNA(MATCH(U$5,CompListItem,0)),0,IF(COUNTIFS(OverEmp,$C20,OverComp,U$5,OverDate,"&lt;"&amp;DATE(YEAR($AC20),MONTH($AC20)+1,1),OverEnd,"&gt;="&amp;DATE(YEAR($AC20),MONTH($AC20),1))&gt;0,SUMIFS(OverValue,OverEmp,$C20,OverComp,U$5,OverDate,"&lt;"&amp;DATE(YEAR($AC20),MONTH($AC20)+1,1),OverEnd,"&gt;="&amp;DATE(YEAR($AC20),MONTH($AC20),1)),IF(OR(U$2="Fixed",U$2="Not Used"),(OFFSET(Setup!$E$81,MATCH(U$5,CompListItem,0),0,1,1)*$AA20)-SUMIFS(OFFSET(U$6,1,0,PayCount,1),PayDate,"&lt;"&amp;$AC20,PayEmp,$C20),IF(ISNA(MATCH(U$2,DedListItem,0))=FALSE,(SUMPRODUCT((PayEmp=$C20)*(PayDate&lt;=$AC20)*(PayDedList=U$2)*(PayDedValues))*OFFSET(Setup!$E$81,MATCH(U$5,CompListItem,0),0,1,1))-SUMIFS(OFFSET(U$6,1,0,PayCount,1),PayDate,"&lt;"&amp;$AC20,PayEmp,$C20),(MIN(IF(OFFSET(Setup!$G$81,MATCH(U$5,CompListItem,0),0,1,1)="Taxable",SUMPRODUCT((PayEmp=$C20)*(PayDate&lt;=$AC20)*(ISERROR(SEARCH(PayEarnCode,U$4)))*(PayEarnTax)*(PayEarnValues)),SUMPRODUCT((PayEmp=$C20)*(PayDate&lt;=$AC20)*(ISERROR(SEARCH(PayEarnCode,U$4)))*(PayEarnValues))),IF(ISNUMBER(U$3),U$3/12*$AA20,IgnoreMin)))*OFFSET(Setup!$E$81,MATCH(U$5,CompListItem,0),0,1,1)-SUMIFS(OFFSET(U$6,1,0,PayCount,1),PayDate,"&lt;"&amp;$AC20,PayEmp,$C20)))))))</f>
        <v>0</v>
      </c>
      <c r="V20" s="133" cm="1">
        <f t="array" aca="1" ref="V20" ca="1">IF($F20="Terminated",0,IF($AA20=0,0,IF(ISNA(MATCH(V$5,CompListItem,0)),0,IF(COUNTIFS(OverEmp,$C20,OverComp,V$5,OverDate,"&lt;"&amp;DATE(YEAR($AC20),MONTH($AC20)+1,1),OverEnd,"&gt;="&amp;DATE(YEAR($AC20),MONTH($AC20),1))&gt;0,SUMIFS(OverValue,OverEmp,$C20,OverComp,V$5,OverDate,"&lt;"&amp;DATE(YEAR($AC20),MONTH($AC20)+1,1),OverEnd,"&gt;="&amp;DATE(YEAR($AC20),MONTH($AC20),1)),IF(OR(V$2="Fixed",V$2="Not Used"),(OFFSET(Setup!$E$81,MATCH(V$5,CompListItem,0),0,1,1)*$AA20)-SUMIFS(OFFSET(V$6,1,0,PayCount,1),PayDate,"&lt;"&amp;$AC20,PayEmp,$C20),IF(ISNA(MATCH(V$2,DedListItem,0))=FALSE,(SUMPRODUCT((PayEmp=$C20)*(PayDate&lt;=$AC20)*(PayDedList=V$2)*(PayDedValues))*OFFSET(Setup!$E$81,MATCH(V$5,CompListItem,0),0,1,1))-SUMIFS(OFFSET(V$6,1,0,PayCount,1),PayDate,"&lt;"&amp;$AC20,PayEmp,$C20),(MIN(IF(OFFSET(Setup!$G$81,MATCH(V$5,CompListItem,0),0,1,1)="Taxable",SUMPRODUCT((PayEmp=$C20)*(PayDate&lt;=$AC20)*(ISERROR(SEARCH(PayEarnCode,V$4)))*(PayEarnTax)*(PayEarnValues)),SUMPRODUCT((PayEmp=$C20)*(PayDate&lt;=$AC20)*(ISERROR(SEARCH(PayEarnCode,V$4)))*(PayEarnValues))),IF(ISNUMBER(V$3),V$3/12*$AA20,IgnoreMin)))*OFFSET(Setup!$E$81,MATCH(V$5,CompListItem,0),0,1,1)-SUMIFS(OFFSET(V$6,1,0,PayCount,1),PayDate,"&lt;"&amp;$AC20,PayEmp,$C20)))))))</f>
        <v>0</v>
      </c>
      <c r="W20" s="133" cm="1">
        <f t="array" aca="1" ref="W20" ca="1">IF($F20="Terminated",0,IF($AA20=0,0,IF(ISNA(MATCH(W$5,CompListItem,0)),0,IF(COUNTIFS(OverEmp,$C20,OverComp,W$5,OverDate,"&lt;"&amp;DATE(YEAR($AC20),MONTH($AC20)+1,1),OverEnd,"&gt;="&amp;DATE(YEAR($AC20),MONTH($AC20),1))&gt;0,SUMIFS(OverValue,OverEmp,$C20,OverComp,W$5,OverDate,"&lt;"&amp;DATE(YEAR($AC20),MONTH($AC20)+1,1),OverEnd,"&gt;="&amp;DATE(YEAR($AC20),MONTH($AC20),1)),IF(OR(W$2="Fixed",W$2="Not Used"),(OFFSET(Setup!$E$81,MATCH(W$5,CompListItem,0),0,1,1)*$AA20)-SUMIFS(OFFSET(W$6,1,0,PayCount,1),PayDate,"&lt;"&amp;$AC20,PayEmp,$C20),IF(ISNA(MATCH(W$2,DedListItem,0))=FALSE,(SUMPRODUCT((PayEmp=$C20)*(PayDate&lt;=$AC20)*(PayDedList=W$2)*(PayDedValues))*OFFSET(Setup!$E$81,MATCH(W$5,CompListItem,0),0,1,1))-SUMIFS(OFFSET(W$6,1,0,PayCount,1),PayDate,"&lt;"&amp;$AC20,PayEmp,$C20),(MIN(IF(OFFSET(Setup!$G$81,MATCH(W$5,CompListItem,0),0,1,1)="Taxable",SUMPRODUCT((PayEmp=$C20)*(PayDate&lt;=$AC20)*(ISERROR(SEARCH(PayEarnCode,W$4)))*(PayEarnTax)*(PayEarnValues)),SUMPRODUCT((PayEmp=$C20)*(PayDate&lt;=$AC20)*(ISERROR(SEARCH(PayEarnCode,W$4)))*(PayEarnValues))),IF(ISNUMBER(W$3),W$3/12*$AA20,IgnoreMin)))*OFFSET(Setup!$E$81,MATCH(W$5,CompListItem,0),0,1,1)-SUMIFS(OFFSET(W$6,1,0,PayCount,1),PayDate,"&lt;"&amp;$AC20,PayEmp,$C20)))))))</f>
        <v>0</v>
      </c>
      <c r="X20" s="185">
        <f t="shared" ca="1" si="3"/>
        <v>0</v>
      </c>
      <c r="Y20" s="139">
        <f t="shared" ca="1" si="4"/>
        <v>0</v>
      </c>
      <c r="Z20" s="139">
        <f t="shared" ca="1" si="5"/>
        <v>0</v>
      </c>
      <c r="AA20" s="146">
        <f ca="1">IF(OR($B20&lt;=Setup!$E$12,$B20&gt;=Setup!$D$12+1),0,IF($F20&lt;&gt;"Active",0,IF($AE20="Yes",$AB20,((YEAR($AC20)*12)+MONTH($AC20))-((YEAR($AD20)*12)+MONTH($AD20)-1))))</f>
        <v>0</v>
      </c>
      <c r="AB20" s="146">
        <f ca="1">IF(OR($B20&lt;=Setup!$E$12,$B20&gt;=Setup!$D$12+1),0,((YEAR($AC20)*12)+MONTH($AC20))-((YEAR(Setup!$E$12)*12)+MONTH(Setup!$E$12)))</f>
        <v>1</v>
      </c>
      <c r="AC20" s="186">
        <f t="shared" ca="1" si="6"/>
        <v>45010</v>
      </c>
      <c r="AD20" s="144">
        <f ca="1">IF(ISNA(VLOOKUP($C20,EmpAll,COLUMN(Emp!$E$4),0)),$AC20,IF(VLOOKUP($C20,EmpAll,COLUMN(Emp!$E$4),0)&lt;=Setup!$E$12,DATE(YEAR(Setup!$E$12),MONTH(Setup!$E$12)+1,1),VLOOKUP($C20,EmpAll,COLUMN(Emp!$E$4),0)))</f>
        <v>45102</v>
      </c>
      <c r="AE20" s="144" t="str">
        <f ca="1">IF(ISNA(VLOOKUP($C20,EmpAll,COLUMN(Emp!$G$1),0)),"-",IF(VLOOKUP($C20,EmpAll,COLUMN(Emp!$G$1),0)=0,"-",VLOOKUP($C20,EmpAll,COLUMN(Emp!$G$1),0)))</f>
        <v>-</v>
      </c>
      <c r="AF20" s="145">
        <f ca="1">IF(A20=PaySlip!$G$3,1,0)</f>
        <v>0</v>
      </c>
      <c r="AG20" s="130" cm="1">
        <f t="array" aca="1" ref="AG20" ca="1">IF(COUNTIFS(OverEmp,$C20,OverMed,"MED",OverDate,"&lt;"&amp;DATE(YEAR($AC20),MONTH($AC20)+1,1),OverEnd,"&gt;="&amp;DATE(YEAR($AC20),MONTH($AC20),1))&gt;0,SUMIFS(OverValue,OverEmp,$C20,OverMed,"MED",OverDate,"&lt;"&amp;DATE(YEAR($AC20),MONTH($AC20)+1,1),OverEnd,"&gt;="&amp;DATE(YEAR($AC20),MONTH($AC20),1)),IF(ISNA(VLOOKUP($C20,EmpAll,COLUMN(Emp!$N$4),0)),0,VLOOKUP($C20,EmpAll,COLUMN(Emp!$N$4),0)))</f>
        <v>0</v>
      </c>
      <c r="AH20" s="146">
        <f ca="1">VLOOKUP($AG20,MedList,COLUMN(Setup!$C$49),1)</f>
        <v>0</v>
      </c>
      <c r="AI20" s="146">
        <f t="shared" ca="1" si="7"/>
        <v>0</v>
      </c>
      <c r="AJ20" s="101" t="str">
        <f ca="1">IF(ISNA(VLOOKUP($C20,EmpAll,COLUMN(Emp!$L$4),0)),"None!",VLOOKUP($C20,EmpAll,COLUMN(Emp!$L$4),0))</f>
        <v>A</v>
      </c>
      <c r="AK20" s="147">
        <f t="shared" ca="1" si="8"/>
        <v>17235</v>
      </c>
      <c r="AL20" s="101" t="str">
        <f ca="1">IF(ISNA(VLOOKUP($C20,Employees[],COLUMN(Emp!$M$4),0))=TRUE,"Error!",IF(VLOOKUP($C20,Employees[],COLUMN(Emp!$M$4),0)=0,"Yes",VLOOKUP($C20,Employees[],COLUMN(Emp!$M$4),0)))</f>
        <v>A</v>
      </c>
      <c r="AM20" s="148">
        <f t="shared" ca="1" si="9"/>
        <v>0</v>
      </c>
      <c r="AN20" s="148" cm="1">
        <f t="array" aca="1" ref="AN20" ca="1">-IF($F20="Terminated",0,IF($AA20=0,0,IF(ISNA(MATCH(AN$5,PayDedList,0)),0,MIN(IF(COUNTIFS(OverEmp,$C20,OverDeduct,AN$5,OverDate,"&lt;"&amp;DATE(YEAR($AC20),MONTH($AC20)+1,1),OverEnd,"&gt;="&amp;DATE(YEAR($AC20),MONTH($AC20),1))&gt;0,SUMPRODUCT((PayEmp=$C20)*(PayDate&lt;=$AC20)*(OFFSET($N$6,1,MATCH(AN$5,PayDedList,0)-1,PayCount,1)))/$AA20*12*AN$3,IF(OR(AN$1="Fixed",AN$1="Not Used"),SUMPRODUCT((PayEmp=$C20)*(PayDate&lt;=$AC20)*(OFFSET($N$6,1,MATCH(AN$5,PayDedList,0)-1,PayCount,1)))/$AA20*12*AN$3,IF(ISNA(MATCH(AN$1,EarnListItem,0))=FALSE,SUMPRODUCT((PayEmp=$C20)*(PayDate&lt;=$AC20)*(OFFSET($N$6,1,MATCH(AN$5,PayDedList,0)-1,PayCount,1)))/$AA20*12*AN$3,(MIN(((SUMPRODUCT((PayEmp=$C20)*(PayDate&lt;=$AC20)*(ISERROR(SEARCH(PayEarnCode,AN$2)))*(PayEarnType="Monthly")*(PayEarnValues))/$AA20*12)+(SUMPRODUCT((PayEmp=$C20)*(PayDate&lt;=$AC20)*(ISERROR(SEARCH(PayEarnCode,AN$2)))*(PayEarnType="Quarterly")*(PayEarnValues))/MAX(1,ROUNDDOWN($AB20/3,0))*4)+(SUMPRODUCT((PayEmp=$C20)*(PayDate&lt;=$AC20)*(ISERROR(SEARCH(PayEarnCode,AN$2)))*(PayEarnType="Bi-Annual")*(PayEarnValues))/MAX(1,ROUNDDOWN($AB20/6,0))*2)+(SUMPRODUCT((PayEmp=$C20)*(PayDate&lt;=$AC20)*(ISERROR(SEARCH(PayEarnCode,AN$2)))*(PayEarnType="Annual")*(PayEarnValues)))),IF(ISNUMBER(OFFSET($N$3,0,MATCH(AN$5,PayDedList,0)-1,1,1)),OFFSET($N$3,0,MATCH(AN$5,PayDedList,0)-1,1,1),IgnoreMin)))*IF(COUNTIFS(EmpNo,$C20,OFFSET(Emp!$R$4,1,MATCH(AN$5,DedListItem,0)-1,EmpCount,1),"&lt;&gt;")&gt;0,VLOOKUP($C20,EmpAll,COLUMN(Emp!$R$4)+MATCH(AN$5,DedListItem,0)-1,0),OFFSET(Setup!$E$73,MATCH(AN$5,DedListItem,0),0,1,1))*AN$3))),IF(ISNUMBER(AN$4),AN$4,IgnoreMin)))))</f>
        <v>0</v>
      </c>
      <c r="AO20" s="148" cm="1">
        <f t="array" aca="1" ref="AO20" ca="1">-IF($F20="Terminated",0,IF($AA20=0,0,IF(ISNA(MATCH(AO$5,PayDedList,0)),0,MIN(IF(COUNTIFS(OverEmp,$C20,OverDeduct,AO$5,OverDate,"&lt;"&amp;DATE(YEAR($AC20),MONTH($AC20)+1,1),OverEnd,"&gt;="&amp;DATE(YEAR($AC20),MONTH($AC20),1))&gt;0,SUMPRODUCT((PayEmp=$C20)*(PayDate&lt;=$AC20)*(OFFSET($N$6,1,MATCH(AO$5,PayDedList,0)-1,PayCount,1)))/$AA20*12*AO$3,IF(OR(AO$1="Fixed",AO$1="Not Used"),SUMPRODUCT((PayEmp=$C20)*(PayDate&lt;=$AC20)*(OFFSET($N$6,1,MATCH(AO$5,PayDedList,0)-1,PayCount,1)))/$AA20*12*AO$3,IF(ISNA(MATCH(AO$1,EarnListItem,0))=FALSE,SUMPRODUCT((PayEmp=$C20)*(PayDate&lt;=$AC20)*(OFFSET($N$6,1,MATCH(AO$5,PayDedList,0)-1,PayCount,1)))/$AA20*12*AO$3,(MIN(((SUMPRODUCT((PayEmp=$C20)*(PayDate&lt;=$AC20)*(ISERROR(SEARCH(PayEarnCode,AO$2)))*(PayEarnType="Monthly")*(PayEarnValues))/$AA20*12)+(SUMPRODUCT((PayEmp=$C20)*(PayDate&lt;=$AC20)*(ISERROR(SEARCH(PayEarnCode,AO$2)))*(PayEarnType="Quarterly")*(PayEarnValues))/MAX(1,ROUNDDOWN($AB20/3,0))*4)+(SUMPRODUCT((PayEmp=$C20)*(PayDate&lt;=$AC20)*(ISERROR(SEARCH(PayEarnCode,AO$2)))*(PayEarnType="Bi-Annual")*(PayEarnValues))/MAX(1,ROUNDDOWN($AB20/6,0))*2)+(SUMPRODUCT((PayEmp=$C20)*(PayDate&lt;=$AC20)*(ISERROR(SEARCH(PayEarnCode,AO$2)))*(PayEarnType="Annual")*(PayEarnValues)))),IF(ISNUMBER(OFFSET($N$3,0,MATCH(AO$5,PayDedList,0)-1,1,1)),OFFSET($N$3,0,MATCH(AO$5,PayDedList,0)-1,1,1),IgnoreMin)))*IF(COUNTIFS(EmpNo,$C20,OFFSET(Emp!$R$4,1,MATCH(AO$5,DedListItem,0)-1,EmpCount,1),"&lt;&gt;")&gt;0,VLOOKUP($C20,EmpAll,COLUMN(Emp!$R$4)+MATCH(AO$5,DedListItem,0)-1,0),OFFSET(Setup!$E$73,MATCH(AO$5,DedListItem,0),0,1,1))*AO$3))),IF(ISNUMBER(AO$4),AO$4,IgnoreMin)))))</f>
        <v>0</v>
      </c>
      <c r="AP20" s="148" cm="1">
        <f t="array" aca="1" ref="AP20" ca="1">-IF($F20="Terminated",0,IF($AA20=0,0,IF(ISNA(MATCH(AP$5,PayDedList,0)),0,MIN(IF(COUNTIFS(OverEmp,$C20,OverDeduct,AP$5,OverDate,"&lt;"&amp;DATE(YEAR($AC20),MONTH($AC20)+1,1),OverEnd,"&gt;="&amp;DATE(YEAR($AC20),MONTH($AC20),1))&gt;0,SUMPRODUCT((PayEmp=$C20)*(PayDate&lt;=$AC20)*(OFFSET($N$6,1,MATCH(AP$5,PayDedList,0)-1,PayCount,1)))/$AA20*12*AP$3,IF(OR(AP$1="Fixed",AP$1="Not Used"),SUMPRODUCT((PayEmp=$C20)*(PayDate&lt;=$AC20)*(OFFSET($N$6,1,MATCH(AP$5,PayDedList,0)-1,PayCount,1)))/$AA20*12*AP$3,IF(ISNA(MATCH(AP$1,EarnListItem,0))=FALSE,SUMPRODUCT((PayEmp=$C20)*(PayDate&lt;=$AC20)*(OFFSET($N$6,1,MATCH(AP$5,PayDedList,0)-1,PayCount,1)))/$AA20*12*AP$3,(MIN(((SUMPRODUCT((PayEmp=$C20)*(PayDate&lt;=$AC20)*(ISERROR(SEARCH(PayEarnCode,AP$2)))*(PayEarnType="Monthly")*(PayEarnValues))/$AA20*12)+(SUMPRODUCT((PayEmp=$C20)*(PayDate&lt;=$AC20)*(ISERROR(SEARCH(PayEarnCode,AP$2)))*(PayEarnType="Quarterly")*(PayEarnValues))/MAX(1,ROUNDDOWN($AB20/3,0))*4)+(SUMPRODUCT((PayEmp=$C20)*(PayDate&lt;=$AC20)*(ISERROR(SEARCH(PayEarnCode,AP$2)))*(PayEarnType="Bi-Annual")*(PayEarnValues))/MAX(1,ROUNDDOWN($AB20/6,0))*2)+(SUMPRODUCT((PayEmp=$C20)*(PayDate&lt;=$AC20)*(ISERROR(SEARCH(PayEarnCode,AP$2)))*(PayEarnType="Annual")*(PayEarnValues)))),IF(ISNUMBER(OFFSET($N$3,0,MATCH(AP$5,PayDedList,0)-1,1,1)),OFFSET($N$3,0,MATCH(AP$5,PayDedList,0)-1,1,1),IgnoreMin)))*IF(COUNTIFS(EmpNo,$C20,OFFSET(Emp!$R$4,1,MATCH(AP$5,DedListItem,0)-1,EmpCount,1),"&lt;&gt;")&gt;0,VLOOKUP($C20,EmpAll,COLUMN(Emp!$R$4)+MATCH(AP$5,DedListItem,0)-1,0),OFFSET(Setup!$E$73,MATCH(AP$5,DedListItem,0),0,1,1))*AP$3))),IF(ISNUMBER(AP$4),AP$4,IgnoreMin)))))</f>
        <v>0</v>
      </c>
      <c r="AQ20" s="148" cm="1">
        <f t="array" aca="1" ref="AQ20" ca="1">-IF($F20="Terminated",0,IF($AA20=0,0,IF(ISNA(MATCH(AQ$5,PayDedList,0)),0,MIN(IF(COUNTIFS(OverEmp,$C20,OverDeduct,AQ$5,OverDate,"&lt;"&amp;DATE(YEAR($AC20),MONTH($AC20)+1,1),OverEnd,"&gt;="&amp;DATE(YEAR($AC20),MONTH($AC20),1))&gt;0,SUMPRODUCT((PayEmp=$C20)*(PayDate&lt;=$AC20)*(OFFSET($N$6,1,MATCH(AQ$5,PayDedList,0)-1,PayCount,1)))/$AA20*12*AQ$3,IF(OR(AQ$1="Fixed",AQ$1="Not Used"),SUMPRODUCT((PayEmp=$C20)*(PayDate&lt;=$AC20)*(OFFSET($N$6,1,MATCH(AQ$5,PayDedList,0)-1,PayCount,1)))/$AA20*12*AQ$3,IF(ISNA(MATCH(AQ$1,EarnListItem,0))=FALSE,SUMPRODUCT((PayEmp=$C20)*(PayDate&lt;=$AC20)*(OFFSET($N$6,1,MATCH(AQ$5,PayDedList,0)-1,PayCount,1)))/$AA20*12*AQ$3,(MIN(((SUMPRODUCT((PayEmp=$C20)*(PayDate&lt;=$AC20)*(ISERROR(SEARCH(PayEarnCode,AQ$2)))*(PayEarnType="Monthly")*(PayEarnValues))/$AA20*12)+(SUMPRODUCT((PayEmp=$C20)*(PayDate&lt;=$AC20)*(ISERROR(SEARCH(PayEarnCode,AQ$2)))*(PayEarnType="Quarterly")*(PayEarnValues))/MAX(1,ROUNDDOWN($AB20/3,0))*4)+(SUMPRODUCT((PayEmp=$C20)*(PayDate&lt;=$AC20)*(ISERROR(SEARCH(PayEarnCode,AQ$2)))*(PayEarnType="Bi-Annual")*(PayEarnValues))/MAX(1,ROUNDDOWN($AB20/6,0))*2)+(SUMPRODUCT((PayEmp=$C20)*(PayDate&lt;=$AC20)*(ISERROR(SEARCH(PayEarnCode,AQ$2)))*(PayEarnType="Annual")*(PayEarnValues)))),IF(ISNUMBER(OFFSET($N$3,0,MATCH(AQ$5,PayDedList,0)-1,1,1)),OFFSET($N$3,0,MATCH(AQ$5,PayDedList,0)-1,1,1),IgnoreMin)))*IF(COUNTIFS(EmpNo,$C20,OFFSET(Emp!$R$4,1,MATCH(AQ$5,DedListItem,0)-1,EmpCount,1),"&lt;&gt;")&gt;0,VLOOKUP($C20,EmpAll,COLUMN(Emp!$R$4)+MATCH(AQ$5,DedListItem,0)-1,0),OFFSET(Setup!$E$73,MATCH(AQ$5,DedListItem,0),0,1,1))*AQ$3))),IF(ISNUMBER(AQ$4),AQ$4,IgnoreMin)))))</f>
        <v>0</v>
      </c>
      <c r="AR20" s="148">
        <f t="shared" ca="1" si="10"/>
        <v>0</v>
      </c>
      <c r="AS20" s="148">
        <f t="shared" ca="1" si="11"/>
        <v>0</v>
      </c>
      <c r="AT20" s="148" cm="1">
        <f t="array" aca="1" ref="AT20" ca="1">-IF($F20="Terminated",0,IF($AA20=0,0,IF(ISNA(MATCH(AT$5,PayDedList,0)),0,MIN(IF(COUNTIFS(OverEmp,$C20,OverDeduct,AT$5,OverDate,"&lt;"&amp;DATE(YEAR($AC20),MONTH($AC20)+1,1),OverEnd,"&gt;="&amp;DATE(YEAR($AC20),MONTH($AC20),1))&gt;0,SUMPRODUCT((PayEmp=$C20)*(PayDate&lt;=$AC20)*(OFFSET($N$6,1,MATCH(AT$5,PayDedList,0)-1,PayCount,1)))/$AA20*12*AT$3,IF(OR(AT$1="Fixed",AT$1="Not Used"),SUMPRODUCT((PayEmp=$C20)*(PayDate&lt;=$AC20)*(OFFSET($N$6,1,MATCH(AT$5,PayDedList,0)-1,PayCount,1)))/$AA20*12*AT$3,IF(ISNA(MATCH(OFFSET($N$2,0,MATCH(AT$5,PayDedList,0)-1,1,1),EarnListItem,0))=FALSE,SUMPRODUCT((PayEmp=$C20)*(PayDate&lt;=$AC20)*(OFFSET($N$6,1,MATCH(AT$5,PayDedList,0)-1,PayCount,1)))/$AA20*12*AT$3,(MIN(SUMPRODUCT((PayEmp=$C20)*(PayDate&lt;=$AC20)*(ISERROR(SEARCH(PayEarnCode,AT$2)))*(PayEarnType="Monthly")*(PayEarnValues))/$AA20*12,IF(ISNUMBER(OFFSET($N$3,0,MATCH(AT$5,PayDedList,0)-1,1,1)),OFFSET($N$3,0,MATCH(AT$5,PayDedList,0)-1,1,1),IgnoreMin)))*IF(COUNTIFS(EmpNo,$C20,OFFSET(Emp!$R$4,1,MATCH(AT$5,DedListItem,0)-1,EmpCount,1),"&lt;&gt;")&gt;0,VLOOKUP($C20,EmpAll,COLUMN(Emp!$R$4)+MATCH(AT$5,DedListItem,0)-1,0),OFFSET(Setup!$E$73,MATCH(AT$5,DedListItem,0),0,1,1))*AT$3))),IF(ISNUMBER(AT$4),AT$4,IgnoreMin)))))</f>
        <v>0</v>
      </c>
      <c r="AU20" s="148" cm="1">
        <f t="array" aca="1" ref="AU20" ca="1">-IF($F20="Terminated",0,IF($AA20=0,0,IF(ISNA(MATCH(AU$5,PayDedList,0)),0,MIN(IF(COUNTIFS(OverEmp,$C20,OverDeduct,AU$5,OverDate,"&lt;"&amp;DATE(YEAR($AC20),MONTH($AC20)+1,1),OverEnd,"&gt;="&amp;DATE(YEAR($AC20),MONTH($AC20),1))&gt;0,SUMPRODUCT((PayEmp=$C20)*(PayDate&lt;=$AC20)*(OFFSET($N$6,1,MATCH(AU$5,PayDedList,0)-1,PayCount,1)))/$AA20*12*AU$3,IF(OR(AU$1="Fixed",AU$1="Not Used"),SUMPRODUCT((PayEmp=$C20)*(PayDate&lt;=$AC20)*(OFFSET($N$6,1,MATCH(AU$5,PayDedList,0)-1,PayCount,1)))/$AA20*12*AU$3,IF(ISNA(MATCH(OFFSET($N$2,0,MATCH(AU$5,PayDedList,0)-1,1,1),EarnListItem,0))=FALSE,SUMPRODUCT((PayEmp=$C20)*(PayDate&lt;=$AC20)*(OFFSET($N$6,1,MATCH(AU$5,PayDedList,0)-1,PayCount,1)))/$AA20*12*AU$3,(MIN(SUMPRODUCT((PayEmp=$C20)*(PayDate&lt;=$AC20)*(ISERROR(SEARCH(PayEarnCode,AU$2)))*(PayEarnType="Monthly")*(PayEarnValues))/$AA20*12,IF(ISNUMBER(OFFSET($N$3,0,MATCH(AU$5,PayDedList,0)-1,1,1)),OFFSET($N$3,0,MATCH(AU$5,PayDedList,0)-1,1,1),IgnoreMin)))*IF(COUNTIFS(EmpNo,$C20,OFFSET(Emp!$R$4,1,MATCH(AU$5,DedListItem,0)-1,EmpCount,1),"&lt;&gt;")&gt;0,VLOOKUP($C20,EmpAll,COLUMN(Emp!$R$4)+MATCH(AU$5,DedListItem,0)-1,0),OFFSET(Setup!$E$73,MATCH(AU$5,DedListItem,0),0,1,1))*AU$3))),IF(ISNUMBER(AU$4),AU$4,IgnoreMin)))))</f>
        <v>0</v>
      </c>
      <c r="AV20" s="148" cm="1">
        <f t="array" aca="1" ref="AV20" ca="1">-IF($F20="Terminated",0,IF($AA20=0,0,IF(ISNA(MATCH(AV$5,PayDedList,0)),0,MIN(IF(COUNTIFS(OverEmp,$C20,OverDeduct,AV$5,OverDate,"&lt;"&amp;DATE(YEAR($AC20),MONTH($AC20)+1,1),OverEnd,"&gt;="&amp;DATE(YEAR($AC20),MONTH($AC20),1))&gt;0,SUMPRODUCT((PayEmp=$C20)*(PayDate&lt;=$AC20)*(OFFSET($N$6,1,MATCH(AV$5,PayDedList,0)-1,PayCount,1)))/$AA20*12*AV$3,IF(OR(AV$1="Fixed",AV$1="Not Used"),SUMPRODUCT((PayEmp=$C20)*(PayDate&lt;=$AC20)*(OFFSET($N$6,1,MATCH(AV$5,PayDedList,0)-1,PayCount,1)))/$AA20*12*AV$3,IF(ISNA(MATCH(OFFSET($N$2,0,MATCH(AV$5,PayDedList,0)-1,1,1),EarnListItem,0))=FALSE,SUMPRODUCT((PayEmp=$C20)*(PayDate&lt;=$AC20)*(OFFSET($N$6,1,MATCH(AV$5,PayDedList,0)-1,PayCount,1)))/$AA20*12*AV$3,(MIN(SUMPRODUCT((PayEmp=$C20)*(PayDate&lt;=$AC20)*(ISERROR(SEARCH(PayEarnCode,AV$2)))*(PayEarnType="Monthly")*(PayEarnValues))/$AA20*12,IF(ISNUMBER(OFFSET($N$3,0,MATCH(AV$5,PayDedList,0)-1,1,1)),OFFSET($N$3,0,MATCH(AV$5,PayDedList,0)-1,1,1),IgnoreMin)))*IF(COUNTIFS(EmpNo,$C20,OFFSET(Emp!$R$4,1,MATCH(AV$5,DedListItem,0)-1,EmpCount,1),"&lt;&gt;")&gt;0,VLOOKUP($C20,EmpAll,COLUMN(Emp!$R$4)+MATCH(AV$5,DedListItem,0)-1,0),OFFSET(Setup!$E$73,MATCH(AV$5,DedListItem,0),0,1,1))*AV$3))),IF(ISNUMBER(AV$4),AV$4,IgnoreMin)))))</f>
        <v>0</v>
      </c>
      <c r="AW20" s="148" cm="1">
        <f t="array" aca="1" ref="AW20" ca="1">-IF($F20="Terminated",0,IF($AA20=0,0,IF(ISNA(MATCH(AW$5,PayDedList,0)),0,MIN(IF(COUNTIFS(OverEmp,$C20,OverDeduct,AW$5,OverDate,"&lt;"&amp;DATE(YEAR($AC20),MONTH($AC20)+1,1),OverEnd,"&gt;="&amp;DATE(YEAR($AC20),MONTH($AC20),1))&gt;0,SUMPRODUCT((PayEmp=$C20)*(PayDate&lt;=$AC20)*(OFFSET($N$6,1,MATCH(AW$5,PayDedList,0)-1,PayCount,1)))/$AA20*12*AW$3,IF(OR(AW$1="Fixed",AW$1="Not Used"),SUMPRODUCT((PayEmp=$C20)*(PayDate&lt;=$AC20)*(OFFSET($N$6,1,MATCH(AW$5,PayDedList,0)-1,PayCount,1)))/$AA20*12*AW$3,IF(ISNA(MATCH(OFFSET($N$2,0,MATCH(AW$5,PayDedList,0)-1,1,1),EarnListItem,0))=FALSE,SUMPRODUCT((PayEmp=$C20)*(PayDate&lt;=$AC20)*(OFFSET($N$6,1,MATCH(AW$5,PayDedList,0)-1,PayCount,1)))/$AA20*12*AW$3,(MIN(SUMPRODUCT((PayEmp=$C20)*(PayDate&lt;=$AC20)*(ISERROR(SEARCH(PayEarnCode,AW$2)))*(PayEarnType="Monthly")*(PayEarnValues))/$AA20*12,IF(ISNUMBER(OFFSET($N$3,0,MATCH(AW$5,PayDedList,0)-1,1,1)),OFFSET($N$3,0,MATCH(AW$5,PayDedList,0)-1,1,1),IgnoreMin)))*IF(COUNTIFS(EmpNo,$C20,OFFSET(Emp!$R$4,1,MATCH(AW$5,DedListItem,0)-1,EmpCount,1),"&lt;&gt;")&gt;0,VLOOKUP($C20,EmpAll,COLUMN(Emp!$R$4)+MATCH(AW$5,DedListItem,0)-1,0),OFFSET(Setup!$E$73,MATCH(AW$5,DedListItem,0),0,1,1))*AW$3))),IF(ISNUMBER(AW$4),AW$4,IgnoreMin)))))</f>
        <v>0</v>
      </c>
      <c r="AX20" s="148">
        <f t="shared" ca="1" si="12"/>
        <v>0</v>
      </c>
      <c r="AY20" s="148">
        <f t="shared" ca="1" si="13"/>
        <v>0</v>
      </c>
      <c r="AZ20" s="148">
        <f ca="1">IF(ISNUMBER($AL20),($AR20*$AL20)-$AI20-$AK20,MAX(0,IF($AL20="B",IF($AR20&lt;Setup!$C$32,($AR20*Setup!$D$32)-$AI20-$AK20,(($AR20-VLOOKUP($AR20,TaxAll2,1,1))*OFFSET(Setup!$D$32,MATCH($AR20,TaxBracket2,1),0,1,1))+OFFSET(Setup!$E$31,MATCH($AR20,TaxBracket2,1),0,1,1)-$AI20-$AK20),IF($AR20&lt;Setup!$C$21,($AR20*Setup!$D$21)-$AI20-$AK20,(($AR20-VLOOKUP($AR20,TaxAll1,1,1))*OFFSET(Setup!$D$21,MATCH($AR20,TaxBracket1,1),0,1,1))+OFFSET(Setup!$E$20,MATCH($AR20,TaxBracket1,1),0,1,1)-$AI20-$AK20))))</f>
        <v>0</v>
      </c>
      <c r="BA20" s="148">
        <f ca="1">IF(ISNUMBER($AL20),($AX20*$AL20)-$AI20-$AK20,MAX(0,IF($AL20="B",IF($AX20&lt;Setup!$C$32,($AX20*Setup!$D$32)-$AI20-$AK20,(($AX20-VLOOKUP($AX20,TaxAll2,1,1))*OFFSET(Setup!$D$32,MATCH($AX20,TaxBracket2,1),0,1,1))+OFFSET(Setup!$E$31,MATCH($AX20,TaxBracket2,1),0,1,1)-$AI20-$AK20),IF($AX20&lt;Setup!$C$21,($AX20*Setup!$D$21)-$AI20-$AK20,(($AX20-VLOOKUP($AX20,TaxAll1,1,1))*OFFSET(Setup!$D$21,MATCH($AX20,TaxBracket1,1),0,1,1))+OFFSET(Setup!$E$20,MATCH($AX20,TaxBracket1,1),0,1,1)-$AI20-$AK20))))</f>
        <v>0</v>
      </c>
      <c r="BB20" s="148">
        <f t="shared" ca="1" si="14"/>
        <v>0</v>
      </c>
      <c r="BC20" s="150">
        <f t="shared" ca="1" si="15"/>
        <v>0</v>
      </c>
      <c r="BD20" s="150">
        <f t="shared" ca="1" si="16"/>
        <v>0</v>
      </c>
      <c r="BE20" s="148">
        <f t="shared" ca="1" si="17"/>
        <v>0</v>
      </c>
    </row>
    <row r="21" spans="1:57" ht="16.149999999999999" customHeight="1" x14ac:dyDescent="0.25">
      <c r="A21" s="10" t="str" cm="1">
        <f t="array" aca="1" ref="A21" ca="1">IF(ROW($A21)-ROW($A$6)&gt;EmpCount*12,"-",TEXT($B21,"yyyy")&amp;TEXT($B21,"mm")&amp;"-"&amp;$C21)</f>
        <v>202303-EXS015</v>
      </c>
      <c r="B21" s="137" cm="1">
        <f t="array" aca="1" ref="B21" ca="1">IF(ROW($A21)-ROW($A$6)&gt;EmpCount*12,Setup!$D$12,DATE(YEAR(Setup!$F$12),MONTH(Setup!$F$12)+ROUNDDOWN((ROW($A21)-ROW($A$6)-1)/EmpCount,0),IF(Setup!$C$14&gt;DAY(DATE(YEAR(Setup!$F$12),MONTH(Setup!$F$12)+ROUNDDOWN((ROW($A21)-ROW($A$6)-1)/EmpCount,0)+1,0)),DAY(DATE(YEAR(Setup!$F$12),MONTH(Setup!$F$12)+ROUNDDOWN((ROW($A21)-ROW($A$6)-1)/EmpCount,0)+1,0)),Setup!$C$14)))</f>
        <v>45010</v>
      </c>
      <c r="C21" s="101" t="str" cm="1">
        <f t="array" aca="1" ref="C21" ca="1">IF(ROW($A21)-ROW($A$6)&gt;EmpCount*12,"-",OFFSET(Emp!$A$4,ROW($A21)-ROW($A$6)-IF(ROW($A21)-ROW($A$6)&gt;EmpCount,ROUNDDOWN((ROW($A21)-ROW($A$6)-1)/EmpCount,0)*EmpCount,0),0,1,1))</f>
        <v>EXS015</v>
      </c>
      <c r="D21" s="10" t="str">
        <f ca="1">IF(ISNA(VLOOKUP($C21,EmpAll,COLUMN(Emp!$B$4),0)),"-",VLOOKUP($C21,EmpAll,COLUMN(Emp!$B$4),0))</f>
        <v>Graham L</v>
      </c>
      <c r="E21" s="145" t="str">
        <f ca="1">IF(ISNA(VLOOKUP($C21,EmpAll,COLUMN(Emp!$C$4),0)),"-",VLOOKUP($C21,EmpAll,COLUMN(Emp!$C$4),0))</f>
        <v>S</v>
      </c>
      <c r="F21" s="101" t="str">
        <f ca="1">IF(ISNA(VLOOKUP($C21,EmpAll,COLUMN(Emp!$A$4),0)),"-",IF(AND(VLOOKUP($C21,EmpAll,COLUMN(Emp!$E$4),0)&lt;&gt;0,VLOOKUP($C21,EmpAll,COLUMN(Emp!$E$4),0)&gt;=DATE(YEAR($AC21),MONTH($AC21)+1,0)),"Inactive",IF(AND(VLOOKUP($C21,EmpAll,COLUMN(Emp!$F$4),0)&lt;&gt;0,VLOOKUP($C21,EmpAll,COLUMN(Emp!$F$4),0)&lt;=DATE(YEAR($AC21),MONTH($AC21),0)),"Terminated","Active")))</f>
        <v>Inactive</v>
      </c>
      <c r="G21" s="133" cm="1">
        <f t="array" aca="1" ref="G21" ca="1">IF($F21&lt;&gt;"Active",0,IF(COUNTIFS(OverEmp,$C21,OverEarn,G$2,OverDate,"&lt;"&amp;DATE(YEAR($AC21),MONTH($AC21)+1,1),OverEnd,"&gt;="&amp;DATE(YEAR($AC21),MONTH($AC21),1))&gt;0,SUMIFS(OverValue,OverEmp,$C21,OverEarn,G$2,OverDate,"&lt;"&amp;DATE(YEAR($AC21),MONTH($AC21)+1,1),OverEnd,"&gt;="&amp;DATE(YEAR($AC21),MONTH($AC21),1)),IF(AND($AC21&gt;=Setup!$E$10,SUMIFS(EmpIncrease,EmpCode,$C21)&gt;0),SUMIFS(EmpIncrease,EmpCode,$C21),SUMIFS(EmpSalary,EmpCode,$C21))))</f>
        <v>0</v>
      </c>
      <c r="H21" s="133" cm="1">
        <f t="array" aca="1" ref="H21" ca="1">IF($F21&lt;&gt;"Active",0,IF(COUNTIFS(OverEmp,$C21,OverEarn,H$2,OverDate,"&lt;"&amp;DATE(YEAR($AC21),MONTH($AC21)+1,1),OverEnd,"&gt;="&amp;DATE(YEAR($AC21),MONTH($AC21),1))&gt;0,SUMIFS(OverValue,OverEmp,$C21,OverEarn,H$2,OverDate,"&lt;"&amp;DATE(YEAR($AC21),MONTH($AC21)+1,1),OverEnd,"&gt;="&amp;DATE(YEAR($AC21),MONTH($AC21),1)),0))</f>
        <v>0</v>
      </c>
      <c r="I21" s="133" cm="1">
        <f t="array" aca="1" ref="I21" ca="1">IF($F21&lt;&gt;"Active",0,IF(COUNTIFS(OverEmp,$C21,OverEarn,I$2,OverDate,"&lt;"&amp;DATE(YEAR($AC21),MONTH($AC21)+1,1),OverEnd,"&gt;="&amp;DATE(YEAR($AC21),MONTH($AC21),1))&gt;0,SUMIFS(OverValue,OverEmp,$C21,OverEarn,I$2,OverDate,"&lt;"&amp;DATE(YEAR($AC21),MONTH($AC21)+1,1),OverEnd,"&gt;="&amp;DATE(YEAR($AC21),MONTH($AC21),1)),IF(MONTH(B21)=Setup!$C$15,SUMIFS(EmpBonus,EmpCode,$C21),0)))</f>
        <v>0</v>
      </c>
      <c r="J21" s="133" cm="1">
        <f t="array" aca="1" ref="J21" ca="1">IF($F21&lt;&gt;"Active",0,IF(COUNTIFS(OverEmp,$C21,OverEarn,J$2,OverDate,"&lt;"&amp;DATE(YEAR($AC21),MONTH($AC21)+1,1),OverEnd,"&gt;="&amp;DATE(YEAR($AC21),MONTH($AC21),1))&gt;0,SUMIFS(OverValue,OverEmp,$C21,OverEarn,J$2,OverDate,"&lt;"&amp;DATE(YEAR($AC21),MONTH($AC21)+1,1),OverEnd,"&gt;="&amp;DATE(YEAR($AC21),MONTH($AC21),1)),0))</f>
        <v>0</v>
      </c>
      <c r="K21" s="133" cm="1">
        <f t="array" aca="1" ref="K21" ca="1">IF($F21&lt;&gt;"Active",0,IF(COUNTIFS(OverEmp,$C21,OverEarn,K$2,OverDate,"&lt;"&amp;DATE(YEAR($AC21),MONTH($AC21)+1,1),OverEnd,"&gt;="&amp;DATE(YEAR($AC21),MONTH($AC21),1))&gt;0,SUMIFS(OverValue,OverEmp,$C21,OverEarn,K$2,OverDate,"&lt;"&amp;DATE(YEAR($AC21),MONTH($AC21)+1,1),OverEnd,"&gt;="&amp;DATE(YEAR($AC21),MONTH($AC21),1)),0))</f>
        <v>0</v>
      </c>
      <c r="L21" s="185">
        <f t="shared" ca="1" si="0"/>
        <v>0</v>
      </c>
      <c r="M21" s="182" cm="1">
        <f t="array" aca="1" ref="M21" ca="1">IF(COUNTIFS(OverEmp,$C21,OverTax,M$5,OverDate,"&lt;"&amp;DATE(YEAR($AC21),MONTH($AC21)+1,1),OverEnd,"&gt;="&amp;DATE(YEAR($AC21),MONTH($AC21),1))&gt;0,SUMIFS(OverValue,OverEmp,$C21,OverTax,M$5,OverDate,"&lt;"&amp;DATE(YEAR($AC21),MONTH($AC21)+1,1),OverEnd,"&gt;="&amp;DATE(YEAR($AC21),MONTH($AC21),1)),(($BA21/12*$AA21)+(BB21*IF(1-$BC21=0,0,BD21/(1-$BC21))))-IF($F21="Terminated",0,SUMIFS(PayTaxDeduct,PayDate,"&lt;"&amp;$AC21,PayEmp,$C21)))</f>
        <v>0</v>
      </c>
      <c r="N21" s="133" cm="1">
        <f t="array" aca="1" ref="N21" ca="1">IF($F21="Terminated",0,IF($AA21=0,0,IF(ISNA(MATCH(N$5,DedListItem,0)),0,IF(COUNTIFS(OverEmp,$C21,OverDeduct,N$5,OverDate,"&lt;"&amp;DATE(YEAR($AC21),MONTH($AC21)+1,1),OverEnd,"&gt;="&amp;DATE(YEAR($AC21),MONTH($AC21),1))&gt;0,SUMIFS(OverValue,OverEmp,$C21,OverDeduct,N$5,OverDate,"&lt;"&amp;DATE(YEAR($AC21),MONTH($AC21)+1,1),OverEnd,"&gt;="&amp;DATE(YEAR($AC21),MONTH($AC21),1)),IF(OR(N$2="Fixed",N$2="Not Used"),(IF(COUNTIFS(EmpNo,$C21,OFFSET(Emp!$R$4,1,MATCH(N$5,DedListItem,0)-1,EmpCount,1),"&lt;&gt;")&gt;0,VLOOKUP($C21,EmpAll,COLUMN(Emp!$R$4)+MATCH(N$5,DedListItem,0)-1,0),OFFSET(Setup!$E$73,MATCH(N$5,DedListItem,0),0,1,1))*$AA21)-SUMIFS(OFFSET(N$6,1,0,PayCount,1),PayDate,"&lt;"&amp;$AC21,PayEmp,$C21),IF(ISNA(MATCH(N$2,EarnListItem,0))=FALSE,IF(OFFSET(Setup!$G$73,MATCH(N$5,DedListItem,0),0,1,1)="Taxable",SUMPRODUCT((PayEmp=$C21)*(PayDate&lt;=$AC21)*(PayEarnCode=N$2)*(PayEarnTax)*(PayEarnValues)),SUMPRODUCT((PayEmp=$C21)*(PayDate&lt;=$AC21)*(PayEarnCode=N$2)*(PayEarnValues)))*IF(COUNTIFS(EmpNo,$C21,OFFSET(Emp!$R$4,1,MATCH(N$5,DedListItem,0)-1,EmpCount,1),"&lt;&gt;")&gt;0,VLOOKUP($C21,EmpAll,COLUMN(Emp!$R$4)+MATCH(N$5,DedListItem,0)-1,0),OFFSET(Setup!$E$73,MATCH(N$5,DedListItem,0),0,1,1)),(MIN(IF(OFFSET(Setup!$G$73,MATCH(N$5,DedListItem,0),0,1,1)="Taxable",SUMPRODUCT((PayEmp=$C21)*(PayDate&lt;=$AC21)*(ISERROR(SEARCH(PayEarnCode,N$4)))*(PayEarnTax)*(PayEarnValues)),SUMPRODUCT((PayEmp=$C21)*(PayDate&lt;=$AC21)*(ISERROR(SEARCH(PayEarnCode,N$4)))*(PayEarnValues))),IF(ISNUMBER(N$3),N$3/12*$AA21,IgnoreMin)))*IF(COUNTIFS(EmpNo,$C21,OFFSET(Emp!$R$4,1,MATCH(N$5,DedListItem,0)-1,EmpCount,1),"&lt;&gt;")&gt;0,VLOOKUP($C21,EmpAll,COLUMN(Emp!$R$4)+MATCH(N$5,DedListItem,0)-1,0),OFFSET(Setup!$E$73,MATCH(N$5,DedListItem,0),0,1,1)))-SUMIFS(OFFSET(N$6,1,0,PayCount,1),PayDate,"&lt;"&amp;$AC21,PayEmp,$C21))))))</f>
        <v>0</v>
      </c>
      <c r="O21" s="133" cm="1">
        <f t="array" aca="1" ref="O21" ca="1">IF($F21="Terminated",0,IF($AA21=0,0,IF(ISNA(MATCH(O$5,DedListItem,0)),0,IF(COUNTIFS(OverEmp,$C21,OverDeduct,O$5,OverDate,"&lt;"&amp;DATE(YEAR($AC21),MONTH($AC21)+1,1),OverEnd,"&gt;="&amp;DATE(YEAR($AC21),MONTH($AC21),1))&gt;0,SUMIFS(OverValue,OverEmp,$C21,OverDeduct,O$5,OverDate,"&lt;"&amp;DATE(YEAR($AC21),MONTH($AC21)+1,1),OverEnd,"&gt;="&amp;DATE(YEAR($AC21),MONTH($AC21),1)),IF(OR(O$2="Fixed",O$2="Not Used"),(IF(COUNTIFS(EmpNo,$C21,OFFSET(Emp!$R$4,1,MATCH(O$5,DedListItem,0)-1,EmpCount,1),"&lt;&gt;")&gt;0,VLOOKUP($C21,EmpAll,COLUMN(Emp!$R$4)+MATCH(O$5,DedListItem,0)-1,0),OFFSET(Setup!$E$73,MATCH(O$5,DedListItem,0),0,1,1))*$AA21)-SUMIFS(OFFSET(O$6,1,0,PayCount,1),PayDate,"&lt;"&amp;$AC21,PayEmp,$C21),IF(ISNA(MATCH(O$2,EarnListItem,0))=FALSE,IF(OFFSET(Setup!$G$73,MATCH(O$5,DedListItem,0),0,1,1)="Taxable",SUMPRODUCT((PayEmp=$C21)*(PayDate&lt;=$AC21)*(PayEarnCode=O$2)*(PayEarnTax)*(PayEarnValues)),SUMPRODUCT((PayEmp=$C21)*(PayDate&lt;=$AC21)*(PayEarnCode=O$2)*(PayEarnValues)))*IF(COUNTIFS(EmpNo,$C21,OFFSET(Emp!$R$4,1,MATCH(O$5,DedListItem,0)-1,EmpCount,1),"&lt;&gt;")&gt;0,VLOOKUP($C21,EmpAll,COLUMN(Emp!$R$4)+MATCH(O$5,DedListItem,0)-1,0),OFFSET(Setup!$E$73,MATCH(O$5,DedListItem,0),0,1,1)),(MIN(IF(OFFSET(Setup!$G$73,MATCH(O$5,DedListItem,0),0,1,1)="Taxable",SUMPRODUCT((PayEmp=$C21)*(PayDate&lt;=$AC21)*(ISERROR(SEARCH(PayEarnCode,O$4)))*(PayEarnTax)*(PayEarnValues)),SUMPRODUCT((PayEmp=$C21)*(PayDate&lt;=$AC21)*(ISERROR(SEARCH(PayEarnCode,O$4)))*(PayEarnValues))),IF(ISNUMBER(O$3),O$3/12*$AA21,IgnoreMin)))*IF(COUNTIFS(EmpNo,$C21,OFFSET(Emp!$R$4,1,MATCH(O$5,DedListItem,0)-1,EmpCount,1),"&lt;&gt;")&gt;0,VLOOKUP($C21,EmpAll,COLUMN(Emp!$R$4)+MATCH(O$5,DedListItem,0)-1,0),OFFSET(Setup!$E$73,MATCH(O$5,DedListItem,0),0,1,1)))-SUMIFS(OFFSET(O$6,1,0,PayCount,1),PayDate,"&lt;"&amp;$AC21,PayEmp,$C21))))))</f>
        <v>0</v>
      </c>
      <c r="P21" s="133" cm="1">
        <f t="array" aca="1" ref="P21" ca="1">IF($F21="Terminated",0,IF($AA21=0,0,IF(ISNA(MATCH(P$5,DedListItem,0)),0,IF(COUNTIFS(OverEmp,$C21,OverDeduct,P$5,OverDate,"&lt;"&amp;DATE(YEAR($AC21),MONTH($AC21)+1,1),OverEnd,"&gt;="&amp;DATE(YEAR($AC21),MONTH($AC21),1))&gt;0,SUMIFS(OverValue,OverEmp,$C21,OverDeduct,P$5,OverDate,"&lt;"&amp;DATE(YEAR($AC21),MONTH($AC21)+1,1),OverEnd,"&gt;="&amp;DATE(YEAR($AC21),MONTH($AC21),1)),IF(OR(P$2="Fixed",P$2="Not Used"),(IF(COUNTIFS(EmpNo,$C21,OFFSET(Emp!$R$4,1,MATCH(P$5,DedListItem,0)-1,EmpCount,1),"&lt;&gt;")&gt;0,VLOOKUP($C21,EmpAll,COLUMN(Emp!$R$4)+MATCH(P$5,DedListItem,0)-1,0),OFFSET(Setup!$E$73,MATCH(P$5,DedListItem,0),0,1,1))*$AA21)-SUMIFS(OFFSET(P$6,1,0,PayCount,1),PayDate,"&lt;"&amp;$AC21,PayEmp,$C21),IF(ISNA(MATCH(P$2,EarnListItem,0))=FALSE,IF(OFFSET(Setup!$G$73,MATCH(P$5,DedListItem,0),0,1,1)="Taxable",SUMPRODUCT((PayEmp=$C21)*(PayDate&lt;=$AC21)*(PayEarnCode=P$2)*(PayEarnTax)*(PayEarnValues)),SUMPRODUCT((PayEmp=$C21)*(PayDate&lt;=$AC21)*(PayEarnCode=P$2)*(PayEarnValues)))*IF(COUNTIFS(EmpNo,$C21,OFFSET(Emp!$R$4,1,MATCH(P$5,DedListItem,0)-1,EmpCount,1),"&lt;&gt;")&gt;0,VLOOKUP($C21,EmpAll,COLUMN(Emp!$R$4)+MATCH(P$5,DedListItem,0)-1,0),OFFSET(Setup!$E$73,MATCH(P$5,DedListItem,0),0,1,1)),(MIN(IF(OFFSET(Setup!$G$73,MATCH(P$5,DedListItem,0),0,1,1)="Taxable",SUMPRODUCT((PayEmp=$C21)*(PayDate&lt;=$AC21)*(ISERROR(SEARCH(PayEarnCode,P$4)))*(PayEarnTax)*(PayEarnValues)),SUMPRODUCT((PayEmp=$C21)*(PayDate&lt;=$AC21)*(ISERROR(SEARCH(PayEarnCode,P$4)))*(PayEarnValues))),IF(ISNUMBER(P$3),P$3/12*$AA21,IgnoreMin)))*IF(COUNTIFS(EmpNo,$C21,OFFSET(Emp!$R$4,1,MATCH(P$5,DedListItem,0)-1,EmpCount,1),"&lt;&gt;")&gt;0,VLOOKUP($C21,EmpAll,COLUMN(Emp!$R$4)+MATCH(P$5,DedListItem,0)-1,0),OFFSET(Setup!$E$73,MATCH(P$5,DedListItem,0),0,1,1)))-SUMIFS(OFFSET(P$6,1,0,PayCount,1),PayDate,"&lt;"&amp;$AC21,PayEmp,$C21))))))</f>
        <v>0</v>
      </c>
      <c r="Q21" s="133" cm="1">
        <f t="array" aca="1" ref="Q21" ca="1">IF($F21="Terminated",0,IF($AA21=0,0,IF(ISNA(MATCH(Q$5,DedListItem,0)),0,IF(COUNTIFS(OverEmp,$C21,OverDeduct,Q$5,OverDate,"&lt;"&amp;DATE(YEAR($AC21),MONTH($AC21)+1,1),OverEnd,"&gt;="&amp;DATE(YEAR($AC21),MONTH($AC21),1))&gt;0,SUMIFS(OverValue,OverEmp,$C21,OverDeduct,Q$5,OverDate,"&lt;"&amp;DATE(YEAR($AC21),MONTH($AC21)+1,1),OverEnd,"&gt;="&amp;DATE(YEAR($AC21),MONTH($AC21),1)),IF(OR(Q$2="Fixed",Q$2="Not Used"),(IF(COUNTIFS(EmpNo,$C21,OFFSET(Emp!$R$4,1,MATCH(Q$5,DedListItem,0)-1,EmpCount,1),"&lt;&gt;")&gt;0,VLOOKUP($C21,EmpAll,COLUMN(Emp!$R$4)+MATCH(Q$5,DedListItem,0)-1,0),OFFSET(Setup!$E$73,MATCH(Q$5,DedListItem,0),0,1,1))*$AA21)-SUMIFS(OFFSET(Q$6,1,0,PayCount,1),PayDate,"&lt;"&amp;$AC21,PayEmp,$C21),IF(ISNA(MATCH(Q$2,EarnListItem,0))=FALSE,IF(OFFSET(Setup!$G$73,MATCH(Q$5,DedListItem,0),0,1,1)="Taxable",SUMPRODUCT((PayEmp=$C21)*(PayDate&lt;=$AC21)*(PayEarnCode=Q$2)*(PayEarnTax)*(PayEarnValues)),SUMPRODUCT((PayEmp=$C21)*(PayDate&lt;=$AC21)*(PayEarnCode=Q$2)*(PayEarnValues)))*IF(COUNTIFS(EmpNo,$C21,OFFSET(Emp!$R$4,1,MATCH(Q$5,DedListItem,0)-1,EmpCount,1),"&lt;&gt;")&gt;0,VLOOKUP($C21,EmpAll,COLUMN(Emp!$R$4)+MATCH(Q$5,DedListItem,0)-1,0),OFFSET(Setup!$E$73,MATCH(Q$5,DedListItem,0),0,1,1)),(MIN(IF(OFFSET(Setup!$G$73,MATCH(Q$5,DedListItem,0),0,1,1)="Taxable",SUMPRODUCT((PayEmp=$C21)*(PayDate&lt;=$AC21)*(ISERROR(SEARCH(PayEarnCode,Q$4)))*(PayEarnTax)*(PayEarnValues)),SUMPRODUCT((PayEmp=$C21)*(PayDate&lt;=$AC21)*(ISERROR(SEARCH(PayEarnCode,Q$4)))*(PayEarnValues))),IF(ISNUMBER(Q$3),Q$3/12*$AA21,IgnoreMin)))*IF(COUNTIFS(EmpNo,$C21,OFFSET(Emp!$R$4,1,MATCH(Q$5,DedListItem,0)-1,EmpCount,1),"&lt;&gt;")&gt;0,VLOOKUP($C21,EmpAll,COLUMN(Emp!$R$4)+MATCH(Q$5,DedListItem,0)-1,0),OFFSET(Setup!$E$73,MATCH(Q$5,DedListItem,0),0,1,1)))-SUMIFS(OFFSET(Q$6,1,0,PayCount,1),PayDate,"&lt;"&amp;$AC21,PayEmp,$C21))))))</f>
        <v>0</v>
      </c>
      <c r="R21" s="185">
        <f t="shared" ca="1" si="1"/>
        <v>0</v>
      </c>
      <c r="S21" s="139">
        <f t="shared" ca="1" si="2"/>
        <v>0</v>
      </c>
      <c r="T21" s="133" cm="1">
        <f t="array" aca="1" ref="T21" ca="1">IF($F21="Terminated",0,IF($AA21=0,0,IF(ISNA(MATCH(T$5,CompListItem,0)),0,IF(COUNTIFS(OverEmp,$C21,OverComp,T$5,OverDate,"&lt;"&amp;DATE(YEAR($AC21),MONTH($AC21)+1,1),OverEnd,"&gt;="&amp;DATE(YEAR($AC21),MONTH($AC21),1))&gt;0,SUMIFS(OverValue,OverEmp,$C21,OverComp,T$5,OverDate,"&lt;"&amp;DATE(YEAR($AC21),MONTH($AC21)+1,1),OverEnd,"&gt;="&amp;DATE(YEAR($AC21),MONTH($AC21),1)),IF(OR(T$2="Fixed",T$2="Not Used"),(OFFSET(Setup!$E$81,MATCH(T$5,CompListItem,0),0,1,1)*$AA21)-SUMIFS(OFFSET(T$6,1,0,PayCount,1),PayDate,"&lt;"&amp;$AC21,PayEmp,$C21),IF(ISNA(MATCH(T$2,DedListItem,0))=FALSE,(SUMPRODUCT((PayEmp=$C21)*(PayDate&lt;=$AC21)*(PayDedList=T$2)*(PayDedValues))*OFFSET(Setup!$E$81,MATCH(T$5,CompListItem,0),0,1,1))-SUMIFS(OFFSET(T$6,1,0,PayCount,1),PayDate,"&lt;"&amp;$AC21,PayEmp,$C21),(MIN(IF(OFFSET(Setup!$G$81,MATCH(T$5,CompListItem,0),0,1,1)="Taxable",SUMPRODUCT((PayEmp=$C21)*(PayDate&lt;=$AC21)*(ISERROR(SEARCH(PayEarnCode,T$4)))*(PayEarnTax)*(PayEarnValues)),SUMPRODUCT((PayEmp=$C21)*(PayDate&lt;=$AC21)*(ISERROR(SEARCH(PayEarnCode,T$4)))*(PayEarnValues))),IF(ISNUMBER(T$3),T$3/12*$AA21,IgnoreMin)))*OFFSET(Setup!$E$81,MATCH(T$5,CompListItem,0),0,1,1)-SUMIFS(OFFSET(T$6,1,0,PayCount,1),PayDate,"&lt;"&amp;$AC21,PayEmp,$C21)))))))</f>
        <v>0</v>
      </c>
      <c r="U21" s="133" cm="1">
        <f t="array" aca="1" ref="U21" ca="1">IF($F21="Terminated",0,IF($AA21=0,0,IF(ISNA(MATCH(U$5,CompListItem,0)),0,IF(COUNTIFS(OverEmp,$C21,OverComp,U$5,OverDate,"&lt;"&amp;DATE(YEAR($AC21),MONTH($AC21)+1,1),OverEnd,"&gt;="&amp;DATE(YEAR($AC21),MONTH($AC21),1))&gt;0,SUMIFS(OverValue,OverEmp,$C21,OverComp,U$5,OverDate,"&lt;"&amp;DATE(YEAR($AC21),MONTH($AC21)+1,1),OverEnd,"&gt;="&amp;DATE(YEAR($AC21),MONTH($AC21),1)),IF(OR(U$2="Fixed",U$2="Not Used"),(OFFSET(Setup!$E$81,MATCH(U$5,CompListItem,0),0,1,1)*$AA21)-SUMIFS(OFFSET(U$6,1,0,PayCount,1),PayDate,"&lt;"&amp;$AC21,PayEmp,$C21),IF(ISNA(MATCH(U$2,DedListItem,0))=FALSE,(SUMPRODUCT((PayEmp=$C21)*(PayDate&lt;=$AC21)*(PayDedList=U$2)*(PayDedValues))*OFFSET(Setup!$E$81,MATCH(U$5,CompListItem,0),0,1,1))-SUMIFS(OFFSET(U$6,1,0,PayCount,1),PayDate,"&lt;"&amp;$AC21,PayEmp,$C21),(MIN(IF(OFFSET(Setup!$G$81,MATCH(U$5,CompListItem,0),0,1,1)="Taxable",SUMPRODUCT((PayEmp=$C21)*(PayDate&lt;=$AC21)*(ISERROR(SEARCH(PayEarnCode,U$4)))*(PayEarnTax)*(PayEarnValues)),SUMPRODUCT((PayEmp=$C21)*(PayDate&lt;=$AC21)*(ISERROR(SEARCH(PayEarnCode,U$4)))*(PayEarnValues))),IF(ISNUMBER(U$3),U$3/12*$AA21,IgnoreMin)))*OFFSET(Setup!$E$81,MATCH(U$5,CompListItem,0),0,1,1)-SUMIFS(OFFSET(U$6,1,0,PayCount,1),PayDate,"&lt;"&amp;$AC21,PayEmp,$C21)))))))</f>
        <v>0</v>
      </c>
      <c r="V21" s="133" cm="1">
        <f t="array" aca="1" ref="V21" ca="1">IF($F21="Terminated",0,IF($AA21=0,0,IF(ISNA(MATCH(V$5,CompListItem,0)),0,IF(COUNTIFS(OverEmp,$C21,OverComp,V$5,OverDate,"&lt;"&amp;DATE(YEAR($AC21),MONTH($AC21)+1,1),OverEnd,"&gt;="&amp;DATE(YEAR($AC21),MONTH($AC21),1))&gt;0,SUMIFS(OverValue,OverEmp,$C21,OverComp,V$5,OverDate,"&lt;"&amp;DATE(YEAR($AC21),MONTH($AC21)+1,1),OverEnd,"&gt;="&amp;DATE(YEAR($AC21),MONTH($AC21),1)),IF(OR(V$2="Fixed",V$2="Not Used"),(OFFSET(Setup!$E$81,MATCH(V$5,CompListItem,0),0,1,1)*$AA21)-SUMIFS(OFFSET(V$6,1,0,PayCount,1),PayDate,"&lt;"&amp;$AC21,PayEmp,$C21),IF(ISNA(MATCH(V$2,DedListItem,0))=FALSE,(SUMPRODUCT((PayEmp=$C21)*(PayDate&lt;=$AC21)*(PayDedList=V$2)*(PayDedValues))*OFFSET(Setup!$E$81,MATCH(V$5,CompListItem,0),0,1,1))-SUMIFS(OFFSET(V$6,1,0,PayCount,1),PayDate,"&lt;"&amp;$AC21,PayEmp,$C21),(MIN(IF(OFFSET(Setup!$G$81,MATCH(V$5,CompListItem,0),0,1,1)="Taxable",SUMPRODUCT((PayEmp=$C21)*(PayDate&lt;=$AC21)*(ISERROR(SEARCH(PayEarnCode,V$4)))*(PayEarnTax)*(PayEarnValues)),SUMPRODUCT((PayEmp=$C21)*(PayDate&lt;=$AC21)*(ISERROR(SEARCH(PayEarnCode,V$4)))*(PayEarnValues))),IF(ISNUMBER(V$3),V$3/12*$AA21,IgnoreMin)))*OFFSET(Setup!$E$81,MATCH(V$5,CompListItem,0),0,1,1)-SUMIFS(OFFSET(V$6,1,0,PayCount,1),PayDate,"&lt;"&amp;$AC21,PayEmp,$C21)))))))</f>
        <v>0</v>
      </c>
      <c r="W21" s="133" cm="1">
        <f t="array" aca="1" ref="W21" ca="1">IF($F21="Terminated",0,IF($AA21=0,0,IF(ISNA(MATCH(W$5,CompListItem,0)),0,IF(COUNTIFS(OverEmp,$C21,OverComp,W$5,OverDate,"&lt;"&amp;DATE(YEAR($AC21),MONTH($AC21)+1,1),OverEnd,"&gt;="&amp;DATE(YEAR($AC21),MONTH($AC21),1))&gt;0,SUMIFS(OverValue,OverEmp,$C21,OverComp,W$5,OverDate,"&lt;"&amp;DATE(YEAR($AC21),MONTH($AC21)+1,1),OverEnd,"&gt;="&amp;DATE(YEAR($AC21),MONTH($AC21),1)),IF(OR(W$2="Fixed",W$2="Not Used"),(OFFSET(Setup!$E$81,MATCH(W$5,CompListItem,0),0,1,1)*$AA21)-SUMIFS(OFFSET(W$6,1,0,PayCount,1),PayDate,"&lt;"&amp;$AC21,PayEmp,$C21),IF(ISNA(MATCH(W$2,DedListItem,0))=FALSE,(SUMPRODUCT((PayEmp=$C21)*(PayDate&lt;=$AC21)*(PayDedList=W$2)*(PayDedValues))*OFFSET(Setup!$E$81,MATCH(W$5,CompListItem,0),0,1,1))-SUMIFS(OFFSET(W$6,1,0,PayCount,1),PayDate,"&lt;"&amp;$AC21,PayEmp,$C21),(MIN(IF(OFFSET(Setup!$G$81,MATCH(W$5,CompListItem,0),0,1,1)="Taxable",SUMPRODUCT((PayEmp=$C21)*(PayDate&lt;=$AC21)*(ISERROR(SEARCH(PayEarnCode,W$4)))*(PayEarnTax)*(PayEarnValues)),SUMPRODUCT((PayEmp=$C21)*(PayDate&lt;=$AC21)*(ISERROR(SEARCH(PayEarnCode,W$4)))*(PayEarnValues))),IF(ISNUMBER(W$3),W$3/12*$AA21,IgnoreMin)))*OFFSET(Setup!$E$81,MATCH(W$5,CompListItem,0),0,1,1)-SUMIFS(OFFSET(W$6,1,0,PayCount,1),PayDate,"&lt;"&amp;$AC21,PayEmp,$C21)))))))</f>
        <v>0</v>
      </c>
      <c r="X21" s="185">
        <f t="shared" ca="1" si="3"/>
        <v>0</v>
      </c>
      <c r="Y21" s="139">
        <f t="shared" ca="1" si="4"/>
        <v>0</v>
      </c>
      <c r="Z21" s="139">
        <f t="shared" ca="1" si="5"/>
        <v>0</v>
      </c>
      <c r="AA21" s="146">
        <f ca="1">IF(OR($B21&lt;=Setup!$E$12,$B21&gt;=Setup!$D$12+1),0,IF($F21&lt;&gt;"Active",0,IF($AE21="Yes",$AB21,((YEAR($AC21)*12)+MONTH($AC21))-((YEAR($AD21)*12)+MONTH($AD21)-1))))</f>
        <v>0</v>
      </c>
      <c r="AB21" s="146">
        <f ca="1">IF(OR($B21&lt;=Setup!$E$12,$B21&gt;=Setup!$D$12+1),0,((YEAR($AC21)*12)+MONTH($AC21))-((YEAR(Setup!$E$12)*12)+MONTH(Setup!$E$12)))</f>
        <v>1</v>
      </c>
      <c r="AC21" s="186">
        <f t="shared" ca="1" si="6"/>
        <v>45010</v>
      </c>
      <c r="AD21" s="144">
        <f ca="1">IF(ISNA(VLOOKUP($C21,EmpAll,COLUMN(Emp!$E$4),0)),$AC21,IF(VLOOKUP($C21,EmpAll,COLUMN(Emp!$E$4),0)&lt;=Setup!$E$12,DATE(YEAR(Setup!$E$12),MONTH(Setup!$E$12)+1,1),VLOOKUP($C21,EmpAll,COLUMN(Emp!$E$4),0)))</f>
        <v>45316</v>
      </c>
      <c r="AE21" s="144" t="str">
        <f ca="1">IF(ISNA(VLOOKUP($C21,EmpAll,COLUMN(Emp!$G$1),0)),"-",IF(VLOOKUP($C21,EmpAll,COLUMN(Emp!$G$1),0)=0,"-",VLOOKUP($C21,EmpAll,COLUMN(Emp!$G$1),0)))</f>
        <v>-</v>
      </c>
      <c r="AF21" s="145">
        <f ca="1">IF(A21=PaySlip!$G$3,1,0)</f>
        <v>0</v>
      </c>
      <c r="AG21" s="130" cm="1">
        <f t="array" aca="1" ref="AG21" ca="1">IF(COUNTIFS(OverEmp,$C21,OverMed,"MED",OverDate,"&lt;"&amp;DATE(YEAR($AC21),MONTH($AC21)+1,1),OverEnd,"&gt;="&amp;DATE(YEAR($AC21),MONTH($AC21),1))&gt;0,SUMIFS(OverValue,OverEmp,$C21,OverMed,"MED",OverDate,"&lt;"&amp;DATE(YEAR($AC21),MONTH($AC21)+1,1),OverEnd,"&gt;="&amp;DATE(YEAR($AC21),MONTH($AC21),1)),IF(ISNA(VLOOKUP($C21,EmpAll,COLUMN(Emp!$N$4),0)),0,VLOOKUP($C21,EmpAll,COLUMN(Emp!$N$4),0)))</f>
        <v>1</v>
      </c>
      <c r="AH21" s="146">
        <f ca="1">VLOOKUP($AG21,MedList,COLUMN(Setup!$C$49),1)</f>
        <v>364</v>
      </c>
      <c r="AI21" s="146">
        <f t="shared" ca="1" si="7"/>
        <v>4732</v>
      </c>
      <c r="AJ21" s="101" t="str">
        <f ca="1">IF(ISNA(VLOOKUP($C21,EmpAll,COLUMN(Emp!$L$4),0)),"None!",VLOOKUP($C21,EmpAll,COLUMN(Emp!$L$4),0))</f>
        <v>A</v>
      </c>
      <c r="AK21" s="147">
        <f t="shared" ca="1" si="8"/>
        <v>17235</v>
      </c>
      <c r="AL21" s="101" t="str">
        <f ca="1">IF(ISNA(VLOOKUP($C21,Employees[],COLUMN(Emp!$M$4),0))=TRUE,"Error!",IF(VLOOKUP($C21,Employees[],COLUMN(Emp!$M$4),0)=0,"Yes",VLOOKUP($C21,Employees[],COLUMN(Emp!$M$4),0)))</f>
        <v>A</v>
      </c>
      <c r="AM21" s="148">
        <f t="shared" ca="1" si="9"/>
        <v>0</v>
      </c>
      <c r="AN21" s="148" cm="1">
        <f t="array" aca="1" ref="AN21" ca="1">-IF($F21="Terminated",0,IF($AA21=0,0,IF(ISNA(MATCH(AN$5,PayDedList,0)),0,MIN(IF(COUNTIFS(OverEmp,$C21,OverDeduct,AN$5,OverDate,"&lt;"&amp;DATE(YEAR($AC21),MONTH($AC21)+1,1),OverEnd,"&gt;="&amp;DATE(YEAR($AC21),MONTH($AC21),1))&gt;0,SUMPRODUCT((PayEmp=$C21)*(PayDate&lt;=$AC21)*(OFFSET($N$6,1,MATCH(AN$5,PayDedList,0)-1,PayCount,1)))/$AA21*12*AN$3,IF(OR(AN$1="Fixed",AN$1="Not Used"),SUMPRODUCT((PayEmp=$C21)*(PayDate&lt;=$AC21)*(OFFSET($N$6,1,MATCH(AN$5,PayDedList,0)-1,PayCount,1)))/$AA21*12*AN$3,IF(ISNA(MATCH(AN$1,EarnListItem,0))=FALSE,SUMPRODUCT((PayEmp=$C21)*(PayDate&lt;=$AC21)*(OFFSET($N$6,1,MATCH(AN$5,PayDedList,0)-1,PayCount,1)))/$AA21*12*AN$3,(MIN(((SUMPRODUCT((PayEmp=$C21)*(PayDate&lt;=$AC21)*(ISERROR(SEARCH(PayEarnCode,AN$2)))*(PayEarnType="Monthly")*(PayEarnValues))/$AA21*12)+(SUMPRODUCT((PayEmp=$C21)*(PayDate&lt;=$AC21)*(ISERROR(SEARCH(PayEarnCode,AN$2)))*(PayEarnType="Quarterly")*(PayEarnValues))/MAX(1,ROUNDDOWN($AB21/3,0))*4)+(SUMPRODUCT((PayEmp=$C21)*(PayDate&lt;=$AC21)*(ISERROR(SEARCH(PayEarnCode,AN$2)))*(PayEarnType="Bi-Annual")*(PayEarnValues))/MAX(1,ROUNDDOWN($AB21/6,0))*2)+(SUMPRODUCT((PayEmp=$C21)*(PayDate&lt;=$AC21)*(ISERROR(SEARCH(PayEarnCode,AN$2)))*(PayEarnType="Annual")*(PayEarnValues)))),IF(ISNUMBER(OFFSET($N$3,0,MATCH(AN$5,PayDedList,0)-1,1,1)),OFFSET($N$3,0,MATCH(AN$5,PayDedList,0)-1,1,1),IgnoreMin)))*IF(COUNTIFS(EmpNo,$C21,OFFSET(Emp!$R$4,1,MATCH(AN$5,DedListItem,0)-1,EmpCount,1),"&lt;&gt;")&gt;0,VLOOKUP($C21,EmpAll,COLUMN(Emp!$R$4)+MATCH(AN$5,DedListItem,0)-1,0),OFFSET(Setup!$E$73,MATCH(AN$5,DedListItem,0),0,1,1))*AN$3))),IF(ISNUMBER(AN$4),AN$4,IgnoreMin)))))</f>
        <v>0</v>
      </c>
      <c r="AO21" s="148" cm="1">
        <f t="array" aca="1" ref="AO21" ca="1">-IF($F21="Terminated",0,IF($AA21=0,0,IF(ISNA(MATCH(AO$5,PayDedList,0)),0,MIN(IF(COUNTIFS(OverEmp,$C21,OverDeduct,AO$5,OverDate,"&lt;"&amp;DATE(YEAR($AC21),MONTH($AC21)+1,1),OverEnd,"&gt;="&amp;DATE(YEAR($AC21),MONTH($AC21),1))&gt;0,SUMPRODUCT((PayEmp=$C21)*(PayDate&lt;=$AC21)*(OFFSET($N$6,1,MATCH(AO$5,PayDedList,0)-1,PayCount,1)))/$AA21*12*AO$3,IF(OR(AO$1="Fixed",AO$1="Not Used"),SUMPRODUCT((PayEmp=$C21)*(PayDate&lt;=$AC21)*(OFFSET($N$6,1,MATCH(AO$5,PayDedList,0)-1,PayCount,1)))/$AA21*12*AO$3,IF(ISNA(MATCH(AO$1,EarnListItem,0))=FALSE,SUMPRODUCT((PayEmp=$C21)*(PayDate&lt;=$AC21)*(OFFSET($N$6,1,MATCH(AO$5,PayDedList,0)-1,PayCount,1)))/$AA21*12*AO$3,(MIN(((SUMPRODUCT((PayEmp=$C21)*(PayDate&lt;=$AC21)*(ISERROR(SEARCH(PayEarnCode,AO$2)))*(PayEarnType="Monthly")*(PayEarnValues))/$AA21*12)+(SUMPRODUCT((PayEmp=$C21)*(PayDate&lt;=$AC21)*(ISERROR(SEARCH(PayEarnCode,AO$2)))*(PayEarnType="Quarterly")*(PayEarnValues))/MAX(1,ROUNDDOWN($AB21/3,0))*4)+(SUMPRODUCT((PayEmp=$C21)*(PayDate&lt;=$AC21)*(ISERROR(SEARCH(PayEarnCode,AO$2)))*(PayEarnType="Bi-Annual")*(PayEarnValues))/MAX(1,ROUNDDOWN($AB21/6,0))*2)+(SUMPRODUCT((PayEmp=$C21)*(PayDate&lt;=$AC21)*(ISERROR(SEARCH(PayEarnCode,AO$2)))*(PayEarnType="Annual")*(PayEarnValues)))),IF(ISNUMBER(OFFSET($N$3,0,MATCH(AO$5,PayDedList,0)-1,1,1)),OFFSET($N$3,0,MATCH(AO$5,PayDedList,0)-1,1,1),IgnoreMin)))*IF(COUNTIFS(EmpNo,$C21,OFFSET(Emp!$R$4,1,MATCH(AO$5,DedListItem,0)-1,EmpCount,1),"&lt;&gt;")&gt;0,VLOOKUP($C21,EmpAll,COLUMN(Emp!$R$4)+MATCH(AO$5,DedListItem,0)-1,0),OFFSET(Setup!$E$73,MATCH(AO$5,DedListItem,0),0,1,1))*AO$3))),IF(ISNUMBER(AO$4),AO$4,IgnoreMin)))))</f>
        <v>0</v>
      </c>
      <c r="AP21" s="148" cm="1">
        <f t="array" aca="1" ref="AP21" ca="1">-IF($F21="Terminated",0,IF($AA21=0,0,IF(ISNA(MATCH(AP$5,PayDedList,0)),0,MIN(IF(COUNTIFS(OverEmp,$C21,OverDeduct,AP$5,OverDate,"&lt;"&amp;DATE(YEAR($AC21),MONTH($AC21)+1,1),OverEnd,"&gt;="&amp;DATE(YEAR($AC21),MONTH($AC21),1))&gt;0,SUMPRODUCT((PayEmp=$C21)*(PayDate&lt;=$AC21)*(OFFSET($N$6,1,MATCH(AP$5,PayDedList,0)-1,PayCount,1)))/$AA21*12*AP$3,IF(OR(AP$1="Fixed",AP$1="Not Used"),SUMPRODUCT((PayEmp=$C21)*(PayDate&lt;=$AC21)*(OFFSET($N$6,1,MATCH(AP$5,PayDedList,0)-1,PayCount,1)))/$AA21*12*AP$3,IF(ISNA(MATCH(AP$1,EarnListItem,0))=FALSE,SUMPRODUCT((PayEmp=$C21)*(PayDate&lt;=$AC21)*(OFFSET($N$6,1,MATCH(AP$5,PayDedList,0)-1,PayCount,1)))/$AA21*12*AP$3,(MIN(((SUMPRODUCT((PayEmp=$C21)*(PayDate&lt;=$AC21)*(ISERROR(SEARCH(PayEarnCode,AP$2)))*(PayEarnType="Monthly")*(PayEarnValues))/$AA21*12)+(SUMPRODUCT((PayEmp=$C21)*(PayDate&lt;=$AC21)*(ISERROR(SEARCH(PayEarnCode,AP$2)))*(PayEarnType="Quarterly")*(PayEarnValues))/MAX(1,ROUNDDOWN($AB21/3,0))*4)+(SUMPRODUCT((PayEmp=$C21)*(PayDate&lt;=$AC21)*(ISERROR(SEARCH(PayEarnCode,AP$2)))*(PayEarnType="Bi-Annual")*(PayEarnValues))/MAX(1,ROUNDDOWN($AB21/6,0))*2)+(SUMPRODUCT((PayEmp=$C21)*(PayDate&lt;=$AC21)*(ISERROR(SEARCH(PayEarnCode,AP$2)))*(PayEarnType="Annual")*(PayEarnValues)))),IF(ISNUMBER(OFFSET($N$3,0,MATCH(AP$5,PayDedList,0)-1,1,1)),OFFSET($N$3,0,MATCH(AP$5,PayDedList,0)-1,1,1),IgnoreMin)))*IF(COUNTIFS(EmpNo,$C21,OFFSET(Emp!$R$4,1,MATCH(AP$5,DedListItem,0)-1,EmpCount,1),"&lt;&gt;")&gt;0,VLOOKUP($C21,EmpAll,COLUMN(Emp!$R$4)+MATCH(AP$5,DedListItem,0)-1,0),OFFSET(Setup!$E$73,MATCH(AP$5,DedListItem,0),0,1,1))*AP$3))),IF(ISNUMBER(AP$4),AP$4,IgnoreMin)))))</f>
        <v>0</v>
      </c>
      <c r="AQ21" s="148" cm="1">
        <f t="array" aca="1" ref="AQ21" ca="1">-IF($F21="Terminated",0,IF($AA21=0,0,IF(ISNA(MATCH(AQ$5,PayDedList,0)),0,MIN(IF(COUNTIFS(OverEmp,$C21,OverDeduct,AQ$5,OverDate,"&lt;"&amp;DATE(YEAR($AC21),MONTH($AC21)+1,1),OverEnd,"&gt;="&amp;DATE(YEAR($AC21),MONTH($AC21),1))&gt;0,SUMPRODUCT((PayEmp=$C21)*(PayDate&lt;=$AC21)*(OFFSET($N$6,1,MATCH(AQ$5,PayDedList,0)-1,PayCount,1)))/$AA21*12*AQ$3,IF(OR(AQ$1="Fixed",AQ$1="Not Used"),SUMPRODUCT((PayEmp=$C21)*(PayDate&lt;=$AC21)*(OFFSET($N$6,1,MATCH(AQ$5,PayDedList,0)-1,PayCount,1)))/$AA21*12*AQ$3,IF(ISNA(MATCH(AQ$1,EarnListItem,0))=FALSE,SUMPRODUCT((PayEmp=$C21)*(PayDate&lt;=$AC21)*(OFFSET($N$6,1,MATCH(AQ$5,PayDedList,0)-1,PayCount,1)))/$AA21*12*AQ$3,(MIN(((SUMPRODUCT((PayEmp=$C21)*(PayDate&lt;=$AC21)*(ISERROR(SEARCH(PayEarnCode,AQ$2)))*(PayEarnType="Monthly")*(PayEarnValues))/$AA21*12)+(SUMPRODUCT((PayEmp=$C21)*(PayDate&lt;=$AC21)*(ISERROR(SEARCH(PayEarnCode,AQ$2)))*(PayEarnType="Quarterly")*(PayEarnValues))/MAX(1,ROUNDDOWN($AB21/3,0))*4)+(SUMPRODUCT((PayEmp=$C21)*(PayDate&lt;=$AC21)*(ISERROR(SEARCH(PayEarnCode,AQ$2)))*(PayEarnType="Bi-Annual")*(PayEarnValues))/MAX(1,ROUNDDOWN($AB21/6,0))*2)+(SUMPRODUCT((PayEmp=$C21)*(PayDate&lt;=$AC21)*(ISERROR(SEARCH(PayEarnCode,AQ$2)))*(PayEarnType="Annual")*(PayEarnValues)))),IF(ISNUMBER(OFFSET($N$3,0,MATCH(AQ$5,PayDedList,0)-1,1,1)),OFFSET($N$3,0,MATCH(AQ$5,PayDedList,0)-1,1,1),IgnoreMin)))*IF(COUNTIFS(EmpNo,$C21,OFFSET(Emp!$R$4,1,MATCH(AQ$5,DedListItem,0)-1,EmpCount,1),"&lt;&gt;")&gt;0,VLOOKUP($C21,EmpAll,COLUMN(Emp!$R$4)+MATCH(AQ$5,DedListItem,0)-1,0),OFFSET(Setup!$E$73,MATCH(AQ$5,DedListItem,0),0,1,1))*AQ$3))),IF(ISNUMBER(AQ$4),AQ$4,IgnoreMin)))))</f>
        <v>0</v>
      </c>
      <c r="AR21" s="148">
        <f t="shared" ca="1" si="10"/>
        <v>0</v>
      </c>
      <c r="AS21" s="148">
        <f t="shared" ca="1" si="11"/>
        <v>0</v>
      </c>
      <c r="AT21" s="148" cm="1">
        <f t="array" aca="1" ref="AT21" ca="1">-IF($F21="Terminated",0,IF($AA21=0,0,IF(ISNA(MATCH(AT$5,PayDedList,0)),0,MIN(IF(COUNTIFS(OverEmp,$C21,OverDeduct,AT$5,OverDate,"&lt;"&amp;DATE(YEAR($AC21),MONTH($AC21)+1,1),OverEnd,"&gt;="&amp;DATE(YEAR($AC21),MONTH($AC21),1))&gt;0,SUMPRODUCT((PayEmp=$C21)*(PayDate&lt;=$AC21)*(OFFSET($N$6,1,MATCH(AT$5,PayDedList,0)-1,PayCount,1)))/$AA21*12*AT$3,IF(OR(AT$1="Fixed",AT$1="Not Used"),SUMPRODUCT((PayEmp=$C21)*(PayDate&lt;=$AC21)*(OFFSET($N$6,1,MATCH(AT$5,PayDedList,0)-1,PayCount,1)))/$AA21*12*AT$3,IF(ISNA(MATCH(OFFSET($N$2,0,MATCH(AT$5,PayDedList,0)-1,1,1),EarnListItem,0))=FALSE,SUMPRODUCT((PayEmp=$C21)*(PayDate&lt;=$AC21)*(OFFSET($N$6,1,MATCH(AT$5,PayDedList,0)-1,PayCount,1)))/$AA21*12*AT$3,(MIN(SUMPRODUCT((PayEmp=$C21)*(PayDate&lt;=$AC21)*(ISERROR(SEARCH(PayEarnCode,AT$2)))*(PayEarnType="Monthly")*(PayEarnValues))/$AA21*12,IF(ISNUMBER(OFFSET($N$3,0,MATCH(AT$5,PayDedList,0)-1,1,1)),OFFSET($N$3,0,MATCH(AT$5,PayDedList,0)-1,1,1),IgnoreMin)))*IF(COUNTIFS(EmpNo,$C21,OFFSET(Emp!$R$4,1,MATCH(AT$5,DedListItem,0)-1,EmpCount,1),"&lt;&gt;")&gt;0,VLOOKUP($C21,EmpAll,COLUMN(Emp!$R$4)+MATCH(AT$5,DedListItem,0)-1,0),OFFSET(Setup!$E$73,MATCH(AT$5,DedListItem,0),0,1,1))*AT$3))),IF(ISNUMBER(AT$4),AT$4,IgnoreMin)))))</f>
        <v>0</v>
      </c>
      <c r="AU21" s="148" cm="1">
        <f t="array" aca="1" ref="AU21" ca="1">-IF($F21="Terminated",0,IF($AA21=0,0,IF(ISNA(MATCH(AU$5,PayDedList,0)),0,MIN(IF(COUNTIFS(OverEmp,$C21,OverDeduct,AU$5,OverDate,"&lt;"&amp;DATE(YEAR($AC21),MONTH($AC21)+1,1),OverEnd,"&gt;="&amp;DATE(YEAR($AC21),MONTH($AC21),1))&gt;0,SUMPRODUCT((PayEmp=$C21)*(PayDate&lt;=$AC21)*(OFFSET($N$6,1,MATCH(AU$5,PayDedList,0)-1,PayCount,1)))/$AA21*12*AU$3,IF(OR(AU$1="Fixed",AU$1="Not Used"),SUMPRODUCT((PayEmp=$C21)*(PayDate&lt;=$AC21)*(OFFSET($N$6,1,MATCH(AU$5,PayDedList,0)-1,PayCount,1)))/$AA21*12*AU$3,IF(ISNA(MATCH(OFFSET($N$2,0,MATCH(AU$5,PayDedList,0)-1,1,1),EarnListItem,0))=FALSE,SUMPRODUCT((PayEmp=$C21)*(PayDate&lt;=$AC21)*(OFFSET($N$6,1,MATCH(AU$5,PayDedList,0)-1,PayCount,1)))/$AA21*12*AU$3,(MIN(SUMPRODUCT((PayEmp=$C21)*(PayDate&lt;=$AC21)*(ISERROR(SEARCH(PayEarnCode,AU$2)))*(PayEarnType="Monthly")*(PayEarnValues))/$AA21*12,IF(ISNUMBER(OFFSET($N$3,0,MATCH(AU$5,PayDedList,0)-1,1,1)),OFFSET($N$3,0,MATCH(AU$5,PayDedList,0)-1,1,1),IgnoreMin)))*IF(COUNTIFS(EmpNo,$C21,OFFSET(Emp!$R$4,1,MATCH(AU$5,DedListItem,0)-1,EmpCount,1),"&lt;&gt;")&gt;0,VLOOKUP($C21,EmpAll,COLUMN(Emp!$R$4)+MATCH(AU$5,DedListItem,0)-1,0),OFFSET(Setup!$E$73,MATCH(AU$5,DedListItem,0),0,1,1))*AU$3))),IF(ISNUMBER(AU$4),AU$4,IgnoreMin)))))</f>
        <v>0</v>
      </c>
      <c r="AV21" s="148" cm="1">
        <f t="array" aca="1" ref="AV21" ca="1">-IF($F21="Terminated",0,IF($AA21=0,0,IF(ISNA(MATCH(AV$5,PayDedList,0)),0,MIN(IF(COUNTIFS(OverEmp,$C21,OverDeduct,AV$5,OverDate,"&lt;"&amp;DATE(YEAR($AC21),MONTH($AC21)+1,1),OverEnd,"&gt;="&amp;DATE(YEAR($AC21),MONTH($AC21),1))&gt;0,SUMPRODUCT((PayEmp=$C21)*(PayDate&lt;=$AC21)*(OFFSET($N$6,1,MATCH(AV$5,PayDedList,0)-1,PayCount,1)))/$AA21*12*AV$3,IF(OR(AV$1="Fixed",AV$1="Not Used"),SUMPRODUCT((PayEmp=$C21)*(PayDate&lt;=$AC21)*(OFFSET($N$6,1,MATCH(AV$5,PayDedList,0)-1,PayCount,1)))/$AA21*12*AV$3,IF(ISNA(MATCH(OFFSET($N$2,0,MATCH(AV$5,PayDedList,0)-1,1,1),EarnListItem,0))=FALSE,SUMPRODUCT((PayEmp=$C21)*(PayDate&lt;=$AC21)*(OFFSET($N$6,1,MATCH(AV$5,PayDedList,0)-1,PayCount,1)))/$AA21*12*AV$3,(MIN(SUMPRODUCT((PayEmp=$C21)*(PayDate&lt;=$AC21)*(ISERROR(SEARCH(PayEarnCode,AV$2)))*(PayEarnType="Monthly")*(PayEarnValues))/$AA21*12,IF(ISNUMBER(OFFSET($N$3,0,MATCH(AV$5,PayDedList,0)-1,1,1)),OFFSET($N$3,0,MATCH(AV$5,PayDedList,0)-1,1,1),IgnoreMin)))*IF(COUNTIFS(EmpNo,$C21,OFFSET(Emp!$R$4,1,MATCH(AV$5,DedListItem,0)-1,EmpCount,1),"&lt;&gt;")&gt;0,VLOOKUP($C21,EmpAll,COLUMN(Emp!$R$4)+MATCH(AV$5,DedListItem,0)-1,0),OFFSET(Setup!$E$73,MATCH(AV$5,DedListItem,0),0,1,1))*AV$3))),IF(ISNUMBER(AV$4),AV$4,IgnoreMin)))))</f>
        <v>0</v>
      </c>
      <c r="AW21" s="148" cm="1">
        <f t="array" aca="1" ref="AW21" ca="1">-IF($F21="Terminated",0,IF($AA21=0,0,IF(ISNA(MATCH(AW$5,PayDedList,0)),0,MIN(IF(COUNTIFS(OverEmp,$C21,OverDeduct,AW$5,OverDate,"&lt;"&amp;DATE(YEAR($AC21),MONTH($AC21)+1,1),OverEnd,"&gt;="&amp;DATE(YEAR($AC21),MONTH($AC21),1))&gt;0,SUMPRODUCT((PayEmp=$C21)*(PayDate&lt;=$AC21)*(OFFSET($N$6,1,MATCH(AW$5,PayDedList,0)-1,PayCount,1)))/$AA21*12*AW$3,IF(OR(AW$1="Fixed",AW$1="Not Used"),SUMPRODUCT((PayEmp=$C21)*(PayDate&lt;=$AC21)*(OFFSET($N$6,1,MATCH(AW$5,PayDedList,0)-1,PayCount,1)))/$AA21*12*AW$3,IF(ISNA(MATCH(OFFSET($N$2,0,MATCH(AW$5,PayDedList,0)-1,1,1),EarnListItem,0))=FALSE,SUMPRODUCT((PayEmp=$C21)*(PayDate&lt;=$AC21)*(OFFSET($N$6,1,MATCH(AW$5,PayDedList,0)-1,PayCount,1)))/$AA21*12*AW$3,(MIN(SUMPRODUCT((PayEmp=$C21)*(PayDate&lt;=$AC21)*(ISERROR(SEARCH(PayEarnCode,AW$2)))*(PayEarnType="Monthly")*(PayEarnValues))/$AA21*12,IF(ISNUMBER(OFFSET($N$3,0,MATCH(AW$5,PayDedList,0)-1,1,1)),OFFSET($N$3,0,MATCH(AW$5,PayDedList,0)-1,1,1),IgnoreMin)))*IF(COUNTIFS(EmpNo,$C21,OFFSET(Emp!$R$4,1,MATCH(AW$5,DedListItem,0)-1,EmpCount,1),"&lt;&gt;")&gt;0,VLOOKUP($C21,EmpAll,COLUMN(Emp!$R$4)+MATCH(AW$5,DedListItem,0)-1,0),OFFSET(Setup!$E$73,MATCH(AW$5,DedListItem,0),0,1,1))*AW$3))),IF(ISNUMBER(AW$4),AW$4,IgnoreMin)))))</f>
        <v>0</v>
      </c>
      <c r="AX21" s="148">
        <f t="shared" ca="1" si="12"/>
        <v>0</v>
      </c>
      <c r="AY21" s="148">
        <f t="shared" ca="1" si="13"/>
        <v>0</v>
      </c>
      <c r="AZ21" s="148">
        <f ca="1">IF(ISNUMBER($AL21),($AR21*$AL21)-$AI21-$AK21,MAX(0,IF($AL21="B",IF($AR21&lt;Setup!$C$32,($AR21*Setup!$D$32)-$AI21-$AK21,(($AR21-VLOOKUP($AR21,TaxAll2,1,1))*OFFSET(Setup!$D$32,MATCH($AR21,TaxBracket2,1),0,1,1))+OFFSET(Setup!$E$31,MATCH($AR21,TaxBracket2,1),0,1,1)-$AI21-$AK21),IF($AR21&lt;Setup!$C$21,($AR21*Setup!$D$21)-$AI21-$AK21,(($AR21-VLOOKUP($AR21,TaxAll1,1,1))*OFFSET(Setup!$D$21,MATCH($AR21,TaxBracket1,1),0,1,1))+OFFSET(Setup!$E$20,MATCH($AR21,TaxBracket1,1),0,1,1)-$AI21-$AK21))))</f>
        <v>0</v>
      </c>
      <c r="BA21" s="148">
        <f ca="1">IF(ISNUMBER($AL21),($AX21*$AL21)-$AI21-$AK21,MAX(0,IF($AL21="B",IF($AX21&lt;Setup!$C$32,($AX21*Setup!$D$32)-$AI21-$AK21,(($AX21-VLOOKUP($AX21,TaxAll2,1,1))*OFFSET(Setup!$D$32,MATCH($AX21,TaxBracket2,1),0,1,1))+OFFSET(Setup!$E$31,MATCH($AX21,TaxBracket2,1),0,1,1)-$AI21-$AK21),IF($AX21&lt;Setup!$C$21,($AX21*Setup!$D$21)-$AI21-$AK21,(($AX21-VLOOKUP($AX21,TaxAll1,1,1))*OFFSET(Setup!$D$21,MATCH($AX21,TaxBracket1,1),0,1,1))+OFFSET(Setup!$E$20,MATCH($AX21,TaxBracket1,1),0,1,1)-$AI21-$AK21))))</f>
        <v>0</v>
      </c>
      <c r="BB21" s="148">
        <f t="shared" ca="1" si="14"/>
        <v>0</v>
      </c>
      <c r="BC21" s="150">
        <f t="shared" ca="1" si="15"/>
        <v>0</v>
      </c>
      <c r="BD21" s="150">
        <f t="shared" ca="1" si="16"/>
        <v>0</v>
      </c>
      <c r="BE21" s="148">
        <f t="shared" ca="1" si="17"/>
        <v>0</v>
      </c>
    </row>
    <row r="22" spans="1:57" ht="16.149999999999999" customHeight="1" x14ac:dyDescent="0.25">
      <c r="A22" s="10" t="str" cm="1">
        <f t="array" aca="1" ref="A22" ca="1">IF(ROW($A22)-ROW($A$6)&gt;EmpCount*12,"-",TEXT($B22,"yyyy")&amp;TEXT($B22,"mm")&amp;"-"&amp;$C22)</f>
        <v>202304-EXS001</v>
      </c>
      <c r="B22" s="137" cm="1">
        <f t="array" aca="1" ref="B22" ca="1">IF(ROW($A22)-ROW($A$6)&gt;EmpCount*12,Setup!$D$12,DATE(YEAR(Setup!$F$12),MONTH(Setup!$F$12)+ROUNDDOWN((ROW($A22)-ROW($A$6)-1)/EmpCount,0),IF(Setup!$C$14&gt;DAY(DATE(YEAR(Setup!$F$12),MONTH(Setup!$F$12)+ROUNDDOWN((ROW($A22)-ROW($A$6)-1)/EmpCount,0)+1,0)),DAY(DATE(YEAR(Setup!$F$12),MONTH(Setup!$F$12)+ROUNDDOWN((ROW($A22)-ROW($A$6)-1)/EmpCount,0)+1,0)),Setup!$C$14)))</f>
        <v>45041</v>
      </c>
      <c r="C22" s="101" t="str" cm="1">
        <f t="array" aca="1" ref="C22" ca="1">IF(ROW($A22)-ROW($A$6)&gt;EmpCount*12,"-",OFFSET(Emp!$A$4,ROW($A22)-ROW($A$6)-IF(ROW($A22)-ROW($A$6)&gt;EmpCount,ROUNDDOWN((ROW($A22)-ROW($A$6)-1)/EmpCount,0)*EmpCount,0),0,1,1))</f>
        <v>EXS001</v>
      </c>
      <c r="D22" s="10" t="str">
        <f ca="1">IF(ISNA(VLOOKUP($C22,EmpAll,COLUMN(Emp!$B$4),0)),"-",VLOOKUP($C22,EmpAll,COLUMN(Emp!$B$4),0))</f>
        <v>Taylor AE</v>
      </c>
      <c r="E22" s="145" t="str">
        <f ca="1">IF(ISNA(VLOOKUP($C22,EmpAll,COLUMN(Emp!$C$4),0)),"-",VLOOKUP($C22,EmpAll,COLUMN(Emp!$C$4),0))</f>
        <v>M</v>
      </c>
      <c r="F22" s="101" t="str">
        <f ca="1">IF(ISNA(VLOOKUP($C22,EmpAll,COLUMN(Emp!$A$4),0)),"-",IF(AND(VLOOKUP($C22,EmpAll,COLUMN(Emp!$E$4),0)&lt;&gt;0,VLOOKUP($C22,EmpAll,COLUMN(Emp!$E$4),0)&gt;=DATE(YEAR($AC22),MONTH($AC22)+1,0)),"Inactive",IF(AND(VLOOKUP($C22,EmpAll,COLUMN(Emp!$F$4),0)&lt;&gt;0,VLOOKUP($C22,EmpAll,COLUMN(Emp!$F$4),0)&lt;=DATE(YEAR($AC22),MONTH($AC22),0)),"Terminated","Active")))</f>
        <v>Active</v>
      </c>
      <c r="G22" s="133" cm="1">
        <f t="array" aca="1" ref="G22" ca="1">IF($F22&lt;&gt;"Active",0,IF(COUNTIFS(OverEmp,$C22,OverEarn,G$2,OverDate,"&lt;"&amp;DATE(YEAR($AC22),MONTH($AC22)+1,1),OverEnd,"&gt;="&amp;DATE(YEAR($AC22),MONTH($AC22),1))&gt;0,SUMIFS(OverValue,OverEmp,$C22,OverEarn,G$2,OverDate,"&lt;"&amp;DATE(YEAR($AC22),MONTH($AC22)+1,1),OverEnd,"&gt;="&amp;DATE(YEAR($AC22),MONTH($AC22),1)),IF(AND($AC22&gt;=Setup!$E$10,SUMIFS(EmpIncrease,EmpCode,$C22)&gt;0),SUMIFS(EmpIncrease,EmpCode,$C22),SUMIFS(EmpSalary,EmpCode,$C22))))</f>
        <v>150000</v>
      </c>
      <c r="H22" s="133" cm="1">
        <f t="array" aca="1" ref="H22" ca="1">IF($F22&lt;&gt;"Active",0,IF(COUNTIFS(OverEmp,$C22,OverEarn,H$2,OverDate,"&lt;"&amp;DATE(YEAR($AC22),MONTH($AC22)+1,1),OverEnd,"&gt;="&amp;DATE(YEAR($AC22),MONTH($AC22),1))&gt;0,SUMIFS(OverValue,OverEmp,$C22,OverEarn,H$2,OverDate,"&lt;"&amp;DATE(YEAR($AC22),MONTH($AC22)+1,1),OverEnd,"&gt;="&amp;DATE(YEAR($AC22),MONTH($AC22),1)),0))</f>
        <v>0</v>
      </c>
      <c r="I22" s="133" cm="1">
        <f t="array" aca="1" ref="I22" ca="1">IF($F22&lt;&gt;"Active",0,IF(COUNTIFS(OverEmp,$C22,OverEarn,I$2,OverDate,"&lt;"&amp;DATE(YEAR($AC22),MONTH($AC22)+1,1),OverEnd,"&gt;="&amp;DATE(YEAR($AC22),MONTH($AC22),1))&gt;0,SUMIFS(OverValue,OverEmp,$C22,OverEarn,I$2,OverDate,"&lt;"&amp;DATE(YEAR($AC22),MONTH($AC22)+1,1),OverEnd,"&gt;="&amp;DATE(YEAR($AC22),MONTH($AC22),1)),IF(MONTH(B22)=Setup!$C$15,SUMIFS(EmpBonus,EmpCode,$C22),0)))</f>
        <v>0</v>
      </c>
      <c r="J22" s="133" cm="1">
        <f t="array" aca="1" ref="J22" ca="1">IF($F22&lt;&gt;"Active",0,IF(COUNTIFS(OverEmp,$C22,OverEarn,J$2,OverDate,"&lt;"&amp;DATE(YEAR($AC22),MONTH($AC22)+1,1),OverEnd,"&gt;="&amp;DATE(YEAR($AC22),MONTH($AC22),1))&gt;0,SUMIFS(OverValue,OverEmp,$C22,OverEarn,J$2,OverDate,"&lt;"&amp;DATE(YEAR($AC22),MONTH($AC22)+1,1),OverEnd,"&gt;="&amp;DATE(YEAR($AC22),MONTH($AC22),1)),0))</f>
        <v>0</v>
      </c>
      <c r="K22" s="133" cm="1">
        <f t="array" aca="1" ref="K22" ca="1">IF($F22&lt;&gt;"Active",0,IF(COUNTIFS(OverEmp,$C22,OverEarn,K$2,OverDate,"&lt;"&amp;DATE(YEAR($AC22),MONTH($AC22)+1,1),OverEnd,"&gt;="&amp;DATE(YEAR($AC22),MONTH($AC22),1))&gt;0,SUMIFS(OverValue,OverEmp,$C22,OverEarn,K$2,OverDate,"&lt;"&amp;DATE(YEAR($AC22),MONTH($AC22)+1,1),OverEnd,"&gt;="&amp;DATE(YEAR($AC22),MONTH($AC22),1)),0))</f>
        <v>0</v>
      </c>
      <c r="L22" s="185">
        <f t="shared" ca="1" si="0"/>
        <v>150000</v>
      </c>
      <c r="M22" s="182" cm="1">
        <f t="array" aca="1" ref="M22" ca="1">IF(COUNTIFS(OverEmp,$C22,OverTax,M$5,OverDate,"&lt;"&amp;DATE(YEAR($AC22),MONTH($AC22)+1,1),OverEnd,"&gt;="&amp;DATE(YEAR($AC22),MONTH($AC22),1))&gt;0,SUMIFS(OverValue,OverEmp,$C22,OverTax,M$5,OverDate,"&lt;"&amp;DATE(YEAR($AC22),MONTH($AC22)+1,1),OverEnd,"&gt;="&amp;DATE(YEAR($AC22),MONTH($AC22),1)),(($BA22/12*$AA22)+(BB22*IF(1-$BC22=0,0,BD22/(1-$BC22))))-IF($F22="Terminated",0,SUMIFS(PayTaxDeduct,PayDate,"&lt;"&amp;$AC22,PayEmp,$C22)))</f>
        <v>45611.833333333336</v>
      </c>
      <c r="N22" s="133" cm="1">
        <f t="array" aca="1" ref="N22" ca="1">IF($F22="Terminated",0,IF($AA22=0,0,IF(ISNA(MATCH(N$5,DedListItem,0)),0,IF(COUNTIFS(OverEmp,$C22,OverDeduct,N$5,OverDate,"&lt;"&amp;DATE(YEAR($AC22),MONTH($AC22)+1,1),OverEnd,"&gt;="&amp;DATE(YEAR($AC22),MONTH($AC22),1))&gt;0,SUMIFS(OverValue,OverEmp,$C22,OverDeduct,N$5,OverDate,"&lt;"&amp;DATE(YEAR($AC22),MONTH($AC22)+1,1),OverEnd,"&gt;="&amp;DATE(YEAR($AC22),MONTH($AC22),1)),IF(OR(N$2="Fixed",N$2="Not Used"),(IF(COUNTIFS(EmpNo,$C22,OFFSET(Emp!$R$4,1,MATCH(N$5,DedListItem,0)-1,EmpCount,1),"&lt;&gt;")&gt;0,VLOOKUP($C22,EmpAll,COLUMN(Emp!$R$4)+MATCH(N$5,DedListItem,0)-1,0),OFFSET(Setup!$E$73,MATCH(N$5,DedListItem,0),0,1,1))*$AA22)-SUMIFS(OFFSET(N$6,1,0,PayCount,1),PayDate,"&lt;"&amp;$AC22,PayEmp,$C22),IF(ISNA(MATCH(N$2,EarnListItem,0))=FALSE,IF(OFFSET(Setup!$G$73,MATCH(N$5,DedListItem,0),0,1,1)="Taxable",SUMPRODUCT((PayEmp=$C22)*(PayDate&lt;=$AC22)*(PayEarnCode=N$2)*(PayEarnTax)*(PayEarnValues)),SUMPRODUCT((PayEmp=$C22)*(PayDate&lt;=$AC22)*(PayEarnCode=N$2)*(PayEarnValues)))*IF(COUNTIFS(EmpNo,$C22,OFFSET(Emp!$R$4,1,MATCH(N$5,DedListItem,0)-1,EmpCount,1),"&lt;&gt;")&gt;0,VLOOKUP($C22,EmpAll,COLUMN(Emp!$R$4)+MATCH(N$5,DedListItem,0)-1,0),OFFSET(Setup!$E$73,MATCH(N$5,DedListItem,0),0,1,1)),(MIN(IF(OFFSET(Setup!$G$73,MATCH(N$5,DedListItem,0),0,1,1)="Taxable",SUMPRODUCT((PayEmp=$C22)*(PayDate&lt;=$AC22)*(ISERROR(SEARCH(PayEarnCode,N$4)))*(PayEarnTax)*(PayEarnValues)),SUMPRODUCT((PayEmp=$C22)*(PayDate&lt;=$AC22)*(ISERROR(SEARCH(PayEarnCode,N$4)))*(PayEarnValues))),IF(ISNUMBER(N$3),N$3/12*$AA22,IgnoreMin)))*IF(COUNTIFS(EmpNo,$C22,OFFSET(Emp!$R$4,1,MATCH(N$5,DedListItem,0)-1,EmpCount,1),"&lt;&gt;")&gt;0,VLOOKUP($C22,EmpAll,COLUMN(Emp!$R$4)+MATCH(N$5,DedListItem,0)-1,0),OFFSET(Setup!$E$73,MATCH(N$5,DedListItem,0),0,1,1)))-SUMIFS(OFFSET(N$6,1,0,PayCount,1),PayDate,"&lt;"&amp;$AC22,PayEmp,$C22))))))</f>
        <v>177.12</v>
      </c>
      <c r="O22" s="133" cm="1">
        <f t="array" aca="1" ref="O22" ca="1">IF($F22="Terminated",0,IF($AA22=0,0,IF(ISNA(MATCH(O$5,DedListItem,0)),0,IF(COUNTIFS(OverEmp,$C22,OverDeduct,O$5,OverDate,"&lt;"&amp;DATE(YEAR($AC22),MONTH($AC22)+1,1),OverEnd,"&gt;="&amp;DATE(YEAR($AC22),MONTH($AC22),1))&gt;0,SUMIFS(OverValue,OverEmp,$C22,OverDeduct,O$5,OverDate,"&lt;"&amp;DATE(YEAR($AC22),MONTH($AC22)+1,1),OverEnd,"&gt;="&amp;DATE(YEAR($AC22),MONTH($AC22),1)),IF(OR(O$2="Fixed",O$2="Not Used"),(IF(COUNTIFS(EmpNo,$C22,OFFSET(Emp!$R$4,1,MATCH(O$5,DedListItem,0)-1,EmpCount,1),"&lt;&gt;")&gt;0,VLOOKUP($C22,EmpAll,COLUMN(Emp!$R$4)+MATCH(O$5,DedListItem,0)-1,0),OFFSET(Setup!$E$73,MATCH(O$5,DedListItem,0),0,1,1))*$AA22)-SUMIFS(OFFSET(O$6,1,0,PayCount,1),PayDate,"&lt;"&amp;$AC22,PayEmp,$C22),IF(ISNA(MATCH(O$2,EarnListItem,0))=FALSE,IF(OFFSET(Setup!$G$73,MATCH(O$5,DedListItem,0),0,1,1)="Taxable",SUMPRODUCT((PayEmp=$C22)*(PayDate&lt;=$AC22)*(PayEarnCode=O$2)*(PayEarnTax)*(PayEarnValues)),SUMPRODUCT((PayEmp=$C22)*(PayDate&lt;=$AC22)*(PayEarnCode=O$2)*(PayEarnValues)))*IF(COUNTIFS(EmpNo,$C22,OFFSET(Emp!$R$4,1,MATCH(O$5,DedListItem,0)-1,EmpCount,1),"&lt;&gt;")&gt;0,VLOOKUP($C22,EmpAll,COLUMN(Emp!$R$4)+MATCH(O$5,DedListItem,0)-1,0),OFFSET(Setup!$E$73,MATCH(O$5,DedListItem,0),0,1,1)),(MIN(IF(OFFSET(Setup!$G$73,MATCH(O$5,DedListItem,0),0,1,1)="Taxable",SUMPRODUCT((PayEmp=$C22)*(PayDate&lt;=$AC22)*(ISERROR(SEARCH(PayEarnCode,O$4)))*(PayEarnTax)*(PayEarnValues)),SUMPRODUCT((PayEmp=$C22)*(PayDate&lt;=$AC22)*(ISERROR(SEARCH(PayEarnCode,O$4)))*(PayEarnValues))),IF(ISNUMBER(O$3),O$3/12*$AA22,IgnoreMin)))*IF(COUNTIFS(EmpNo,$C22,OFFSET(Emp!$R$4,1,MATCH(O$5,DedListItem,0)-1,EmpCount,1),"&lt;&gt;")&gt;0,VLOOKUP($C22,EmpAll,COLUMN(Emp!$R$4)+MATCH(O$5,DedListItem,0)-1,0),OFFSET(Setup!$E$73,MATCH(O$5,DedListItem,0),0,1,1)))-SUMIFS(OFFSET(O$6,1,0,PayCount,1),PayDate,"&lt;"&amp;$AC22,PayEmp,$C22))))))</f>
        <v>11250</v>
      </c>
      <c r="P22" s="133" cm="1">
        <f t="array" aca="1" ref="P22" ca="1">IF($F22="Terminated",0,IF($AA22=0,0,IF(ISNA(MATCH(P$5,DedListItem,0)),0,IF(COUNTIFS(OverEmp,$C22,OverDeduct,P$5,OverDate,"&lt;"&amp;DATE(YEAR($AC22),MONTH($AC22)+1,1),OverEnd,"&gt;="&amp;DATE(YEAR($AC22),MONTH($AC22),1))&gt;0,SUMIFS(OverValue,OverEmp,$C22,OverDeduct,P$5,OverDate,"&lt;"&amp;DATE(YEAR($AC22),MONTH($AC22)+1,1),OverEnd,"&gt;="&amp;DATE(YEAR($AC22),MONTH($AC22),1)),IF(OR(P$2="Fixed",P$2="Not Used"),(IF(COUNTIFS(EmpNo,$C22,OFFSET(Emp!$R$4,1,MATCH(P$5,DedListItem,0)-1,EmpCount,1),"&lt;&gt;")&gt;0,VLOOKUP($C22,EmpAll,COLUMN(Emp!$R$4)+MATCH(P$5,DedListItem,0)-1,0),OFFSET(Setup!$E$73,MATCH(P$5,DedListItem,0),0,1,1))*$AA22)-SUMIFS(OFFSET(P$6,1,0,PayCount,1),PayDate,"&lt;"&amp;$AC22,PayEmp,$C22),IF(ISNA(MATCH(P$2,EarnListItem,0))=FALSE,IF(OFFSET(Setup!$G$73,MATCH(P$5,DedListItem,0),0,1,1)="Taxable",SUMPRODUCT((PayEmp=$C22)*(PayDate&lt;=$AC22)*(PayEarnCode=P$2)*(PayEarnTax)*(PayEarnValues)),SUMPRODUCT((PayEmp=$C22)*(PayDate&lt;=$AC22)*(PayEarnCode=P$2)*(PayEarnValues)))*IF(COUNTIFS(EmpNo,$C22,OFFSET(Emp!$R$4,1,MATCH(P$5,DedListItem,0)-1,EmpCount,1),"&lt;&gt;")&gt;0,VLOOKUP($C22,EmpAll,COLUMN(Emp!$R$4)+MATCH(P$5,DedListItem,0)-1,0),OFFSET(Setup!$E$73,MATCH(P$5,DedListItem,0),0,1,1)),(MIN(IF(OFFSET(Setup!$G$73,MATCH(P$5,DedListItem,0),0,1,1)="Taxable",SUMPRODUCT((PayEmp=$C22)*(PayDate&lt;=$AC22)*(ISERROR(SEARCH(PayEarnCode,P$4)))*(PayEarnTax)*(PayEarnValues)),SUMPRODUCT((PayEmp=$C22)*(PayDate&lt;=$AC22)*(ISERROR(SEARCH(PayEarnCode,P$4)))*(PayEarnValues))),IF(ISNUMBER(P$3),P$3/12*$AA22,IgnoreMin)))*IF(COUNTIFS(EmpNo,$C22,OFFSET(Emp!$R$4,1,MATCH(P$5,DedListItem,0)-1,EmpCount,1),"&lt;&gt;")&gt;0,VLOOKUP($C22,EmpAll,COLUMN(Emp!$R$4)+MATCH(P$5,DedListItem,0)-1,0),OFFSET(Setup!$E$73,MATCH(P$5,DedListItem,0),0,1,1)))-SUMIFS(OFFSET(P$6,1,0,PayCount,1),PayDate,"&lt;"&amp;$AC22,PayEmp,$C22))))))</f>
        <v>0</v>
      </c>
      <c r="Q22" s="133" cm="1">
        <f t="array" aca="1" ref="Q22" ca="1">IF($F22="Terminated",0,IF($AA22=0,0,IF(ISNA(MATCH(Q$5,DedListItem,0)),0,IF(COUNTIFS(OverEmp,$C22,OverDeduct,Q$5,OverDate,"&lt;"&amp;DATE(YEAR($AC22),MONTH($AC22)+1,1),OverEnd,"&gt;="&amp;DATE(YEAR($AC22),MONTH($AC22),1))&gt;0,SUMIFS(OverValue,OverEmp,$C22,OverDeduct,Q$5,OverDate,"&lt;"&amp;DATE(YEAR($AC22),MONTH($AC22)+1,1),OverEnd,"&gt;="&amp;DATE(YEAR($AC22),MONTH($AC22),1)),IF(OR(Q$2="Fixed",Q$2="Not Used"),(IF(COUNTIFS(EmpNo,$C22,OFFSET(Emp!$R$4,1,MATCH(Q$5,DedListItem,0)-1,EmpCount,1),"&lt;&gt;")&gt;0,VLOOKUP($C22,EmpAll,COLUMN(Emp!$R$4)+MATCH(Q$5,DedListItem,0)-1,0),OFFSET(Setup!$E$73,MATCH(Q$5,DedListItem,0),0,1,1))*$AA22)-SUMIFS(OFFSET(Q$6,1,0,PayCount,1),PayDate,"&lt;"&amp;$AC22,PayEmp,$C22),IF(ISNA(MATCH(Q$2,EarnListItem,0))=FALSE,IF(OFFSET(Setup!$G$73,MATCH(Q$5,DedListItem,0),0,1,1)="Taxable",SUMPRODUCT((PayEmp=$C22)*(PayDate&lt;=$AC22)*(PayEarnCode=Q$2)*(PayEarnTax)*(PayEarnValues)),SUMPRODUCT((PayEmp=$C22)*(PayDate&lt;=$AC22)*(PayEarnCode=Q$2)*(PayEarnValues)))*IF(COUNTIFS(EmpNo,$C22,OFFSET(Emp!$R$4,1,MATCH(Q$5,DedListItem,0)-1,EmpCount,1),"&lt;&gt;")&gt;0,VLOOKUP($C22,EmpAll,COLUMN(Emp!$R$4)+MATCH(Q$5,DedListItem,0)-1,0),OFFSET(Setup!$E$73,MATCH(Q$5,DedListItem,0),0,1,1)),(MIN(IF(OFFSET(Setup!$G$73,MATCH(Q$5,DedListItem,0),0,1,1)="Taxable",SUMPRODUCT((PayEmp=$C22)*(PayDate&lt;=$AC22)*(ISERROR(SEARCH(PayEarnCode,Q$4)))*(PayEarnTax)*(PayEarnValues)),SUMPRODUCT((PayEmp=$C22)*(PayDate&lt;=$AC22)*(ISERROR(SEARCH(PayEarnCode,Q$4)))*(PayEarnValues))),IF(ISNUMBER(Q$3),Q$3/12*$AA22,IgnoreMin)))*IF(COUNTIFS(EmpNo,$C22,OFFSET(Emp!$R$4,1,MATCH(Q$5,DedListItem,0)-1,EmpCount,1),"&lt;&gt;")&gt;0,VLOOKUP($C22,EmpAll,COLUMN(Emp!$R$4)+MATCH(Q$5,DedListItem,0)-1,0),OFFSET(Setup!$E$73,MATCH(Q$5,DedListItem,0),0,1,1)))-SUMIFS(OFFSET(Q$6,1,0,PayCount,1),PayDate,"&lt;"&amp;$AC22,PayEmp,$C22))))))</f>
        <v>0</v>
      </c>
      <c r="R22" s="185">
        <f t="shared" ca="1" si="1"/>
        <v>57038.953333333338</v>
      </c>
      <c r="S22" s="139">
        <f t="shared" ca="1" si="2"/>
        <v>92961.05</v>
      </c>
      <c r="T22" s="133" cm="1">
        <f t="array" aca="1" ref="T22" ca="1">IF($F22="Terminated",0,IF($AA22=0,0,IF(ISNA(MATCH(T$5,CompListItem,0)),0,IF(COUNTIFS(OverEmp,$C22,OverComp,T$5,OverDate,"&lt;"&amp;DATE(YEAR($AC22),MONTH($AC22)+1,1),OverEnd,"&gt;="&amp;DATE(YEAR($AC22),MONTH($AC22),1))&gt;0,SUMIFS(OverValue,OverEmp,$C22,OverComp,T$5,OverDate,"&lt;"&amp;DATE(YEAR($AC22),MONTH($AC22)+1,1),OverEnd,"&gt;="&amp;DATE(YEAR($AC22),MONTH($AC22),1)),IF(OR(T$2="Fixed",T$2="Not Used"),(OFFSET(Setup!$E$81,MATCH(T$5,CompListItem,0),0,1,1)*$AA22)-SUMIFS(OFFSET(T$6,1,0,PayCount,1),PayDate,"&lt;"&amp;$AC22,PayEmp,$C22),IF(ISNA(MATCH(T$2,DedListItem,0))=FALSE,(SUMPRODUCT((PayEmp=$C22)*(PayDate&lt;=$AC22)*(PayDedList=T$2)*(PayDedValues))*OFFSET(Setup!$E$81,MATCH(T$5,CompListItem,0),0,1,1))-SUMIFS(OFFSET(T$6,1,0,PayCount,1),PayDate,"&lt;"&amp;$AC22,PayEmp,$C22),(MIN(IF(OFFSET(Setup!$G$81,MATCH(T$5,CompListItem,0),0,1,1)="Taxable",SUMPRODUCT((PayEmp=$C22)*(PayDate&lt;=$AC22)*(ISERROR(SEARCH(PayEarnCode,T$4)))*(PayEarnTax)*(PayEarnValues)),SUMPRODUCT((PayEmp=$C22)*(PayDate&lt;=$AC22)*(ISERROR(SEARCH(PayEarnCode,T$4)))*(PayEarnValues))),IF(ISNUMBER(T$3),T$3/12*$AA22,IgnoreMin)))*OFFSET(Setup!$E$81,MATCH(T$5,CompListItem,0),0,1,1)-SUMIFS(OFFSET(T$6,1,0,PayCount,1),PayDate,"&lt;"&amp;$AC22,PayEmp,$C22)))))))</f>
        <v>177.12</v>
      </c>
      <c r="U22" s="133" cm="1">
        <f t="array" aca="1" ref="U22" ca="1">IF($F22="Terminated",0,IF($AA22=0,0,IF(ISNA(MATCH(U$5,CompListItem,0)),0,IF(COUNTIFS(OverEmp,$C22,OverComp,U$5,OverDate,"&lt;"&amp;DATE(YEAR($AC22),MONTH($AC22)+1,1),OverEnd,"&gt;="&amp;DATE(YEAR($AC22),MONTH($AC22),1))&gt;0,SUMIFS(OverValue,OverEmp,$C22,OverComp,U$5,OverDate,"&lt;"&amp;DATE(YEAR($AC22),MONTH($AC22)+1,1),OverEnd,"&gt;="&amp;DATE(YEAR($AC22),MONTH($AC22),1)),IF(OR(U$2="Fixed",U$2="Not Used"),(OFFSET(Setup!$E$81,MATCH(U$5,CompListItem,0),0,1,1)*$AA22)-SUMIFS(OFFSET(U$6,1,0,PayCount,1),PayDate,"&lt;"&amp;$AC22,PayEmp,$C22),IF(ISNA(MATCH(U$2,DedListItem,0))=FALSE,(SUMPRODUCT((PayEmp=$C22)*(PayDate&lt;=$AC22)*(PayDedList=U$2)*(PayDedValues))*OFFSET(Setup!$E$81,MATCH(U$5,CompListItem,0),0,1,1))-SUMIFS(OFFSET(U$6,1,0,PayCount,1),PayDate,"&lt;"&amp;$AC22,PayEmp,$C22),(MIN(IF(OFFSET(Setup!$G$81,MATCH(U$5,CompListItem,0),0,1,1)="Taxable",SUMPRODUCT((PayEmp=$C22)*(PayDate&lt;=$AC22)*(ISERROR(SEARCH(PayEarnCode,U$4)))*(PayEarnTax)*(PayEarnValues)),SUMPRODUCT((PayEmp=$C22)*(PayDate&lt;=$AC22)*(ISERROR(SEARCH(PayEarnCode,U$4)))*(PayEarnValues))),IF(ISNUMBER(U$3),U$3/12*$AA22,IgnoreMin)))*OFFSET(Setup!$E$81,MATCH(U$5,CompListItem,0),0,1,1)-SUMIFS(OFFSET(U$6,1,0,PayCount,1),PayDate,"&lt;"&amp;$AC22,PayEmp,$C22)))))))</f>
        <v>1500</v>
      </c>
      <c r="V22" s="133" cm="1">
        <f t="array" aca="1" ref="V22" ca="1">IF($F22="Terminated",0,IF($AA22=0,0,IF(ISNA(MATCH(V$5,CompListItem,0)),0,IF(COUNTIFS(OverEmp,$C22,OverComp,V$5,OverDate,"&lt;"&amp;DATE(YEAR($AC22),MONTH($AC22)+1,1),OverEnd,"&gt;="&amp;DATE(YEAR($AC22),MONTH($AC22),1))&gt;0,SUMIFS(OverValue,OverEmp,$C22,OverComp,V$5,OverDate,"&lt;"&amp;DATE(YEAR($AC22),MONTH($AC22)+1,1),OverEnd,"&gt;="&amp;DATE(YEAR($AC22),MONTH($AC22),1)),IF(OR(V$2="Fixed",V$2="Not Used"),(OFFSET(Setup!$E$81,MATCH(V$5,CompListItem,0),0,1,1)*$AA22)-SUMIFS(OFFSET(V$6,1,0,PayCount,1),PayDate,"&lt;"&amp;$AC22,PayEmp,$C22),IF(ISNA(MATCH(V$2,DedListItem,0))=FALSE,(SUMPRODUCT((PayEmp=$C22)*(PayDate&lt;=$AC22)*(PayDedList=V$2)*(PayDedValues))*OFFSET(Setup!$E$81,MATCH(V$5,CompListItem,0),0,1,1))-SUMIFS(OFFSET(V$6,1,0,PayCount,1),PayDate,"&lt;"&amp;$AC22,PayEmp,$C22),(MIN(IF(OFFSET(Setup!$G$81,MATCH(V$5,CompListItem,0),0,1,1)="Taxable",SUMPRODUCT((PayEmp=$C22)*(PayDate&lt;=$AC22)*(ISERROR(SEARCH(PayEarnCode,V$4)))*(PayEarnTax)*(PayEarnValues)),SUMPRODUCT((PayEmp=$C22)*(PayDate&lt;=$AC22)*(ISERROR(SEARCH(PayEarnCode,V$4)))*(PayEarnValues))),IF(ISNUMBER(V$3),V$3/12*$AA22,IgnoreMin)))*OFFSET(Setup!$E$81,MATCH(V$5,CompListItem,0),0,1,1)-SUMIFS(OFFSET(V$6,1,0,PayCount,1),PayDate,"&lt;"&amp;$AC22,PayEmp,$C22)))))))</f>
        <v>0</v>
      </c>
      <c r="W22" s="133" cm="1">
        <f t="array" aca="1" ref="W22" ca="1">IF($F22="Terminated",0,IF($AA22=0,0,IF(ISNA(MATCH(W$5,CompListItem,0)),0,IF(COUNTIFS(OverEmp,$C22,OverComp,W$5,OverDate,"&lt;"&amp;DATE(YEAR($AC22),MONTH($AC22)+1,1),OverEnd,"&gt;="&amp;DATE(YEAR($AC22),MONTH($AC22),1))&gt;0,SUMIFS(OverValue,OverEmp,$C22,OverComp,W$5,OverDate,"&lt;"&amp;DATE(YEAR($AC22),MONTH($AC22)+1,1),OverEnd,"&gt;="&amp;DATE(YEAR($AC22),MONTH($AC22),1)),IF(OR(W$2="Fixed",W$2="Not Used"),(OFFSET(Setup!$E$81,MATCH(W$5,CompListItem,0),0,1,1)*$AA22)-SUMIFS(OFFSET(W$6,1,0,PayCount,1),PayDate,"&lt;"&amp;$AC22,PayEmp,$C22),IF(ISNA(MATCH(W$2,DedListItem,0))=FALSE,(SUMPRODUCT((PayEmp=$C22)*(PayDate&lt;=$AC22)*(PayDedList=W$2)*(PayDedValues))*OFFSET(Setup!$E$81,MATCH(W$5,CompListItem,0),0,1,1))-SUMIFS(OFFSET(W$6,1,0,PayCount,1),PayDate,"&lt;"&amp;$AC22,PayEmp,$C22),(MIN(IF(OFFSET(Setup!$G$81,MATCH(W$5,CompListItem,0),0,1,1)="Taxable",SUMPRODUCT((PayEmp=$C22)*(PayDate&lt;=$AC22)*(ISERROR(SEARCH(PayEarnCode,W$4)))*(PayEarnTax)*(PayEarnValues)),SUMPRODUCT((PayEmp=$C22)*(PayDate&lt;=$AC22)*(ISERROR(SEARCH(PayEarnCode,W$4)))*(PayEarnValues))),IF(ISNUMBER(W$3),W$3/12*$AA22,IgnoreMin)))*OFFSET(Setup!$E$81,MATCH(W$5,CompListItem,0),0,1,1)-SUMIFS(OFFSET(W$6,1,0,PayCount,1),PayDate,"&lt;"&amp;$AC22,PayEmp,$C22)))))))</f>
        <v>0</v>
      </c>
      <c r="X22" s="185">
        <f t="shared" ca="1" si="3"/>
        <v>1677.12</v>
      </c>
      <c r="Y22" s="139">
        <f t="shared" ca="1" si="4"/>
        <v>151677.12</v>
      </c>
      <c r="Z22" s="139">
        <f t="shared" ca="1" si="5"/>
        <v>58716.07</v>
      </c>
      <c r="AA22" s="146">
        <f ca="1">IF(OR($B22&lt;=Setup!$E$12,$B22&gt;=Setup!$D$12+1),0,IF($F22&lt;&gt;"Active",0,IF($AE22="Yes",$AB22,((YEAR($AC22)*12)+MONTH($AC22))-((YEAR($AD22)*12)+MONTH($AD22)-1))))</f>
        <v>2</v>
      </c>
      <c r="AB22" s="146">
        <f ca="1">IF(OR($B22&lt;=Setup!$E$12,$B22&gt;=Setup!$D$12+1),0,((YEAR($AC22)*12)+MONTH($AC22))-((YEAR(Setup!$E$12)*12)+MONTH(Setup!$E$12)))</f>
        <v>2</v>
      </c>
      <c r="AC22" s="186">
        <f t="shared" ca="1" si="6"/>
        <v>45041</v>
      </c>
      <c r="AD22" s="144">
        <f ca="1">IF(ISNA(VLOOKUP($C22,EmpAll,COLUMN(Emp!$E$4),0)),$AC22,IF(VLOOKUP($C22,EmpAll,COLUMN(Emp!$E$4),0)&lt;=Setup!$E$12,DATE(YEAR(Setup!$E$12),MONTH(Setup!$E$12)+1,1),VLOOKUP($C22,EmpAll,COLUMN(Emp!$E$4),0)))</f>
        <v>44986</v>
      </c>
      <c r="AE22" s="144" t="str">
        <f ca="1">IF(ISNA(VLOOKUP($C22,EmpAll,COLUMN(Emp!$G$1),0)),"-",IF(VLOOKUP($C22,EmpAll,COLUMN(Emp!$G$1),0)=0,"-",VLOOKUP($C22,EmpAll,COLUMN(Emp!$G$1),0)))</f>
        <v>-</v>
      </c>
      <c r="AF22" s="145">
        <f ca="1">IF(A22=PaySlip!$G$3,1,0)</f>
        <v>0</v>
      </c>
      <c r="AG22" s="130" cm="1">
        <f t="array" aca="1" ref="AG22" ca="1">IF(COUNTIFS(OverEmp,$C22,OverMed,"MED",OverDate,"&lt;"&amp;DATE(YEAR($AC22),MONTH($AC22)+1,1),OverEnd,"&gt;="&amp;DATE(YEAR($AC22),MONTH($AC22),1))&gt;0,SUMIFS(OverValue,OverEmp,$C22,OverMed,"MED",OverDate,"&lt;"&amp;DATE(YEAR($AC22),MONTH($AC22)+1,1),OverEnd,"&gt;="&amp;DATE(YEAR($AC22),MONTH($AC22),1)),IF(ISNA(VLOOKUP($C22,EmpAll,COLUMN(Emp!$N$4),0)),0,VLOOKUP($C22,EmpAll,COLUMN(Emp!$N$4),0)))</f>
        <v>5</v>
      </c>
      <c r="AH22" s="146">
        <f ca="1">VLOOKUP($AG22,MedList,COLUMN(Setup!$C$49),1)</f>
        <v>1466</v>
      </c>
      <c r="AI22" s="146">
        <f t="shared" ca="1" si="7"/>
        <v>17592</v>
      </c>
      <c r="AJ22" s="101" t="str">
        <f ca="1">IF(ISNA(VLOOKUP($C22,EmpAll,COLUMN(Emp!$L$4),0)),"None!",VLOOKUP($C22,EmpAll,COLUMN(Emp!$L$4),0))</f>
        <v>A</v>
      </c>
      <c r="AK22" s="147">
        <f t="shared" ca="1" si="8"/>
        <v>17235</v>
      </c>
      <c r="AL22" s="101" t="str">
        <f ca="1">IF(ISNA(VLOOKUP($C22,Employees[],COLUMN(Emp!$M$4),0))=TRUE,"Error!",IF(VLOOKUP($C22,Employees[],COLUMN(Emp!$M$4),0)=0,"Yes",VLOOKUP($C22,Employees[],COLUMN(Emp!$M$4),0)))</f>
        <v>A</v>
      </c>
      <c r="AM22" s="148">
        <f t="shared" ca="1" si="9"/>
        <v>1800000</v>
      </c>
      <c r="AN22" s="148" cm="1">
        <f t="array" aca="1" ref="AN22" ca="1">-IF($F22="Terminated",0,IF($AA22=0,0,IF(ISNA(MATCH(AN$5,PayDedList,0)),0,MIN(IF(COUNTIFS(OverEmp,$C22,OverDeduct,AN$5,OverDate,"&lt;"&amp;DATE(YEAR($AC22),MONTH($AC22)+1,1),OverEnd,"&gt;="&amp;DATE(YEAR($AC22),MONTH($AC22),1))&gt;0,SUMPRODUCT((PayEmp=$C22)*(PayDate&lt;=$AC22)*(OFFSET($N$6,1,MATCH(AN$5,PayDedList,0)-1,PayCount,1)))/$AA22*12*AN$3,IF(OR(AN$1="Fixed",AN$1="Not Used"),SUMPRODUCT((PayEmp=$C22)*(PayDate&lt;=$AC22)*(OFFSET($N$6,1,MATCH(AN$5,PayDedList,0)-1,PayCount,1)))/$AA22*12*AN$3,IF(ISNA(MATCH(AN$1,EarnListItem,0))=FALSE,SUMPRODUCT((PayEmp=$C22)*(PayDate&lt;=$AC22)*(OFFSET($N$6,1,MATCH(AN$5,PayDedList,0)-1,PayCount,1)))/$AA22*12*AN$3,(MIN(((SUMPRODUCT((PayEmp=$C22)*(PayDate&lt;=$AC22)*(ISERROR(SEARCH(PayEarnCode,AN$2)))*(PayEarnType="Monthly")*(PayEarnValues))/$AA22*12)+(SUMPRODUCT((PayEmp=$C22)*(PayDate&lt;=$AC22)*(ISERROR(SEARCH(PayEarnCode,AN$2)))*(PayEarnType="Quarterly")*(PayEarnValues))/MAX(1,ROUNDDOWN($AB22/3,0))*4)+(SUMPRODUCT((PayEmp=$C22)*(PayDate&lt;=$AC22)*(ISERROR(SEARCH(PayEarnCode,AN$2)))*(PayEarnType="Bi-Annual")*(PayEarnValues))/MAX(1,ROUNDDOWN($AB22/6,0))*2)+(SUMPRODUCT((PayEmp=$C22)*(PayDate&lt;=$AC22)*(ISERROR(SEARCH(PayEarnCode,AN$2)))*(PayEarnType="Annual")*(PayEarnValues)))),IF(ISNUMBER(OFFSET($N$3,0,MATCH(AN$5,PayDedList,0)-1,1,1)),OFFSET($N$3,0,MATCH(AN$5,PayDedList,0)-1,1,1),IgnoreMin)))*IF(COUNTIFS(EmpNo,$C22,OFFSET(Emp!$R$4,1,MATCH(AN$5,DedListItem,0)-1,EmpCount,1),"&lt;&gt;")&gt;0,VLOOKUP($C22,EmpAll,COLUMN(Emp!$R$4)+MATCH(AN$5,DedListItem,0)-1,0),OFFSET(Setup!$E$73,MATCH(AN$5,DedListItem,0),0,1,1))*AN$3))),IF(ISNUMBER(AN$4),AN$4,IgnoreMin)))))</f>
        <v>0</v>
      </c>
      <c r="AO22" s="148" cm="1">
        <f t="array" aca="1" ref="AO22" ca="1">-IF($F22="Terminated",0,IF($AA22=0,0,IF(ISNA(MATCH(AO$5,PayDedList,0)),0,MIN(IF(COUNTIFS(OverEmp,$C22,OverDeduct,AO$5,OverDate,"&lt;"&amp;DATE(YEAR($AC22),MONTH($AC22)+1,1),OverEnd,"&gt;="&amp;DATE(YEAR($AC22),MONTH($AC22),1))&gt;0,SUMPRODUCT((PayEmp=$C22)*(PayDate&lt;=$AC22)*(OFFSET($N$6,1,MATCH(AO$5,PayDedList,0)-1,PayCount,1)))/$AA22*12*AO$3,IF(OR(AO$1="Fixed",AO$1="Not Used"),SUMPRODUCT((PayEmp=$C22)*(PayDate&lt;=$AC22)*(OFFSET($N$6,1,MATCH(AO$5,PayDedList,0)-1,PayCount,1)))/$AA22*12*AO$3,IF(ISNA(MATCH(AO$1,EarnListItem,0))=FALSE,SUMPRODUCT((PayEmp=$C22)*(PayDate&lt;=$AC22)*(OFFSET($N$6,1,MATCH(AO$5,PayDedList,0)-1,PayCount,1)))/$AA22*12*AO$3,(MIN(((SUMPRODUCT((PayEmp=$C22)*(PayDate&lt;=$AC22)*(ISERROR(SEARCH(PayEarnCode,AO$2)))*(PayEarnType="Monthly")*(PayEarnValues))/$AA22*12)+(SUMPRODUCT((PayEmp=$C22)*(PayDate&lt;=$AC22)*(ISERROR(SEARCH(PayEarnCode,AO$2)))*(PayEarnType="Quarterly")*(PayEarnValues))/MAX(1,ROUNDDOWN($AB22/3,0))*4)+(SUMPRODUCT((PayEmp=$C22)*(PayDate&lt;=$AC22)*(ISERROR(SEARCH(PayEarnCode,AO$2)))*(PayEarnType="Bi-Annual")*(PayEarnValues))/MAX(1,ROUNDDOWN($AB22/6,0))*2)+(SUMPRODUCT((PayEmp=$C22)*(PayDate&lt;=$AC22)*(ISERROR(SEARCH(PayEarnCode,AO$2)))*(PayEarnType="Annual")*(PayEarnValues)))),IF(ISNUMBER(OFFSET($N$3,0,MATCH(AO$5,PayDedList,0)-1,1,1)),OFFSET($N$3,0,MATCH(AO$5,PayDedList,0)-1,1,1),IgnoreMin)))*IF(COUNTIFS(EmpNo,$C22,OFFSET(Emp!$R$4,1,MATCH(AO$5,DedListItem,0)-1,EmpCount,1),"&lt;&gt;")&gt;0,VLOOKUP($C22,EmpAll,COLUMN(Emp!$R$4)+MATCH(AO$5,DedListItem,0)-1,0),OFFSET(Setup!$E$73,MATCH(AO$5,DedListItem,0),0,1,1))*AO$3))),IF(ISNUMBER(AO$4),AO$4,IgnoreMin)))))</f>
        <v>-135000</v>
      </c>
      <c r="AP22" s="148" cm="1">
        <f t="array" aca="1" ref="AP22" ca="1">-IF($F22="Terminated",0,IF($AA22=0,0,IF(ISNA(MATCH(AP$5,PayDedList,0)),0,MIN(IF(COUNTIFS(OverEmp,$C22,OverDeduct,AP$5,OverDate,"&lt;"&amp;DATE(YEAR($AC22),MONTH($AC22)+1,1),OverEnd,"&gt;="&amp;DATE(YEAR($AC22),MONTH($AC22),1))&gt;0,SUMPRODUCT((PayEmp=$C22)*(PayDate&lt;=$AC22)*(OFFSET($N$6,1,MATCH(AP$5,PayDedList,0)-1,PayCount,1)))/$AA22*12*AP$3,IF(OR(AP$1="Fixed",AP$1="Not Used"),SUMPRODUCT((PayEmp=$C22)*(PayDate&lt;=$AC22)*(OFFSET($N$6,1,MATCH(AP$5,PayDedList,0)-1,PayCount,1)))/$AA22*12*AP$3,IF(ISNA(MATCH(AP$1,EarnListItem,0))=FALSE,SUMPRODUCT((PayEmp=$C22)*(PayDate&lt;=$AC22)*(OFFSET($N$6,1,MATCH(AP$5,PayDedList,0)-1,PayCount,1)))/$AA22*12*AP$3,(MIN(((SUMPRODUCT((PayEmp=$C22)*(PayDate&lt;=$AC22)*(ISERROR(SEARCH(PayEarnCode,AP$2)))*(PayEarnType="Monthly")*(PayEarnValues))/$AA22*12)+(SUMPRODUCT((PayEmp=$C22)*(PayDate&lt;=$AC22)*(ISERROR(SEARCH(PayEarnCode,AP$2)))*(PayEarnType="Quarterly")*(PayEarnValues))/MAX(1,ROUNDDOWN($AB22/3,0))*4)+(SUMPRODUCT((PayEmp=$C22)*(PayDate&lt;=$AC22)*(ISERROR(SEARCH(PayEarnCode,AP$2)))*(PayEarnType="Bi-Annual")*(PayEarnValues))/MAX(1,ROUNDDOWN($AB22/6,0))*2)+(SUMPRODUCT((PayEmp=$C22)*(PayDate&lt;=$AC22)*(ISERROR(SEARCH(PayEarnCode,AP$2)))*(PayEarnType="Annual")*(PayEarnValues)))),IF(ISNUMBER(OFFSET($N$3,0,MATCH(AP$5,PayDedList,0)-1,1,1)),OFFSET($N$3,0,MATCH(AP$5,PayDedList,0)-1,1,1),IgnoreMin)))*IF(COUNTIFS(EmpNo,$C22,OFFSET(Emp!$R$4,1,MATCH(AP$5,DedListItem,0)-1,EmpCount,1),"&lt;&gt;")&gt;0,VLOOKUP($C22,EmpAll,COLUMN(Emp!$R$4)+MATCH(AP$5,DedListItem,0)-1,0),OFFSET(Setup!$E$73,MATCH(AP$5,DedListItem,0),0,1,1))*AP$3))),IF(ISNUMBER(AP$4),AP$4,IgnoreMin)))))</f>
        <v>0</v>
      </c>
      <c r="AQ22" s="148" cm="1">
        <f t="array" aca="1" ref="AQ22" ca="1">-IF($F22="Terminated",0,IF($AA22=0,0,IF(ISNA(MATCH(AQ$5,PayDedList,0)),0,MIN(IF(COUNTIFS(OverEmp,$C22,OverDeduct,AQ$5,OverDate,"&lt;"&amp;DATE(YEAR($AC22),MONTH($AC22)+1,1),OverEnd,"&gt;="&amp;DATE(YEAR($AC22),MONTH($AC22),1))&gt;0,SUMPRODUCT((PayEmp=$C22)*(PayDate&lt;=$AC22)*(OFFSET($N$6,1,MATCH(AQ$5,PayDedList,0)-1,PayCount,1)))/$AA22*12*AQ$3,IF(OR(AQ$1="Fixed",AQ$1="Not Used"),SUMPRODUCT((PayEmp=$C22)*(PayDate&lt;=$AC22)*(OFFSET($N$6,1,MATCH(AQ$5,PayDedList,0)-1,PayCount,1)))/$AA22*12*AQ$3,IF(ISNA(MATCH(AQ$1,EarnListItem,0))=FALSE,SUMPRODUCT((PayEmp=$C22)*(PayDate&lt;=$AC22)*(OFFSET($N$6,1,MATCH(AQ$5,PayDedList,0)-1,PayCount,1)))/$AA22*12*AQ$3,(MIN(((SUMPRODUCT((PayEmp=$C22)*(PayDate&lt;=$AC22)*(ISERROR(SEARCH(PayEarnCode,AQ$2)))*(PayEarnType="Monthly")*(PayEarnValues))/$AA22*12)+(SUMPRODUCT((PayEmp=$C22)*(PayDate&lt;=$AC22)*(ISERROR(SEARCH(PayEarnCode,AQ$2)))*(PayEarnType="Quarterly")*(PayEarnValues))/MAX(1,ROUNDDOWN($AB22/3,0))*4)+(SUMPRODUCT((PayEmp=$C22)*(PayDate&lt;=$AC22)*(ISERROR(SEARCH(PayEarnCode,AQ$2)))*(PayEarnType="Bi-Annual")*(PayEarnValues))/MAX(1,ROUNDDOWN($AB22/6,0))*2)+(SUMPRODUCT((PayEmp=$C22)*(PayDate&lt;=$AC22)*(ISERROR(SEARCH(PayEarnCode,AQ$2)))*(PayEarnType="Annual")*(PayEarnValues)))),IF(ISNUMBER(OFFSET($N$3,0,MATCH(AQ$5,PayDedList,0)-1,1,1)),OFFSET($N$3,0,MATCH(AQ$5,PayDedList,0)-1,1,1),IgnoreMin)))*IF(COUNTIFS(EmpNo,$C22,OFFSET(Emp!$R$4,1,MATCH(AQ$5,DedListItem,0)-1,EmpCount,1),"&lt;&gt;")&gt;0,VLOOKUP($C22,EmpAll,COLUMN(Emp!$R$4)+MATCH(AQ$5,DedListItem,0)-1,0),OFFSET(Setup!$E$73,MATCH(AQ$5,DedListItem,0),0,1,1))*AQ$3))),IF(ISNUMBER(AQ$4),AQ$4,IgnoreMin)))))</f>
        <v>0</v>
      </c>
      <c r="AR22" s="148">
        <f t="shared" ca="1" si="10"/>
        <v>1665000</v>
      </c>
      <c r="AS22" s="148">
        <f t="shared" ca="1" si="11"/>
        <v>1800000</v>
      </c>
      <c r="AT22" s="148" cm="1">
        <f t="array" aca="1" ref="AT22" ca="1">-IF($F22="Terminated",0,IF($AA22=0,0,IF(ISNA(MATCH(AT$5,PayDedList,0)),0,MIN(IF(COUNTIFS(OverEmp,$C22,OverDeduct,AT$5,OverDate,"&lt;"&amp;DATE(YEAR($AC22),MONTH($AC22)+1,1),OverEnd,"&gt;="&amp;DATE(YEAR($AC22),MONTH($AC22),1))&gt;0,SUMPRODUCT((PayEmp=$C22)*(PayDate&lt;=$AC22)*(OFFSET($N$6,1,MATCH(AT$5,PayDedList,0)-1,PayCount,1)))/$AA22*12*AT$3,IF(OR(AT$1="Fixed",AT$1="Not Used"),SUMPRODUCT((PayEmp=$C22)*(PayDate&lt;=$AC22)*(OFFSET($N$6,1,MATCH(AT$5,PayDedList,0)-1,PayCount,1)))/$AA22*12*AT$3,IF(ISNA(MATCH(OFFSET($N$2,0,MATCH(AT$5,PayDedList,0)-1,1,1),EarnListItem,0))=FALSE,SUMPRODUCT((PayEmp=$C22)*(PayDate&lt;=$AC22)*(OFFSET($N$6,1,MATCH(AT$5,PayDedList,0)-1,PayCount,1)))/$AA22*12*AT$3,(MIN(SUMPRODUCT((PayEmp=$C22)*(PayDate&lt;=$AC22)*(ISERROR(SEARCH(PayEarnCode,AT$2)))*(PayEarnType="Monthly")*(PayEarnValues))/$AA22*12,IF(ISNUMBER(OFFSET($N$3,0,MATCH(AT$5,PayDedList,0)-1,1,1)),OFFSET($N$3,0,MATCH(AT$5,PayDedList,0)-1,1,1),IgnoreMin)))*IF(COUNTIFS(EmpNo,$C22,OFFSET(Emp!$R$4,1,MATCH(AT$5,DedListItem,0)-1,EmpCount,1),"&lt;&gt;")&gt;0,VLOOKUP($C22,EmpAll,COLUMN(Emp!$R$4)+MATCH(AT$5,DedListItem,0)-1,0),OFFSET(Setup!$E$73,MATCH(AT$5,DedListItem,0),0,1,1))*AT$3))),IF(ISNUMBER(AT$4),AT$4,IgnoreMin)))))</f>
        <v>0</v>
      </c>
      <c r="AU22" s="148" cm="1">
        <f t="array" aca="1" ref="AU22" ca="1">-IF($F22="Terminated",0,IF($AA22=0,0,IF(ISNA(MATCH(AU$5,PayDedList,0)),0,MIN(IF(COUNTIFS(OverEmp,$C22,OverDeduct,AU$5,OverDate,"&lt;"&amp;DATE(YEAR($AC22),MONTH($AC22)+1,1),OverEnd,"&gt;="&amp;DATE(YEAR($AC22),MONTH($AC22),1))&gt;0,SUMPRODUCT((PayEmp=$C22)*(PayDate&lt;=$AC22)*(OFFSET($N$6,1,MATCH(AU$5,PayDedList,0)-1,PayCount,1)))/$AA22*12*AU$3,IF(OR(AU$1="Fixed",AU$1="Not Used"),SUMPRODUCT((PayEmp=$C22)*(PayDate&lt;=$AC22)*(OFFSET($N$6,1,MATCH(AU$5,PayDedList,0)-1,PayCount,1)))/$AA22*12*AU$3,IF(ISNA(MATCH(OFFSET($N$2,0,MATCH(AU$5,PayDedList,0)-1,1,1),EarnListItem,0))=FALSE,SUMPRODUCT((PayEmp=$C22)*(PayDate&lt;=$AC22)*(OFFSET($N$6,1,MATCH(AU$5,PayDedList,0)-1,PayCount,1)))/$AA22*12*AU$3,(MIN(SUMPRODUCT((PayEmp=$C22)*(PayDate&lt;=$AC22)*(ISERROR(SEARCH(PayEarnCode,AU$2)))*(PayEarnType="Monthly")*(PayEarnValues))/$AA22*12,IF(ISNUMBER(OFFSET($N$3,0,MATCH(AU$5,PayDedList,0)-1,1,1)),OFFSET($N$3,0,MATCH(AU$5,PayDedList,0)-1,1,1),IgnoreMin)))*IF(COUNTIFS(EmpNo,$C22,OFFSET(Emp!$R$4,1,MATCH(AU$5,DedListItem,0)-1,EmpCount,1),"&lt;&gt;")&gt;0,VLOOKUP($C22,EmpAll,COLUMN(Emp!$R$4)+MATCH(AU$5,DedListItem,0)-1,0),OFFSET(Setup!$E$73,MATCH(AU$5,DedListItem,0),0,1,1))*AU$3))),IF(ISNUMBER(AU$4),AU$4,IgnoreMin)))))</f>
        <v>-135000</v>
      </c>
      <c r="AV22" s="148" cm="1">
        <f t="array" aca="1" ref="AV22" ca="1">-IF($F22="Terminated",0,IF($AA22=0,0,IF(ISNA(MATCH(AV$5,PayDedList,0)),0,MIN(IF(COUNTIFS(OverEmp,$C22,OverDeduct,AV$5,OverDate,"&lt;"&amp;DATE(YEAR($AC22),MONTH($AC22)+1,1),OverEnd,"&gt;="&amp;DATE(YEAR($AC22),MONTH($AC22),1))&gt;0,SUMPRODUCT((PayEmp=$C22)*(PayDate&lt;=$AC22)*(OFFSET($N$6,1,MATCH(AV$5,PayDedList,0)-1,PayCount,1)))/$AA22*12*AV$3,IF(OR(AV$1="Fixed",AV$1="Not Used"),SUMPRODUCT((PayEmp=$C22)*(PayDate&lt;=$AC22)*(OFFSET($N$6,1,MATCH(AV$5,PayDedList,0)-1,PayCount,1)))/$AA22*12*AV$3,IF(ISNA(MATCH(OFFSET($N$2,0,MATCH(AV$5,PayDedList,0)-1,1,1),EarnListItem,0))=FALSE,SUMPRODUCT((PayEmp=$C22)*(PayDate&lt;=$AC22)*(OFFSET($N$6,1,MATCH(AV$5,PayDedList,0)-1,PayCount,1)))/$AA22*12*AV$3,(MIN(SUMPRODUCT((PayEmp=$C22)*(PayDate&lt;=$AC22)*(ISERROR(SEARCH(PayEarnCode,AV$2)))*(PayEarnType="Monthly")*(PayEarnValues))/$AA22*12,IF(ISNUMBER(OFFSET($N$3,0,MATCH(AV$5,PayDedList,0)-1,1,1)),OFFSET($N$3,0,MATCH(AV$5,PayDedList,0)-1,1,1),IgnoreMin)))*IF(COUNTIFS(EmpNo,$C22,OFFSET(Emp!$R$4,1,MATCH(AV$5,DedListItem,0)-1,EmpCount,1),"&lt;&gt;")&gt;0,VLOOKUP($C22,EmpAll,COLUMN(Emp!$R$4)+MATCH(AV$5,DedListItem,0)-1,0),OFFSET(Setup!$E$73,MATCH(AV$5,DedListItem,0),0,1,1))*AV$3))),IF(ISNUMBER(AV$4),AV$4,IgnoreMin)))))</f>
        <v>0</v>
      </c>
      <c r="AW22" s="148" cm="1">
        <f t="array" aca="1" ref="AW22" ca="1">-IF($F22="Terminated",0,IF($AA22=0,0,IF(ISNA(MATCH(AW$5,PayDedList,0)),0,MIN(IF(COUNTIFS(OverEmp,$C22,OverDeduct,AW$5,OverDate,"&lt;"&amp;DATE(YEAR($AC22),MONTH($AC22)+1,1),OverEnd,"&gt;="&amp;DATE(YEAR($AC22),MONTH($AC22),1))&gt;0,SUMPRODUCT((PayEmp=$C22)*(PayDate&lt;=$AC22)*(OFFSET($N$6,1,MATCH(AW$5,PayDedList,0)-1,PayCount,1)))/$AA22*12*AW$3,IF(OR(AW$1="Fixed",AW$1="Not Used"),SUMPRODUCT((PayEmp=$C22)*(PayDate&lt;=$AC22)*(OFFSET($N$6,1,MATCH(AW$5,PayDedList,0)-1,PayCount,1)))/$AA22*12*AW$3,IF(ISNA(MATCH(OFFSET($N$2,0,MATCH(AW$5,PayDedList,0)-1,1,1),EarnListItem,0))=FALSE,SUMPRODUCT((PayEmp=$C22)*(PayDate&lt;=$AC22)*(OFFSET($N$6,1,MATCH(AW$5,PayDedList,0)-1,PayCount,1)))/$AA22*12*AW$3,(MIN(SUMPRODUCT((PayEmp=$C22)*(PayDate&lt;=$AC22)*(ISERROR(SEARCH(PayEarnCode,AW$2)))*(PayEarnType="Monthly")*(PayEarnValues))/$AA22*12,IF(ISNUMBER(OFFSET($N$3,0,MATCH(AW$5,PayDedList,0)-1,1,1)),OFFSET($N$3,0,MATCH(AW$5,PayDedList,0)-1,1,1),IgnoreMin)))*IF(COUNTIFS(EmpNo,$C22,OFFSET(Emp!$R$4,1,MATCH(AW$5,DedListItem,0)-1,EmpCount,1),"&lt;&gt;")&gt;0,VLOOKUP($C22,EmpAll,COLUMN(Emp!$R$4)+MATCH(AW$5,DedListItem,0)-1,0),OFFSET(Setup!$E$73,MATCH(AW$5,DedListItem,0),0,1,1))*AW$3))),IF(ISNUMBER(AW$4),AW$4,IgnoreMin)))))</f>
        <v>0</v>
      </c>
      <c r="AX22" s="148">
        <f t="shared" ca="1" si="12"/>
        <v>1665000</v>
      </c>
      <c r="AY22" s="148">
        <f t="shared" ca="1" si="13"/>
        <v>0</v>
      </c>
      <c r="AZ22" s="148">
        <f ca="1">IF(ISNUMBER($AL22),($AR22*$AL22)-$AI22-$AK22,MAX(0,IF($AL22="B",IF($AR22&lt;Setup!$C$32,($AR22*Setup!$D$32)-$AI22-$AK22,(($AR22-VLOOKUP($AR22,TaxAll2,1,1))*OFFSET(Setup!$D$32,MATCH($AR22,TaxBracket2,1),0,1,1))+OFFSET(Setup!$E$31,MATCH($AR22,TaxBracket2,1),0,1,1)-$AI22-$AK22),IF($AR22&lt;Setup!$C$21,($AR22*Setup!$D$21)-$AI22-$AK22,(($AR22-VLOOKUP($AR22,TaxAll1,1,1))*OFFSET(Setup!$D$21,MATCH($AR22,TaxBracket1,1),0,1,1))+OFFSET(Setup!$E$20,MATCH($AR22,TaxBracket1,1),0,1,1)-$AI22-$AK22))))</f>
        <v>547342</v>
      </c>
      <c r="BA22" s="148">
        <f ca="1">IF(ISNUMBER($AL22),($AX22*$AL22)-$AI22-$AK22,MAX(0,IF($AL22="B",IF($AX22&lt;Setup!$C$32,($AX22*Setup!$D$32)-$AI22-$AK22,(($AX22-VLOOKUP($AX22,TaxAll2,1,1))*OFFSET(Setup!$D$32,MATCH($AX22,TaxBracket2,1),0,1,1))+OFFSET(Setup!$E$31,MATCH($AX22,TaxBracket2,1),0,1,1)-$AI22-$AK22),IF($AX22&lt;Setup!$C$21,($AX22*Setup!$D$21)-$AI22-$AK22,(($AX22-VLOOKUP($AX22,TaxAll1,1,1))*OFFSET(Setup!$D$21,MATCH($AX22,TaxBracket1,1),0,1,1))+OFFSET(Setup!$E$20,MATCH($AX22,TaxBracket1,1),0,1,1)-$AI22-$AK22))))</f>
        <v>547342</v>
      </c>
      <c r="BB22" s="148">
        <f t="shared" ca="1" si="14"/>
        <v>0</v>
      </c>
      <c r="BC22" s="150">
        <f t="shared" ca="1" si="15"/>
        <v>1</v>
      </c>
      <c r="BD22" s="150">
        <f t="shared" ca="1" si="16"/>
        <v>0</v>
      </c>
      <c r="BE22" s="148">
        <f t="shared" ca="1" si="17"/>
        <v>1800000</v>
      </c>
    </row>
    <row r="23" spans="1:57" ht="16.149999999999999" customHeight="1" x14ac:dyDescent="0.25">
      <c r="A23" s="10" t="str" cm="1">
        <f t="array" aca="1" ref="A23" ca="1">IF(ROW($A23)-ROW($A$6)&gt;EmpCount*12,"-",TEXT($B23,"yyyy")&amp;TEXT($B23,"mm")&amp;"-"&amp;$C23)</f>
        <v>202304-EXS002</v>
      </c>
      <c r="B23" s="137" cm="1">
        <f t="array" aca="1" ref="B23" ca="1">IF(ROW($A23)-ROW($A$6)&gt;EmpCount*12,Setup!$D$12,DATE(YEAR(Setup!$F$12),MONTH(Setup!$F$12)+ROUNDDOWN((ROW($A23)-ROW($A$6)-1)/EmpCount,0),IF(Setup!$C$14&gt;DAY(DATE(YEAR(Setup!$F$12),MONTH(Setup!$F$12)+ROUNDDOWN((ROW($A23)-ROW($A$6)-1)/EmpCount,0)+1,0)),DAY(DATE(YEAR(Setup!$F$12),MONTH(Setup!$F$12)+ROUNDDOWN((ROW($A23)-ROW($A$6)-1)/EmpCount,0)+1,0)),Setup!$C$14)))</f>
        <v>45041</v>
      </c>
      <c r="C23" s="101" t="str" cm="1">
        <f t="array" aca="1" ref="C23" ca="1">IF(ROW($A23)-ROW($A$6)&gt;EmpCount*12,"-",OFFSET(Emp!$A$4,ROW($A23)-ROW($A$6)-IF(ROW($A23)-ROW($A$6)&gt;EmpCount,ROUNDDOWN((ROW($A23)-ROW($A$6)-1)/EmpCount,0)*EmpCount,0),0,1,1))</f>
        <v>EXS002</v>
      </c>
      <c r="D23" s="10" t="str">
        <f ca="1">IF(ISNA(VLOOKUP($C23,EmpAll,COLUMN(Emp!$B$4),0)),"-",VLOOKUP($C23,EmpAll,COLUMN(Emp!$B$4),0))</f>
        <v>Smith F</v>
      </c>
      <c r="E23" s="145" t="str">
        <f ca="1">IF(ISNA(VLOOKUP($C23,EmpAll,COLUMN(Emp!$C$4),0)),"-",VLOOKUP($C23,EmpAll,COLUMN(Emp!$C$4),0))</f>
        <v>M</v>
      </c>
      <c r="F23" s="101" t="str">
        <f ca="1">IF(ISNA(VLOOKUP($C23,EmpAll,COLUMN(Emp!$A$4),0)),"-",IF(AND(VLOOKUP($C23,EmpAll,COLUMN(Emp!$E$4),0)&lt;&gt;0,VLOOKUP($C23,EmpAll,COLUMN(Emp!$E$4),0)&gt;=DATE(YEAR($AC23),MONTH($AC23)+1,0)),"Inactive",IF(AND(VLOOKUP($C23,EmpAll,COLUMN(Emp!$F$4),0)&lt;&gt;0,VLOOKUP($C23,EmpAll,COLUMN(Emp!$F$4),0)&lt;=DATE(YEAR($AC23),MONTH($AC23),0)),"Terminated","Active")))</f>
        <v>Active</v>
      </c>
      <c r="G23" s="133" cm="1">
        <f t="array" aca="1" ref="G23" ca="1">IF($F23&lt;&gt;"Active",0,IF(COUNTIFS(OverEmp,$C23,OverEarn,G$2,OverDate,"&lt;"&amp;DATE(YEAR($AC23),MONTH($AC23)+1,1),OverEnd,"&gt;="&amp;DATE(YEAR($AC23),MONTH($AC23),1))&gt;0,SUMIFS(OverValue,OverEmp,$C23,OverEarn,G$2,OverDate,"&lt;"&amp;DATE(YEAR($AC23),MONTH($AC23)+1,1),OverEnd,"&gt;="&amp;DATE(YEAR($AC23),MONTH($AC23),1)),IF(AND($AC23&gt;=Setup!$E$10,SUMIFS(EmpIncrease,EmpCode,$C23)&gt;0),SUMIFS(EmpIncrease,EmpCode,$C23),SUMIFS(EmpSalary,EmpCode,$C23))))</f>
        <v>120000</v>
      </c>
      <c r="H23" s="133" cm="1">
        <f t="array" aca="1" ref="H23" ca="1">IF($F23&lt;&gt;"Active",0,IF(COUNTIFS(OverEmp,$C23,OverEarn,H$2,OverDate,"&lt;"&amp;DATE(YEAR($AC23),MONTH($AC23)+1,1),OverEnd,"&gt;="&amp;DATE(YEAR($AC23),MONTH($AC23),1))&gt;0,SUMIFS(OverValue,OverEmp,$C23,OverEarn,H$2,OverDate,"&lt;"&amp;DATE(YEAR($AC23),MONTH($AC23)+1,1),OverEnd,"&gt;="&amp;DATE(YEAR($AC23),MONTH($AC23),1)),0))</f>
        <v>0</v>
      </c>
      <c r="I23" s="133" cm="1">
        <f t="array" aca="1" ref="I23" ca="1">IF($F23&lt;&gt;"Active",0,IF(COUNTIFS(OverEmp,$C23,OverEarn,I$2,OverDate,"&lt;"&amp;DATE(YEAR($AC23),MONTH($AC23)+1,1),OverEnd,"&gt;="&amp;DATE(YEAR($AC23),MONTH($AC23),1))&gt;0,SUMIFS(OverValue,OverEmp,$C23,OverEarn,I$2,OverDate,"&lt;"&amp;DATE(YEAR($AC23),MONTH($AC23)+1,1),OverEnd,"&gt;="&amp;DATE(YEAR($AC23),MONTH($AC23),1)),IF(MONTH(B23)=Setup!$C$15,SUMIFS(EmpBonus,EmpCode,$C23),0)))</f>
        <v>0</v>
      </c>
      <c r="J23" s="133" cm="1">
        <f t="array" aca="1" ref="J23" ca="1">IF($F23&lt;&gt;"Active",0,IF(COUNTIFS(OverEmp,$C23,OverEarn,J$2,OverDate,"&lt;"&amp;DATE(YEAR($AC23),MONTH($AC23)+1,1),OverEnd,"&gt;="&amp;DATE(YEAR($AC23),MONTH($AC23),1))&gt;0,SUMIFS(OverValue,OverEmp,$C23,OverEarn,J$2,OverDate,"&lt;"&amp;DATE(YEAR($AC23),MONTH($AC23)+1,1),OverEnd,"&gt;="&amp;DATE(YEAR($AC23),MONTH($AC23),1)),0))</f>
        <v>0</v>
      </c>
      <c r="K23" s="133" cm="1">
        <f t="array" aca="1" ref="K23" ca="1">IF($F23&lt;&gt;"Active",0,IF(COUNTIFS(OverEmp,$C23,OverEarn,K$2,OverDate,"&lt;"&amp;DATE(YEAR($AC23),MONTH($AC23)+1,1),OverEnd,"&gt;="&amp;DATE(YEAR($AC23),MONTH($AC23),1))&gt;0,SUMIFS(OverValue,OverEmp,$C23,OverEarn,K$2,OverDate,"&lt;"&amp;DATE(YEAR($AC23),MONTH($AC23)+1,1),OverEnd,"&gt;="&amp;DATE(YEAR($AC23),MONTH($AC23),1)),0))</f>
        <v>0</v>
      </c>
      <c r="L23" s="185">
        <f t="shared" ca="1" si="0"/>
        <v>120000</v>
      </c>
      <c r="M23" s="182" cm="1">
        <f t="array" aca="1" ref="M23" ca="1">IF(COUNTIFS(OverEmp,$C23,OverTax,M$5,OverDate,"&lt;"&amp;DATE(YEAR($AC23),MONTH($AC23)+1,1),OverEnd,"&gt;="&amp;DATE(YEAR($AC23),MONTH($AC23),1))&gt;0,SUMIFS(OverValue,OverEmp,$C23,OverTax,M$5,OverDate,"&lt;"&amp;DATE(YEAR($AC23),MONTH($AC23)+1,1),OverEnd,"&gt;="&amp;DATE(YEAR($AC23),MONTH($AC23),1)),(($BA23/12*$AA23)+(BB23*IF(1-$BC23=0,0,BD23/(1-$BC23))))-IF($F23="Terminated",0,SUMIFS(PayTaxDeduct,PayDate,"&lt;"&amp;$AC23,PayEmp,$C23)))</f>
        <v>38662.333333333336</v>
      </c>
      <c r="N23" s="133" cm="1">
        <f t="array" aca="1" ref="N23" ca="1">IF($F23="Terminated",0,IF($AA23=0,0,IF(ISNA(MATCH(N$5,DedListItem,0)),0,IF(COUNTIFS(OverEmp,$C23,OverDeduct,N$5,OverDate,"&lt;"&amp;DATE(YEAR($AC23),MONTH($AC23)+1,1),OverEnd,"&gt;="&amp;DATE(YEAR($AC23),MONTH($AC23),1))&gt;0,SUMIFS(OverValue,OverEmp,$C23,OverDeduct,N$5,OverDate,"&lt;"&amp;DATE(YEAR($AC23),MONTH($AC23)+1,1),OverEnd,"&gt;="&amp;DATE(YEAR($AC23),MONTH($AC23),1)),IF(OR(N$2="Fixed",N$2="Not Used"),(IF(COUNTIFS(EmpNo,$C23,OFFSET(Emp!$R$4,1,MATCH(N$5,DedListItem,0)-1,EmpCount,1),"&lt;&gt;")&gt;0,VLOOKUP($C23,EmpAll,COLUMN(Emp!$R$4)+MATCH(N$5,DedListItem,0)-1,0),OFFSET(Setup!$E$73,MATCH(N$5,DedListItem,0),0,1,1))*$AA23)-SUMIFS(OFFSET(N$6,1,0,PayCount,1),PayDate,"&lt;"&amp;$AC23,PayEmp,$C23),IF(ISNA(MATCH(N$2,EarnListItem,0))=FALSE,IF(OFFSET(Setup!$G$73,MATCH(N$5,DedListItem,0),0,1,1)="Taxable",SUMPRODUCT((PayEmp=$C23)*(PayDate&lt;=$AC23)*(PayEarnCode=N$2)*(PayEarnTax)*(PayEarnValues)),SUMPRODUCT((PayEmp=$C23)*(PayDate&lt;=$AC23)*(PayEarnCode=N$2)*(PayEarnValues)))*IF(COUNTIFS(EmpNo,$C23,OFFSET(Emp!$R$4,1,MATCH(N$5,DedListItem,0)-1,EmpCount,1),"&lt;&gt;")&gt;0,VLOOKUP($C23,EmpAll,COLUMN(Emp!$R$4)+MATCH(N$5,DedListItem,0)-1,0),OFFSET(Setup!$E$73,MATCH(N$5,DedListItem,0),0,1,1)),(MIN(IF(OFFSET(Setup!$G$73,MATCH(N$5,DedListItem,0),0,1,1)="Taxable",SUMPRODUCT((PayEmp=$C23)*(PayDate&lt;=$AC23)*(ISERROR(SEARCH(PayEarnCode,N$4)))*(PayEarnTax)*(PayEarnValues)),SUMPRODUCT((PayEmp=$C23)*(PayDate&lt;=$AC23)*(ISERROR(SEARCH(PayEarnCode,N$4)))*(PayEarnValues))),IF(ISNUMBER(N$3),N$3/12*$AA23,IgnoreMin)))*IF(COUNTIFS(EmpNo,$C23,OFFSET(Emp!$R$4,1,MATCH(N$5,DedListItem,0)-1,EmpCount,1),"&lt;&gt;")&gt;0,VLOOKUP($C23,EmpAll,COLUMN(Emp!$R$4)+MATCH(N$5,DedListItem,0)-1,0),OFFSET(Setup!$E$73,MATCH(N$5,DedListItem,0),0,1,1)))-SUMIFS(OFFSET(N$6,1,0,PayCount,1),PayDate,"&lt;"&amp;$AC23,PayEmp,$C23))))))</f>
        <v>177.12</v>
      </c>
      <c r="O23" s="133" cm="1">
        <f t="array" aca="1" ref="O23" ca="1">IF($F23="Terminated",0,IF($AA23=0,0,IF(ISNA(MATCH(O$5,DedListItem,0)),0,IF(COUNTIFS(OverEmp,$C23,OverDeduct,O$5,OverDate,"&lt;"&amp;DATE(YEAR($AC23),MONTH($AC23)+1,1),OverEnd,"&gt;="&amp;DATE(YEAR($AC23),MONTH($AC23),1))&gt;0,SUMIFS(OverValue,OverEmp,$C23,OverDeduct,O$5,OverDate,"&lt;"&amp;DATE(YEAR($AC23),MONTH($AC23)+1,1),OverEnd,"&gt;="&amp;DATE(YEAR($AC23),MONTH($AC23),1)),IF(OR(O$2="Fixed",O$2="Not Used"),(IF(COUNTIFS(EmpNo,$C23,OFFSET(Emp!$R$4,1,MATCH(O$5,DedListItem,0)-1,EmpCount,1),"&lt;&gt;")&gt;0,VLOOKUP($C23,EmpAll,COLUMN(Emp!$R$4)+MATCH(O$5,DedListItem,0)-1,0),OFFSET(Setup!$E$73,MATCH(O$5,DedListItem,0),0,1,1))*$AA23)-SUMIFS(OFFSET(O$6,1,0,PayCount,1),PayDate,"&lt;"&amp;$AC23,PayEmp,$C23),IF(ISNA(MATCH(O$2,EarnListItem,0))=FALSE,IF(OFFSET(Setup!$G$73,MATCH(O$5,DedListItem,0),0,1,1)="Taxable",SUMPRODUCT((PayEmp=$C23)*(PayDate&lt;=$AC23)*(PayEarnCode=O$2)*(PayEarnTax)*(PayEarnValues)),SUMPRODUCT((PayEmp=$C23)*(PayDate&lt;=$AC23)*(PayEarnCode=O$2)*(PayEarnValues)))*IF(COUNTIFS(EmpNo,$C23,OFFSET(Emp!$R$4,1,MATCH(O$5,DedListItem,0)-1,EmpCount,1),"&lt;&gt;")&gt;0,VLOOKUP($C23,EmpAll,COLUMN(Emp!$R$4)+MATCH(O$5,DedListItem,0)-1,0),OFFSET(Setup!$E$73,MATCH(O$5,DedListItem,0),0,1,1)),(MIN(IF(OFFSET(Setup!$G$73,MATCH(O$5,DedListItem,0),0,1,1)="Taxable",SUMPRODUCT((PayEmp=$C23)*(PayDate&lt;=$AC23)*(ISERROR(SEARCH(PayEarnCode,O$4)))*(PayEarnTax)*(PayEarnValues)),SUMPRODUCT((PayEmp=$C23)*(PayDate&lt;=$AC23)*(ISERROR(SEARCH(PayEarnCode,O$4)))*(PayEarnValues))),IF(ISNUMBER(O$3),O$3/12*$AA23,IgnoreMin)))*IF(COUNTIFS(EmpNo,$C23,OFFSET(Emp!$R$4,1,MATCH(O$5,DedListItem,0)-1,EmpCount,1),"&lt;&gt;")&gt;0,VLOOKUP($C23,EmpAll,COLUMN(Emp!$R$4)+MATCH(O$5,DedListItem,0)-1,0),OFFSET(Setup!$E$73,MATCH(O$5,DedListItem,0),0,1,1)))-SUMIFS(OFFSET(O$6,1,0,PayCount,1),PayDate,"&lt;"&amp;$AC23,PayEmp,$C23))))))</f>
        <v>0</v>
      </c>
      <c r="P23" s="133" cm="1">
        <f t="array" aca="1" ref="P23" ca="1">IF($F23="Terminated",0,IF($AA23=0,0,IF(ISNA(MATCH(P$5,DedListItem,0)),0,IF(COUNTIFS(OverEmp,$C23,OverDeduct,P$5,OverDate,"&lt;"&amp;DATE(YEAR($AC23),MONTH($AC23)+1,1),OverEnd,"&gt;="&amp;DATE(YEAR($AC23),MONTH($AC23),1))&gt;0,SUMIFS(OverValue,OverEmp,$C23,OverDeduct,P$5,OverDate,"&lt;"&amp;DATE(YEAR($AC23),MONTH($AC23)+1,1),OverEnd,"&gt;="&amp;DATE(YEAR($AC23),MONTH($AC23),1)),IF(OR(P$2="Fixed",P$2="Not Used"),(IF(COUNTIFS(EmpNo,$C23,OFFSET(Emp!$R$4,1,MATCH(P$5,DedListItem,0)-1,EmpCount,1),"&lt;&gt;")&gt;0,VLOOKUP($C23,EmpAll,COLUMN(Emp!$R$4)+MATCH(P$5,DedListItem,0)-1,0),OFFSET(Setup!$E$73,MATCH(P$5,DedListItem,0),0,1,1))*$AA23)-SUMIFS(OFFSET(P$6,1,0,PayCount,1),PayDate,"&lt;"&amp;$AC23,PayEmp,$C23),IF(ISNA(MATCH(P$2,EarnListItem,0))=FALSE,IF(OFFSET(Setup!$G$73,MATCH(P$5,DedListItem,0),0,1,1)="Taxable",SUMPRODUCT((PayEmp=$C23)*(PayDate&lt;=$AC23)*(PayEarnCode=P$2)*(PayEarnTax)*(PayEarnValues)),SUMPRODUCT((PayEmp=$C23)*(PayDate&lt;=$AC23)*(PayEarnCode=P$2)*(PayEarnValues)))*IF(COUNTIFS(EmpNo,$C23,OFFSET(Emp!$R$4,1,MATCH(P$5,DedListItem,0)-1,EmpCount,1),"&lt;&gt;")&gt;0,VLOOKUP($C23,EmpAll,COLUMN(Emp!$R$4)+MATCH(P$5,DedListItem,0)-1,0),OFFSET(Setup!$E$73,MATCH(P$5,DedListItem,0),0,1,1)),(MIN(IF(OFFSET(Setup!$G$73,MATCH(P$5,DedListItem,0),0,1,1)="Taxable",SUMPRODUCT((PayEmp=$C23)*(PayDate&lt;=$AC23)*(ISERROR(SEARCH(PayEarnCode,P$4)))*(PayEarnTax)*(PayEarnValues)),SUMPRODUCT((PayEmp=$C23)*(PayDate&lt;=$AC23)*(ISERROR(SEARCH(PayEarnCode,P$4)))*(PayEarnValues))),IF(ISNUMBER(P$3),P$3/12*$AA23,IgnoreMin)))*IF(COUNTIFS(EmpNo,$C23,OFFSET(Emp!$R$4,1,MATCH(P$5,DedListItem,0)-1,EmpCount,1),"&lt;&gt;")&gt;0,VLOOKUP($C23,EmpAll,COLUMN(Emp!$R$4)+MATCH(P$5,DedListItem,0)-1,0),OFFSET(Setup!$E$73,MATCH(P$5,DedListItem,0),0,1,1)))-SUMIFS(OFFSET(P$6,1,0,PayCount,1),PayDate,"&lt;"&amp;$AC23,PayEmp,$C23))))))</f>
        <v>0</v>
      </c>
      <c r="Q23" s="133" cm="1">
        <f t="array" aca="1" ref="Q23" ca="1">IF($F23="Terminated",0,IF($AA23=0,0,IF(ISNA(MATCH(Q$5,DedListItem,0)),0,IF(COUNTIFS(OverEmp,$C23,OverDeduct,Q$5,OverDate,"&lt;"&amp;DATE(YEAR($AC23),MONTH($AC23)+1,1),OverEnd,"&gt;="&amp;DATE(YEAR($AC23),MONTH($AC23),1))&gt;0,SUMIFS(OverValue,OverEmp,$C23,OverDeduct,Q$5,OverDate,"&lt;"&amp;DATE(YEAR($AC23),MONTH($AC23)+1,1),OverEnd,"&gt;="&amp;DATE(YEAR($AC23),MONTH($AC23),1)),IF(OR(Q$2="Fixed",Q$2="Not Used"),(IF(COUNTIFS(EmpNo,$C23,OFFSET(Emp!$R$4,1,MATCH(Q$5,DedListItem,0)-1,EmpCount,1),"&lt;&gt;")&gt;0,VLOOKUP($C23,EmpAll,COLUMN(Emp!$R$4)+MATCH(Q$5,DedListItem,0)-1,0),OFFSET(Setup!$E$73,MATCH(Q$5,DedListItem,0),0,1,1))*$AA23)-SUMIFS(OFFSET(Q$6,1,0,PayCount,1),PayDate,"&lt;"&amp;$AC23,PayEmp,$C23),IF(ISNA(MATCH(Q$2,EarnListItem,0))=FALSE,IF(OFFSET(Setup!$G$73,MATCH(Q$5,DedListItem,0),0,1,1)="Taxable",SUMPRODUCT((PayEmp=$C23)*(PayDate&lt;=$AC23)*(PayEarnCode=Q$2)*(PayEarnTax)*(PayEarnValues)),SUMPRODUCT((PayEmp=$C23)*(PayDate&lt;=$AC23)*(PayEarnCode=Q$2)*(PayEarnValues)))*IF(COUNTIFS(EmpNo,$C23,OFFSET(Emp!$R$4,1,MATCH(Q$5,DedListItem,0)-1,EmpCount,1),"&lt;&gt;")&gt;0,VLOOKUP($C23,EmpAll,COLUMN(Emp!$R$4)+MATCH(Q$5,DedListItem,0)-1,0),OFFSET(Setup!$E$73,MATCH(Q$5,DedListItem,0),0,1,1)),(MIN(IF(OFFSET(Setup!$G$73,MATCH(Q$5,DedListItem,0),0,1,1)="Taxable",SUMPRODUCT((PayEmp=$C23)*(PayDate&lt;=$AC23)*(ISERROR(SEARCH(PayEarnCode,Q$4)))*(PayEarnTax)*(PayEarnValues)),SUMPRODUCT((PayEmp=$C23)*(PayDate&lt;=$AC23)*(ISERROR(SEARCH(PayEarnCode,Q$4)))*(PayEarnValues))),IF(ISNUMBER(Q$3),Q$3/12*$AA23,IgnoreMin)))*IF(COUNTIFS(EmpNo,$C23,OFFSET(Emp!$R$4,1,MATCH(Q$5,DedListItem,0)-1,EmpCount,1),"&lt;&gt;")&gt;0,VLOOKUP($C23,EmpAll,COLUMN(Emp!$R$4)+MATCH(Q$5,DedListItem,0)-1,0),OFFSET(Setup!$E$73,MATCH(Q$5,DedListItem,0),0,1,1)))-SUMIFS(OFFSET(Q$6,1,0,PayCount,1),PayDate,"&lt;"&amp;$AC23,PayEmp,$C23))))))</f>
        <v>0</v>
      </c>
      <c r="R23" s="185">
        <f t="shared" ca="1" si="1"/>
        <v>38839.453333333338</v>
      </c>
      <c r="S23" s="139">
        <f t="shared" ca="1" si="2"/>
        <v>81160.55</v>
      </c>
      <c r="T23" s="133" cm="1">
        <f t="array" aca="1" ref="T23" ca="1">IF($F23="Terminated",0,IF($AA23=0,0,IF(ISNA(MATCH(T$5,CompListItem,0)),0,IF(COUNTIFS(OverEmp,$C23,OverComp,T$5,OverDate,"&lt;"&amp;DATE(YEAR($AC23),MONTH($AC23)+1,1),OverEnd,"&gt;="&amp;DATE(YEAR($AC23),MONTH($AC23),1))&gt;0,SUMIFS(OverValue,OverEmp,$C23,OverComp,T$5,OverDate,"&lt;"&amp;DATE(YEAR($AC23),MONTH($AC23)+1,1),OverEnd,"&gt;="&amp;DATE(YEAR($AC23),MONTH($AC23),1)),IF(OR(T$2="Fixed",T$2="Not Used"),(OFFSET(Setup!$E$81,MATCH(T$5,CompListItem,0),0,1,1)*$AA23)-SUMIFS(OFFSET(T$6,1,0,PayCount,1),PayDate,"&lt;"&amp;$AC23,PayEmp,$C23),IF(ISNA(MATCH(T$2,DedListItem,0))=FALSE,(SUMPRODUCT((PayEmp=$C23)*(PayDate&lt;=$AC23)*(PayDedList=T$2)*(PayDedValues))*OFFSET(Setup!$E$81,MATCH(T$5,CompListItem,0),0,1,1))-SUMIFS(OFFSET(T$6,1,0,PayCount,1),PayDate,"&lt;"&amp;$AC23,PayEmp,$C23),(MIN(IF(OFFSET(Setup!$G$81,MATCH(T$5,CompListItem,0),0,1,1)="Taxable",SUMPRODUCT((PayEmp=$C23)*(PayDate&lt;=$AC23)*(ISERROR(SEARCH(PayEarnCode,T$4)))*(PayEarnTax)*(PayEarnValues)),SUMPRODUCT((PayEmp=$C23)*(PayDate&lt;=$AC23)*(ISERROR(SEARCH(PayEarnCode,T$4)))*(PayEarnValues))),IF(ISNUMBER(T$3),T$3/12*$AA23,IgnoreMin)))*OFFSET(Setup!$E$81,MATCH(T$5,CompListItem,0),0,1,1)-SUMIFS(OFFSET(T$6,1,0,PayCount,1),PayDate,"&lt;"&amp;$AC23,PayEmp,$C23)))))))</f>
        <v>177.12</v>
      </c>
      <c r="U23" s="133" cm="1">
        <f t="array" aca="1" ref="U23" ca="1">IF($F23="Terminated",0,IF($AA23=0,0,IF(ISNA(MATCH(U$5,CompListItem,0)),0,IF(COUNTIFS(OverEmp,$C23,OverComp,U$5,OverDate,"&lt;"&amp;DATE(YEAR($AC23),MONTH($AC23)+1,1),OverEnd,"&gt;="&amp;DATE(YEAR($AC23),MONTH($AC23),1))&gt;0,SUMIFS(OverValue,OverEmp,$C23,OverComp,U$5,OverDate,"&lt;"&amp;DATE(YEAR($AC23),MONTH($AC23)+1,1),OverEnd,"&gt;="&amp;DATE(YEAR($AC23),MONTH($AC23),1)),IF(OR(U$2="Fixed",U$2="Not Used"),(OFFSET(Setup!$E$81,MATCH(U$5,CompListItem,0),0,1,1)*$AA23)-SUMIFS(OFFSET(U$6,1,0,PayCount,1),PayDate,"&lt;"&amp;$AC23,PayEmp,$C23),IF(ISNA(MATCH(U$2,DedListItem,0))=FALSE,(SUMPRODUCT((PayEmp=$C23)*(PayDate&lt;=$AC23)*(PayDedList=U$2)*(PayDedValues))*OFFSET(Setup!$E$81,MATCH(U$5,CompListItem,0),0,1,1))-SUMIFS(OFFSET(U$6,1,0,PayCount,1),PayDate,"&lt;"&amp;$AC23,PayEmp,$C23),(MIN(IF(OFFSET(Setup!$G$81,MATCH(U$5,CompListItem,0),0,1,1)="Taxable",SUMPRODUCT((PayEmp=$C23)*(PayDate&lt;=$AC23)*(ISERROR(SEARCH(PayEarnCode,U$4)))*(PayEarnTax)*(PayEarnValues)),SUMPRODUCT((PayEmp=$C23)*(PayDate&lt;=$AC23)*(ISERROR(SEARCH(PayEarnCode,U$4)))*(PayEarnValues))),IF(ISNUMBER(U$3),U$3/12*$AA23,IgnoreMin)))*OFFSET(Setup!$E$81,MATCH(U$5,CompListItem,0),0,1,1)-SUMIFS(OFFSET(U$6,1,0,PayCount,1),PayDate,"&lt;"&amp;$AC23,PayEmp,$C23)))))))</f>
        <v>1200</v>
      </c>
      <c r="V23" s="133" cm="1">
        <f t="array" aca="1" ref="V23" ca="1">IF($F23="Terminated",0,IF($AA23=0,0,IF(ISNA(MATCH(V$5,CompListItem,0)),0,IF(COUNTIFS(OverEmp,$C23,OverComp,V$5,OverDate,"&lt;"&amp;DATE(YEAR($AC23),MONTH($AC23)+1,1),OverEnd,"&gt;="&amp;DATE(YEAR($AC23),MONTH($AC23),1))&gt;0,SUMIFS(OverValue,OverEmp,$C23,OverComp,V$5,OverDate,"&lt;"&amp;DATE(YEAR($AC23),MONTH($AC23)+1,1),OverEnd,"&gt;="&amp;DATE(YEAR($AC23),MONTH($AC23),1)),IF(OR(V$2="Fixed",V$2="Not Used"),(OFFSET(Setup!$E$81,MATCH(V$5,CompListItem,0),0,1,1)*$AA23)-SUMIFS(OFFSET(V$6,1,0,PayCount,1),PayDate,"&lt;"&amp;$AC23,PayEmp,$C23),IF(ISNA(MATCH(V$2,DedListItem,0))=FALSE,(SUMPRODUCT((PayEmp=$C23)*(PayDate&lt;=$AC23)*(PayDedList=V$2)*(PayDedValues))*OFFSET(Setup!$E$81,MATCH(V$5,CompListItem,0),0,1,1))-SUMIFS(OFFSET(V$6,1,0,PayCount,1),PayDate,"&lt;"&amp;$AC23,PayEmp,$C23),(MIN(IF(OFFSET(Setup!$G$81,MATCH(V$5,CompListItem,0),0,1,1)="Taxable",SUMPRODUCT((PayEmp=$C23)*(PayDate&lt;=$AC23)*(ISERROR(SEARCH(PayEarnCode,V$4)))*(PayEarnTax)*(PayEarnValues)),SUMPRODUCT((PayEmp=$C23)*(PayDate&lt;=$AC23)*(ISERROR(SEARCH(PayEarnCode,V$4)))*(PayEarnValues))),IF(ISNUMBER(V$3),V$3/12*$AA23,IgnoreMin)))*OFFSET(Setup!$E$81,MATCH(V$5,CompListItem,0),0,1,1)-SUMIFS(OFFSET(V$6,1,0,PayCount,1),PayDate,"&lt;"&amp;$AC23,PayEmp,$C23)))))))</f>
        <v>0</v>
      </c>
      <c r="W23" s="133" cm="1">
        <f t="array" aca="1" ref="W23" ca="1">IF($F23="Terminated",0,IF($AA23=0,0,IF(ISNA(MATCH(W$5,CompListItem,0)),0,IF(COUNTIFS(OverEmp,$C23,OverComp,W$5,OverDate,"&lt;"&amp;DATE(YEAR($AC23),MONTH($AC23)+1,1),OverEnd,"&gt;="&amp;DATE(YEAR($AC23),MONTH($AC23),1))&gt;0,SUMIFS(OverValue,OverEmp,$C23,OverComp,W$5,OverDate,"&lt;"&amp;DATE(YEAR($AC23),MONTH($AC23)+1,1),OverEnd,"&gt;="&amp;DATE(YEAR($AC23),MONTH($AC23),1)),IF(OR(W$2="Fixed",W$2="Not Used"),(OFFSET(Setup!$E$81,MATCH(W$5,CompListItem,0),0,1,1)*$AA23)-SUMIFS(OFFSET(W$6,1,0,PayCount,1),PayDate,"&lt;"&amp;$AC23,PayEmp,$C23),IF(ISNA(MATCH(W$2,DedListItem,0))=FALSE,(SUMPRODUCT((PayEmp=$C23)*(PayDate&lt;=$AC23)*(PayDedList=W$2)*(PayDedValues))*OFFSET(Setup!$E$81,MATCH(W$5,CompListItem,0),0,1,1))-SUMIFS(OFFSET(W$6,1,0,PayCount,1),PayDate,"&lt;"&amp;$AC23,PayEmp,$C23),(MIN(IF(OFFSET(Setup!$G$81,MATCH(W$5,CompListItem,0),0,1,1)="Taxable",SUMPRODUCT((PayEmp=$C23)*(PayDate&lt;=$AC23)*(ISERROR(SEARCH(PayEarnCode,W$4)))*(PayEarnTax)*(PayEarnValues)),SUMPRODUCT((PayEmp=$C23)*(PayDate&lt;=$AC23)*(ISERROR(SEARCH(PayEarnCode,W$4)))*(PayEarnValues))),IF(ISNUMBER(W$3),W$3/12*$AA23,IgnoreMin)))*OFFSET(Setup!$E$81,MATCH(W$5,CompListItem,0),0,1,1)-SUMIFS(OFFSET(W$6,1,0,PayCount,1),PayDate,"&lt;"&amp;$AC23,PayEmp,$C23)))))))</f>
        <v>0</v>
      </c>
      <c r="X23" s="185">
        <f t="shared" ca="1" si="3"/>
        <v>1377.12</v>
      </c>
      <c r="Y23" s="139">
        <f t="shared" ca="1" si="4"/>
        <v>121377.12</v>
      </c>
      <c r="Z23" s="139">
        <f t="shared" ca="1" si="5"/>
        <v>40216.57</v>
      </c>
      <c r="AA23" s="146">
        <f ca="1">IF(OR($B23&lt;=Setup!$E$12,$B23&gt;=Setup!$D$12+1),0,IF($F23&lt;&gt;"Active",0,IF($AE23="Yes",$AB23,((YEAR($AC23)*12)+MONTH($AC23))-((YEAR($AD23)*12)+MONTH($AD23)-1))))</f>
        <v>2</v>
      </c>
      <c r="AB23" s="146">
        <f ca="1">IF(OR($B23&lt;=Setup!$E$12,$B23&gt;=Setup!$D$12+1),0,((YEAR($AC23)*12)+MONTH($AC23))-((YEAR(Setup!$E$12)*12)+MONTH(Setup!$E$12)))</f>
        <v>2</v>
      </c>
      <c r="AC23" s="186">
        <f t="shared" ca="1" si="6"/>
        <v>45041</v>
      </c>
      <c r="AD23" s="144">
        <f ca="1">IF(ISNA(VLOOKUP($C23,EmpAll,COLUMN(Emp!$E$4),0)),$AC23,IF(VLOOKUP($C23,EmpAll,COLUMN(Emp!$E$4),0)&lt;=Setup!$E$12,DATE(YEAR(Setup!$E$12),MONTH(Setup!$E$12)+1,1),VLOOKUP($C23,EmpAll,COLUMN(Emp!$E$4),0)))</f>
        <v>44986</v>
      </c>
      <c r="AE23" s="144" t="str">
        <f ca="1">IF(ISNA(VLOOKUP($C23,EmpAll,COLUMN(Emp!$G$1),0)),"-",IF(VLOOKUP($C23,EmpAll,COLUMN(Emp!$G$1),0)=0,"-",VLOOKUP($C23,EmpAll,COLUMN(Emp!$G$1),0)))</f>
        <v>-</v>
      </c>
      <c r="AF23" s="145">
        <f ca="1">IF(A23=PaySlip!$G$3,1,0)</f>
        <v>0</v>
      </c>
      <c r="AG23" s="130" cm="1">
        <f t="array" aca="1" ref="AG23" ca="1">IF(COUNTIFS(OverEmp,$C23,OverMed,"MED",OverDate,"&lt;"&amp;DATE(YEAR($AC23),MONTH($AC23)+1,1),OverEnd,"&gt;="&amp;DATE(YEAR($AC23),MONTH($AC23),1))&gt;0,SUMIFS(OverValue,OverEmp,$C23,OverMed,"MED",OverDate,"&lt;"&amp;DATE(YEAR($AC23),MONTH($AC23)+1,1),OverEnd,"&gt;="&amp;DATE(YEAR($AC23),MONTH($AC23),1)),IF(ISNA(VLOOKUP($C23,EmpAll,COLUMN(Emp!$N$4),0)),0,VLOOKUP($C23,EmpAll,COLUMN(Emp!$N$4),0)))</f>
        <v>2</v>
      </c>
      <c r="AH23" s="146">
        <f ca="1">VLOOKUP($AG23,MedList,COLUMN(Setup!$C$49),1)</f>
        <v>728</v>
      </c>
      <c r="AI23" s="146">
        <f t="shared" ca="1" si="7"/>
        <v>8736</v>
      </c>
      <c r="AJ23" s="101" t="str">
        <f ca="1">IF(ISNA(VLOOKUP($C23,EmpAll,COLUMN(Emp!$L$4),0)),"None!",VLOOKUP($C23,EmpAll,COLUMN(Emp!$L$4),0))</f>
        <v>A</v>
      </c>
      <c r="AK23" s="147">
        <f t="shared" ca="1" si="8"/>
        <v>17235</v>
      </c>
      <c r="AL23" s="101" t="str">
        <f ca="1">IF(ISNA(VLOOKUP($C23,Employees[],COLUMN(Emp!$M$4),0))=TRUE,"Error!",IF(VLOOKUP($C23,Employees[],COLUMN(Emp!$M$4),0)=0,"Yes",VLOOKUP($C23,Employees[],COLUMN(Emp!$M$4),0)))</f>
        <v>A</v>
      </c>
      <c r="AM23" s="148">
        <f t="shared" ca="1" si="9"/>
        <v>1440000</v>
      </c>
      <c r="AN23" s="148" cm="1">
        <f t="array" aca="1" ref="AN23" ca="1">-IF($F23="Terminated",0,IF($AA23=0,0,IF(ISNA(MATCH(AN$5,PayDedList,0)),0,MIN(IF(COUNTIFS(OverEmp,$C23,OverDeduct,AN$5,OverDate,"&lt;"&amp;DATE(YEAR($AC23),MONTH($AC23)+1,1),OverEnd,"&gt;="&amp;DATE(YEAR($AC23),MONTH($AC23),1))&gt;0,SUMPRODUCT((PayEmp=$C23)*(PayDate&lt;=$AC23)*(OFFSET($N$6,1,MATCH(AN$5,PayDedList,0)-1,PayCount,1)))/$AA23*12*AN$3,IF(OR(AN$1="Fixed",AN$1="Not Used"),SUMPRODUCT((PayEmp=$C23)*(PayDate&lt;=$AC23)*(OFFSET($N$6,1,MATCH(AN$5,PayDedList,0)-1,PayCount,1)))/$AA23*12*AN$3,IF(ISNA(MATCH(AN$1,EarnListItem,0))=FALSE,SUMPRODUCT((PayEmp=$C23)*(PayDate&lt;=$AC23)*(OFFSET($N$6,1,MATCH(AN$5,PayDedList,0)-1,PayCount,1)))/$AA23*12*AN$3,(MIN(((SUMPRODUCT((PayEmp=$C23)*(PayDate&lt;=$AC23)*(ISERROR(SEARCH(PayEarnCode,AN$2)))*(PayEarnType="Monthly")*(PayEarnValues))/$AA23*12)+(SUMPRODUCT((PayEmp=$C23)*(PayDate&lt;=$AC23)*(ISERROR(SEARCH(PayEarnCode,AN$2)))*(PayEarnType="Quarterly")*(PayEarnValues))/MAX(1,ROUNDDOWN($AB23/3,0))*4)+(SUMPRODUCT((PayEmp=$C23)*(PayDate&lt;=$AC23)*(ISERROR(SEARCH(PayEarnCode,AN$2)))*(PayEarnType="Bi-Annual")*(PayEarnValues))/MAX(1,ROUNDDOWN($AB23/6,0))*2)+(SUMPRODUCT((PayEmp=$C23)*(PayDate&lt;=$AC23)*(ISERROR(SEARCH(PayEarnCode,AN$2)))*(PayEarnType="Annual")*(PayEarnValues)))),IF(ISNUMBER(OFFSET($N$3,0,MATCH(AN$5,PayDedList,0)-1,1,1)),OFFSET($N$3,0,MATCH(AN$5,PayDedList,0)-1,1,1),IgnoreMin)))*IF(COUNTIFS(EmpNo,$C23,OFFSET(Emp!$R$4,1,MATCH(AN$5,DedListItem,0)-1,EmpCount,1),"&lt;&gt;")&gt;0,VLOOKUP($C23,EmpAll,COLUMN(Emp!$R$4)+MATCH(AN$5,DedListItem,0)-1,0),OFFSET(Setup!$E$73,MATCH(AN$5,DedListItem,0),0,1,1))*AN$3))),IF(ISNUMBER(AN$4),AN$4,IgnoreMin)))))</f>
        <v>0</v>
      </c>
      <c r="AO23" s="148" cm="1">
        <f t="array" aca="1" ref="AO23" ca="1">-IF($F23="Terminated",0,IF($AA23=0,0,IF(ISNA(MATCH(AO$5,PayDedList,0)),0,MIN(IF(COUNTIFS(OverEmp,$C23,OverDeduct,AO$5,OverDate,"&lt;"&amp;DATE(YEAR($AC23),MONTH($AC23)+1,1),OverEnd,"&gt;="&amp;DATE(YEAR($AC23),MONTH($AC23),1))&gt;0,SUMPRODUCT((PayEmp=$C23)*(PayDate&lt;=$AC23)*(OFFSET($N$6,1,MATCH(AO$5,PayDedList,0)-1,PayCount,1)))/$AA23*12*AO$3,IF(OR(AO$1="Fixed",AO$1="Not Used"),SUMPRODUCT((PayEmp=$C23)*(PayDate&lt;=$AC23)*(OFFSET($N$6,1,MATCH(AO$5,PayDedList,0)-1,PayCount,1)))/$AA23*12*AO$3,IF(ISNA(MATCH(AO$1,EarnListItem,0))=FALSE,SUMPRODUCT((PayEmp=$C23)*(PayDate&lt;=$AC23)*(OFFSET($N$6,1,MATCH(AO$5,PayDedList,0)-1,PayCount,1)))/$AA23*12*AO$3,(MIN(((SUMPRODUCT((PayEmp=$C23)*(PayDate&lt;=$AC23)*(ISERROR(SEARCH(PayEarnCode,AO$2)))*(PayEarnType="Monthly")*(PayEarnValues))/$AA23*12)+(SUMPRODUCT((PayEmp=$C23)*(PayDate&lt;=$AC23)*(ISERROR(SEARCH(PayEarnCode,AO$2)))*(PayEarnType="Quarterly")*(PayEarnValues))/MAX(1,ROUNDDOWN($AB23/3,0))*4)+(SUMPRODUCT((PayEmp=$C23)*(PayDate&lt;=$AC23)*(ISERROR(SEARCH(PayEarnCode,AO$2)))*(PayEarnType="Bi-Annual")*(PayEarnValues))/MAX(1,ROUNDDOWN($AB23/6,0))*2)+(SUMPRODUCT((PayEmp=$C23)*(PayDate&lt;=$AC23)*(ISERROR(SEARCH(PayEarnCode,AO$2)))*(PayEarnType="Annual")*(PayEarnValues)))),IF(ISNUMBER(OFFSET($N$3,0,MATCH(AO$5,PayDedList,0)-1,1,1)),OFFSET($N$3,0,MATCH(AO$5,PayDedList,0)-1,1,1),IgnoreMin)))*IF(COUNTIFS(EmpNo,$C23,OFFSET(Emp!$R$4,1,MATCH(AO$5,DedListItem,0)-1,EmpCount,1),"&lt;&gt;")&gt;0,VLOOKUP($C23,EmpAll,COLUMN(Emp!$R$4)+MATCH(AO$5,DedListItem,0)-1,0),OFFSET(Setup!$E$73,MATCH(AO$5,DedListItem,0),0,1,1))*AO$3))),IF(ISNUMBER(AO$4),AO$4,IgnoreMin)))))</f>
        <v>0</v>
      </c>
      <c r="AP23" s="148" cm="1">
        <f t="array" aca="1" ref="AP23" ca="1">-IF($F23="Terminated",0,IF($AA23=0,0,IF(ISNA(MATCH(AP$5,PayDedList,0)),0,MIN(IF(COUNTIFS(OverEmp,$C23,OverDeduct,AP$5,OverDate,"&lt;"&amp;DATE(YEAR($AC23),MONTH($AC23)+1,1),OverEnd,"&gt;="&amp;DATE(YEAR($AC23),MONTH($AC23),1))&gt;0,SUMPRODUCT((PayEmp=$C23)*(PayDate&lt;=$AC23)*(OFFSET($N$6,1,MATCH(AP$5,PayDedList,0)-1,PayCount,1)))/$AA23*12*AP$3,IF(OR(AP$1="Fixed",AP$1="Not Used"),SUMPRODUCT((PayEmp=$C23)*(PayDate&lt;=$AC23)*(OFFSET($N$6,1,MATCH(AP$5,PayDedList,0)-1,PayCount,1)))/$AA23*12*AP$3,IF(ISNA(MATCH(AP$1,EarnListItem,0))=FALSE,SUMPRODUCT((PayEmp=$C23)*(PayDate&lt;=$AC23)*(OFFSET($N$6,1,MATCH(AP$5,PayDedList,0)-1,PayCount,1)))/$AA23*12*AP$3,(MIN(((SUMPRODUCT((PayEmp=$C23)*(PayDate&lt;=$AC23)*(ISERROR(SEARCH(PayEarnCode,AP$2)))*(PayEarnType="Monthly")*(PayEarnValues))/$AA23*12)+(SUMPRODUCT((PayEmp=$C23)*(PayDate&lt;=$AC23)*(ISERROR(SEARCH(PayEarnCode,AP$2)))*(PayEarnType="Quarterly")*(PayEarnValues))/MAX(1,ROUNDDOWN($AB23/3,0))*4)+(SUMPRODUCT((PayEmp=$C23)*(PayDate&lt;=$AC23)*(ISERROR(SEARCH(PayEarnCode,AP$2)))*(PayEarnType="Bi-Annual")*(PayEarnValues))/MAX(1,ROUNDDOWN($AB23/6,0))*2)+(SUMPRODUCT((PayEmp=$C23)*(PayDate&lt;=$AC23)*(ISERROR(SEARCH(PayEarnCode,AP$2)))*(PayEarnType="Annual")*(PayEarnValues)))),IF(ISNUMBER(OFFSET($N$3,0,MATCH(AP$5,PayDedList,0)-1,1,1)),OFFSET($N$3,0,MATCH(AP$5,PayDedList,0)-1,1,1),IgnoreMin)))*IF(COUNTIFS(EmpNo,$C23,OFFSET(Emp!$R$4,1,MATCH(AP$5,DedListItem,0)-1,EmpCount,1),"&lt;&gt;")&gt;0,VLOOKUP($C23,EmpAll,COLUMN(Emp!$R$4)+MATCH(AP$5,DedListItem,0)-1,0),OFFSET(Setup!$E$73,MATCH(AP$5,DedListItem,0),0,1,1))*AP$3))),IF(ISNUMBER(AP$4),AP$4,IgnoreMin)))))</f>
        <v>0</v>
      </c>
      <c r="AQ23" s="148" cm="1">
        <f t="array" aca="1" ref="AQ23" ca="1">-IF($F23="Terminated",0,IF($AA23=0,0,IF(ISNA(MATCH(AQ$5,PayDedList,0)),0,MIN(IF(COUNTIFS(OverEmp,$C23,OverDeduct,AQ$5,OverDate,"&lt;"&amp;DATE(YEAR($AC23),MONTH($AC23)+1,1),OverEnd,"&gt;="&amp;DATE(YEAR($AC23),MONTH($AC23),1))&gt;0,SUMPRODUCT((PayEmp=$C23)*(PayDate&lt;=$AC23)*(OFFSET($N$6,1,MATCH(AQ$5,PayDedList,0)-1,PayCount,1)))/$AA23*12*AQ$3,IF(OR(AQ$1="Fixed",AQ$1="Not Used"),SUMPRODUCT((PayEmp=$C23)*(PayDate&lt;=$AC23)*(OFFSET($N$6,1,MATCH(AQ$5,PayDedList,0)-1,PayCount,1)))/$AA23*12*AQ$3,IF(ISNA(MATCH(AQ$1,EarnListItem,0))=FALSE,SUMPRODUCT((PayEmp=$C23)*(PayDate&lt;=$AC23)*(OFFSET($N$6,1,MATCH(AQ$5,PayDedList,0)-1,PayCount,1)))/$AA23*12*AQ$3,(MIN(((SUMPRODUCT((PayEmp=$C23)*(PayDate&lt;=$AC23)*(ISERROR(SEARCH(PayEarnCode,AQ$2)))*(PayEarnType="Monthly")*(PayEarnValues))/$AA23*12)+(SUMPRODUCT((PayEmp=$C23)*(PayDate&lt;=$AC23)*(ISERROR(SEARCH(PayEarnCode,AQ$2)))*(PayEarnType="Quarterly")*(PayEarnValues))/MAX(1,ROUNDDOWN($AB23/3,0))*4)+(SUMPRODUCT((PayEmp=$C23)*(PayDate&lt;=$AC23)*(ISERROR(SEARCH(PayEarnCode,AQ$2)))*(PayEarnType="Bi-Annual")*(PayEarnValues))/MAX(1,ROUNDDOWN($AB23/6,0))*2)+(SUMPRODUCT((PayEmp=$C23)*(PayDate&lt;=$AC23)*(ISERROR(SEARCH(PayEarnCode,AQ$2)))*(PayEarnType="Annual")*(PayEarnValues)))),IF(ISNUMBER(OFFSET($N$3,0,MATCH(AQ$5,PayDedList,0)-1,1,1)),OFFSET($N$3,0,MATCH(AQ$5,PayDedList,0)-1,1,1),IgnoreMin)))*IF(COUNTIFS(EmpNo,$C23,OFFSET(Emp!$R$4,1,MATCH(AQ$5,DedListItem,0)-1,EmpCount,1),"&lt;&gt;")&gt;0,VLOOKUP($C23,EmpAll,COLUMN(Emp!$R$4)+MATCH(AQ$5,DedListItem,0)-1,0),OFFSET(Setup!$E$73,MATCH(AQ$5,DedListItem,0),0,1,1))*AQ$3))),IF(ISNUMBER(AQ$4),AQ$4,IgnoreMin)))))</f>
        <v>0</v>
      </c>
      <c r="AR23" s="148">
        <f t="shared" ca="1" si="10"/>
        <v>1440000</v>
      </c>
      <c r="AS23" s="148">
        <f t="shared" ca="1" si="11"/>
        <v>1440000</v>
      </c>
      <c r="AT23" s="148" cm="1">
        <f t="array" aca="1" ref="AT23" ca="1">-IF($F23="Terminated",0,IF($AA23=0,0,IF(ISNA(MATCH(AT$5,PayDedList,0)),0,MIN(IF(COUNTIFS(OverEmp,$C23,OverDeduct,AT$5,OverDate,"&lt;"&amp;DATE(YEAR($AC23),MONTH($AC23)+1,1),OverEnd,"&gt;="&amp;DATE(YEAR($AC23),MONTH($AC23),1))&gt;0,SUMPRODUCT((PayEmp=$C23)*(PayDate&lt;=$AC23)*(OFFSET($N$6,1,MATCH(AT$5,PayDedList,0)-1,PayCount,1)))/$AA23*12*AT$3,IF(OR(AT$1="Fixed",AT$1="Not Used"),SUMPRODUCT((PayEmp=$C23)*(PayDate&lt;=$AC23)*(OFFSET($N$6,1,MATCH(AT$5,PayDedList,0)-1,PayCount,1)))/$AA23*12*AT$3,IF(ISNA(MATCH(OFFSET($N$2,0,MATCH(AT$5,PayDedList,0)-1,1,1),EarnListItem,0))=FALSE,SUMPRODUCT((PayEmp=$C23)*(PayDate&lt;=$AC23)*(OFFSET($N$6,1,MATCH(AT$5,PayDedList,0)-1,PayCount,1)))/$AA23*12*AT$3,(MIN(SUMPRODUCT((PayEmp=$C23)*(PayDate&lt;=$AC23)*(ISERROR(SEARCH(PayEarnCode,AT$2)))*(PayEarnType="Monthly")*(PayEarnValues))/$AA23*12,IF(ISNUMBER(OFFSET($N$3,0,MATCH(AT$5,PayDedList,0)-1,1,1)),OFFSET($N$3,0,MATCH(AT$5,PayDedList,0)-1,1,1),IgnoreMin)))*IF(COUNTIFS(EmpNo,$C23,OFFSET(Emp!$R$4,1,MATCH(AT$5,DedListItem,0)-1,EmpCount,1),"&lt;&gt;")&gt;0,VLOOKUP($C23,EmpAll,COLUMN(Emp!$R$4)+MATCH(AT$5,DedListItem,0)-1,0),OFFSET(Setup!$E$73,MATCH(AT$5,DedListItem,0),0,1,1))*AT$3))),IF(ISNUMBER(AT$4),AT$4,IgnoreMin)))))</f>
        <v>0</v>
      </c>
      <c r="AU23" s="148" cm="1">
        <f t="array" aca="1" ref="AU23" ca="1">-IF($F23="Terminated",0,IF($AA23=0,0,IF(ISNA(MATCH(AU$5,PayDedList,0)),0,MIN(IF(COUNTIFS(OverEmp,$C23,OverDeduct,AU$5,OverDate,"&lt;"&amp;DATE(YEAR($AC23),MONTH($AC23)+1,1),OverEnd,"&gt;="&amp;DATE(YEAR($AC23),MONTH($AC23),1))&gt;0,SUMPRODUCT((PayEmp=$C23)*(PayDate&lt;=$AC23)*(OFFSET($N$6,1,MATCH(AU$5,PayDedList,0)-1,PayCount,1)))/$AA23*12*AU$3,IF(OR(AU$1="Fixed",AU$1="Not Used"),SUMPRODUCT((PayEmp=$C23)*(PayDate&lt;=$AC23)*(OFFSET($N$6,1,MATCH(AU$5,PayDedList,0)-1,PayCount,1)))/$AA23*12*AU$3,IF(ISNA(MATCH(OFFSET($N$2,0,MATCH(AU$5,PayDedList,0)-1,1,1),EarnListItem,0))=FALSE,SUMPRODUCT((PayEmp=$C23)*(PayDate&lt;=$AC23)*(OFFSET($N$6,1,MATCH(AU$5,PayDedList,0)-1,PayCount,1)))/$AA23*12*AU$3,(MIN(SUMPRODUCT((PayEmp=$C23)*(PayDate&lt;=$AC23)*(ISERROR(SEARCH(PayEarnCode,AU$2)))*(PayEarnType="Monthly")*(PayEarnValues))/$AA23*12,IF(ISNUMBER(OFFSET($N$3,0,MATCH(AU$5,PayDedList,0)-1,1,1)),OFFSET($N$3,0,MATCH(AU$5,PayDedList,0)-1,1,1),IgnoreMin)))*IF(COUNTIFS(EmpNo,$C23,OFFSET(Emp!$R$4,1,MATCH(AU$5,DedListItem,0)-1,EmpCount,1),"&lt;&gt;")&gt;0,VLOOKUP($C23,EmpAll,COLUMN(Emp!$R$4)+MATCH(AU$5,DedListItem,0)-1,0),OFFSET(Setup!$E$73,MATCH(AU$5,DedListItem,0),0,1,1))*AU$3))),IF(ISNUMBER(AU$4),AU$4,IgnoreMin)))))</f>
        <v>0</v>
      </c>
      <c r="AV23" s="148" cm="1">
        <f t="array" aca="1" ref="AV23" ca="1">-IF($F23="Terminated",0,IF($AA23=0,0,IF(ISNA(MATCH(AV$5,PayDedList,0)),0,MIN(IF(COUNTIFS(OverEmp,$C23,OverDeduct,AV$5,OverDate,"&lt;"&amp;DATE(YEAR($AC23),MONTH($AC23)+1,1),OverEnd,"&gt;="&amp;DATE(YEAR($AC23),MONTH($AC23),1))&gt;0,SUMPRODUCT((PayEmp=$C23)*(PayDate&lt;=$AC23)*(OFFSET($N$6,1,MATCH(AV$5,PayDedList,0)-1,PayCount,1)))/$AA23*12*AV$3,IF(OR(AV$1="Fixed",AV$1="Not Used"),SUMPRODUCT((PayEmp=$C23)*(PayDate&lt;=$AC23)*(OFFSET($N$6,1,MATCH(AV$5,PayDedList,0)-1,PayCount,1)))/$AA23*12*AV$3,IF(ISNA(MATCH(OFFSET($N$2,0,MATCH(AV$5,PayDedList,0)-1,1,1),EarnListItem,0))=FALSE,SUMPRODUCT((PayEmp=$C23)*(PayDate&lt;=$AC23)*(OFFSET($N$6,1,MATCH(AV$5,PayDedList,0)-1,PayCount,1)))/$AA23*12*AV$3,(MIN(SUMPRODUCT((PayEmp=$C23)*(PayDate&lt;=$AC23)*(ISERROR(SEARCH(PayEarnCode,AV$2)))*(PayEarnType="Monthly")*(PayEarnValues))/$AA23*12,IF(ISNUMBER(OFFSET($N$3,0,MATCH(AV$5,PayDedList,0)-1,1,1)),OFFSET($N$3,0,MATCH(AV$5,PayDedList,0)-1,1,1),IgnoreMin)))*IF(COUNTIFS(EmpNo,$C23,OFFSET(Emp!$R$4,1,MATCH(AV$5,DedListItem,0)-1,EmpCount,1),"&lt;&gt;")&gt;0,VLOOKUP($C23,EmpAll,COLUMN(Emp!$R$4)+MATCH(AV$5,DedListItem,0)-1,0),OFFSET(Setup!$E$73,MATCH(AV$5,DedListItem,0),0,1,1))*AV$3))),IF(ISNUMBER(AV$4),AV$4,IgnoreMin)))))</f>
        <v>0</v>
      </c>
      <c r="AW23" s="148" cm="1">
        <f t="array" aca="1" ref="AW23" ca="1">-IF($F23="Terminated",0,IF($AA23=0,0,IF(ISNA(MATCH(AW$5,PayDedList,0)),0,MIN(IF(COUNTIFS(OverEmp,$C23,OverDeduct,AW$5,OverDate,"&lt;"&amp;DATE(YEAR($AC23),MONTH($AC23)+1,1),OverEnd,"&gt;="&amp;DATE(YEAR($AC23),MONTH($AC23),1))&gt;0,SUMPRODUCT((PayEmp=$C23)*(PayDate&lt;=$AC23)*(OFFSET($N$6,1,MATCH(AW$5,PayDedList,0)-1,PayCount,1)))/$AA23*12*AW$3,IF(OR(AW$1="Fixed",AW$1="Not Used"),SUMPRODUCT((PayEmp=$C23)*(PayDate&lt;=$AC23)*(OFFSET($N$6,1,MATCH(AW$5,PayDedList,0)-1,PayCount,1)))/$AA23*12*AW$3,IF(ISNA(MATCH(OFFSET($N$2,0,MATCH(AW$5,PayDedList,0)-1,1,1),EarnListItem,0))=FALSE,SUMPRODUCT((PayEmp=$C23)*(PayDate&lt;=$AC23)*(OFFSET($N$6,1,MATCH(AW$5,PayDedList,0)-1,PayCount,1)))/$AA23*12*AW$3,(MIN(SUMPRODUCT((PayEmp=$C23)*(PayDate&lt;=$AC23)*(ISERROR(SEARCH(PayEarnCode,AW$2)))*(PayEarnType="Monthly")*(PayEarnValues))/$AA23*12,IF(ISNUMBER(OFFSET($N$3,0,MATCH(AW$5,PayDedList,0)-1,1,1)),OFFSET($N$3,0,MATCH(AW$5,PayDedList,0)-1,1,1),IgnoreMin)))*IF(COUNTIFS(EmpNo,$C23,OFFSET(Emp!$R$4,1,MATCH(AW$5,DedListItem,0)-1,EmpCount,1),"&lt;&gt;")&gt;0,VLOOKUP($C23,EmpAll,COLUMN(Emp!$R$4)+MATCH(AW$5,DedListItem,0)-1,0),OFFSET(Setup!$E$73,MATCH(AW$5,DedListItem,0),0,1,1))*AW$3))),IF(ISNUMBER(AW$4),AW$4,IgnoreMin)))))</f>
        <v>0</v>
      </c>
      <c r="AX23" s="148">
        <f t="shared" ca="1" si="12"/>
        <v>1440000</v>
      </c>
      <c r="AY23" s="148">
        <f t="shared" ca="1" si="13"/>
        <v>0</v>
      </c>
      <c r="AZ23" s="148">
        <f ca="1">IF(ISNUMBER($AL23),($AR23*$AL23)-$AI23-$AK23,MAX(0,IF($AL23="B",IF($AR23&lt;Setup!$C$32,($AR23*Setup!$D$32)-$AI23-$AK23,(($AR23-VLOOKUP($AR23,TaxAll2,1,1))*OFFSET(Setup!$D$32,MATCH($AR23,TaxBracket2,1),0,1,1))+OFFSET(Setup!$E$31,MATCH($AR23,TaxBracket2,1),0,1,1)-$AI23-$AK23),IF($AR23&lt;Setup!$C$21,($AR23*Setup!$D$21)-$AI23-$AK23,(($AR23-VLOOKUP($AR23,TaxAll1,1,1))*OFFSET(Setup!$D$21,MATCH($AR23,TaxBracket1,1),0,1,1))+OFFSET(Setup!$E$20,MATCH($AR23,TaxBracket1,1),0,1,1)-$AI23-$AK23))))</f>
        <v>463948</v>
      </c>
      <c r="BA23" s="148">
        <f ca="1">IF(ISNUMBER($AL23),($AX23*$AL23)-$AI23-$AK23,MAX(0,IF($AL23="B",IF($AX23&lt;Setup!$C$32,($AX23*Setup!$D$32)-$AI23-$AK23,(($AX23-VLOOKUP($AX23,TaxAll2,1,1))*OFFSET(Setup!$D$32,MATCH($AX23,TaxBracket2,1),0,1,1))+OFFSET(Setup!$E$31,MATCH($AX23,TaxBracket2,1),0,1,1)-$AI23-$AK23),IF($AX23&lt;Setup!$C$21,($AX23*Setup!$D$21)-$AI23-$AK23,(($AX23-VLOOKUP($AX23,TaxAll1,1,1))*OFFSET(Setup!$D$21,MATCH($AX23,TaxBracket1,1),0,1,1))+OFFSET(Setup!$E$20,MATCH($AX23,TaxBracket1,1),0,1,1)-$AI23-$AK23))))</f>
        <v>463948</v>
      </c>
      <c r="BB23" s="148">
        <f t="shared" ca="1" si="14"/>
        <v>0</v>
      </c>
      <c r="BC23" s="150">
        <f t="shared" ca="1" si="15"/>
        <v>1</v>
      </c>
      <c r="BD23" s="150">
        <f t="shared" ca="1" si="16"/>
        <v>0</v>
      </c>
      <c r="BE23" s="148">
        <f t="shared" ca="1" si="17"/>
        <v>1440000</v>
      </c>
    </row>
    <row r="24" spans="1:57" ht="16.149999999999999" customHeight="1" x14ac:dyDescent="0.25">
      <c r="A24" s="10" t="str" cm="1">
        <f t="array" aca="1" ref="A24" ca="1">IF(ROW($A24)-ROW($A$6)&gt;EmpCount*12,"-",TEXT($B24,"yyyy")&amp;TEXT($B24,"mm")&amp;"-"&amp;$C24)</f>
        <v>202304-EXS003</v>
      </c>
      <c r="B24" s="137" cm="1">
        <f t="array" aca="1" ref="B24" ca="1">IF(ROW($A24)-ROW($A$6)&gt;EmpCount*12,Setup!$D$12,DATE(YEAR(Setup!$F$12),MONTH(Setup!$F$12)+ROUNDDOWN((ROW($A24)-ROW($A$6)-1)/EmpCount,0),IF(Setup!$C$14&gt;DAY(DATE(YEAR(Setup!$F$12),MONTH(Setup!$F$12)+ROUNDDOWN((ROW($A24)-ROW($A$6)-1)/EmpCount,0)+1,0)),DAY(DATE(YEAR(Setup!$F$12),MONTH(Setup!$F$12)+ROUNDDOWN((ROW($A24)-ROW($A$6)-1)/EmpCount,0)+1,0)),Setup!$C$14)))</f>
        <v>45041</v>
      </c>
      <c r="C24" s="101" t="str" cm="1">
        <f t="array" aca="1" ref="C24" ca="1">IF(ROW($A24)-ROW($A$6)&gt;EmpCount*12,"-",OFFSET(Emp!$A$4,ROW($A24)-ROW($A$6)-IF(ROW($A24)-ROW($A$6)&gt;EmpCount,ROUNDDOWN((ROW($A24)-ROW($A$6)-1)/EmpCount,0)*EmpCount,0),0,1,1))</f>
        <v>EXS003</v>
      </c>
      <c r="D24" s="10" t="str">
        <f ca="1">IF(ISNA(VLOOKUP($C24,EmpAll,COLUMN(Emp!$B$4),0)),"-",VLOOKUP($C24,EmpAll,COLUMN(Emp!$B$4),0))</f>
        <v>Wilson PG</v>
      </c>
      <c r="E24" s="145" t="str">
        <f ca="1">IF(ISNA(VLOOKUP($C24,EmpAll,COLUMN(Emp!$C$4),0)),"-",VLOOKUP($C24,EmpAll,COLUMN(Emp!$C$4),0))</f>
        <v>S</v>
      </c>
      <c r="F24" s="101" t="str">
        <f ca="1">IF(ISNA(VLOOKUP($C24,EmpAll,COLUMN(Emp!$A$4),0)),"-",IF(AND(VLOOKUP($C24,EmpAll,COLUMN(Emp!$E$4),0)&lt;&gt;0,VLOOKUP($C24,EmpAll,COLUMN(Emp!$E$4),0)&gt;=DATE(YEAR($AC24),MONTH($AC24)+1,0)),"Inactive",IF(AND(VLOOKUP($C24,EmpAll,COLUMN(Emp!$F$4),0)&lt;&gt;0,VLOOKUP($C24,EmpAll,COLUMN(Emp!$F$4),0)&lt;=DATE(YEAR($AC24),MONTH($AC24),0)),"Terminated","Active")))</f>
        <v>Active</v>
      </c>
      <c r="G24" s="133" cm="1">
        <f t="array" aca="1" ref="G24" ca="1">IF($F24&lt;&gt;"Active",0,IF(COUNTIFS(OverEmp,$C24,OverEarn,G$2,OverDate,"&lt;"&amp;DATE(YEAR($AC24),MONTH($AC24)+1,1),OverEnd,"&gt;="&amp;DATE(YEAR($AC24),MONTH($AC24),1))&gt;0,SUMIFS(OverValue,OverEmp,$C24,OverEarn,G$2,OverDate,"&lt;"&amp;DATE(YEAR($AC24),MONTH($AC24)+1,1),OverEnd,"&gt;="&amp;DATE(YEAR($AC24),MONTH($AC24),1)),IF(AND($AC24&gt;=Setup!$E$10,SUMIFS(EmpIncrease,EmpCode,$C24)&gt;0),SUMIFS(EmpIncrease,EmpCode,$C24),SUMIFS(EmpSalary,EmpCode,$C24))))</f>
        <v>15000</v>
      </c>
      <c r="H24" s="133" cm="1">
        <f t="array" aca="1" ref="H24" ca="1">IF($F24&lt;&gt;"Active",0,IF(COUNTIFS(OverEmp,$C24,OverEarn,H$2,OverDate,"&lt;"&amp;DATE(YEAR($AC24),MONTH($AC24)+1,1),OverEnd,"&gt;="&amp;DATE(YEAR($AC24),MONTH($AC24),1))&gt;0,SUMIFS(OverValue,OverEmp,$C24,OverEarn,H$2,OverDate,"&lt;"&amp;DATE(YEAR($AC24),MONTH($AC24)+1,1),OverEnd,"&gt;="&amp;DATE(YEAR($AC24),MONTH($AC24),1)),0))</f>
        <v>0</v>
      </c>
      <c r="I24" s="133" cm="1">
        <f t="array" aca="1" ref="I24" ca="1">IF($F24&lt;&gt;"Active",0,IF(COUNTIFS(OverEmp,$C24,OverEarn,I$2,OverDate,"&lt;"&amp;DATE(YEAR($AC24),MONTH($AC24)+1,1),OverEnd,"&gt;="&amp;DATE(YEAR($AC24),MONTH($AC24),1))&gt;0,SUMIFS(OverValue,OverEmp,$C24,OverEarn,I$2,OverDate,"&lt;"&amp;DATE(YEAR($AC24),MONTH($AC24)+1,1),OverEnd,"&gt;="&amp;DATE(YEAR($AC24),MONTH($AC24),1)),IF(MONTH(B24)=Setup!$C$15,SUMIFS(EmpBonus,EmpCode,$C24),0)))</f>
        <v>0</v>
      </c>
      <c r="J24" s="133" cm="1">
        <f t="array" aca="1" ref="J24" ca="1">IF($F24&lt;&gt;"Active",0,IF(COUNTIFS(OverEmp,$C24,OverEarn,J$2,OverDate,"&lt;"&amp;DATE(YEAR($AC24),MONTH($AC24)+1,1),OverEnd,"&gt;="&amp;DATE(YEAR($AC24),MONTH($AC24),1))&gt;0,SUMIFS(OverValue,OverEmp,$C24,OverEarn,J$2,OverDate,"&lt;"&amp;DATE(YEAR($AC24),MONTH($AC24)+1,1),OverEnd,"&gt;="&amp;DATE(YEAR($AC24),MONTH($AC24),1)),0))</f>
        <v>0</v>
      </c>
      <c r="K24" s="133" cm="1">
        <f t="array" aca="1" ref="K24" ca="1">IF($F24&lt;&gt;"Active",0,IF(COUNTIFS(OverEmp,$C24,OverEarn,K$2,OverDate,"&lt;"&amp;DATE(YEAR($AC24),MONTH($AC24)+1,1),OverEnd,"&gt;="&amp;DATE(YEAR($AC24),MONTH($AC24),1))&gt;0,SUMIFS(OverValue,OverEmp,$C24,OverEarn,K$2,OverDate,"&lt;"&amp;DATE(YEAR($AC24),MONTH($AC24)+1,1),OverEnd,"&gt;="&amp;DATE(YEAR($AC24),MONTH($AC24),1)),0))</f>
        <v>0</v>
      </c>
      <c r="L24" s="185">
        <f t="shared" ca="1" si="0"/>
        <v>15000</v>
      </c>
      <c r="M24" s="182" cm="1">
        <f t="array" aca="1" ref="M24" ca="1">IF(COUNTIFS(OverEmp,$C24,OverTax,M$5,OverDate,"&lt;"&amp;DATE(YEAR($AC24),MONTH($AC24)+1,1),OverEnd,"&gt;="&amp;DATE(YEAR($AC24),MONTH($AC24),1))&gt;0,SUMIFS(OverValue,OverEmp,$C24,OverTax,M$5,OverDate,"&lt;"&amp;DATE(YEAR($AC24),MONTH($AC24)+1,1),OverEnd,"&gt;="&amp;DATE(YEAR($AC24),MONTH($AC24),1)),(($BA24/12*$AA24)+(BB24*IF(1-$BC24=0,0,BD24/(1-$BC24))))-IF($F24="Terminated",0,SUMIFS(PayTaxDeduct,PayDate,"&lt;"&amp;$AC24,PayEmp,$C24)))</f>
        <v>899.75</v>
      </c>
      <c r="N24" s="133" cm="1">
        <f t="array" aca="1" ref="N24" ca="1">IF($F24="Terminated",0,IF($AA24=0,0,IF(ISNA(MATCH(N$5,DedListItem,0)),0,IF(COUNTIFS(OverEmp,$C24,OverDeduct,N$5,OverDate,"&lt;"&amp;DATE(YEAR($AC24),MONTH($AC24)+1,1),OverEnd,"&gt;="&amp;DATE(YEAR($AC24),MONTH($AC24),1))&gt;0,SUMIFS(OverValue,OverEmp,$C24,OverDeduct,N$5,OverDate,"&lt;"&amp;DATE(YEAR($AC24),MONTH($AC24)+1,1),OverEnd,"&gt;="&amp;DATE(YEAR($AC24),MONTH($AC24),1)),IF(OR(N$2="Fixed",N$2="Not Used"),(IF(COUNTIFS(EmpNo,$C24,OFFSET(Emp!$R$4,1,MATCH(N$5,DedListItem,0)-1,EmpCount,1),"&lt;&gt;")&gt;0,VLOOKUP($C24,EmpAll,COLUMN(Emp!$R$4)+MATCH(N$5,DedListItem,0)-1,0),OFFSET(Setup!$E$73,MATCH(N$5,DedListItem,0),0,1,1))*$AA24)-SUMIFS(OFFSET(N$6,1,0,PayCount,1),PayDate,"&lt;"&amp;$AC24,PayEmp,$C24),IF(ISNA(MATCH(N$2,EarnListItem,0))=FALSE,IF(OFFSET(Setup!$G$73,MATCH(N$5,DedListItem,0),0,1,1)="Taxable",SUMPRODUCT((PayEmp=$C24)*(PayDate&lt;=$AC24)*(PayEarnCode=N$2)*(PayEarnTax)*(PayEarnValues)),SUMPRODUCT((PayEmp=$C24)*(PayDate&lt;=$AC24)*(PayEarnCode=N$2)*(PayEarnValues)))*IF(COUNTIFS(EmpNo,$C24,OFFSET(Emp!$R$4,1,MATCH(N$5,DedListItem,0)-1,EmpCount,1),"&lt;&gt;")&gt;0,VLOOKUP($C24,EmpAll,COLUMN(Emp!$R$4)+MATCH(N$5,DedListItem,0)-1,0),OFFSET(Setup!$E$73,MATCH(N$5,DedListItem,0),0,1,1)),(MIN(IF(OFFSET(Setup!$G$73,MATCH(N$5,DedListItem,0),0,1,1)="Taxable",SUMPRODUCT((PayEmp=$C24)*(PayDate&lt;=$AC24)*(ISERROR(SEARCH(PayEarnCode,N$4)))*(PayEarnTax)*(PayEarnValues)),SUMPRODUCT((PayEmp=$C24)*(PayDate&lt;=$AC24)*(ISERROR(SEARCH(PayEarnCode,N$4)))*(PayEarnValues))),IF(ISNUMBER(N$3),N$3/12*$AA24,IgnoreMin)))*IF(COUNTIFS(EmpNo,$C24,OFFSET(Emp!$R$4,1,MATCH(N$5,DedListItem,0)-1,EmpCount,1),"&lt;&gt;")&gt;0,VLOOKUP($C24,EmpAll,COLUMN(Emp!$R$4)+MATCH(N$5,DedListItem,0)-1,0),OFFSET(Setup!$E$73,MATCH(N$5,DedListItem,0),0,1,1)))-SUMIFS(OFFSET(N$6,1,0,PayCount,1),PayDate,"&lt;"&amp;$AC24,PayEmp,$C24))))))</f>
        <v>150</v>
      </c>
      <c r="O24" s="133" cm="1">
        <f t="array" aca="1" ref="O24" ca="1">IF($F24="Terminated",0,IF($AA24=0,0,IF(ISNA(MATCH(O$5,DedListItem,0)),0,IF(COUNTIFS(OverEmp,$C24,OverDeduct,O$5,OverDate,"&lt;"&amp;DATE(YEAR($AC24),MONTH($AC24)+1,1),OverEnd,"&gt;="&amp;DATE(YEAR($AC24),MONTH($AC24),1))&gt;0,SUMIFS(OverValue,OverEmp,$C24,OverDeduct,O$5,OverDate,"&lt;"&amp;DATE(YEAR($AC24),MONTH($AC24)+1,1),OverEnd,"&gt;="&amp;DATE(YEAR($AC24),MONTH($AC24),1)),IF(OR(O$2="Fixed",O$2="Not Used"),(IF(COUNTIFS(EmpNo,$C24,OFFSET(Emp!$R$4,1,MATCH(O$5,DedListItem,0)-1,EmpCount,1),"&lt;&gt;")&gt;0,VLOOKUP($C24,EmpAll,COLUMN(Emp!$R$4)+MATCH(O$5,DedListItem,0)-1,0),OFFSET(Setup!$E$73,MATCH(O$5,DedListItem,0),0,1,1))*$AA24)-SUMIFS(OFFSET(O$6,1,0,PayCount,1),PayDate,"&lt;"&amp;$AC24,PayEmp,$C24),IF(ISNA(MATCH(O$2,EarnListItem,0))=FALSE,IF(OFFSET(Setup!$G$73,MATCH(O$5,DedListItem,0),0,1,1)="Taxable",SUMPRODUCT((PayEmp=$C24)*(PayDate&lt;=$AC24)*(PayEarnCode=O$2)*(PayEarnTax)*(PayEarnValues)),SUMPRODUCT((PayEmp=$C24)*(PayDate&lt;=$AC24)*(PayEarnCode=O$2)*(PayEarnValues)))*IF(COUNTIFS(EmpNo,$C24,OFFSET(Emp!$R$4,1,MATCH(O$5,DedListItem,0)-1,EmpCount,1),"&lt;&gt;")&gt;0,VLOOKUP($C24,EmpAll,COLUMN(Emp!$R$4)+MATCH(O$5,DedListItem,0)-1,0),OFFSET(Setup!$E$73,MATCH(O$5,DedListItem,0),0,1,1)),(MIN(IF(OFFSET(Setup!$G$73,MATCH(O$5,DedListItem,0),0,1,1)="Taxable",SUMPRODUCT((PayEmp=$C24)*(PayDate&lt;=$AC24)*(ISERROR(SEARCH(PayEarnCode,O$4)))*(PayEarnTax)*(PayEarnValues)),SUMPRODUCT((PayEmp=$C24)*(PayDate&lt;=$AC24)*(ISERROR(SEARCH(PayEarnCode,O$4)))*(PayEarnValues))),IF(ISNUMBER(O$3),O$3/12*$AA24,IgnoreMin)))*IF(COUNTIFS(EmpNo,$C24,OFFSET(Emp!$R$4,1,MATCH(O$5,DedListItem,0)-1,EmpCount,1),"&lt;&gt;")&gt;0,VLOOKUP($C24,EmpAll,COLUMN(Emp!$R$4)+MATCH(O$5,DedListItem,0)-1,0),OFFSET(Setup!$E$73,MATCH(O$5,DedListItem,0),0,1,1)))-SUMIFS(OFFSET(O$6,1,0,PayCount,1),PayDate,"&lt;"&amp;$AC24,PayEmp,$C24))))))</f>
        <v>0</v>
      </c>
      <c r="P24" s="133" cm="1">
        <f t="array" aca="1" ref="P24" ca="1">IF($F24="Terminated",0,IF($AA24=0,0,IF(ISNA(MATCH(P$5,DedListItem,0)),0,IF(COUNTIFS(OverEmp,$C24,OverDeduct,P$5,OverDate,"&lt;"&amp;DATE(YEAR($AC24),MONTH($AC24)+1,1),OverEnd,"&gt;="&amp;DATE(YEAR($AC24),MONTH($AC24),1))&gt;0,SUMIFS(OverValue,OverEmp,$C24,OverDeduct,P$5,OverDate,"&lt;"&amp;DATE(YEAR($AC24),MONTH($AC24)+1,1),OverEnd,"&gt;="&amp;DATE(YEAR($AC24),MONTH($AC24),1)),IF(OR(P$2="Fixed",P$2="Not Used"),(IF(COUNTIFS(EmpNo,$C24,OFFSET(Emp!$R$4,1,MATCH(P$5,DedListItem,0)-1,EmpCount,1),"&lt;&gt;")&gt;0,VLOOKUP($C24,EmpAll,COLUMN(Emp!$R$4)+MATCH(P$5,DedListItem,0)-1,0),OFFSET(Setup!$E$73,MATCH(P$5,DedListItem,0),0,1,1))*$AA24)-SUMIFS(OFFSET(P$6,1,0,PayCount,1),PayDate,"&lt;"&amp;$AC24,PayEmp,$C24),IF(ISNA(MATCH(P$2,EarnListItem,0))=FALSE,IF(OFFSET(Setup!$G$73,MATCH(P$5,DedListItem,0),0,1,1)="Taxable",SUMPRODUCT((PayEmp=$C24)*(PayDate&lt;=$AC24)*(PayEarnCode=P$2)*(PayEarnTax)*(PayEarnValues)),SUMPRODUCT((PayEmp=$C24)*(PayDate&lt;=$AC24)*(PayEarnCode=P$2)*(PayEarnValues)))*IF(COUNTIFS(EmpNo,$C24,OFFSET(Emp!$R$4,1,MATCH(P$5,DedListItem,0)-1,EmpCount,1),"&lt;&gt;")&gt;0,VLOOKUP($C24,EmpAll,COLUMN(Emp!$R$4)+MATCH(P$5,DedListItem,0)-1,0),OFFSET(Setup!$E$73,MATCH(P$5,DedListItem,0),0,1,1)),(MIN(IF(OFFSET(Setup!$G$73,MATCH(P$5,DedListItem,0),0,1,1)="Taxable",SUMPRODUCT((PayEmp=$C24)*(PayDate&lt;=$AC24)*(ISERROR(SEARCH(PayEarnCode,P$4)))*(PayEarnTax)*(PayEarnValues)),SUMPRODUCT((PayEmp=$C24)*(PayDate&lt;=$AC24)*(ISERROR(SEARCH(PayEarnCode,P$4)))*(PayEarnValues))),IF(ISNUMBER(P$3),P$3/12*$AA24,IgnoreMin)))*IF(COUNTIFS(EmpNo,$C24,OFFSET(Emp!$R$4,1,MATCH(P$5,DedListItem,0)-1,EmpCount,1),"&lt;&gt;")&gt;0,VLOOKUP($C24,EmpAll,COLUMN(Emp!$R$4)+MATCH(P$5,DedListItem,0)-1,0),OFFSET(Setup!$E$73,MATCH(P$5,DedListItem,0),0,1,1)))-SUMIFS(OFFSET(P$6,1,0,PayCount,1),PayDate,"&lt;"&amp;$AC24,PayEmp,$C24))))))</f>
        <v>0</v>
      </c>
      <c r="Q24" s="133" cm="1">
        <f t="array" aca="1" ref="Q24" ca="1">IF($F24="Terminated",0,IF($AA24=0,0,IF(ISNA(MATCH(Q$5,DedListItem,0)),0,IF(COUNTIFS(OverEmp,$C24,OverDeduct,Q$5,OverDate,"&lt;"&amp;DATE(YEAR($AC24),MONTH($AC24)+1,1),OverEnd,"&gt;="&amp;DATE(YEAR($AC24),MONTH($AC24),1))&gt;0,SUMIFS(OverValue,OverEmp,$C24,OverDeduct,Q$5,OverDate,"&lt;"&amp;DATE(YEAR($AC24),MONTH($AC24)+1,1),OverEnd,"&gt;="&amp;DATE(YEAR($AC24),MONTH($AC24),1)),IF(OR(Q$2="Fixed",Q$2="Not Used"),(IF(COUNTIFS(EmpNo,$C24,OFFSET(Emp!$R$4,1,MATCH(Q$5,DedListItem,0)-1,EmpCount,1),"&lt;&gt;")&gt;0,VLOOKUP($C24,EmpAll,COLUMN(Emp!$R$4)+MATCH(Q$5,DedListItem,0)-1,0),OFFSET(Setup!$E$73,MATCH(Q$5,DedListItem,0),0,1,1))*$AA24)-SUMIFS(OFFSET(Q$6,1,0,PayCount,1),PayDate,"&lt;"&amp;$AC24,PayEmp,$C24),IF(ISNA(MATCH(Q$2,EarnListItem,0))=FALSE,IF(OFFSET(Setup!$G$73,MATCH(Q$5,DedListItem,0),0,1,1)="Taxable",SUMPRODUCT((PayEmp=$C24)*(PayDate&lt;=$AC24)*(PayEarnCode=Q$2)*(PayEarnTax)*(PayEarnValues)),SUMPRODUCT((PayEmp=$C24)*(PayDate&lt;=$AC24)*(PayEarnCode=Q$2)*(PayEarnValues)))*IF(COUNTIFS(EmpNo,$C24,OFFSET(Emp!$R$4,1,MATCH(Q$5,DedListItem,0)-1,EmpCount,1),"&lt;&gt;")&gt;0,VLOOKUP($C24,EmpAll,COLUMN(Emp!$R$4)+MATCH(Q$5,DedListItem,0)-1,0),OFFSET(Setup!$E$73,MATCH(Q$5,DedListItem,0),0,1,1)),(MIN(IF(OFFSET(Setup!$G$73,MATCH(Q$5,DedListItem,0),0,1,1)="Taxable",SUMPRODUCT((PayEmp=$C24)*(PayDate&lt;=$AC24)*(ISERROR(SEARCH(PayEarnCode,Q$4)))*(PayEarnTax)*(PayEarnValues)),SUMPRODUCT((PayEmp=$C24)*(PayDate&lt;=$AC24)*(ISERROR(SEARCH(PayEarnCode,Q$4)))*(PayEarnValues))),IF(ISNUMBER(Q$3),Q$3/12*$AA24,IgnoreMin)))*IF(COUNTIFS(EmpNo,$C24,OFFSET(Emp!$R$4,1,MATCH(Q$5,DedListItem,0)-1,EmpCount,1),"&lt;&gt;")&gt;0,VLOOKUP($C24,EmpAll,COLUMN(Emp!$R$4)+MATCH(Q$5,DedListItem,0)-1,0),OFFSET(Setup!$E$73,MATCH(Q$5,DedListItem,0),0,1,1)))-SUMIFS(OFFSET(Q$6,1,0,PayCount,1),PayDate,"&lt;"&amp;$AC24,PayEmp,$C24))))))</f>
        <v>0</v>
      </c>
      <c r="R24" s="185">
        <f t="shared" ca="1" si="1"/>
        <v>1049.75</v>
      </c>
      <c r="S24" s="139">
        <f t="shared" ca="1" si="2"/>
        <v>13950.25</v>
      </c>
      <c r="T24" s="133" cm="1">
        <f t="array" aca="1" ref="T24" ca="1">IF($F24="Terminated",0,IF($AA24=0,0,IF(ISNA(MATCH(T$5,CompListItem,0)),0,IF(COUNTIFS(OverEmp,$C24,OverComp,T$5,OverDate,"&lt;"&amp;DATE(YEAR($AC24),MONTH($AC24)+1,1),OverEnd,"&gt;="&amp;DATE(YEAR($AC24),MONTH($AC24),1))&gt;0,SUMIFS(OverValue,OverEmp,$C24,OverComp,T$5,OverDate,"&lt;"&amp;DATE(YEAR($AC24),MONTH($AC24)+1,1),OverEnd,"&gt;="&amp;DATE(YEAR($AC24),MONTH($AC24),1)),IF(OR(T$2="Fixed",T$2="Not Used"),(OFFSET(Setup!$E$81,MATCH(T$5,CompListItem,0),0,1,1)*$AA24)-SUMIFS(OFFSET(T$6,1,0,PayCount,1),PayDate,"&lt;"&amp;$AC24,PayEmp,$C24),IF(ISNA(MATCH(T$2,DedListItem,0))=FALSE,(SUMPRODUCT((PayEmp=$C24)*(PayDate&lt;=$AC24)*(PayDedList=T$2)*(PayDedValues))*OFFSET(Setup!$E$81,MATCH(T$5,CompListItem,0),0,1,1))-SUMIFS(OFFSET(T$6,1,0,PayCount,1),PayDate,"&lt;"&amp;$AC24,PayEmp,$C24),(MIN(IF(OFFSET(Setup!$G$81,MATCH(T$5,CompListItem,0),0,1,1)="Taxable",SUMPRODUCT((PayEmp=$C24)*(PayDate&lt;=$AC24)*(ISERROR(SEARCH(PayEarnCode,T$4)))*(PayEarnTax)*(PayEarnValues)),SUMPRODUCT((PayEmp=$C24)*(PayDate&lt;=$AC24)*(ISERROR(SEARCH(PayEarnCode,T$4)))*(PayEarnValues))),IF(ISNUMBER(T$3),T$3/12*$AA24,IgnoreMin)))*OFFSET(Setup!$E$81,MATCH(T$5,CompListItem,0),0,1,1)-SUMIFS(OFFSET(T$6,1,0,PayCount,1),PayDate,"&lt;"&amp;$AC24,PayEmp,$C24)))))))</f>
        <v>150</v>
      </c>
      <c r="U24" s="133" cm="1">
        <f t="array" aca="1" ref="U24" ca="1">IF($F24="Terminated",0,IF($AA24=0,0,IF(ISNA(MATCH(U$5,CompListItem,0)),0,IF(COUNTIFS(OverEmp,$C24,OverComp,U$5,OverDate,"&lt;"&amp;DATE(YEAR($AC24),MONTH($AC24)+1,1),OverEnd,"&gt;="&amp;DATE(YEAR($AC24),MONTH($AC24),1))&gt;0,SUMIFS(OverValue,OverEmp,$C24,OverComp,U$5,OverDate,"&lt;"&amp;DATE(YEAR($AC24),MONTH($AC24)+1,1),OverEnd,"&gt;="&amp;DATE(YEAR($AC24),MONTH($AC24),1)),IF(OR(U$2="Fixed",U$2="Not Used"),(OFFSET(Setup!$E$81,MATCH(U$5,CompListItem,0),0,1,1)*$AA24)-SUMIFS(OFFSET(U$6,1,0,PayCount,1),PayDate,"&lt;"&amp;$AC24,PayEmp,$C24),IF(ISNA(MATCH(U$2,DedListItem,0))=FALSE,(SUMPRODUCT((PayEmp=$C24)*(PayDate&lt;=$AC24)*(PayDedList=U$2)*(PayDedValues))*OFFSET(Setup!$E$81,MATCH(U$5,CompListItem,0),0,1,1))-SUMIFS(OFFSET(U$6,1,0,PayCount,1),PayDate,"&lt;"&amp;$AC24,PayEmp,$C24),(MIN(IF(OFFSET(Setup!$G$81,MATCH(U$5,CompListItem,0),0,1,1)="Taxable",SUMPRODUCT((PayEmp=$C24)*(PayDate&lt;=$AC24)*(ISERROR(SEARCH(PayEarnCode,U$4)))*(PayEarnTax)*(PayEarnValues)),SUMPRODUCT((PayEmp=$C24)*(PayDate&lt;=$AC24)*(ISERROR(SEARCH(PayEarnCode,U$4)))*(PayEarnValues))),IF(ISNUMBER(U$3),U$3/12*$AA24,IgnoreMin)))*OFFSET(Setup!$E$81,MATCH(U$5,CompListItem,0),0,1,1)-SUMIFS(OFFSET(U$6,1,0,PayCount,1),PayDate,"&lt;"&amp;$AC24,PayEmp,$C24)))))))</f>
        <v>150</v>
      </c>
      <c r="V24" s="133" cm="1">
        <f t="array" aca="1" ref="V24" ca="1">IF($F24="Terminated",0,IF($AA24=0,0,IF(ISNA(MATCH(V$5,CompListItem,0)),0,IF(COUNTIFS(OverEmp,$C24,OverComp,V$5,OverDate,"&lt;"&amp;DATE(YEAR($AC24),MONTH($AC24)+1,1),OverEnd,"&gt;="&amp;DATE(YEAR($AC24),MONTH($AC24),1))&gt;0,SUMIFS(OverValue,OverEmp,$C24,OverComp,V$5,OverDate,"&lt;"&amp;DATE(YEAR($AC24),MONTH($AC24)+1,1),OverEnd,"&gt;="&amp;DATE(YEAR($AC24),MONTH($AC24),1)),IF(OR(V$2="Fixed",V$2="Not Used"),(OFFSET(Setup!$E$81,MATCH(V$5,CompListItem,0),0,1,1)*$AA24)-SUMIFS(OFFSET(V$6,1,0,PayCount,1),PayDate,"&lt;"&amp;$AC24,PayEmp,$C24),IF(ISNA(MATCH(V$2,DedListItem,0))=FALSE,(SUMPRODUCT((PayEmp=$C24)*(PayDate&lt;=$AC24)*(PayDedList=V$2)*(PayDedValues))*OFFSET(Setup!$E$81,MATCH(V$5,CompListItem,0),0,1,1))-SUMIFS(OFFSET(V$6,1,0,PayCount,1),PayDate,"&lt;"&amp;$AC24,PayEmp,$C24),(MIN(IF(OFFSET(Setup!$G$81,MATCH(V$5,CompListItem,0),0,1,1)="Taxable",SUMPRODUCT((PayEmp=$C24)*(PayDate&lt;=$AC24)*(ISERROR(SEARCH(PayEarnCode,V$4)))*(PayEarnTax)*(PayEarnValues)),SUMPRODUCT((PayEmp=$C24)*(PayDate&lt;=$AC24)*(ISERROR(SEARCH(PayEarnCode,V$4)))*(PayEarnValues))),IF(ISNUMBER(V$3),V$3/12*$AA24,IgnoreMin)))*OFFSET(Setup!$E$81,MATCH(V$5,CompListItem,0),0,1,1)-SUMIFS(OFFSET(V$6,1,0,PayCount,1),PayDate,"&lt;"&amp;$AC24,PayEmp,$C24)))))))</f>
        <v>0</v>
      </c>
      <c r="W24" s="133" cm="1">
        <f t="array" aca="1" ref="W24" ca="1">IF($F24="Terminated",0,IF($AA24=0,0,IF(ISNA(MATCH(W$5,CompListItem,0)),0,IF(COUNTIFS(OverEmp,$C24,OverComp,W$5,OverDate,"&lt;"&amp;DATE(YEAR($AC24),MONTH($AC24)+1,1),OverEnd,"&gt;="&amp;DATE(YEAR($AC24),MONTH($AC24),1))&gt;0,SUMIFS(OverValue,OverEmp,$C24,OverComp,W$5,OverDate,"&lt;"&amp;DATE(YEAR($AC24),MONTH($AC24)+1,1),OverEnd,"&gt;="&amp;DATE(YEAR($AC24),MONTH($AC24),1)),IF(OR(W$2="Fixed",W$2="Not Used"),(OFFSET(Setup!$E$81,MATCH(W$5,CompListItem,0),0,1,1)*$AA24)-SUMIFS(OFFSET(W$6,1,0,PayCount,1),PayDate,"&lt;"&amp;$AC24,PayEmp,$C24),IF(ISNA(MATCH(W$2,DedListItem,0))=FALSE,(SUMPRODUCT((PayEmp=$C24)*(PayDate&lt;=$AC24)*(PayDedList=W$2)*(PayDedValues))*OFFSET(Setup!$E$81,MATCH(W$5,CompListItem,0),0,1,1))-SUMIFS(OFFSET(W$6,1,0,PayCount,1),PayDate,"&lt;"&amp;$AC24,PayEmp,$C24),(MIN(IF(OFFSET(Setup!$G$81,MATCH(W$5,CompListItem,0),0,1,1)="Taxable",SUMPRODUCT((PayEmp=$C24)*(PayDate&lt;=$AC24)*(ISERROR(SEARCH(PayEarnCode,W$4)))*(PayEarnTax)*(PayEarnValues)),SUMPRODUCT((PayEmp=$C24)*(PayDate&lt;=$AC24)*(ISERROR(SEARCH(PayEarnCode,W$4)))*(PayEarnValues))),IF(ISNUMBER(W$3),W$3/12*$AA24,IgnoreMin)))*OFFSET(Setup!$E$81,MATCH(W$5,CompListItem,0),0,1,1)-SUMIFS(OFFSET(W$6,1,0,PayCount,1),PayDate,"&lt;"&amp;$AC24,PayEmp,$C24)))))))</f>
        <v>0</v>
      </c>
      <c r="X24" s="185">
        <f t="shared" ca="1" si="3"/>
        <v>300</v>
      </c>
      <c r="Y24" s="139">
        <f t="shared" ca="1" si="4"/>
        <v>15300</v>
      </c>
      <c r="Z24" s="139">
        <f t="shared" ca="1" si="5"/>
        <v>1349.75</v>
      </c>
      <c r="AA24" s="146">
        <f ca="1">IF(OR($B24&lt;=Setup!$E$12,$B24&gt;=Setup!$D$12+1),0,IF($F24&lt;&gt;"Active",0,IF($AE24="Yes",$AB24,((YEAR($AC24)*12)+MONTH($AC24))-((YEAR($AD24)*12)+MONTH($AD24)-1))))</f>
        <v>2</v>
      </c>
      <c r="AB24" s="146">
        <f ca="1">IF(OR($B24&lt;=Setup!$E$12,$B24&gt;=Setup!$D$12+1),0,((YEAR($AC24)*12)+MONTH($AC24))-((YEAR(Setup!$E$12)*12)+MONTH(Setup!$E$12)))</f>
        <v>2</v>
      </c>
      <c r="AC24" s="186">
        <f t="shared" ca="1" si="6"/>
        <v>45041</v>
      </c>
      <c r="AD24" s="144">
        <f ca="1">IF(ISNA(VLOOKUP($C24,EmpAll,COLUMN(Emp!$E$4),0)),$AC24,IF(VLOOKUP($C24,EmpAll,COLUMN(Emp!$E$4),0)&lt;=Setup!$E$12,DATE(YEAR(Setup!$E$12),MONTH(Setup!$E$12)+1,1),VLOOKUP($C24,EmpAll,COLUMN(Emp!$E$4),0)))</f>
        <v>44986</v>
      </c>
      <c r="AE24" s="144" t="str">
        <f ca="1">IF(ISNA(VLOOKUP($C24,EmpAll,COLUMN(Emp!$G$1),0)),"-",IF(VLOOKUP($C24,EmpAll,COLUMN(Emp!$G$1),0)=0,"-",VLOOKUP($C24,EmpAll,COLUMN(Emp!$G$1),0)))</f>
        <v>-</v>
      </c>
      <c r="AF24" s="145">
        <f ca="1">IF(A24=PaySlip!$G$3,1,0)</f>
        <v>0</v>
      </c>
      <c r="AG24" s="130" cm="1">
        <f t="array" aca="1" ref="AG24" ca="1">IF(COUNTIFS(OverEmp,$C24,OverMed,"MED",OverDate,"&lt;"&amp;DATE(YEAR($AC24),MONTH($AC24)+1,1),OverEnd,"&gt;="&amp;DATE(YEAR($AC24),MONTH($AC24),1))&gt;0,SUMIFS(OverValue,OverEmp,$C24,OverMed,"MED",OverDate,"&lt;"&amp;DATE(YEAR($AC24),MONTH($AC24)+1,1),OverEnd,"&gt;="&amp;DATE(YEAR($AC24),MONTH($AC24),1)),IF(ISNA(VLOOKUP($C24,EmpAll,COLUMN(Emp!$N$4),0)),0,VLOOKUP($C24,EmpAll,COLUMN(Emp!$N$4),0)))</f>
        <v>1</v>
      </c>
      <c r="AH24" s="146">
        <f ca="1">VLOOKUP($AG24,MedList,COLUMN(Setup!$C$49),1)</f>
        <v>364</v>
      </c>
      <c r="AI24" s="146">
        <f t="shared" ca="1" si="7"/>
        <v>4368</v>
      </c>
      <c r="AJ24" s="101" t="str">
        <f ca="1">IF(ISNA(VLOOKUP($C24,EmpAll,COLUMN(Emp!$L$4),0)),"None!",VLOOKUP($C24,EmpAll,COLUMN(Emp!$L$4),0))</f>
        <v>A</v>
      </c>
      <c r="AK24" s="147">
        <f t="shared" ca="1" si="8"/>
        <v>17235</v>
      </c>
      <c r="AL24" s="101" t="str">
        <f ca="1">IF(ISNA(VLOOKUP($C24,Employees[],COLUMN(Emp!$M$4),0))=TRUE,"Error!",IF(VLOOKUP($C24,Employees[],COLUMN(Emp!$M$4),0)=0,"Yes",VLOOKUP($C24,Employees[],COLUMN(Emp!$M$4),0)))</f>
        <v>A</v>
      </c>
      <c r="AM24" s="148">
        <f t="shared" ca="1" si="9"/>
        <v>180000</v>
      </c>
      <c r="AN24" s="148" cm="1">
        <f t="array" aca="1" ref="AN24" ca="1">-IF($F24="Terminated",0,IF($AA24=0,0,IF(ISNA(MATCH(AN$5,PayDedList,0)),0,MIN(IF(COUNTIFS(OverEmp,$C24,OverDeduct,AN$5,OverDate,"&lt;"&amp;DATE(YEAR($AC24),MONTH($AC24)+1,1),OverEnd,"&gt;="&amp;DATE(YEAR($AC24),MONTH($AC24),1))&gt;0,SUMPRODUCT((PayEmp=$C24)*(PayDate&lt;=$AC24)*(OFFSET($N$6,1,MATCH(AN$5,PayDedList,0)-1,PayCount,1)))/$AA24*12*AN$3,IF(OR(AN$1="Fixed",AN$1="Not Used"),SUMPRODUCT((PayEmp=$C24)*(PayDate&lt;=$AC24)*(OFFSET($N$6,1,MATCH(AN$5,PayDedList,0)-1,PayCount,1)))/$AA24*12*AN$3,IF(ISNA(MATCH(AN$1,EarnListItem,0))=FALSE,SUMPRODUCT((PayEmp=$C24)*(PayDate&lt;=$AC24)*(OFFSET($N$6,1,MATCH(AN$5,PayDedList,0)-1,PayCount,1)))/$AA24*12*AN$3,(MIN(((SUMPRODUCT((PayEmp=$C24)*(PayDate&lt;=$AC24)*(ISERROR(SEARCH(PayEarnCode,AN$2)))*(PayEarnType="Monthly")*(PayEarnValues))/$AA24*12)+(SUMPRODUCT((PayEmp=$C24)*(PayDate&lt;=$AC24)*(ISERROR(SEARCH(PayEarnCode,AN$2)))*(PayEarnType="Quarterly")*(PayEarnValues))/MAX(1,ROUNDDOWN($AB24/3,0))*4)+(SUMPRODUCT((PayEmp=$C24)*(PayDate&lt;=$AC24)*(ISERROR(SEARCH(PayEarnCode,AN$2)))*(PayEarnType="Bi-Annual")*(PayEarnValues))/MAX(1,ROUNDDOWN($AB24/6,0))*2)+(SUMPRODUCT((PayEmp=$C24)*(PayDate&lt;=$AC24)*(ISERROR(SEARCH(PayEarnCode,AN$2)))*(PayEarnType="Annual")*(PayEarnValues)))),IF(ISNUMBER(OFFSET($N$3,0,MATCH(AN$5,PayDedList,0)-1,1,1)),OFFSET($N$3,0,MATCH(AN$5,PayDedList,0)-1,1,1),IgnoreMin)))*IF(COUNTIFS(EmpNo,$C24,OFFSET(Emp!$R$4,1,MATCH(AN$5,DedListItem,0)-1,EmpCount,1),"&lt;&gt;")&gt;0,VLOOKUP($C24,EmpAll,COLUMN(Emp!$R$4)+MATCH(AN$5,DedListItem,0)-1,0),OFFSET(Setup!$E$73,MATCH(AN$5,DedListItem,0),0,1,1))*AN$3))),IF(ISNUMBER(AN$4),AN$4,IgnoreMin)))))</f>
        <v>0</v>
      </c>
      <c r="AO24" s="148" cm="1">
        <f t="array" aca="1" ref="AO24" ca="1">-IF($F24="Terminated",0,IF($AA24=0,0,IF(ISNA(MATCH(AO$5,PayDedList,0)),0,MIN(IF(COUNTIFS(OverEmp,$C24,OverDeduct,AO$5,OverDate,"&lt;"&amp;DATE(YEAR($AC24),MONTH($AC24)+1,1),OverEnd,"&gt;="&amp;DATE(YEAR($AC24),MONTH($AC24),1))&gt;0,SUMPRODUCT((PayEmp=$C24)*(PayDate&lt;=$AC24)*(OFFSET($N$6,1,MATCH(AO$5,PayDedList,0)-1,PayCount,1)))/$AA24*12*AO$3,IF(OR(AO$1="Fixed",AO$1="Not Used"),SUMPRODUCT((PayEmp=$C24)*(PayDate&lt;=$AC24)*(OFFSET($N$6,1,MATCH(AO$5,PayDedList,0)-1,PayCount,1)))/$AA24*12*AO$3,IF(ISNA(MATCH(AO$1,EarnListItem,0))=FALSE,SUMPRODUCT((PayEmp=$C24)*(PayDate&lt;=$AC24)*(OFFSET($N$6,1,MATCH(AO$5,PayDedList,0)-1,PayCount,1)))/$AA24*12*AO$3,(MIN(((SUMPRODUCT((PayEmp=$C24)*(PayDate&lt;=$AC24)*(ISERROR(SEARCH(PayEarnCode,AO$2)))*(PayEarnType="Monthly")*(PayEarnValues))/$AA24*12)+(SUMPRODUCT((PayEmp=$C24)*(PayDate&lt;=$AC24)*(ISERROR(SEARCH(PayEarnCode,AO$2)))*(PayEarnType="Quarterly")*(PayEarnValues))/MAX(1,ROUNDDOWN($AB24/3,0))*4)+(SUMPRODUCT((PayEmp=$C24)*(PayDate&lt;=$AC24)*(ISERROR(SEARCH(PayEarnCode,AO$2)))*(PayEarnType="Bi-Annual")*(PayEarnValues))/MAX(1,ROUNDDOWN($AB24/6,0))*2)+(SUMPRODUCT((PayEmp=$C24)*(PayDate&lt;=$AC24)*(ISERROR(SEARCH(PayEarnCode,AO$2)))*(PayEarnType="Annual")*(PayEarnValues)))),IF(ISNUMBER(OFFSET($N$3,0,MATCH(AO$5,PayDedList,0)-1,1,1)),OFFSET($N$3,0,MATCH(AO$5,PayDedList,0)-1,1,1),IgnoreMin)))*IF(COUNTIFS(EmpNo,$C24,OFFSET(Emp!$R$4,1,MATCH(AO$5,DedListItem,0)-1,EmpCount,1),"&lt;&gt;")&gt;0,VLOOKUP($C24,EmpAll,COLUMN(Emp!$R$4)+MATCH(AO$5,DedListItem,0)-1,0),OFFSET(Setup!$E$73,MATCH(AO$5,DedListItem,0),0,1,1))*AO$3))),IF(ISNUMBER(AO$4),AO$4,IgnoreMin)))))</f>
        <v>0</v>
      </c>
      <c r="AP24" s="148" cm="1">
        <f t="array" aca="1" ref="AP24" ca="1">-IF($F24="Terminated",0,IF($AA24=0,0,IF(ISNA(MATCH(AP$5,PayDedList,0)),0,MIN(IF(COUNTIFS(OverEmp,$C24,OverDeduct,AP$5,OverDate,"&lt;"&amp;DATE(YEAR($AC24),MONTH($AC24)+1,1),OverEnd,"&gt;="&amp;DATE(YEAR($AC24),MONTH($AC24),1))&gt;0,SUMPRODUCT((PayEmp=$C24)*(PayDate&lt;=$AC24)*(OFFSET($N$6,1,MATCH(AP$5,PayDedList,0)-1,PayCount,1)))/$AA24*12*AP$3,IF(OR(AP$1="Fixed",AP$1="Not Used"),SUMPRODUCT((PayEmp=$C24)*(PayDate&lt;=$AC24)*(OFFSET($N$6,1,MATCH(AP$5,PayDedList,0)-1,PayCount,1)))/$AA24*12*AP$3,IF(ISNA(MATCH(AP$1,EarnListItem,0))=FALSE,SUMPRODUCT((PayEmp=$C24)*(PayDate&lt;=$AC24)*(OFFSET($N$6,1,MATCH(AP$5,PayDedList,0)-1,PayCount,1)))/$AA24*12*AP$3,(MIN(((SUMPRODUCT((PayEmp=$C24)*(PayDate&lt;=$AC24)*(ISERROR(SEARCH(PayEarnCode,AP$2)))*(PayEarnType="Monthly")*(PayEarnValues))/$AA24*12)+(SUMPRODUCT((PayEmp=$C24)*(PayDate&lt;=$AC24)*(ISERROR(SEARCH(PayEarnCode,AP$2)))*(PayEarnType="Quarterly")*(PayEarnValues))/MAX(1,ROUNDDOWN($AB24/3,0))*4)+(SUMPRODUCT((PayEmp=$C24)*(PayDate&lt;=$AC24)*(ISERROR(SEARCH(PayEarnCode,AP$2)))*(PayEarnType="Bi-Annual")*(PayEarnValues))/MAX(1,ROUNDDOWN($AB24/6,0))*2)+(SUMPRODUCT((PayEmp=$C24)*(PayDate&lt;=$AC24)*(ISERROR(SEARCH(PayEarnCode,AP$2)))*(PayEarnType="Annual")*(PayEarnValues)))),IF(ISNUMBER(OFFSET($N$3,0,MATCH(AP$5,PayDedList,0)-1,1,1)),OFFSET($N$3,0,MATCH(AP$5,PayDedList,0)-1,1,1),IgnoreMin)))*IF(COUNTIFS(EmpNo,$C24,OFFSET(Emp!$R$4,1,MATCH(AP$5,DedListItem,0)-1,EmpCount,1),"&lt;&gt;")&gt;0,VLOOKUP($C24,EmpAll,COLUMN(Emp!$R$4)+MATCH(AP$5,DedListItem,0)-1,0),OFFSET(Setup!$E$73,MATCH(AP$5,DedListItem,0),0,1,1))*AP$3))),IF(ISNUMBER(AP$4),AP$4,IgnoreMin)))))</f>
        <v>0</v>
      </c>
      <c r="AQ24" s="148" cm="1">
        <f t="array" aca="1" ref="AQ24" ca="1">-IF($F24="Terminated",0,IF($AA24=0,0,IF(ISNA(MATCH(AQ$5,PayDedList,0)),0,MIN(IF(COUNTIFS(OverEmp,$C24,OverDeduct,AQ$5,OverDate,"&lt;"&amp;DATE(YEAR($AC24),MONTH($AC24)+1,1),OverEnd,"&gt;="&amp;DATE(YEAR($AC24),MONTH($AC24),1))&gt;0,SUMPRODUCT((PayEmp=$C24)*(PayDate&lt;=$AC24)*(OFFSET($N$6,1,MATCH(AQ$5,PayDedList,0)-1,PayCount,1)))/$AA24*12*AQ$3,IF(OR(AQ$1="Fixed",AQ$1="Not Used"),SUMPRODUCT((PayEmp=$C24)*(PayDate&lt;=$AC24)*(OFFSET($N$6,1,MATCH(AQ$5,PayDedList,0)-1,PayCount,1)))/$AA24*12*AQ$3,IF(ISNA(MATCH(AQ$1,EarnListItem,0))=FALSE,SUMPRODUCT((PayEmp=$C24)*(PayDate&lt;=$AC24)*(OFFSET($N$6,1,MATCH(AQ$5,PayDedList,0)-1,PayCount,1)))/$AA24*12*AQ$3,(MIN(((SUMPRODUCT((PayEmp=$C24)*(PayDate&lt;=$AC24)*(ISERROR(SEARCH(PayEarnCode,AQ$2)))*(PayEarnType="Monthly")*(PayEarnValues))/$AA24*12)+(SUMPRODUCT((PayEmp=$C24)*(PayDate&lt;=$AC24)*(ISERROR(SEARCH(PayEarnCode,AQ$2)))*(PayEarnType="Quarterly")*(PayEarnValues))/MAX(1,ROUNDDOWN($AB24/3,0))*4)+(SUMPRODUCT((PayEmp=$C24)*(PayDate&lt;=$AC24)*(ISERROR(SEARCH(PayEarnCode,AQ$2)))*(PayEarnType="Bi-Annual")*(PayEarnValues))/MAX(1,ROUNDDOWN($AB24/6,0))*2)+(SUMPRODUCT((PayEmp=$C24)*(PayDate&lt;=$AC24)*(ISERROR(SEARCH(PayEarnCode,AQ$2)))*(PayEarnType="Annual")*(PayEarnValues)))),IF(ISNUMBER(OFFSET($N$3,0,MATCH(AQ$5,PayDedList,0)-1,1,1)),OFFSET($N$3,0,MATCH(AQ$5,PayDedList,0)-1,1,1),IgnoreMin)))*IF(COUNTIFS(EmpNo,$C24,OFFSET(Emp!$R$4,1,MATCH(AQ$5,DedListItem,0)-1,EmpCount,1),"&lt;&gt;")&gt;0,VLOOKUP($C24,EmpAll,COLUMN(Emp!$R$4)+MATCH(AQ$5,DedListItem,0)-1,0),OFFSET(Setup!$E$73,MATCH(AQ$5,DedListItem,0),0,1,1))*AQ$3))),IF(ISNUMBER(AQ$4),AQ$4,IgnoreMin)))))</f>
        <v>0</v>
      </c>
      <c r="AR24" s="148">
        <f t="shared" ca="1" si="10"/>
        <v>180000</v>
      </c>
      <c r="AS24" s="148">
        <f t="shared" ca="1" si="11"/>
        <v>180000</v>
      </c>
      <c r="AT24" s="148" cm="1">
        <f t="array" aca="1" ref="AT24" ca="1">-IF($F24="Terminated",0,IF($AA24=0,0,IF(ISNA(MATCH(AT$5,PayDedList,0)),0,MIN(IF(COUNTIFS(OverEmp,$C24,OverDeduct,AT$5,OverDate,"&lt;"&amp;DATE(YEAR($AC24),MONTH($AC24)+1,1),OverEnd,"&gt;="&amp;DATE(YEAR($AC24),MONTH($AC24),1))&gt;0,SUMPRODUCT((PayEmp=$C24)*(PayDate&lt;=$AC24)*(OFFSET($N$6,1,MATCH(AT$5,PayDedList,0)-1,PayCount,1)))/$AA24*12*AT$3,IF(OR(AT$1="Fixed",AT$1="Not Used"),SUMPRODUCT((PayEmp=$C24)*(PayDate&lt;=$AC24)*(OFFSET($N$6,1,MATCH(AT$5,PayDedList,0)-1,PayCount,1)))/$AA24*12*AT$3,IF(ISNA(MATCH(OFFSET($N$2,0,MATCH(AT$5,PayDedList,0)-1,1,1),EarnListItem,0))=FALSE,SUMPRODUCT((PayEmp=$C24)*(PayDate&lt;=$AC24)*(OFFSET($N$6,1,MATCH(AT$5,PayDedList,0)-1,PayCount,1)))/$AA24*12*AT$3,(MIN(SUMPRODUCT((PayEmp=$C24)*(PayDate&lt;=$AC24)*(ISERROR(SEARCH(PayEarnCode,AT$2)))*(PayEarnType="Monthly")*(PayEarnValues))/$AA24*12,IF(ISNUMBER(OFFSET($N$3,0,MATCH(AT$5,PayDedList,0)-1,1,1)),OFFSET($N$3,0,MATCH(AT$5,PayDedList,0)-1,1,1),IgnoreMin)))*IF(COUNTIFS(EmpNo,$C24,OFFSET(Emp!$R$4,1,MATCH(AT$5,DedListItem,0)-1,EmpCount,1),"&lt;&gt;")&gt;0,VLOOKUP($C24,EmpAll,COLUMN(Emp!$R$4)+MATCH(AT$5,DedListItem,0)-1,0),OFFSET(Setup!$E$73,MATCH(AT$5,DedListItem,0),0,1,1))*AT$3))),IF(ISNUMBER(AT$4),AT$4,IgnoreMin)))))</f>
        <v>0</v>
      </c>
      <c r="AU24" s="148" cm="1">
        <f t="array" aca="1" ref="AU24" ca="1">-IF($F24="Terminated",0,IF($AA24=0,0,IF(ISNA(MATCH(AU$5,PayDedList,0)),0,MIN(IF(COUNTIFS(OverEmp,$C24,OverDeduct,AU$5,OverDate,"&lt;"&amp;DATE(YEAR($AC24),MONTH($AC24)+1,1),OverEnd,"&gt;="&amp;DATE(YEAR($AC24),MONTH($AC24),1))&gt;0,SUMPRODUCT((PayEmp=$C24)*(PayDate&lt;=$AC24)*(OFFSET($N$6,1,MATCH(AU$5,PayDedList,0)-1,PayCount,1)))/$AA24*12*AU$3,IF(OR(AU$1="Fixed",AU$1="Not Used"),SUMPRODUCT((PayEmp=$C24)*(PayDate&lt;=$AC24)*(OFFSET($N$6,1,MATCH(AU$5,PayDedList,0)-1,PayCount,1)))/$AA24*12*AU$3,IF(ISNA(MATCH(OFFSET($N$2,0,MATCH(AU$5,PayDedList,0)-1,1,1),EarnListItem,0))=FALSE,SUMPRODUCT((PayEmp=$C24)*(PayDate&lt;=$AC24)*(OFFSET($N$6,1,MATCH(AU$5,PayDedList,0)-1,PayCount,1)))/$AA24*12*AU$3,(MIN(SUMPRODUCT((PayEmp=$C24)*(PayDate&lt;=$AC24)*(ISERROR(SEARCH(PayEarnCode,AU$2)))*(PayEarnType="Monthly")*(PayEarnValues))/$AA24*12,IF(ISNUMBER(OFFSET($N$3,0,MATCH(AU$5,PayDedList,0)-1,1,1)),OFFSET($N$3,0,MATCH(AU$5,PayDedList,0)-1,1,1),IgnoreMin)))*IF(COUNTIFS(EmpNo,$C24,OFFSET(Emp!$R$4,1,MATCH(AU$5,DedListItem,0)-1,EmpCount,1),"&lt;&gt;")&gt;0,VLOOKUP($C24,EmpAll,COLUMN(Emp!$R$4)+MATCH(AU$5,DedListItem,0)-1,0),OFFSET(Setup!$E$73,MATCH(AU$5,DedListItem,0),0,1,1))*AU$3))),IF(ISNUMBER(AU$4),AU$4,IgnoreMin)))))</f>
        <v>0</v>
      </c>
      <c r="AV24" s="148" cm="1">
        <f t="array" aca="1" ref="AV24" ca="1">-IF($F24="Terminated",0,IF($AA24=0,0,IF(ISNA(MATCH(AV$5,PayDedList,0)),0,MIN(IF(COUNTIFS(OverEmp,$C24,OverDeduct,AV$5,OverDate,"&lt;"&amp;DATE(YEAR($AC24),MONTH($AC24)+1,1),OverEnd,"&gt;="&amp;DATE(YEAR($AC24),MONTH($AC24),1))&gt;0,SUMPRODUCT((PayEmp=$C24)*(PayDate&lt;=$AC24)*(OFFSET($N$6,1,MATCH(AV$5,PayDedList,0)-1,PayCount,1)))/$AA24*12*AV$3,IF(OR(AV$1="Fixed",AV$1="Not Used"),SUMPRODUCT((PayEmp=$C24)*(PayDate&lt;=$AC24)*(OFFSET($N$6,1,MATCH(AV$5,PayDedList,0)-1,PayCount,1)))/$AA24*12*AV$3,IF(ISNA(MATCH(OFFSET($N$2,0,MATCH(AV$5,PayDedList,0)-1,1,1),EarnListItem,0))=FALSE,SUMPRODUCT((PayEmp=$C24)*(PayDate&lt;=$AC24)*(OFFSET($N$6,1,MATCH(AV$5,PayDedList,0)-1,PayCount,1)))/$AA24*12*AV$3,(MIN(SUMPRODUCT((PayEmp=$C24)*(PayDate&lt;=$AC24)*(ISERROR(SEARCH(PayEarnCode,AV$2)))*(PayEarnType="Monthly")*(PayEarnValues))/$AA24*12,IF(ISNUMBER(OFFSET($N$3,0,MATCH(AV$5,PayDedList,0)-1,1,1)),OFFSET($N$3,0,MATCH(AV$5,PayDedList,0)-1,1,1),IgnoreMin)))*IF(COUNTIFS(EmpNo,$C24,OFFSET(Emp!$R$4,1,MATCH(AV$5,DedListItem,0)-1,EmpCount,1),"&lt;&gt;")&gt;0,VLOOKUP($C24,EmpAll,COLUMN(Emp!$R$4)+MATCH(AV$5,DedListItem,0)-1,0),OFFSET(Setup!$E$73,MATCH(AV$5,DedListItem,0),0,1,1))*AV$3))),IF(ISNUMBER(AV$4),AV$4,IgnoreMin)))))</f>
        <v>0</v>
      </c>
      <c r="AW24" s="148" cm="1">
        <f t="array" aca="1" ref="AW24" ca="1">-IF($F24="Terminated",0,IF($AA24=0,0,IF(ISNA(MATCH(AW$5,PayDedList,0)),0,MIN(IF(COUNTIFS(OverEmp,$C24,OverDeduct,AW$5,OverDate,"&lt;"&amp;DATE(YEAR($AC24),MONTH($AC24)+1,1),OverEnd,"&gt;="&amp;DATE(YEAR($AC24),MONTH($AC24),1))&gt;0,SUMPRODUCT((PayEmp=$C24)*(PayDate&lt;=$AC24)*(OFFSET($N$6,1,MATCH(AW$5,PayDedList,0)-1,PayCount,1)))/$AA24*12*AW$3,IF(OR(AW$1="Fixed",AW$1="Not Used"),SUMPRODUCT((PayEmp=$C24)*(PayDate&lt;=$AC24)*(OFFSET($N$6,1,MATCH(AW$5,PayDedList,0)-1,PayCount,1)))/$AA24*12*AW$3,IF(ISNA(MATCH(OFFSET($N$2,0,MATCH(AW$5,PayDedList,0)-1,1,1),EarnListItem,0))=FALSE,SUMPRODUCT((PayEmp=$C24)*(PayDate&lt;=$AC24)*(OFFSET($N$6,1,MATCH(AW$5,PayDedList,0)-1,PayCount,1)))/$AA24*12*AW$3,(MIN(SUMPRODUCT((PayEmp=$C24)*(PayDate&lt;=$AC24)*(ISERROR(SEARCH(PayEarnCode,AW$2)))*(PayEarnType="Monthly")*(PayEarnValues))/$AA24*12,IF(ISNUMBER(OFFSET($N$3,0,MATCH(AW$5,PayDedList,0)-1,1,1)),OFFSET($N$3,0,MATCH(AW$5,PayDedList,0)-1,1,1),IgnoreMin)))*IF(COUNTIFS(EmpNo,$C24,OFFSET(Emp!$R$4,1,MATCH(AW$5,DedListItem,0)-1,EmpCount,1),"&lt;&gt;")&gt;0,VLOOKUP($C24,EmpAll,COLUMN(Emp!$R$4)+MATCH(AW$5,DedListItem,0)-1,0),OFFSET(Setup!$E$73,MATCH(AW$5,DedListItem,0),0,1,1))*AW$3))),IF(ISNUMBER(AW$4),AW$4,IgnoreMin)))))</f>
        <v>0</v>
      </c>
      <c r="AX24" s="148">
        <f t="shared" ca="1" si="12"/>
        <v>180000</v>
      </c>
      <c r="AY24" s="148">
        <f t="shared" ca="1" si="13"/>
        <v>0</v>
      </c>
      <c r="AZ24" s="148">
        <f ca="1">IF(ISNUMBER($AL24),($AR24*$AL24)-$AI24-$AK24,MAX(0,IF($AL24="B",IF($AR24&lt;Setup!$C$32,($AR24*Setup!$D$32)-$AI24-$AK24,(($AR24-VLOOKUP($AR24,TaxAll2,1,1))*OFFSET(Setup!$D$32,MATCH($AR24,TaxBracket2,1),0,1,1))+OFFSET(Setup!$E$31,MATCH($AR24,TaxBracket2,1),0,1,1)-$AI24-$AK24),IF($AR24&lt;Setup!$C$21,($AR24*Setup!$D$21)-$AI24-$AK24,(($AR24-VLOOKUP($AR24,TaxAll1,1,1))*OFFSET(Setup!$D$21,MATCH($AR24,TaxBracket1,1),0,1,1))+OFFSET(Setup!$E$20,MATCH($AR24,TaxBracket1,1),0,1,1)-$AI24-$AK24))))</f>
        <v>10797</v>
      </c>
      <c r="BA24" s="148">
        <f ca="1">IF(ISNUMBER($AL24),($AX24*$AL24)-$AI24-$AK24,MAX(0,IF($AL24="B",IF($AX24&lt;Setup!$C$32,($AX24*Setup!$D$32)-$AI24-$AK24,(($AX24-VLOOKUP($AX24,TaxAll2,1,1))*OFFSET(Setup!$D$32,MATCH($AX24,TaxBracket2,1),0,1,1))+OFFSET(Setup!$E$31,MATCH($AX24,TaxBracket2,1),0,1,1)-$AI24-$AK24),IF($AX24&lt;Setup!$C$21,($AX24*Setup!$D$21)-$AI24-$AK24,(($AX24-VLOOKUP($AX24,TaxAll1,1,1))*OFFSET(Setup!$D$21,MATCH($AX24,TaxBracket1,1),0,1,1))+OFFSET(Setup!$E$20,MATCH($AX24,TaxBracket1,1),0,1,1)-$AI24-$AK24))))</f>
        <v>10797</v>
      </c>
      <c r="BB24" s="148">
        <f t="shared" ca="1" si="14"/>
        <v>0</v>
      </c>
      <c r="BC24" s="150">
        <f t="shared" ca="1" si="15"/>
        <v>1</v>
      </c>
      <c r="BD24" s="150">
        <f t="shared" ca="1" si="16"/>
        <v>0</v>
      </c>
      <c r="BE24" s="148">
        <f t="shared" ca="1" si="17"/>
        <v>180000</v>
      </c>
    </row>
    <row r="25" spans="1:57" ht="16.149999999999999" customHeight="1" x14ac:dyDescent="0.25">
      <c r="A25" s="10" t="str" cm="1">
        <f t="array" aca="1" ref="A25" ca="1">IF(ROW($A25)-ROW($A$6)&gt;EmpCount*12,"-",TEXT($B25,"yyyy")&amp;TEXT($B25,"mm")&amp;"-"&amp;$C25)</f>
        <v>202304-EXS004</v>
      </c>
      <c r="B25" s="137" cm="1">
        <f t="array" aca="1" ref="B25" ca="1">IF(ROW($A25)-ROW($A$6)&gt;EmpCount*12,Setup!$D$12,DATE(YEAR(Setup!$F$12),MONTH(Setup!$F$12)+ROUNDDOWN((ROW($A25)-ROW($A$6)-1)/EmpCount,0),IF(Setup!$C$14&gt;DAY(DATE(YEAR(Setup!$F$12),MONTH(Setup!$F$12)+ROUNDDOWN((ROW($A25)-ROW($A$6)-1)/EmpCount,0)+1,0)),DAY(DATE(YEAR(Setup!$F$12),MONTH(Setup!$F$12)+ROUNDDOWN((ROW($A25)-ROW($A$6)-1)/EmpCount,0)+1,0)),Setup!$C$14)))</f>
        <v>45041</v>
      </c>
      <c r="C25" s="101" t="str" cm="1">
        <f t="array" aca="1" ref="C25" ca="1">IF(ROW($A25)-ROW($A$6)&gt;EmpCount*12,"-",OFFSET(Emp!$A$4,ROW($A25)-ROW($A$6)-IF(ROW($A25)-ROW($A$6)&gt;EmpCount,ROUNDDOWN((ROW($A25)-ROW($A$6)-1)/EmpCount,0)*EmpCount,0),0,1,1))</f>
        <v>EXS004</v>
      </c>
      <c r="D25" s="10" t="str">
        <f ca="1">IF(ISNA(VLOOKUP($C25,EmpAll,COLUMN(Emp!$B$4),0)),"-",VLOOKUP($C25,EmpAll,COLUMN(Emp!$B$4),0))</f>
        <v>Osborne S</v>
      </c>
      <c r="E25" s="145" t="str">
        <f ca="1">IF(ISNA(VLOOKUP($C25,EmpAll,COLUMN(Emp!$C$4),0)),"-",VLOOKUP($C25,EmpAll,COLUMN(Emp!$C$4),0))</f>
        <v>S</v>
      </c>
      <c r="F25" s="101" t="str">
        <f ca="1">IF(ISNA(VLOOKUP($C25,EmpAll,COLUMN(Emp!$A$4),0)),"-",IF(AND(VLOOKUP($C25,EmpAll,COLUMN(Emp!$E$4),0)&lt;&gt;0,VLOOKUP($C25,EmpAll,COLUMN(Emp!$E$4),0)&gt;=DATE(YEAR($AC25),MONTH($AC25)+1,0)),"Inactive",IF(AND(VLOOKUP($C25,EmpAll,COLUMN(Emp!$F$4),0)&lt;&gt;0,VLOOKUP($C25,EmpAll,COLUMN(Emp!$F$4),0)&lt;=DATE(YEAR($AC25),MONTH($AC25),0)),"Terminated","Active")))</f>
        <v>Active</v>
      </c>
      <c r="G25" s="133" cm="1">
        <f t="array" aca="1" ref="G25" ca="1">IF($F25&lt;&gt;"Active",0,IF(COUNTIFS(OverEmp,$C25,OverEarn,G$2,OverDate,"&lt;"&amp;DATE(YEAR($AC25),MONTH($AC25)+1,1),OverEnd,"&gt;="&amp;DATE(YEAR($AC25),MONTH($AC25),1))&gt;0,SUMIFS(OverValue,OverEmp,$C25,OverEarn,G$2,OverDate,"&lt;"&amp;DATE(YEAR($AC25),MONTH($AC25)+1,1),OverEnd,"&gt;="&amp;DATE(YEAR($AC25),MONTH($AC25),1)),IF(AND($AC25&gt;=Setup!$E$10,SUMIFS(EmpIncrease,EmpCode,$C25)&gt;0),SUMIFS(EmpIncrease,EmpCode,$C25),SUMIFS(EmpSalary,EmpCode,$C25))))</f>
        <v>15000</v>
      </c>
      <c r="H25" s="133" cm="1">
        <f t="array" aca="1" ref="H25" ca="1">IF($F25&lt;&gt;"Active",0,IF(COUNTIFS(OverEmp,$C25,OverEarn,H$2,OverDate,"&lt;"&amp;DATE(YEAR($AC25),MONTH($AC25)+1,1),OverEnd,"&gt;="&amp;DATE(YEAR($AC25),MONTH($AC25),1))&gt;0,SUMIFS(OverValue,OverEmp,$C25,OverEarn,H$2,OverDate,"&lt;"&amp;DATE(YEAR($AC25),MONTH($AC25)+1,1),OverEnd,"&gt;="&amp;DATE(YEAR($AC25),MONTH($AC25),1)),0))</f>
        <v>0</v>
      </c>
      <c r="I25" s="133" cm="1">
        <f t="array" aca="1" ref="I25" ca="1">IF($F25&lt;&gt;"Active",0,IF(COUNTIFS(OverEmp,$C25,OverEarn,I$2,OverDate,"&lt;"&amp;DATE(YEAR($AC25),MONTH($AC25)+1,1),OverEnd,"&gt;="&amp;DATE(YEAR($AC25),MONTH($AC25),1))&gt;0,SUMIFS(OverValue,OverEmp,$C25,OverEarn,I$2,OverDate,"&lt;"&amp;DATE(YEAR($AC25),MONTH($AC25)+1,1),OverEnd,"&gt;="&amp;DATE(YEAR($AC25),MONTH($AC25),1)),IF(MONTH(B25)=Setup!$C$15,SUMIFS(EmpBonus,EmpCode,$C25),0)))</f>
        <v>0</v>
      </c>
      <c r="J25" s="133" cm="1">
        <f t="array" aca="1" ref="J25" ca="1">IF($F25&lt;&gt;"Active",0,IF(COUNTIFS(OverEmp,$C25,OverEarn,J$2,OverDate,"&lt;"&amp;DATE(YEAR($AC25),MONTH($AC25)+1,1),OverEnd,"&gt;="&amp;DATE(YEAR($AC25),MONTH($AC25),1))&gt;0,SUMIFS(OverValue,OverEmp,$C25,OverEarn,J$2,OverDate,"&lt;"&amp;DATE(YEAR($AC25),MONTH($AC25)+1,1),OverEnd,"&gt;="&amp;DATE(YEAR($AC25),MONTH($AC25),1)),0))</f>
        <v>0</v>
      </c>
      <c r="K25" s="133" cm="1">
        <f t="array" aca="1" ref="K25" ca="1">IF($F25&lt;&gt;"Active",0,IF(COUNTIFS(OverEmp,$C25,OverEarn,K$2,OverDate,"&lt;"&amp;DATE(YEAR($AC25),MONTH($AC25)+1,1),OverEnd,"&gt;="&amp;DATE(YEAR($AC25),MONTH($AC25),1))&gt;0,SUMIFS(OverValue,OverEmp,$C25,OverEarn,K$2,OverDate,"&lt;"&amp;DATE(YEAR($AC25),MONTH($AC25)+1,1),OverEnd,"&gt;="&amp;DATE(YEAR($AC25),MONTH($AC25),1)),0))</f>
        <v>0</v>
      </c>
      <c r="L25" s="185">
        <f t="shared" ca="1" si="0"/>
        <v>15000</v>
      </c>
      <c r="M25" s="182" cm="1">
        <f t="array" aca="1" ref="M25" ca="1">IF(COUNTIFS(OverEmp,$C25,OverTax,M$5,OverDate,"&lt;"&amp;DATE(YEAR($AC25),MONTH($AC25)+1,1),OverEnd,"&gt;="&amp;DATE(YEAR($AC25),MONTH($AC25),1))&gt;0,SUMIFS(OverValue,OverEmp,$C25,OverTax,M$5,OverDate,"&lt;"&amp;DATE(YEAR($AC25),MONTH($AC25)+1,1),OverEnd,"&gt;="&amp;DATE(YEAR($AC25),MONTH($AC25),1)),(($BA25/12*$AA25)+(BB25*IF(1-$BC25=0,0,BD25/(1-$BC25))))-IF($F25="Terminated",0,SUMIFS(PayTaxDeduct,PayDate,"&lt;"&amp;$AC25,PayEmp,$C25)))</f>
        <v>899.75</v>
      </c>
      <c r="N25" s="133" cm="1">
        <f t="array" aca="1" ref="N25" ca="1">IF($F25="Terminated",0,IF($AA25=0,0,IF(ISNA(MATCH(N$5,DedListItem,0)),0,IF(COUNTIFS(OverEmp,$C25,OverDeduct,N$5,OverDate,"&lt;"&amp;DATE(YEAR($AC25),MONTH($AC25)+1,1),OverEnd,"&gt;="&amp;DATE(YEAR($AC25),MONTH($AC25),1))&gt;0,SUMIFS(OverValue,OverEmp,$C25,OverDeduct,N$5,OverDate,"&lt;"&amp;DATE(YEAR($AC25),MONTH($AC25)+1,1),OverEnd,"&gt;="&amp;DATE(YEAR($AC25),MONTH($AC25),1)),IF(OR(N$2="Fixed",N$2="Not Used"),(IF(COUNTIFS(EmpNo,$C25,OFFSET(Emp!$R$4,1,MATCH(N$5,DedListItem,0)-1,EmpCount,1),"&lt;&gt;")&gt;0,VLOOKUP($C25,EmpAll,COLUMN(Emp!$R$4)+MATCH(N$5,DedListItem,0)-1,0),OFFSET(Setup!$E$73,MATCH(N$5,DedListItem,0),0,1,1))*$AA25)-SUMIFS(OFFSET(N$6,1,0,PayCount,1),PayDate,"&lt;"&amp;$AC25,PayEmp,$C25),IF(ISNA(MATCH(N$2,EarnListItem,0))=FALSE,IF(OFFSET(Setup!$G$73,MATCH(N$5,DedListItem,0),0,1,1)="Taxable",SUMPRODUCT((PayEmp=$C25)*(PayDate&lt;=$AC25)*(PayEarnCode=N$2)*(PayEarnTax)*(PayEarnValues)),SUMPRODUCT((PayEmp=$C25)*(PayDate&lt;=$AC25)*(PayEarnCode=N$2)*(PayEarnValues)))*IF(COUNTIFS(EmpNo,$C25,OFFSET(Emp!$R$4,1,MATCH(N$5,DedListItem,0)-1,EmpCount,1),"&lt;&gt;")&gt;0,VLOOKUP($C25,EmpAll,COLUMN(Emp!$R$4)+MATCH(N$5,DedListItem,0)-1,0),OFFSET(Setup!$E$73,MATCH(N$5,DedListItem,0),0,1,1)),(MIN(IF(OFFSET(Setup!$G$73,MATCH(N$5,DedListItem,0),0,1,1)="Taxable",SUMPRODUCT((PayEmp=$C25)*(PayDate&lt;=$AC25)*(ISERROR(SEARCH(PayEarnCode,N$4)))*(PayEarnTax)*(PayEarnValues)),SUMPRODUCT((PayEmp=$C25)*(PayDate&lt;=$AC25)*(ISERROR(SEARCH(PayEarnCode,N$4)))*(PayEarnValues))),IF(ISNUMBER(N$3),N$3/12*$AA25,IgnoreMin)))*IF(COUNTIFS(EmpNo,$C25,OFFSET(Emp!$R$4,1,MATCH(N$5,DedListItem,0)-1,EmpCount,1),"&lt;&gt;")&gt;0,VLOOKUP($C25,EmpAll,COLUMN(Emp!$R$4)+MATCH(N$5,DedListItem,0)-1,0),OFFSET(Setup!$E$73,MATCH(N$5,DedListItem,0),0,1,1)))-SUMIFS(OFFSET(N$6,1,0,PayCount,1),PayDate,"&lt;"&amp;$AC25,PayEmp,$C25))))))</f>
        <v>158.88</v>
      </c>
      <c r="O25" s="133" cm="1">
        <f t="array" aca="1" ref="O25" ca="1">IF($F25="Terminated",0,IF($AA25=0,0,IF(ISNA(MATCH(O$5,DedListItem,0)),0,IF(COUNTIFS(OverEmp,$C25,OverDeduct,O$5,OverDate,"&lt;"&amp;DATE(YEAR($AC25),MONTH($AC25)+1,1),OverEnd,"&gt;="&amp;DATE(YEAR($AC25),MONTH($AC25),1))&gt;0,SUMIFS(OverValue,OverEmp,$C25,OverDeduct,O$5,OverDate,"&lt;"&amp;DATE(YEAR($AC25),MONTH($AC25)+1,1),OverEnd,"&gt;="&amp;DATE(YEAR($AC25),MONTH($AC25),1)),IF(OR(O$2="Fixed",O$2="Not Used"),(IF(COUNTIFS(EmpNo,$C25,OFFSET(Emp!$R$4,1,MATCH(O$5,DedListItem,0)-1,EmpCount,1),"&lt;&gt;")&gt;0,VLOOKUP($C25,EmpAll,COLUMN(Emp!$R$4)+MATCH(O$5,DedListItem,0)-1,0),OFFSET(Setup!$E$73,MATCH(O$5,DedListItem,0),0,1,1))*$AA25)-SUMIFS(OFFSET(O$6,1,0,PayCount,1),PayDate,"&lt;"&amp;$AC25,PayEmp,$C25),IF(ISNA(MATCH(O$2,EarnListItem,0))=FALSE,IF(OFFSET(Setup!$G$73,MATCH(O$5,DedListItem,0),0,1,1)="Taxable",SUMPRODUCT((PayEmp=$C25)*(PayDate&lt;=$AC25)*(PayEarnCode=O$2)*(PayEarnTax)*(PayEarnValues)),SUMPRODUCT((PayEmp=$C25)*(PayDate&lt;=$AC25)*(PayEarnCode=O$2)*(PayEarnValues)))*IF(COUNTIFS(EmpNo,$C25,OFFSET(Emp!$R$4,1,MATCH(O$5,DedListItem,0)-1,EmpCount,1),"&lt;&gt;")&gt;0,VLOOKUP($C25,EmpAll,COLUMN(Emp!$R$4)+MATCH(O$5,DedListItem,0)-1,0),OFFSET(Setup!$E$73,MATCH(O$5,DedListItem,0),0,1,1)),(MIN(IF(OFFSET(Setup!$G$73,MATCH(O$5,DedListItem,0),0,1,1)="Taxable",SUMPRODUCT((PayEmp=$C25)*(PayDate&lt;=$AC25)*(ISERROR(SEARCH(PayEarnCode,O$4)))*(PayEarnTax)*(PayEarnValues)),SUMPRODUCT((PayEmp=$C25)*(PayDate&lt;=$AC25)*(ISERROR(SEARCH(PayEarnCode,O$4)))*(PayEarnValues))),IF(ISNUMBER(O$3),O$3/12*$AA25,IgnoreMin)))*IF(COUNTIFS(EmpNo,$C25,OFFSET(Emp!$R$4,1,MATCH(O$5,DedListItem,0)-1,EmpCount,1),"&lt;&gt;")&gt;0,VLOOKUP($C25,EmpAll,COLUMN(Emp!$R$4)+MATCH(O$5,DedListItem,0)-1,0),OFFSET(Setup!$E$73,MATCH(O$5,DedListItem,0),0,1,1)))-SUMIFS(OFFSET(O$6,1,0,PayCount,1),PayDate,"&lt;"&amp;$AC25,PayEmp,$C25))))))</f>
        <v>0</v>
      </c>
      <c r="P25" s="133" cm="1">
        <f t="array" aca="1" ref="P25" ca="1">IF($F25="Terminated",0,IF($AA25=0,0,IF(ISNA(MATCH(P$5,DedListItem,0)),0,IF(COUNTIFS(OverEmp,$C25,OverDeduct,P$5,OverDate,"&lt;"&amp;DATE(YEAR($AC25),MONTH($AC25)+1,1),OverEnd,"&gt;="&amp;DATE(YEAR($AC25),MONTH($AC25),1))&gt;0,SUMIFS(OverValue,OverEmp,$C25,OverDeduct,P$5,OverDate,"&lt;"&amp;DATE(YEAR($AC25),MONTH($AC25)+1,1),OverEnd,"&gt;="&amp;DATE(YEAR($AC25),MONTH($AC25),1)),IF(OR(P$2="Fixed",P$2="Not Used"),(IF(COUNTIFS(EmpNo,$C25,OFFSET(Emp!$R$4,1,MATCH(P$5,DedListItem,0)-1,EmpCount,1),"&lt;&gt;")&gt;0,VLOOKUP($C25,EmpAll,COLUMN(Emp!$R$4)+MATCH(P$5,DedListItem,0)-1,0),OFFSET(Setup!$E$73,MATCH(P$5,DedListItem,0),0,1,1))*$AA25)-SUMIFS(OFFSET(P$6,1,0,PayCount,1),PayDate,"&lt;"&amp;$AC25,PayEmp,$C25),IF(ISNA(MATCH(P$2,EarnListItem,0))=FALSE,IF(OFFSET(Setup!$G$73,MATCH(P$5,DedListItem,0),0,1,1)="Taxable",SUMPRODUCT((PayEmp=$C25)*(PayDate&lt;=$AC25)*(PayEarnCode=P$2)*(PayEarnTax)*(PayEarnValues)),SUMPRODUCT((PayEmp=$C25)*(PayDate&lt;=$AC25)*(PayEarnCode=P$2)*(PayEarnValues)))*IF(COUNTIFS(EmpNo,$C25,OFFSET(Emp!$R$4,1,MATCH(P$5,DedListItem,0)-1,EmpCount,1),"&lt;&gt;")&gt;0,VLOOKUP($C25,EmpAll,COLUMN(Emp!$R$4)+MATCH(P$5,DedListItem,0)-1,0),OFFSET(Setup!$E$73,MATCH(P$5,DedListItem,0),0,1,1)),(MIN(IF(OFFSET(Setup!$G$73,MATCH(P$5,DedListItem,0),0,1,1)="Taxable",SUMPRODUCT((PayEmp=$C25)*(PayDate&lt;=$AC25)*(ISERROR(SEARCH(PayEarnCode,P$4)))*(PayEarnTax)*(PayEarnValues)),SUMPRODUCT((PayEmp=$C25)*(PayDate&lt;=$AC25)*(ISERROR(SEARCH(PayEarnCode,P$4)))*(PayEarnValues))),IF(ISNUMBER(P$3),P$3/12*$AA25,IgnoreMin)))*IF(COUNTIFS(EmpNo,$C25,OFFSET(Emp!$R$4,1,MATCH(P$5,DedListItem,0)-1,EmpCount,1),"&lt;&gt;")&gt;0,VLOOKUP($C25,EmpAll,COLUMN(Emp!$R$4)+MATCH(P$5,DedListItem,0)-1,0),OFFSET(Setup!$E$73,MATCH(P$5,DedListItem,0),0,1,1)))-SUMIFS(OFFSET(P$6,1,0,PayCount,1),PayDate,"&lt;"&amp;$AC25,PayEmp,$C25))))))</f>
        <v>500</v>
      </c>
      <c r="Q25" s="133" cm="1">
        <f t="array" aca="1" ref="Q25" ca="1">IF($F25="Terminated",0,IF($AA25=0,0,IF(ISNA(MATCH(Q$5,DedListItem,0)),0,IF(COUNTIFS(OverEmp,$C25,OverDeduct,Q$5,OverDate,"&lt;"&amp;DATE(YEAR($AC25),MONTH($AC25)+1,1),OverEnd,"&gt;="&amp;DATE(YEAR($AC25),MONTH($AC25),1))&gt;0,SUMIFS(OverValue,OverEmp,$C25,OverDeduct,Q$5,OverDate,"&lt;"&amp;DATE(YEAR($AC25),MONTH($AC25)+1,1),OverEnd,"&gt;="&amp;DATE(YEAR($AC25),MONTH($AC25),1)),IF(OR(Q$2="Fixed",Q$2="Not Used"),(IF(COUNTIFS(EmpNo,$C25,OFFSET(Emp!$R$4,1,MATCH(Q$5,DedListItem,0)-1,EmpCount,1),"&lt;&gt;")&gt;0,VLOOKUP($C25,EmpAll,COLUMN(Emp!$R$4)+MATCH(Q$5,DedListItem,0)-1,0),OFFSET(Setup!$E$73,MATCH(Q$5,DedListItem,0),0,1,1))*$AA25)-SUMIFS(OFFSET(Q$6,1,0,PayCount,1),PayDate,"&lt;"&amp;$AC25,PayEmp,$C25),IF(ISNA(MATCH(Q$2,EarnListItem,0))=FALSE,IF(OFFSET(Setup!$G$73,MATCH(Q$5,DedListItem,0),0,1,1)="Taxable",SUMPRODUCT((PayEmp=$C25)*(PayDate&lt;=$AC25)*(PayEarnCode=Q$2)*(PayEarnTax)*(PayEarnValues)),SUMPRODUCT((PayEmp=$C25)*(PayDate&lt;=$AC25)*(PayEarnCode=Q$2)*(PayEarnValues)))*IF(COUNTIFS(EmpNo,$C25,OFFSET(Emp!$R$4,1,MATCH(Q$5,DedListItem,0)-1,EmpCount,1),"&lt;&gt;")&gt;0,VLOOKUP($C25,EmpAll,COLUMN(Emp!$R$4)+MATCH(Q$5,DedListItem,0)-1,0),OFFSET(Setup!$E$73,MATCH(Q$5,DedListItem,0),0,1,1)),(MIN(IF(OFFSET(Setup!$G$73,MATCH(Q$5,DedListItem,0),0,1,1)="Taxable",SUMPRODUCT((PayEmp=$C25)*(PayDate&lt;=$AC25)*(ISERROR(SEARCH(PayEarnCode,Q$4)))*(PayEarnTax)*(PayEarnValues)),SUMPRODUCT((PayEmp=$C25)*(PayDate&lt;=$AC25)*(ISERROR(SEARCH(PayEarnCode,Q$4)))*(PayEarnValues))),IF(ISNUMBER(Q$3),Q$3/12*$AA25,IgnoreMin)))*IF(COUNTIFS(EmpNo,$C25,OFFSET(Emp!$R$4,1,MATCH(Q$5,DedListItem,0)-1,EmpCount,1),"&lt;&gt;")&gt;0,VLOOKUP($C25,EmpAll,COLUMN(Emp!$R$4)+MATCH(Q$5,DedListItem,0)-1,0),OFFSET(Setup!$E$73,MATCH(Q$5,DedListItem,0),0,1,1)))-SUMIFS(OFFSET(Q$6,1,0,PayCount,1),PayDate,"&lt;"&amp;$AC25,PayEmp,$C25))))))</f>
        <v>0</v>
      </c>
      <c r="R25" s="185">
        <f t="shared" ca="1" si="1"/>
        <v>1558.63</v>
      </c>
      <c r="S25" s="139">
        <f t="shared" ca="1" si="2"/>
        <v>13441.37</v>
      </c>
      <c r="T25" s="133" cm="1">
        <f t="array" aca="1" ref="T25" ca="1">IF($F25="Terminated",0,IF($AA25=0,0,IF(ISNA(MATCH(T$5,CompListItem,0)),0,IF(COUNTIFS(OverEmp,$C25,OverComp,T$5,OverDate,"&lt;"&amp;DATE(YEAR($AC25),MONTH($AC25)+1,1),OverEnd,"&gt;="&amp;DATE(YEAR($AC25),MONTH($AC25),1))&gt;0,SUMIFS(OverValue,OverEmp,$C25,OverComp,T$5,OverDate,"&lt;"&amp;DATE(YEAR($AC25),MONTH($AC25)+1,1),OverEnd,"&gt;="&amp;DATE(YEAR($AC25),MONTH($AC25),1)),IF(OR(T$2="Fixed",T$2="Not Used"),(OFFSET(Setup!$E$81,MATCH(T$5,CompListItem,0),0,1,1)*$AA25)-SUMIFS(OFFSET(T$6,1,0,PayCount,1),PayDate,"&lt;"&amp;$AC25,PayEmp,$C25),IF(ISNA(MATCH(T$2,DedListItem,0))=FALSE,(SUMPRODUCT((PayEmp=$C25)*(PayDate&lt;=$AC25)*(PayDedList=T$2)*(PayDedValues))*OFFSET(Setup!$E$81,MATCH(T$5,CompListItem,0),0,1,1))-SUMIFS(OFFSET(T$6,1,0,PayCount,1),PayDate,"&lt;"&amp;$AC25,PayEmp,$C25),(MIN(IF(OFFSET(Setup!$G$81,MATCH(T$5,CompListItem,0),0,1,1)="Taxable",SUMPRODUCT((PayEmp=$C25)*(PayDate&lt;=$AC25)*(ISERROR(SEARCH(PayEarnCode,T$4)))*(PayEarnTax)*(PayEarnValues)),SUMPRODUCT((PayEmp=$C25)*(PayDate&lt;=$AC25)*(ISERROR(SEARCH(PayEarnCode,T$4)))*(PayEarnValues))),IF(ISNUMBER(T$3),T$3/12*$AA25,IgnoreMin)))*OFFSET(Setup!$E$81,MATCH(T$5,CompListItem,0),0,1,1)-SUMIFS(OFFSET(T$6,1,0,PayCount,1),PayDate,"&lt;"&amp;$AC25,PayEmp,$C25)))))))</f>
        <v>158.88</v>
      </c>
      <c r="U25" s="133" cm="1">
        <f t="array" aca="1" ref="U25" ca="1">IF($F25="Terminated",0,IF($AA25=0,0,IF(ISNA(MATCH(U$5,CompListItem,0)),0,IF(COUNTIFS(OverEmp,$C25,OverComp,U$5,OverDate,"&lt;"&amp;DATE(YEAR($AC25),MONTH($AC25)+1,1),OverEnd,"&gt;="&amp;DATE(YEAR($AC25),MONTH($AC25),1))&gt;0,SUMIFS(OverValue,OverEmp,$C25,OverComp,U$5,OverDate,"&lt;"&amp;DATE(YEAR($AC25),MONTH($AC25)+1,1),OverEnd,"&gt;="&amp;DATE(YEAR($AC25),MONTH($AC25),1)),IF(OR(U$2="Fixed",U$2="Not Used"),(OFFSET(Setup!$E$81,MATCH(U$5,CompListItem,0),0,1,1)*$AA25)-SUMIFS(OFFSET(U$6,1,0,PayCount,1),PayDate,"&lt;"&amp;$AC25,PayEmp,$C25),IF(ISNA(MATCH(U$2,DedListItem,0))=FALSE,(SUMPRODUCT((PayEmp=$C25)*(PayDate&lt;=$AC25)*(PayDedList=U$2)*(PayDedValues))*OFFSET(Setup!$E$81,MATCH(U$5,CompListItem,0),0,1,1))-SUMIFS(OFFSET(U$6,1,0,PayCount,1),PayDate,"&lt;"&amp;$AC25,PayEmp,$C25),(MIN(IF(OFFSET(Setup!$G$81,MATCH(U$5,CompListItem,0),0,1,1)="Taxable",SUMPRODUCT((PayEmp=$C25)*(PayDate&lt;=$AC25)*(ISERROR(SEARCH(PayEarnCode,U$4)))*(PayEarnTax)*(PayEarnValues)),SUMPRODUCT((PayEmp=$C25)*(PayDate&lt;=$AC25)*(ISERROR(SEARCH(PayEarnCode,U$4)))*(PayEarnValues))),IF(ISNUMBER(U$3),U$3/12*$AA25,IgnoreMin)))*OFFSET(Setup!$E$81,MATCH(U$5,CompListItem,0),0,1,1)-SUMIFS(OFFSET(U$6,1,0,PayCount,1),PayDate,"&lt;"&amp;$AC25,PayEmp,$C25)))))))</f>
        <v>150</v>
      </c>
      <c r="V25" s="133" cm="1">
        <f t="array" aca="1" ref="V25" ca="1">IF($F25="Terminated",0,IF($AA25=0,0,IF(ISNA(MATCH(V$5,CompListItem,0)),0,IF(COUNTIFS(OverEmp,$C25,OverComp,V$5,OverDate,"&lt;"&amp;DATE(YEAR($AC25),MONTH($AC25)+1,1),OverEnd,"&gt;="&amp;DATE(YEAR($AC25),MONTH($AC25),1))&gt;0,SUMIFS(OverValue,OverEmp,$C25,OverComp,V$5,OverDate,"&lt;"&amp;DATE(YEAR($AC25),MONTH($AC25)+1,1),OverEnd,"&gt;="&amp;DATE(YEAR($AC25),MONTH($AC25),1)),IF(OR(V$2="Fixed",V$2="Not Used"),(OFFSET(Setup!$E$81,MATCH(V$5,CompListItem,0),0,1,1)*$AA25)-SUMIFS(OFFSET(V$6,1,0,PayCount,1),PayDate,"&lt;"&amp;$AC25,PayEmp,$C25),IF(ISNA(MATCH(V$2,DedListItem,0))=FALSE,(SUMPRODUCT((PayEmp=$C25)*(PayDate&lt;=$AC25)*(PayDedList=V$2)*(PayDedValues))*OFFSET(Setup!$E$81,MATCH(V$5,CompListItem,0),0,1,1))-SUMIFS(OFFSET(V$6,1,0,PayCount,1),PayDate,"&lt;"&amp;$AC25,PayEmp,$C25),(MIN(IF(OFFSET(Setup!$G$81,MATCH(V$5,CompListItem,0),0,1,1)="Taxable",SUMPRODUCT((PayEmp=$C25)*(PayDate&lt;=$AC25)*(ISERROR(SEARCH(PayEarnCode,V$4)))*(PayEarnTax)*(PayEarnValues)),SUMPRODUCT((PayEmp=$C25)*(PayDate&lt;=$AC25)*(ISERROR(SEARCH(PayEarnCode,V$4)))*(PayEarnValues))),IF(ISNUMBER(V$3),V$3/12*$AA25,IgnoreMin)))*OFFSET(Setup!$E$81,MATCH(V$5,CompListItem,0),0,1,1)-SUMIFS(OFFSET(V$6,1,0,PayCount,1),PayDate,"&lt;"&amp;$AC25,PayEmp,$C25)))))))</f>
        <v>0</v>
      </c>
      <c r="W25" s="133" cm="1">
        <f t="array" aca="1" ref="W25" ca="1">IF($F25="Terminated",0,IF($AA25=0,0,IF(ISNA(MATCH(W$5,CompListItem,0)),0,IF(COUNTIFS(OverEmp,$C25,OverComp,W$5,OverDate,"&lt;"&amp;DATE(YEAR($AC25),MONTH($AC25)+1,1),OverEnd,"&gt;="&amp;DATE(YEAR($AC25),MONTH($AC25),1))&gt;0,SUMIFS(OverValue,OverEmp,$C25,OverComp,W$5,OverDate,"&lt;"&amp;DATE(YEAR($AC25),MONTH($AC25)+1,1),OverEnd,"&gt;="&amp;DATE(YEAR($AC25),MONTH($AC25),1)),IF(OR(W$2="Fixed",W$2="Not Used"),(OFFSET(Setup!$E$81,MATCH(W$5,CompListItem,0),0,1,1)*$AA25)-SUMIFS(OFFSET(W$6,1,0,PayCount,1),PayDate,"&lt;"&amp;$AC25,PayEmp,$C25),IF(ISNA(MATCH(W$2,DedListItem,0))=FALSE,(SUMPRODUCT((PayEmp=$C25)*(PayDate&lt;=$AC25)*(PayDedList=W$2)*(PayDedValues))*OFFSET(Setup!$E$81,MATCH(W$5,CompListItem,0),0,1,1))-SUMIFS(OFFSET(W$6,1,0,PayCount,1),PayDate,"&lt;"&amp;$AC25,PayEmp,$C25),(MIN(IF(OFFSET(Setup!$G$81,MATCH(W$5,CompListItem,0),0,1,1)="Taxable",SUMPRODUCT((PayEmp=$C25)*(PayDate&lt;=$AC25)*(ISERROR(SEARCH(PayEarnCode,W$4)))*(PayEarnTax)*(PayEarnValues)),SUMPRODUCT((PayEmp=$C25)*(PayDate&lt;=$AC25)*(ISERROR(SEARCH(PayEarnCode,W$4)))*(PayEarnValues))),IF(ISNUMBER(W$3),W$3/12*$AA25,IgnoreMin)))*OFFSET(Setup!$E$81,MATCH(W$5,CompListItem,0),0,1,1)-SUMIFS(OFFSET(W$6,1,0,PayCount,1),PayDate,"&lt;"&amp;$AC25,PayEmp,$C25)))))))</f>
        <v>0</v>
      </c>
      <c r="X25" s="185">
        <f t="shared" ca="1" si="3"/>
        <v>308.88</v>
      </c>
      <c r="Y25" s="139">
        <f t="shared" ca="1" si="4"/>
        <v>15308.88</v>
      </c>
      <c r="Z25" s="139">
        <f t="shared" ca="1" si="5"/>
        <v>1867.51</v>
      </c>
      <c r="AA25" s="146">
        <f ca="1">IF(OR($B25&lt;=Setup!$E$12,$B25&gt;=Setup!$D$12+1),0,IF($F25&lt;&gt;"Active",0,IF($AE25="Yes",$AB25,((YEAR($AC25)*12)+MONTH($AC25))-((YEAR($AD25)*12)+MONTH($AD25)-1))))</f>
        <v>2</v>
      </c>
      <c r="AB25" s="146">
        <f ca="1">IF(OR($B25&lt;=Setup!$E$12,$B25&gt;=Setup!$D$12+1),0,((YEAR($AC25)*12)+MONTH($AC25))-((YEAR(Setup!$E$12)*12)+MONTH(Setup!$E$12)))</f>
        <v>2</v>
      </c>
      <c r="AC25" s="186">
        <f t="shared" ca="1" si="6"/>
        <v>45041</v>
      </c>
      <c r="AD25" s="144">
        <f ca="1">IF(ISNA(VLOOKUP($C25,EmpAll,COLUMN(Emp!$E$4),0)),$AC25,IF(VLOOKUP($C25,EmpAll,COLUMN(Emp!$E$4),0)&lt;=Setup!$E$12,DATE(YEAR(Setup!$E$12),MONTH(Setup!$E$12)+1,1),VLOOKUP($C25,EmpAll,COLUMN(Emp!$E$4),0)))</f>
        <v>44986</v>
      </c>
      <c r="AE25" s="144" t="str">
        <f ca="1">IF(ISNA(VLOOKUP($C25,EmpAll,COLUMN(Emp!$G$1),0)),"-",IF(VLOOKUP($C25,EmpAll,COLUMN(Emp!$G$1),0)=0,"-",VLOOKUP($C25,EmpAll,COLUMN(Emp!$G$1),0)))</f>
        <v>-</v>
      </c>
      <c r="AF25" s="145">
        <f ca="1">IF(A25=PaySlip!$G$3,1,0)</f>
        <v>0</v>
      </c>
      <c r="AG25" s="130" cm="1">
        <f t="array" aca="1" ref="AG25" ca="1">IF(COUNTIFS(OverEmp,$C25,OverMed,"MED",OverDate,"&lt;"&amp;DATE(YEAR($AC25),MONTH($AC25)+1,1),OverEnd,"&gt;="&amp;DATE(YEAR($AC25),MONTH($AC25),1))&gt;0,SUMIFS(OverValue,OverEmp,$C25,OverMed,"MED",OverDate,"&lt;"&amp;DATE(YEAR($AC25),MONTH($AC25)+1,1),OverEnd,"&gt;="&amp;DATE(YEAR($AC25),MONTH($AC25),1)),IF(ISNA(VLOOKUP($C25,EmpAll,COLUMN(Emp!$N$4),0)),0,VLOOKUP($C25,EmpAll,COLUMN(Emp!$N$4),0)))</f>
        <v>1</v>
      </c>
      <c r="AH25" s="146">
        <f ca="1">VLOOKUP($AG25,MedList,COLUMN(Setup!$C$49),1)</f>
        <v>364</v>
      </c>
      <c r="AI25" s="146">
        <f t="shared" ca="1" si="7"/>
        <v>4368</v>
      </c>
      <c r="AJ25" s="101" t="str">
        <f ca="1">IF(ISNA(VLOOKUP($C25,EmpAll,COLUMN(Emp!$L$4),0)),"None!",VLOOKUP($C25,EmpAll,COLUMN(Emp!$L$4),0))</f>
        <v>A</v>
      </c>
      <c r="AK25" s="147">
        <f t="shared" ca="1" si="8"/>
        <v>17235</v>
      </c>
      <c r="AL25" s="101" t="str">
        <f ca="1">IF(ISNA(VLOOKUP($C25,Employees[],COLUMN(Emp!$M$4),0))=TRUE,"Error!",IF(VLOOKUP($C25,Employees[],COLUMN(Emp!$M$4),0)=0,"Yes",VLOOKUP($C25,Employees[],COLUMN(Emp!$M$4),0)))</f>
        <v>A</v>
      </c>
      <c r="AM25" s="148">
        <f t="shared" ca="1" si="9"/>
        <v>183600</v>
      </c>
      <c r="AN25" s="148" cm="1">
        <f t="array" aca="1" ref="AN25" ca="1">-IF($F25="Terminated",0,IF($AA25=0,0,IF(ISNA(MATCH(AN$5,PayDedList,0)),0,MIN(IF(COUNTIFS(OverEmp,$C25,OverDeduct,AN$5,OverDate,"&lt;"&amp;DATE(YEAR($AC25),MONTH($AC25)+1,1),OverEnd,"&gt;="&amp;DATE(YEAR($AC25),MONTH($AC25),1))&gt;0,SUMPRODUCT((PayEmp=$C25)*(PayDate&lt;=$AC25)*(OFFSET($N$6,1,MATCH(AN$5,PayDedList,0)-1,PayCount,1)))/$AA25*12*AN$3,IF(OR(AN$1="Fixed",AN$1="Not Used"),SUMPRODUCT((PayEmp=$C25)*(PayDate&lt;=$AC25)*(OFFSET($N$6,1,MATCH(AN$5,PayDedList,0)-1,PayCount,1)))/$AA25*12*AN$3,IF(ISNA(MATCH(AN$1,EarnListItem,0))=FALSE,SUMPRODUCT((PayEmp=$C25)*(PayDate&lt;=$AC25)*(OFFSET($N$6,1,MATCH(AN$5,PayDedList,0)-1,PayCount,1)))/$AA25*12*AN$3,(MIN(((SUMPRODUCT((PayEmp=$C25)*(PayDate&lt;=$AC25)*(ISERROR(SEARCH(PayEarnCode,AN$2)))*(PayEarnType="Monthly")*(PayEarnValues))/$AA25*12)+(SUMPRODUCT((PayEmp=$C25)*(PayDate&lt;=$AC25)*(ISERROR(SEARCH(PayEarnCode,AN$2)))*(PayEarnType="Quarterly")*(PayEarnValues))/MAX(1,ROUNDDOWN($AB25/3,0))*4)+(SUMPRODUCT((PayEmp=$C25)*(PayDate&lt;=$AC25)*(ISERROR(SEARCH(PayEarnCode,AN$2)))*(PayEarnType="Bi-Annual")*(PayEarnValues))/MAX(1,ROUNDDOWN($AB25/6,0))*2)+(SUMPRODUCT((PayEmp=$C25)*(PayDate&lt;=$AC25)*(ISERROR(SEARCH(PayEarnCode,AN$2)))*(PayEarnType="Annual")*(PayEarnValues)))),IF(ISNUMBER(OFFSET($N$3,0,MATCH(AN$5,PayDedList,0)-1,1,1)),OFFSET($N$3,0,MATCH(AN$5,PayDedList,0)-1,1,1),IgnoreMin)))*IF(COUNTIFS(EmpNo,$C25,OFFSET(Emp!$R$4,1,MATCH(AN$5,DedListItem,0)-1,EmpCount,1),"&lt;&gt;")&gt;0,VLOOKUP($C25,EmpAll,COLUMN(Emp!$R$4)+MATCH(AN$5,DedListItem,0)-1,0),OFFSET(Setup!$E$73,MATCH(AN$5,DedListItem,0),0,1,1))*AN$3))),IF(ISNUMBER(AN$4),AN$4,IgnoreMin)))))</f>
        <v>0</v>
      </c>
      <c r="AO25" s="148" cm="1">
        <f t="array" aca="1" ref="AO25" ca="1">-IF($F25="Terminated",0,IF($AA25=0,0,IF(ISNA(MATCH(AO$5,PayDedList,0)),0,MIN(IF(COUNTIFS(OverEmp,$C25,OverDeduct,AO$5,OverDate,"&lt;"&amp;DATE(YEAR($AC25),MONTH($AC25)+1,1),OverEnd,"&gt;="&amp;DATE(YEAR($AC25),MONTH($AC25),1))&gt;0,SUMPRODUCT((PayEmp=$C25)*(PayDate&lt;=$AC25)*(OFFSET($N$6,1,MATCH(AO$5,PayDedList,0)-1,PayCount,1)))/$AA25*12*AO$3,IF(OR(AO$1="Fixed",AO$1="Not Used"),SUMPRODUCT((PayEmp=$C25)*(PayDate&lt;=$AC25)*(OFFSET($N$6,1,MATCH(AO$5,PayDedList,0)-1,PayCount,1)))/$AA25*12*AO$3,IF(ISNA(MATCH(AO$1,EarnListItem,0))=FALSE,SUMPRODUCT((PayEmp=$C25)*(PayDate&lt;=$AC25)*(OFFSET($N$6,1,MATCH(AO$5,PayDedList,0)-1,PayCount,1)))/$AA25*12*AO$3,(MIN(((SUMPRODUCT((PayEmp=$C25)*(PayDate&lt;=$AC25)*(ISERROR(SEARCH(PayEarnCode,AO$2)))*(PayEarnType="Monthly")*(PayEarnValues))/$AA25*12)+(SUMPRODUCT((PayEmp=$C25)*(PayDate&lt;=$AC25)*(ISERROR(SEARCH(PayEarnCode,AO$2)))*(PayEarnType="Quarterly")*(PayEarnValues))/MAX(1,ROUNDDOWN($AB25/3,0))*4)+(SUMPRODUCT((PayEmp=$C25)*(PayDate&lt;=$AC25)*(ISERROR(SEARCH(PayEarnCode,AO$2)))*(PayEarnType="Bi-Annual")*(PayEarnValues))/MAX(1,ROUNDDOWN($AB25/6,0))*2)+(SUMPRODUCT((PayEmp=$C25)*(PayDate&lt;=$AC25)*(ISERROR(SEARCH(PayEarnCode,AO$2)))*(PayEarnType="Annual")*(PayEarnValues)))),IF(ISNUMBER(OFFSET($N$3,0,MATCH(AO$5,PayDedList,0)-1,1,1)),OFFSET($N$3,0,MATCH(AO$5,PayDedList,0)-1,1,1),IgnoreMin)))*IF(COUNTIFS(EmpNo,$C25,OFFSET(Emp!$R$4,1,MATCH(AO$5,DedListItem,0)-1,EmpCount,1),"&lt;&gt;")&gt;0,VLOOKUP($C25,EmpAll,COLUMN(Emp!$R$4)+MATCH(AO$5,DedListItem,0)-1,0),OFFSET(Setup!$E$73,MATCH(AO$5,DedListItem,0),0,1,1))*AO$3))),IF(ISNUMBER(AO$4),AO$4,IgnoreMin)))))</f>
        <v>0</v>
      </c>
      <c r="AP25" s="148" cm="1">
        <f t="array" aca="1" ref="AP25" ca="1">-IF($F25="Terminated",0,IF($AA25=0,0,IF(ISNA(MATCH(AP$5,PayDedList,0)),0,MIN(IF(COUNTIFS(OverEmp,$C25,OverDeduct,AP$5,OverDate,"&lt;"&amp;DATE(YEAR($AC25),MONTH($AC25)+1,1),OverEnd,"&gt;="&amp;DATE(YEAR($AC25),MONTH($AC25),1))&gt;0,SUMPRODUCT((PayEmp=$C25)*(PayDate&lt;=$AC25)*(OFFSET($N$6,1,MATCH(AP$5,PayDedList,0)-1,PayCount,1)))/$AA25*12*AP$3,IF(OR(AP$1="Fixed",AP$1="Not Used"),SUMPRODUCT((PayEmp=$C25)*(PayDate&lt;=$AC25)*(OFFSET($N$6,1,MATCH(AP$5,PayDedList,0)-1,PayCount,1)))/$AA25*12*AP$3,IF(ISNA(MATCH(AP$1,EarnListItem,0))=FALSE,SUMPRODUCT((PayEmp=$C25)*(PayDate&lt;=$AC25)*(OFFSET($N$6,1,MATCH(AP$5,PayDedList,0)-1,PayCount,1)))/$AA25*12*AP$3,(MIN(((SUMPRODUCT((PayEmp=$C25)*(PayDate&lt;=$AC25)*(ISERROR(SEARCH(PayEarnCode,AP$2)))*(PayEarnType="Monthly")*(PayEarnValues))/$AA25*12)+(SUMPRODUCT((PayEmp=$C25)*(PayDate&lt;=$AC25)*(ISERROR(SEARCH(PayEarnCode,AP$2)))*(PayEarnType="Quarterly")*(PayEarnValues))/MAX(1,ROUNDDOWN($AB25/3,0))*4)+(SUMPRODUCT((PayEmp=$C25)*(PayDate&lt;=$AC25)*(ISERROR(SEARCH(PayEarnCode,AP$2)))*(PayEarnType="Bi-Annual")*(PayEarnValues))/MAX(1,ROUNDDOWN($AB25/6,0))*2)+(SUMPRODUCT((PayEmp=$C25)*(PayDate&lt;=$AC25)*(ISERROR(SEARCH(PayEarnCode,AP$2)))*(PayEarnType="Annual")*(PayEarnValues)))),IF(ISNUMBER(OFFSET($N$3,0,MATCH(AP$5,PayDedList,0)-1,1,1)),OFFSET($N$3,0,MATCH(AP$5,PayDedList,0)-1,1,1),IgnoreMin)))*IF(COUNTIFS(EmpNo,$C25,OFFSET(Emp!$R$4,1,MATCH(AP$5,DedListItem,0)-1,EmpCount,1),"&lt;&gt;")&gt;0,VLOOKUP($C25,EmpAll,COLUMN(Emp!$R$4)+MATCH(AP$5,DedListItem,0)-1,0),OFFSET(Setup!$E$73,MATCH(AP$5,DedListItem,0),0,1,1))*AP$3))),IF(ISNUMBER(AP$4),AP$4,IgnoreMin)))))</f>
        <v>0</v>
      </c>
      <c r="AQ25" s="148" cm="1">
        <f t="array" aca="1" ref="AQ25" ca="1">-IF($F25="Terminated",0,IF($AA25=0,0,IF(ISNA(MATCH(AQ$5,PayDedList,0)),0,MIN(IF(COUNTIFS(OverEmp,$C25,OverDeduct,AQ$5,OverDate,"&lt;"&amp;DATE(YEAR($AC25),MONTH($AC25)+1,1),OverEnd,"&gt;="&amp;DATE(YEAR($AC25),MONTH($AC25),1))&gt;0,SUMPRODUCT((PayEmp=$C25)*(PayDate&lt;=$AC25)*(OFFSET($N$6,1,MATCH(AQ$5,PayDedList,0)-1,PayCount,1)))/$AA25*12*AQ$3,IF(OR(AQ$1="Fixed",AQ$1="Not Used"),SUMPRODUCT((PayEmp=$C25)*(PayDate&lt;=$AC25)*(OFFSET($N$6,1,MATCH(AQ$5,PayDedList,0)-1,PayCount,1)))/$AA25*12*AQ$3,IF(ISNA(MATCH(AQ$1,EarnListItem,0))=FALSE,SUMPRODUCT((PayEmp=$C25)*(PayDate&lt;=$AC25)*(OFFSET($N$6,1,MATCH(AQ$5,PayDedList,0)-1,PayCount,1)))/$AA25*12*AQ$3,(MIN(((SUMPRODUCT((PayEmp=$C25)*(PayDate&lt;=$AC25)*(ISERROR(SEARCH(PayEarnCode,AQ$2)))*(PayEarnType="Monthly")*(PayEarnValues))/$AA25*12)+(SUMPRODUCT((PayEmp=$C25)*(PayDate&lt;=$AC25)*(ISERROR(SEARCH(PayEarnCode,AQ$2)))*(PayEarnType="Quarterly")*(PayEarnValues))/MAX(1,ROUNDDOWN($AB25/3,0))*4)+(SUMPRODUCT((PayEmp=$C25)*(PayDate&lt;=$AC25)*(ISERROR(SEARCH(PayEarnCode,AQ$2)))*(PayEarnType="Bi-Annual")*(PayEarnValues))/MAX(1,ROUNDDOWN($AB25/6,0))*2)+(SUMPRODUCT((PayEmp=$C25)*(PayDate&lt;=$AC25)*(ISERROR(SEARCH(PayEarnCode,AQ$2)))*(PayEarnType="Annual")*(PayEarnValues)))),IF(ISNUMBER(OFFSET($N$3,0,MATCH(AQ$5,PayDedList,0)-1,1,1)),OFFSET($N$3,0,MATCH(AQ$5,PayDedList,0)-1,1,1),IgnoreMin)))*IF(COUNTIFS(EmpNo,$C25,OFFSET(Emp!$R$4,1,MATCH(AQ$5,DedListItem,0)-1,EmpCount,1),"&lt;&gt;")&gt;0,VLOOKUP($C25,EmpAll,COLUMN(Emp!$R$4)+MATCH(AQ$5,DedListItem,0)-1,0),OFFSET(Setup!$E$73,MATCH(AQ$5,DedListItem,0),0,1,1))*AQ$3))),IF(ISNUMBER(AQ$4),AQ$4,IgnoreMin)))))</f>
        <v>0</v>
      </c>
      <c r="AR25" s="148">
        <f t="shared" ca="1" si="10"/>
        <v>183600</v>
      </c>
      <c r="AS25" s="148">
        <f t="shared" ca="1" si="11"/>
        <v>180000</v>
      </c>
      <c r="AT25" s="148" cm="1">
        <f t="array" aca="1" ref="AT25" ca="1">-IF($F25="Terminated",0,IF($AA25=0,0,IF(ISNA(MATCH(AT$5,PayDedList,0)),0,MIN(IF(COUNTIFS(OverEmp,$C25,OverDeduct,AT$5,OverDate,"&lt;"&amp;DATE(YEAR($AC25),MONTH($AC25)+1,1),OverEnd,"&gt;="&amp;DATE(YEAR($AC25),MONTH($AC25),1))&gt;0,SUMPRODUCT((PayEmp=$C25)*(PayDate&lt;=$AC25)*(OFFSET($N$6,1,MATCH(AT$5,PayDedList,0)-1,PayCount,1)))/$AA25*12*AT$3,IF(OR(AT$1="Fixed",AT$1="Not Used"),SUMPRODUCT((PayEmp=$C25)*(PayDate&lt;=$AC25)*(OFFSET($N$6,1,MATCH(AT$5,PayDedList,0)-1,PayCount,1)))/$AA25*12*AT$3,IF(ISNA(MATCH(OFFSET($N$2,0,MATCH(AT$5,PayDedList,0)-1,1,1),EarnListItem,0))=FALSE,SUMPRODUCT((PayEmp=$C25)*(PayDate&lt;=$AC25)*(OFFSET($N$6,1,MATCH(AT$5,PayDedList,0)-1,PayCount,1)))/$AA25*12*AT$3,(MIN(SUMPRODUCT((PayEmp=$C25)*(PayDate&lt;=$AC25)*(ISERROR(SEARCH(PayEarnCode,AT$2)))*(PayEarnType="Monthly")*(PayEarnValues))/$AA25*12,IF(ISNUMBER(OFFSET($N$3,0,MATCH(AT$5,PayDedList,0)-1,1,1)),OFFSET($N$3,0,MATCH(AT$5,PayDedList,0)-1,1,1),IgnoreMin)))*IF(COUNTIFS(EmpNo,$C25,OFFSET(Emp!$R$4,1,MATCH(AT$5,DedListItem,0)-1,EmpCount,1),"&lt;&gt;")&gt;0,VLOOKUP($C25,EmpAll,COLUMN(Emp!$R$4)+MATCH(AT$5,DedListItem,0)-1,0),OFFSET(Setup!$E$73,MATCH(AT$5,DedListItem,0),0,1,1))*AT$3))),IF(ISNUMBER(AT$4),AT$4,IgnoreMin)))))</f>
        <v>0</v>
      </c>
      <c r="AU25" s="148" cm="1">
        <f t="array" aca="1" ref="AU25" ca="1">-IF($F25="Terminated",0,IF($AA25=0,0,IF(ISNA(MATCH(AU$5,PayDedList,0)),0,MIN(IF(COUNTIFS(OverEmp,$C25,OverDeduct,AU$5,OverDate,"&lt;"&amp;DATE(YEAR($AC25),MONTH($AC25)+1,1),OverEnd,"&gt;="&amp;DATE(YEAR($AC25),MONTH($AC25),1))&gt;0,SUMPRODUCT((PayEmp=$C25)*(PayDate&lt;=$AC25)*(OFFSET($N$6,1,MATCH(AU$5,PayDedList,0)-1,PayCount,1)))/$AA25*12*AU$3,IF(OR(AU$1="Fixed",AU$1="Not Used"),SUMPRODUCT((PayEmp=$C25)*(PayDate&lt;=$AC25)*(OFFSET($N$6,1,MATCH(AU$5,PayDedList,0)-1,PayCount,1)))/$AA25*12*AU$3,IF(ISNA(MATCH(OFFSET($N$2,0,MATCH(AU$5,PayDedList,0)-1,1,1),EarnListItem,0))=FALSE,SUMPRODUCT((PayEmp=$C25)*(PayDate&lt;=$AC25)*(OFFSET($N$6,1,MATCH(AU$5,PayDedList,0)-1,PayCount,1)))/$AA25*12*AU$3,(MIN(SUMPRODUCT((PayEmp=$C25)*(PayDate&lt;=$AC25)*(ISERROR(SEARCH(PayEarnCode,AU$2)))*(PayEarnType="Monthly")*(PayEarnValues))/$AA25*12,IF(ISNUMBER(OFFSET($N$3,0,MATCH(AU$5,PayDedList,0)-1,1,1)),OFFSET($N$3,0,MATCH(AU$5,PayDedList,0)-1,1,1),IgnoreMin)))*IF(COUNTIFS(EmpNo,$C25,OFFSET(Emp!$R$4,1,MATCH(AU$5,DedListItem,0)-1,EmpCount,1),"&lt;&gt;")&gt;0,VLOOKUP($C25,EmpAll,COLUMN(Emp!$R$4)+MATCH(AU$5,DedListItem,0)-1,0),OFFSET(Setup!$E$73,MATCH(AU$5,DedListItem,0),0,1,1))*AU$3))),IF(ISNUMBER(AU$4),AU$4,IgnoreMin)))))</f>
        <v>0</v>
      </c>
      <c r="AV25" s="148" cm="1">
        <f t="array" aca="1" ref="AV25" ca="1">-IF($F25="Terminated",0,IF($AA25=0,0,IF(ISNA(MATCH(AV$5,PayDedList,0)),0,MIN(IF(COUNTIFS(OverEmp,$C25,OverDeduct,AV$5,OverDate,"&lt;"&amp;DATE(YEAR($AC25),MONTH($AC25)+1,1),OverEnd,"&gt;="&amp;DATE(YEAR($AC25),MONTH($AC25),1))&gt;0,SUMPRODUCT((PayEmp=$C25)*(PayDate&lt;=$AC25)*(OFFSET($N$6,1,MATCH(AV$5,PayDedList,0)-1,PayCount,1)))/$AA25*12*AV$3,IF(OR(AV$1="Fixed",AV$1="Not Used"),SUMPRODUCT((PayEmp=$C25)*(PayDate&lt;=$AC25)*(OFFSET($N$6,1,MATCH(AV$5,PayDedList,0)-1,PayCount,1)))/$AA25*12*AV$3,IF(ISNA(MATCH(OFFSET($N$2,0,MATCH(AV$5,PayDedList,0)-1,1,1),EarnListItem,0))=FALSE,SUMPRODUCT((PayEmp=$C25)*(PayDate&lt;=$AC25)*(OFFSET($N$6,1,MATCH(AV$5,PayDedList,0)-1,PayCount,1)))/$AA25*12*AV$3,(MIN(SUMPRODUCT((PayEmp=$C25)*(PayDate&lt;=$AC25)*(ISERROR(SEARCH(PayEarnCode,AV$2)))*(PayEarnType="Monthly")*(PayEarnValues))/$AA25*12,IF(ISNUMBER(OFFSET($N$3,0,MATCH(AV$5,PayDedList,0)-1,1,1)),OFFSET($N$3,0,MATCH(AV$5,PayDedList,0)-1,1,1),IgnoreMin)))*IF(COUNTIFS(EmpNo,$C25,OFFSET(Emp!$R$4,1,MATCH(AV$5,DedListItem,0)-1,EmpCount,1),"&lt;&gt;")&gt;0,VLOOKUP($C25,EmpAll,COLUMN(Emp!$R$4)+MATCH(AV$5,DedListItem,0)-1,0),OFFSET(Setup!$E$73,MATCH(AV$5,DedListItem,0),0,1,1))*AV$3))),IF(ISNUMBER(AV$4),AV$4,IgnoreMin)))))</f>
        <v>0</v>
      </c>
      <c r="AW25" s="148" cm="1">
        <f t="array" aca="1" ref="AW25" ca="1">-IF($F25="Terminated",0,IF($AA25=0,0,IF(ISNA(MATCH(AW$5,PayDedList,0)),0,MIN(IF(COUNTIFS(OverEmp,$C25,OverDeduct,AW$5,OverDate,"&lt;"&amp;DATE(YEAR($AC25),MONTH($AC25)+1,1),OverEnd,"&gt;="&amp;DATE(YEAR($AC25),MONTH($AC25),1))&gt;0,SUMPRODUCT((PayEmp=$C25)*(PayDate&lt;=$AC25)*(OFFSET($N$6,1,MATCH(AW$5,PayDedList,0)-1,PayCount,1)))/$AA25*12*AW$3,IF(OR(AW$1="Fixed",AW$1="Not Used"),SUMPRODUCT((PayEmp=$C25)*(PayDate&lt;=$AC25)*(OFFSET($N$6,1,MATCH(AW$5,PayDedList,0)-1,PayCount,1)))/$AA25*12*AW$3,IF(ISNA(MATCH(OFFSET($N$2,0,MATCH(AW$5,PayDedList,0)-1,1,1),EarnListItem,0))=FALSE,SUMPRODUCT((PayEmp=$C25)*(PayDate&lt;=$AC25)*(OFFSET($N$6,1,MATCH(AW$5,PayDedList,0)-1,PayCount,1)))/$AA25*12*AW$3,(MIN(SUMPRODUCT((PayEmp=$C25)*(PayDate&lt;=$AC25)*(ISERROR(SEARCH(PayEarnCode,AW$2)))*(PayEarnType="Monthly")*(PayEarnValues))/$AA25*12,IF(ISNUMBER(OFFSET($N$3,0,MATCH(AW$5,PayDedList,0)-1,1,1)),OFFSET($N$3,0,MATCH(AW$5,PayDedList,0)-1,1,1),IgnoreMin)))*IF(COUNTIFS(EmpNo,$C25,OFFSET(Emp!$R$4,1,MATCH(AW$5,DedListItem,0)-1,EmpCount,1),"&lt;&gt;")&gt;0,VLOOKUP($C25,EmpAll,COLUMN(Emp!$R$4)+MATCH(AW$5,DedListItem,0)-1,0),OFFSET(Setup!$E$73,MATCH(AW$5,DedListItem,0),0,1,1))*AW$3))),IF(ISNUMBER(AW$4),AW$4,IgnoreMin)))))</f>
        <v>0</v>
      </c>
      <c r="AX25" s="148">
        <f t="shared" ca="1" si="12"/>
        <v>180000</v>
      </c>
      <c r="AY25" s="148">
        <f t="shared" ca="1" si="13"/>
        <v>3600</v>
      </c>
      <c r="AZ25" s="148">
        <f ca="1">IF(ISNUMBER($AL25),($AR25*$AL25)-$AI25-$AK25,MAX(0,IF($AL25="B",IF($AR25&lt;Setup!$C$32,($AR25*Setup!$D$32)-$AI25-$AK25,(($AR25-VLOOKUP($AR25,TaxAll2,1,1))*OFFSET(Setup!$D$32,MATCH($AR25,TaxBracket2,1),0,1,1))+OFFSET(Setup!$E$31,MATCH($AR25,TaxBracket2,1),0,1,1)-$AI25-$AK25),IF($AR25&lt;Setup!$C$21,($AR25*Setup!$D$21)-$AI25-$AK25,(($AR25-VLOOKUP($AR25,TaxAll1,1,1))*OFFSET(Setup!$D$21,MATCH($AR25,TaxBracket1,1),0,1,1))+OFFSET(Setup!$E$20,MATCH($AR25,TaxBracket1,1),0,1,1)-$AI25-$AK25))))</f>
        <v>11445</v>
      </c>
      <c r="BA25" s="148">
        <f ca="1">IF(ISNUMBER($AL25),($AX25*$AL25)-$AI25-$AK25,MAX(0,IF($AL25="B",IF($AX25&lt;Setup!$C$32,($AX25*Setup!$D$32)-$AI25-$AK25,(($AX25-VLOOKUP($AX25,TaxAll2,1,1))*OFFSET(Setup!$D$32,MATCH($AX25,TaxBracket2,1),0,1,1))+OFFSET(Setup!$E$31,MATCH($AX25,TaxBracket2,1),0,1,1)-$AI25-$AK25),IF($AX25&lt;Setup!$C$21,($AX25*Setup!$D$21)-$AI25-$AK25,(($AX25-VLOOKUP($AX25,TaxAll1,1,1))*OFFSET(Setup!$D$21,MATCH($AX25,TaxBracket1,1),0,1,1))+OFFSET(Setup!$E$20,MATCH($AX25,TaxBracket1,1),0,1,1)-$AI25-$AK25))))</f>
        <v>10797</v>
      </c>
      <c r="BB25" s="148">
        <f t="shared" ca="1" si="14"/>
        <v>648</v>
      </c>
      <c r="BC25" s="150">
        <f t="shared" ca="1" si="15"/>
        <v>0.98039215686274506</v>
      </c>
      <c r="BD25" s="150">
        <f t="shared" ca="1" si="16"/>
        <v>1.9607843137254902E-2</v>
      </c>
      <c r="BE25" s="148">
        <f t="shared" ca="1" si="17"/>
        <v>183600</v>
      </c>
    </row>
    <row r="26" spans="1:57" ht="16.149999999999999" customHeight="1" x14ac:dyDescent="0.25">
      <c r="A26" s="10" t="str" cm="1">
        <f t="array" aca="1" ref="A26" ca="1">IF(ROW($A26)-ROW($A$6)&gt;EmpCount*12,"-",TEXT($B26,"yyyy")&amp;TEXT($B26,"mm")&amp;"-"&amp;$C26)</f>
        <v>202304-EXS005</v>
      </c>
      <c r="B26" s="137" cm="1">
        <f t="array" aca="1" ref="B26" ca="1">IF(ROW($A26)-ROW($A$6)&gt;EmpCount*12,Setup!$D$12,DATE(YEAR(Setup!$F$12),MONTH(Setup!$F$12)+ROUNDDOWN((ROW($A26)-ROW($A$6)-1)/EmpCount,0),IF(Setup!$C$14&gt;DAY(DATE(YEAR(Setup!$F$12),MONTH(Setup!$F$12)+ROUNDDOWN((ROW($A26)-ROW($A$6)-1)/EmpCount,0)+1,0)),DAY(DATE(YEAR(Setup!$F$12),MONTH(Setup!$F$12)+ROUNDDOWN((ROW($A26)-ROW($A$6)-1)/EmpCount,0)+1,0)),Setup!$C$14)))</f>
        <v>45041</v>
      </c>
      <c r="C26" s="101" t="str" cm="1">
        <f t="array" aca="1" ref="C26" ca="1">IF(ROW($A26)-ROW($A$6)&gt;EmpCount*12,"-",OFFSET(Emp!$A$4,ROW($A26)-ROW($A$6)-IF(ROW($A26)-ROW($A$6)&gt;EmpCount,ROUNDDOWN((ROW($A26)-ROW($A$6)-1)/EmpCount,0)*EmpCount,0),0,1,1))</f>
        <v>EXS005</v>
      </c>
      <c r="D26" s="10" t="str">
        <f ca="1">IF(ISNA(VLOOKUP($C26,EmpAll,COLUMN(Emp!$B$4),0)),"-",VLOOKUP($C26,EmpAll,COLUMN(Emp!$B$4),0))</f>
        <v>Miller R</v>
      </c>
      <c r="E26" s="145" t="str">
        <f ca="1">IF(ISNA(VLOOKUP($C26,EmpAll,COLUMN(Emp!$C$4),0)),"-",VLOOKUP($C26,EmpAll,COLUMN(Emp!$C$4),0))</f>
        <v>S</v>
      </c>
      <c r="F26" s="101" t="str">
        <f ca="1">IF(ISNA(VLOOKUP($C26,EmpAll,COLUMN(Emp!$A$4),0)),"-",IF(AND(VLOOKUP($C26,EmpAll,COLUMN(Emp!$E$4),0)&lt;&gt;0,VLOOKUP($C26,EmpAll,COLUMN(Emp!$E$4),0)&gt;=DATE(YEAR($AC26),MONTH($AC26)+1,0)),"Inactive",IF(AND(VLOOKUP($C26,EmpAll,COLUMN(Emp!$F$4),0)&lt;&gt;0,VLOOKUP($C26,EmpAll,COLUMN(Emp!$F$4),0)&lt;=DATE(YEAR($AC26),MONTH($AC26),0)),"Terminated","Active")))</f>
        <v>Active</v>
      </c>
      <c r="G26" s="133" cm="1">
        <f t="array" aca="1" ref="G26" ca="1">IF($F26&lt;&gt;"Active",0,IF(COUNTIFS(OverEmp,$C26,OverEarn,G$2,OverDate,"&lt;"&amp;DATE(YEAR($AC26),MONTH($AC26)+1,1),OverEnd,"&gt;="&amp;DATE(YEAR($AC26),MONTH($AC26),1))&gt;0,SUMIFS(OverValue,OverEmp,$C26,OverEarn,G$2,OverDate,"&lt;"&amp;DATE(YEAR($AC26),MONTH($AC26)+1,1),OverEnd,"&gt;="&amp;DATE(YEAR($AC26),MONTH($AC26),1)),IF(AND($AC26&gt;=Setup!$E$10,SUMIFS(EmpIncrease,EmpCode,$C26)&gt;0),SUMIFS(EmpIncrease,EmpCode,$C26),SUMIFS(EmpSalary,EmpCode,$C26))))</f>
        <v>10000</v>
      </c>
      <c r="H26" s="133" cm="1">
        <f t="array" aca="1" ref="H26" ca="1">IF($F26&lt;&gt;"Active",0,IF(COUNTIFS(OverEmp,$C26,OverEarn,H$2,OverDate,"&lt;"&amp;DATE(YEAR($AC26),MONTH($AC26)+1,1),OverEnd,"&gt;="&amp;DATE(YEAR($AC26),MONTH($AC26),1))&gt;0,SUMIFS(OverValue,OverEmp,$C26,OverEarn,H$2,OverDate,"&lt;"&amp;DATE(YEAR($AC26),MONTH($AC26)+1,1),OverEnd,"&gt;="&amp;DATE(YEAR($AC26),MONTH($AC26),1)),0))</f>
        <v>0</v>
      </c>
      <c r="I26" s="133" cm="1">
        <f t="array" aca="1" ref="I26" ca="1">IF($F26&lt;&gt;"Active",0,IF(COUNTIFS(OverEmp,$C26,OverEarn,I$2,OverDate,"&lt;"&amp;DATE(YEAR($AC26),MONTH($AC26)+1,1),OverEnd,"&gt;="&amp;DATE(YEAR($AC26),MONTH($AC26),1))&gt;0,SUMIFS(OverValue,OverEmp,$C26,OverEarn,I$2,OverDate,"&lt;"&amp;DATE(YEAR($AC26),MONTH($AC26)+1,1),OverEnd,"&gt;="&amp;DATE(YEAR($AC26),MONTH($AC26),1)),IF(MONTH(B26)=Setup!$C$15,SUMIFS(EmpBonus,EmpCode,$C26),0)))</f>
        <v>0</v>
      </c>
      <c r="J26" s="133" cm="1">
        <f t="array" aca="1" ref="J26" ca="1">IF($F26&lt;&gt;"Active",0,IF(COUNTIFS(OverEmp,$C26,OverEarn,J$2,OverDate,"&lt;"&amp;DATE(YEAR($AC26),MONTH($AC26)+1,1),OverEnd,"&gt;="&amp;DATE(YEAR($AC26),MONTH($AC26),1))&gt;0,SUMIFS(OverValue,OverEmp,$C26,OverEarn,J$2,OverDate,"&lt;"&amp;DATE(YEAR($AC26),MONTH($AC26)+1,1),OverEnd,"&gt;="&amp;DATE(YEAR($AC26),MONTH($AC26),1)),0))</f>
        <v>0</v>
      </c>
      <c r="K26" s="133" cm="1">
        <f t="array" aca="1" ref="K26" ca="1">IF($F26&lt;&gt;"Active",0,IF(COUNTIFS(OverEmp,$C26,OverEarn,K$2,OverDate,"&lt;"&amp;DATE(YEAR($AC26),MONTH($AC26)+1,1),OverEnd,"&gt;="&amp;DATE(YEAR($AC26),MONTH($AC26),1))&gt;0,SUMIFS(OverValue,OverEmp,$C26,OverEarn,K$2,OverDate,"&lt;"&amp;DATE(YEAR($AC26),MONTH($AC26)+1,1),OverEnd,"&gt;="&amp;DATE(YEAR($AC26),MONTH($AC26),1)),0))</f>
        <v>0</v>
      </c>
      <c r="L26" s="185">
        <f t="shared" ca="1" si="0"/>
        <v>10000</v>
      </c>
      <c r="M26" s="182" cm="1">
        <f t="array" aca="1" ref="M26" ca="1">IF(COUNTIFS(OverEmp,$C26,OverTax,M$5,OverDate,"&lt;"&amp;DATE(YEAR($AC26),MONTH($AC26)+1,1),OverEnd,"&gt;="&amp;DATE(YEAR($AC26),MONTH($AC26),1))&gt;0,SUMIFS(OverValue,OverEmp,$C26,OverTax,M$5,OverDate,"&lt;"&amp;DATE(YEAR($AC26),MONTH($AC26)+1,1),OverEnd,"&gt;="&amp;DATE(YEAR($AC26),MONTH($AC26),1)),(($BA26/12*$AA26)+(BB26*IF(1-$BC26=0,0,BD26/(1-$BC26))))-IF($F26="Terminated",0,SUMIFS(PayTaxDeduct,PayDate,"&lt;"&amp;$AC26,PayEmp,$C26)))</f>
        <v>0</v>
      </c>
      <c r="N26" s="133" cm="1">
        <f t="array" aca="1" ref="N26" ca="1">IF($F26="Terminated",0,IF($AA26=0,0,IF(ISNA(MATCH(N$5,DedListItem,0)),0,IF(COUNTIFS(OverEmp,$C26,OverDeduct,N$5,OverDate,"&lt;"&amp;DATE(YEAR($AC26),MONTH($AC26)+1,1),OverEnd,"&gt;="&amp;DATE(YEAR($AC26),MONTH($AC26),1))&gt;0,SUMIFS(OverValue,OverEmp,$C26,OverDeduct,N$5,OverDate,"&lt;"&amp;DATE(YEAR($AC26),MONTH($AC26)+1,1),OverEnd,"&gt;="&amp;DATE(YEAR($AC26),MONTH($AC26),1)),IF(OR(N$2="Fixed",N$2="Not Used"),(IF(COUNTIFS(EmpNo,$C26,OFFSET(Emp!$R$4,1,MATCH(N$5,DedListItem,0)-1,EmpCount,1),"&lt;&gt;")&gt;0,VLOOKUP($C26,EmpAll,COLUMN(Emp!$R$4)+MATCH(N$5,DedListItem,0)-1,0),OFFSET(Setup!$E$73,MATCH(N$5,DedListItem,0),0,1,1))*$AA26)-SUMIFS(OFFSET(N$6,1,0,PayCount,1),PayDate,"&lt;"&amp;$AC26,PayEmp,$C26),IF(ISNA(MATCH(N$2,EarnListItem,0))=FALSE,IF(OFFSET(Setup!$G$73,MATCH(N$5,DedListItem,0),0,1,1)="Taxable",SUMPRODUCT((PayEmp=$C26)*(PayDate&lt;=$AC26)*(PayEarnCode=N$2)*(PayEarnTax)*(PayEarnValues)),SUMPRODUCT((PayEmp=$C26)*(PayDate&lt;=$AC26)*(PayEarnCode=N$2)*(PayEarnValues)))*IF(COUNTIFS(EmpNo,$C26,OFFSET(Emp!$R$4,1,MATCH(N$5,DedListItem,0)-1,EmpCount,1),"&lt;&gt;")&gt;0,VLOOKUP($C26,EmpAll,COLUMN(Emp!$R$4)+MATCH(N$5,DedListItem,0)-1,0),OFFSET(Setup!$E$73,MATCH(N$5,DedListItem,0),0,1,1)),(MIN(IF(OFFSET(Setup!$G$73,MATCH(N$5,DedListItem,0),0,1,1)="Taxable",SUMPRODUCT((PayEmp=$C26)*(PayDate&lt;=$AC26)*(ISERROR(SEARCH(PayEarnCode,N$4)))*(PayEarnTax)*(PayEarnValues)),SUMPRODUCT((PayEmp=$C26)*(PayDate&lt;=$AC26)*(ISERROR(SEARCH(PayEarnCode,N$4)))*(PayEarnValues))),IF(ISNUMBER(N$3),N$3/12*$AA26,IgnoreMin)))*IF(COUNTIFS(EmpNo,$C26,OFFSET(Emp!$R$4,1,MATCH(N$5,DedListItem,0)-1,EmpCount,1),"&lt;&gt;")&gt;0,VLOOKUP($C26,EmpAll,COLUMN(Emp!$R$4)+MATCH(N$5,DedListItem,0)-1,0),OFFSET(Setup!$E$73,MATCH(N$5,DedListItem,0),0,1,1)))-SUMIFS(OFFSET(N$6,1,0,PayCount,1),PayDate,"&lt;"&amp;$AC26,PayEmp,$C26))))))</f>
        <v>100</v>
      </c>
      <c r="O26" s="133" cm="1">
        <f t="array" aca="1" ref="O26" ca="1">IF($F26="Terminated",0,IF($AA26=0,0,IF(ISNA(MATCH(O$5,DedListItem,0)),0,IF(COUNTIFS(OverEmp,$C26,OverDeduct,O$5,OverDate,"&lt;"&amp;DATE(YEAR($AC26),MONTH($AC26)+1,1),OverEnd,"&gt;="&amp;DATE(YEAR($AC26),MONTH($AC26),1))&gt;0,SUMIFS(OverValue,OverEmp,$C26,OverDeduct,O$5,OverDate,"&lt;"&amp;DATE(YEAR($AC26),MONTH($AC26)+1,1),OverEnd,"&gt;="&amp;DATE(YEAR($AC26),MONTH($AC26),1)),IF(OR(O$2="Fixed",O$2="Not Used"),(IF(COUNTIFS(EmpNo,$C26,OFFSET(Emp!$R$4,1,MATCH(O$5,DedListItem,0)-1,EmpCount,1),"&lt;&gt;")&gt;0,VLOOKUP($C26,EmpAll,COLUMN(Emp!$R$4)+MATCH(O$5,DedListItem,0)-1,0),OFFSET(Setup!$E$73,MATCH(O$5,DedListItem,0),0,1,1))*$AA26)-SUMIFS(OFFSET(O$6,1,0,PayCount,1),PayDate,"&lt;"&amp;$AC26,PayEmp,$C26),IF(ISNA(MATCH(O$2,EarnListItem,0))=FALSE,IF(OFFSET(Setup!$G$73,MATCH(O$5,DedListItem,0),0,1,1)="Taxable",SUMPRODUCT((PayEmp=$C26)*(PayDate&lt;=$AC26)*(PayEarnCode=O$2)*(PayEarnTax)*(PayEarnValues)),SUMPRODUCT((PayEmp=$C26)*(PayDate&lt;=$AC26)*(PayEarnCode=O$2)*(PayEarnValues)))*IF(COUNTIFS(EmpNo,$C26,OFFSET(Emp!$R$4,1,MATCH(O$5,DedListItem,0)-1,EmpCount,1),"&lt;&gt;")&gt;0,VLOOKUP($C26,EmpAll,COLUMN(Emp!$R$4)+MATCH(O$5,DedListItem,0)-1,0),OFFSET(Setup!$E$73,MATCH(O$5,DedListItem,0),0,1,1)),(MIN(IF(OFFSET(Setup!$G$73,MATCH(O$5,DedListItem,0),0,1,1)="Taxable",SUMPRODUCT((PayEmp=$C26)*(PayDate&lt;=$AC26)*(ISERROR(SEARCH(PayEarnCode,O$4)))*(PayEarnTax)*(PayEarnValues)),SUMPRODUCT((PayEmp=$C26)*(PayDate&lt;=$AC26)*(ISERROR(SEARCH(PayEarnCode,O$4)))*(PayEarnValues))),IF(ISNUMBER(O$3),O$3/12*$AA26,IgnoreMin)))*IF(COUNTIFS(EmpNo,$C26,OFFSET(Emp!$R$4,1,MATCH(O$5,DedListItem,0)-1,EmpCount,1),"&lt;&gt;")&gt;0,VLOOKUP($C26,EmpAll,COLUMN(Emp!$R$4)+MATCH(O$5,DedListItem,0)-1,0),OFFSET(Setup!$E$73,MATCH(O$5,DedListItem,0),0,1,1)))-SUMIFS(OFFSET(O$6,1,0,PayCount,1),PayDate,"&lt;"&amp;$AC26,PayEmp,$C26))))))</f>
        <v>0</v>
      </c>
      <c r="P26" s="133" cm="1">
        <f t="array" aca="1" ref="P26" ca="1">IF($F26="Terminated",0,IF($AA26=0,0,IF(ISNA(MATCH(P$5,DedListItem,0)),0,IF(COUNTIFS(OverEmp,$C26,OverDeduct,P$5,OverDate,"&lt;"&amp;DATE(YEAR($AC26),MONTH($AC26)+1,1),OverEnd,"&gt;="&amp;DATE(YEAR($AC26),MONTH($AC26),1))&gt;0,SUMIFS(OverValue,OverEmp,$C26,OverDeduct,P$5,OverDate,"&lt;"&amp;DATE(YEAR($AC26),MONTH($AC26)+1,1),OverEnd,"&gt;="&amp;DATE(YEAR($AC26),MONTH($AC26),1)),IF(OR(P$2="Fixed",P$2="Not Used"),(IF(COUNTIFS(EmpNo,$C26,OFFSET(Emp!$R$4,1,MATCH(P$5,DedListItem,0)-1,EmpCount,1),"&lt;&gt;")&gt;0,VLOOKUP($C26,EmpAll,COLUMN(Emp!$R$4)+MATCH(P$5,DedListItem,0)-1,0),OFFSET(Setup!$E$73,MATCH(P$5,DedListItem,0),0,1,1))*$AA26)-SUMIFS(OFFSET(P$6,1,0,PayCount,1),PayDate,"&lt;"&amp;$AC26,PayEmp,$C26),IF(ISNA(MATCH(P$2,EarnListItem,0))=FALSE,IF(OFFSET(Setup!$G$73,MATCH(P$5,DedListItem,0),0,1,1)="Taxable",SUMPRODUCT((PayEmp=$C26)*(PayDate&lt;=$AC26)*(PayEarnCode=P$2)*(PayEarnTax)*(PayEarnValues)),SUMPRODUCT((PayEmp=$C26)*(PayDate&lt;=$AC26)*(PayEarnCode=P$2)*(PayEarnValues)))*IF(COUNTIFS(EmpNo,$C26,OFFSET(Emp!$R$4,1,MATCH(P$5,DedListItem,0)-1,EmpCount,1),"&lt;&gt;")&gt;0,VLOOKUP($C26,EmpAll,COLUMN(Emp!$R$4)+MATCH(P$5,DedListItem,0)-1,0),OFFSET(Setup!$E$73,MATCH(P$5,DedListItem,0),0,1,1)),(MIN(IF(OFFSET(Setup!$G$73,MATCH(P$5,DedListItem,0),0,1,1)="Taxable",SUMPRODUCT((PayEmp=$C26)*(PayDate&lt;=$AC26)*(ISERROR(SEARCH(PayEarnCode,P$4)))*(PayEarnTax)*(PayEarnValues)),SUMPRODUCT((PayEmp=$C26)*(PayDate&lt;=$AC26)*(ISERROR(SEARCH(PayEarnCode,P$4)))*(PayEarnValues))),IF(ISNUMBER(P$3),P$3/12*$AA26,IgnoreMin)))*IF(COUNTIFS(EmpNo,$C26,OFFSET(Emp!$R$4,1,MATCH(P$5,DedListItem,0)-1,EmpCount,1),"&lt;&gt;")&gt;0,VLOOKUP($C26,EmpAll,COLUMN(Emp!$R$4)+MATCH(P$5,DedListItem,0)-1,0),OFFSET(Setup!$E$73,MATCH(P$5,DedListItem,0),0,1,1)))-SUMIFS(OFFSET(P$6,1,0,PayCount,1),PayDate,"&lt;"&amp;$AC26,PayEmp,$C26))))))</f>
        <v>0</v>
      </c>
      <c r="Q26" s="133" cm="1">
        <f t="array" aca="1" ref="Q26" ca="1">IF($F26="Terminated",0,IF($AA26=0,0,IF(ISNA(MATCH(Q$5,DedListItem,0)),0,IF(COUNTIFS(OverEmp,$C26,OverDeduct,Q$5,OverDate,"&lt;"&amp;DATE(YEAR($AC26),MONTH($AC26)+1,1),OverEnd,"&gt;="&amp;DATE(YEAR($AC26),MONTH($AC26),1))&gt;0,SUMIFS(OverValue,OverEmp,$C26,OverDeduct,Q$5,OverDate,"&lt;"&amp;DATE(YEAR($AC26),MONTH($AC26)+1,1),OverEnd,"&gt;="&amp;DATE(YEAR($AC26),MONTH($AC26),1)),IF(OR(Q$2="Fixed",Q$2="Not Used"),(IF(COUNTIFS(EmpNo,$C26,OFFSET(Emp!$R$4,1,MATCH(Q$5,DedListItem,0)-1,EmpCount,1),"&lt;&gt;")&gt;0,VLOOKUP($C26,EmpAll,COLUMN(Emp!$R$4)+MATCH(Q$5,DedListItem,0)-1,0),OFFSET(Setup!$E$73,MATCH(Q$5,DedListItem,0),0,1,1))*$AA26)-SUMIFS(OFFSET(Q$6,1,0,PayCount,1),PayDate,"&lt;"&amp;$AC26,PayEmp,$C26),IF(ISNA(MATCH(Q$2,EarnListItem,0))=FALSE,IF(OFFSET(Setup!$G$73,MATCH(Q$5,DedListItem,0),0,1,1)="Taxable",SUMPRODUCT((PayEmp=$C26)*(PayDate&lt;=$AC26)*(PayEarnCode=Q$2)*(PayEarnTax)*(PayEarnValues)),SUMPRODUCT((PayEmp=$C26)*(PayDate&lt;=$AC26)*(PayEarnCode=Q$2)*(PayEarnValues)))*IF(COUNTIFS(EmpNo,$C26,OFFSET(Emp!$R$4,1,MATCH(Q$5,DedListItem,0)-1,EmpCount,1),"&lt;&gt;")&gt;0,VLOOKUP($C26,EmpAll,COLUMN(Emp!$R$4)+MATCH(Q$5,DedListItem,0)-1,0),OFFSET(Setup!$E$73,MATCH(Q$5,DedListItem,0),0,1,1)),(MIN(IF(OFFSET(Setup!$G$73,MATCH(Q$5,DedListItem,0),0,1,1)="Taxable",SUMPRODUCT((PayEmp=$C26)*(PayDate&lt;=$AC26)*(ISERROR(SEARCH(PayEarnCode,Q$4)))*(PayEarnTax)*(PayEarnValues)),SUMPRODUCT((PayEmp=$C26)*(PayDate&lt;=$AC26)*(ISERROR(SEARCH(PayEarnCode,Q$4)))*(PayEarnValues))),IF(ISNUMBER(Q$3),Q$3/12*$AA26,IgnoreMin)))*IF(COUNTIFS(EmpNo,$C26,OFFSET(Emp!$R$4,1,MATCH(Q$5,DedListItem,0)-1,EmpCount,1),"&lt;&gt;")&gt;0,VLOOKUP($C26,EmpAll,COLUMN(Emp!$R$4)+MATCH(Q$5,DedListItem,0)-1,0),OFFSET(Setup!$E$73,MATCH(Q$5,DedListItem,0),0,1,1)))-SUMIFS(OFFSET(Q$6,1,0,PayCount,1),PayDate,"&lt;"&amp;$AC26,PayEmp,$C26))))))</f>
        <v>0</v>
      </c>
      <c r="R26" s="185">
        <f t="shared" ca="1" si="1"/>
        <v>100</v>
      </c>
      <c r="S26" s="139">
        <f t="shared" ca="1" si="2"/>
        <v>9900</v>
      </c>
      <c r="T26" s="133" cm="1">
        <f t="array" aca="1" ref="T26" ca="1">IF($F26="Terminated",0,IF($AA26=0,0,IF(ISNA(MATCH(T$5,CompListItem,0)),0,IF(COUNTIFS(OverEmp,$C26,OverComp,T$5,OverDate,"&lt;"&amp;DATE(YEAR($AC26),MONTH($AC26)+1,1),OverEnd,"&gt;="&amp;DATE(YEAR($AC26),MONTH($AC26),1))&gt;0,SUMIFS(OverValue,OverEmp,$C26,OverComp,T$5,OverDate,"&lt;"&amp;DATE(YEAR($AC26),MONTH($AC26)+1,1),OverEnd,"&gt;="&amp;DATE(YEAR($AC26),MONTH($AC26),1)),IF(OR(T$2="Fixed",T$2="Not Used"),(OFFSET(Setup!$E$81,MATCH(T$5,CompListItem,0),0,1,1)*$AA26)-SUMIFS(OFFSET(T$6,1,0,PayCount,1),PayDate,"&lt;"&amp;$AC26,PayEmp,$C26),IF(ISNA(MATCH(T$2,DedListItem,0))=FALSE,(SUMPRODUCT((PayEmp=$C26)*(PayDate&lt;=$AC26)*(PayDedList=T$2)*(PayDedValues))*OFFSET(Setup!$E$81,MATCH(T$5,CompListItem,0),0,1,1))-SUMIFS(OFFSET(T$6,1,0,PayCount,1),PayDate,"&lt;"&amp;$AC26,PayEmp,$C26),(MIN(IF(OFFSET(Setup!$G$81,MATCH(T$5,CompListItem,0),0,1,1)="Taxable",SUMPRODUCT((PayEmp=$C26)*(PayDate&lt;=$AC26)*(ISERROR(SEARCH(PayEarnCode,T$4)))*(PayEarnTax)*(PayEarnValues)),SUMPRODUCT((PayEmp=$C26)*(PayDate&lt;=$AC26)*(ISERROR(SEARCH(PayEarnCode,T$4)))*(PayEarnValues))),IF(ISNUMBER(T$3),T$3/12*$AA26,IgnoreMin)))*OFFSET(Setup!$E$81,MATCH(T$5,CompListItem,0),0,1,1)-SUMIFS(OFFSET(T$6,1,0,PayCount,1),PayDate,"&lt;"&amp;$AC26,PayEmp,$C26)))))))</f>
        <v>100</v>
      </c>
      <c r="U26" s="133" cm="1">
        <f t="array" aca="1" ref="U26" ca="1">IF($F26="Terminated",0,IF($AA26=0,0,IF(ISNA(MATCH(U$5,CompListItem,0)),0,IF(COUNTIFS(OverEmp,$C26,OverComp,U$5,OverDate,"&lt;"&amp;DATE(YEAR($AC26),MONTH($AC26)+1,1),OverEnd,"&gt;="&amp;DATE(YEAR($AC26),MONTH($AC26),1))&gt;0,SUMIFS(OverValue,OverEmp,$C26,OverComp,U$5,OverDate,"&lt;"&amp;DATE(YEAR($AC26),MONTH($AC26)+1,1),OverEnd,"&gt;="&amp;DATE(YEAR($AC26),MONTH($AC26),1)),IF(OR(U$2="Fixed",U$2="Not Used"),(OFFSET(Setup!$E$81,MATCH(U$5,CompListItem,0),0,1,1)*$AA26)-SUMIFS(OFFSET(U$6,1,0,PayCount,1),PayDate,"&lt;"&amp;$AC26,PayEmp,$C26),IF(ISNA(MATCH(U$2,DedListItem,0))=FALSE,(SUMPRODUCT((PayEmp=$C26)*(PayDate&lt;=$AC26)*(PayDedList=U$2)*(PayDedValues))*OFFSET(Setup!$E$81,MATCH(U$5,CompListItem,0),0,1,1))-SUMIFS(OFFSET(U$6,1,0,PayCount,1),PayDate,"&lt;"&amp;$AC26,PayEmp,$C26),(MIN(IF(OFFSET(Setup!$G$81,MATCH(U$5,CompListItem,0),0,1,1)="Taxable",SUMPRODUCT((PayEmp=$C26)*(PayDate&lt;=$AC26)*(ISERROR(SEARCH(PayEarnCode,U$4)))*(PayEarnTax)*(PayEarnValues)),SUMPRODUCT((PayEmp=$C26)*(PayDate&lt;=$AC26)*(ISERROR(SEARCH(PayEarnCode,U$4)))*(PayEarnValues))),IF(ISNUMBER(U$3),U$3/12*$AA26,IgnoreMin)))*OFFSET(Setup!$E$81,MATCH(U$5,CompListItem,0),0,1,1)-SUMIFS(OFFSET(U$6,1,0,PayCount,1),PayDate,"&lt;"&amp;$AC26,PayEmp,$C26)))))))</f>
        <v>100</v>
      </c>
      <c r="V26" s="133" cm="1">
        <f t="array" aca="1" ref="V26" ca="1">IF($F26="Terminated",0,IF($AA26=0,0,IF(ISNA(MATCH(V$5,CompListItem,0)),0,IF(COUNTIFS(OverEmp,$C26,OverComp,V$5,OverDate,"&lt;"&amp;DATE(YEAR($AC26),MONTH($AC26)+1,1),OverEnd,"&gt;="&amp;DATE(YEAR($AC26),MONTH($AC26),1))&gt;0,SUMIFS(OverValue,OverEmp,$C26,OverComp,V$5,OverDate,"&lt;"&amp;DATE(YEAR($AC26),MONTH($AC26)+1,1),OverEnd,"&gt;="&amp;DATE(YEAR($AC26),MONTH($AC26),1)),IF(OR(V$2="Fixed",V$2="Not Used"),(OFFSET(Setup!$E$81,MATCH(V$5,CompListItem,0),0,1,1)*$AA26)-SUMIFS(OFFSET(V$6,1,0,PayCount,1),PayDate,"&lt;"&amp;$AC26,PayEmp,$C26),IF(ISNA(MATCH(V$2,DedListItem,0))=FALSE,(SUMPRODUCT((PayEmp=$C26)*(PayDate&lt;=$AC26)*(PayDedList=V$2)*(PayDedValues))*OFFSET(Setup!$E$81,MATCH(V$5,CompListItem,0),0,1,1))-SUMIFS(OFFSET(V$6,1,0,PayCount,1),PayDate,"&lt;"&amp;$AC26,PayEmp,$C26),(MIN(IF(OFFSET(Setup!$G$81,MATCH(V$5,CompListItem,0),0,1,1)="Taxable",SUMPRODUCT((PayEmp=$C26)*(PayDate&lt;=$AC26)*(ISERROR(SEARCH(PayEarnCode,V$4)))*(PayEarnTax)*(PayEarnValues)),SUMPRODUCT((PayEmp=$C26)*(PayDate&lt;=$AC26)*(ISERROR(SEARCH(PayEarnCode,V$4)))*(PayEarnValues))),IF(ISNUMBER(V$3),V$3/12*$AA26,IgnoreMin)))*OFFSET(Setup!$E$81,MATCH(V$5,CompListItem,0),0,1,1)-SUMIFS(OFFSET(V$6,1,0,PayCount,1),PayDate,"&lt;"&amp;$AC26,PayEmp,$C26)))))))</f>
        <v>0</v>
      </c>
      <c r="W26" s="133" cm="1">
        <f t="array" aca="1" ref="W26" ca="1">IF($F26="Terminated",0,IF($AA26=0,0,IF(ISNA(MATCH(W$5,CompListItem,0)),0,IF(COUNTIFS(OverEmp,$C26,OverComp,W$5,OverDate,"&lt;"&amp;DATE(YEAR($AC26),MONTH($AC26)+1,1),OverEnd,"&gt;="&amp;DATE(YEAR($AC26),MONTH($AC26),1))&gt;0,SUMIFS(OverValue,OverEmp,$C26,OverComp,W$5,OverDate,"&lt;"&amp;DATE(YEAR($AC26),MONTH($AC26)+1,1),OverEnd,"&gt;="&amp;DATE(YEAR($AC26),MONTH($AC26),1)),IF(OR(W$2="Fixed",W$2="Not Used"),(OFFSET(Setup!$E$81,MATCH(W$5,CompListItem,0),0,1,1)*$AA26)-SUMIFS(OFFSET(W$6,1,0,PayCount,1),PayDate,"&lt;"&amp;$AC26,PayEmp,$C26),IF(ISNA(MATCH(W$2,DedListItem,0))=FALSE,(SUMPRODUCT((PayEmp=$C26)*(PayDate&lt;=$AC26)*(PayDedList=W$2)*(PayDedValues))*OFFSET(Setup!$E$81,MATCH(W$5,CompListItem,0),0,1,1))-SUMIFS(OFFSET(W$6,1,0,PayCount,1),PayDate,"&lt;"&amp;$AC26,PayEmp,$C26),(MIN(IF(OFFSET(Setup!$G$81,MATCH(W$5,CompListItem,0),0,1,1)="Taxable",SUMPRODUCT((PayEmp=$C26)*(PayDate&lt;=$AC26)*(ISERROR(SEARCH(PayEarnCode,W$4)))*(PayEarnTax)*(PayEarnValues)),SUMPRODUCT((PayEmp=$C26)*(PayDate&lt;=$AC26)*(ISERROR(SEARCH(PayEarnCode,W$4)))*(PayEarnValues))),IF(ISNUMBER(W$3),W$3/12*$AA26,IgnoreMin)))*OFFSET(Setup!$E$81,MATCH(W$5,CompListItem,0),0,1,1)-SUMIFS(OFFSET(W$6,1,0,PayCount,1),PayDate,"&lt;"&amp;$AC26,PayEmp,$C26)))))))</f>
        <v>0</v>
      </c>
      <c r="X26" s="185">
        <f t="shared" ca="1" si="3"/>
        <v>200</v>
      </c>
      <c r="Y26" s="139">
        <f t="shared" ca="1" si="4"/>
        <v>10200</v>
      </c>
      <c r="Z26" s="139">
        <f t="shared" ca="1" si="5"/>
        <v>300</v>
      </c>
      <c r="AA26" s="146">
        <f ca="1">IF(OR($B26&lt;=Setup!$E$12,$B26&gt;=Setup!$D$12+1),0,IF($F26&lt;&gt;"Active",0,IF($AE26="Yes",$AB26,((YEAR($AC26)*12)+MONTH($AC26))-((YEAR($AD26)*12)+MONTH($AD26)-1))))</f>
        <v>2</v>
      </c>
      <c r="AB26" s="146">
        <f ca="1">IF(OR($B26&lt;=Setup!$E$12,$B26&gt;=Setup!$D$12+1),0,((YEAR($AC26)*12)+MONTH($AC26))-((YEAR(Setup!$E$12)*12)+MONTH(Setup!$E$12)))</f>
        <v>2</v>
      </c>
      <c r="AC26" s="186">
        <f t="shared" ca="1" si="6"/>
        <v>45041</v>
      </c>
      <c r="AD26" s="144">
        <f ca="1">IF(ISNA(VLOOKUP($C26,EmpAll,COLUMN(Emp!$E$4),0)),$AC26,IF(VLOOKUP($C26,EmpAll,COLUMN(Emp!$E$4),0)&lt;=Setup!$E$12,DATE(YEAR(Setup!$E$12),MONTH(Setup!$E$12)+1,1),VLOOKUP($C26,EmpAll,COLUMN(Emp!$E$4),0)))</f>
        <v>44986</v>
      </c>
      <c r="AE26" s="144" t="str">
        <f ca="1">IF(ISNA(VLOOKUP($C26,EmpAll,COLUMN(Emp!$G$1),0)),"-",IF(VLOOKUP($C26,EmpAll,COLUMN(Emp!$G$1),0)=0,"-",VLOOKUP($C26,EmpAll,COLUMN(Emp!$G$1),0)))</f>
        <v>-</v>
      </c>
      <c r="AF26" s="145">
        <f ca="1">IF(A26=PaySlip!$G$3,1,0)</f>
        <v>0</v>
      </c>
      <c r="AG26" s="130" cm="1">
        <f t="array" aca="1" ref="AG26" ca="1">IF(COUNTIFS(OverEmp,$C26,OverMed,"MED",OverDate,"&lt;"&amp;DATE(YEAR($AC26),MONTH($AC26)+1,1),OverEnd,"&gt;="&amp;DATE(YEAR($AC26),MONTH($AC26),1))&gt;0,SUMIFS(OverValue,OverEmp,$C26,OverMed,"MED",OverDate,"&lt;"&amp;DATE(YEAR($AC26),MONTH($AC26)+1,1),OverEnd,"&gt;="&amp;DATE(YEAR($AC26),MONTH($AC26),1)),IF(ISNA(VLOOKUP($C26,EmpAll,COLUMN(Emp!$N$4),0)),0,VLOOKUP($C26,EmpAll,COLUMN(Emp!$N$4),0)))</f>
        <v>1</v>
      </c>
      <c r="AH26" s="146">
        <f ca="1">VLOOKUP($AG26,MedList,COLUMN(Setup!$C$49),1)</f>
        <v>364</v>
      </c>
      <c r="AI26" s="146">
        <f t="shared" ca="1" si="7"/>
        <v>4368</v>
      </c>
      <c r="AJ26" s="101" t="str">
        <f ca="1">IF(ISNA(VLOOKUP($C26,EmpAll,COLUMN(Emp!$L$4),0)),"None!",VLOOKUP($C26,EmpAll,COLUMN(Emp!$L$4),0))</f>
        <v>A</v>
      </c>
      <c r="AK26" s="147">
        <f t="shared" ca="1" si="8"/>
        <v>17235</v>
      </c>
      <c r="AL26" s="101" t="str">
        <f ca="1">IF(ISNA(VLOOKUP($C26,Employees[],COLUMN(Emp!$M$4),0))=TRUE,"Error!",IF(VLOOKUP($C26,Employees[],COLUMN(Emp!$M$4),0)=0,"Yes",VLOOKUP($C26,Employees[],COLUMN(Emp!$M$4),0)))</f>
        <v>A</v>
      </c>
      <c r="AM26" s="148">
        <f t="shared" ca="1" si="9"/>
        <v>120000</v>
      </c>
      <c r="AN26" s="148" cm="1">
        <f t="array" aca="1" ref="AN26" ca="1">-IF($F26="Terminated",0,IF($AA26=0,0,IF(ISNA(MATCH(AN$5,PayDedList,0)),0,MIN(IF(COUNTIFS(OverEmp,$C26,OverDeduct,AN$5,OverDate,"&lt;"&amp;DATE(YEAR($AC26),MONTH($AC26)+1,1),OverEnd,"&gt;="&amp;DATE(YEAR($AC26),MONTH($AC26),1))&gt;0,SUMPRODUCT((PayEmp=$C26)*(PayDate&lt;=$AC26)*(OFFSET($N$6,1,MATCH(AN$5,PayDedList,0)-1,PayCount,1)))/$AA26*12*AN$3,IF(OR(AN$1="Fixed",AN$1="Not Used"),SUMPRODUCT((PayEmp=$C26)*(PayDate&lt;=$AC26)*(OFFSET($N$6,1,MATCH(AN$5,PayDedList,0)-1,PayCount,1)))/$AA26*12*AN$3,IF(ISNA(MATCH(AN$1,EarnListItem,0))=FALSE,SUMPRODUCT((PayEmp=$C26)*(PayDate&lt;=$AC26)*(OFFSET($N$6,1,MATCH(AN$5,PayDedList,0)-1,PayCount,1)))/$AA26*12*AN$3,(MIN(((SUMPRODUCT((PayEmp=$C26)*(PayDate&lt;=$AC26)*(ISERROR(SEARCH(PayEarnCode,AN$2)))*(PayEarnType="Monthly")*(PayEarnValues))/$AA26*12)+(SUMPRODUCT((PayEmp=$C26)*(PayDate&lt;=$AC26)*(ISERROR(SEARCH(PayEarnCode,AN$2)))*(PayEarnType="Quarterly")*(PayEarnValues))/MAX(1,ROUNDDOWN($AB26/3,0))*4)+(SUMPRODUCT((PayEmp=$C26)*(PayDate&lt;=$AC26)*(ISERROR(SEARCH(PayEarnCode,AN$2)))*(PayEarnType="Bi-Annual")*(PayEarnValues))/MAX(1,ROUNDDOWN($AB26/6,0))*2)+(SUMPRODUCT((PayEmp=$C26)*(PayDate&lt;=$AC26)*(ISERROR(SEARCH(PayEarnCode,AN$2)))*(PayEarnType="Annual")*(PayEarnValues)))),IF(ISNUMBER(OFFSET($N$3,0,MATCH(AN$5,PayDedList,0)-1,1,1)),OFFSET($N$3,0,MATCH(AN$5,PayDedList,0)-1,1,1),IgnoreMin)))*IF(COUNTIFS(EmpNo,$C26,OFFSET(Emp!$R$4,1,MATCH(AN$5,DedListItem,0)-1,EmpCount,1),"&lt;&gt;")&gt;0,VLOOKUP($C26,EmpAll,COLUMN(Emp!$R$4)+MATCH(AN$5,DedListItem,0)-1,0),OFFSET(Setup!$E$73,MATCH(AN$5,DedListItem,0),0,1,1))*AN$3))),IF(ISNUMBER(AN$4),AN$4,IgnoreMin)))))</f>
        <v>0</v>
      </c>
      <c r="AO26" s="148" cm="1">
        <f t="array" aca="1" ref="AO26" ca="1">-IF($F26="Terminated",0,IF($AA26=0,0,IF(ISNA(MATCH(AO$5,PayDedList,0)),0,MIN(IF(COUNTIFS(OverEmp,$C26,OverDeduct,AO$5,OverDate,"&lt;"&amp;DATE(YEAR($AC26),MONTH($AC26)+1,1),OverEnd,"&gt;="&amp;DATE(YEAR($AC26),MONTH($AC26),1))&gt;0,SUMPRODUCT((PayEmp=$C26)*(PayDate&lt;=$AC26)*(OFFSET($N$6,1,MATCH(AO$5,PayDedList,0)-1,PayCount,1)))/$AA26*12*AO$3,IF(OR(AO$1="Fixed",AO$1="Not Used"),SUMPRODUCT((PayEmp=$C26)*(PayDate&lt;=$AC26)*(OFFSET($N$6,1,MATCH(AO$5,PayDedList,0)-1,PayCount,1)))/$AA26*12*AO$3,IF(ISNA(MATCH(AO$1,EarnListItem,0))=FALSE,SUMPRODUCT((PayEmp=$C26)*(PayDate&lt;=$AC26)*(OFFSET($N$6,1,MATCH(AO$5,PayDedList,0)-1,PayCount,1)))/$AA26*12*AO$3,(MIN(((SUMPRODUCT((PayEmp=$C26)*(PayDate&lt;=$AC26)*(ISERROR(SEARCH(PayEarnCode,AO$2)))*(PayEarnType="Monthly")*(PayEarnValues))/$AA26*12)+(SUMPRODUCT((PayEmp=$C26)*(PayDate&lt;=$AC26)*(ISERROR(SEARCH(PayEarnCode,AO$2)))*(PayEarnType="Quarterly")*(PayEarnValues))/MAX(1,ROUNDDOWN($AB26/3,0))*4)+(SUMPRODUCT((PayEmp=$C26)*(PayDate&lt;=$AC26)*(ISERROR(SEARCH(PayEarnCode,AO$2)))*(PayEarnType="Bi-Annual")*(PayEarnValues))/MAX(1,ROUNDDOWN($AB26/6,0))*2)+(SUMPRODUCT((PayEmp=$C26)*(PayDate&lt;=$AC26)*(ISERROR(SEARCH(PayEarnCode,AO$2)))*(PayEarnType="Annual")*(PayEarnValues)))),IF(ISNUMBER(OFFSET($N$3,0,MATCH(AO$5,PayDedList,0)-1,1,1)),OFFSET($N$3,0,MATCH(AO$5,PayDedList,0)-1,1,1),IgnoreMin)))*IF(COUNTIFS(EmpNo,$C26,OFFSET(Emp!$R$4,1,MATCH(AO$5,DedListItem,0)-1,EmpCount,1),"&lt;&gt;")&gt;0,VLOOKUP($C26,EmpAll,COLUMN(Emp!$R$4)+MATCH(AO$5,DedListItem,0)-1,0),OFFSET(Setup!$E$73,MATCH(AO$5,DedListItem,0),0,1,1))*AO$3))),IF(ISNUMBER(AO$4),AO$4,IgnoreMin)))))</f>
        <v>0</v>
      </c>
      <c r="AP26" s="148" cm="1">
        <f t="array" aca="1" ref="AP26" ca="1">-IF($F26="Terminated",0,IF($AA26=0,0,IF(ISNA(MATCH(AP$5,PayDedList,0)),0,MIN(IF(COUNTIFS(OverEmp,$C26,OverDeduct,AP$5,OverDate,"&lt;"&amp;DATE(YEAR($AC26),MONTH($AC26)+1,1),OverEnd,"&gt;="&amp;DATE(YEAR($AC26),MONTH($AC26),1))&gt;0,SUMPRODUCT((PayEmp=$C26)*(PayDate&lt;=$AC26)*(OFFSET($N$6,1,MATCH(AP$5,PayDedList,0)-1,PayCount,1)))/$AA26*12*AP$3,IF(OR(AP$1="Fixed",AP$1="Not Used"),SUMPRODUCT((PayEmp=$C26)*(PayDate&lt;=$AC26)*(OFFSET($N$6,1,MATCH(AP$5,PayDedList,0)-1,PayCount,1)))/$AA26*12*AP$3,IF(ISNA(MATCH(AP$1,EarnListItem,0))=FALSE,SUMPRODUCT((PayEmp=$C26)*(PayDate&lt;=$AC26)*(OFFSET($N$6,1,MATCH(AP$5,PayDedList,0)-1,PayCount,1)))/$AA26*12*AP$3,(MIN(((SUMPRODUCT((PayEmp=$C26)*(PayDate&lt;=$AC26)*(ISERROR(SEARCH(PayEarnCode,AP$2)))*(PayEarnType="Monthly")*(PayEarnValues))/$AA26*12)+(SUMPRODUCT((PayEmp=$C26)*(PayDate&lt;=$AC26)*(ISERROR(SEARCH(PayEarnCode,AP$2)))*(PayEarnType="Quarterly")*(PayEarnValues))/MAX(1,ROUNDDOWN($AB26/3,0))*4)+(SUMPRODUCT((PayEmp=$C26)*(PayDate&lt;=$AC26)*(ISERROR(SEARCH(PayEarnCode,AP$2)))*(PayEarnType="Bi-Annual")*(PayEarnValues))/MAX(1,ROUNDDOWN($AB26/6,0))*2)+(SUMPRODUCT((PayEmp=$C26)*(PayDate&lt;=$AC26)*(ISERROR(SEARCH(PayEarnCode,AP$2)))*(PayEarnType="Annual")*(PayEarnValues)))),IF(ISNUMBER(OFFSET($N$3,0,MATCH(AP$5,PayDedList,0)-1,1,1)),OFFSET($N$3,0,MATCH(AP$5,PayDedList,0)-1,1,1),IgnoreMin)))*IF(COUNTIFS(EmpNo,$C26,OFFSET(Emp!$R$4,1,MATCH(AP$5,DedListItem,0)-1,EmpCount,1),"&lt;&gt;")&gt;0,VLOOKUP($C26,EmpAll,COLUMN(Emp!$R$4)+MATCH(AP$5,DedListItem,0)-1,0),OFFSET(Setup!$E$73,MATCH(AP$5,DedListItem,0),0,1,1))*AP$3))),IF(ISNUMBER(AP$4),AP$4,IgnoreMin)))))</f>
        <v>0</v>
      </c>
      <c r="AQ26" s="148" cm="1">
        <f t="array" aca="1" ref="AQ26" ca="1">-IF($F26="Terminated",0,IF($AA26=0,0,IF(ISNA(MATCH(AQ$5,PayDedList,0)),0,MIN(IF(COUNTIFS(OverEmp,$C26,OverDeduct,AQ$5,OverDate,"&lt;"&amp;DATE(YEAR($AC26),MONTH($AC26)+1,1),OverEnd,"&gt;="&amp;DATE(YEAR($AC26),MONTH($AC26),1))&gt;0,SUMPRODUCT((PayEmp=$C26)*(PayDate&lt;=$AC26)*(OFFSET($N$6,1,MATCH(AQ$5,PayDedList,0)-1,PayCount,1)))/$AA26*12*AQ$3,IF(OR(AQ$1="Fixed",AQ$1="Not Used"),SUMPRODUCT((PayEmp=$C26)*(PayDate&lt;=$AC26)*(OFFSET($N$6,1,MATCH(AQ$5,PayDedList,0)-1,PayCount,1)))/$AA26*12*AQ$3,IF(ISNA(MATCH(AQ$1,EarnListItem,0))=FALSE,SUMPRODUCT((PayEmp=$C26)*(PayDate&lt;=$AC26)*(OFFSET($N$6,1,MATCH(AQ$5,PayDedList,0)-1,PayCount,1)))/$AA26*12*AQ$3,(MIN(((SUMPRODUCT((PayEmp=$C26)*(PayDate&lt;=$AC26)*(ISERROR(SEARCH(PayEarnCode,AQ$2)))*(PayEarnType="Monthly")*(PayEarnValues))/$AA26*12)+(SUMPRODUCT((PayEmp=$C26)*(PayDate&lt;=$AC26)*(ISERROR(SEARCH(PayEarnCode,AQ$2)))*(PayEarnType="Quarterly")*(PayEarnValues))/MAX(1,ROUNDDOWN($AB26/3,0))*4)+(SUMPRODUCT((PayEmp=$C26)*(PayDate&lt;=$AC26)*(ISERROR(SEARCH(PayEarnCode,AQ$2)))*(PayEarnType="Bi-Annual")*(PayEarnValues))/MAX(1,ROUNDDOWN($AB26/6,0))*2)+(SUMPRODUCT((PayEmp=$C26)*(PayDate&lt;=$AC26)*(ISERROR(SEARCH(PayEarnCode,AQ$2)))*(PayEarnType="Annual")*(PayEarnValues)))),IF(ISNUMBER(OFFSET($N$3,0,MATCH(AQ$5,PayDedList,0)-1,1,1)),OFFSET($N$3,0,MATCH(AQ$5,PayDedList,0)-1,1,1),IgnoreMin)))*IF(COUNTIFS(EmpNo,$C26,OFFSET(Emp!$R$4,1,MATCH(AQ$5,DedListItem,0)-1,EmpCount,1),"&lt;&gt;")&gt;0,VLOOKUP($C26,EmpAll,COLUMN(Emp!$R$4)+MATCH(AQ$5,DedListItem,0)-1,0),OFFSET(Setup!$E$73,MATCH(AQ$5,DedListItem,0),0,1,1))*AQ$3))),IF(ISNUMBER(AQ$4),AQ$4,IgnoreMin)))))</f>
        <v>0</v>
      </c>
      <c r="AR26" s="148">
        <f t="shared" ca="1" si="10"/>
        <v>120000</v>
      </c>
      <c r="AS26" s="148">
        <f t="shared" ca="1" si="11"/>
        <v>120000</v>
      </c>
      <c r="AT26" s="148" cm="1">
        <f t="array" aca="1" ref="AT26" ca="1">-IF($F26="Terminated",0,IF($AA26=0,0,IF(ISNA(MATCH(AT$5,PayDedList,0)),0,MIN(IF(COUNTIFS(OverEmp,$C26,OverDeduct,AT$5,OverDate,"&lt;"&amp;DATE(YEAR($AC26),MONTH($AC26)+1,1),OverEnd,"&gt;="&amp;DATE(YEAR($AC26),MONTH($AC26),1))&gt;0,SUMPRODUCT((PayEmp=$C26)*(PayDate&lt;=$AC26)*(OFFSET($N$6,1,MATCH(AT$5,PayDedList,0)-1,PayCount,1)))/$AA26*12*AT$3,IF(OR(AT$1="Fixed",AT$1="Not Used"),SUMPRODUCT((PayEmp=$C26)*(PayDate&lt;=$AC26)*(OFFSET($N$6,1,MATCH(AT$5,PayDedList,0)-1,PayCount,1)))/$AA26*12*AT$3,IF(ISNA(MATCH(OFFSET($N$2,0,MATCH(AT$5,PayDedList,0)-1,1,1),EarnListItem,0))=FALSE,SUMPRODUCT((PayEmp=$C26)*(PayDate&lt;=$AC26)*(OFFSET($N$6,1,MATCH(AT$5,PayDedList,0)-1,PayCount,1)))/$AA26*12*AT$3,(MIN(SUMPRODUCT((PayEmp=$C26)*(PayDate&lt;=$AC26)*(ISERROR(SEARCH(PayEarnCode,AT$2)))*(PayEarnType="Monthly")*(PayEarnValues))/$AA26*12,IF(ISNUMBER(OFFSET($N$3,0,MATCH(AT$5,PayDedList,0)-1,1,1)),OFFSET($N$3,0,MATCH(AT$5,PayDedList,0)-1,1,1),IgnoreMin)))*IF(COUNTIFS(EmpNo,$C26,OFFSET(Emp!$R$4,1,MATCH(AT$5,DedListItem,0)-1,EmpCount,1),"&lt;&gt;")&gt;0,VLOOKUP($C26,EmpAll,COLUMN(Emp!$R$4)+MATCH(AT$5,DedListItem,0)-1,0),OFFSET(Setup!$E$73,MATCH(AT$5,DedListItem,0),0,1,1))*AT$3))),IF(ISNUMBER(AT$4),AT$4,IgnoreMin)))))</f>
        <v>0</v>
      </c>
      <c r="AU26" s="148" cm="1">
        <f t="array" aca="1" ref="AU26" ca="1">-IF($F26="Terminated",0,IF($AA26=0,0,IF(ISNA(MATCH(AU$5,PayDedList,0)),0,MIN(IF(COUNTIFS(OverEmp,$C26,OverDeduct,AU$5,OverDate,"&lt;"&amp;DATE(YEAR($AC26),MONTH($AC26)+1,1),OverEnd,"&gt;="&amp;DATE(YEAR($AC26),MONTH($AC26),1))&gt;0,SUMPRODUCT((PayEmp=$C26)*(PayDate&lt;=$AC26)*(OFFSET($N$6,1,MATCH(AU$5,PayDedList,0)-1,PayCount,1)))/$AA26*12*AU$3,IF(OR(AU$1="Fixed",AU$1="Not Used"),SUMPRODUCT((PayEmp=$C26)*(PayDate&lt;=$AC26)*(OFFSET($N$6,1,MATCH(AU$5,PayDedList,0)-1,PayCount,1)))/$AA26*12*AU$3,IF(ISNA(MATCH(OFFSET($N$2,0,MATCH(AU$5,PayDedList,0)-1,1,1),EarnListItem,0))=FALSE,SUMPRODUCT((PayEmp=$C26)*(PayDate&lt;=$AC26)*(OFFSET($N$6,1,MATCH(AU$5,PayDedList,0)-1,PayCount,1)))/$AA26*12*AU$3,(MIN(SUMPRODUCT((PayEmp=$C26)*(PayDate&lt;=$AC26)*(ISERROR(SEARCH(PayEarnCode,AU$2)))*(PayEarnType="Monthly")*(PayEarnValues))/$AA26*12,IF(ISNUMBER(OFFSET($N$3,0,MATCH(AU$5,PayDedList,0)-1,1,1)),OFFSET($N$3,0,MATCH(AU$5,PayDedList,0)-1,1,1),IgnoreMin)))*IF(COUNTIFS(EmpNo,$C26,OFFSET(Emp!$R$4,1,MATCH(AU$5,DedListItem,0)-1,EmpCount,1),"&lt;&gt;")&gt;0,VLOOKUP($C26,EmpAll,COLUMN(Emp!$R$4)+MATCH(AU$5,DedListItem,0)-1,0),OFFSET(Setup!$E$73,MATCH(AU$5,DedListItem,0),0,1,1))*AU$3))),IF(ISNUMBER(AU$4),AU$4,IgnoreMin)))))</f>
        <v>0</v>
      </c>
      <c r="AV26" s="148" cm="1">
        <f t="array" aca="1" ref="AV26" ca="1">-IF($F26="Terminated",0,IF($AA26=0,0,IF(ISNA(MATCH(AV$5,PayDedList,0)),0,MIN(IF(COUNTIFS(OverEmp,$C26,OverDeduct,AV$5,OverDate,"&lt;"&amp;DATE(YEAR($AC26),MONTH($AC26)+1,1),OverEnd,"&gt;="&amp;DATE(YEAR($AC26),MONTH($AC26),1))&gt;0,SUMPRODUCT((PayEmp=$C26)*(PayDate&lt;=$AC26)*(OFFSET($N$6,1,MATCH(AV$5,PayDedList,0)-1,PayCount,1)))/$AA26*12*AV$3,IF(OR(AV$1="Fixed",AV$1="Not Used"),SUMPRODUCT((PayEmp=$C26)*(PayDate&lt;=$AC26)*(OFFSET($N$6,1,MATCH(AV$5,PayDedList,0)-1,PayCount,1)))/$AA26*12*AV$3,IF(ISNA(MATCH(OFFSET($N$2,0,MATCH(AV$5,PayDedList,0)-1,1,1),EarnListItem,0))=FALSE,SUMPRODUCT((PayEmp=$C26)*(PayDate&lt;=$AC26)*(OFFSET($N$6,1,MATCH(AV$5,PayDedList,0)-1,PayCount,1)))/$AA26*12*AV$3,(MIN(SUMPRODUCT((PayEmp=$C26)*(PayDate&lt;=$AC26)*(ISERROR(SEARCH(PayEarnCode,AV$2)))*(PayEarnType="Monthly")*(PayEarnValues))/$AA26*12,IF(ISNUMBER(OFFSET($N$3,0,MATCH(AV$5,PayDedList,0)-1,1,1)),OFFSET($N$3,0,MATCH(AV$5,PayDedList,0)-1,1,1),IgnoreMin)))*IF(COUNTIFS(EmpNo,$C26,OFFSET(Emp!$R$4,1,MATCH(AV$5,DedListItem,0)-1,EmpCount,1),"&lt;&gt;")&gt;0,VLOOKUP($C26,EmpAll,COLUMN(Emp!$R$4)+MATCH(AV$5,DedListItem,0)-1,0),OFFSET(Setup!$E$73,MATCH(AV$5,DedListItem,0),0,1,1))*AV$3))),IF(ISNUMBER(AV$4),AV$4,IgnoreMin)))))</f>
        <v>0</v>
      </c>
      <c r="AW26" s="148" cm="1">
        <f t="array" aca="1" ref="AW26" ca="1">-IF($F26="Terminated",0,IF($AA26=0,0,IF(ISNA(MATCH(AW$5,PayDedList,0)),0,MIN(IF(COUNTIFS(OverEmp,$C26,OverDeduct,AW$5,OverDate,"&lt;"&amp;DATE(YEAR($AC26),MONTH($AC26)+1,1),OverEnd,"&gt;="&amp;DATE(YEAR($AC26),MONTH($AC26),1))&gt;0,SUMPRODUCT((PayEmp=$C26)*(PayDate&lt;=$AC26)*(OFFSET($N$6,1,MATCH(AW$5,PayDedList,0)-1,PayCount,1)))/$AA26*12*AW$3,IF(OR(AW$1="Fixed",AW$1="Not Used"),SUMPRODUCT((PayEmp=$C26)*(PayDate&lt;=$AC26)*(OFFSET($N$6,1,MATCH(AW$5,PayDedList,0)-1,PayCount,1)))/$AA26*12*AW$3,IF(ISNA(MATCH(OFFSET($N$2,0,MATCH(AW$5,PayDedList,0)-1,1,1),EarnListItem,0))=FALSE,SUMPRODUCT((PayEmp=$C26)*(PayDate&lt;=$AC26)*(OFFSET($N$6,1,MATCH(AW$5,PayDedList,0)-1,PayCount,1)))/$AA26*12*AW$3,(MIN(SUMPRODUCT((PayEmp=$C26)*(PayDate&lt;=$AC26)*(ISERROR(SEARCH(PayEarnCode,AW$2)))*(PayEarnType="Monthly")*(PayEarnValues))/$AA26*12,IF(ISNUMBER(OFFSET($N$3,0,MATCH(AW$5,PayDedList,0)-1,1,1)),OFFSET($N$3,0,MATCH(AW$5,PayDedList,0)-1,1,1),IgnoreMin)))*IF(COUNTIFS(EmpNo,$C26,OFFSET(Emp!$R$4,1,MATCH(AW$5,DedListItem,0)-1,EmpCount,1),"&lt;&gt;")&gt;0,VLOOKUP($C26,EmpAll,COLUMN(Emp!$R$4)+MATCH(AW$5,DedListItem,0)-1,0),OFFSET(Setup!$E$73,MATCH(AW$5,DedListItem,0),0,1,1))*AW$3))),IF(ISNUMBER(AW$4),AW$4,IgnoreMin)))))</f>
        <v>0</v>
      </c>
      <c r="AX26" s="148">
        <f t="shared" ca="1" si="12"/>
        <v>120000</v>
      </c>
      <c r="AY26" s="148">
        <f t="shared" ca="1" si="13"/>
        <v>0</v>
      </c>
      <c r="AZ26" s="148">
        <f ca="1">IF(ISNUMBER($AL26),($AR26*$AL26)-$AI26-$AK26,MAX(0,IF($AL26="B",IF($AR26&lt;Setup!$C$32,($AR26*Setup!$D$32)-$AI26-$AK26,(($AR26-VLOOKUP($AR26,TaxAll2,1,1))*OFFSET(Setup!$D$32,MATCH($AR26,TaxBracket2,1),0,1,1))+OFFSET(Setup!$E$31,MATCH($AR26,TaxBracket2,1),0,1,1)-$AI26-$AK26),IF($AR26&lt;Setup!$C$21,($AR26*Setup!$D$21)-$AI26-$AK26,(($AR26-VLOOKUP($AR26,TaxAll1,1,1))*OFFSET(Setup!$D$21,MATCH($AR26,TaxBracket1,1),0,1,1))+OFFSET(Setup!$E$20,MATCH($AR26,TaxBracket1,1),0,1,1)-$AI26-$AK26))))</f>
        <v>0</v>
      </c>
      <c r="BA26" s="148">
        <f ca="1">IF(ISNUMBER($AL26),($AX26*$AL26)-$AI26-$AK26,MAX(0,IF($AL26="B",IF($AX26&lt;Setup!$C$32,($AX26*Setup!$D$32)-$AI26-$AK26,(($AX26-VLOOKUP($AX26,TaxAll2,1,1))*OFFSET(Setup!$D$32,MATCH($AX26,TaxBracket2,1),0,1,1))+OFFSET(Setup!$E$31,MATCH($AX26,TaxBracket2,1),0,1,1)-$AI26-$AK26),IF($AX26&lt;Setup!$C$21,($AX26*Setup!$D$21)-$AI26-$AK26,(($AX26-VLOOKUP($AX26,TaxAll1,1,1))*OFFSET(Setup!$D$21,MATCH($AX26,TaxBracket1,1),0,1,1))+OFFSET(Setup!$E$20,MATCH($AX26,TaxBracket1,1),0,1,1)-$AI26-$AK26))))</f>
        <v>0</v>
      </c>
      <c r="BB26" s="148">
        <f t="shared" ca="1" si="14"/>
        <v>0</v>
      </c>
      <c r="BC26" s="150">
        <f t="shared" ca="1" si="15"/>
        <v>1</v>
      </c>
      <c r="BD26" s="150">
        <f t="shared" ca="1" si="16"/>
        <v>0</v>
      </c>
      <c r="BE26" s="148">
        <f t="shared" ca="1" si="17"/>
        <v>120000</v>
      </c>
    </row>
    <row r="27" spans="1:57" ht="16.149999999999999" customHeight="1" x14ac:dyDescent="0.25">
      <c r="A27" s="10" t="str" cm="1">
        <f t="array" aca="1" ref="A27" ca="1">IF(ROW($A27)-ROW($A$6)&gt;EmpCount*12,"-",TEXT($B27,"yyyy")&amp;TEXT($B27,"mm")&amp;"-"&amp;$C27)</f>
        <v>202304-EXS006</v>
      </c>
      <c r="B27" s="137" cm="1">
        <f t="array" aca="1" ref="B27" ca="1">IF(ROW($A27)-ROW($A$6)&gt;EmpCount*12,Setup!$D$12,DATE(YEAR(Setup!$F$12),MONTH(Setup!$F$12)+ROUNDDOWN((ROW($A27)-ROW($A$6)-1)/EmpCount,0),IF(Setup!$C$14&gt;DAY(DATE(YEAR(Setup!$F$12),MONTH(Setup!$F$12)+ROUNDDOWN((ROW($A27)-ROW($A$6)-1)/EmpCount,0)+1,0)),DAY(DATE(YEAR(Setup!$F$12),MONTH(Setup!$F$12)+ROUNDDOWN((ROW($A27)-ROW($A$6)-1)/EmpCount,0)+1,0)),Setup!$C$14)))</f>
        <v>45041</v>
      </c>
      <c r="C27" s="101" t="str" cm="1">
        <f t="array" aca="1" ref="C27" ca="1">IF(ROW($A27)-ROW($A$6)&gt;EmpCount*12,"-",OFFSET(Emp!$A$4,ROW($A27)-ROW($A$6)-IF(ROW($A27)-ROW($A$6)&gt;EmpCount,ROUNDDOWN((ROW($A27)-ROW($A$6)-1)/EmpCount,0)*EmpCount,0),0,1,1))</f>
        <v>EXS006</v>
      </c>
      <c r="D27" s="10" t="str">
        <f ca="1">IF(ISNA(VLOOKUP($C27,EmpAll,COLUMN(Emp!$B$4),0)),"-",VLOOKUP($C27,EmpAll,COLUMN(Emp!$B$4),0))</f>
        <v>Andrews MS</v>
      </c>
      <c r="E27" s="145" t="str">
        <f ca="1">IF(ISNA(VLOOKUP($C27,EmpAll,COLUMN(Emp!$C$4),0)),"-",VLOOKUP($C27,EmpAll,COLUMN(Emp!$C$4),0))</f>
        <v>S</v>
      </c>
      <c r="F27" s="101" t="str">
        <f ca="1">IF(ISNA(VLOOKUP($C27,EmpAll,COLUMN(Emp!$A$4),0)),"-",IF(AND(VLOOKUP($C27,EmpAll,COLUMN(Emp!$E$4),0)&lt;&gt;0,VLOOKUP($C27,EmpAll,COLUMN(Emp!$E$4),0)&gt;=DATE(YEAR($AC27),MONTH($AC27)+1,0)),"Inactive",IF(AND(VLOOKUP($C27,EmpAll,COLUMN(Emp!$F$4),0)&lt;&gt;0,VLOOKUP($C27,EmpAll,COLUMN(Emp!$F$4),0)&lt;=DATE(YEAR($AC27),MONTH($AC27),0)),"Terminated","Active")))</f>
        <v>Active</v>
      </c>
      <c r="G27" s="133" cm="1">
        <f t="array" aca="1" ref="G27" ca="1">IF($F27&lt;&gt;"Active",0,IF(COUNTIFS(OverEmp,$C27,OverEarn,G$2,OverDate,"&lt;"&amp;DATE(YEAR($AC27),MONTH($AC27)+1,1),OverEnd,"&gt;="&amp;DATE(YEAR($AC27),MONTH($AC27),1))&gt;0,SUMIFS(OverValue,OverEmp,$C27,OverEarn,G$2,OverDate,"&lt;"&amp;DATE(YEAR($AC27),MONTH($AC27)+1,1),OverEnd,"&gt;="&amp;DATE(YEAR($AC27),MONTH($AC27),1)),IF(AND($AC27&gt;=Setup!$E$10,SUMIFS(EmpIncrease,EmpCode,$C27)&gt;0),SUMIFS(EmpIncrease,EmpCode,$C27),SUMIFS(EmpSalary,EmpCode,$C27))))</f>
        <v>10000</v>
      </c>
      <c r="H27" s="133" cm="1">
        <f t="array" aca="1" ref="H27" ca="1">IF($F27&lt;&gt;"Active",0,IF(COUNTIFS(OverEmp,$C27,OverEarn,H$2,OverDate,"&lt;"&amp;DATE(YEAR($AC27),MONTH($AC27)+1,1),OverEnd,"&gt;="&amp;DATE(YEAR($AC27),MONTH($AC27),1))&gt;0,SUMIFS(OverValue,OverEmp,$C27,OverEarn,H$2,OverDate,"&lt;"&amp;DATE(YEAR($AC27),MONTH($AC27)+1,1),OverEnd,"&gt;="&amp;DATE(YEAR($AC27),MONTH($AC27),1)),0))</f>
        <v>0</v>
      </c>
      <c r="I27" s="133" cm="1">
        <f t="array" aca="1" ref="I27" ca="1">IF($F27&lt;&gt;"Active",0,IF(COUNTIFS(OverEmp,$C27,OverEarn,I$2,OverDate,"&lt;"&amp;DATE(YEAR($AC27),MONTH($AC27)+1,1),OverEnd,"&gt;="&amp;DATE(YEAR($AC27),MONTH($AC27),1))&gt;0,SUMIFS(OverValue,OverEmp,$C27,OverEarn,I$2,OverDate,"&lt;"&amp;DATE(YEAR($AC27),MONTH($AC27)+1,1),OverEnd,"&gt;="&amp;DATE(YEAR($AC27),MONTH($AC27),1)),IF(MONTH(B27)=Setup!$C$15,SUMIFS(EmpBonus,EmpCode,$C27),0)))</f>
        <v>0</v>
      </c>
      <c r="J27" s="133" cm="1">
        <f t="array" aca="1" ref="J27" ca="1">IF($F27&lt;&gt;"Active",0,IF(COUNTIFS(OverEmp,$C27,OverEarn,J$2,OverDate,"&lt;"&amp;DATE(YEAR($AC27),MONTH($AC27)+1,1),OverEnd,"&gt;="&amp;DATE(YEAR($AC27),MONTH($AC27),1))&gt;0,SUMIFS(OverValue,OverEmp,$C27,OverEarn,J$2,OverDate,"&lt;"&amp;DATE(YEAR($AC27),MONTH($AC27)+1,1),OverEnd,"&gt;="&amp;DATE(YEAR($AC27),MONTH($AC27),1)),0))</f>
        <v>0</v>
      </c>
      <c r="K27" s="133" cm="1">
        <f t="array" aca="1" ref="K27" ca="1">IF($F27&lt;&gt;"Active",0,IF(COUNTIFS(OverEmp,$C27,OverEarn,K$2,OverDate,"&lt;"&amp;DATE(YEAR($AC27),MONTH($AC27)+1,1),OverEnd,"&gt;="&amp;DATE(YEAR($AC27),MONTH($AC27),1))&gt;0,SUMIFS(OverValue,OverEmp,$C27,OverEarn,K$2,OverDate,"&lt;"&amp;DATE(YEAR($AC27),MONTH($AC27)+1,1),OverEnd,"&gt;="&amp;DATE(YEAR($AC27),MONTH($AC27),1)),0))</f>
        <v>0</v>
      </c>
      <c r="L27" s="185">
        <f t="shared" ca="1" si="0"/>
        <v>10000</v>
      </c>
      <c r="M27" s="182" cm="1">
        <f t="array" aca="1" ref="M27" ca="1">IF(COUNTIFS(OverEmp,$C27,OverTax,M$5,OverDate,"&lt;"&amp;DATE(YEAR($AC27),MONTH($AC27)+1,1),OverEnd,"&gt;="&amp;DATE(YEAR($AC27),MONTH($AC27),1))&gt;0,SUMIFS(OverValue,OverEmp,$C27,OverTax,M$5,OverDate,"&lt;"&amp;DATE(YEAR($AC27),MONTH($AC27)+1,1),OverEnd,"&gt;="&amp;DATE(YEAR($AC27),MONTH($AC27),1)),(($BA27/12*$AA27)+(BB27*IF(1-$BC27=0,0,BD27/(1-$BC27))))-IF($F27="Terminated",0,SUMIFS(PayTaxDeduct,PayDate,"&lt;"&amp;$AC27,PayEmp,$C27)))</f>
        <v>0</v>
      </c>
      <c r="N27" s="133" cm="1">
        <f t="array" aca="1" ref="N27" ca="1">IF($F27="Terminated",0,IF($AA27=0,0,IF(ISNA(MATCH(N$5,DedListItem,0)),0,IF(COUNTIFS(OverEmp,$C27,OverDeduct,N$5,OverDate,"&lt;"&amp;DATE(YEAR($AC27),MONTH($AC27)+1,1),OverEnd,"&gt;="&amp;DATE(YEAR($AC27),MONTH($AC27),1))&gt;0,SUMIFS(OverValue,OverEmp,$C27,OverDeduct,N$5,OverDate,"&lt;"&amp;DATE(YEAR($AC27),MONTH($AC27)+1,1),OverEnd,"&gt;="&amp;DATE(YEAR($AC27),MONTH($AC27),1)),IF(OR(N$2="Fixed",N$2="Not Used"),(IF(COUNTIFS(EmpNo,$C27,OFFSET(Emp!$R$4,1,MATCH(N$5,DedListItem,0)-1,EmpCount,1),"&lt;&gt;")&gt;0,VLOOKUP($C27,EmpAll,COLUMN(Emp!$R$4)+MATCH(N$5,DedListItem,0)-1,0),OFFSET(Setup!$E$73,MATCH(N$5,DedListItem,0),0,1,1))*$AA27)-SUMIFS(OFFSET(N$6,1,0,PayCount,1),PayDate,"&lt;"&amp;$AC27,PayEmp,$C27),IF(ISNA(MATCH(N$2,EarnListItem,0))=FALSE,IF(OFFSET(Setup!$G$73,MATCH(N$5,DedListItem,0),0,1,1)="Taxable",SUMPRODUCT((PayEmp=$C27)*(PayDate&lt;=$AC27)*(PayEarnCode=N$2)*(PayEarnTax)*(PayEarnValues)),SUMPRODUCT((PayEmp=$C27)*(PayDate&lt;=$AC27)*(PayEarnCode=N$2)*(PayEarnValues)))*IF(COUNTIFS(EmpNo,$C27,OFFSET(Emp!$R$4,1,MATCH(N$5,DedListItem,0)-1,EmpCount,1),"&lt;&gt;")&gt;0,VLOOKUP($C27,EmpAll,COLUMN(Emp!$R$4)+MATCH(N$5,DedListItem,0)-1,0),OFFSET(Setup!$E$73,MATCH(N$5,DedListItem,0),0,1,1)),(MIN(IF(OFFSET(Setup!$G$73,MATCH(N$5,DedListItem,0),0,1,1)="Taxable",SUMPRODUCT((PayEmp=$C27)*(PayDate&lt;=$AC27)*(ISERROR(SEARCH(PayEarnCode,N$4)))*(PayEarnTax)*(PayEarnValues)),SUMPRODUCT((PayEmp=$C27)*(PayDate&lt;=$AC27)*(ISERROR(SEARCH(PayEarnCode,N$4)))*(PayEarnValues))),IF(ISNUMBER(N$3),N$3/12*$AA27,IgnoreMin)))*IF(COUNTIFS(EmpNo,$C27,OFFSET(Emp!$R$4,1,MATCH(N$5,DedListItem,0)-1,EmpCount,1),"&lt;&gt;")&gt;0,VLOOKUP($C27,EmpAll,COLUMN(Emp!$R$4)+MATCH(N$5,DedListItem,0)-1,0),OFFSET(Setup!$E$73,MATCH(N$5,DedListItem,0),0,1,1)))-SUMIFS(OFFSET(N$6,1,0,PayCount,1),PayDate,"&lt;"&amp;$AC27,PayEmp,$C27))))))</f>
        <v>100</v>
      </c>
      <c r="O27" s="133" cm="1">
        <f t="array" aca="1" ref="O27" ca="1">IF($F27="Terminated",0,IF($AA27=0,0,IF(ISNA(MATCH(O$5,DedListItem,0)),0,IF(COUNTIFS(OverEmp,$C27,OverDeduct,O$5,OverDate,"&lt;"&amp;DATE(YEAR($AC27),MONTH($AC27)+1,1),OverEnd,"&gt;="&amp;DATE(YEAR($AC27),MONTH($AC27),1))&gt;0,SUMIFS(OverValue,OverEmp,$C27,OverDeduct,O$5,OverDate,"&lt;"&amp;DATE(YEAR($AC27),MONTH($AC27)+1,1),OverEnd,"&gt;="&amp;DATE(YEAR($AC27),MONTH($AC27),1)),IF(OR(O$2="Fixed",O$2="Not Used"),(IF(COUNTIFS(EmpNo,$C27,OFFSET(Emp!$R$4,1,MATCH(O$5,DedListItem,0)-1,EmpCount,1),"&lt;&gt;")&gt;0,VLOOKUP($C27,EmpAll,COLUMN(Emp!$R$4)+MATCH(O$5,DedListItem,0)-1,0),OFFSET(Setup!$E$73,MATCH(O$5,DedListItem,0),0,1,1))*$AA27)-SUMIFS(OFFSET(O$6,1,0,PayCount,1),PayDate,"&lt;"&amp;$AC27,PayEmp,$C27),IF(ISNA(MATCH(O$2,EarnListItem,0))=FALSE,IF(OFFSET(Setup!$G$73,MATCH(O$5,DedListItem,0),0,1,1)="Taxable",SUMPRODUCT((PayEmp=$C27)*(PayDate&lt;=$AC27)*(PayEarnCode=O$2)*(PayEarnTax)*(PayEarnValues)),SUMPRODUCT((PayEmp=$C27)*(PayDate&lt;=$AC27)*(PayEarnCode=O$2)*(PayEarnValues)))*IF(COUNTIFS(EmpNo,$C27,OFFSET(Emp!$R$4,1,MATCH(O$5,DedListItem,0)-1,EmpCount,1),"&lt;&gt;")&gt;0,VLOOKUP($C27,EmpAll,COLUMN(Emp!$R$4)+MATCH(O$5,DedListItem,0)-1,0),OFFSET(Setup!$E$73,MATCH(O$5,DedListItem,0),0,1,1)),(MIN(IF(OFFSET(Setup!$G$73,MATCH(O$5,DedListItem,0),0,1,1)="Taxable",SUMPRODUCT((PayEmp=$C27)*(PayDate&lt;=$AC27)*(ISERROR(SEARCH(PayEarnCode,O$4)))*(PayEarnTax)*(PayEarnValues)),SUMPRODUCT((PayEmp=$C27)*(PayDate&lt;=$AC27)*(ISERROR(SEARCH(PayEarnCode,O$4)))*(PayEarnValues))),IF(ISNUMBER(O$3),O$3/12*$AA27,IgnoreMin)))*IF(COUNTIFS(EmpNo,$C27,OFFSET(Emp!$R$4,1,MATCH(O$5,DedListItem,0)-1,EmpCount,1),"&lt;&gt;")&gt;0,VLOOKUP($C27,EmpAll,COLUMN(Emp!$R$4)+MATCH(O$5,DedListItem,0)-1,0),OFFSET(Setup!$E$73,MATCH(O$5,DedListItem,0),0,1,1)))-SUMIFS(OFFSET(O$6,1,0,PayCount,1),PayDate,"&lt;"&amp;$AC27,PayEmp,$C27))))))</f>
        <v>0</v>
      </c>
      <c r="P27" s="133" cm="1">
        <f t="array" aca="1" ref="P27" ca="1">IF($F27="Terminated",0,IF($AA27=0,0,IF(ISNA(MATCH(P$5,DedListItem,0)),0,IF(COUNTIFS(OverEmp,$C27,OverDeduct,P$5,OverDate,"&lt;"&amp;DATE(YEAR($AC27),MONTH($AC27)+1,1),OverEnd,"&gt;="&amp;DATE(YEAR($AC27),MONTH($AC27),1))&gt;0,SUMIFS(OverValue,OverEmp,$C27,OverDeduct,P$5,OverDate,"&lt;"&amp;DATE(YEAR($AC27),MONTH($AC27)+1,1),OverEnd,"&gt;="&amp;DATE(YEAR($AC27),MONTH($AC27),1)),IF(OR(P$2="Fixed",P$2="Not Used"),(IF(COUNTIFS(EmpNo,$C27,OFFSET(Emp!$R$4,1,MATCH(P$5,DedListItem,0)-1,EmpCount,1),"&lt;&gt;")&gt;0,VLOOKUP($C27,EmpAll,COLUMN(Emp!$R$4)+MATCH(P$5,DedListItem,0)-1,0),OFFSET(Setup!$E$73,MATCH(P$5,DedListItem,0),0,1,1))*$AA27)-SUMIFS(OFFSET(P$6,1,0,PayCount,1),PayDate,"&lt;"&amp;$AC27,PayEmp,$C27),IF(ISNA(MATCH(P$2,EarnListItem,0))=FALSE,IF(OFFSET(Setup!$G$73,MATCH(P$5,DedListItem,0),0,1,1)="Taxable",SUMPRODUCT((PayEmp=$C27)*(PayDate&lt;=$AC27)*(PayEarnCode=P$2)*(PayEarnTax)*(PayEarnValues)),SUMPRODUCT((PayEmp=$C27)*(PayDate&lt;=$AC27)*(PayEarnCode=P$2)*(PayEarnValues)))*IF(COUNTIFS(EmpNo,$C27,OFFSET(Emp!$R$4,1,MATCH(P$5,DedListItem,0)-1,EmpCount,1),"&lt;&gt;")&gt;0,VLOOKUP($C27,EmpAll,COLUMN(Emp!$R$4)+MATCH(P$5,DedListItem,0)-1,0),OFFSET(Setup!$E$73,MATCH(P$5,DedListItem,0),0,1,1)),(MIN(IF(OFFSET(Setup!$G$73,MATCH(P$5,DedListItem,0),0,1,1)="Taxable",SUMPRODUCT((PayEmp=$C27)*(PayDate&lt;=$AC27)*(ISERROR(SEARCH(PayEarnCode,P$4)))*(PayEarnTax)*(PayEarnValues)),SUMPRODUCT((PayEmp=$C27)*(PayDate&lt;=$AC27)*(ISERROR(SEARCH(PayEarnCode,P$4)))*(PayEarnValues))),IF(ISNUMBER(P$3),P$3/12*$AA27,IgnoreMin)))*IF(COUNTIFS(EmpNo,$C27,OFFSET(Emp!$R$4,1,MATCH(P$5,DedListItem,0)-1,EmpCount,1),"&lt;&gt;")&gt;0,VLOOKUP($C27,EmpAll,COLUMN(Emp!$R$4)+MATCH(P$5,DedListItem,0)-1,0),OFFSET(Setup!$E$73,MATCH(P$5,DedListItem,0),0,1,1)))-SUMIFS(OFFSET(P$6,1,0,PayCount,1),PayDate,"&lt;"&amp;$AC27,PayEmp,$C27))))))</f>
        <v>0</v>
      </c>
      <c r="Q27" s="133" cm="1">
        <f t="array" aca="1" ref="Q27" ca="1">IF($F27="Terminated",0,IF($AA27=0,0,IF(ISNA(MATCH(Q$5,DedListItem,0)),0,IF(COUNTIFS(OverEmp,$C27,OverDeduct,Q$5,OverDate,"&lt;"&amp;DATE(YEAR($AC27),MONTH($AC27)+1,1),OverEnd,"&gt;="&amp;DATE(YEAR($AC27),MONTH($AC27),1))&gt;0,SUMIFS(OverValue,OverEmp,$C27,OverDeduct,Q$5,OverDate,"&lt;"&amp;DATE(YEAR($AC27),MONTH($AC27)+1,1),OverEnd,"&gt;="&amp;DATE(YEAR($AC27),MONTH($AC27),1)),IF(OR(Q$2="Fixed",Q$2="Not Used"),(IF(COUNTIFS(EmpNo,$C27,OFFSET(Emp!$R$4,1,MATCH(Q$5,DedListItem,0)-1,EmpCount,1),"&lt;&gt;")&gt;0,VLOOKUP($C27,EmpAll,COLUMN(Emp!$R$4)+MATCH(Q$5,DedListItem,0)-1,0),OFFSET(Setup!$E$73,MATCH(Q$5,DedListItem,0),0,1,1))*$AA27)-SUMIFS(OFFSET(Q$6,1,0,PayCount,1),PayDate,"&lt;"&amp;$AC27,PayEmp,$C27),IF(ISNA(MATCH(Q$2,EarnListItem,0))=FALSE,IF(OFFSET(Setup!$G$73,MATCH(Q$5,DedListItem,0),0,1,1)="Taxable",SUMPRODUCT((PayEmp=$C27)*(PayDate&lt;=$AC27)*(PayEarnCode=Q$2)*(PayEarnTax)*(PayEarnValues)),SUMPRODUCT((PayEmp=$C27)*(PayDate&lt;=$AC27)*(PayEarnCode=Q$2)*(PayEarnValues)))*IF(COUNTIFS(EmpNo,$C27,OFFSET(Emp!$R$4,1,MATCH(Q$5,DedListItem,0)-1,EmpCount,1),"&lt;&gt;")&gt;0,VLOOKUP($C27,EmpAll,COLUMN(Emp!$R$4)+MATCH(Q$5,DedListItem,0)-1,0),OFFSET(Setup!$E$73,MATCH(Q$5,DedListItem,0),0,1,1)),(MIN(IF(OFFSET(Setup!$G$73,MATCH(Q$5,DedListItem,0),0,1,1)="Taxable",SUMPRODUCT((PayEmp=$C27)*(PayDate&lt;=$AC27)*(ISERROR(SEARCH(PayEarnCode,Q$4)))*(PayEarnTax)*(PayEarnValues)),SUMPRODUCT((PayEmp=$C27)*(PayDate&lt;=$AC27)*(ISERROR(SEARCH(PayEarnCode,Q$4)))*(PayEarnValues))),IF(ISNUMBER(Q$3),Q$3/12*$AA27,IgnoreMin)))*IF(COUNTIFS(EmpNo,$C27,OFFSET(Emp!$R$4,1,MATCH(Q$5,DedListItem,0)-1,EmpCount,1),"&lt;&gt;")&gt;0,VLOOKUP($C27,EmpAll,COLUMN(Emp!$R$4)+MATCH(Q$5,DedListItem,0)-1,0),OFFSET(Setup!$E$73,MATCH(Q$5,DedListItem,0),0,1,1)))-SUMIFS(OFFSET(Q$6,1,0,PayCount,1),PayDate,"&lt;"&amp;$AC27,PayEmp,$C27))))))</f>
        <v>0</v>
      </c>
      <c r="R27" s="185">
        <f t="shared" ca="1" si="1"/>
        <v>100</v>
      </c>
      <c r="S27" s="139">
        <f t="shared" ca="1" si="2"/>
        <v>9900</v>
      </c>
      <c r="T27" s="133" cm="1">
        <f t="array" aca="1" ref="T27" ca="1">IF($F27="Terminated",0,IF($AA27=0,0,IF(ISNA(MATCH(T$5,CompListItem,0)),0,IF(COUNTIFS(OverEmp,$C27,OverComp,T$5,OverDate,"&lt;"&amp;DATE(YEAR($AC27),MONTH($AC27)+1,1),OverEnd,"&gt;="&amp;DATE(YEAR($AC27),MONTH($AC27),1))&gt;0,SUMIFS(OverValue,OverEmp,$C27,OverComp,T$5,OverDate,"&lt;"&amp;DATE(YEAR($AC27),MONTH($AC27)+1,1),OverEnd,"&gt;="&amp;DATE(YEAR($AC27),MONTH($AC27),1)),IF(OR(T$2="Fixed",T$2="Not Used"),(OFFSET(Setup!$E$81,MATCH(T$5,CompListItem,0),0,1,1)*$AA27)-SUMIFS(OFFSET(T$6,1,0,PayCount,1),PayDate,"&lt;"&amp;$AC27,PayEmp,$C27),IF(ISNA(MATCH(T$2,DedListItem,0))=FALSE,(SUMPRODUCT((PayEmp=$C27)*(PayDate&lt;=$AC27)*(PayDedList=T$2)*(PayDedValues))*OFFSET(Setup!$E$81,MATCH(T$5,CompListItem,0),0,1,1))-SUMIFS(OFFSET(T$6,1,0,PayCount,1),PayDate,"&lt;"&amp;$AC27,PayEmp,$C27),(MIN(IF(OFFSET(Setup!$G$81,MATCH(T$5,CompListItem,0),0,1,1)="Taxable",SUMPRODUCT((PayEmp=$C27)*(PayDate&lt;=$AC27)*(ISERROR(SEARCH(PayEarnCode,T$4)))*(PayEarnTax)*(PayEarnValues)),SUMPRODUCT((PayEmp=$C27)*(PayDate&lt;=$AC27)*(ISERROR(SEARCH(PayEarnCode,T$4)))*(PayEarnValues))),IF(ISNUMBER(T$3),T$3/12*$AA27,IgnoreMin)))*OFFSET(Setup!$E$81,MATCH(T$5,CompListItem,0),0,1,1)-SUMIFS(OFFSET(T$6,1,0,PayCount,1),PayDate,"&lt;"&amp;$AC27,PayEmp,$C27)))))))</f>
        <v>100</v>
      </c>
      <c r="U27" s="133" cm="1">
        <f t="array" aca="1" ref="U27" ca="1">IF($F27="Terminated",0,IF($AA27=0,0,IF(ISNA(MATCH(U$5,CompListItem,0)),0,IF(COUNTIFS(OverEmp,$C27,OverComp,U$5,OverDate,"&lt;"&amp;DATE(YEAR($AC27),MONTH($AC27)+1,1),OverEnd,"&gt;="&amp;DATE(YEAR($AC27),MONTH($AC27),1))&gt;0,SUMIFS(OverValue,OverEmp,$C27,OverComp,U$5,OverDate,"&lt;"&amp;DATE(YEAR($AC27),MONTH($AC27)+1,1),OverEnd,"&gt;="&amp;DATE(YEAR($AC27),MONTH($AC27),1)),IF(OR(U$2="Fixed",U$2="Not Used"),(OFFSET(Setup!$E$81,MATCH(U$5,CompListItem,0),0,1,1)*$AA27)-SUMIFS(OFFSET(U$6,1,0,PayCount,1),PayDate,"&lt;"&amp;$AC27,PayEmp,$C27),IF(ISNA(MATCH(U$2,DedListItem,0))=FALSE,(SUMPRODUCT((PayEmp=$C27)*(PayDate&lt;=$AC27)*(PayDedList=U$2)*(PayDedValues))*OFFSET(Setup!$E$81,MATCH(U$5,CompListItem,0),0,1,1))-SUMIFS(OFFSET(U$6,1,0,PayCount,1),PayDate,"&lt;"&amp;$AC27,PayEmp,$C27),(MIN(IF(OFFSET(Setup!$G$81,MATCH(U$5,CompListItem,0),0,1,1)="Taxable",SUMPRODUCT((PayEmp=$C27)*(PayDate&lt;=$AC27)*(ISERROR(SEARCH(PayEarnCode,U$4)))*(PayEarnTax)*(PayEarnValues)),SUMPRODUCT((PayEmp=$C27)*(PayDate&lt;=$AC27)*(ISERROR(SEARCH(PayEarnCode,U$4)))*(PayEarnValues))),IF(ISNUMBER(U$3),U$3/12*$AA27,IgnoreMin)))*OFFSET(Setup!$E$81,MATCH(U$5,CompListItem,0),0,1,1)-SUMIFS(OFFSET(U$6,1,0,PayCount,1),PayDate,"&lt;"&amp;$AC27,PayEmp,$C27)))))))</f>
        <v>100</v>
      </c>
      <c r="V27" s="133" cm="1">
        <f t="array" aca="1" ref="V27" ca="1">IF($F27="Terminated",0,IF($AA27=0,0,IF(ISNA(MATCH(V$5,CompListItem,0)),0,IF(COUNTIFS(OverEmp,$C27,OverComp,V$5,OverDate,"&lt;"&amp;DATE(YEAR($AC27),MONTH($AC27)+1,1),OverEnd,"&gt;="&amp;DATE(YEAR($AC27),MONTH($AC27),1))&gt;0,SUMIFS(OverValue,OverEmp,$C27,OverComp,V$5,OverDate,"&lt;"&amp;DATE(YEAR($AC27),MONTH($AC27)+1,1),OverEnd,"&gt;="&amp;DATE(YEAR($AC27),MONTH($AC27),1)),IF(OR(V$2="Fixed",V$2="Not Used"),(OFFSET(Setup!$E$81,MATCH(V$5,CompListItem,0),0,1,1)*$AA27)-SUMIFS(OFFSET(V$6,1,0,PayCount,1),PayDate,"&lt;"&amp;$AC27,PayEmp,$C27),IF(ISNA(MATCH(V$2,DedListItem,0))=FALSE,(SUMPRODUCT((PayEmp=$C27)*(PayDate&lt;=$AC27)*(PayDedList=V$2)*(PayDedValues))*OFFSET(Setup!$E$81,MATCH(V$5,CompListItem,0),0,1,1))-SUMIFS(OFFSET(V$6,1,0,PayCount,1),PayDate,"&lt;"&amp;$AC27,PayEmp,$C27),(MIN(IF(OFFSET(Setup!$G$81,MATCH(V$5,CompListItem,0),0,1,1)="Taxable",SUMPRODUCT((PayEmp=$C27)*(PayDate&lt;=$AC27)*(ISERROR(SEARCH(PayEarnCode,V$4)))*(PayEarnTax)*(PayEarnValues)),SUMPRODUCT((PayEmp=$C27)*(PayDate&lt;=$AC27)*(ISERROR(SEARCH(PayEarnCode,V$4)))*(PayEarnValues))),IF(ISNUMBER(V$3),V$3/12*$AA27,IgnoreMin)))*OFFSET(Setup!$E$81,MATCH(V$5,CompListItem,0),0,1,1)-SUMIFS(OFFSET(V$6,1,0,PayCount,1),PayDate,"&lt;"&amp;$AC27,PayEmp,$C27)))))))</f>
        <v>0</v>
      </c>
      <c r="W27" s="133" cm="1">
        <f t="array" aca="1" ref="W27" ca="1">IF($F27="Terminated",0,IF($AA27=0,0,IF(ISNA(MATCH(W$5,CompListItem,0)),0,IF(COUNTIFS(OverEmp,$C27,OverComp,W$5,OverDate,"&lt;"&amp;DATE(YEAR($AC27),MONTH($AC27)+1,1),OverEnd,"&gt;="&amp;DATE(YEAR($AC27),MONTH($AC27),1))&gt;0,SUMIFS(OverValue,OverEmp,$C27,OverComp,W$5,OverDate,"&lt;"&amp;DATE(YEAR($AC27),MONTH($AC27)+1,1),OverEnd,"&gt;="&amp;DATE(YEAR($AC27),MONTH($AC27),1)),IF(OR(W$2="Fixed",W$2="Not Used"),(OFFSET(Setup!$E$81,MATCH(W$5,CompListItem,0),0,1,1)*$AA27)-SUMIFS(OFFSET(W$6,1,0,PayCount,1),PayDate,"&lt;"&amp;$AC27,PayEmp,$C27),IF(ISNA(MATCH(W$2,DedListItem,0))=FALSE,(SUMPRODUCT((PayEmp=$C27)*(PayDate&lt;=$AC27)*(PayDedList=W$2)*(PayDedValues))*OFFSET(Setup!$E$81,MATCH(W$5,CompListItem,0),0,1,1))-SUMIFS(OFFSET(W$6,1,0,PayCount,1),PayDate,"&lt;"&amp;$AC27,PayEmp,$C27),(MIN(IF(OFFSET(Setup!$G$81,MATCH(W$5,CompListItem,0),0,1,1)="Taxable",SUMPRODUCT((PayEmp=$C27)*(PayDate&lt;=$AC27)*(ISERROR(SEARCH(PayEarnCode,W$4)))*(PayEarnTax)*(PayEarnValues)),SUMPRODUCT((PayEmp=$C27)*(PayDate&lt;=$AC27)*(ISERROR(SEARCH(PayEarnCode,W$4)))*(PayEarnValues))),IF(ISNUMBER(W$3),W$3/12*$AA27,IgnoreMin)))*OFFSET(Setup!$E$81,MATCH(W$5,CompListItem,0),0,1,1)-SUMIFS(OFFSET(W$6,1,0,PayCount,1),PayDate,"&lt;"&amp;$AC27,PayEmp,$C27)))))))</f>
        <v>0</v>
      </c>
      <c r="X27" s="185">
        <f t="shared" ca="1" si="3"/>
        <v>200</v>
      </c>
      <c r="Y27" s="139">
        <f t="shared" ca="1" si="4"/>
        <v>10200</v>
      </c>
      <c r="Z27" s="139">
        <f t="shared" ca="1" si="5"/>
        <v>300</v>
      </c>
      <c r="AA27" s="146">
        <f ca="1">IF(OR($B27&lt;=Setup!$E$12,$B27&gt;=Setup!$D$12+1),0,IF($F27&lt;&gt;"Active",0,IF($AE27="Yes",$AB27,((YEAR($AC27)*12)+MONTH($AC27))-((YEAR($AD27)*12)+MONTH($AD27)-1))))</f>
        <v>2</v>
      </c>
      <c r="AB27" s="146">
        <f ca="1">IF(OR($B27&lt;=Setup!$E$12,$B27&gt;=Setup!$D$12+1),0,((YEAR($AC27)*12)+MONTH($AC27))-((YEAR(Setup!$E$12)*12)+MONTH(Setup!$E$12)))</f>
        <v>2</v>
      </c>
      <c r="AC27" s="186">
        <f t="shared" ca="1" si="6"/>
        <v>45041</v>
      </c>
      <c r="AD27" s="144">
        <f ca="1">IF(ISNA(VLOOKUP($C27,EmpAll,COLUMN(Emp!$E$4),0)),$AC27,IF(VLOOKUP($C27,EmpAll,COLUMN(Emp!$E$4),0)&lt;=Setup!$E$12,DATE(YEAR(Setup!$E$12),MONTH(Setup!$E$12)+1,1),VLOOKUP($C27,EmpAll,COLUMN(Emp!$E$4),0)))</f>
        <v>44986</v>
      </c>
      <c r="AE27" s="144" t="str">
        <f ca="1">IF(ISNA(VLOOKUP($C27,EmpAll,COLUMN(Emp!$G$1),0)),"-",IF(VLOOKUP($C27,EmpAll,COLUMN(Emp!$G$1),0)=0,"-",VLOOKUP($C27,EmpAll,COLUMN(Emp!$G$1),0)))</f>
        <v>-</v>
      </c>
      <c r="AF27" s="145">
        <f ca="1">IF(A27=PaySlip!$G$3,1,0)</f>
        <v>0</v>
      </c>
      <c r="AG27" s="130" cm="1">
        <f t="array" aca="1" ref="AG27" ca="1">IF(COUNTIFS(OverEmp,$C27,OverMed,"MED",OverDate,"&lt;"&amp;DATE(YEAR($AC27),MONTH($AC27)+1,1),OverEnd,"&gt;="&amp;DATE(YEAR($AC27),MONTH($AC27),1))&gt;0,SUMIFS(OverValue,OverEmp,$C27,OverMed,"MED",OverDate,"&lt;"&amp;DATE(YEAR($AC27),MONTH($AC27)+1,1),OverEnd,"&gt;="&amp;DATE(YEAR($AC27),MONTH($AC27),1)),IF(ISNA(VLOOKUP($C27,EmpAll,COLUMN(Emp!$N$4),0)),0,VLOOKUP($C27,EmpAll,COLUMN(Emp!$N$4),0)))</f>
        <v>1</v>
      </c>
      <c r="AH27" s="146">
        <f ca="1">VLOOKUP($AG27,MedList,COLUMN(Setup!$C$49),1)</f>
        <v>364</v>
      </c>
      <c r="AI27" s="146">
        <f t="shared" ca="1" si="7"/>
        <v>4368</v>
      </c>
      <c r="AJ27" s="101" t="str">
        <f ca="1">IF(ISNA(VLOOKUP($C27,EmpAll,COLUMN(Emp!$L$4),0)),"None!",VLOOKUP($C27,EmpAll,COLUMN(Emp!$L$4),0))</f>
        <v>A</v>
      </c>
      <c r="AK27" s="147">
        <f t="shared" ca="1" si="8"/>
        <v>17235</v>
      </c>
      <c r="AL27" s="101" t="str">
        <f ca="1">IF(ISNA(VLOOKUP($C27,Employees[],COLUMN(Emp!$M$4),0))=TRUE,"Error!",IF(VLOOKUP($C27,Employees[],COLUMN(Emp!$M$4),0)=0,"Yes",VLOOKUP($C27,Employees[],COLUMN(Emp!$M$4),0)))</f>
        <v>A</v>
      </c>
      <c r="AM27" s="148">
        <f t="shared" ca="1" si="9"/>
        <v>120000</v>
      </c>
      <c r="AN27" s="148" cm="1">
        <f t="array" aca="1" ref="AN27" ca="1">-IF($F27="Terminated",0,IF($AA27=0,0,IF(ISNA(MATCH(AN$5,PayDedList,0)),0,MIN(IF(COUNTIFS(OverEmp,$C27,OverDeduct,AN$5,OverDate,"&lt;"&amp;DATE(YEAR($AC27),MONTH($AC27)+1,1),OverEnd,"&gt;="&amp;DATE(YEAR($AC27),MONTH($AC27),1))&gt;0,SUMPRODUCT((PayEmp=$C27)*(PayDate&lt;=$AC27)*(OFFSET($N$6,1,MATCH(AN$5,PayDedList,0)-1,PayCount,1)))/$AA27*12*AN$3,IF(OR(AN$1="Fixed",AN$1="Not Used"),SUMPRODUCT((PayEmp=$C27)*(PayDate&lt;=$AC27)*(OFFSET($N$6,1,MATCH(AN$5,PayDedList,0)-1,PayCount,1)))/$AA27*12*AN$3,IF(ISNA(MATCH(AN$1,EarnListItem,0))=FALSE,SUMPRODUCT((PayEmp=$C27)*(PayDate&lt;=$AC27)*(OFFSET($N$6,1,MATCH(AN$5,PayDedList,0)-1,PayCount,1)))/$AA27*12*AN$3,(MIN(((SUMPRODUCT((PayEmp=$C27)*(PayDate&lt;=$AC27)*(ISERROR(SEARCH(PayEarnCode,AN$2)))*(PayEarnType="Monthly")*(PayEarnValues))/$AA27*12)+(SUMPRODUCT((PayEmp=$C27)*(PayDate&lt;=$AC27)*(ISERROR(SEARCH(PayEarnCode,AN$2)))*(PayEarnType="Quarterly")*(PayEarnValues))/MAX(1,ROUNDDOWN($AB27/3,0))*4)+(SUMPRODUCT((PayEmp=$C27)*(PayDate&lt;=$AC27)*(ISERROR(SEARCH(PayEarnCode,AN$2)))*(PayEarnType="Bi-Annual")*(PayEarnValues))/MAX(1,ROUNDDOWN($AB27/6,0))*2)+(SUMPRODUCT((PayEmp=$C27)*(PayDate&lt;=$AC27)*(ISERROR(SEARCH(PayEarnCode,AN$2)))*(PayEarnType="Annual")*(PayEarnValues)))),IF(ISNUMBER(OFFSET($N$3,0,MATCH(AN$5,PayDedList,0)-1,1,1)),OFFSET($N$3,0,MATCH(AN$5,PayDedList,0)-1,1,1),IgnoreMin)))*IF(COUNTIFS(EmpNo,$C27,OFFSET(Emp!$R$4,1,MATCH(AN$5,DedListItem,0)-1,EmpCount,1),"&lt;&gt;")&gt;0,VLOOKUP($C27,EmpAll,COLUMN(Emp!$R$4)+MATCH(AN$5,DedListItem,0)-1,0),OFFSET(Setup!$E$73,MATCH(AN$5,DedListItem,0),0,1,1))*AN$3))),IF(ISNUMBER(AN$4),AN$4,IgnoreMin)))))</f>
        <v>0</v>
      </c>
      <c r="AO27" s="148" cm="1">
        <f t="array" aca="1" ref="AO27" ca="1">-IF($F27="Terminated",0,IF($AA27=0,0,IF(ISNA(MATCH(AO$5,PayDedList,0)),0,MIN(IF(COUNTIFS(OverEmp,$C27,OverDeduct,AO$5,OverDate,"&lt;"&amp;DATE(YEAR($AC27),MONTH($AC27)+1,1),OverEnd,"&gt;="&amp;DATE(YEAR($AC27),MONTH($AC27),1))&gt;0,SUMPRODUCT((PayEmp=$C27)*(PayDate&lt;=$AC27)*(OFFSET($N$6,1,MATCH(AO$5,PayDedList,0)-1,PayCount,1)))/$AA27*12*AO$3,IF(OR(AO$1="Fixed",AO$1="Not Used"),SUMPRODUCT((PayEmp=$C27)*(PayDate&lt;=$AC27)*(OFFSET($N$6,1,MATCH(AO$5,PayDedList,0)-1,PayCount,1)))/$AA27*12*AO$3,IF(ISNA(MATCH(AO$1,EarnListItem,0))=FALSE,SUMPRODUCT((PayEmp=$C27)*(PayDate&lt;=$AC27)*(OFFSET($N$6,1,MATCH(AO$5,PayDedList,0)-1,PayCount,1)))/$AA27*12*AO$3,(MIN(((SUMPRODUCT((PayEmp=$C27)*(PayDate&lt;=$AC27)*(ISERROR(SEARCH(PayEarnCode,AO$2)))*(PayEarnType="Monthly")*(PayEarnValues))/$AA27*12)+(SUMPRODUCT((PayEmp=$C27)*(PayDate&lt;=$AC27)*(ISERROR(SEARCH(PayEarnCode,AO$2)))*(PayEarnType="Quarterly")*(PayEarnValues))/MAX(1,ROUNDDOWN($AB27/3,0))*4)+(SUMPRODUCT((PayEmp=$C27)*(PayDate&lt;=$AC27)*(ISERROR(SEARCH(PayEarnCode,AO$2)))*(PayEarnType="Bi-Annual")*(PayEarnValues))/MAX(1,ROUNDDOWN($AB27/6,0))*2)+(SUMPRODUCT((PayEmp=$C27)*(PayDate&lt;=$AC27)*(ISERROR(SEARCH(PayEarnCode,AO$2)))*(PayEarnType="Annual")*(PayEarnValues)))),IF(ISNUMBER(OFFSET($N$3,0,MATCH(AO$5,PayDedList,0)-1,1,1)),OFFSET($N$3,0,MATCH(AO$5,PayDedList,0)-1,1,1),IgnoreMin)))*IF(COUNTIFS(EmpNo,$C27,OFFSET(Emp!$R$4,1,MATCH(AO$5,DedListItem,0)-1,EmpCount,1),"&lt;&gt;")&gt;0,VLOOKUP($C27,EmpAll,COLUMN(Emp!$R$4)+MATCH(AO$5,DedListItem,0)-1,0),OFFSET(Setup!$E$73,MATCH(AO$5,DedListItem,0),0,1,1))*AO$3))),IF(ISNUMBER(AO$4),AO$4,IgnoreMin)))))</f>
        <v>0</v>
      </c>
      <c r="AP27" s="148" cm="1">
        <f t="array" aca="1" ref="AP27" ca="1">-IF($F27="Terminated",0,IF($AA27=0,0,IF(ISNA(MATCH(AP$5,PayDedList,0)),0,MIN(IF(COUNTIFS(OverEmp,$C27,OverDeduct,AP$5,OverDate,"&lt;"&amp;DATE(YEAR($AC27),MONTH($AC27)+1,1),OverEnd,"&gt;="&amp;DATE(YEAR($AC27),MONTH($AC27),1))&gt;0,SUMPRODUCT((PayEmp=$C27)*(PayDate&lt;=$AC27)*(OFFSET($N$6,1,MATCH(AP$5,PayDedList,0)-1,PayCount,1)))/$AA27*12*AP$3,IF(OR(AP$1="Fixed",AP$1="Not Used"),SUMPRODUCT((PayEmp=$C27)*(PayDate&lt;=$AC27)*(OFFSET($N$6,1,MATCH(AP$5,PayDedList,0)-1,PayCount,1)))/$AA27*12*AP$3,IF(ISNA(MATCH(AP$1,EarnListItem,0))=FALSE,SUMPRODUCT((PayEmp=$C27)*(PayDate&lt;=$AC27)*(OFFSET($N$6,1,MATCH(AP$5,PayDedList,0)-1,PayCount,1)))/$AA27*12*AP$3,(MIN(((SUMPRODUCT((PayEmp=$C27)*(PayDate&lt;=$AC27)*(ISERROR(SEARCH(PayEarnCode,AP$2)))*(PayEarnType="Monthly")*(PayEarnValues))/$AA27*12)+(SUMPRODUCT((PayEmp=$C27)*(PayDate&lt;=$AC27)*(ISERROR(SEARCH(PayEarnCode,AP$2)))*(PayEarnType="Quarterly")*(PayEarnValues))/MAX(1,ROUNDDOWN($AB27/3,0))*4)+(SUMPRODUCT((PayEmp=$C27)*(PayDate&lt;=$AC27)*(ISERROR(SEARCH(PayEarnCode,AP$2)))*(PayEarnType="Bi-Annual")*(PayEarnValues))/MAX(1,ROUNDDOWN($AB27/6,0))*2)+(SUMPRODUCT((PayEmp=$C27)*(PayDate&lt;=$AC27)*(ISERROR(SEARCH(PayEarnCode,AP$2)))*(PayEarnType="Annual")*(PayEarnValues)))),IF(ISNUMBER(OFFSET($N$3,0,MATCH(AP$5,PayDedList,0)-1,1,1)),OFFSET($N$3,0,MATCH(AP$5,PayDedList,0)-1,1,1),IgnoreMin)))*IF(COUNTIFS(EmpNo,$C27,OFFSET(Emp!$R$4,1,MATCH(AP$5,DedListItem,0)-1,EmpCount,1),"&lt;&gt;")&gt;0,VLOOKUP($C27,EmpAll,COLUMN(Emp!$R$4)+MATCH(AP$5,DedListItem,0)-1,0),OFFSET(Setup!$E$73,MATCH(AP$5,DedListItem,0),0,1,1))*AP$3))),IF(ISNUMBER(AP$4),AP$4,IgnoreMin)))))</f>
        <v>0</v>
      </c>
      <c r="AQ27" s="148" cm="1">
        <f t="array" aca="1" ref="AQ27" ca="1">-IF($F27="Terminated",0,IF($AA27=0,0,IF(ISNA(MATCH(AQ$5,PayDedList,0)),0,MIN(IF(COUNTIFS(OverEmp,$C27,OverDeduct,AQ$5,OverDate,"&lt;"&amp;DATE(YEAR($AC27),MONTH($AC27)+1,1),OverEnd,"&gt;="&amp;DATE(YEAR($AC27),MONTH($AC27),1))&gt;0,SUMPRODUCT((PayEmp=$C27)*(PayDate&lt;=$AC27)*(OFFSET($N$6,1,MATCH(AQ$5,PayDedList,0)-1,PayCount,1)))/$AA27*12*AQ$3,IF(OR(AQ$1="Fixed",AQ$1="Not Used"),SUMPRODUCT((PayEmp=$C27)*(PayDate&lt;=$AC27)*(OFFSET($N$6,1,MATCH(AQ$5,PayDedList,0)-1,PayCount,1)))/$AA27*12*AQ$3,IF(ISNA(MATCH(AQ$1,EarnListItem,0))=FALSE,SUMPRODUCT((PayEmp=$C27)*(PayDate&lt;=$AC27)*(OFFSET($N$6,1,MATCH(AQ$5,PayDedList,0)-1,PayCount,1)))/$AA27*12*AQ$3,(MIN(((SUMPRODUCT((PayEmp=$C27)*(PayDate&lt;=$AC27)*(ISERROR(SEARCH(PayEarnCode,AQ$2)))*(PayEarnType="Monthly")*(PayEarnValues))/$AA27*12)+(SUMPRODUCT((PayEmp=$C27)*(PayDate&lt;=$AC27)*(ISERROR(SEARCH(PayEarnCode,AQ$2)))*(PayEarnType="Quarterly")*(PayEarnValues))/MAX(1,ROUNDDOWN($AB27/3,0))*4)+(SUMPRODUCT((PayEmp=$C27)*(PayDate&lt;=$AC27)*(ISERROR(SEARCH(PayEarnCode,AQ$2)))*(PayEarnType="Bi-Annual")*(PayEarnValues))/MAX(1,ROUNDDOWN($AB27/6,0))*2)+(SUMPRODUCT((PayEmp=$C27)*(PayDate&lt;=$AC27)*(ISERROR(SEARCH(PayEarnCode,AQ$2)))*(PayEarnType="Annual")*(PayEarnValues)))),IF(ISNUMBER(OFFSET($N$3,0,MATCH(AQ$5,PayDedList,0)-1,1,1)),OFFSET($N$3,0,MATCH(AQ$5,PayDedList,0)-1,1,1),IgnoreMin)))*IF(COUNTIFS(EmpNo,$C27,OFFSET(Emp!$R$4,1,MATCH(AQ$5,DedListItem,0)-1,EmpCount,1),"&lt;&gt;")&gt;0,VLOOKUP($C27,EmpAll,COLUMN(Emp!$R$4)+MATCH(AQ$5,DedListItem,0)-1,0),OFFSET(Setup!$E$73,MATCH(AQ$5,DedListItem,0),0,1,1))*AQ$3))),IF(ISNUMBER(AQ$4),AQ$4,IgnoreMin)))))</f>
        <v>0</v>
      </c>
      <c r="AR27" s="148">
        <f t="shared" ca="1" si="10"/>
        <v>120000</v>
      </c>
      <c r="AS27" s="148">
        <f t="shared" ca="1" si="11"/>
        <v>120000</v>
      </c>
      <c r="AT27" s="148" cm="1">
        <f t="array" aca="1" ref="AT27" ca="1">-IF($F27="Terminated",0,IF($AA27=0,0,IF(ISNA(MATCH(AT$5,PayDedList,0)),0,MIN(IF(COUNTIFS(OverEmp,$C27,OverDeduct,AT$5,OverDate,"&lt;"&amp;DATE(YEAR($AC27),MONTH($AC27)+1,1),OverEnd,"&gt;="&amp;DATE(YEAR($AC27),MONTH($AC27),1))&gt;0,SUMPRODUCT((PayEmp=$C27)*(PayDate&lt;=$AC27)*(OFFSET($N$6,1,MATCH(AT$5,PayDedList,0)-1,PayCount,1)))/$AA27*12*AT$3,IF(OR(AT$1="Fixed",AT$1="Not Used"),SUMPRODUCT((PayEmp=$C27)*(PayDate&lt;=$AC27)*(OFFSET($N$6,1,MATCH(AT$5,PayDedList,0)-1,PayCount,1)))/$AA27*12*AT$3,IF(ISNA(MATCH(OFFSET($N$2,0,MATCH(AT$5,PayDedList,0)-1,1,1),EarnListItem,0))=FALSE,SUMPRODUCT((PayEmp=$C27)*(PayDate&lt;=$AC27)*(OFFSET($N$6,1,MATCH(AT$5,PayDedList,0)-1,PayCount,1)))/$AA27*12*AT$3,(MIN(SUMPRODUCT((PayEmp=$C27)*(PayDate&lt;=$AC27)*(ISERROR(SEARCH(PayEarnCode,AT$2)))*(PayEarnType="Monthly")*(PayEarnValues))/$AA27*12,IF(ISNUMBER(OFFSET($N$3,0,MATCH(AT$5,PayDedList,0)-1,1,1)),OFFSET($N$3,0,MATCH(AT$5,PayDedList,0)-1,1,1),IgnoreMin)))*IF(COUNTIFS(EmpNo,$C27,OFFSET(Emp!$R$4,1,MATCH(AT$5,DedListItem,0)-1,EmpCount,1),"&lt;&gt;")&gt;0,VLOOKUP($C27,EmpAll,COLUMN(Emp!$R$4)+MATCH(AT$5,DedListItem,0)-1,0),OFFSET(Setup!$E$73,MATCH(AT$5,DedListItem,0),0,1,1))*AT$3))),IF(ISNUMBER(AT$4),AT$4,IgnoreMin)))))</f>
        <v>0</v>
      </c>
      <c r="AU27" s="148" cm="1">
        <f t="array" aca="1" ref="AU27" ca="1">-IF($F27="Terminated",0,IF($AA27=0,0,IF(ISNA(MATCH(AU$5,PayDedList,0)),0,MIN(IF(COUNTIFS(OverEmp,$C27,OverDeduct,AU$5,OverDate,"&lt;"&amp;DATE(YEAR($AC27),MONTH($AC27)+1,1),OverEnd,"&gt;="&amp;DATE(YEAR($AC27),MONTH($AC27),1))&gt;0,SUMPRODUCT((PayEmp=$C27)*(PayDate&lt;=$AC27)*(OFFSET($N$6,1,MATCH(AU$5,PayDedList,0)-1,PayCount,1)))/$AA27*12*AU$3,IF(OR(AU$1="Fixed",AU$1="Not Used"),SUMPRODUCT((PayEmp=$C27)*(PayDate&lt;=$AC27)*(OFFSET($N$6,1,MATCH(AU$5,PayDedList,0)-1,PayCount,1)))/$AA27*12*AU$3,IF(ISNA(MATCH(OFFSET($N$2,0,MATCH(AU$5,PayDedList,0)-1,1,1),EarnListItem,0))=FALSE,SUMPRODUCT((PayEmp=$C27)*(PayDate&lt;=$AC27)*(OFFSET($N$6,1,MATCH(AU$5,PayDedList,0)-1,PayCount,1)))/$AA27*12*AU$3,(MIN(SUMPRODUCT((PayEmp=$C27)*(PayDate&lt;=$AC27)*(ISERROR(SEARCH(PayEarnCode,AU$2)))*(PayEarnType="Monthly")*(PayEarnValues))/$AA27*12,IF(ISNUMBER(OFFSET($N$3,0,MATCH(AU$5,PayDedList,0)-1,1,1)),OFFSET($N$3,0,MATCH(AU$5,PayDedList,0)-1,1,1),IgnoreMin)))*IF(COUNTIFS(EmpNo,$C27,OFFSET(Emp!$R$4,1,MATCH(AU$5,DedListItem,0)-1,EmpCount,1),"&lt;&gt;")&gt;0,VLOOKUP($C27,EmpAll,COLUMN(Emp!$R$4)+MATCH(AU$5,DedListItem,0)-1,0),OFFSET(Setup!$E$73,MATCH(AU$5,DedListItem,0),0,1,1))*AU$3))),IF(ISNUMBER(AU$4),AU$4,IgnoreMin)))))</f>
        <v>0</v>
      </c>
      <c r="AV27" s="148" cm="1">
        <f t="array" aca="1" ref="AV27" ca="1">-IF($F27="Terminated",0,IF($AA27=0,0,IF(ISNA(MATCH(AV$5,PayDedList,0)),0,MIN(IF(COUNTIFS(OverEmp,$C27,OverDeduct,AV$5,OverDate,"&lt;"&amp;DATE(YEAR($AC27),MONTH($AC27)+1,1),OverEnd,"&gt;="&amp;DATE(YEAR($AC27),MONTH($AC27),1))&gt;0,SUMPRODUCT((PayEmp=$C27)*(PayDate&lt;=$AC27)*(OFFSET($N$6,1,MATCH(AV$5,PayDedList,0)-1,PayCount,1)))/$AA27*12*AV$3,IF(OR(AV$1="Fixed",AV$1="Not Used"),SUMPRODUCT((PayEmp=$C27)*(PayDate&lt;=$AC27)*(OFFSET($N$6,1,MATCH(AV$5,PayDedList,0)-1,PayCount,1)))/$AA27*12*AV$3,IF(ISNA(MATCH(OFFSET($N$2,0,MATCH(AV$5,PayDedList,0)-1,1,1),EarnListItem,0))=FALSE,SUMPRODUCT((PayEmp=$C27)*(PayDate&lt;=$AC27)*(OFFSET($N$6,1,MATCH(AV$5,PayDedList,0)-1,PayCount,1)))/$AA27*12*AV$3,(MIN(SUMPRODUCT((PayEmp=$C27)*(PayDate&lt;=$AC27)*(ISERROR(SEARCH(PayEarnCode,AV$2)))*(PayEarnType="Monthly")*(PayEarnValues))/$AA27*12,IF(ISNUMBER(OFFSET($N$3,0,MATCH(AV$5,PayDedList,0)-1,1,1)),OFFSET($N$3,0,MATCH(AV$5,PayDedList,0)-1,1,1),IgnoreMin)))*IF(COUNTIFS(EmpNo,$C27,OFFSET(Emp!$R$4,1,MATCH(AV$5,DedListItem,0)-1,EmpCount,1),"&lt;&gt;")&gt;0,VLOOKUP($C27,EmpAll,COLUMN(Emp!$R$4)+MATCH(AV$5,DedListItem,0)-1,0),OFFSET(Setup!$E$73,MATCH(AV$5,DedListItem,0),0,1,1))*AV$3))),IF(ISNUMBER(AV$4),AV$4,IgnoreMin)))))</f>
        <v>0</v>
      </c>
      <c r="AW27" s="148" cm="1">
        <f t="array" aca="1" ref="AW27" ca="1">-IF($F27="Terminated",0,IF($AA27=0,0,IF(ISNA(MATCH(AW$5,PayDedList,0)),0,MIN(IF(COUNTIFS(OverEmp,$C27,OverDeduct,AW$5,OverDate,"&lt;"&amp;DATE(YEAR($AC27),MONTH($AC27)+1,1),OverEnd,"&gt;="&amp;DATE(YEAR($AC27),MONTH($AC27),1))&gt;0,SUMPRODUCT((PayEmp=$C27)*(PayDate&lt;=$AC27)*(OFFSET($N$6,1,MATCH(AW$5,PayDedList,0)-1,PayCount,1)))/$AA27*12*AW$3,IF(OR(AW$1="Fixed",AW$1="Not Used"),SUMPRODUCT((PayEmp=$C27)*(PayDate&lt;=$AC27)*(OFFSET($N$6,1,MATCH(AW$5,PayDedList,0)-1,PayCount,1)))/$AA27*12*AW$3,IF(ISNA(MATCH(OFFSET($N$2,0,MATCH(AW$5,PayDedList,0)-1,1,1),EarnListItem,0))=FALSE,SUMPRODUCT((PayEmp=$C27)*(PayDate&lt;=$AC27)*(OFFSET($N$6,1,MATCH(AW$5,PayDedList,0)-1,PayCount,1)))/$AA27*12*AW$3,(MIN(SUMPRODUCT((PayEmp=$C27)*(PayDate&lt;=$AC27)*(ISERROR(SEARCH(PayEarnCode,AW$2)))*(PayEarnType="Monthly")*(PayEarnValues))/$AA27*12,IF(ISNUMBER(OFFSET($N$3,0,MATCH(AW$5,PayDedList,0)-1,1,1)),OFFSET($N$3,0,MATCH(AW$5,PayDedList,0)-1,1,1),IgnoreMin)))*IF(COUNTIFS(EmpNo,$C27,OFFSET(Emp!$R$4,1,MATCH(AW$5,DedListItem,0)-1,EmpCount,1),"&lt;&gt;")&gt;0,VLOOKUP($C27,EmpAll,COLUMN(Emp!$R$4)+MATCH(AW$5,DedListItem,0)-1,0),OFFSET(Setup!$E$73,MATCH(AW$5,DedListItem,0),0,1,1))*AW$3))),IF(ISNUMBER(AW$4),AW$4,IgnoreMin)))))</f>
        <v>0</v>
      </c>
      <c r="AX27" s="148">
        <f t="shared" ca="1" si="12"/>
        <v>120000</v>
      </c>
      <c r="AY27" s="148">
        <f t="shared" ca="1" si="13"/>
        <v>0</v>
      </c>
      <c r="AZ27" s="148">
        <f ca="1">IF(ISNUMBER($AL27),($AR27*$AL27)-$AI27-$AK27,MAX(0,IF($AL27="B",IF($AR27&lt;Setup!$C$32,($AR27*Setup!$D$32)-$AI27-$AK27,(($AR27-VLOOKUP($AR27,TaxAll2,1,1))*OFFSET(Setup!$D$32,MATCH($AR27,TaxBracket2,1),0,1,1))+OFFSET(Setup!$E$31,MATCH($AR27,TaxBracket2,1),0,1,1)-$AI27-$AK27),IF($AR27&lt;Setup!$C$21,($AR27*Setup!$D$21)-$AI27-$AK27,(($AR27-VLOOKUP($AR27,TaxAll1,1,1))*OFFSET(Setup!$D$21,MATCH($AR27,TaxBracket1,1),0,1,1))+OFFSET(Setup!$E$20,MATCH($AR27,TaxBracket1,1),0,1,1)-$AI27-$AK27))))</f>
        <v>0</v>
      </c>
      <c r="BA27" s="148">
        <f ca="1">IF(ISNUMBER($AL27),($AX27*$AL27)-$AI27-$AK27,MAX(0,IF($AL27="B",IF($AX27&lt;Setup!$C$32,($AX27*Setup!$D$32)-$AI27-$AK27,(($AX27-VLOOKUP($AX27,TaxAll2,1,1))*OFFSET(Setup!$D$32,MATCH($AX27,TaxBracket2,1),0,1,1))+OFFSET(Setup!$E$31,MATCH($AX27,TaxBracket2,1),0,1,1)-$AI27-$AK27),IF($AX27&lt;Setup!$C$21,($AX27*Setup!$D$21)-$AI27-$AK27,(($AX27-VLOOKUP($AX27,TaxAll1,1,1))*OFFSET(Setup!$D$21,MATCH($AX27,TaxBracket1,1),0,1,1))+OFFSET(Setup!$E$20,MATCH($AX27,TaxBracket1,1),0,1,1)-$AI27-$AK27))))</f>
        <v>0</v>
      </c>
      <c r="BB27" s="148">
        <f t="shared" ca="1" si="14"/>
        <v>0</v>
      </c>
      <c r="BC27" s="150">
        <f t="shared" ca="1" si="15"/>
        <v>1</v>
      </c>
      <c r="BD27" s="150">
        <f t="shared" ca="1" si="16"/>
        <v>0</v>
      </c>
      <c r="BE27" s="148">
        <f t="shared" ca="1" si="17"/>
        <v>120000</v>
      </c>
    </row>
    <row r="28" spans="1:57" ht="16.149999999999999" customHeight="1" x14ac:dyDescent="0.25">
      <c r="A28" s="10" t="str" cm="1">
        <f t="array" aca="1" ref="A28" ca="1">IF(ROW($A28)-ROW($A$6)&gt;EmpCount*12,"-",TEXT($B28,"yyyy")&amp;TEXT($B28,"mm")&amp;"-"&amp;$C28)</f>
        <v>202304-EXS007</v>
      </c>
      <c r="B28" s="137" cm="1">
        <f t="array" aca="1" ref="B28" ca="1">IF(ROW($A28)-ROW($A$6)&gt;EmpCount*12,Setup!$D$12,DATE(YEAR(Setup!$F$12),MONTH(Setup!$F$12)+ROUNDDOWN((ROW($A28)-ROW($A$6)-1)/EmpCount,0),IF(Setup!$C$14&gt;DAY(DATE(YEAR(Setup!$F$12),MONTH(Setup!$F$12)+ROUNDDOWN((ROW($A28)-ROW($A$6)-1)/EmpCount,0)+1,0)),DAY(DATE(YEAR(Setup!$F$12),MONTH(Setup!$F$12)+ROUNDDOWN((ROW($A28)-ROW($A$6)-1)/EmpCount,0)+1,0)),Setup!$C$14)))</f>
        <v>45041</v>
      </c>
      <c r="C28" s="101" t="str" cm="1">
        <f t="array" aca="1" ref="C28" ca="1">IF(ROW($A28)-ROW($A$6)&gt;EmpCount*12,"-",OFFSET(Emp!$A$4,ROW($A28)-ROW($A$6)-IF(ROW($A28)-ROW($A$6)&gt;EmpCount,ROUNDDOWN((ROW($A28)-ROW($A$6)-1)/EmpCount,0)*EmpCount,0),0,1,1))</f>
        <v>EXS007</v>
      </c>
      <c r="D28" s="10" t="str">
        <f ca="1">IF(ISNA(VLOOKUP($C28,EmpAll,COLUMN(Emp!$B$4),0)),"-",VLOOKUP($C28,EmpAll,COLUMN(Emp!$B$4),0))</f>
        <v>Phillips KE</v>
      </c>
      <c r="E28" s="145" t="str">
        <f ca="1">IF(ISNA(VLOOKUP($C28,EmpAll,COLUMN(Emp!$C$4),0)),"-",VLOOKUP($C28,EmpAll,COLUMN(Emp!$C$4),0))</f>
        <v>A</v>
      </c>
      <c r="F28" s="101" t="str">
        <f ca="1">IF(ISNA(VLOOKUP($C28,EmpAll,COLUMN(Emp!$A$4),0)),"-",IF(AND(VLOOKUP($C28,EmpAll,COLUMN(Emp!$E$4),0)&lt;&gt;0,VLOOKUP($C28,EmpAll,COLUMN(Emp!$E$4),0)&gt;=DATE(YEAR($AC28),MONTH($AC28)+1,0)),"Inactive",IF(AND(VLOOKUP($C28,EmpAll,COLUMN(Emp!$F$4),0)&lt;&gt;0,VLOOKUP($C28,EmpAll,COLUMN(Emp!$F$4),0)&lt;=DATE(YEAR($AC28),MONTH($AC28),0)),"Terminated","Active")))</f>
        <v>Active</v>
      </c>
      <c r="G28" s="133" cm="1">
        <f t="array" aca="1" ref="G28" ca="1">IF($F28&lt;&gt;"Active",0,IF(COUNTIFS(OverEmp,$C28,OverEarn,G$2,OverDate,"&lt;"&amp;DATE(YEAR($AC28),MONTH($AC28)+1,1),OverEnd,"&gt;="&amp;DATE(YEAR($AC28),MONTH($AC28),1))&gt;0,SUMIFS(OverValue,OverEmp,$C28,OverEarn,G$2,OverDate,"&lt;"&amp;DATE(YEAR($AC28),MONTH($AC28)+1,1),OverEnd,"&gt;="&amp;DATE(YEAR($AC28),MONTH($AC28),1)),IF(AND($AC28&gt;=Setup!$E$10,SUMIFS(EmpIncrease,EmpCode,$C28)&gt;0),SUMIFS(EmpIncrease,EmpCode,$C28),SUMIFS(EmpSalary,EmpCode,$C28))))</f>
        <v>25000</v>
      </c>
      <c r="H28" s="133" cm="1">
        <f t="array" aca="1" ref="H28" ca="1">IF($F28&lt;&gt;"Active",0,IF(COUNTIFS(OverEmp,$C28,OverEarn,H$2,OverDate,"&lt;"&amp;DATE(YEAR($AC28),MONTH($AC28)+1,1),OverEnd,"&gt;="&amp;DATE(YEAR($AC28),MONTH($AC28),1))&gt;0,SUMIFS(OverValue,OverEmp,$C28,OverEarn,H$2,OverDate,"&lt;"&amp;DATE(YEAR($AC28),MONTH($AC28)+1,1),OverEnd,"&gt;="&amp;DATE(YEAR($AC28),MONTH($AC28),1)),0))</f>
        <v>0</v>
      </c>
      <c r="I28" s="133" cm="1">
        <f t="array" aca="1" ref="I28" ca="1">IF($F28&lt;&gt;"Active",0,IF(COUNTIFS(OverEmp,$C28,OverEarn,I$2,OverDate,"&lt;"&amp;DATE(YEAR($AC28),MONTH($AC28)+1,1),OverEnd,"&gt;="&amp;DATE(YEAR($AC28),MONTH($AC28),1))&gt;0,SUMIFS(OverValue,OverEmp,$C28,OverEarn,I$2,OverDate,"&lt;"&amp;DATE(YEAR($AC28),MONTH($AC28)+1,1),OverEnd,"&gt;="&amp;DATE(YEAR($AC28),MONTH($AC28),1)),IF(MONTH(B28)=Setup!$C$15,SUMIFS(EmpBonus,EmpCode,$C28),0)))</f>
        <v>0</v>
      </c>
      <c r="J28" s="133" cm="1">
        <f t="array" aca="1" ref="J28" ca="1">IF($F28&lt;&gt;"Active",0,IF(COUNTIFS(OverEmp,$C28,OverEarn,J$2,OverDate,"&lt;"&amp;DATE(YEAR($AC28),MONTH($AC28)+1,1),OverEnd,"&gt;="&amp;DATE(YEAR($AC28),MONTH($AC28),1))&gt;0,SUMIFS(OverValue,OverEmp,$C28,OverEarn,J$2,OverDate,"&lt;"&amp;DATE(YEAR($AC28),MONTH($AC28)+1,1),OverEnd,"&gt;="&amp;DATE(YEAR($AC28),MONTH($AC28),1)),0))</f>
        <v>0</v>
      </c>
      <c r="K28" s="133" cm="1">
        <f t="array" aca="1" ref="K28" ca="1">IF($F28&lt;&gt;"Active",0,IF(COUNTIFS(OverEmp,$C28,OverEarn,K$2,OverDate,"&lt;"&amp;DATE(YEAR($AC28),MONTH($AC28)+1,1),OverEnd,"&gt;="&amp;DATE(YEAR($AC28),MONTH($AC28),1))&gt;0,SUMIFS(OverValue,OverEmp,$C28,OverEarn,K$2,OverDate,"&lt;"&amp;DATE(YEAR($AC28),MONTH($AC28)+1,1),OverEnd,"&gt;="&amp;DATE(YEAR($AC28),MONTH($AC28),1)),0))</f>
        <v>0</v>
      </c>
      <c r="L28" s="185">
        <f t="shared" ca="1" si="0"/>
        <v>25000</v>
      </c>
      <c r="M28" s="182" cm="1">
        <f t="array" aca="1" ref="M28" ca="1">IF(COUNTIFS(OverEmp,$C28,OverTax,M$5,OverDate,"&lt;"&amp;DATE(YEAR($AC28),MONTH($AC28)+1,1),OverEnd,"&gt;="&amp;DATE(YEAR($AC28),MONTH($AC28),1))&gt;0,SUMIFS(OverValue,OverEmp,$C28,OverTax,M$5,OverDate,"&lt;"&amp;DATE(YEAR($AC28),MONTH($AC28)+1,1),OverEnd,"&gt;="&amp;DATE(YEAR($AC28),MONTH($AC28),1)),(($BA28/12*$AA28)+(BB28*IF(1-$BC28=0,0,BD28/(1-$BC28))))-IF($F28="Terminated",0,SUMIFS(PayTaxDeduct,PayDate,"&lt;"&amp;$AC28,PayEmp,$C28)))</f>
        <v>3483.0833333333335</v>
      </c>
      <c r="N28" s="133" cm="1">
        <f t="array" aca="1" ref="N28" ca="1">IF($F28="Terminated",0,IF($AA28=0,0,IF(ISNA(MATCH(N$5,DedListItem,0)),0,IF(COUNTIFS(OverEmp,$C28,OverDeduct,N$5,OverDate,"&lt;"&amp;DATE(YEAR($AC28),MONTH($AC28)+1,1),OverEnd,"&gt;="&amp;DATE(YEAR($AC28),MONTH($AC28),1))&gt;0,SUMIFS(OverValue,OverEmp,$C28,OverDeduct,N$5,OverDate,"&lt;"&amp;DATE(YEAR($AC28),MONTH($AC28)+1,1),OverEnd,"&gt;="&amp;DATE(YEAR($AC28),MONTH($AC28),1)),IF(OR(N$2="Fixed",N$2="Not Used"),(IF(COUNTIFS(EmpNo,$C28,OFFSET(Emp!$R$4,1,MATCH(N$5,DedListItem,0)-1,EmpCount,1),"&lt;&gt;")&gt;0,VLOOKUP($C28,EmpAll,COLUMN(Emp!$R$4)+MATCH(N$5,DedListItem,0)-1,0),OFFSET(Setup!$E$73,MATCH(N$5,DedListItem,0),0,1,1))*$AA28)-SUMIFS(OFFSET(N$6,1,0,PayCount,1),PayDate,"&lt;"&amp;$AC28,PayEmp,$C28),IF(ISNA(MATCH(N$2,EarnListItem,0))=FALSE,IF(OFFSET(Setup!$G$73,MATCH(N$5,DedListItem,0),0,1,1)="Taxable",SUMPRODUCT((PayEmp=$C28)*(PayDate&lt;=$AC28)*(PayEarnCode=N$2)*(PayEarnTax)*(PayEarnValues)),SUMPRODUCT((PayEmp=$C28)*(PayDate&lt;=$AC28)*(PayEarnCode=N$2)*(PayEarnValues)))*IF(COUNTIFS(EmpNo,$C28,OFFSET(Emp!$R$4,1,MATCH(N$5,DedListItem,0)-1,EmpCount,1),"&lt;&gt;")&gt;0,VLOOKUP($C28,EmpAll,COLUMN(Emp!$R$4)+MATCH(N$5,DedListItem,0)-1,0),OFFSET(Setup!$E$73,MATCH(N$5,DedListItem,0),0,1,1)),(MIN(IF(OFFSET(Setup!$G$73,MATCH(N$5,DedListItem,0),0,1,1)="Taxable",SUMPRODUCT((PayEmp=$C28)*(PayDate&lt;=$AC28)*(ISERROR(SEARCH(PayEarnCode,N$4)))*(PayEarnTax)*(PayEarnValues)),SUMPRODUCT((PayEmp=$C28)*(PayDate&lt;=$AC28)*(ISERROR(SEARCH(PayEarnCode,N$4)))*(PayEarnValues))),IF(ISNUMBER(N$3),N$3/12*$AA28,IgnoreMin)))*IF(COUNTIFS(EmpNo,$C28,OFFSET(Emp!$R$4,1,MATCH(N$5,DedListItem,0)-1,EmpCount,1),"&lt;&gt;")&gt;0,VLOOKUP($C28,EmpAll,COLUMN(Emp!$R$4)+MATCH(N$5,DedListItem,0)-1,0),OFFSET(Setup!$E$73,MATCH(N$5,DedListItem,0),0,1,1)))-SUMIFS(OFFSET(N$6,1,0,PayCount,1),PayDate,"&lt;"&amp;$AC28,PayEmp,$C28))))))</f>
        <v>177.12</v>
      </c>
      <c r="O28" s="133" cm="1">
        <f t="array" aca="1" ref="O28" ca="1">IF($F28="Terminated",0,IF($AA28=0,0,IF(ISNA(MATCH(O$5,DedListItem,0)),0,IF(COUNTIFS(OverEmp,$C28,OverDeduct,O$5,OverDate,"&lt;"&amp;DATE(YEAR($AC28),MONTH($AC28)+1,1),OverEnd,"&gt;="&amp;DATE(YEAR($AC28),MONTH($AC28),1))&gt;0,SUMIFS(OverValue,OverEmp,$C28,OverDeduct,O$5,OverDate,"&lt;"&amp;DATE(YEAR($AC28),MONTH($AC28)+1,1),OverEnd,"&gt;="&amp;DATE(YEAR($AC28),MONTH($AC28),1)),IF(OR(O$2="Fixed",O$2="Not Used"),(IF(COUNTIFS(EmpNo,$C28,OFFSET(Emp!$R$4,1,MATCH(O$5,DedListItem,0)-1,EmpCount,1),"&lt;&gt;")&gt;0,VLOOKUP($C28,EmpAll,COLUMN(Emp!$R$4)+MATCH(O$5,DedListItem,0)-1,0),OFFSET(Setup!$E$73,MATCH(O$5,DedListItem,0),0,1,1))*$AA28)-SUMIFS(OFFSET(O$6,1,0,PayCount,1),PayDate,"&lt;"&amp;$AC28,PayEmp,$C28),IF(ISNA(MATCH(O$2,EarnListItem,0))=FALSE,IF(OFFSET(Setup!$G$73,MATCH(O$5,DedListItem,0),0,1,1)="Taxable",SUMPRODUCT((PayEmp=$C28)*(PayDate&lt;=$AC28)*(PayEarnCode=O$2)*(PayEarnTax)*(PayEarnValues)),SUMPRODUCT((PayEmp=$C28)*(PayDate&lt;=$AC28)*(PayEarnCode=O$2)*(PayEarnValues)))*IF(COUNTIFS(EmpNo,$C28,OFFSET(Emp!$R$4,1,MATCH(O$5,DedListItem,0)-1,EmpCount,1),"&lt;&gt;")&gt;0,VLOOKUP($C28,EmpAll,COLUMN(Emp!$R$4)+MATCH(O$5,DedListItem,0)-1,0),OFFSET(Setup!$E$73,MATCH(O$5,DedListItem,0),0,1,1)),(MIN(IF(OFFSET(Setup!$G$73,MATCH(O$5,DedListItem,0),0,1,1)="Taxable",SUMPRODUCT((PayEmp=$C28)*(PayDate&lt;=$AC28)*(ISERROR(SEARCH(PayEarnCode,O$4)))*(PayEarnTax)*(PayEarnValues)),SUMPRODUCT((PayEmp=$C28)*(PayDate&lt;=$AC28)*(ISERROR(SEARCH(PayEarnCode,O$4)))*(PayEarnValues))),IF(ISNUMBER(O$3),O$3/12*$AA28,IgnoreMin)))*IF(COUNTIFS(EmpNo,$C28,OFFSET(Emp!$R$4,1,MATCH(O$5,DedListItem,0)-1,EmpCount,1),"&lt;&gt;")&gt;0,VLOOKUP($C28,EmpAll,COLUMN(Emp!$R$4)+MATCH(O$5,DedListItem,0)-1,0),OFFSET(Setup!$E$73,MATCH(O$5,DedListItem,0),0,1,1)))-SUMIFS(OFFSET(O$6,1,0,PayCount,1),PayDate,"&lt;"&amp;$AC28,PayEmp,$C28))))))</f>
        <v>0</v>
      </c>
      <c r="P28" s="133" cm="1">
        <f t="array" aca="1" ref="P28" ca="1">IF($F28="Terminated",0,IF($AA28=0,0,IF(ISNA(MATCH(P$5,DedListItem,0)),0,IF(COUNTIFS(OverEmp,$C28,OverDeduct,P$5,OverDate,"&lt;"&amp;DATE(YEAR($AC28),MONTH($AC28)+1,1),OverEnd,"&gt;="&amp;DATE(YEAR($AC28),MONTH($AC28),1))&gt;0,SUMIFS(OverValue,OverEmp,$C28,OverDeduct,P$5,OverDate,"&lt;"&amp;DATE(YEAR($AC28),MONTH($AC28)+1,1),OverEnd,"&gt;="&amp;DATE(YEAR($AC28),MONTH($AC28),1)),IF(OR(P$2="Fixed",P$2="Not Used"),(IF(COUNTIFS(EmpNo,$C28,OFFSET(Emp!$R$4,1,MATCH(P$5,DedListItem,0)-1,EmpCount,1),"&lt;&gt;")&gt;0,VLOOKUP($C28,EmpAll,COLUMN(Emp!$R$4)+MATCH(P$5,DedListItem,0)-1,0),OFFSET(Setup!$E$73,MATCH(P$5,DedListItem,0),0,1,1))*$AA28)-SUMIFS(OFFSET(P$6,1,0,PayCount,1),PayDate,"&lt;"&amp;$AC28,PayEmp,$C28),IF(ISNA(MATCH(P$2,EarnListItem,0))=FALSE,IF(OFFSET(Setup!$G$73,MATCH(P$5,DedListItem,0),0,1,1)="Taxable",SUMPRODUCT((PayEmp=$C28)*(PayDate&lt;=$AC28)*(PayEarnCode=P$2)*(PayEarnTax)*(PayEarnValues)),SUMPRODUCT((PayEmp=$C28)*(PayDate&lt;=$AC28)*(PayEarnCode=P$2)*(PayEarnValues)))*IF(COUNTIFS(EmpNo,$C28,OFFSET(Emp!$R$4,1,MATCH(P$5,DedListItem,0)-1,EmpCount,1),"&lt;&gt;")&gt;0,VLOOKUP($C28,EmpAll,COLUMN(Emp!$R$4)+MATCH(P$5,DedListItem,0)-1,0),OFFSET(Setup!$E$73,MATCH(P$5,DedListItem,0),0,1,1)),(MIN(IF(OFFSET(Setup!$G$73,MATCH(P$5,DedListItem,0),0,1,1)="Taxable",SUMPRODUCT((PayEmp=$C28)*(PayDate&lt;=$AC28)*(ISERROR(SEARCH(PayEarnCode,P$4)))*(PayEarnTax)*(PayEarnValues)),SUMPRODUCT((PayEmp=$C28)*(PayDate&lt;=$AC28)*(ISERROR(SEARCH(PayEarnCode,P$4)))*(PayEarnValues))),IF(ISNUMBER(P$3),P$3/12*$AA28,IgnoreMin)))*IF(COUNTIFS(EmpNo,$C28,OFFSET(Emp!$R$4,1,MATCH(P$5,DedListItem,0)-1,EmpCount,1),"&lt;&gt;")&gt;0,VLOOKUP($C28,EmpAll,COLUMN(Emp!$R$4)+MATCH(P$5,DedListItem,0)-1,0),OFFSET(Setup!$E$73,MATCH(P$5,DedListItem,0),0,1,1)))-SUMIFS(OFFSET(P$6,1,0,PayCount,1),PayDate,"&lt;"&amp;$AC28,PayEmp,$C28))))))</f>
        <v>0</v>
      </c>
      <c r="Q28" s="133" cm="1">
        <f t="array" aca="1" ref="Q28" ca="1">IF($F28="Terminated",0,IF($AA28=0,0,IF(ISNA(MATCH(Q$5,DedListItem,0)),0,IF(COUNTIFS(OverEmp,$C28,OverDeduct,Q$5,OverDate,"&lt;"&amp;DATE(YEAR($AC28),MONTH($AC28)+1,1),OverEnd,"&gt;="&amp;DATE(YEAR($AC28),MONTH($AC28),1))&gt;0,SUMIFS(OverValue,OverEmp,$C28,OverDeduct,Q$5,OverDate,"&lt;"&amp;DATE(YEAR($AC28),MONTH($AC28)+1,1),OverEnd,"&gt;="&amp;DATE(YEAR($AC28),MONTH($AC28),1)),IF(OR(Q$2="Fixed",Q$2="Not Used"),(IF(COUNTIFS(EmpNo,$C28,OFFSET(Emp!$R$4,1,MATCH(Q$5,DedListItem,0)-1,EmpCount,1),"&lt;&gt;")&gt;0,VLOOKUP($C28,EmpAll,COLUMN(Emp!$R$4)+MATCH(Q$5,DedListItem,0)-1,0),OFFSET(Setup!$E$73,MATCH(Q$5,DedListItem,0),0,1,1))*$AA28)-SUMIFS(OFFSET(Q$6,1,0,PayCount,1),PayDate,"&lt;"&amp;$AC28,PayEmp,$C28),IF(ISNA(MATCH(Q$2,EarnListItem,0))=FALSE,IF(OFFSET(Setup!$G$73,MATCH(Q$5,DedListItem,0),0,1,1)="Taxable",SUMPRODUCT((PayEmp=$C28)*(PayDate&lt;=$AC28)*(PayEarnCode=Q$2)*(PayEarnTax)*(PayEarnValues)),SUMPRODUCT((PayEmp=$C28)*(PayDate&lt;=$AC28)*(PayEarnCode=Q$2)*(PayEarnValues)))*IF(COUNTIFS(EmpNo,$C28,OFFSET(Emp!$R$4,1,MATCH(Q$5,DedListItem,0)-1,EmpCount,1),"&lt;&gt;")&gt;0,VLOOKUP($C28,EmpAll,COLUMN(Emp!$R$4)+MATCH(Q$5,DedListItem,0)-1,0),OFFSET(Setup!$E$73,MATCH(Q$5,DedListItem,0),0,1,1)),(MIN(IF(OFFSET(Setup!$G$73,MATCH(Q$5,DedListItem,0),0,1,1)="Taxable",SUMPRODUCT((PayEmp=$C28)*(PayDate&lt;=$AC28)*(ISERROR(SEARCH(PayEarnCode,Q$4)))*(PayEarnTax)*(PayEarnValues)),SUMPRODUCT((PayEmp=$C28)*(PayDate&lt;=$AC28)*(ISERROR(SEARCH(PayEarnCode,Q$4)))*(PayEarnValues))),IF(ISNUMBER(Q$3),Q$3/12*$AA28,IgnoreMin)))*IF(COUNTIFS(EmpNo,$C28,OFFSET(Emp!$R$4,1,MATCH(Q$5,DedListItem,0)-1,EmpCount,1),"&lt;&gt;")&gt;0,VLOOKUP($C28,EmpAll,COLUMN(Emp!$R$4)+MATCH(Q$5,DedListItem,0)-1,0),OFFSET(Setup!$E$73,MATCH(Q$5,DedListItem,0),0,1,1)))-SUMIFS(OFFSET(Q$6,1,0,PayCount,1),PayDate,"&lt;"&amp;$AC28,PayEmp,$C28))))))</f>
        <v>0</v>
      </c>
      <c r="R28" s="185">
        <f t="shared" ca="1" si="1"/>
        <v>3660.2033333333334</v>
      </c>
      <c r="S28" s="139">
        <f t="shared" ca="1" si="2"/>
        <v>21339.8</v>
      </c>
      <c r="T28" s="133" cm="1">
        <f t="array" aca="1" ref="T28" ca="1">IF($F28="Terminated",0,IF($AA28=0,0,IF(ISNA(MATCH(T$5,CompListItem,0)),0,IF(COUNTIFS(OverEmp,$C28,OverComp,T$5,OverDate,"&lt;"&amp;DATE(YEAR($AC28),MONTH($AC28)+1,1),OverEnd,"&gt;="&amp;DATE(YEAR($AC28),MONTH($AC28),1))&gt;0,SUMIFS(OverValue,OverEmp,$C28,OverComp,T$5,OverDate,"&lt;"&amp;DATE(YEAR($AC28),MONTH($AC28)+1,1),OverEnd,"&gt;="&amp;DATE(YEAR($AC28),MONTH($AC28),1)),IF(OR(T$2="Fixed",T$2="Not Used"),(OFFSET(Setup!$E$81,MATCH(T$5,CompListItem,0),0,1,1)*$AA28)-SUMIFS(OFFSET(T$6,1,0,PayCount,1),PayDate,"&lt;"&amp;$AC28,PayEmp,$C28),IF(ISNA(MATCH(T$2,DedListItem,0))=FALSE,(SUMPRODUCT((PayEmp=$C28)*(PayDate&lt;=$AC28)*(PayDedList=T$2)*(PayDedValues))*OFFSET(Setup!$E$81,MATCH(T$5,CompListItem,0),0,1,1))-SUMIFS(OFFSET(T$6,1,0,PayCount,1),PayDate,"&lt;"&amp;$AC28,PayEmp,$C28),(MIN(IF(OFFSET(Setup!$G$81,MATCH(T$5,CompListItem,0),0,1,1)="Taxable",SUMPRODUCT((PayEmp=$C28)*(PayDate&lt;=$AC28)*(ISERROR(SEARCH(PayEarnCode,T$4)))*(PayEarnTax)*(PayEarnValues)),SUMPRODUCT((PayEmp=$C28)*(PayDate&lt;=$AC28)*(ISERROR(SEARCH(PayEarnCode,T$4)))*(PayEarnValues))),IF(ISNUMBER(T$3),T$3/12*$AA28,IgnoreMin)))*OFFSET(Setup!$E$81,MATCH(T$5,CompListItem,0),0,1,1)-SUMIFS(OFFSET(T$6,1,0,PayCount,1),PayDate,"&lt;"&amp;$AC28,PayEmp,$C28)))))))</f>
        <v>177.12</v>
      </c>
      <c r="U28" s="133" cm="1">
        <f t="array" aca="1" ref="U28" ca="1">IF($F28="Terminated",0,IF($AA28=0,0,IF(ISNA(MATCH(U$5,CompListItem,0)),0,IF(COUNTIFS(OverEmp,$C28,OverComp,U$5,OverDate,"&lt;"&amp;DATE(YEAR($AC28),MONTH($AC28)+1,1),OverEnd,"&gt;="&amp;DATE(YEAR($AC28),MONTH($AC28),1))&gt;0,SUMIFS(OverValue,OverEmp,$C28,OverComp,U$5,OverDate,"&lt;"&amp;DATE(YEAR($AC28),MONTH($AC28)+1,1),OverEnd,"&gt;="&amp;DATE(YEAR($AC28),MONTH($AC28),1)),IF(OR(U$2="Fixed",U$2="Not Used"),(OFFSET(Setup!$E$81,MATCH(U$5,CompListItem,0),0,1,1)*$AA28)-SUMIFS(OFFSET(U$6,1,0,PayCount,1),PayDate,"&lt;"&amp;$AC28,PayEmp,$C28),IF(ISNA(MATCH(U$2,DedListItem,0))=FALSE,(SUMPRODUCT((PayEmp=$C28)*(PayDate&lt;=$AC28)*(PayDedList=U$2)*(PayDedValues))*OFFSET(Setup!$E$81,MATCH(U$5,CompListItem,0),0,1,1))-SUMIFS(OFFSET(U$6,1,0,PayCount,1),PayDate,"&lt;"&amp;$AC28,PayEmp,$C28),(MIN(IF(OFFSET(Setup!$G$81,MATCH(U$5,CompListItem,0),0,1,1)="Taxable",SUMPRODUCT((PayEmp=$C28)*(PayDate&lt;=$AC28)*(ISERROR(SEARCH(PayEarnCode,U$4)))*(PayEarnTax)*(PayEarnValues)),SUMPRODUCT((PayEmp=$C28)*(PayDate&lt;=$AC28)*(ISERROR(SEARCH(PayEarnCode,U$4)))*(PayEarnValues))),IF(ISNUMBER(U$3),U$3/12*$AA28,IgnoreMin)))*OFFSET(Setup!$E$81,MATCH(U$5,CompListItem,0),0,1,1)-SUMIFS(OFFSET(U$6,1,0,PayCount,1),PayDate,"&lt;"&amp;$AC28,PayEmp,$C28)))))))</f>
        <v>250</v>
      </c>
      <c r="V28" s="133" cm="1">
        <f t="array" aca="1" ref="V28" ca="1">IF($F28="Terminated",0,IF($AA28=0,0,IF(ISNA(MATCH(V$5,CompListItem,0)),0,IF(COUNTIFS(OverEmp,$C28,OverComp,V$5,OverDate,"&lt;"&amp;DATE(YEAR($AC28),MONTH($AC28)+1,1),OverEnd,"&gt;="&amp;DATE(YEAR($AC28),MONTH($AC28),1))&gt;0,SUMIFS(OverValue,OverEmp,$C28,OverComp,V$5,OverDate,"&lt;"&amp;DATE(YEAR($AC28),MONTH($AC28)+1,1),OverEnd,"&gt;="&amp;DATE(YEAR($AC28),MONTH($AC28),1)),IF(OR(V$2="Fixed",V$2="Not Used"),(OFFSET(Setup!$E$81,MATCH(V$5,CompListItem,0),0,1,1)*$AA28)-SUMIFS(OFFSET(V$6,1,0,PayCount,1),PayDate,"&lt;"&amp;$AC28,PayEmp,$C28),IF(ISNA(MATCH(V$2,DedListItem,0))=FALSE,(SUMPRODUCT((PayEmp=$C28)*(PayDate&lt;=$AC28)*(PayDedList=V$2)*(PayDedValues))*OFFSET(Setup!$E$81,MATCH(V$5,CompListItem,0),0,1,1))-SUMIFS(OFFSET(V$6,1,0,PayCount,1),PayDate,"&lt;"&amp;$AC28,PayEmp,$C28),(MIN(IF(OFFSET(Setup!$G$81,MATCH(V$5,CompListItem,0),0,1,1)="Taxable",SUMPRODUCT((PayEmp=$C28)*(PayDate&lt;=$AC28)*(ISERROR(SEARCH(PayEarnCode,V$4)))*(PayEarnTax)*(PayEarnValues)),SUMPRODUCT((PayEmp=$C28)*(PayDate&lt;=$AC28)*(ISERROR(SEARCH(PayEarnCode,V$4)))*(PayEarnValues))),IF(ISNUMBER(V$3),V$3/12*$AA28,IgnoreMin)))*OFFSET(Setup!$E$81,MATCH(V$5,CompListItem,0),0,1,1)-SUMIFS(OFFSET(V$6,1,0,PayCount,1),PayDate,"&lt;"&amp;$AC28,PayEmp,$C28)))))))</f>
        <v>0</v>
      </c>
      <c r="W28" s="133" cm="1">
        <f t="array" aca="1" ref="W28" ca="1">IF($F28="Terminated",0,IF($AA28=0,0,IF(ISNA(MATCH(W$5,CompListItem,0)),0,IF(COUNTIFS(OverEmp,$C28,OverComp,W$5,OverDate,"&lt;"&amp;DATE(YEAR($AC28),MONTH($AC28)+1,1),OverEnd,"&gt;="&amp;DATE(YEAR($AC28),MONTH($AC28),1))&gt;0,SUMIFS(OverValue,OverEmp,$C28,OverComp,W$5,OverDate,"&lt;"&amp;DATE(YEAR($AC28),MONTH($AC28)+1,1),OverEnd,"&gt;="&amp;DATE(YEAR($AC28),MONTH($AC28),1)),IF(OR(W$2="Fixed",W$2="Not Used"),(OFFSET(Setup!$E$81,MATCH(W$5,CompListItem,0),0,1,1)*$AA28)-SUMIFS(OFFSET(W$6,1,0,PayCount,1),PayDate,"&lt;"&amp;$AC28,PayEmp,$C28),IF(ISNA(MATCH(W$2,DedListItem,0))=FALSE,(SUMPRODUCT((PayEmp=$C28)*(PayDate&lt;=$AC28)*(PayDedList=W$2)*(PayDedValues))*OFFSET(Setup!$E$81,MATCH(W$5,CompListItem,0),0,1,1))-SUMIFS(OFFSET(W$6,1,0,PayCount,1),PayDate,"&lt;"&amp;$AC28,PayEmp,$C28),(MIN(IF(OFFSET(Setup!$G$81,MATCH(W$5,CompListItem,0),0,1,1)="Taxable",SUMPRODUCT((PayEmp=$C28)*(PayDate&lt;=$AC28)*(ISERROR(SEARCH(PayEarnCode,W$4)))*(PayEarnTax)*(PayEarnValues)),SUMPRODUCT((PayEmp=$C28)*(PayDate&lt;=$AC28)*(ISERROR(SEARCH(PayEarnCode,W$4)))*(PayEarnValues))),IF(ISNUMBER(W$3),W$3/12*$AA28,IgnoreMin)))*OFFSET(Setup!$E$81,MATCH(W$5,CompListItem,0),0,1,1)-SUMIFS(OFFSET(W$6,1,0,PayCount,1),PayDate,"&lt;"&amp;$AC28,PayEmp,$C28)))))))</f>
        <v>0</v>
      </c>
      <c r="X28" s="185">
        <f t="shared" ca="1" si="3"/>
        <v>427.12</v>
      </c>
      <c r="Y28" s="139">
        <f t="shared" ca="1" si="4"/>
        <v>25427.119999999999</v>
      </c>
      <c r="Z28" s="139">
        <f t="shared" ca="1" si="5"/>
        <v>4087.32</v>
      </c>
      <c r="AA28" s="146">
        <f ca="1">IF(OR($B28&lt;=Setup!$E$12,$B28&gt;=Setup!$D$12+1),0,IF($F28&lt;&gt;"Active",0,IF($AE28="Yes",$AB28,((YEAR($AC28)*12)+MONTH($AC28))-((YEAR($AD28)*12)+MONTH($AD28)-1))))</f>
        <v>2</v>
      </c>
      <c r="AB28" s="146">
        <f ca="1">IF(OR($B28&lt;=Setup!$E$12,$B28&gt;=Setup!$D$12+1),0,((YEAR($AC28)*12)+MONTH($AC28))-((YEAR(Setup!$E$12)*12)+MONTH(Setup!$E$12)))</f>
        <v>2</v>
      </c>
      <c r="AC28" s="186">
        <f t="shared" ca="1" si="6"/>
        <v>45041</v>
      </c>
      <c r="AD28" s="144">
        <f ca="1">IF(ISNA(VLOOKUP($C28,EmpAll,COLUMN(Emp!$E$4),0)),$AC28,IF(VLOOKUP($C28,EmpAll,COLUMN(Emp!$E$4),0)&lt;=Setup!$E$12,DATE(YEAR(Setup!$E$12),MONTH(Setup!$E$12)+1,1),VLOOKUP($C28,EmpAll,COLUMN(Emp!$E$4),0)))</f>
        <v>44986</v>
      </c>
      <c r="AE28" s="144" t="str">
        <f ca="1">IF(ISNA(VLOOKUP($C28,EmpAll,COLUMN(Emp!$G$1),0)),"-",IF(VLOOKUP($C28,EmpAll,COLUMN(Emp!$G$1),0)=0,"-",VLOOKUP($C28,EmpAll,COLUMN(Emp!$G$1),0)))</f>
        <v>-</v>
      </c>
      <c r="AF28" s="145">
        <f ca="1">IF(A28=PaySlip!$G$3,1,0)</f>
        <v>0</v>
      </c>
      <c r="AG28" s="130" cm="1">
        <f t="array" aca="1" ref="AG28" ca="1">IF(COUNTIFS(OverEmp,$C28,OverMed,"MED",OverDate,"&lt;"&amp;DATE(YEAR($AC28),MONTH($AC28)+1,1),OverEnd,"&gt;="&amp;DATE(YEAR($AC28),MONTH($AC28),1))&gt;0,SUMIFS(OverValue,OverEmp,$C28,OverMed,"MED",OverDate,"&lt;"&amp;DATE(YEAR($AC28),MONTH($AC28)+1,1),OverEnd,"&gt;="&amp;DATE(YEAR($AC28),MONTH($AC28),1)),IF(ISNA(VLOOKUP($C28,EmpAll,COLUMN(Emp!$N$4),0)),0,VLOOKUP($C28,EmpAll,COLUMN(Emp!$N$4),0)))</f>
        <v>0</v>
      </c>
      <c r="AH28" s="146">
        <f ca="1">VLOOKUP($AG28,MedList,COLUMN(Setup!$C$49),1)</f>
        <v>0</v>
      </c>
      <c r="AI28" s="146">
        <f t="shared" ca="1" si="7"/>
        <v>0</v>
      </c>
      <c r="AJ28" s="101" t="str">
        <f ca="1">IF(ISNA(VLOOKUP($C28,EmpAll,COLUMN(Emp!$L$4),0)),"None!",VLOOKUP($C28,EmpAll,COLUMN(Emp!$L$4),0))</f>
        <v>A</v>
      </c>
      <c r="AK28" s="147">
        <f t="shared" ca="1" si="8"/>
        <v>17235</v>
      </c>
      <c r="AL28" s="101" t="str">
        <f ca="1">IF(ISNA(VLOOKUP($C28,Employees[],COLUMN(Emp!$M$4),0))=TRUE,"Error!",IF(VLOOKUP($C28,Employees[],COLUMN(Emp!$M$4),0)=0,"Yes",VLOOKUP($C28,Employees[],COLUMN(Emp!$M$4),0)))</f>
        <v>A</v>
      </c>
      <c r="AM28" s="148">
        <f t="shared" ca="1" si="9"/>
        <v>300000</v>
      </c>
      <c r="AN28" s="148" cm="1">
        <f t="array" aca="1" ref="AN28" ca="1">-IF($F28="Terminated",0,IF($AA28=0,0,IF(ISNA(MATCH(AN$5,PayDedList,0)),0,MIN(IF(COUNTIFS(OverEmp,$C28,OverDeduct,AN$5,OverDate,"&lt;"&amp;DATE(YEAR($AC28),MONTH($AC28)+1,1),OverEnd,"&gt;="&amp;DATE(YEAR($AC28),MONTH($AC28),1))&gt;0,SUMPRODUCT((PayEmp=$C28)*(PayDate&lt;=$AC28)*(OFFSET($N$6,1,MATCH(AN$5,PayDedList,0)-1,PayCount,1)))/$AA28*12*AN$3,IF(OR(AN$1="Fixed",AN$1="Not Used"),SUMPRODUCT((PayEmp=$C28)*(PayDate&lt;=$AC28)*(OFFSET($N$6,1,MATCH(AN$5,PayDedList,0)-1,PayCount,1)))/$AA28*12*AN$3,IF(ISNA(MATCH(AN$1,EarnListItem,0))=FALSE,SUMPRODUCT((PayEmp=$C28)*(PayDate&lt;=$AC28)*(OFFSET($N$6,1,MATCH(AN$5,PayDedList,0)-1,PayCount,1)))/$AA28*12*AN$3,(MIN(((SUMPRODUCT((PayEmp=$C28)*(PayDate&lt;=$AC28)*(ISERROR(SEARCH(PayEarnCode,AN$2)))*(PayEarnType="Monthly")*(PayEarnValues))/$AA28*12)+(SUMPRODUCT((PayEmp=$C28)*(PayDate&lt;=$AC28)*(ISERROR(SEARCH(PayEarnCode,AN$2)))*(PayEarnType="Quarterly")*(PayEarnValues))/MAX(1,ROUNDDOWN($AB28/3,0))*4)+(SUMPRODUCT((PayEmp=$C28)*(PayDate&lt;=$AC28)*(ISERROR(SEARCH(PayEarnCode,AN$2)))*(PayEarnType="Bi-Annual")*(PayEarnValues))/MAX(1,ROUNDDOWN($AB28/6,0))*2)+(SUMPRODUCT((PayEmp=$C28)*(PayDate&lt;=$AC28)*(ISERROR(SEARCH(PayEarnCode,AN$2)))*(PayEarnType="Annual")*(PayEarnValues)))),IF(ISNUMBER(OFFSET($N$3,0,MATCH(AN$5,PayDedList,0)-1,1,1)),OFFSET($N$3,0,MATCH(AN$5,PayDedList,0)-1,1,1),IgnoreMin)))*IF(COUNTIFS(EmpNo,$C28,OFFSET(Emp!$R$4,1,MATCH(AN$5,DedListItem,0)-1,EmpCount,1),"&lt;&gt;")&gt;0,VLOOKUP($C28,EmpAll,COLUMN(Emp!$R$4)+MATCH(AN$5,DedListItem,0)-1,0),OFFSET(Setup!$E$73,MATCH(AN$5,DedListItem,0),0,1,1))*AN$3))),IF(ISNUMBER(AN$4),AN$4,IgnoreMin)))))</f>
        <v>0</v>
      </c>
      <c r="AO28" s="148" cm="1">
        <f t="array" aca="1" ref="AO28" ca="1">-IF($F28="Terminated",0,IF($AA28=0,0,IF(ISNA(MATCH(AO$5,PayDedList,0)),0,MIN(IF(COUNTIFS(OverEmp,$C28,OverDeduct,AO$5,OverDate,"&lt;"&amp;DATE(YEAR($AC28),MONTH($AC28)+1,1),OverEnd,"&gt;="&amp;DATE(YEAR($AC28),MONTH($AC28),1))&gt;0,SUMPRODUCT((PayEmp=$C28)*(PayDate&lt;=$AC28)*(OFFSET($N$6,1,MATCH(AO$5,PayDedList,0)-1,PayCount,1)))/$AA28*12*AO$3,IF(OR(AO$1="Fixed",AO$1="Not Used"),SUMPRODUCT((PayEmp=$C28)*(PayDate&lt;=$AC28)*(OFFSET($N$6,1,MATCH(AO$5,PayDedList,0)-1,PayCount,1)))/$AA28*12*AO$3,IF(ISNA(MATCH(AO$1,EarnListItem,0))=FALSE,SUMPRODUCT((PayEmp=$C28)*(PayDate&lt;=$AC28)*(OFFSET($N$6,1,MATCH(AO$5,PayDedList,0)-1,PayCount,1)))/$AA28*12*AO$3,(MIN(((SUMPRODUCT((PayEmp=$C28)*(PayDate&lt;=$AC28)*(ISERROR(SEARCH(PayEarnCode,AO$2)))*(PayEarnType="Monthly")*(PayEarnValues))/$AA28*12)+(SUMPRODUCT((PayEmp=$C28)*(PayDate&lt;=$AC28)*(ISERROR(SEARCH(PayEarnCode,AO$2)))*(PayEarnType="Quarterly")*(PayEarnValues))/MAX(1,ROUNDDOWN($AB28/3,0))*4)+(SUMPRODUCT((PayEmp=$C28)*(PayDate&lt;=$AC28)*(ISERROR(SEARCH(PayEarnCode,AO$2)))*(PayEarnType="Bi-Annual")*(PayEarnValues))/MAX(1,ROUNDDOWN($AB28/6,0))*2)+(SUMPRODUCT((PayEmp=$C28)*(PayDate&lt;=$AC28)*(ISERROR(SEARCH(PayEarnCode,AO$2)))*(PayEarnType="Annual")*(PayEarnValues)))),IF(ISNUMBER(OFFSET($N$3,0,MATCH(AO$5,PayDedList,0)-1,1,1)),OFFSET($N$3,0,MATCH(AO$5,PayDedList,0)-1,1,1),IgnoreMin)))*IF(COUNTIFS(EmpNo,$C28,OFFSET(Emp!$R$4,1,MATCH(AO$5,DedListItem,0)-1,EmpCount,1),"&lt;&gt;")&gt;0,VLOOKUP($C28,EmpAll,COLUMN(Emp!$R$4)+MATCH(AO$5,DedListItem,0)-1,0),OFFSET(Setup!$E$73,MATCH(AO$5,DedListItem,0),0,1,1))*AO$3))),IF(ISNUMBER(AO$4),AO$4,IgnoreMin)))))</f>
        <v>0</v>
      </c>
      <c r="AP28" s="148" cm="1">
        <f t="array" aca="1" ref="AP28" ca="1">-IF($F28="Terminated",0,IF($AA28=0,0,IF(ISNA(MATCH(AP$5,PayDedList,0)),0,MIN(IF(COUNTIFS(OverEmp,$C28,OverDeduct,AP$5,OverDate,"&lt;"&amp;DATE(YEAR($AC28),MONTH($AC28)+1,1),OverEnd,"&gt;="&amp;DATE(YEAR($AC28),MONTH($AC28),1))&gt;0,SUMPRODUCT((PayEmp=$C28)*(PayDate&lt;=$AC28)*(OFFSET($N$6,1,MATCH(AP$5,PayDedList,0)-1,PayCount,1)))/$AA28*12*AP$3,IF(OR(AP$1="Fixed",AP$1="Not Used"),SUMPRODUCT((PayEmp=$C28)*(PayDate&lt;=$AC28)*(OFFSET($N$6,1,MATCH(AP$5,PayDedList,0)-1,PayCount,1)))/$AA28*12*AP$3,IF(ISNA(MATCH(AP$1,EarnListItem,0))=FALSE,SUMPRODUCT((PayEmp=$C28)*(PayDate&lt;=$AC28)*(OFFSET($N$6,1,MATCH(AP$5,PayDedList,0)-1,PayCount,1)))/$AA28*12*AP$3,(MIN(((SUMPRODUCT((PayEmp=$C28)*(PayDate&lt;=$AC28)*(ISERROR(SEARCH(PayEarnCode,AP$2)))*(PayEarnType="Monthly")*(PayEarnValues))/$AA28*12)+(SUMPRODUCT((PayEmp=$C28)*(PayDate&lt;=$AC28)*(ISERROR(SEARCH(PayEarnCode,AP$2)))*(PayEarnType="Quarterly")*(PayEarnValues))/MAX(1,ROUNDDOWN($AB28/3,0))*4)+(SUMPRODUCT((PayEmp=$C28)*(PayDate&lt;=$AC28)*(ISERROR(SEARCH(PayEarnCode,AP$2)))*(PayEarnType="Bi-Annual")*(PayEarnValues))/MAX(1,ROUNDDOWN($AB28/6,0))*2)+(SUMPRODUCT((PayEmp=$C28)*(PayDate&lt;=$AC28)*(ISERROR(SEARCH(PayEarnCode,AP$2)))*(PayEarnType="Annual")*(PayEarnValues)))),IF(ISNUMBER(OFFSET($N$3,0,MATCH(AP$5,PayDedList,0)-1,1,1)),OFFSET($N$3,0,MATCH(AP$5,PayDedList,0)-1,1,1),IgnoreMin)))*IF(COUNTIFS(EmpNo,$C28,OFFSET(Emp!$R$4,1,MATCH(AP$5,DedListItem,0)-1,EmpCount,1),"&lt;&gt;")&gt;0,VLOOKUP($C28,EmpAll,COLUMN(Emp!$R$4)+MATCH(AP$5,DedListItem,0)-1,0),OFFSET(Setup!$E$73,MATCH(AP$5,DedListItem,0),0,1,1))*AP$3))),IF(ISNUMBER(AP$4),AP$4,IgnoreMin)))))</f>
        <v>0</v>
      </c>
      <c r="AQ28" s="148" cm="1">
        <f t="array" aca="1" ref="AQ28" ca="1">-IF($F28="Terminated",0,IF($AA28=0,0,IF(ISNA(MATCH(AQ$5,PayDedList,0)),0,MIN(IF(COUNTIFS(OverEmp,$C28,OverDeduct,AQ$5,OverDate,"&lt;"&amp;DATE(YEAR($AC28),MONTH($AC28)+1,1),OverEnd,"&gt;="&amp;DATE(YEAR($AC28),MONTH($AC28),1))&gt;0,SUMPRODUCT((PayEmp=$C28)*(PayDate&lt;=$AC28)*(OFFSET($N$6,1,MATCH(AQ$5,PayDedList,0)-1,PayCount,1)))/$AA28*12*AQ$3,IF(OR(AQ$1="Fixed",AQ$1="Not Used"),SUMPRODUCT((PayEmp=$C28)*(PayDate&lt;=$AC28)*(OFFSET($N$6,1,MATCH(AQ$5,PayDedList,0)-1,PayCount,1)))/$AA28*12*AQ$3,IF(ISNA(MATCH(AQ$1,EarnListItem,0))=FALSE,SUMPRODUCT((PayEmp=$C28)*(PayDate&lt;=$AC28)*(OFFSET($N$6,1,MATCH(AQ$5,PayDedList,0)-1,PayCount,1)))/$AA28*12*AQ$3,(MIN(((SUMPRODUCT((PayEmp=$C28)*(PayDate&lt;=$AC28)*(ISERROR(SEARCH(PayEarnCode,AQ$2)))*(PayEarnType="Monthly")*(PayEarnValues))/$AA28*12)+(SUMPRODUCT((PayEmp=$C28)*(PayDate&lt;=$AC28)*(ISERROR(SEARCH(PayEarnCode,AQ$2)))*(PayEarnType="Quarterly")*(PayEarnValues))/MAX(1,ROUNDDOWN($AB28/3,0))*4)+(SUMPRODUCT((PayEmp=$C28)*(PayDate&lt;=$AC28)*(ISERROR(SEARCH(PayEarnCode,AQ$2)))*(PayEarnType="Bi-Annual")*(PayEarnValues))/MAX(1,ROUNDDOWN($AB28/6,0))*2)+(SUMPRODUCT((PayEmp=$C28)*(PayDate&lt;=$AC28)*(ISERROR(SEARCH(PayEarnCode,AQ$2)))*(PayEarnType="Annual")*(PayEarnValues)))),IF(ISNUMBER(OFFSET($N$3,0,MATCH(AQ$5,PayDedList,0)-1,1,1)),OFFSET($N$3,0,MATCH(AQ$5,PayDedList,0)-1,1,1),IgnoreMin)))*IF(COUNTIFS(EmpNo,$C28,OFFSET(Emp!$R$4,1,MATCH(AQ$5,DedListItem,0)-1,EmpCount,1),"&lt;&gt;")&gt;0,VLOOKUP($C28,EmpAll,COLUMN(Emp!$R$4)+MATCH(AQ$5,DedListItem,0)-1,0),OFFSET(Setup!$E$73,MATCH(AQ$5,DedListItem,0),0,1,1))*AQ$3))),IF(ISNUMBER(AQ$4),AQ$4,IgnoreMin)))))</f>
        <v>0</v>
      </c>
      <c r="AR28" s="148">
        <f t="shared" ca="1" si="10"/>
        <v>300000</v>
      </c>
      <c r="AS28" s="148">
        <f t="shared" ca="1" si="11"/>
        <v>300000</v>
      </c>
      <c r="AT28" s="148" cm="1">
        <f t="array" aca="1" ref="AT28" ca="1">-IF($F28="Terminated",0,IF($AA28=0,0,IF(ISNA(MATCH(AT$5,PayDedList,0)),0,MIN(IF(COUNTIFS(OverEmp,$C28,OverDeduct,AT$5,OverDate,"&lt;"&amp;DATE(YEAR($AC28),MONTH($AC28)+1,1),OverEnd,"&gt;="&amp;DATE(YEAR($AC28),MONTH($AC28),1))&gt;0,SUMPRODUCT((PayEmp=$C28)*(PayDate&lt;=$AC28)*(OFFSET($N$6,1,MATCH(AT$5,PayDedList,0)-1,PayCount,1)))/$AA28*12*AT$3,IF(OR(AT$1="Fixed",AT$1="Not Used"),SUMPRODUCT((PayEmp=$C28)*(PayDate&lt;=$AC28)*(OFFSET($N$6,1,MATCH(AT$5,PayDedList,0)-1,PayCount,1)))/$AA28*12*AT$3,IF(ISNA(MATCH(OFFSET($N$2,0,MATCH(AT$5,PayDedList,0)-1,1,1),EarnListItem,0))=FALSE,SUMPRODUCT((PayEmp=$C28)*(PayDate&lt;=$AC28)*(OFFSET($N$6,1,MATCH(AT$5,PayDedList,0)-1,PayCount,1)))/$AA28*12*AT$3,(MIN(SUMPRODUCT((PayEmp=$C28)*(PayDate&lt;=$AC28)*(ISERROR(SEARCH(PayEarnCode,AT$2)))*(PayEarnType="Monthly")*(PayEarnValues))/$AA28*12,IF(ISNUMBER(OFFSET($N$3,0,MATCH(AT$5,PayDedList,0)-1,1,1)),OFFSET($N$3,0,MATCH(AT$5,PayDedList,0)-1,1,1),IgnoreMin)))*IF(COUNTIFS(EmpNo,$C28,OFFSET(Emp!$R$4,1,MATCH(AT$5,DedListItem,0)-1,EmpCount,1),"&lt;&gt;")&gt;0,VLOOKUP($C28,EmpAll,COLUMN(Emp!$R$4)+MATCH(AT$5,DedListItem,0)-1,0),OFFSET(Setup!$E$73,MATCH(AT$5,DedListItem,0),0,1,1))*AT$3))),IF(ISNUMBER(AT$4),AT$4,IgnoreMin)))))</f>
        <v>0</v>
      </c>
      <c r="AU28" s="148" cm="1">
        <f t="array" aca="1" ref="AU28" ca="1">-IF($F28="Terminated",0,IF($AA28=0,0,IF(ISNA(MATCH(AU$5,PayDedList,0)),0,MIN(IF(COUNTIFS(OverEmp,$C28,OverDeduct,AU$5,OverDate,"&lt;"&amp;DATE(YEAR($AC28),MONTH($AC28)+1,1),OverEnd,"&gt;="&amp;DATE(YEAR($AC28),MONTH($AC28),1))&gt;0,SUMPRODUCT((PayEmp=$C28)*(PayDate&lt;=$AC28)*(OFFSET($N$6,1,MATCH(AU$5,PayDedList,0)-1,PayCount,1)))/$AA28*12*AU$3,IF(OR(AU$1="Fixed",AU$1="Not Used"),SUMPRODUCT((PayEmp=$C28)*(PayDate&lt;=$AC28)*(OFFSET($N$6,1,MATCH(AU$5,PayDedList,0)-1,PayCount,1)))/$AA28*12*AU$3,IF(ISNA(MATCH(OFFSET($N$2,0,MATCH(AU$5,PayDedList,0)-1,1,1),EarnListItem,0))=FALSE,SUMPRODUCT((PayEmp=$C28)*(PayDate&lt;=$AC28)*(OFFSET($N$6,1,MATCH(AU$5,PayDedList,0)-1,PayCount,1)))/$AA28*12*AU$3,(MIN(SUMPRODUCT((PayEmp=$C28)*(PayDate&lt;=$AC28)*(ISERROR(SEARCH(PayEarnCode,AU$2)))*(PayEarnType="Monthly")*(PayEarnValues))/$AA28*12,IF(ISNUMBER(OFFSET($N$3,0,MATCH(AU$5,PayDedList,0)-1,1,1)),OFFSET($N$3,0,MATCH(AU$5,PayDedList,0)-1,1,1),IgnoreMin)))*IF(COUNTIFS(EmpNo,$C28,OFFSET(Emp!$R$4,1,MATCH(AU$5,DedListItem,0)-1,EmpCount,1),"&lt;&gt;")&gt;0,VLOOKUP($C28,EmpAll,COLUMN(Emp!$R$4)+MATCH(AU$5,DedListItem,0)-1,0),OFFSET(Setup!$E$73,MATCH(AU$5,DedListItem,0),0,1,1))*AU$3))),IF(ISNUMBER(AU$4),AU$4,IgnoreMin)))))</f>
        <v>0</v>
      </c>
      <c r="AV28" s="148" cm="1">
        <f t="array" aca="1" ref="AV28" ca="1">-IF($F28="Terminated",0,IF($AA28=0,0,IF(ISNA(MATCH(AV$5,PayDedList,0)),0,MIN(IF(COUNTIFS(OverEmp,$C28,OverDeduct,AV$5,OverDate,"&lt;"&amp;DATE(YEAR($AC28),MONTH($AC28)+1,1),OverEnd,"&gt;="&amp;DATE(YEAR($AC28),MONTH($AC28),1))&gt;0,SUMPRODUCT((PayEmp=$C28)*(PayDate&lt;=$AC28)*(OFFSET($N$6,1,MATCH(AV$5,PayDedList,0)-1,PayCount,1)))/$AA28*12*AV$3,IF(OR(AV$1="Fixed",AV$1="Not Used"),SUMPRODUCT((PayEmp=$C28)*(PayDate&lt;=$AC28)*(OFFSET($N$6,1,MATCH(AV$5,PayDedList,0)-1,PayCount,1)))/$AA28*12*AV$3,IF(ISNA(MATCH(OFFSET($N$2,0,MATCH(AV$5,PayDedList,0)-1,1,1),EarnListItem,0))=FALSE,SUMPRODUCT((PayEmp=$C28)*(PayDate&lt;=$AC28)*(OFFSET($N$6,1,MATCH(AV$5,PayDedList,0)-1,PayCount,1)))/$AA28*12*AV$3,(MIN(SUMPRODUCT((PayEmp=$C28)*(PayDate&lt;=$AC28)*(ISERROR(SEARCH(PayEarnCode,AV$2)))*(PayEarnType="Monthly")*(PayEarnValues))/$AA28*12,IF(ISNUMBER(OFFSET($N$3,0,MATCH(AV$5,PayDedList,0)-1,1,1)),OFFSET($N$3,0,MATCH(AV$5,PayDedList,0)-1,1,1),IgnoreMin)))*IF(COUNTIFS(EmpNo,$C28,OFFSET(Emp!$R$4,1,MATCH(AV$5,DedListItem,0)-1,EmpCount,1),"&lt;&gt;")&gt;0,VLOOKUP($C28,EmpAll,COLUMN(Emp!$R$4)+MATCH(AV$5,DedListItem,0)-1,0),OFFSET(Setup!$E$73,MATCH(AV$5,DedListItem,0),0,1,1))*AV$3))),IF(ISNUMBER(AV$4),AV$4,IgnoreMin)))))</f>
        <v>0</v>
      </c>
      <c r="AW28" s="148" cm="1">
        <f t="array" aca="1" ref="AW28" ca="1">-IF($F28="Terminated",0,IF($AA28=0,0,IF(ISNA(MATCH(AW$5,PayDedList,0)),0,MIN(IF(COUNTIFS(OverEmp,$C28,OverDeduct,AW$5,OverDate,"&lt;"&amp;DATE(YEAR($AC28),MONTH($AC28)+1,1),OverEnd,"&gt;="&amp;DATE(YEAR($AC28),MONTH($AC28),1))&gt;0,SUMPRODUCT((PayEmp=$C28)*(PayDate&lt;=$AC28)*(OFFSET($N$6,1,MATCH(AW$5,PayDedList,0)-1,PayCount,1)))/$AA28*12*AW$3,IF(OR(AW$1="Fixed",AW$1="Not Used"),SUMPRODUCT((PayEmp=$C28)*(PayDate&lt;=$AC28)*(OFFSET($N$6,1,MATCH(AW$5,PayDedList,0)-1,PayCount,1)))/$AA28*12*AW$3,IF(ISNA(MATCH(OFFSET($N$2,0,MATCH(AW$5,PayDedList,0)-1,1,1),EarnListItem,0))=FALSE,SUMPRODUCT((PayEmp=$C28)*(PayDate&lt;=$AC28)*(OFFSET($N$6,1,MATCH(AW$5,PayDedList,0)-1,PayCount,1)))/$AA28*12*AW$3,(MIN(SUMPRODUCT((PayEmp=$C28)*(PayDate&lt;=$AC28)*(ISERROR(SEARCH(PayEarnCode,AW$2)))*(PayEarnType="Monthly")*(PayEarnValues))/$AA28*12,IF(ISNUMBER(OFFSET($N$3,0,MATCH(AW$5,PayDedList,0)-1,1,1)),OFFSET($N$3,0,MATCH(AW$5,PayDedList,0)-1,1,1),IgnoreMin)))*IF(COUNTIFS(EmpNo,$C28,OFFSET(Emp!$R$4,1,MATCH(AW$5,DedListItem,0)-1,EmpCount,1),"&lt;&gt;")&gt;0,VLOOKUP($C28,EmpAll,COLUMN(Emp!$R$4)+MATCH(AW$5,DedListItem,0)-1,0),OFFSET(Setup!$E$73,MATCH(AW$5,DedListItem,0),0,1,1))*AW$3))),IF(ISNUMBER(AW$4),AW$4,IgnoreMin)))))</f>
        <v>0</v>
      </c>
      <c r="AX28" s="148">
        <f t="shared" ca="1" si="12"/>
        <v>300000</v>
      </c>
      <c r="AY28" s="148">
        <f t="shared" ca="1" si="13"/>
        <v>0</v>
      </c>
      <c r="AZ28" s="148">
        <f ca="1">IF(ISNUMBER($AL28),($AR28*$AL28)-$AI28-$AK28,MAX(0,IF($AL28="B",IF($AR28&lt;Setup!$C$32,($AR28*Setup!$D$32)-$AI28-$AK28,(($AR28-VLOOKUP($AR28,TaxAll2,1,1))*OFFSET(Setup!$D$32,MATCH($AR28,TaxBracket2,1),0,1,1))+OFFSET(Setup!$E$31,MATCH($AR28,TaxBracket2,1),0,1,1)-$AI28-$AK28),IF($AR28&lt;Setup!$C$21,($AR28*Setup!$D$21)-$AI28-$AK28,(($AR28-VLOOKUP($AR28,TaxAll1,1,1))*OFFSET(Setup!$D$21,MATCH($AR28,TaxBracket1,1),0,1,1))+OFFSET(Setup!$E$20,MATCH($AR28,TaxBracket1,1),0,1,1)-$AI28-$AK28))))</f>
        <v>41797</v>
      </c>
      <c r="BA28" s="148">
        <f ca="1">IF(ISNUMBER($AL28),($AX28*$AL28)-$AI28-$AK28,MAX(0,IF($AL28="B",IF($AX28&lt;Setup!$C$32,($AX28*Setup!$D$32)-$AI28-$AK28,(($AX28-VLOOKUP($AX28,TaxAll2,1,1))*OFFSET(Setup!$D$32,MATCH($AX28,TaxBracket2,1),0,1,1))+OFFSET(Setup!$E$31,MATCH($AX28,TaxBracket2,1),0,1,1)-$AI28-$AK28),IF($AX28&lt;Setup!$C$21,($AX28*Setup!$D$21)-$AI28-$AK28,(($AX28-VLOOKUP($AX28,TaxAll1,1,1))*OFFSET(Setup!$D$21,MATCH($AX28,TaxBracket1,1),0,1,1))+OFFSET(Setup!$E$20,MATCH($AX28,TaxBracket1,1),0,1,1)-$AI28-$AK28))))</f>
        <v>41797</v>
      </c>
      <c r="BB28" s="148">
        <f t="shared" ca="1" si="14"/>
        <v>0</v>
      </c>
      <c r="BC28" s="150">
        <f t="shared" ca="1" si="15"/>
        <v>1</v>
      </c>
      <c r="BD28" s="150">
        <f t="shared" ca="1" si="16"/>
        <v>0</v>
      </c>
      <c r="BE28" s="148">
        <f t="shared" ca="1" si="17"/>
        <v>300000</v>
      </c>
    </row>
    <row r="29" spans="1:57" ht="16.149999999999999" customHeight="1" x14ac:dyDescent="0.25">
      <c r="A29" s="10" t="str" cm="1">
        <f t="array" aca="1" ref="A29" ca="1">IF(ROW($A29)-ROW($A$6)&gt;EmpCount*12,"-",TEXT($B29,"yyyy")&amp;TEXT($B29,"mm")&amp;"-"&amp;$C29)</f>
        <v>202304-EXS008</v>
      </c>
      <c r="B29" s="137" cm="1">
        <f t="array" aca="1" ref="B29" ca="1">IF(ROW($A29)-ROW($A$6)&gt;EmpCount*12,Setup!$D$12,DATE(YEAR(Setup!$F$12),MONTH(Setup!$F$12)+ROUNDDOWN((ROW($A29)-ROW($A$6)-1)/EmpCount,0),IF(Setup!$C$14&gt;DAY(DATE(YEAR(Setup!$F$12),MONTH(Setup!$F$12)+ROUNDDOWN((ROW($A29)-ROW($A$6)-1)/EmpCount,0)+1,0)),DAY(DATE(YEAR(Setup!$F$12),MONTH(Setup!$F$12)+ROUNDDOWN((ROW($A29)-ROW($A$6)-1)/EmpCount,0)+1,0)),Setup!$C$14)))</f>
        <v>45041</v>
      </c>
      <c r="C29" s="101" t="str" cm="1">
        <f t="array" aca="1" ref="C29" ca="1">IF(ROW($A29)-ROW($A$6)&gt;EmpCount*12,"-",OFFSET(Emp!$A$4,ROW($A29)-ROW($A$6)-IF(ROW($A29)-ROW($A$6)&gt;EmpCount,ROUNDDOWN((ROW($A29)-ROW($A$6)-1)/EmpCount,0)*EmpCount,0),0,1,1))</f>
        <v>EXS008</v>
      </c>
      <c r="D29" s="10" t="str">
        <f ca="1">IF(ISNA(VLOOKUP($C29,EmpAll,COLUMN(Emp!$B$4),0)),"-",VLOOKUP($C29,EmpAll,COLUMN(Emp!$B$4),0))</f>
        <v>Matthews B</v>
      </c>
      <c r="E29" s="145" t="str">
        <f ca="1">IF(ISNA(VLOOKUP($C29,EmpAll,COLUMN(Emp!$C$4),0)),"-",VLOOKUP($C29,EmpAll,COLUMN(Emp!$C$4),0))</f>
        <v>A</v>
      </c>
      <c r="F29" s="101" t="str">
        <f ca="1">IF(ISNA(VLOOKUP($C29,EmpAll,COLUMN(Emp!$A$4),0)),"-",IF(AND(VLOOKUP($C29,EmpAll,COLUMN(Emp!$E$4),0)&lt;&gt;0,VLOOKUP($C29,EmpAll,COLUMN(Emp!$E$4),0)&gt;=DATE(YEAR($AC29),MONTH($AC29)+1,0)),"Inactive",IF(AND(VLOOKUP($C29,EmpAll,COLUMN(Emp!$F$4),0)&lt;&gt;0,VLOOKUP($C29,EmpAll,COLUMN(Emp!$F$4),0)&lt;=DATE(YEAR($AC29),MONTH($AC29),0)),"Terminated","Active")))</f>
        <v>Active</v>
      </c>
      <c r="G29" s="133" cm="1">
        <f t="array" aca="1" ref="G29" ca="1">IF($F29&lt;&gt;"Active",0,IF(COUNTIFS(OverEmp,$C29,OverEarn,G$2,OverDate,"&lt;"&amp;DATE(YEAR($AC29),MONTH($AC29)+1,1),OverEnd,"&gt;="&amp;DATE(YEAR($AC29),MONTH($AC29),1))&gt;0,SUMIFS(OverValue,OverEmp,$C29,OverEarn,G$2,OverDate,"&lt;"&amp;DATE(YEAR($AC29),MONTH($AC29)+1,1),OverEnd,"&gt;="&amp;DATE(YEAR($AC29),MONTH($AC29),1)),IF(AND($AC29&gt;=Setup!$E$10,SUMIFS(EmpIncrease,EmpCode,$C29)&gt;0),SUMIFS(EmpIncrease,EmpCode,$C29),SUMIFS(EmpSalary,EmpCode,$C29))))</f>
        <v>9000</v>
      </c>
      <c r="H29" s="133" cm="1">
        <f t="array" aca="1" ref="H29" ca="1">IF($F29&lt;&gt;"Active",0,IF(COUNTIFS(OverEmp,$C29,OverEarn,H$2,OverDate,"&lt;"&amp;DATE(YEAR($AC29),MONTH($AC29)+1,1),OverEnd,"&gt;="&amp;DATE(YEAR($AC29),MONTH($AC29),1))&gt;0,SUMIFS(OverValue,OverEmp,$C29,OverEarn,H$2,OverDate,"&lt;"&amp;DATE(YEAR($AC29),MONTH($AC29)+1,1),OverEnd,"&gt;="&amp;DATE(YEAR($AC29),MONTH($AC29),1)),0))</f>
        <v>0</v>
      </c>
      <c r="I29" s="133" cm="1">
        <f t="array" aca="1" ref="I29" ca="1">IF($F29&lt;&gt;"Active",0,IF(COUNTIFS(OverEmp,$C29,OverEarn,I$2,OverDate,"&lt;"&amp;DATE(YEAR($AC29),MONTH($AC29)+1,1),OverEnd,"&gt;="&amp;DATE(YEAR($AC29),MONTH($AC29),1))&gt;0,SUMIFS(OverValue,OverEmp,$C29,OverEarn,I$2,OverDate,"&lt;"&amp;DATE(YEAR($AC29),MONTH($AC29)+1,1),OverEnd,"&gt;="&amp;DATE(YEAR($AC29),MONTH($AC29),1)),IF(MONTH(B29)=Setup!$C$15,SUMIFS(EmpBonus,EmpCode,$C29),0)))</f>
        <v>0</v>
      </c>
      <c r="J29" s="133" cm="1">
        <f t="array" aca="1" ref="J29" ca="1">IF($F29&lt;&gt;"Active",0,IF(COUNTIFS(OverEmp,$C29,OverEarn,J$2,OverDate,"&lt;"&amp;DATE(YEAR($AC29),MONTH($AC29)+1,1),OverEnd,"&gt;="&amp;DATE(YEAR($AC29),MONTH($AC29),1))&gt;0,SUMIFS(OverValue,OverEmp,$C29,OverEarn,J$2,OverDate,"&lt;"&amp;DATE(YEAR($AC29),MONTH($AC29)+1,1),OverEnd,"&gt;="&amp;DATE(YEAR($AC29),MONTH($AC29),1)),0))</f>
        <v>0</v>
      </c>
      <c r="K29" s="133" cm="1">
        <f t="array" aca="1" ref="K29" ca="1">IF($F29&lt;&gt;"Active",0,IF(COUNTIFS(OverEmp,$C29,OverEarn,K$2,OverDate,"&lt;"&amp;DATE(YEAR($AC29),MONTH($AC29)+1,1),OverEnd,"&gt;="&amp;DATE(YEAR($AC29),MONTH($AC29),1))&gt;0,SUMIFS(OverValue,OverEmp,$C29,OverEarn,K$2,OverDate,"&lt;"&amp;DATE(YEAR($AC29),MONTH($AC29)+1,1),OverEnd,"&gt;="&amp;DATE(YEAR($AC29),MONTH($AC29),1)),0))</f>
        <v>0</v>
      </c>
      <c r="L29" s="185">
        <f t="shared" ca="1" si="0"/>
        <v>9000</v>
      </c>
      <c r="M29" s="182" cm="1">
        <f t="array" aca="1" ref="M29" ca="1">IF(COUNTIFS(OverEmp,$C29,OverTax,M$5,OverDate,"&lt;"&amp;DATE(YEAR($AC29),MONTH($AC29)+1,1),OverEnd,"&gt;="&amp;DATE(YEAR($AC29),MONTH($AC29),1))&gt;0,SUMIFS(OverValue,OverEmp,$C29,OverTax,M$5,OverDate,"&lt;"&amp;DATE(YEAR($AC29),MONTH($AC29)+1,1),OverEnd,"&gt;="&amp;DATE(YEAR($AC29),MONTH($AC29),1)),(($BA29/12*$AA29)+(BB29*IF(1-$BC29=0,0,BD29/(1-$BC29))))-IF($F29="Terminated",0,SUMIFS(PayTaxDeduct,PayDate,"&lt;"&amp;$AC29,PayEmp,$C29)))</f>
        <v>183.75</v>
      </c>
      <c r="N29" s="133" cm="1">
        <f t="array" aca="1" ref="N29" ca="1">IF($F29="Terminated",0,IF($AA29=0,0,IF(ISNA(MATCH(N$5,DedListItem,0)),0,IF(COUNTIFS(OverEmp,$C29,OverDeduct,N$5,OverDate,"&lt;"&amp;DATE(YEAR($AC29),MONTH($AC29)+1,1),OverEnd,"&gt;="&amp;DATE(YEAR($AC29),MONTH($AC29),1))&gt;0,SUMIFS(OverValue,OverEmp,$C29,OverDeduct,N$5,OverDate,"&lt;"&amp;DATE(YEAR($AC29),MONTH($AC29)+1,1),OverEnd,"&gt;="&amp;DATE(YEAR($AC29),MONTH($AC29),1)),IF(OR(N$2="Fixed",N$2="Not Used"),(IF(COUNTIFS(EmpNo,$C29,OFFSET(Emp!$R$4,1,MATCH(N$5,DedListItem,0)-1,EmpCount,1),"&lt;&gt;")&gt;0,VLOOKUP($C29,EmpAll,COLUMN(Emp!$R$4)+MATCH(N$5,DedListItem,0)-1,0),OFFSET(Setup!$E$73,MATCH(N$5,DedListItem,0),0,1,1))*$AA29)-SUMIFS(OFFSET(N$6,1,0,PayCount,1),PayDate,"&lt;"&amp;$AC29,PayEmp,$C29),IF(ISNA(MATCH(N$2,EarnListItem,0))=FALSE,IF(OFFSET(Setup!$G$73,MATCH(N$5,DedListItem,0),0,1,1)="Taxable",SUMPRODUCT((PayEmp=$C29)*(PayDate&lt;=$AC29)*(PayEarnCode=N$2)*(PayEarnTax)*(PayEarnValues)),SUMPRODUCT((PayEmp=$C29)*(PayDate&lt;=$AC29)*(PayEarnCode=N$2)*(PayEarnValues)))*IF(COUNTIFS(EmpNo,$C29,OFFSET(Emp!$R$4,1,MATCH(N$5,DedListItem,0)-1,EmpCount,1),"&lt;&gt;")&gt;0,VLOOKUP($C29,EmpAll,COLUMN(Emp!$R$4)+MATCH(N$5,DedListItem,0)-1,0),OFFSET(Setup!$E$73,MATCH(N$5,DedListItem,0),0,1,1)),(MIN(IF(OFFSET(Setup!$G$73,MATCH(N$5,DedListItem,0),0,1,1)="Taxable",SUMPRODUCT((PayEmp=$C29)*(PayDate&lt;=$AC29)*(ISERROR(SEARCH(PayEarnCode,N$4)))*(PayEarnTax)*(PayEarnValues)),SUMPRODUCT((PayEmp=$C29)*(PayDate&lt;=$AC29)*(ISERROR(SEARCH(PayEarnCode,N$4)))*(PayEarnValues))),IF(ISNUMBER(N$3),N$3/12*$AA29,IgnoreMin)))*IF(COUNTIFS(EmpNo,$C29,OFFSET(Emp!$R$4,1,MATCH(N$5,DedListItem,0)-1,EmpCount,1),"&lt;&gt;")&gt;0,VLOOKUP($C29,EmpAll,COLUMN(Emp!$R$4)+MATCH(N$5,DedListItem,0)-1,0),OFFSET(Setup!$E$73,MATCH(N$5,DedListItem,0),0,1,1)))-SUMIFS(OFFSET(N$6,1,0,PayCount,1),PayDate,"&lt;"&amp;$AC29,PayEmp,$C29))))))</f>
        <v>90</v>
      </c>
      <c r="O29" s="133" cm="1">
        <f t="array" aca="1" ref="O29" ca="1">IF($F29="Terminated",0,IF($AA29=0,0,IF(ISNA(MATCH(O$5,DedListItem,0)),0,IF(COUNTIFS(OverEmp,$C29,OverDeduct,O$5,OverDate,"&lt;"&amp;DATE(YEAR($AC29),MONTH($AC29)+1,1),OverEnd,"&gt;="&amp;DATE(YEAR($AC29),MONTH($AC29),1))&gt;0,SUMIFS(OverValue,OverEmp,$C29,OverDeduct,O$5,OverDate,"&lt;"&amp;DATE(YEAR($AC29),MONTH($AC29)+1,1),OverEnd,"&gt;="&amp;DATE(YEAR($AC29),MONTH($AC29),1)),IF(OR(O$2="Fixed",O$2="Not Used"),(IF(COUNTIFS(EmpNo,$C29,OFFSET(Emp!$R$4,1,MATCH(O$5,DedListItem,0)-1,EmpCount,1),"&lt;&gt;")&gt;0,VLOOKUP($C29,EmpAll,COLUMN(Emp!$R$4)+MATCH(O$5,DedListItem,0)-1,0),OFFSET(Setup!$E$73,MATCH(O$5,DedListItem,0),0,1,1))*$AA29)-SUMIFS(OFFSET(O$6,1,0,PayCount,1),PayDate,"&lt;"&amp;$AC29,PayEmp,$C29),IF(ISNA(MATCH(O$2,EarnListItem,0))=FALSE,IF(OFFSET(Setup!$G$73,MATCH(O$5,DedListItem,0),0,1,1)="Taxable",SUMPRODUCT((PayEmp=$C29)*(PayDate&lt;=$AC29)*(PayEarnCode=O$2)*(PayEarnTax)*(PayEarnValues)),SUMPRODUCT((PayEmp=$C29)*(PayDate&lt;=$AC29)*(PayEarnCode=O$2)*(PayEarnValues)))*IF(COUNTIFS(EmpNo,$C29,OFFSET(Emp!$R$4,1,MATCH(O$5,DedListItem,0)-1,EmpCount,1),"&lt;&gt;")&gt;0,VLOOKUP($C29,EmpAll,COLUMN(Emp!$R$4)+MATCH(O$5,DedListItem,0)-1,0),OFFSET(Setup!$E$73,MATCH(O$5,DedListItem,0),0,1,1)),(MIN(IF(OFFSET(Setup!$G$73,MATCH(O$5,DedListItem,0),0,1,1)="Taxable",SUMPRODUCT((PayEmp=$C29)*(PayDate&lt;=$AC29)*(ISERROR(SEARCH(PayEarnCode,O$4)))*(PayEarnTax)*(PayEarnValues)),SUMPRODUCT((PayEmp=$C29)*(PayDate&lt;=$AC29)*(ISERROR(SEARCH(PayEarnCode,O$4)))*(PayEarnValues))),IF(ISNUMBER(O$3),O$3/12*$AA29,IgnoreMin)))*IF(COUNTIFS(EmpNo,$C29,OFFSET(Emp!$R$4,1,MATCH(O$5,DedListItem,0)-1,EmpCount,1),"&lt;&gt;")&gt;0,VLOOKUP($C29,EmpAll,COLUMN(Emp!$R$4)+MATCH(O$5,DedListItem,0)-1,0),OFFSET(Setup!$E$73,MATCH(O$5,DedListItem,0),0,1,1)))-SUMIFS(OFFSET(O$6,1,0,PayCount,1),PayDate,"&lt;"&amp;$AC29,PayEmp,$C29))))))</f>
        <v>0</v>
      </c>
      <c r="P29" s="133" cm="1">
        <f t="array" aca="1" ref="P29" ca="1">IF($F29="Terminated",0,IF($AA29=0,0,IF(ISNA(MATCH(P$5,DedListItem,0)),0,IF(COUNTIFS(OverEmp,$C29,OverDeduct,P$5,OverDate,"&lt;"&amp;DATE(YEAR($AC29),MONTH($AC29)+1,1),OverEnd,"&gt;="&amp;DATE(YEAR($AC29),MONTH($AC29),1))&gt;0,SUMIFS(OverValue,OverEmp,$C29,OverDeduct,P$5,OverDate,"&lt;"&amp;DATE(YEAR($AC29),MONTH($AC29)+1,1),OverEnd,"&gt;="&amp;DATE(YEAR($AC29),MONTH($AC29),1)),IF(OR(P$2="Fixed",P$2="Not Used"),(IF(COUNTIFS(EmpNo,$C29,OFFSET(Emp!$R$4,1,MATCH(P$5,DedListItem,0)-1,EmpCount,1),"&lt;&gt;")&gt;0,VLOOKUP($C29,EmpAll,COLUMN(Emp!$R$4)+MATCH(P$5,DedListItem,0)-1,0),OFFSET(Setup!$E$73,MATCH(P$5,DedListItem,0),0,1,1))*$AA29)-SUMIFS(OFFSET(P$6,1,0,PayCount,1),PayDate,"&lt;"&amp;$AC29,PayEmp,$C29),IF(ISNA(MATCH(P$2,EarnListItem,0))=FALSE,IF(OFFSET(Setup!$G$73,MATCH(P$5,DedListItem,0),0,1,1)="Taxable",SUMPRODUCT((PayEmp=$C29)*(PayDate&lt;=$AC29)*(PayEarnCode=P$2)*(PayEarnTax)*(PayEarnValues)),SUMPRODUCT((PayEmp=$C29)*(PayDate&lt;=$AC29)*(PayEarnCode=P$2)*(PayEarnValues)))*IF(COUNTIFS(EmpNo,$C29,OFFSET(Emp!$R$4,1,MATCH(P$5,DedListItem,0)-1,EmpCount,1),"&lt;&gt;")&gt;0,VLOOKUP($C29,EmpAll,COLUMN(Emp!$R$4)+MATCH(P$5,DedListItem,0)-1,0),OFFSET(Setup!$E$73,MATCH(P$5,DedListItem,0),0,1,1)),(MIN(IF(OFFSET(Setup!$G$73,MATCH(P$5,DedListItem,0),0,1,1)="Taxable",SUMPRODUCT((PayEmp=$C29)*(PayDate&lt;=$AC29)*(ISERROR(SEARCH(PayEarnCode,P$4)))*(PayEarnTax)*(PayEarnValues)),SUMPRODUCT((PayEmp=$C29)*(PayDate&lt;=$AC29)*(ISERROR(SEARCH(PayEarnCode,P$4)))*(PayEarnValues))),IF(ISNUMBER(P$3),P$3/12*$AA29,IgnoreMin)))*IF(COUNTIFS(EmpNo,$C29,OFFSET(Emp!$R$4,1,MATCH(P$5,DedListItem,0)-1,EmpCount,1),"&lt;&gt;")&gt;0,VLOOKUP($C29,EmpAll,COLUMN(Emp!$R$4)+MATCH(P$5,DedListItem,0)-1,0),OFFSET(Setup!$E$73,MATCH(P$5,DedListItem,0),0,1,1)))-SUMIFS(OFFSET(P$6,1,0,PayCount,1),PayDate,"&lt;"&amp;$AC29,PayEmp,$C29))))))</f>
        <v>0</v>
      </c>
      <c r="Q29" s="133" cm="1">
        <f t="array" aca="1" ref="Q29" ca="1">IF($F29="Terminated",0,IF($AA29=0,0,IF(ISNA(MATCH(Q$5,DedListItem,0)),0,IF(COUNTIFS(OverEmp,$C29,OverDeduct,Q$5,OverDate,"&lt;"&amp;DATE(YEAR($AC29),MONTH($AC29)+1,1),OverEnd,"&gt;="&amp;DATE(YEAR($AC29),MONTH($AC29),1))&gt;0,SUMIFS(OverValue,OverEmp,$C29,OverDeduct,Q$5,OverDate,"&lt;"&amp;DATE(YEAR($AC29),MONTH($AC29)+1,1),OverEnd,"&gt;="&amp;DATE(YEAR($AC29),MONTH($AC29),1)),IF(OR(Q$2="Fixed",Q$2="Not Used"),(IF(COUNTIFS(EmpNo,$C29,OFFSET(Emp!$R$4,1,MATCH(Q$5,DedListItem,0)-1,EmpCount,1),"&lt;&gt;")&gt;0,VLOOKUP($C29,EmpAll,COLUMN(Emp!$R$4)+MATCH(Q$5,DedListItem,0)-1,0),OFFSET(Setup!$E$73,MATCH(Q$5,DedListItem,0),0,1,1))*$AA29)-SUMIFS(OFFSET(Q$6,1,0,PayCount,1),PayDate,"&lt;"&amp;$AC29,PayEmp,$C29),IF(ISNA(MATCH(Q$2,EarnListItem,0))=FALSE,IF(OFFSET(Setup!$G$73,MATCH(Q$5,DedListItem,0),0,1,1)="Taxable",SUMPRODUCT((PayEmp=$C29)*(PayDate&lt;=$AC29)*(PayEarnCode=Q$2)*(PayEarnTax)*(PayEarnValues)),SUMPRODUCT((PayEmp=$C29)*(PayDate&lt;=$AC29)*(PayEarnCode=Q$2)*(PayEarnValues)))*IF(COUNTIFS(EmpNo,$C29,OFFSET(Emp!$R$4,1,MATCH(Q$5,DedListItem,0)-1,EmpCount,1),"&lt;&gt;")&gt;0,VLOOKUP($C29,EmpAll,COLUMN(Emp!$R$4)+MATCH(Q$5,DedListItem,0)-1,0),OFFSET(Setup!$E$73,MATCH(Q$5,DedListItem,0),0,1,1)),(MIN(IF(OFFSET(Setup!$G$73,MATCH(Q$5,DedListItem,0),0,1,1)="Taxable",SUMPRODUCT((PayEmp=$C29)*(PayDate&lt;=$AC29)*(ISERROR(SEARCH(PayEarnCode,Q$4)))*(PayEarnTax)*(PayEarnValues)),SUMPRODUCT((PayEmp=$C29)*(PayDate&lt;=$AC29)*(ISERROR(SEARCH(PayEarnCode,Q$4)))*(PayEarnValues))),IF(ISNUMBER(Q$3),Q$3/12*$AA29,IgnoreMin)))*IF(COUNTIFS(EmpNo,$C29,OFFSET(Emp!$R$4,1,MATCH(Q$5,DedListItem,0)-1,EmpCount,1),"&lt;&gt;")&gt;0,VLOOKUP($C29,EmpAll,COLUMN(Emp!$R$4)+MATCH(Q$5,DedListItem,0)-1,0),OFFSET(Setup!$E$73,MATCH(Q$5,DedListItem,0),0,1,1)))-SUMIFS(OFFSET(Q$6,1,0,PayCount,1),PayDate,"&lt;"&amp;$AC29,PayEmp,$C29))))))</f>
        <v>0</v>
      </c>
      <c r="R29" s="185">
        <f t="shared" ca="1" si="1"/>
        <v>273.75</v>
      </c>
      <c r="S29" s="139">
        <f t="shared" ca="1" si="2"/>
        <v>8726.25</v>
      </c>
      <c r="T29" s="133" cm="1">
        <f t="array" aca="1" ref="T29" ca="1">IF($F29="Terminated",0,IF($AA29=0,0,IF(ISNA(MATCH(T$5,CompListItem,0)),0,IF(COUNTIFS(OverEmp,$C29,OverComp,T$5,OverDate,"&lt;"&amp;DATE(YEAR($AC29),MONTH($AC29)+1,1),OverEnd,"&gt;="&amp;DATE(YEAR($AC29),MONTH($AC29),1))&gt;0,SUMIFS(OverValue,OverEmp,$C29,OverComp,T$5,OverDate,"&lt;"&amp;DATE(YEAR($AC29),MONTH($AC29)+1,1),OverEnd,"&gt;="&amp;DATE(YEAR($AC29),MONTH($AC29),1)),IF(OR(T$2="Fixed",T$2="Not Used"),(OFFSET(Setup!$E$81,MATCH(T$5,CompListItem,0),0,1,1)*$AA29)-SUMIFS(OFFSET(T$6,1,0,PayCount,1),PayDate,"&lt;"&amp;$AC29,PayEmp,$C29),IF(ISNA(MATCH(T$2,DedListItem,0))=FALSE,(SUMPRODUCT((PayEmp=$C29)*(PayDate&lt;=$AC29)*(PayDedList=T$2)*(PayDedValues))*OFFSET(Setup!$E$81,MATCH(T$5,CompListItem,0),0,1,1))-SUMIFS(OFFSET(T$6,1,0,PayCount,1),PayDate,"&lt;"&amp;$AC29,PayEmp,$C29),(MIN(IF(OFFSET(Setup!$G$81,MATCH(T$5,CompListItem,0),0,1,1)="Taxable",SUMPRODUCT((PayEmp=$C29)*(PayDate&lt;=$AC29)*(ISERROR(SEARCH(PayEarnCode,T$4)))*(PayEarnTax)*(PayEarnValues)),SUMPRODUCT((PayEmp=$C29)*(PayDate&lt;=$AC29)*(ISERROR(SEARCH(PayEarnCode,T$4)))*(PayEarnValues))),IF(ISNUMBER(T$3),T$3/12*$AA29,IgnoreMin)))*OFFSET(Setup!$E$81,MATCH(T$5,CompListItem,0),0,1,1)-SUMIFS(OFFSET(T$6,1,0,PayCount,1),PayDate,"&lt;"&amp;$AC29,PayEmp,$C29)))))))</f>
        <v>90</v>
      </c>
      <c r="U29" s="133" cm="1">
        <f t="array" aca="1" ref="U29" ca="1">IF($F29="Terminated",0,IF($AA29=0,0,IF(ISNA(MATCH(U$5,CompListItem,0)),0,IF(COUNTIFS(OverEmp,$C29,OverComp,U$5,OverDate,"&lt;"&amp;DATE(YEAR($AC29),MONTH($AC29)+1,1),OverEnd,"&gt;="&amp;DATE(YEAR($AC29),MONTH($AC29),1))&gt;0,SUMIFS(OverValue,OverEmp,$C29,OverComp,U$5,OverDate,"&lt;"&amp;DATE(YEAR($AC29),MONTH($AC29)+1,1),OverEnd,"&gt;="&amp;DATE(YEAR($AC29),MONTH($AC29),1)),IF(OR(U$2="Fixed",U$2="Not Used"),(OFFSET(Setup!$E$81,MATCH(U$5,CompListItem,0),0,1,1)*$AA29)-SUMIFS(OFFSET(U$6,1,0,PayCount,1),PayDate,"&lt;"&amp;$AC29,PayEmp,$C29),IF(ISNA(MATCH(U$2,DedListItem,0))=FALSE,(SUMPRODUCT((PayEmp=$C29)*(PayDate&lt;=$AC29)*(PayDedList=U$2)*(PayDedValues))*OFFSET(Setup!$E$81,MATCH(U$5,CompListItem,0),0,1,1))-SUMIFS(OFFSET(U$6,1,0,PayCount,1),PayDate,"&lt;"&amp;$AC29,PayEmp,$C29),(MIN(IF(OFFSET(Setup!$G$81,MATCH(U$5,CompListItem,0),0,1,1)="Taxable",SUMPRODUCT((PayEmp=$C29)*(PayDate&lt;=$AC29)*(ISERROR(SEARCH(PayEarnCode,U$4)))*(PayEarnTax)*(PayEarnValues)),SUMPRODUCT((PayEmp=$C29)*(PayDate&lt;=$AC29)*(ISERROR(SEARCH(PayEarnCode,U$4)))*(PayEarnValues))),IF(ISNUMBER(U$3),U$3/12*$AA29,IgnoreMin)))*OFFSET(Setup!$E$81,MATCH(U$5,CompListItem,0),0,1,1)-SUMIFS(OFFSET(U$6,1,0,PayCount,1),PayDate,"&lt;"&amp;$AC29,PayEmp,$C29)))))))</f>
        <v>90</v>
      </c>
      <c r="V29" s="133" cm="1">
        <f t="array" aca="1" ref="V29" ca="1">IF($F29="Terminated",0,IF($AA29=0,0,IF(ISNA(MATCH(V$5,CompListItem,0)),0,IF(COUNTIFS(OverEmp,$C29,OverComp,V$5,OverDate,"&lt;"&amp;DATE(YEAR($AC29),MONTH($AC29)+1,1),OverEnd,"&gt;="&amp;DATE(YEAR($AC29),MONTH($AC29),1))&gt;0,SUMIFS(OverValue,OverEmp,$C29,OverComp,V$5,OverDate,"&lt;"&amp;DATE(YEAR($AC29),MONTH($AC29)+1,1),OverEnd,"&gt;="&amp;DATE(YEAR($AC29),MONTH($AC29),1)),IF(OR(V$2="Fixed",V$2="Not Used"),(OFFSET(Setup!$E$81,MATCH(V$5,CompListItem,0),0,1,1)*$AA29)-SUMIFS(OFFSET(V$6,1,0,PayCount,1),PayDate,"&lt;"&amp;$AC29,PayEmp,$C29),IF(ISNA(MATCH(V$2,DedListItem,0))=FALSE,(SUMPRODUCT((PayEmp=$C29)*(PayDate&lt;=$AC29)*(PayDedList=V$2)*(PayDedValues))*OFFSET(Setup!$E$81,MATCH(V$5,CompListItem,0),0,1,1))-SUMIFS(OFFSET(V$6,1,0,PayCount,1),PayDate,"&lt;"&amp;$AC29,PayEmp,$C29),(MIN(IF(OFFSET(Setup!$G$81,MATCH(V$5,CompListItem,0),0,1,1)="Taxable",SUMPRODUCT((PayEmp=$C29)*(PayDate&lt;=$AC29)*(ISERROR(SEARCH(PayEarnCode,V$4)))*(PayEarnTax)*(PayEarnValues)),SUMPRODUCT((PayEmp=$C29)*(PayDate&lt;=$AC29)*(ISERROR(SEARCH(PayEarnCode,V$4)))*(PayEarnValues))),IF(ISNUMBER(V$3),V$3/12*$AA29,IgnoreMin)))*OFFSET(Setup!$E$81,MATCH(V$5,CompListItem,0),0,1,1)-SUMIFS(OFFSET(V$6,1,0,PayCount,1),PayDate,"&lt;"&amp;$AC29,PayEmp,$C29)))))))</f>
        <v>0</v>
      </c>
      <c r="W29" s="133" cm="1">
        <f t="array" aca="1" ref="W29" ca="1">IF($F29="Terminated",0,IF($AA29=0,0,IF(ISNA(MATCH(W$5,CompListItem,0)),0,IF(COUNTIFS(OverEmp,$C29,OverComp,W$5,OverDate,"&lt;"&amp;DATE(YEAR($AC29),MONTH($AC29)+1,1),OverEnd,"&gt;="&amp;DATE(YEAR($AC29),MONTH($AC29),1))&gt;0,SUMIFS(OverValue,OverEmp,$C29,OverComp,W$5,OverDate,"&lt;"&amp;DATE(YEAR($AC29),MONTH($AC29)+1,1),OverEnd,"&gt;="&amp;DATE(YEAR($AC29),MONTH($AC29),1)),IF(OR(W$2="Fixed",W$2="Not Used"),(OFFSET(Setup!$E$81,MATCH(W$5,CompListItem,0),0,1,1)*$AA29)-SUMIFS(OFFSET(W$6,1,0,PayCount,1),PayDate,"&lt;"&amp;$AC29,PayEmp,$C29),IF(ISNA(MATCH(W$2,DedListItem,0))=FALSE,(SUMPRODUCT((PayEmp=$C29)*(PayDate&lt;=$AC29)*(PayDedList=W$2)*(PayDedValues))*OFFSET(Setup!$E$81,MATCH(W$5,CompListItem,0),0,1,1))-SUMIFS(OFFSET(W$6,1,0,PayCount,1),PayDate,"&lt;"&amp;$AC29,PayEmp,$C29),(MIN(IF(OFFSET(Setup!$G$81,MATCH(W$5,CompListItem,0),0,1,1)="Taxable",SUMPRODUCT((PayEmp=$C29)*(PayDate&lt;=$AC29)*(ISERROR(SEARCH(PayEarnCode,W$4)))*(PayEarnTax)*(PayEarnValues)),SUMPRODUCT((PayEmp=$C29)*(PayDate&lt;=$AC29)*(ISERROR(SEARCH(PayEarnCode,W$4)))*(PayEarnValues))),IF(ISNUMBER(W$3),W$3/12*$AA29,IgnoreMin)))*OFFSET(Setup!$E$81,MATCH(W$5,CompListItem,0),0,1,1)-SUMIFS(OFFSET(W$6,1,0,PayCount,1),PayDate,"&lt;"&amp;$AC29,PayEmp,$C29)))))))</f>
        <v>0</v>
      </c>
      <c r="X29" s="185">
        <f t="shared" ca="1" si="3"/>
        <v>180</v>
      </c>
      <c r="Y29" s="139">
        <f t="shared" ca="1" si="4"/>
        <v>9180</v>
      </c>
      <c r="Z29" s="139">
        <f t="shared" ca="1" si="5"/>
        <v>453.75</v>
      </c>
      <c r="AA29" s="146">
        <f ca="1">IF(OR($B29&lt;=Setup!$E$12,$B29&gt;=Setup!$D$12+1),0,IF($F29&lt;&gt;"Active",0,IF($AE29="Yes",$AB29,((YEAR($AC29)*12)+MONTH($AC29))-((YEAR($AD29)*12)+MONTH($AD29)-1))))</f>
        <v>2</v>
      </c>
      <c r="AB29" s="146">
        <f ca="1">IF(OR($B29&lt;=Setup!$E$12,$B29&gt;=Setup!$D$12+1),0,((YEAR($AC29)*12)+MONTH($AC29))-((YEAR(Setup!$E$12)*12)+MONTH(Setup!$E$12)))</f>
        <v>2</v>
      </c>
      <c r="AC29" s="186">
        <f t="shared" ca="1" si="6"/>
        <v>45041</v>
      </c>
      <c r="AD29" s="144">
        <f ca="1">IF(ISNA(VLOOKUP($C29,EmpAll,COLUMN(Emp!$E$4),0)),$AC29,IF(VLOOKUP($C29,EmpAll,COLUMN(Emp!$E$4),0)&lt;=Setup!$E$12,DATE(YEAR(Setup!$E$12),MONTH(Setup!$E$12)+1,1),VLOOKUP($C29,EmpAll,COLUMN(Emp!$E$4),0)))</f>
        <v>44986</v>
      </c>
      <c r="AE29" s="144" t="str">
        <f ca="1">IF(ISNA(VLOOKUP($C29,EmpAll,COLUMN(Emp!$G$1),0)),"-",IF(VLOOKUP($C29,EmpAll,COLUMN(Emp!$G$1),0)=0,"-",VLOOKUP($C29,EmpAll,COLUMN(Emp!$G$1),0)))</f>
        <v>-</v>
      </c>
      <c r="AF29" s="145">
        <f ca="1">IF(A29=PaySlip!$G$3,1,0)</f>
        <v>0</v>
      </c>
      <c r="AG29" s="130" cm="1">
        <f t="array" aca="1" ref="AG29" ca="1">IF(COUNTIFS(OverEmp,$C29,OverMed,"MED",OverDate,"&lt;"&amp;DATE(YEAR($AC29),MONTH($AC29)+1,1),OverEnd,"&gt;="&amp;DATE(YEAR($AC29),MONTH($AC29),1))&gt;0,SUMIFS(OverValue,OverEmp,$C29,OverMed,"MED",OverDate,"&lt;"&amp;DATE(YEAR($AC29),MONTH($AC29)+1,1),OverEnd,"&gt;="&amp;DATE(YEAR($AC29),MONTH($AC29),1)),IF(ISNA(VLOOKUP($C29,EmpAll,COLUMN(Emp!$N$4),0)),0,VLOOKUP($C29,EmpAll,COLUMN(Emp!$N$4),0)))</f>
        <v>0</v>
      </c>
      <c r="AH29" s="146">
        <f ca="1">VLOOKUP($AG29,MedList,COLUMN(Setup!$C$49),1)</f>
        <v>0</v>
      </c>
      <c r="AI29" s="146">
        <f t="shared" ca="1" si="7"/>
        <v>0</v>
      </c>
      <c r="AJ29" s="101" t="str">
        <f ca="1">IF(ISNA(VLOOKUP($C29,EmpAll,COLUMN(Emp!$L$4),0)),"None!",VLOOKUP($C29,EmpAll,COLUMN(Emp!$L$4),0))</f>
        <v>A</v>
      </c>
      <c r="AK29" s="147">
        <f t="shared" ca="1" si="8"/>
        <v>17235</v>
      </c>
      <c r="AL29" s="101" t="str">
        <f ca="1">IF(ISNA(VLOOKUP($C29,Employees[],COLUMN(Emp!$M$4),0))=TRUE,"Error!",IF(VLOOKUP($C29,Employees[],COLUMN(Emp!$M$4),0)=0,"Yes",VLOOKUP($C29,Employees[],COLUMN(Emp!$M$4),0)))</f>
        <v>A</v>
      </c>
      <c r="AM29" s="148">
        <f t="shared" ca="1" si="9"/>
        <v>108000</v>
      </c>
      <c r="AN29" s="148" cm="1">
        <f t="array" aca="1" ref="AN29" ca="1">-IF($F29="Terminated",0,IF($AA29=0,0,IF(ISNA(MATCH(AN$5,PayDedList,0)),0,MIN(IF(COUNTIFS(OverEmp,$C29,OverDeduct,AN$5,OverDate,"&lt;"&amp;DATE(YEAR($AC29),MONTH($AC29)+1,1),OverEnd,"&gt;="&amp;DATE(YEAR($AC29),MONTH($AC29),1))&gt;0,SUMPRODUCT((PayEmp=$C29)*(PayDate&lt;=$AC29)*(OFFSET($N$6,1,MATCH(AN$5,PayDedList,0)-1,PayCount,1)))/$AA29*12*AN$3,IF(OR(AN$1="Fixed",AN$1="Not Used"),SUMPRODUCT((PayEmp=$C29)*(PayDate&lt;=$AC29)*(OFFSET($N$6,1,MATCH(AN$5,PayDedList,0)-1,PayCount,1)))/$AA29*12*AN$3,IF(ISNA(MATCH(AN$1,EarnListItem,0))=FALSE,SUMPRODUCT((PayEmp=$C29)*(PayDate&lt;=$AC29)*(OFFSET($N$6,1,MATCH(AN$5,PayDedList,0)-1,PayCount,1)))/$AA29*12*AN$3,(MIN(((SUMPRODUCT((PayEmp=$C29)*(PayDate&lt;=$AC29)*(ISERROR(SEARCH(PayEarnCode,AN$2)))*(PayEarnType="Monthly")*(PayEarnValues))/$AA29*12)+(SUMPRODUCT((PayEmp=$C29)*(PayDate&lt;=$AC29)*(ISERROR(SEARCH(PayEarnCode,AN$2)))*(PayEarnType="Quarterly")*(PayEarnValues))/MAX(1,ROUNDDOWN($AB29/3,0))*4)+(SUMPRODUCT((PayEmp=$C29)*(PayDate&lt;=$AC29)*(ISERROR(SEARCH(PayEarnCode,AN$2)))*(PayEarnType="Bi-Annual")*(PayEarnValues))/MAX(1,ROUNDDOWN($AB29/6,0))*2)+(SUMPRODUCT((PayEmp=$C29)*(PayDate&lt;=$AC29)*(ISERROR(SEARCH(PayEarnCode,AN$2)))*(PayEarnType="Annual")*(PayEarnValues)))),IF(ISNUMBER(OFFSET($N$3,0,MATCH(AN$5,PayDedList,0)-1,1,1)),OFFSET($N$3,0,MATCH(AN$5,PayDedList,0)-1,1,1),IgnoreMin)))*IF(COUNTIFS(EmpNo,$C29,OFFSET(Emp!$R$4,1,MATCH(AN$5,DedListItem,0)-1,EmpCount,1),"&lt;&gt;")&gt;0,VLOOKUP($C29,EmpAll,COLUMN(Emp!$R$4)+MATCH(AN$5,DedListItem,0)-1,0),OFFSET(Setup!$E$73,MATCH(AN$5,DedListItem,0),0,1,1))*AN$3))),IF(ISNUMBER(AN$4),AN$4,IgnoreMin)))))</f>
        <v>0</v>
      </c>
      <c r="AO29" s="148" cm="1">
        <f t="array" aca="1" ref="AO29" ca="1">-IF($F29="Terminated",0,IF($AA29=0,0,IF(ISNA(MATCH(AO$5,PayDedList,0)),0,MIN(IF(COUNTIFS(OverEmp,$C29,OverDeduct,AO$5,OverDate,"&lt;"&amp;DATE(YEAR($AC29),MONTH($AC29)+1,1),OverEnd,"&gt;="&amp;DATE(YEAR($AC29),MONTH($AC29),1))&gt;0,SUMPRODUCT((PayEmp=$C29)*(PayDate&lt;=$AC29)*(OFFSET($N$6,1,MATCH(AO$5,PayDedList,0)-1,PayCount,1)))/$AA29*12*AO$3,IF(OR(AO$1="Fixed",AO$1="Not Used"),SUMPRODUCT((PayEmp=$C29)*(PayDate&lt;=$AC29)*(OFFSET($N$6,1,MATCH(AO$5,PayDedList,0)-1,PayCount,1)))/$AA29*12*AO$3,IF(ISNA(MATCH(AO$1,EarnListItem,0))=FALSE,SUMPRODUCT((PayEmp=$C29)*(PayDate&lt;=$AC29)*(OFFSET($N$6,1,MATCH(AO$5,PayDedList,0)-1,PayCount,1)))/$AA29*12*AO$3,(MIN(((SUMPRODUCT((PayEmp=$C29)*(PayDate&lt;=$AC29)*(ISERROR(SEARCH(PayEarnCode,AO$2)))*(PayEarnType="Monthly")*(PayEarnValues))/$AA29*12)+(SUMPRODUCT((PayEmp=$C29)*(PayDate&lt;=$AC29)*(ISERROR(SEARCH(PayEarnCode,AO$2)))*(PayEarnType="Quarterly")*(PayEarnValues))/MAX(1,ROUNDDOWN($AB29/3,0))*4)+(SUMPRODUCT((PayEmp=$C29)*(PayDate&lt;=$AC29)*(ISERROR(SEARCH(PayEarnCode,AO$2)))*(PayEarnType="Bi-Annual")*(PayEarnValues))/MAX(1,ROUNDDOWN($AB29/6,0))*2)+(SUMPRODUCT((PayEmp=$C29)*(PayDate&lt;=$AC29)*(ISERROR(SEARCH(PayEarnCode,AO$2)))*(PayEarnType="Annual")*(PayEarnValues)))),IF(ISNUMBER(OFFSET($N$3,0,MATCH(AO$5,PayDedList,0)-1,1,1)),OFFSET($N$3,0,MATCH(AO$5,PayDedList,0)-1,1,1),IgnoreMin)))*IF(COUNTIFS(EmpNo,$C29,OFFSET(Emp!$R$4,1,MATCH(AO$5,DedListItem,0)-1,EmpCount,1),"&lt;&gt;")&gt;0,VLOOKUP($C29,EmpAll,COLUMN(Emp!$R$4)+MATCH(AO$5,DedListItem,0)-1,0),OFFSET(Setup!$E$73,MATCH(AO$5,DedListItem,0),0,1,1))*AO$3))),IF(ISNUMBER(AO$4),AO$4,IgnoreMin)))))</f>
        <v>0</v>
      </c>
      <c r="AP29" s="148" cm="1">
        <f t="array" aca="1" ref="AP29" ca="1">-IF($F29="Terminated",0,IF($AA29=0,0,IF(ISNA(MATCH(AP$5,PayDedList,0)),0,MIN(IF(COUNTIFS(OverEmp,$C29,OverDeduct,AP$5,OverDate,"&lt;"&amp;DATE(YEAR($AC29),MONTH($AC29)+1,1),OverEnd,"&gt;="&amp;DATE(YEAR($AC29),MONTH($AC29),1))&gt;0,SUMPRODUCT((PayEmp=$C29)*(PayDate&lt;=$AC29)*(OFFSET($N$6,1,MATCH(AP$5,PayDedList,0)-1,PayCount,1)))/$AA29*12*AP$3,IF(OR(AP$1="Fixed",AP$1="Not Used"),SUMPRODUCT((PayEmp=$C29)*(PayDate&lt;=$AC29)*(OFFSET($N$6,1,MATCH(AP$5,PayDedList,0)-1,PayCount,1)))/$AA29*12*AP$3,IF(ISNA(MATCH(AP$1,EarnListItem,0))=FALSE,SUMPRODUCT((PayEmp=$C29)*(PayDate&lt;=$AC29)*(OFFSET($N$6,1,MATCH(AP$5,PayDedList,0)-1,PayCount,1)))/$AA29*12*AP$3,(MIN(((SUMPRODUCT((PayEmp=$C29)*(PayDate&lt;=$AC29)*(ISERROR(SEARCH(PayEarnCode,AP$2)))*(PayEarnType="Monthly")*(PayEarnValues))/$AA29*12)+(SUMPRODUCT((PayEmp=$C29)*(PayDate&lt;=$AC29)*(ISERROR(SEARCH(PayEarnCode,AP$2)))*(PayEarnType="Quarterly")*(PayEarnValues))/MAX(1,ROUNDDOWN($AB29/3,0))*4)+(SUMPRODUCT((PayEmp=$C29)*(PayDate&lt;=$AC29)*(ISERROR(SEARCH(PayEarnCode,AP$2)))*(PayEarnType="Bi-Annual")*(PayEarnValues))/MAX(1,ROUNDDOWN($AB29/6,0))*2)+(SUMPRODUCT((PayEmp=$C29)*(PayDate&lt;=$AC29)*(ISERROR(SEARCH(PayEarnCode,AP$2)))*(PayEarnType="Annual")*(PayEarnValues)))),IF(ISNUMBER(OFFSET($N$3,0,MATCH(AP$5,PayDedList,0)-1,1,1)),OFFSET($N$3,0,MATCH(AP$5,PayDedList,0)-1,1,1),IgnoreMin)))*IF(COUNTIFS(EmpNo,$C29,OFFSET(Emp!$R$4,1,MATCH(AP$5,DedListItem,0)-1,EmpCount,1),"&lt;&gt;")&gt;0,VLOOKUP($C29,EmpAll,COLUMN(Emp!$R$4)+MATCH(AP$5,DedListItem,0)-1,0),OFFSET(Setup!$E$73,MATCH(AP$5,DedListItem,0),0,1,1))*AP$3))),IF(ISNUMBER(AP$4),AP$4,IgnoreMin)))))</f>
        <v>0</v>
      </c>
      <c r="AQ29" s="148" cm="1">
        <f t="array" aca="1" ref="AQ29" ca="1">-IF($F29="Terminated",0,IF($AA29=0,0,IF(ISNA(MATCH(AQ$5,PayDedList,0)),0,MIN(IF(COUNTIFS(OverEmp,$C29,OverDeduct,AQ$5,OverDate,"&lt;"&amp;DATE(YEAR($AC29),MONTH($AC29)+1,1),OverEnd,"&gt;="&amp;DATE(YEAR($AC29),MONTH($AC29),1))&gt;0,SUMPRODUCT((PayEmp=$C29)*(PayDate&lt;=$AC29)*(OFFSET($N$6,1,MATCH(AQ$5,PayDedList,0)-1,PayCount,1)))/$AA29*12*AQ$3,IF(OR(AQ$1="Fixed",AQ$1="Not Used"),SUMPRODUCT((PayEmp=$C29)*(PayDate&lt;=$AC29)*(OFFSET($N$6,1,MATCH(AQ$5,PayDedList,0)-1,PayCount,1)))/$AA29*12*AQ$3,IF(ISNA(MATCH(AQ$1,EarnListItem,0))=FALSE,SUMPRODUCT((PayEmp=$C29)*(PayDate&lt;=$AC29)*(OFFSET($N$6,1,MATCH(AQ$5,PayDedList,0)-1,PayCount,1)))/$AA29*12*AQ$3,(MIN(((SUMPRODUCT((PayEmp=$C29)*(PayDate&lt;=$AC29)*(ISERROR(SEARCH(PayEarnCode,AQ$2)))*(PayEarnType="Monthly")*(PayEarnValues))/$AA29*12)+(SUMPRODUCT((PayEmp=$C29)*(PayDate&lt;=$AC29)*(ISERROR(SEARCH(PayEarnCode,AQ$2)))*(PayEarnType="Quarterly")*(PayEarnValues))/MAX(1,ROUNDDOWN($AB29/3,0))*4)+(SUMPRODUCT((PayEmp=$C29)*(PayDate&lt;=$AC29)*(ISERROR(SEARCH(PayEarnCode,AQ$2)))*(PayEarnType="Bi-Annual")*(PayEarnValues))/MAX(1,ROUNDDOWN($AB29/6,0))*2)+(SUMPRODUCT((PayEmp=$C29)*(PayDate&lt;=$AC29)*(ISERROR(SEARCH(PayEarnCode,AQ$2)))*(PayEarnType="Annual")*(PayEarnValues)))),IF(ISNUMBER(OFFSET($N$3,0,MATCH(AQ$5,PayDedList,0)-1,1,1)),OFFSET($N$3,0,MATCH(AQ$5,PayDedList,0)-1,1,1),IgnoreMin)))*IF(COUNTIFS(EmpNo,$C29,OFFSET(Emp!$R$4,1,MATCH(AQ$5,DedListItem,0)-1,EmpCount,1),"&lt;&gt;")&gt;0,VLOOKUP($C29,EmpAll,COLUMN(Emp!$R$4)+MATCH(AQ$5,DedListItem,0)-1,0),OFFSET(Setup!$E$73,MATCH(AQ$5,DedListItem,0),0,1,1))*AQ$3))),IF(ISNUMBER(AQ$4),AQ$4,IgnoreMin)))))</f>
        <v>0</v>
      </c>
      <c r="AR29" s="148">
        <f t="shared" ca="1" si="10"/>
        <v>108000</v>
      </c>
      <c r="AS29" s="148">
        <f t="shared" ca="1" si="11"/>
        <v>108000</v>
      </c>
      <c r="AT29" s="148" cm="1">
        <f t="array" aca="1" ref="AT29" ca="1">-IF($F29="Terminated",0,IF($AA29=0,0,IF(ISNA(MATCH(AT$5,PayDedList,0)),0,MIN(IF(COUNTIFS(OverEmp,$C29,OverDeduct,AT$5,OverDate,"&lt;"&amp;DATE(YEAR($AC29),MONTH($AC29)+1,1),OverEnd,"&gt;="&amp;DATE(YEAR($AC29),MONTH($AC29),1))&gt;0,SUMPRODUCT((PayEmp=$C29)*(PayDate&lt;=$AC29)*(OFFSET($N$6,1,MATCH(AT$5,PayDedList,0)-1,PayCount,1)))/$AA29*12*AT$3,IF(OR(AT$1="Fixed",AT$1="Not Used"),SUMPRODUCT((PayEmp=$C29)*(PayDate&lt;=$AC29)*(OFFSET($N$6,1,MATCH(AT$5,PayDedList,0)-1,PayCount,1)))/$AA29*12*AT$3,IF(ISNA(MATCH(OFFSET($N$2,0,MATCH(AT$5,PayDedList,0)-1,1,1),EarnListItem,0))=FALSE,SUMPRODUCT((PayEmp=$C29)*(PayDate&lt;=$AC29)*(OFFSET($N$6,1,MATCH(AT$5,PayDedList,0)-1,PayCount,1)))/$AA29*12*AT$3,(MIN(SUMPRODUCT((PayEmp=$C29)*(PayDate&lt;=$AC29)*(ISERROR(SEARCH(PayEarnCode,AT$2)))*(PayEarnType="Monthly")*(PayEarnValues))/$AA29*12,IF(ISNUMBER(OFFSET($N$3,0,MATCH(AT$5,PayDedList,0)-1,1,1)),OFFSET($N$3,0,MATCH(AT$5,PayDedList,0)-1,1,1),IgnoreMin)))*IF(COUNTIFS(EmpNo,$C29,OFFSET(Emp!$R$4,1,MATCH(AT$5,DedListItem,0)-1,EmpCount,1),"&lt;&gt;")&gt;0,VLOOKUP($C29,EmpAll,COLUMN(Emp!$R$4)+MATCH(AT$5,DedListItem,0)-1,0),OFFSET(Setup!$E$73,MATCH(AT$5,DedListItem,0),0,1,1))*AT$3))),IF(ISNUMBER(AT$4),AT$4,IgnoreMin)))))</f>
        <v>0</v>
      </c>
      <c r="AU29" s="148" cm="1">
        <f t="array" aca="1" ref="AU29" ca="1">-IF($F29="Terminated",0,IF($AA29=0,0,IF(ISNA(MATCH(AU$5,PayDedList,0)),0,MIN(IF(COUNTIFS(OverEmp,$C29,OverDeduct,AU$5,OverDate,"&lt;"&amp;DATE(YEAR($AC29),MONTH($AC29)+1,1),OverEnd,"&gt;="&amp;DATE(YEAR($AC29),MONTH($AC29),1))&gt;0,SUMPRODUCT((PayEmp=$C29)*(PayDate&lt;=$AC29)*(OFFSET($N$6,1,MATCH(AU$5,PayDedList,0)-1,PayCount,1)))/$AA29*12*AU$3,IF(OR(AU$1="Fixed",AU$1="Not Used"),SUMPRODUCT((PayEmp=$C29)*(PayDate&lt;=$AC29)*(OFFSET($N$6,1,MATCH(AU$5,PayDedList,0)-1,PayCount,1)))/$AA29*12*AU$3,IF(ISNA(MATCH(OFFSET($N$2,0,MATCH(AU$5,PayDedList,0)-1,1,1),EarnListItem,0))=FALSE,SUMPRODUCT((PayEmp=$C29)*(PayDate&lt;=$AC29)*(OFFSET($N$6,1,MATCH(AU$5,PayDedList,0)-1,PayCount,1)))/$AA29*12*AU$3,(MIN(SUMPRODUCT((PayEmp=$C29)*(PayDate&lt;=$AC29)*(ISERROR(SEARCH(PayEarnCode,AU$2)))*(PayEarnType="Monthly")*(PayEarnValues))/$AA29*12,IF(ISNUMBER(OFFSET($N$3,0,MATCH(AU$5,PayDedList,0)-1,1,1)),OFFSET($N$3,0,MATCH(AU$5,PayDedList,0)-1,1,1),IgnoreMin)))*IF(COUNTIFS(EmpNo,$C29,OFFSET(Emp!$R$4,1,MATCH(AU$5,DedListItem,0)-1,EmpCount,1),"&lt;&gt;")&gt;0,VLOOKUP($C29,EmpAll,COLUMN(Emp!$R$4)+MATCH(AU$5,DedListItem,0)-1,0),OFFSET(Setup!$E$73,MATCH(AU$5,DedListItem,0),0,1,1))*AU$3))),IF(ISNUMBER(AU$4),AU$4,IgnoreMin)))))</f>
        <v>0</v>
      </c>
      <c r="AV29" s="148" cm="1">
        <f t="array" aca="1" ref="AV29" ca="1">-IF($F29="Terminated",0,IF($AA29=0,0,IF(ISNA(MATCH(AV$5,PayDedList,0)),0,MIN(IF(COUNTIFS(OverEmp,$C29,OverDeduct,AV$5,OverDate,"&lt;"&amp;DATE(YEAR($AC29),MONTH($AC29)+1,1),OverEnd,"&gt;="&amp;DATE(YEAR($AC29),MONTH($AC29),1))&gt;0,SUMPRODUCT((PayEmp=$C29)*(PayDate&lt;=$AC29)*(OFFSET($N$6,1,MATCH(AV$5,PayDedList,0)-1,PayCount,1)))/$AA29*12*AV$3,IF(OR(AV$1="Fixed",AV$1="Not Used"),SUMPRODUCT((PayEmp=$C29)*(PayDate&lt;=$AC29)*(OFFSET($N$6,1,MATCH(AV$5,PayDedList,0)-1,PayCount,1)))/$AA29*12*AV$3,IF(ISNA(MATCH(OFFSET($N$2,0,MATCH(AV$5,PayDedList,0)-1,1,1),EarnListItem,0))=FALSE,SUMPRODUCT((PayEmp=$C29)*(PayDate&lt;=$AC29)*(OFFSET($N$6,1,MATCH(AV$5,PayDedList,0)-1,PayCount,1)))/$AA29*12*AV$3,(MIN(SUMPRODUCT((PayEmp=$C29)*(PayDate&lt;=$AC29)*(ISERROR(SEARCH(PayEarnCode,AV$2)))*(PayEarnType="Monthly")*(PayEarnValues))/$AA29*12,IF(ISNUMBER(OFFSET($N$3,0,MATCH(AV$5,PayDedList,0)-1,1,1)),OFFSET($N$3,0,MATCH(AV$5,PayDedList,0)-1,1,1),IgnoreMin)))*IF(COUNTIFS(EmpNo,$C29,OFFSET(Emp!$R$4,1,MATCH(AV$5,DedListItem,0)-1,EmpCount,1),"&lt;&gt;")&gt;0,VLOOKUP($C29,EmpAll,COLUMN(Emp!$R$4)+MATCH(AV$5,DedListItem,0)-1,0),OFFSET(Setup!$E$73,MATCH(AV$5,DedListItem,0),0,1,1))*AV$3))),IF(ISNUMBER(AV$4),AV$4,IgnoreMin)))))</f>
        <v>0</v>
      </c>
      <c r="AW29" s="148" cm="1">
        <f t="array" aca="1" ref="AW29" ca="1">-IF($F29="Terminated",0,IF($AA29=0,0,IF(ISNA(MATCH(AW$5,PayDedList,0)),0,MIN(IF(COUNTIFS(OverEmp,$C29,OverDeduct,AW$5,OverDate,"&lt;"&amp;DATE(YEAR($AC29),MONTH($AC29)+1,1),OverEnd,"&gt;="&amp;DATE(YEAR($AC29),MONTH($AC29),1))&gt;0,SUMPRODUCT((PayEmp=$C29)*(PayDate&lt;=$AC29)*(OFFSET($N$6,1,MATCH(AW$5,PayDedList,0)-1,PayCount,1)))/$AA29*12*AW$3,IF(OR(AW$1="Fixed",AW$1="Not Used"),SUMPRODUCT((PayEmp=$C29)*(PayDate&lt;=$AC29)*(OFFSET($N$6,1,MATCH(AW$5,PayDedList,0)-1,PayCount,1)))/$AA29*12*AW$3,IF(ISNA(MATCH(OFFSET($N$2,0,MATCH(AW$5,PayDedList,0)-1,1,1),EarnListItem,0))=FALSE,SUMPRODUCT((PayEmp=$C29)*(PayDate&lt;=$AC29)*(OFFSET($N$6,1,MATCH(AW$5,PayDedList,0)-1,PayCount,1)))/$AA29*12*AW$3,(MIN(SUMPRODUCT((PayEmp=$C29)*(PayDate&lt;=$AC29)*(ISERROR(SEARCH(PayEarnCode,AW$2)))*(PayEarnType="Monthly")*(PayEarnValues))/$AA29*12,IF(ISNUMBER(OFFSET($N$3,0,MATCH(AW$5,PayDedList,0)-1,1,1)),OFFSET($N$3,0,MATCH(AW$5,PayDedList,0)-1,1,1),IgnoreMin)))*IF(COUNTIFS(EmpNo,$C29,OFFSET(Emp!$R$4,1,MATCH(AW$5,DedListItem,0)-1,EmpCount,1),"&lt;&gt;")&gt;0,VLOOKUP($C29,EmpAll,COLUMN(Emp!$R$4)+MATCH(AW$5,DedListItem,0)-1,0),OFFSET(Setup!$E$73,MATCH(AW$5,DedListItem,0),0,1,1))*AW$3))),IF(ISNUMBER(AW$4),AW$4,IgnoreMin)))))</f>
        <v>0</v>
      </c>
      <c r="AX29" s="148">
        <f t="shared" ca="1" si="12"/>
        <v>108000</v>
      </c>
      <c r="AY29" s="148">
        <f t="shared" ca="1" si="13"/>
        <v>0</v>
      </c>
      <c r="AZ29" s="148">
        <f ca="1">IF(ISNUMBER($AL29),($AR29*$AL29)-$AI29-$AK29,MAX(0,IF($AL29="B",IF($AR29&lt;Setup!$C$32,($AR29*Setup!$D$32)-$AI29-$AK29,(($AR29-VLOOKUP($AR29,TaxAll2,1,1))*OFFSET(Setup!$D$32,MATCH($AR29,TaxBracket2,1),0,1,1))+OFFSET(Setup!$E$31,MATCH($AR29,TaxBracket2,1),0,1,1)-$AI29-$AK29),IF($AR29&lt;Setup!$C$21,($AR29*Setup!$D$21)-$AI29-$AK29,(($AR29-VLOOKUP($AR29,TaxAll1,1,1))*OFFSET(Setup!$D$21,MATCH($AR29,TaxBracket1,1),0,1,1))+OFFSET(Setup!$E$20,MATCH($AR29,TaxBracket1,1),0,1,1)-$AI29-$AK29))))</f>
        <v>2205</v>
      </c>
      <c r="BA29" s="148">
        <f ca="1">IF(ISNUMBER($AL29),($AX29*$AL29)-$AI29-$AK29,MAX(0,IF($AL29="B",IF($AX29&lt;Setup!$C$32,($AX29*Setup!$D$32)-$AI29-$AK29,(($AX29-VLOOKUP($AX29,TaxAll2,1,1))*OFFSET(Setup!$D$32,MATCH($AX29,TaxBracket2,1),0,1,1))+OFFSET(Setup!$E$31,MATCH($AX29,TaxBracket2,1),0,1,1)-$AI29-$AK29),IF($AX29&lt;Setup!$C$21,($AX29*Setup!$D$21)-$AI29-$AK29,(($AX29-VLOOKUP($AX29,TaxAll1,1,1))*OFFSET(Setup!$D$21,MATCH($AX29,TaxBracket1,1),0,1,1))+OFFSET(Setup!$E$20,MATCH($AX29,TaxBracket1,1),0,1,1)-$AI29-$AK29))))</f>
        <v>2205</v>
      </c>
      <c r="BB29" s="148">
        <f t="shared" ca="1" si="14"/>
        <v>0</v>
      </c>
      <c r="BC29" s="150">
        <f t="shared" ca="1" si="15"/>
        <v>1</v>
      </c>
      <c r="BD29" s="150">
        <f t="shared" ca="1" si="16"/>
        <v>0</v>
      </c>
      <c r="BE29" s="148">
        <f t="shared" ca="1" si="17"/>
        <v>108000</v>
      </c>
    </row>
    <row r="30" spans="1:57" ht="16.149999999999999" customHeight="1" x14ac:dyDescent="0.25">
      <c r="A30" s="10" t="str" cm="1">
        <f t="array" aca="1" ref="A30" ca="1">IF(ROW($A30)-ROW($A$6)&gt;EmpCount*12,"-",TEXT($B30,"yyyy")&amp;TEXT($B30,"mm")&amp;"-"&amp;$C30)</f>
        <v>202304-EXS009</v>
      </c>
      <c r="B30" s="137" cm="1">
        <f t="array" aca="1" ref="B30" ca="1">IF(ROW($A30)-ROW($A$6)&gt;EmpCount*12,Setup!$D$12,DATE(YEAR(Setup!$F$12),MONTH(Setup!$F$12)+ROUNDDOWN((ROW($A30)-ROW($A$6)-1)/EmpCount,0),IF(Setup!$C$14&gt;DAY(DATE(YEAR(Setup!$F$12),MONTH(Setup!$F$12)+ROUNDDOWN((ROW($A30)-ROW($A$6)-1)/EmpCount,0)+1,0)),DAY(DATE(YEAR(Setup!$F$12),MONTH(Setup!$F$12)+ROUNDDOWN((ROW($A30)-ROW($A$6)-1)/EmpCount,0)+1,0)),Setup!$C$14)))</f>
        <v>45041</v>
      </c>
      <c r="C30" s="101" t="str" cm="1">
        <f t="array" aca="1" ref="C30" ca="1">IF(ROW($A30)-ROW($A$6)&gt;EmpCount*12,"-",OFFSET(Emp!$A$4,ROW($A30)-ROW($A$6)-IF(ROW($A30)-ROW($A$6)&gt;EmpCount,ROUNDDOWN((ROW($A30)-ROW($A$6)-1)/EmpCount,0)*EmpCount,0),0,1,1))</f>
        <v>EXS009</v>
      </c>
      <c r="D30" s="10" t="str">
        <f ca="1">IF(ISNA(VLOOKUP($C30,EmpAll,COLUMN(Emp!$B$4),0)),"-",VLOOKUP($C30,EmpAll,COLUMN(Emp!$B$4),0))</f>
        <v>Brown JT</v>
      </c>
      <c r="E30" s="145" t="str">
        <f ca="1">IF(ISNA(VLOOKUP($C30,EmpAll,COLUMN(Emp!$C$4),0)),"-",VLOOKUP($C30,EmpAll,COLUMN(Emp!$C$4),0))</f>
        <v>A</v>
      </c>
      <c r="F30" s="101" t="str">
        <f ca="1">IF(ISNA(VLOOKUP($C30,EmpAll,COLUMN(Emp!$A$4),0)),"-",IF(AND(VLOOKUP($C30,EmpAll,COLUMN(Emp!$E$4),0)&lt;&gt;0,VLOOKUP($C30,EmpAll,COLUMN(Emp!$E$4),0)&gt;=DATE(YEAR($AC30),MONTH($AC30)+1,0)),"Inactive",IF(AND(VLOOKUP($C30,EmpAll,COLUMN(Emp!$F$4),0)&lt;&gt;0,VLOOKUP($C30,EmpAll,COLUMN(Emp!$F$4),0)&lt;=DATE(YEAR($AC30),MONTH($AC30),0)),"Terminated","Active")))</f>
        <v>Active</v>
      </c>
      <c r="G30" s="133" cm="1">
        <f t="array" aca="1" ref="G30" ca="1">IF($F30&lt;&gt;"Active",0,IF(COUNTIFS(OverEmp,$C30,OverEarn,G$2,OverDate,"&lt;"&amp;DATE(YEAR($AC30),MONTH($AC30)+1,1),OverEnd,"&gt;="&amp;DATE(YEAR($AC30),MONTH($AC30),1))&gt;0,SUMIFS(OverValue,OverEmp,$C30,OverEarn,G$2,OverDate,"&lt;"&amp;DATE(YEAR($AC30),MONTH($AC30)+1,1),OverEnd,"&gt;="&amp;DATE(YEAR($AC30),MONTH($AC30),1)),IF(AND($AC30&gt;=Setup!$E$10,SUMIFS(EmpIncrease,EmpCode,$C30)&gt;0),SUMIFS(EmpIncrease,EmpCode,$C30),SUMIFS(EmpSalary,EmpCode,$C30))))</f>
        <v>9000</v>
      </c>
      <c r="H30" s="133" cm="1">
        <f t="array" aca="1" ref="H30" ca="1">IF($F30&lt;&gt;"Active",0,IF(COUNTIFS(OverEmp,$C30,OverEarn,H$2,OverDate,"&lt;"&amp;DATE(YEAR($AC30),MONTH($AC30)+1,1),OverEnd,"&gt;="&amp;DATE(YEAR($AC30),MONTH($AC30),1))&gt;0,SUMIFS(OverValue,OverEmp,$C30,OverEarn,H$2,OverDate,"&lt;"&amp;DATE(YEAR($AC30),MONTH($AC30)+1,1),OverEnd,"&gt;="&amp;DATE(YEAR($AC30),MONTH($AC30),1)),0))</f>
        <v>0</v>
      </c>
      <c r="I30" s="133" cm="1">
        <f t="array" aca="1" ref="I30" ca="1">IF($F30&lt;&gt;"Active",0,IF(COUNTIFS(OverEmp,$C30,OverEarn,I$2,OverDate,"&lt;"&amp;DATE(YEAR($AC30),MONTH($AC30)+1,1),OverEnd,"&gt;="&amp;DATE(YEAR($AC30),MONTH($AC30),1))&gt;0,SUMIFS(OverValue,OverEmp,$C30,OverEarn,I$2,OverDate,"&lt;"&amp;DATE(YEAR($AC30),MONTH($AC30)+1,1),OverEnd,"&gt;="&amp;DATE(YEAR($AC30),MONTH($AC30),1)),IF(MONTH(B30)=Setup!$C$15,SUMIFS(EmpBonus,EmpCode,$C30),0)))</f>
        <v>0</v>
      </c>
      <c r="J30" s="133" cm="1">
        <f t="array" aca="1" ref="J30" ca="1">IF($F30&lt;&gt;"Active",0,IF(COUNTIFS(OverEmp,$C30,OverEarn,J$2,OverDate,"&lt;"&amp;DATE(YEAR($AC30),MONTH($AC30)+1,1),OverEnd,"&gt;="&amp;DATE(YEAR($AC30),MONTH($AC30),1))&gt;0,SUMIFS(OverValue,OverEmp,$C30,OverEarn,J$2,OverDate,"&lt;"&amp;DATE(YEAR($AC30),MONTH($AC30)+1,1),OverEnd,"&gt;="&amp;DATE(YEAR($AC30),MONTH($AC30),1)),0))</f>
        <v>0</v>
      </c>
      <c r="K30" s="133" cm="1">
        <f t="array" aca="1" ref="K30" ca="1">IF($F30&lt;&gt;"Active",0,IF(COUNTIFS(OverEmp,$C30,OverEarn,K$2,OverDate,"&lt;"&amp;DATE(YEAR($AC30),MONTH($AC30)+1,1),OverEnd,"&gt;="&amp;DATE(YEAR($AC30),MONTH($AC30),1))&gt;0,SUMIFS(OverValue,OverEmp,$C30,OverEarn,K$2,OverDate,"&lt;"&amp;DATE(YEAR($AC30),MONTH($AC30)+1,1),OverEnd,"&gt;="&amp;DATE(YEAR($AC30),MONTH($AC30),1)),0))</f>
        <v>0</v>
      </c>
      <c r="L30" s="185">
        <f t="shared" ca="1" si="0"/>
        <v>9000</v>
      </c>
      <c r="M30" s="182" cm="1">
        <f t="array" aca="1" ref="M30" ca="1">IF(COUNTIFS(OverEmp,$C30,OverTax,M$5,OverDate,"&lt;"&amp;DATE(YEAR($AC30),MONTH($AC30)+1,1),OverEnd,"&gt;="&amp;DATE(YEAR($AC30),MONTH($AC30),1))&gt;0,SUMIFS(OverValue,OverEmp,$C30,OverTax,M$5,OverDate,"&lt;"&amp;DATE(YEAR($AC30),MONTH($AC30)+1,1),OverEnd,"&gt;="&amp;DATE(YEAR($AC30),MONTH($AC30),1)),(($BA30/12*$AA30)+(BB30*IF(1-$BC30=0,0,BD30/(1-$BC30))))-IF($F30="Terminated",0,SUMIFS(PayTaxDeduct,PayDate,"&lt;"&amp;$AC30,PayEmp,$C30)))</f>
        <v>183.75</v>
      </c>
      <c r="N30" s="133" cm="1">
        <f t="array" aca="1" ref="N30" ca="1">IF($F30="Terminated",0,IF($AA30=0,0,IF(ISNA(MATCH(N$5,DedListItem,0)),0,IF(COUNTIFS(OverEmp,$C30,OverDeduct,N$5,OverDate,"&lt;"&amp;DATE(YEAR($AC30),MONTH($AC30)+1,1),OverEnd,"&gt;="&amp;DATE(YEAR($AC30),MONTH($AC30),1))&gt;0,SUMIFS(OverValue,OverEmp,$C30,OverDeduct,N$5,OverDate,"&lt;"&amp;DATE(YEAR($AC30),MONTH($AC30)+1,1),OverEnd,"&gt;="&amp;DATE(YEAR($AC30),MONTH($AC30),1)),IF(OR(N$2="Fixed",N$2="Not Used"),(IF(COUNTIFS(EmpNo,$C30,OFFSET(Emp!$R$4,1,MATCH(N$5,DedListItem,0)-1,EmpCount,1),"&lt;&gt;")&gt;0,VLOOKUP($C30,EmpAll,COLUMN(Emp!$R$4)+MATCH(N$5,DedListItem,0)-1,0),OFFSET(Setup!$E$73,MATCH(N$5,DedListItem,0),0,1,1))*$AA30)-SUMIFS(OFFSET(N$6,1,0,PayCount,1),PayDate,"&lt;"&amp;$AC30,PayEmp,$C30),IF(ISNA(MATCH(N$2,EarnListItem,0))=FALSE,IF(OFFSET(Setup!$G$73,MATCH(N$5,DedListItem,0),0,1,1)="Taxable",SUMPRODUCT((PayEmp=$C30)*(PayDate&lt;=$AC30)*(PayEarnCode=N$2)*(PayEarnTax)*(PayEarnValues)),SUMPRODUCT((PayEmp=$C30)*(PayDate&lt;=$AC30)*(PayEarnCode=N$2)*(PayEarnValues)))*IF(COUNTIFS(EmpNo,$C30,OFFSET(Emp!$R$4,1,MATCH(N$5,DedListItem,0)-1,EmpCount,1),"&lt;&gt;")&gt;0,VLOOKUP($C30,EmpAll,COLUMN(Emp!$R$4)+MATCH(N$5,DedListItem,0)-1,0),OFFSET(Setup!$E$73,MATCH(N$5,DedListItem,0),0,1,1)),(MIN(IF(OFFSET(Setup!$G$73,MATCH(N$5,DedListItem,0),0,1,1)="Taxable",SUMPRODUCT((PayEmp=$C30)*(PayDate&lt;=$AC30)*(ISERROR(SEARCH(PayEarnCode,N$4)))*(PayEarnTax)*(PayEarnValues)),SUMPRODUCT((PayEmp=$C30)*(PayDate&lt;=$AC30)*(ISERROR(SEARCH(PayEarnCode,N$4)))*(PayEarnValues))),IF(ISNUMBER(N$3),N$3/12*$AA30,IgnoreMin)))*IF(COUNTIFS(EmpNo,$C30,OFFSET(Emp!$R$4,1,MATCH(N$5,DedListItem,0)-1,EmpCount,1),"&lt;&gt;")&gt;0,VLOOKUP($C30,EmpAll,COLUMN(Emp!$R$4)+MATCH(N$5,DedListItem,0)-1,0),OFFSET(Setup!$E$73,MATCH(N$5,DedListItem,0),0,1,1)))-SUMIFS(OFFSET(N$6,1,0,PayCount,1),PayDate,"&lt;"&amp;$AC30,PayEmp,$C30))))))</f>
        <v>90</v>
      </c>
      <c r="O30" s="133" cm="1">
        <f t="array" aca="1" ref="O30" ca="1">IF($F30="Terminated",0,IF($AA30=0,0,IF(ISNA(MATCH(O$5,DedListItem,0)),0,IF(COUNTIFS(OverEmp,$C30,OverDeduct,O$5,OverDate,"&lt;"&amp;DATE(YEAR($AC30),MONTH($AC30)+1,1),OverEnd,"&gt;="&amp;DATE(YEAR($AC30),MONTH($AC30),1))&gt;0,SUMIFS(OverValue,OverEmp,$C30,OverDeduct,O$5,OverDate,"&lt;"&amp;DATE(YEAR($AC30),MONTH($AC30)+1,1),OverEnd,"&gt;="&amp;DATE(YEAR($AC30),MONTH($AC30),1)),IF(OR(O$2="Fixed",O$2="Not Used"),(IF(COUNTIFS(EmpNo,$C30,OFFSET(Emp!$R$4,1,MATCH(O$5,DedListItem,0)-1,EmpCount,1),"&lt;&gt;")&gt;0,VLOOKUP($C30,EmpAll,COLUMN(Emp!$R$4)+MATCH(O$5,DedListItem,0)-1,0),OFFSET(Setup!$E$73,MATCH(O$5,DedListItem,0),0,1,1))*$AA30)-SUMIFS(OFFSET(O$6,1,0,PayCount,1),PayDate,"&lt;"&amp;$AC30,PayEmp,$C30),IF(ISNA(MATCH(O$2,EarnListItem,0))=FALSE,IF(OFFSET(Setup!$G$73,MATCH(O$5,DedListItem,0),0,1,1)="Taxable",SUMPRODUCT((PayEmp=$C30)*(PayDate&lt;=$AC30)*(PayEarnCode=O$2)*(PayEarnTax)*(PayEarnValues)),SUMPRODUCT((PayEmp=$C30)*(PayDate&lt;=$AC30)*(PayEarnCode=O$2)*(PayEarnValues)))*IF(COUNTIFS(EmpNo,$C30,OFFSET(Emp!$R$4,1,MATCH(O$5,DedListItem,0)-1,EmpCount,1),"&lt;&gt;")&gt;0,VLOOKUP($C30,EmpAll,COLUMN(Emp!$R$4)+MATCH(O$5,DedListItem,0)-1,0),OFFSET(Setup!$E$73,MATCH(O$5,DedListItem,0),0,1,1)),(MIN(IF(OFFSET(Setup!$G$73,MATCH(O$5,DedListItem,0),0,1,1)="Taxable",SUMPRODUCT((PayEmp=$C30)*(PayDate&lt;=$AC30)*(ISERROR(SEARCH(PayEarnCode,O$4)))*(PayEarnTax)*(PayEarnValues)),SUMPRODUCT((PayEmp=$C30)*(PayDate&lt;=$AC30)*(ISERROR(SEARCH(PayEarnCode,O$4)))*(PayEarnValues))),IF(ISNUMBER(O$3),O$3/12*$AA30,IgnoreMin)))*IF(COUNTIFS(EmpNo,$C30,OFFSET(Emp!$R$4,1,MATCH(O$5,DedListItem,0)-1,EmpCount,1),"&lt;&gt;")&gt;0,VLOOKUP($C30,EmpAll,COLUMN(Emp!$R$4)+MATCH(O$5,DedListItem,0)-1,0),OFFSET(Setup!$E$73,MATCH(O$5,DedListItem,0),0,1,1)))-SUMIFS(OFFSET(O$6,1,0,PayCount,1),PayDate,"&lt;"&amp;$AC30,PayEmp,$C30))))))</f>
        <v>0</v>
      </c>
      <c r="P30" s="133" cm="1">
        <f t="array" aca="1" ref="P30" ca="1">IF($F30="Terminated",0,IF($AA30=0,0,IF(ISNA(MATCH(P$5,DedListItem,0)),0,IF(COUNTIFS(OverEmp,$C30,OverDeduct,P$5,OverDate,"&lt;"&amp;DATE(YEAR($AC30),MONTH($AC30)+1,1),OverEnd,"&gt;="&amp;DATE(YEAR($AC30),MONTH($AC30),1))&gt;0,SUMIFS(OverValue,OverEmp,$C30,OverDeduct,P$5,OverDate,"&lt;"&amp;DATE(YEAR($AC30),MONTH($AC30)+1,1),OverEnd,"&gt;="&amp;DATE(YEAR($AC30),MONTH($AC30),1)),IF(OR(P$2="Fixed",P$2="Not Used"),(IF(COUNTIFS(EmpNo,$C30,OFFSET(Emp!$R$4,1,MATCH(P$5,DedListItem,0)-1,EmpCount,1),"&lt;&gt;")&gt;0,VLOOKUP($C30,EmpAll,COLUMN(Emp!$R$4)+MATCH(P$5,DedListItem,0)-1,0),OFFSET(Setup!$E$73,MATCH(P$5,DedListItem,0),0,1,1))*$AA30)-SUMIFS(OFFSET(P$6,1,0,PayCount,1),PayDate,"&lt;"&amp;$AC30,PayEmp,$C30),IF(ISNA(MATCH(P$2,EarnListItem,0))=FALSE,IF(OFFSET(Setup!$G$73,MATCH(P$5,DedListItem,0),0,1,1)="Taxable",SUMPRODUCT((PayEmp=$C30)*(PayDate&lt;=$AC30)*(PayEarnCode=P$2)*(PayEarnTax)*(PayEarnValues)),SUMPRODUCT((PayEmp=$C30)*(PayDate&lt;=$AC30)*(PayEarnCode=P$2)*(PayEarnValues)))*IF(COUNTIFS(EmpNo,$C30,OFFSET(Emp!$R$4,1,MATCH(P$5,DedListItem,0)-1,EmpCount,1),"&lt;&gt;")&gt;0,VLOOKUP($C30,EmpAll,COLUMN(Emp!$R$4)+MATCH(P$5,DedListItem,0)-1,0),OFFSET(Setup!$E$73,MATCH(P$5,DedListItem,0),0,1,1)),(MIN(IF(OFFSET(Setup!$G$73,MATCH(P$5,DedListItem,0),0,1,1)="Taxable",SUMPRODUCT((PayEmp=$C30)*(PayDate&lt;=$AC30)*(ISERROR(SEARCH(PayEarnCode,P$4)))*(PayEarnTax)*(PayEarnValues)),SUMPRODUCT((PayEmp=$C30)*(PayDate&lt;=$AC30)*(ISERROR(SEARCH(PayEarnCode,P$4)))*(PayEarnValues))),IF(ISNUMBER(P$3),P$3/12*$AA30,IgnoreMin)))*IF(COUNTIFS(EmpNo,$C30,OFFSET(Emp!$R$4,1,MATCH(P$5,DedListItem,0)-1,EmpCount,1),"&lt;&gt;")&gt;0,VLOOKUP($C30,EmpAll,COLUMN(Emp!$R$4)+MATCH(P$5,DedListItem,0)-1,0),OFFSET(Setup!$E$73,MATCH(P$5,DedListItem,0),0,1,1)))-SUMIFS(OFFSET(P$6,1,0,PayCount,1),PayDate,"&lt;"&amp;$AC30,PayEmp,$C30))))))</f>
        <v>0</v>
      </c>
      <c r="Q30" s="133" cm="1">
        <f t="array" aca="1" ref="Q30" ca="1">IF($F30="Terminated",0,IF($AA30=0,0,IF(ISNA(MATCH(Q$5,DedListItem,0)),0,IF(COUNTIFS(OverEmp,$C30,OverDeduct,Q$5,OverDate,"&lt;"&amp;DATE(YEAR($AC30),MONTH($AC30)+1,1),OverEnd,"&gt;="&amp;DATE(YEAR($AC30),MONTH($AC30),1))&gt;0,SUMIFS(OverValue,OverEmp,$C30,OverDeduct,Q$5,OverDate,"&lt;"&amp;DATE(YEAR($AC30),MONTH($AC30)+1,1),OverEnd,"&gt;="&amp;DATE(YEAR($AC30),MONTH($AC30),1)),IF(OR(Q$2="Fixed",Q$2="Not Used"),(IF(COUNTIFS(EmpNo,$C30,OFFSET(Emp!$R$4,1,MATCH(Q$5,DedListItem,0)-1,EmpCount,1),"&lt;&gt;")&gt;0,VLOOKUP($C30,EmpAll,COLUMN(Emp!$R$4)+MATCH(Q$5,DedListItem,0)-1,0),OFFSET(Setup!$E$73,MATCH(Q$5,DedListItem,0),0,1,1))*$AA30)-SUMIFS(OFFSET(Q$6,1,0,PayCount,1),PayDate,"&lt;"&amp;$AC30,PayEmp,$C30),IF(ISNA(MATCH(Q$2,EarnListItem,0))=FALSE,IF(OFFSET(Setup!$G$73,MATCH(Q$5,DedListItem,0),0,1,1)="Taxable",SUMPRODUCT((PayEmp=$C30)*(PayDate&lt;=$AC30)*(PayEarnCode=Q$2)*(PayEarnTax)*(PayEarnValues)),SUMPRODUCT((PayEmp=$C30)*(PayDate&lt;=$AC30)*(PayEarnCode=Q$2)*(PayEarnValues)))*IF(COUNTIFS(EmpNo,$C30,OFFSET(Emp!$R$4,1,MATCH(Q$5,DedListItem,0)-1,EmpCount,1),"&lt;&gt;")&gt;0,VLOOKUP($C30,EmpAll,COLUMN(Emp!$R$4)+MATCH(Q$5,DedListItem,0)-1,0),OFFSET(Setup!$E$73,MATCH(Q$5,DedListItem,0),0,1,1)),(MIN(IF(OFFSET(Setup!$G$73,MATCH(Q$5,DedListItem,0),0,1,1)="Taxable",SUMPRODUCT((PayEmp=$C30)*(PayDate&lt;=$AC30)*(ISERROR(SEARCH(PayEarnCode,Q$4)))*(PayEarnTax)*(PayEarnValues)),SUMPRODUCT((PayEmp=$C30)*(PayDate&lt;=$AC30)*(ISERROR(SEARCH(PayEarnCode,Q$4)))*(PayEarnValues))),IF(ISNUMBER(Q$3),Q$3/12*$AA30,IgnoreMin)))*IF(COUNTIFS(EmpNo,$C30,OFFSET(Emp!$R$4,1,MATCH(Q$5,DedListItem,0)-1,EmpCount,1),"&lt;&gt;")&gt;0,VLOOKUP($C30,EmpAll,COLUMN(Emp!$R$4)+MATCH(Q$5,DedListItem,0)-1,0),OFFSET(Setup!$E$73,MATCH(Q$5,DedListItem,0),0,1,1)))-SUMIFS(OFFSET(Q$6,1,0,PayCount,1),PayDate,"&lt;"&amp;$AC30,PayEmp,$C30))))))</f>
        <v>0</v>
      </c>
      <c r="R30" s="185">
        <f t="shared" ca="1" si="1"/>
        <v>273.75</v>
      </c>
      <c r="S30" s="139">
        <f t="shared" ca="1" si="2"/>
        <v>8726.25</v>
      </c>
      <c r="T30" s="133" cm="1">
        <f t="array" aca="1" ref="T30" ca="1">IF($F30="Terminated",0,IF($AA30=0,0,IF(ISNA(MATCH(T$5,CompListItem,0)),0,IF(COUNTIFS(OverEmp,$C30,OverComp,T$5,OverDate,"&lt;"&amp;DATE(YEAR($AC30),MONTH($AC30)+1,1),OverEnd,"&gt;="&amp;DATE(YEAR($AC30),MONTH($AC30),1))&gt;0,SUMIFS(OverValue,OverEmp,$C30,OverComp,T$5,OverDate,"&lt;"&amp;DATE(YEAR($AC30),MONTH($AC30)+1,1),OverEnd,"&gt;="&amp;DATE(YEAR($AC30),MONTH($AC30),1)),IF(OR(T$2="Fixed",T$2="Not Used"),(OFFSET(Setup!$E$81,MATCH(T$5,CompListItem,0),0,1,1)*$AA30)-SUMIFS(OFFSET(T$6,1,0,PayCount,1),PayDate,"&lt;"&amp;$AC30,PayEmp,$C30),IF(ISNA(MATCH(T$2,DedListItem,0))=FALSE,(SUMPRODUCT((PayEmp=$C30)*(PayDate&lt;=$AC30)*(PayDedList=T$2)*(PayDedValues))*OFFSET(Setup!$E$81,MATCH(T$5,CompListItem,0),0,1,1))-SUMIFS(OFFSET(T$6,1,0,PayCount,1),PayDate,"&lt;"&amp;$AC30,PayEmp,$C30),(MIN(IF(OFFSET(Setup!$G$81,MATCH(T$5,CompListItem,0),0,1,1)="Taxable",SUMPRODUCT((PayEmp=$C30)*(PayDate&lt;=$AC30)*(ISERROR(SEARCH(PayEarnCode,T$4)))*(PayEarnTax)*(PayEarnValues)),SUMPRODUCT((PayEmp=$C30)*(PayDate&lt;=$AC30)*(ISERROR(SEARCH(PayEarnCode,T$4)))*(PayEarnValues))),IF(ISNUMBER(T$3),T$3/12*$AA30,IgnoreMin)))*OFFSET(Setup!$E$81,MATCH(T$5,CompListItem,0),0,1,1)-SUMIFS(OFFSET(T$6,1,0,PayCount,1),PayDate,"&lt;"&amp;$AC30,PayEmp,$C30)))))))</f>
        <v>90</v>
      </c>
      <c r="U30" s="133" cm="1">
        <f t="array" aca="1" ref="U30" ca="1">IF($F30="Terminated",0,IF($AA30=0,0,IF(ISNA(MATCH(U$5,CompListItem,0)),0,IF(COUNTIFS(OverEmp,$C30,OverComp,U$5,OverDate,"&lt;"&amp;DATE(YEAR($AC30),MONTH($AC30)+1,1),OverEnd,"&gt;="&amp;DATE(YEAR($AC30),MONTH($AC30),1))&gt;0,SUMIFS(OverValue,OverEmp,$C30,OverComp,U$5,OverDate,"&lt;"&amp;DATE(YEAR($AC30),MONTH($AC30)+1,1),OverEnd,"&gt;="&amp;DATE(YEAR($AC30),MONTH($AC30),1)),IF(OR(U$2="Fixed",U$2="Not Used"),(OFFSET(Setup!$E$81,MATCH(U$5,CompListItem,0),0,1,1)*$AA30)-SUMIFS(OFFSET(U$6,1,0,PayCount,1),PayDate,"&lt;"&amp;$AC30,PayEmp,$C30),IF(ISNA(MATCH(U$2,DedListItem,0))=FALSE,(SUMPRODUCT((PayEmp=$C30)*(PayDate&lt;=$AC30)*(PayDedList=U$2)*(PayDedValues))*OFFSET(Setup!$E$81,MATCH(U$5,CompListItem,0),0,1,1))-SUMIFS(OFFSET(U$6,1,0,PayCount,1),PayDate,"&lt;"&amp;$AC30,PayEmp,$C30),(MIN(IF(OFFSET(Setup!$G$81,MATCH(U$5,CompListItem,0),0,1,1)="Taxable",SUMPRODUCT((PayEmp=$C30)*(PayDate&lt;=$AC30)*(ISERROR(SEARCH(PayEarnCode,U$4)))*(PayEarnTax)*(PayEarnValues)),SUMPRODUCT((PayEmp=$C30)*(PayDate&lt;=$AC30)*(ISERROR(SEARCH(PayEarnCode,U$4)))*(PayEarnValues))),IF(ISNUMBER(U$3),U$3/12*$AA30,IgnoreMin)))*OFFSET(Setup!$E$81,MATCH(U$5,CompListItem,0),0,1,1)-SUMIFS(OFFSET(U$6,1,0,PayCount,1),PayDate,"&lt;"&amp;$AC30,PayEmp,$C30)))))))</f>
        <v>90</v>
      </c>
      <c r="V30" s="133" cm="1">
        <f t="array" aca="1" ref="V30" ca="1">IF($F30="Terminated",0,IF($AA30=0,0,IF(ISNA(MATCH(V$5,CompListItem,0)),0,IF(COUNTIFS(OverEmp,$C30,OverComp,V$5,OverDate,"&lt;"&amp;DATE(YEAR($AC30),MONTH($AC30)+1,1),OverEnd,"&gt;="&amp;DATE(YEAR($AC30),MONTH($AC30),1))&gt;0,SUMIFS(OverValue,OverEmp,$C30,OverComp,V$5,OverDate,"&lt;"&amp;DATE(YEAR($AC30),MONTH($AC30)+1,1),OverEnd,"&gt;="&amp;DATE(YEAR($AC30),MONTH($AC30),1)),IF(OR(V$2="Fixed",V$2="Not Used"),(OFFSET(Setup!$E$81,MATCH(V$5,CompListItem,0),0,1,1)*$AA30)-SUMIFS(OFFSET(V$6,1,0,PayCount,1),PayDate,"&lt;"&amp;$AC30,PayEmp,$C30),IF(ISNA(MATCH(V$2,DedListItem,0))=FALSE,(SUMPRODUCT((PayEmp=$C30)*(PayDate&lt;=$AC30)*(PayDedList=V$2)*(PayDedValues))*OFFSET(Setup!$E$81,MATCH(V$5,CompListItem,0),0,1,1))-SUMIFS(OFFSET(V$6,1,0,PayCount,1),PayDate,"&lt;"&amp;$AC30,PayEmp,$C30),(MIN(IF(OFFSET(Setup!$G$81,MATCH(V$5,CompListItem,0),0,1,1)="Taxable",SUMPRODUCT((PayEmp=$C30)*(PayDate&lt;=$AC30)*(ISERROR(SEARCH(PayEarnCode,V$4)))*(PayEarnTax)*(PayEarnValues)),SUMPRODUCT((PayEmp=$C30)*(PayDate&lt;=$AC30)*(ISERROR(SEARCH(PayEarnCode,V$4)))*(PayEarnValues))),IF(ISNUMBER(V$3),V$3/12*$AA30,IgnoreMin)))*OFFSET(Setup!$E$81,MATCH(V$5,CompListItem,0),0,1,1)-SUMIFS(OFFSET(V$6,1,0,PayCount,1),PayDate,"&lt;"&amp;$AC30,PayEmp,$C30)))))))</f>
        <v>0</v>
      </c>
      <c r="W30" s="133" cm="1">
        <f t="array" aca="1" ref="W30" ca="1">IF($F30="Terminated",0,IF($AA30=0,0,IF(ISNA(MATCH(W$5,CompListItem,0)),0,IF(COUNTIFS(OverEmp,$C30,OverComp,W$5,OverDate,"&lt;"&amp;DATE(YEAR($AC30),MONTH($AC30)+1,1),OverEnd,"&gt;="&amp;DATE(YEAR($AC30),MONTH($AC30),1))&gt;0,SUMIFS(OverValue,OverEmp,$C30,OverComp,W$5,OverDate,"&lt;"&amp;DATE(YEAR($AC30),MONTH($AC30)+1,1),OverEnd,"&gt;="&amp;DATE(YEAR($AC30),MONTH($AC30),1)),IF(OR(W$2="Fixed",W$2="Not Used"),(OFFSET(Setup!$E$81,MATCH(W$5,CompListItem,0),0,1,1)*$AA30)-SUMIFS(OFFSET(W$6,1,0,PayCount,1),PayDate,"&lt;"&amp;$AC30,PayEmp,$C30),IF(ISNA(MATCH(W$2,DedListItem,0))=FALSE,(SUMPRODUCT((PayEmp=$C30)*(PayDate&lt;=$AC30)*(PayDedList=W$2)*(PayDedValues))*OFFSET(Setup!$E$81,MATCH(W$5,CompListItem,0),0,1,1))-SUMIFS(OFFSET(W$6,1,0,PayCount,1),PayDate,"&lt;"&amp;$AC30,PayEmp,$C30),(MIN(IF(OFFSET(Setup!$G$81,MATCH(W$5,CompListItem,0),0,1,1)="Taxable",SUMPRODUCT((PayEmp=$C30)*(PayDate&lt;=$AC30)*(ISERROR(SEARCH(PayEarnCode,W$4)))*(PayEarnTax)*(PayEarnValues)),SUMPRODUCT((PayEmp=$C30)*(PayDate&lt;=$AC30)*(ISERROR(SEARCH(PayEarnCode,W$4)))*(PayEarnValues))),IF(ISNUMBER(W$3),W$3/12*$AA30,IgnoreMin)))*OFFSET(Setup!$E$81,MATCH(W$5,CompListItem,0),0,1,1)-SUMIFS(OFFSET(W$6,1,0,PayCount,1),PayDate,"&lt;"&amp;$AC30,PayEmp,$C30)))))))</f>
        <v>0</v>
      </c>
      <c r="X30" s="185">
        <f t="shared" ca="1" si="3"/>
        <v>180</v>
      </c>
      <c r="Y30" s="139">
        <f t="shared" ca="1" si="4"/>
        <v>9180</v>
      </c>
      <c r="Z30" s="139">
        <f t="shared" ca="1" si="5"/>
        <v>453.75</v>
      </c>
      <c r="AA30" s="146">
        <f ca="1">IF(OR($B30&lt;=Setup!$E$12,$B30&gt;=Setup!$D$12+1),0,IF($F30&lt;&gt;"Active",0,IF($AE30="Yes",$AB30,((YEAR($AC30)*12)+MONTH($AC30))-((YEAR($AD30)*12)+MONTH($AD30)-1))))</f>
        <v>2</v>
      </c>
      <c r="AB30" s="146">
        <f ca="1">IF(OR($B30&lt;=Setup!$E$12,$B30&gt;=Setup!$D$12+1),0,((YEAR($AC30)*12)+MONTH($AC30))-((YEAR(Setup!$E$12)*12)+MONTH(Setup!$E$12)))</f>
        <v>2</v>
      </c>
      <c r="AC30" s="186">
        <f t="shared" ca="1" si="6"/>
        <v>45041</v>
      </c>
      <c r="AD30" s="144">
        <f ca="1">IF(ISNA(VLOOKUP($C30,EmpAll,COLUMN(Emp!$E$4),0)),$AC30,IF(VLOOKUP($C30,EmpAll,COLUMN(Emp!$E$4),0)&lt;=Setup!$E$12,DATE(YEAR(Setup!$E$12),MONTH(Setup!$E$12)+1,1),VLOOKUP($C30,EmpAll,COLUMN(Emp!$E$4),0)))</f>
        <v>44986</v>
      </c>
      <c r="AE30" s="144" t="str">
        <f ca="1">IF(ISNA(VLOOKUP($C30,EmpAll,COLUMN(Emp!$G$1),0)),"-",IF(VLOOKUP($C30,EmpAll,COLUMN(Emp!$G$1),0)=0,"-",VLOOKUP($C30,EmpAll,COLUMN(Emp!$G$1),0)))</f>
        <v>-</v>
      </c>
      <c r="AF30" s="145">
        <f ca="1">IF(A30=PaySlip!$G$3,1,0)</f>
        <v>0</v>
      </c>
      <c r="AG30" s="130" cm="1">
        <f t="array" aca="1" ref="AG30" ca="1">IF(COUNTIFS(OverEmp,$C30,OverMed,"MED",OverDate,"&lt;"&amp;DATE(YEAR($AC30),MONTH($AC30)+1,1),OverEnd,"&gt;="&amp;DATE(YEAR($AC30),MONTH($AC30),1))&gt;0,SUMIFS(OverValue,OverEmp,$C30,OverMed,"MED",OverDate,"&lt;"&amp;DATE(YEAR($AC30),MONTH($AC30)+1,1),OverEnd,"&gt;="&amp;DATE(YEAR($AC30),MONTH($AC30),1)),IF(ISNA(VLOOKUP($C30,EmpAll,COLUMN(Emp!$N$4),0)),0,VLOOKUP($C30,EmpAll,COLUMN(Emp!$N$4),0)))</f>
        <v>0</v>
      </c>
      <c r="AH30" s="146">
        <f ca="1">VLOOKUP($AG30,MedList,COLUMN(Setup!$C$49),1)</f>
        <v>0</v>
      </c>
      <c r="AI30" s="146">
        <f t="shared" ca="1" si="7"/>
        <v>0</v>
      </c>
      <c r="AJ30" s="101" t="str">
        <f ca="1">IF(ISNA(VLOOKUP($C30,EmpAll,COLUMN(Emp!$L$4),0)),"None!",VLOOKUP($C30,EmpAll,COLUMN(Emp!$L$4),0))</f>
        <v>A</v>
      </c>
      <c r="AK30" s="147">
        <f t="shared" ca="1" si="8"/>
        <v>17235</v>
      </c>
      <c r="AL30" s="101" t="str">
        <f ca="1">IF(ISNA(VLOOKUP($C30,Employees[],COLUMN(Emp!$M$4),0))=TRUE,"Error!",IF(VLOOKUP($C30,Employees[],COLUMN(Emp!$M$4),0)=0,"Yes",VLOOKUP($C30,Employees[],COLUMN(Emp!$M$4),0)))</f>
        <v>A</v>
      </c>
      <c r="AM30" s="148">
        <f t="shared" ca="1" si="9"/>
        <v>108000</v>
      </c>
      <c r="AN30" s="148" cm="1">
        <f t="array" aca="1" ref="AN30" ca="1">-IF($F30="Terminated",0,IF($AA30=0,0,IF(ISNA(MATCH(AN$5,PayDedList,0)),0,MIN(IF(COUNTIFS(OverEmp,$C30,OverDeduct,AN$5,OverDate,"&lt;"&amp;DATE(YEAR($AC30),MONTH($AC30)+1,1),OverEnd,"&gt;="&amp;DATE(YEAR($AC30),MONTH($AC30),1))&gt;0,SUMPRODUCT((PayEmp=$C30)*(PayDate&lt;=$AC30)*(OFFSET($N$6,1,MATCH(AN$5,PayDedList,0)-1,PayCount,1)))/$AA30*12*AN$3,IF(OR(AN$1="Fixed",AN$1="Not Used"),SUMPRODUCT((PayEmp=$C30)*(PayDate&lt;=$AC30)*(OFFSET($N$6,1,MATCH(AN$5,PayDedList,0)-1,PayCount,1)))/$AA30*12*AN$3,IF(ISNA(MATCH(AN$1,EarnListItem,0))=FALSE,SUMPRODUCT((PayEmp=$C30)*(PayDate&lt;=$AC30)*(OFFSET($N$6,1,MATCH(AN$5,PayDedList,0)-1,PayCount,1)))/$AA30*12*AN$3,(MIN(((SUMPRODUCT((PayEmp=$C30)*(PayDate&lt;=$AC30)*(ISERROR(SEARCH(PayEarnCode,AN$2)))*(PayEarnType="Monthly")*(PayEarnValues))/$AA30*12)+(SUMPRODUCT((PayEmp=$C30)*(PayDate&lt;=$AC30)*(ISERROR(SEARCH(PayEarnCode,AN$2)))*(PayEarnType="Quarterly")*(PayEarnValues))/MAX(1,ROUNDDOWN($AB30/3,0))*4)+(SUMPRODUCT((PayEmp=$C30)*(PayDate&lt;=$AC30)*(ISERROR(SEARCH(PayEarnCode,AN$2)))*(PayEarnType="Bi-Annual")*(PayEarnValues))/MAX(1,ROUNDDOWN($AB30/6,0))*2)+(SUMPRODUCT((PayEmp=$C30)*(PayDate&lt;=$AC30)*(ISERROR(SEARCH(PayEarnCode,AN$2)))*(PayEarnType="Annual")*(PayEarnValues)))),IF(ISNUMBER(OFFSET($N$3,0,MATCH(AN$5,PayDedList,0)-1,1,1)),OFFSET($N$3,0,MATCH(AN$5,PayDedList,0)-1,1,1),IgnoreMin)))*IF(COUNTIFS(EmpNo,$C30,OFFSET(Emp!$R$4,1,MATCH(AN$5,DedListItem,0)-1,EmpCount,1),"&lt;&gt;")&gt;0,VLOOKUP($C30,EmpAll,COLUMN(Emp!$R$4)+MATCH(AN$5,DedListItem,0)-1,0),OFFSET(Setup!$E$73,MATCH(AN$5,DedListItem,0),0,1,1))*AN$3))),IF(ISNUMBER(AN$4),AN$4,IgnoreMin)))))</f>
        <v>0</v>
      </c>
      <c r="AO30" s="148" cm="1">
        <f t="array" aca="1" ref="AO30" ca="1">-IF($F30="Terminated",0,IF($AA30=0,0,IF(ISNA(MATCH(AO$5,PayDedList,0)),0,MIN(IF(COUNTIFS(OverEmp,$C30,OverDeduct,AO$5,OverDate,"&lt;"&amp;DATE(YEAR($AC30),MONTH($AC30)+1,1),OverEnd,"&gt;="&amp;DATE(YEAR($AC30),MONTH($AC30),1))&gt;0,SUMPRODUCT((PayEmp=$C30)*(PayDate&lt;=$AC30)*(OFFSET($N$6,1,MATCH(AO$5,PayDedList,0)-1,PayCount,1)))/$AA30*12*AO$3,IF(OR(AO$1="Fixed",AO$1="Not Used"),SUMPRODUCT((PayEmp=$C30)*(PayDate&lt;=$AC30)*(OFFSET($N$6,1,MATCH(AO$5,PayDedList,0)-1,PayCount,1)))/$AA30*12*AO$3,IF(ISNA(MATCH(AO$1,EarnListItem,0))=FALSE,SUMPRODUCT((PayEmp=$C30)*(PayDate&lt;=$AC30)*(OFFSET($N$6,1,MATCH(AO$5,PayDedList,0)-1,PayCount,1)))/$AA30*12*AO$3,(MIN(((SUMPRODUCT((PayEmp=$C30)*(PayDate&lt;=$AC30)*(ISERROR(SEARCH(PayEarnCode,AO$2)))*(PayEarnType="Monthly")*(PayEarnValues))/$AA30*12)+(SUMPRODUCT((PayEmp=$C30)*(PayDate&lt;=$AC30)*(ISERROR(SEARCH(PayEarnCode,AO$2)))*(PayEarnType="Quarterly")*(PayEarnValues))/MAX(1,ROUNDDOWN($AB30/3,0))*4)+(SUMPRODUCT((PayEmp=$C30)*(PayDate&lt;=$AC30)*(ISERROR(SEARCH(PayEarnCode,AO$2)))*(PayEarnType="Bi-Annual")*(PayEarnValues))/MAX(1,ROUNDDOWN($AB30/6,0))*2)+(SUMPRODUCT((PayEmp=$C30)*(PayDate&lt;=$AC30)*(ISERROR(SEARCH(PayEarnCode,AO$2)))*(PayEarnType="Annual")*(PayEarnValues)))),IF(ISNUMBER(OFFSET($N$3,0,MATCH(AO$5,PayDedList,0)-1,1,1)),OFFSET($N$3,0,MATCH(AO$5,PayDedList,0)-1,1,1),IgnoreMin)))*IF(COUNTIFS(EmpNo,$C30,OFFSET(Emp!$R$4,1,MATCH(AO$5,DedListItem,0)-1,EmpCount,1),"&lt;&gt;")&gt;0,VLOOKUP($C30,EmpAll,COLUMN(Emp!$R$4)+MATCH(AO$5,DedListItem,0)-1,0),OFFSET(Setup!$E$73,MATCH(AO$5,DedListItem,0),0,1,1))*AO$3))),IF(ISNUMBER(AO$4),AO$4,IgnoreMin)))))</f>
        <v>0</v>
      </c>
      <c r="AP30" s="148" cm="1">
        <f t="array" aca="1" ref="AP30" ca="1">-IF($F30="Terminated",0,IF($AA30=0,0,IF(ISNA(MATCH(AP$5,PayDedList,0)),0,MIN(IF(COUNTIFS(OverEmp,$C30,OverDeduct,AP$5,OverDate,"&lt;"&amp;DATE(YEAR($AC30),MONTH($AC30)+1,1),OverEnd,"&gt;="&amp;DATE(YEAR($AC30),MONTH($AC30),1))&gt;0,SUMPRODUCT((PayEmp=$C30)*(PayDate&lt;=$AC30)*(OFFSET($N$6,1,MATCH(AP$5,PayDedList,0)-1,PayCount,1)))/$AA30*12*AP$3,IF(OR(AP$1="Fixed",AP$1="Not Used"),SUMPRODUCT((PayEmp=$C30)*(PayDate&lt;=$AC30)*(OFFSET($N$6,1,MATCH(AP$5,PayDedList,0)-1,PayCount,1)))/$AA30*12*AP$3,IF(ISNA(MATCH(AP$1,EarnListItem,0))=FALSE,SUMPRODUCT((PayEmp=$C30)*(PayDate&lt;=$AC30)*(OFFSET($N$6,1,MATCH(AP$5,PayDedList,0)-1,PayCount,1)))/$AA30*12*AP$3,(MIN(((SUMPRODUCT((PayEmp=$C30)*(PayDate&lt;=$AC30)*(ISERROR(SEARCH(PayEarnCode,AP$2)))*(PayEarnType="Monthly")*(PayEarnValues))/$AA30*12)+(SUMPRODUCT((PayEmp=$C30)*(PayDate&lt;=$AC30)*(ISERROR(SEARCH(PayEarnCode,AP$2)))*(PayEarnType="Quarterly")*(PayEarnValues))/MAX(1,ROUNDDOWN($AB30/3,0))*4)+(SUMPRODUCT((PayEmp=$C30)*(PayDate&lt;=$AC30)*(ISERROR(SEARCH(PayEarnCode,AP$2)))*(PayEarnType="Bi-Annual")*(PayEarnValues))/MAX(1,ROUNDDOWN($AB30/6,0))*2)+(SUMPRODUCT((PayEmp=$C30)*(PayDate&lt;=$AC30)*(ISERROR(SEARCH(PayEarnCode,AP$2)))*(PayEarnType="Annual")*(PayEarnValues)))),IF(ISNUMBER(OFFSET($N$3,0,MATCH(AP$5,PayDedList,0)-1,1,1)),OFFSET($N$3,0,MATCH(AP$5,PayDedList,0)-1,1,1),IgnoreMin)))*IF(COUNTIFS(EmpNo,$C30,OFFSET(Emp!$R$4,1,MATCH(AP$5,DedListItem,0)-1,EmpCount,1),"&lt;&gt;")&gt;0,VLOOKUP($C30,EmpAll,COLUMN(Emp!$R$4)+MATCH(AP$5,DedListItem,0)-1,0),OFFSET(Setup!$E$73,MATCH(AP$5,DedListItem,0),0,1,1))*AP$3))),IF(ISNUMBER(AP$4),AP$4,IgnoreMin)))))</f>
        <v>0</v>
      </c>
      <c r="AQ30" s="148" cm="1">
        <f t="array" aca="1" ref="AQ30" ca="1">-IF($F30="Terminated",0,IF($AA30=0,0,IF(ISNA(MATCH(AQ$5,PayDedList,0)),0,MIN(IF(COUNTIFS(OverEmp,$C30,OverDeduct,AQ$5,OverDate,"&lt;"&amp;DATE(YEAR($AC30),MONTH($AC30)+1,1),OverEnd,"&gt;="&amp;DATE(YEAR($AC30),MONTH($AC30),1))&gt;0,SUMPRODUCT((PayEmp=$C30)*(PayDate&lt;=$AC30)*(OFFSET($N$6,1,MATCH(AQ$5,PayDedList,0)-1,PayCount,1)))/$AA30*12*AQ$3,IF(OR(AQ$1="Fixed",AQ$1="Not Used"),SUMPRODUCT((PayEmp=$C30)*(PayDate&lt;=$AC30)*(OFFSET($N$6,1,MATCH(AQ$5,PayDedList,0)-1,PayCount,1)))/$AA30*12*AQ$3,IF(ISNA(MATCH(AQ$1,EarnListItem,0))=FALSE,SUMPRODUCT((PayEmp=$C30)*(PayDate&lt;=$AC30)*(OFFSET($N$6,1,MATCH(AQ$5,PayDedList,0)-1,PayCount,1)))/$AA30*12*AQ$3,(MIN(((SUMPRODUCT((PayEmp=$C30)*(PayDate&lt;=$AC30)*(ISERROR(SEARCH(PayEarnCode,AQ$2)))*(PayEarnType="Monthly")*(PayEarnValues))/$AA30*12)+(SUMPRODUCT((PayEmp=$C30)*(PayDate&lt;=$AC30)*(ISERROR(SEARCH(PayEarnCode,AQ$2)))*(PayEarnType="Quarterly")*(PayEarnValues))/MAX(1,ROUNDDOWN($AB30/3,0))*4)+(SUMPRODUCT((PayEmp=$C30)*(PayDate&lt;=$AC30)*(ISERROR(SEARCH(PayEarnCode,AQ$2)))*(PayEarnType="Bi-Annual")*(PayEarnValues))/MAX(1,ROUNDDOWN($AB30/6,0))*2)+(SUMPRODUCT((PayEmp=$C30)*(PayDate&lt;=$AC30)*(ISERROR(SEARCH(PayEarnCode,AQ$2)))*(PayEarnType="Annual")*(PayEarnValues)))),IF(ISNUMBER(OFFSET($N$3,0,MATCH(AQ$5,PayDedList,0)-1,1,1)),OFFSET($N$3,0,MATCH(AQ$5,PayDedList,0)-1,1,1),IgnoreMin)))*IF(COUNTIFS(EmpNo,$C30,OFFSET(Emp!$R$4,1,MATCH(AQ$5,DedListItem,0)-1,EmpCount,1),"&lt;&gt;")&gt;0,VLOOKUP($C30,EmpAll,COLUMN(Emp!$R$4)+MATCH(AQ$5,DedListItem,0)-1,0),OFFSET(Setup!$E$73,MATCH(AQ$5,DedListItem,0),0,1,1))*AQ$3))),IF(ISNUMBER(AQ$4),AQ$4,IgnoreMin)))))</f>
        <v>0</v>
      </c>
      <c r="AR30" s="148">
        <f t="shared" ca="1" si="10"/>
        <v>108000</v>
      </c>
      <c r="AS30" s="148">
        <f t="shared" ca="1" si="11"/>
        <v>108000</v>
      </c>
      <c r="AT30" s="148" cm="1">
        <f t="array" aca="1" ref="AT30" ca="1">-IF($F30="Terminated",0,IF($AA30=0,0,IF(ISNA(MATCH(AT$5,PayDedList,0)),0,MIN(IF(COUNTIFS(OverEmp,$C30,OverDeduct,AT$5,OverDate,"&lt;"&amp;DATE(YEAR($AC30),MONTH($AC30)+1,1),OverEnd,"&gt;="&amp;DATE(YEAR($AC30),MONTH($AC30),1))&gt;0,SUMPRODUCT((PayEmp=$C30)*(PayDate&lt;=$AC30)*(OFFSET($N$6,1,MATCH(AT$5,PayDedList,0)-1,PayCount,1)))/$AA30*12*AT$3,IF(OR(AT$1="Fixed",AT$1="Not Used"),SUMPRODUCT((PayEmp=$C30)*(PayDate&lt;=$AC30)*(OFFSET($N$6,1,MATCH(AT$5,PayDedList,0)-1,PayCount,1)))/$AA30*12*AT$3,IF(ISNA(MATCH(OFFSET($N$2,0,MATCH(AT$5,PayDedList,0)-1,1,1),EarnListItem,0))=FALSE,SUMPRODUCT((PayEmp=$C30)*(PayDate&lt;=$AC30)*(OFFSET($N$6,1,MATCH(AT$5,PayDedList,0)-1,PayCount,1)))/$AA30*12*AT$3,(MIN(SUMPRODUCT((PayEmp=$C30)*(PayDate&lt;=$AC30)*(ISERROR(SEARCH(PayEarnCode,AT$2)))*(PayEarnType="Monthly")*(PayEarnValues))/$AA30*12,IF(ISNUMBER(OFFSET($N$3,0,MATCH(AT$5,PayDedList,0)-1,1,1)),OFFSET($N$3,0,MATCH(AT$5,PayDedList,0)-1,1,1),IgnoreMin)))*IF(COUNTIFS(EmpNo,$C30,OFFSET(Emp!$R$4,1,MATCH(AT$5,DedListItem,0)-1,EmpCount,1),"&lt;&gt;")&gt;0,VLOOKUP($C30,EmpAll,COLUMN(Emp!$R$4)+MATCH(AT$5,DedListItem,0)-1,0),OFFSET(Setup!$E$73,MATCH(AT$5,DedListItem,0),0,1,1))*AT$3))),IF(ISNUMBER(AT$4),AT$4,IgnoreMin)))))</f>
        <v>0</v>
      </c>
      <c r="AU30" s="148" cm="1">
        <f t="array" aca="1" ref="AU30" ca="1">-IF($F30="Terminated",0,IF($AA30=0,0,IF(ISNA(MATCH(AU$5,PayDedList,0)),0,MIN(IF(COUNTIFS(OverEmp,$C30,OverDeduct,AU$5,OverDate,"&lt;"&amp;DATE(YEAR($AC30),MONTH($AC30)+1,1),OverEnd,"&gt;="&amp;DATE(YEAR($AC30),MONTH($AC30),1))&gt;0,SUMPRODUCT((PayEmp=$C30)*(PayDate&lt;=$AC30)*(OFFSET($N$6,1,MATCH(AU$5,PayDedList,0)-1,PayCount,1)))/$AA30*12*AU$3,IF(OR(AU$1="Fixed",AU$1="Not Used"),SUMPRODUCT((PayEmp=$C30)*(PayDate&lt;=$AC30)*(OFFSET($N$6,1,MATCH(AU$5,PayDedList,0)-1,PayCount,1)))/$AA30*12*AU$3,IF(ISNA(MATCH(OFFSET($N$2,0,MATCH(AU$5,PayDedList,0)-1,1,1),EarnListItem,0))=FALSE,SUMPRODUCT((PayEmp=$C30)*(PayDate&lt;=$AC30)*(OFFSET($N$6,1,MATCH(AU$5,PayDedList,0)-1,PayCount,1)))/$AA30*12*AU$3,(MIN(SUMPRODUCT((PayEmp=$C30)*(PayDate&lt;=$AC30)*(ISERROR(SEARCH(PayEarnCode,AU$2)))*(PayEarnType="Monthly")*(PayEarnValues))/$AA30*12,IF(ISNUMBER(OFFSET($N$3,0,MATCH(AU$5,PayDedList,0)-1,1,1)),OFFSET($N$3,0,MATCH(AU$5,PayDedList,0)-1,1,1),IgnoreMin)))*IF(COUNTIFS(EmpNo,$C30,OFFSET(Emp!$R$4,1,MATCH(AU$5,DedListItem,0)-1,EmpCount,1),"&lt;&gt;")&gt;0,VLOOKUP($C30,EmpAll,COLUMN(Emp!$R$4)+MATCH(AU$5,DedListItem,0)-1,0),OFFSET(Setup!$E$73,MATCH(AU$5,DedListItem,0),0,1,1))*AU$3))),IF(ISNUMBER(AU$4),AU$4,IgnoreMin)))))</f>
        <v>0</v>
      </c>
      <c r="AV30" s="148" cm="1">
        <f t="array" aca="1" ref="AV30" ca="1">-IF($F30="Terminated",0,IF($AA30=0,0,IF(ISNA(MATCH(AV$5,PayDedList,0)),0,MIN(IF(COUNTIFS(OverEmp,$C30,OverDeduct,AV$5,OverDate,"&lt;"&amp;DATE(YEAR($AC30),MONTH($AC30)+1,1),OverEnd,"&gt;="&amp;DATE(YEAR($AC30),MONTH($AC30),1))&gt;0,SUMPRODUCT((PayEmp=$C30)*(PayDate&lt;=$AC30)*(OFFSET($N$6,1,MATCH(AV$5,PayDedList,0)-1,PayCount,1)))/$AA30*12*AV$3,IF(OR(AV$1="Fixed",AV$1="Not Used"),SUMPRODUCT((PayEmp=$C30)*(PayDate&lt;=$AC30)*(OFFSET($N$6,1,MATCH(AV$5,PayDedList,0)-1,PayCount,1)))/$AA30*12*AV$3,IF(ISNA(MATCH(OFFSET($N$2,0,MATCH(AV$5,PayDedList,0)-1,1,1),EarnListItem,0))=FALSE,SUMPRODUCT((PayEmp=$C30)*(PayDate&lt;=$AC30)*(OFFSET($N$6,1,MATCH(AV$5,PayDedList,0)-1,PayCount,1)))/$AA30*12*AV$3,(MIN(SUMPRODUCT((PayEmp=$C30)*(PayDate&lt;=$AC30)*(ISERROR(SEARCH(PayEarnCode,AV$2)))*(PayEarnType="Monthly")*(PayEarnValues))/$AA30*12,IF(ISNUMBER(OFFSET($N$3,0,MATCH(AV$5,PayDedList,0)-1,1,1)),OFFSET($N$3,0,MATCH(AV$5,PayDedList,0)-1,1,1),IgnoreMin)))*IF(COUNTIFS(EmpNo,$C30,OFFSET(Emp!$R$4,1,MATCH(AV$5,DedListItem,0)-1,EmpCount,1),"&lt;&gt;")&gt;0,VLOOKUP($C30,EmpAll,COLUMN(Emp!$R$4)+MATCH(AV$5,DedListItem,0)-1,0),OFFSET(Setup!$E$73,MATCH(AV$5,DedListItem,0),0,1,1))*AV$3))),IF(ISNUMBER(AV$4),AV$4,IgnoreMin)))))</f>
        <v>0</v>
      </c>
      <c r="AW30" s="148" cm="1">
        <f t="array" aca="1" ref="AW30" ca="1">-IF($F30="Terminated",0,IF($AA30=0,0,IF(ISNA(MATCH(AW$5,PayDedList,0)),0,MIN(IF(COUNTIFS(OverEmp,$C30,OverDeduct,AW$5,OverDate,"&lt;"&amp;DATE(YEAR($AC30),MONTH($AC30)+1,1),OverEnd,"&gt;="&amp;DATE(YEAR($AC30),MONTH($AC30),1))&gt;0,SUMPRODUCT((PayEmp=$C30)*(PayDate&lt;=$AC30)*(OFFSET($N$6,1,MATCH(AW$5,PayDedList,0)-1,PayCount,1)))/$AA30*12*AW$3,IF(OR(AW$1="Fixed",AW$1="Not Used"),SUMPRODUCT((PayEmp=$C30)*(PayDate&lt;=$AC30)*(OFFSET($N$6,1,MATCH(AW$5,PayDedList,0)-1,PayCount,1)))/$AA30*12*AW$3,IF(ISNA(MATCH(OFFSET($N$2,0,MATCH(AW$5,PayDedList,0)-1,1,1),EarnListItem,0))=FALSE,SUMPRODUCT((PayEmp=$C30)*(PayDate&lt;=$AC30)*(OFFSET($N$6,1,MATCH(AW$5,PayDedList,0)-1,PayCount,1)))/$AA30*12*AW$3,(MIN(SUMPRODUCT((PayEmp=$C30)*(PayDate&lt;=$AC30)*(ISERROR(SEARCH(PayEarnCode,AW$2)))*(PayEarnType="Monthly")*(PayEarnValues))/$AA30*12,IF(ISNUMBER(OFFSET($N$3,0,MATCH(AW$5,PayDedList,0)-1,1,1)),OFFSET($N$3,0,MATCH(AW$5,PayDedList,0)-1,1,1),IgnoreMin)))*IF(COUNTIFS(EmpNo,$C30,OFFSET(Emp!$R$4,1,MATCH(AW$5,DedListItem,0)-1,EmpCount,1),"&lt;&gt;")&gt;0,VLOOKUP($C30,EmpAll,COLUMN(Emp!$R$4)+MATCH(AW$5,DedListItem,0)-1,0),OFFSET(Setup!$E$73,MATCH(AW$5,DedListItem,0),0,1,1))*AW$3))),IF(ISNUMBER(AW$4),AW$4,IgnoreMin)))))</f>
        <v>0</v>
      </c>
      <c r="AX30" s="148">
        <f t="shared" ca="1" si="12"/>
        <v>108000</v>
      </c>
      <c r="AY30" s="148">
        <f t="shared" ca="1" si="13"/>
        <v>0</v>
      </c>
      <c r="AZ30" s="148">
        <f ca="1">IF(ISNUMBER($AL30),($AR30*$AL30)-$AI30-$AK30,MAX(0,IF($AL30="B",IF($AR30&lt;Setup!$C$32,($AR30*Setup!$D$32)-$AI30-$AK30,(($AR30-VLOOKUP($AR30,TaxAll2,1,1))*OFFSET(Setup!$D$32,MATCH($AR30,TaxBracket2,1),0,1,1))+OFFSET(Setup!$E$31,MATCH($AR30,TaxBracket2,1),0,1,1)-$AI30-$AK30),IF($AR30&lt;Setup!$C$21,($AR30*Setup!$D$21)-$AI30-$AK30,(($AR30-VLOOKUP($AR30,TaxAll1,1,1))*OFFSET(Setup!$D$21,MATCH($AR30,TaxBracket1,1),0,1,1))+OFFSET(Setup!$E$20,MATCH($AR30,TaxBracket1,1),0,1,1)-$AI30-$AK30))))</f>
        <v>2205</v>
      </c>
      <c r="BA30" s="148">
        <f ca="1">IF(ISNUMBER($AL30),($AX30*$AL30)-$AI30-$AK30,MAX(0,IF($AL30="B",IF($AX30&lt;Setup!$C$32,($AX30*Setup!$D$32)-$AI30-$AK30,(($AX30-VLOOKUP($AX30,TaxAll2,1,1))*OFFSET(Setup!$D$32,MATCH($AX30,TaxBracket2,1),0,1,1))+OFFSET(Setup!$E$31,MATCH($AX30,TaxBracket2,1),0,1,1)-$AI30-$AK30),IF($AX30&lt;Setup!$C$21,($AX30*Setup!$D$21)-$AI30-$AK30,(($AX30-VLOOKUP($AX30,TaxAll1,1,1))*OFFSET(Setup!$D$21,MATCH($AX30,TaxBracket1,1),0,1,1))+OFFSET(Setup!$E$20,MATCH($AX30,TaxBracket1,1),0,1,1)-$AI30-$AK30))))</f>
        <v>2205</v>
      </c>
      <c r="BB30" s="148">
        <f t="shared" ca="1" si="14"/>
        <v>0</v>
      </c>
      <c r="BC30" s="150">
        <f t="shared" ca="1" si="15"/>
        <v>1</v>
      </c>
      <c r="BD30" s="150">
        <f t="shared" ca="1" si="16"/>
        <v>0</v>
      </c>
      <c r="BE30" s="148">
        <f t="shared" ca="1" si="17"/>
        <v>108000</v>
      </c>
    </row>
    <row r="31" spans="1:57" ht="16.149999999999999" customHeight="1" x14ac:dyDescent="0.25">
      <c r="A31" s="10" t="str" cm="1">
        <f t="array" aca="1" ref="A31" ca="1">IF(ROW($A31)-ROW($A$6)&gt;EmpCount*12,"-",TEXT($B31,"yyyy")&amp;TEXT($B31,"mm")&amp;"-"&amp;$C31)</f>
        <v>202304-EXS010</v>
      </c>
      <c r="B31" s="137" cm="1">
        <f t="array" aca="1" ref="B31" ca="1">IF(ROW($A31)-ROW($A$6)&gt;EmpCount*12,Setup!$D$12,DATE(YEAR(Setup!$F$12),MONTH(Setup!$F$12)+ROUNDDOWN((ROW($A31)-ROW($A$6)-1)/EmpCount,0),IF(Setup!$C$14&gt;DAY(DATE(YEAR(Setup!$F$12),MONTH(Setup!$F$12)+ROUNDDOWN((ROW($A31)-ROW($A$6)-1)/EmpCount,0)+1,0)),DAY(DATE(YEAR(Setup!$F$12),MONTH(Setup!$F$12)+ROUNDDOWN((ROW($A31)-ROW($A$6)-1)/EmpCount,0)+1,0)),Setup!$C$14)))</f>
        <v>45041</v>
      </c>
      <c r="C31" s="101" t="str" cm="1">
        <f t="array" aca="1" ref="C31" ca="1">IF(ROW($A31)-ROW($A$6)&gt;EmpCount*12,"-",OFFSET(Emp!$A$4,ROW($A31)-ROW($A$6)-IF(ROW($A31)-ROW($A$6)&gt;EmpCount,ROUNDDOWN((ROW($A31)-ROW($A$6)-1)/EmpCount,0)*EmpCount,0),0,1,1))</f>
        <v>EXS010</v>
      </c>
      <c r="D31" s="10" t="str">
        <f ca="1">IF(ISNA(VLOOKUP($C31,EmpAll,COLUMN(Emp!$B$4),0)),"-",VLOOKUP($C31,EmpAll,COLUMN(Emp!$B$4),0))</f>
        <v>Lewis I</v>
      </c>
      <c r="E31" s="145" t="str">
        <f ca="1">IF(ISNA(VLOOKUP($C31,EmpAll,COLUMN(Emp!$C$4),0)),"-",VLOOKUP($C31,EmpAll,COLUMN(Emp!$C$4),0))</f>
        <v>A</v>
      </c>
      <c r="F31" s="101" t="str">
        <f ca="1">IF(ISNA(VLOOKUP($C31,EmpAll,COLUMN(Emp!$A$4),0)),"-",IF(AND(VLOOKUP($C31,EmpAll,COLUMN(Emp!$E$4),0)&lt;&gt;0,VLOOKUP($C31,EmpAll,COLUMN(Emp!$E$4),0)&gt;=DATE(YEAR($AC31),MONTH($AC31)+1,0)),"Inactive",IF(AND(VLOOKUP($C31,EmpAll,COLUMN(Emp!$F$4),0)&lt;&gt;0,VLOOKUP($C31,EmpAll,COLUMN(Emp!$F$4),0)&lt;=DATE(YEAR($AC31),MONTH($AC31),0)),"Terminated","Active")))</f>
        <v>Active</v>
      </c>
      <c r="G31" s="133" cm="1">
        <f t="array" aca="1" ref="G31" ca="1">IF($F31&lt;&gt;"Active",0,IF(COUNTIFS(OverEmp,$C31,OverEarn,G$2,OverDate,"&lt;"&amp;DATE(YEAR($AC31),MONTH($AC31)+1,1),OverEnd,"&gt;="&amp;DATE(YEAR($AC31),MONTH($AC31),1))&gt;0,SUMIFS(OverValue,OverEmp,$C31,OverEarn,G$2,OverDate,"&lt;"&amp;DATE(YEAR($AC31),MONTH($AC31)+1,1),OverEnd,"&gt;="&amp;DATE(YEAR($AC31),MONTH($AC31),1)),IF(AND($AC31&gt;=Setup!$E$10,SUMIFS(EmpIncrease,EmpCode,$C31)&gt;0),SUMIFS(EmpIncrease,EmpCode,$C31),SUMIFS(EmpSalary,EmpCode,$C31))))</f>
        <v>9000</v>
      </c>
      <c r="H31" s="133" cm="1">
        <f t="array" aca="1" ref="H31" ca="1">IF($F31&lt;&gt;"Active",0,IF(COUNTIFS(OverEmp,$C31,OverEarn,H$2,OverDate,"&lt;"&amp;DATE(YEAR($AC31),MONTH($AC31)+1,1),OverEnd,"&gt;="&amp;DATE(YEAR($AC31),MONTH($AC31),1))&gt;0,SUMIFS(OverValue,OverEmp,$C31,OverEarn,H$2,OverDate,"&lt;"&amp;DATE(YEAR($AC31),MONTH($AC31)+1,1),OverEnd,"&gt;="&amp;DATE(YEAR($AC31),MONTH($AC31),1)),0))</f>
        <v>0</v>
      </c>
      <c r="I31" s="133" cm="1">
        <f t="array" aca="1" ref="I31" ca="1">IF($F31&lt;&gt;"Active",0,IF(COUNTIFS(OverEmp,$C31,OverEarn,I$2,OverDate,"&lt;"&amp;DATE(YEAR($AC31),MONTH($AC31)+1,1),OverEnd,"&gt;="&amp;DATE(YEAR($AC31),MONTH($AC31),1))&gt;0,SUMIFS(OverValue,OverEmp,$C31,OverEarn,I$2,OverDate,"&lt;"&amp;DATE(YEAR($AC31),MONTH($AC31)+1,1),OverEnd,"&gt;="&amp;DATE(YEAR($AC31),MONTH($AC31),1)),IF(MONTH(B31)=Setup!$C$15,SUMIFS(EmpBonus,EmpCode,$C31),0)))</f>
        <v>0</v>
      </c>
      <c r="J31" s="133" cm="1">
        <f t="array" aca="1" ref="J31" ca="1">IF($F31&lt;&gt;"Active",0,IF(COUNTIFS(OverEmp,$C31,OverEarn,J$2,OverDate,"&lt;"&amp;DATE(YEAR($AC31),MONTH($AC31)+1,1),OverEnd,"&gt;="&amp;DATE(YEAR($AC31),MONTH($AC31),1))&gt;0,SUMIFS(OverValue,OverEmp,$C31,OverEarn,J$2,OverDate,"&lt;"&amp;DATE(YEAR($AC31),MONTH($AC31)+1,1),OverEnd,"&gt;="&amp;DATE(YEAR($AC31),MONTH($AC31),1)),0))</f>
        <v>0</v>
      </c>
      <c r="K31" s="133" cm="1">
        <f t="array" aca="1" ref="K31" ca="1">IF($F31&lt;&gt;"Active",0,IF(COUNTIFS(OverEmp,$C31,OverEarn,K$2,OverDate,"&lt;"&amp;DATE(YEAR($AC31),MONTH($AC31)+1,1),OverEnd,"&gt;="&amp;DATE(YEAR($AC31),MONTH($AC31),1))&gt;0,SUMIFS(OverValue,OverEmp,$C31,OverEarn,K$2,OverDate,"&lt;"&amp;DATE(YEAR($AC31),MONTH($AC31)+1,1),OverEnd,"&gt;="&amp;DATE(YEAR($AC31),MONTH($AC31),1)),0))</f>
        <v>0</v>
      </c>
      <c r="L31" s="185">
        <f t="shared" ca="1" si="0"/>
        <v>9000</v>
      </c>
      <c r="M31" s="182" cm="1">
        <f t="array" aca="1" ref="M31" ca="1">IF(COUNTIFS(OverEmp,$C31,OverTax,M$5,OverDate,"&lt;"&amp;DATE(YEAR($AC31),MONTH($AC31)+1,1),OverEnd,"&gt;="&amp;DATE(YEAR($AC31),MONTH($AC31),1))&gt;0,SUMIFS(OverValue,OverEmp,$C31,OverTax,M$5,OverDate,"&lt;"&amp;DATE(YEAR($AC31),MONTH($AC31)+1,1),OverEnd,"&gt;="&amp;DATE(YEAR($AC31),MONTH($AC31),1)),(($BA31/12*$AA31)+(BB31*IF(1-$BC31=0,0,BD31/(1-$BC31))))-IF($F31="Terminated",0,SUMIFS(PayTaxDeduct,PayDate,"&lt;"&amp;$AC31,PayEmp,$C31)))</f>
        <v>183.75</v>
      </c>
      <c r="N31" s="133" cm="1">
        <f t="array" aca="1" ref="N31" ca="1">IF($F31="Terminated",0,IF($AA31=0,0,IF(ISNA(MATCH(N$5,DedListItem,0)),0,IF(COUNTIFS(OverEmp,$C31,OverDeduct,N$5,OverDate,"&lt;"&amp;DATE(YEAR($AC31),MONTH($AC31)+1,1),OverEnd,"&gt;="&amp;DATE(YEAR($AC31),MONTH($AC31),1))&gt;0,SUMIFS(OverValue,OverEmp,$C31,OverDeduct,N$5,OverDate,"&lt;"&amp;DATE(YEAR($AC31),MONTH($AC31)+1,1),OverEnd,"&gt;="&amp;DATE(YEAR($AC31),MONTH($AC31),1)),IF(OR(N$2="Fixed",N$2="Not Used"),(IF(COUNTIFS(EmpNo,$C31,OFFSET(Emp!$R$4,1,MATCH(N$5,DedListItem,0)-1,EmpCount,1),"&lt;&gt;")&gt;0,VLOOKUP($C31,EmpAll,COLUMN(Emp!$R$4)+MATCH(N$5,DedListItem,0)-1,0),OFFSET(Setup!$E$73,MATCH(N$5,DedListItem,0),0,1,1))*$AA31)-SUMIFS(OFFSET(N$6,1,0,PayCount,1),PayDate,"&lt;"&amp;$AC31,PayEmp,$C31),IF(ISNA(MATCH(N$2,EarnListItem,0))=FALSE,IF(OFFSET(Setup!$G$73,MATCH(N$5,DedListItem,0),0,1,1)="Taxable",SUMPRODUCT((PayEmp=$C31)*(PayDate&lt;=$AC31)*(PayEarnCode=N$2)*(PayEarnTax)*(PayEarnValues)),SUMPRODUCT((PayEmp=$C31)*(PayDate&lt;=$AC31)*(PayEarnCode=N$2)*(PayEarnValues)))*IF(COUNTIFS(EmpNo,$C31,OFFSET(Emp!$R$4,1,MATCH(N$5,DedListItem,0)-1,EmpCount,1),"&lt;&gt;")&gt;0,VLOOKUP($C31,EmpAll,COLUMN(Emp!$R$4)+MATCH(N$5,DedListItem,0)-1,0),OFFSET(Setup!$E$73,MATCH(N$5,DedListItem,0),0,1,1)),(MIN(IF(OFFSET(Setup!$G$73,MATCH(N$5,DedListItem,0),0,1,1)="Taxable",SUMPRODUCT((PayEmp=$C31)*(PayDate&lt;=$AC31)*(ISERROR(SEARCH(PayEarnCode,N$4)))*(PayEarnTax)*(PayEarnValues)),SUMPRODUCT((PayEmp=$C31)*(PayDate&lt;=$AC31)*(ISERROR(SEARCH(PayEarnCode,N$4)))*(PayEarnValues))),IF(ISNUMBER(N$3),N$3/12*$AA31,IgnoreMin)))*IF(COUNTIFS(EmpNo,$C31,OFFSET(Emp!$R$4,1,MATCH(N$5,DedListItem,0)-1,EmpCount,1),"&lt;&gt;")&gt;0,VLOOKUP($C31,EmpAll,COLUMN(Emp!$R$4)+MATCH(N$5,DedListItem,0)-1,0),OFFSET(Setup!$E$73,MATCH(N$5,DedListItem,0),0,1,1)))-SUMIFS(OFFSET(N$6,1,0,PayCount,1),PayDate,"&lt;"&amp;$AC31,PayEmp,$C31))))))</f>
        <v>90</v>
      </c>
      <c r="O31" s="133" cm="1">
        <f t="array" aca="1" ref="O31" ca="1">IF($F31="Terminated",0,IF($AA31=0,0,IF(ISNA(MATCH(O$5,DedListItem,0)),0,IF(COUNTIFS(OverEmp,$C31,OverDeduct,O$5,OverDate,"&lt;"&amp;DATE(YEAR($AC31),MONTH($AC31)+1,1),OverEnd,"&gt;="&amp;DATE(YEAR($AC31),MONTH($AC31),1))&gt;0,SUMIFS(OverValue,OverEmp,$C31,OverDeduct,O$5,OverDate,"&lt;"&amp;DATE(YEAR($AC31),MONTH($AC31)+1,1),OverEnd,"&gt;="&amp;DATE(YEAR($AC31),MONTH($AC31),1)),IF(OR(O$2="Fixed",O$2="Not Used"),(IF(COUNTIFS(EmpNo,$C31,OFFSET(Emp!$R$4,1,MATCH(O$5,DedListItem,0)-1,EmpCount,1),"&lt;&gt;")&gt;0,VLOOKUP($C31,EmpAll,COLUMN(Emp!$R$4)+MATCH(O$5,DedListItem,0)-1,0),OFFSET(Setup!$E$73,MATCH(O$5,DedListItem,0),0,1,1))*$AA31)-SUMIFS(OFFSET(O$6,1,0,PayCount,1),PayDate,"&lt;"&amp;$AC31,PayEmp,$C31),IF(ISNA(MATCH(O$2,EarnListItem,0))=FALSE,IF(OFFSET(Setup!$G$73,MATCH(O$5,DedListItem,0),0,1,1)="Taxable",SUMPRODUCT((PayEmp=$C31)*(PayDate&lt;=$AC31)*(PayEarnCode=O$2)*(PayEarnTax)*(PayEarnValues)),SUMPRODUCT((PayEmp=$C31)*(PayDate&lt;=$AC31)*(PayEarnCode=O$2)*(PayEarnValues)))*IF(COUNTIFS(EmpNo,$C31,OFFSET(Emp!$R$4,1,MATCH(O$5,DedListItem,0)-1,EmpCount,1),"&lt;&gt;")&gt;0,VLOOKUP($C31,EmpAll,COLUMN(Emp!$R$4)+MATCH(O$5,DedListItem,0)-1,0),OFFSET(Setup!$E$73,MATCH(O$5,DedListItem,0),0,1,1)),(MIN(IF(OFFSET(Setup!$G$73,MATCH(O$5,DedListItem,0),0,1,1)="Taxable",SUMPRODUCT((PayEmp=$C31)*(PayDate&lt;=$AC31)*(ISERROR(SEARCH(PayEarnCode,O$4)))*(PayEarnTax)*(PayEarnValues)),SUMPRODUCT((PayEmp=$C31)*(PayDate&lt;=$AC31)*(ISERROR(SEARCH(PayEarnCode,O$4)))*(PayEarnValues))),IF(ISNUMBER(O$3),O$3/12*$AA31,IgnoreMin)))*IF(COUNTIFS(EmpNo,$C31,OFFSET(Emp!$R$4,1,MATCH(O$5,DedListItem,0)-1,EmpCount,1),"&lt;&gt;")&gt;0,VLOOKUP($C31,EmpAll,COLUMN(Emp!$R$4)+MATCH(O$5,DedListItem,0)-1,0),OFFSET(Setup!$E$73,MATCH(O$5,DedListItem,0),0,1,1)))-SUMIFS(OFFSET(O$6,1,0,PayCount,1),PayDate,"&lt;"&amp;$AC31,PayEmp,$C31))))))</f>
        <v>0</v>
      </c>
      <c r="P31" s="133" cm="1">
        <f t="array" aca="1" ref="P31" ca="1">IF($F31="Terminated",0,IF($AA31=0,0,IF(ISNA(MATCH(P$5,DedListItem,0)),0,IF(COUNTIFS(OverEmp,$C31,OverDeduct,P$5,OverDate,"&lt;"&amp;DATE(YEAR($AC31),MONTH($AC31)+1,1),OverEnd,"&gt;="&amp;DATE(YEAR($AC31),MONTH($AC31),1))&gt;0,SUMIFS(OverValue,OverEmp,$C31,OverDeduct,P$5,OverDate,"&lt;"&amp;DATE(YEAR($AC31),MONTH($AC31)+1,1),OverEnd,"&gt;="&amp;DATE(YEAR($AC31),MONTH($AC31),1)),IF(OR(P$2="Fixed",P$2="Not Used"),(IF(COUNTIFS(EmpNo,$C31,OFFSET(Emp!$R$4,1,MATCH(P$5,DedListItem,0)-1,EmpCount,1),"&lt;&gt;")&gt;0,VLOOKUP($C31,EmpAll,COLUMN(Emp!$R$4)+MATCH(P$5,DedListItem,0)-1,0),OFFSET(Setup!$E$73,MATCH(P$5,DedListItem,0),0,1,1))*$AA31)-SUMIFS(OFFSET(P$6,1,0,PayCount,1),PayDate,"&lt;"&amp;$AC31,PayEmp,$C31),IF(ISNA(MATCH(P$2,EarnListItem,0))=FALSE,IF(OFFSET(Setup!$G$73,MATCH(P$5,DedListItem,0),0,1,1)="Taxable",SUMPRODUCT((PayEmp=$C31)*(PayDate&lt;=$AC31)*(PayEarnCode=P$2)*(PayEarnTax)*(PayEarnValues)),SUMPRODUCT((PayEmp=$C31)*(PayDate&lt;=$AC31)*(PayEarnCode=P$2)*(PayEarnValues)))*IF(COUNTIFS(EmpNo,$C31,OFFSET(Emp!$R$4,1,MATCH(P$5,DedListItem,0)-1,EmpCount,1),"&lt;&gt;")&gt;0,VLOOKUP($C31,EmpAll,COLUMN(Emp!$R$4)+MATCH(P$5,DedListItem,0)-1,0),OFFSET(Setup!$E$73,MATCH(P$5,DedListItem,0),0,1,1)),(MIN(IF(OFFSET(Setup!$G$73,MATCH(P$5,DedListItem,0),0,1,1)="Taxable",SUMPRODUCT((PayEmp=$C31)*(PayDate&lt;=$AC31)*(ISERROR(SEARCH(PayEarnCode,P$4)))*(PayEarnTax)*(PayEarnValues)),SUMPRODUCT((PayEmp=$C31)*(PayDate&lt;=$AC31)*(ISERROR(SEARCH(PayEarnCode,P$4)))*(PayEarnValues))),IF(ISNUMBER(P$3),P$3/12*$AA31,IgnoreMin)))*IF(COUNTIFS(EmpNo,$C31,OFFSET(Emp!$R$4,1,MATCH(P$5,DedListItem,0)-1,EmpCount,1),"&lt;&gt;")&gt;0,VLOOKUP($C31,EmpAll,COLUMN(Emp!$R$4)+MATCH(P$5,DedListItem,0)-1,0),OFFSET(Setup!$E$73,MATCH(P$5,DedListItem,0),0,1,1)))-SUMIFS(OFFSET(P$6,1,0,PayCount,1),PayDate,"&lt;"&amp;$AC31,PayEmp,$C31))))))</f>
        <v>0</v>
      </c>
      <c r="Q31" s="133" cm="1">
        <f t="array" aca="1" ref="Q31" ca="1">IF($F31="Terminated",0,IF($AA31=0,0,IF(ISNA(MATCH(Q$5,DedListItem,0)),0,IF(COUNTIFS(OverEmp,$C31,OverDeduct,Q$5,OverDate,"&lt;"&amp;DATE(YEAR($AC31),MONTH($AC31)+1,1),OverEnd,"&gt;="&amp;DATE(YEAR($AC31),MONTH($AC31),1))&gt;0,SUMIFS(OverValue,OverEmp,$C31,OverDeduct,Q$5,OverDate,"&lt;"&amp;DATE(YEAR($AC31),MONTH($AC31)+1,1),OverEnd,"&gt;="&amp;DATE(YEAR($AC31),MONTH($AC31),1)),IF(OR(Q$2="Fixed",Q$2="Not Used"),(IF(COUNTIFS(EmpNo,$C31,OFFSET(Emp!$R$4,1,MATCH(Q$5,DedListItem,0)-1,EmpCount,1),"&lt;&gt;")&gt;0,VLOOKUP($C31,EmpAll,COLUMN(Emp!$R$4)+MATCH(Q$5,DedListItem,0)-1,0),OFFSET(Setup!$E$73,MATCH(Q$5,DedListItem,0),0,1,1))*$AA31)-SUMIFS(OFFSET(Q$6,1,0,PayCount,1),PayDate,"&lt;"&amp;$AC31,PayEmp,$C31),IF(ISNA(MATCH(Q$2,EarnListItem,0))=FALSE,IF(OFFSET(Setup!$G$73,MATCH(Q$5,DedListItem,0),0,1,1)="Taxable",SUMPRODUCT((PayEmp=$C31)*(PayDate&lt;=$AC31)*(PayEarnCode=Q$2)*(PayEarnTax)*(PayEarnValues)),SUMPRODUCT((PayEmp=$C31)*(PayDate&lt;=$AC31)*(PayEarnCode=Q$2)*(PayEarnValues)))*IF(COUNTIFS(EmpNo,$C31,OFFSET(Emp!$R$4,1,MATCH(Q$5,DedListItem,0)-1,EmpCount,1),"&lt;&gt;")&gt;0,VLOOKUP($C31,EmpAll,COLUMN(Emp!$R$4)+MATCH(Q$5,DedListItem,0)-1,0),OFFSET(Setup!$E$73,MATCH(Q$5,DedListItem,0),0,1,1)),(MIN(IF(OFFSET(Setup!$G$73,MATCH(Q$5,DedListItem,0),0,1,1)="Taxable",SUMPRODUCT((PayEmp=$C31)*(PayDate&lt;=$AC31)*(ISERROR(SEARCH(PayEarnCode,Q$4)))*(PayEarnTax)*(PayEarnValues)),SUMPRODUCT((PayEmp=$C31)*(PayDate&lt;=$AC31)*(ISERROR(SEARCH(PayEarnCode,Q$4)))*(PayEarnValues))),IF(ISNUMBER(Q$3),Q$3/12*$AA31,IgnoreMin)))*IF(COUNTIFS(EmpNo,$C31,OFFSET(Emp!$R$4,1,MATCH(Q$5,DedListItem,0)-1,EmpCount,1),"&lt;&gt;")&gt;0,VLOOKUP($C31,EmpAll,COLUMN(Emp!$R$4)+MATCH(Q$5,DedListItem,0)-1,0),OFFSET(Setup!$E$73,MATCH(Q$5,DedListItem,0),0,1,1)))-SUMIFS(OFFSET(Q$6,1,0,PayCount,1),PayDate,"&lt;"&amp;$AC31,PayEmp,$C31))))))</f>
        <v>0</v>
      </c>
      <c r="R31" s="185">
        <f t="shared" ca="1" si="1"/>
        <v>273.75</v>
      </c>
      <c r="S31" s="139">
        <f t="shared" ca="1" si="2"/>
        <v>8726.25</v>
      </c>
      <c r="T31" s="133" cm="1">
        <f t="array" aca="1" ref="T31" ca="1">IF($F31="Terminated",0,IF($AA31=0,0,IF(ISNA(MATCH(T$5,CompListItem,0)),0,IF(COUNTIFS(OverEmp,$C31,OverComp,T$5,OverDate,"&lt;"&amp;DATE(YEAR($AC31),MONTH($AC31)+1,1),OverEnd,"&gt;="&amp;DATE(YEAR($AC31),MONTH($AC31),1))&gt;0,SUMIFS(OverValue,OverEmp,$C31,OverComp,T$5,OverDate,"&lt;"&amp;DATE(YEAR($AC31),MONTH($AC31)+1,1),OverEnd,"&gt;="&amp;DATE(YEAR($AC31),MONTH($AC31),1)),IF(OR(T$2="Fixed",T$2="Not Used"),(OFFSET(Setup!$E$81,MATCH(T$5,CompListItem,0),0,1,1)*$AA31)-SUMIFS(OFFSET(T$6,1,0,PayCount,1),PayDate,"&lt;"&amp;$AC31,PayEmp,$C31),IF(ISNA(MATCH(T$2,DedListItem,0))=FALSE,(SUMPRODUCT((PayEmp=$C31)*(PayDate&lt;=$AC31)*(PayDedList=T$2)*(PayDedValues))*OFFSET(Setup!$E$81,MATCH(T$5,CompListItem,0),0,1,1))-SUMIFS(OFFSET(T$6,1,0,PayCount,1),PayDate,"&lt;"&amp;$AC31,PayEmp,$C31),(MIN(IF(OFFSET(Setup!$G$81,MATCH(T$5,CompListItem,0),0,1,1)="Taxable",SUMPRODUCT((PayEmp=$C31)*(PayDate&lt;=$AC31)*(ISERROR(SEARCH(PayEarnCode,T$4)))*(PayEarnTax)*(PayEarnValues)),SUMPRODUCT((PayEmp=$C31)*(PayDate&lt;=$AC31)*(ISERROR(SEARCH(PayEarnCode,T$4)))*(PayEarnValues))),IF(ISNUMBER(T$3),T$3/12*$AA31,IgnoreMin)))*OFFSET(Setup!$E$81,MATCH(T$5,CompListItem,0),0,1,1)-SUMIFS(OFFSET(T$6,1,0,PayCount,1),PayDate,"&lt;"&amp;$AC31,PayEmp,$C31)))))))</f>
        <v>90</v>
      </c>
      <c r="U31" s="133" cm="1">
        <f t="array" aca="1" ref="U31" ca="1">IF($F31="Terminated",0,IF($AA31=0,0,IF(ISNA(MATCH(U$5,CompListItem,0)),0,IF(COUNTIFS(OverEmp,$C31,OverComp,U$5,OverDate,"&lt;"&amp;DATE(YEAR($AC31),MONTH($AC31)+1,1),OverEnd,"&gt;="&amp;DATE(YEAR($AC31),MONTH($AC31),1))&gt;0,SUMIFS(OverValue,OverEmp,$C31,OverComp,U$5,OverDate,"&lt;"&amp;DATE(YEAR($AC31),MONTH($AC31)+1,1),OverEnd,"&gt;="&amp;DATE(YEAR($AC31),MONTH($AC31),1)),IF(OR(U$2="Fixed",U$2="Not Used"),(OFFSET(Setup!$E$81,MATCH(U$5,CompListItem,0),0,1,1)*$AA31)-SUMIFS(OFFSET(U$6,1,0,PayCount,1),PayDate,"&lt;"&amp;$AC31,PayEmp,$C31),IF(ISNA(MATCH(U$2,DedListItem,0))=FALSE,(SUMPRODUCT((PayEmp=$C31)*(PayDate&lt;=$AC31)*(PayDedList=U$2)*(PayDedValues))*OFFSET(Setup!$E$81,MATCH(U$5,CompListItem,0),0,1,1))-SUMIFS(OFFSET(U$6,1,0,PayCount,1),PayDate,"&lt;"&amp;$AC31,PayEmp,$C31),(MIN(IF(OFFSET(Setup!$G$81,MATCH(U$5,CompListItem,0),0,1,1)="Taxable",SUMPRODUCT((PayEmp=$C31)*(PayDate&lt;=$AC31)*(ISERROR(SEARCH(PayEarnCode,U$4)))*(PayEarnTax)*(PayEarnValues)),SUMPRODUCT((PayEmp=$C31)*(PayDate&lt;=$AC31)*(ISERROR(SEARCH(PayEarnCode,U$4)))*(PayEarnValues))),IF(ISNUMBER(U$3),U$3/12*$AA31,IgnoreMin)))*OFFSET(Setup!$E$81,MATCH(U$5,CompListItem,0),0,1,1)-SUMIFS(OFFSET(U$6,1,0,PayCount,1),PayDate,"&lt;"&amp;$AC31,PayEmp,$C31)))))))</f>
        <v>90</v>
      </c>
      <c r="V31" s="133" cm="1">
        <f t="array" aca="1" ref="V31" ca="1">IF($F31="Terminated",0,IF($AA31=0,0,IF(ISNA(MATCH(V$5,CompListItem,0)),0,IF(COUNTIFS(OverEmp,$C31,OverComp,V$5,OverDate,"&lt;"&amp;DATE(YEAR($AC31),MONTH($AC31)+1,1),OverEnd,"&gt;="&amp;DATE(YEAR($AC31),MONTH($AC31),1))&gt;0,SUMIFS(OverValue,OverEmp,$C31,OverComp,V$5,OverDate,"&lt;"&amp;DATE(YEAR($AC31),MONTH($AC31)+1,1),OverEnd,"&gt;="&amp;DATE(YEAR($AC31),MONTH($AC31),1)),IF(OR(V$2="Fixed",V$2="Not Used"),(OFFSET(Setup!$E$81,MATCH(V$5,CompListItem,0),0,1,1)*$AA31)-SUMIFS(OFFSET(V$6,1,0,PayCount,1),PayDate,"&lt;"&amp;$AC31,PayEmp,$C31),IF(ISNA(MATCH(V$2,DedListItem,0))=FALSE,(SUMPRODUCT((PayEmp=$C31)*(PayDate&lt;=$AC31)*(PayDedList=V$2)*(PayDedValues))*OFFSET(Setup!$E$81,MATCH(V$5,CompListItem,0),0,1,1))-SUMIFS(OFFSET(V$6,1,0,PayCount,1),PayDate,"&lt;"&amp;$AC31,PayEmp,$C31),(MIN(IF(OFFSET(Setup!$G$81,MATCH(V$5,CompListItem,0),0,1,1)="Taxable",SUMPRODUCT((PayEmp=$C31)*(PayDate&lt;=$AC31)*(ISERROR(SEARCH(PayEarnCode,V$4)))*(PayEarnTax)*(PayEarnValues)),SUMPRODUCT((PayEmp=$C31)*(PayDate&lt;=$AC31)*(ISERROR(SEARCH(PayEarnCode,V$4)))*(PayEarnValues))),IF(ISNUMBER(V$3),V$3/12*$AA31,IgnoreMin)))*OFFSET(Setup!$E$81,MATCH(V$5,CompListItem,0),0,1,1)-SUMIFS(OFFSET(V$6,1,0,PayCount,1),PayDate,"&lt;"&amp;$AC31,PayEmp,$C31)))))))</f>
        <v>0</v>
      </c>
      <c r="W31" s="133" cm="1">
        <f t="array" aca="1" ref="W31" ca="1">IF($F31="Terminated",0,IF($AA31=0,0,IF(ISNA(MATCH(W$5,CompListItem,0)),0,IF(COUNTIFS(OverEmp,$C31,OverComp,W$5,OverDate,"&lt;"&amp;DATE(YEAR($AC31),MONTH($AC31)+1,1),OverEnd,"&gt;="&amp;DATE(YEAR($AC31),MONTH($AC31),1))&gt;0,SUMIFS(OverValue,OverEmp,$C31,OverComp,W$5,OverDate,"&lt;"&amp;DATE(YEAR($AC31),MONTH($AC31)+1,1),OverEnd,"&gt;="&amp;DATE(YEAR($AC31),MONTH($AC31),1)),IF(OR(W$2="Fixed",W$2="Not Used"),(OFFSET(Setup!$E$81,MATCH(W$5,CompListItem,0),0,1,1)*$AA31)-SUMIFS(OFFSET(W$6,1,0,PayCount,1),PayDate,"&lt;"&amp;$AC31,PayEmp,$C31),IF(ISNA(MATCH(W$2,DedListItem,0))=FALSE,(SUMPRODUCT((PayEmp=$C31)*(PayDate&lt;=$AC31)*(PayDedList=W$2)*(PayDedValues))*OFFSET(Setup!$E$81,MATCH(W$5,CompListItem,0),0,1,1))-SUMIFS(OFFSET(W$6,1,0,PayCount,1),PayDate,"&lt;"&amp;$AC31,PayEmp,$C31),(MIN(IF(OFFSET(Setup!$G$81,MATCH(W$5,CompListItem,0),0,1,1)="Taxable",SUMPRODUCT((PayEmp=$C31)*(PayDate&lt;=$AC31)*(ISERROR(SEARCH(PayEarnCode,W$4)))*(PayEarnTax)*(PayEarnValues)),SUMPRODUCT((PayEmp=$C31)*(PayDate&lt;=$AC31)*(ISERROR(SEARCH(PayEarnCode,W$4)))*(PayEarnValues))),IF(ISNUMBER(W$3),W$3/12*$AA31,IgnoreMin)))*OFFSET(Setup!$E$81,MATCH(W$5,CompListItem,0),0,1,1)-SUMIFS(OFFSET(W$6,1,0,PayCount,1),PayDate,"&lt;"&amp;$AC31,PayEmp,$C31)))))))</f>
        <v>0</v>
      </c>
      <c r="X31" s="185">
        <f t="shared" ca="1" si="3"/>
        <v>180</v>
      </c>
      <c r="Y31" s="139">
        <f t="shared" ca="1" si="4"/>
        <v>9180</v>
      </c>
      <c r="Z31" s="139">
        <f t="shared" ca="1" si="5"/>
        <v>453.75</v>
      </c>
      <c r="AA31" s="146">
        <f ca="1">IF(OR($B31&lt;=Setup!$E$12,$B31&gt;=Setup!$D$12+1),0,IF($F31&lt;&gt;"Active",0,IF($AE31="Yes",$AB31,((YEAR($AC31)*12)+MONTH($AC31))-((YEAR($AD31)*12)+MONTH($AD31)-1))))</f>
        <v>2</v>
      </c>
      <c r="AB31" s="146">
        <f ca="1">IF(OR($B31&lt;=Setup!$E$12,$B31&gt;=Setup!$D$12+1),0,((YEAR($AC31)*12)+MONTH($AC31))-((YEAR(Setup!$E$12)*12)+MONTH(Setup!$E$12)))</f>
        <v>2</v>
      </c>
      <c r="AC31" s="186">
        <f t="shared" ca="1" si="6"/>
        <v>45041</v>
      </c>
      <c r="AD31" s="144">
        <f ca="1">IF(ISNA(VLOOKUP($C31,EmpAll,COLUMN(Emp!$E$4),0)),$AC31,IF(VLOOKUP($C31,EmpAll,COLUMN(Emp!$E$4),0)&lt;=Setup!$E$12,DATE(YEAR(Setup!$E$12),MONTH(Setup!$E$12)+1,1),VLOOKUP($C31,EmpAll,COLUMN(Emp!$E$4),0)))</f>
        <v>44986</v>
      </c>
      <c r="AE31" s="144" t="str">
        <f ca="1">IF(ISNA(VLOOKUP($C31,EmpAll,COLUMN(Emp!$G$1),0)),"-",IF(VLOOKUP($C31,EmpAll,COLUMN(Emp!$G$1),0)=0,"-",VLOOKUP($C31,EmpAll,COLUMN(Emp!$G$1),0)))</f>
        <v>-</v>
      </c>
      <c r="AF31" s="145">
        <f ca="1">IF(A31=PaySlip!$G$3,1,0)</f>
        <v>0</v>
      </c>
      <c r="AG31" s="130" cm="1">
        <f t="array" aca="1" ref="AG31" ca="1">IF(COUNTIFS(OverEmp,$C31,OverMed,"MED",OverDate,"&lt;"&amp;DATE(YEAR($AC31),MONTH($AC31)+1,1),OverEnd,"&gt;="&amp;DATE(YEAR($AC31),MONTH($AC31),1))&gt;0,SUMIFS(OverValue,OverEmp,$C31,OverMed,"MED",OverDate,"&lt;"&amp;DATE(YEAR($AC31),MONTH($AC31)+1,1),OverEnd,"&gt;="&amp;DATE(YEAR($AC31),MONTH($AC31),1)),IF(ISNA(VLOOKUP($C31,EmpAll,COLUMN(Emp!$N$4),0)),0,VLOOKUP($C31,EmpAll,COLUMN(Emp!$N$4),0)))</f>
        <v>0</v>
      </c>
      <c r="AH31" s="146">
        <f ca="1">VLOOKUP($AG31,MedList,COLUMN(Setup!$C$49),1)</f>
        <v>0</v>
      </c>
      <c r="AI31" s="146">
        <f t="shared" ca="1" si="7"/>
        <v>0</v>
      </c>
      <c r="AJ31" s="101" t="str">
        <f ca="1">IF(ISNA(VLOOKUP($C31,EmpAll,COLUMN(Emp!$L$4),0)),"None!",VLOOKUP($C31,EmpAll,COLUMN(Emp!$L$4),0))</f>
        <v>A</v>
      </c>
      <c r="AK31" s="147">
        <f t="shared" ca="1" si="8"/>
        <v>17235</v>
      </c>
      <c r="AL31" s="101" t="str">
        <f ca="1">IF(ISNA(VLOOKUP($C31,Employees[],COLUMN(Emp!$M$4),0))=TRUE,"Error!",IF(VLOOKUP($C31,Employees[],COLUMN(Emp!$M$4),0)=0,"Yes",VLOOKUP($C31,Employees[],COLUMN(Emp!$M$4),0)))</f>
        <v>A</v>
      </c>
      <c r="AM31" s="148">
        <f t="shared" ca="1" si="9"/>
        <v>108000</v>
      </c>
      <c r="AN31" s="148" cm="1">
        <f t="array" aca="1" ref="AN31" ca="1">-IF($F31="Terminated",0,IF($AA31=0,0,IF(ISNA(MATCH(AN$5,PayDedList,0)),0,MIN(IF(COUNTIFS(OverEmp,$C31,OverDeduct,AN$5,OverDate,"&lt;"&amp;DATE(YEAR($AC31),MONTH($AC31)+1,1),OverEnd,"&gt;="&amp;DATE(YEAR($AC31),MONTH($AC31),1))&gt;0,SUMPRODUCT((PayEmp=$C31)*(PayDate&lt;=$AC31)*(OFFSET($N$6,1,MATCH(AN$5,PayDedList,0)-1,PayCount,1)))/$AA31*12*AN$3,IF(OR(AN$1="Fixed",AN$1="Not Used"),SUMPRODUCT((PayEmp=$C31)*(PayDate&lt;=$AC31)*(OFFSET($N$6,1,MATCH(AN$5,PayDedList,0)-1,PayCount,1)))/$AA31*12*AN$3,IF(ISNA(MATCH(AN$1,EarnListItem,0))=FALSE,SUMPRODUCT((PayEmp=$C31)*(PayDate&lt;=$AC31)*(OFFSET($N$6,1,MATCH(AN$5,PayDedList,0)-1,PayCount,1)))/$AA31*12*AN$3,(MIN(((SUMPRODUCT((PayEmp=$C31)*(PayDate&lt;=$AC31)*(ISERROR(SEARCH(PayEarnCode,AN$2)))*(PayEarnType="Monthly")*(PayEarnValues))/$AA31*12)+(SUMPRODUCT((PayEmp=$C31)*(PayDate&lt;=$AC31)*(ISERROR(SEARCH(PayEarnCode,AN$2)))*(PayEarnType="Quarterly")*(PayEarnValues))/MAX(1,ROUNDDOWN($AB31/3,0))*4)+(SUMPRODUCT((PayEmp=$C31)*(PayDate&lt;=$AC31)*(ISERROR(SEARCH(PayEarnCode,AN$2)))*(PayEarnType="Bi-Annual")*(PayEarnValues))/MAX(1,ROUNDDOWN($AB31/6,0))*2)+(SUMPRODUCT((PayEmp=$C31)*(PayDate&lt;=$AC31)*(ISERROR(SEARCH(PayEarnCode,AN$2)))*(PayEarnType="Annual")*(PayEarnValues)))),IF(ISNUMBER(OFFSET($N$3,0,MATCH(AN$5,PayDedList,0)-1,1,1)),OFFSET($N$3,0,MATCH(AN$5,PayDedList,0)-1,1,1),IgnoreMin)))*IF(COUNTIFS(EmpNo,$C31,OFFSET(Emp!$R$4,1,MATCH(AN$5,DedListItem,0)-1,EmpCount,1),"&lt;&gt;")&gt;0,VLOOKUP($C31,EmpAll,COLUMN(Emp!$R$4)+MATCH(AN$5,DedListItem,0)-1,0),OFFSET(Setup!$E$73,MATCH(AN$5,DedListItem,0),0,1,1))*AN$3))),IF(ISNUMBER(AN$4),AN$4,IgnoreMin)))))</f>
        <v>0</v>
      </c>
      <c r="AO31" s="148" cm="1">
        <f t="array" aca="1" ref="AO31" ca="1">-IF($F31="Terminated",0,IF($AA31=0,0,IF(ISNA(MATCH(AO$5,PayDedList,0)),0,MIN(IF(COUNTIFS(OverEmp,$C31,OverDeduct,AO$5,OverDate,"&lt;"&amp;DATE(YEAR($AC31),MONTH($AC31)+1,1),OverEnd,"&gt;="&amp;DATE(YEAR($AC31),MONTH($AC31),1))&gt;0,SUMPRODUCT((PayEmp=$C31)*(PayDate&lt;=$AC31)*(OFFSET($N$6,1,MATCH(AO$5,PayDedList,0)-1,PayCount,1)))/$AA31*12*AO$3,IF(OR(AO$1="Fixed",AO$1="Not Used"),SUMPRODUCT((PayEmp=$C31)*(PayDate&lt;=$AC31)*(OFFSET($N$6,1,MATCH(AO$5,PayDedList,0)-1,PayCount,1)))/$AA31*12*AO$3,IF(ISNA(MATCH(AO$1,EarnListItem,0))=FALSE,SUMPRODUCT((PayEmp=$C31)*(PayDate&lt;=$AC31)*(OFFSET($N$6,1,MATCH(AO$5,PayDedList,0)-1,PayCount,1)))/$AA31*12*AO$3,(MIN(((SUMPRODUCT((PayEmp=$C31)*(PayDate&lt;=$AC31)*(ISERROR(SEARCH(PayEarnCode,AO$2)))*(PayEarnType="Monthly")*(PayEarnValues))/$AA31*12)+(SUMPRODUCT((PayEmp=$C31)*(PayDate&lt;=$AC31)*(ISERROR(SEARCH(PayEarnCode,AO$2)))*(PayEarnType="Quarterly")*(PayEarnValues))/MAX(1,ROUNDDOWN($AB31/3,0))*4)+(SUMPRODUCT((PayEmp=$C31)*(PayDate&lt;=$AC31)*(ISERROR(SEARCH(PayEarnCode,AO$2)))*(PayEarnType="Bi-Annual")*(PayEarnValues))/MAX(1,ROUNDDOWN($AB31/6,0))*2)+(SUMPRODUCT((PayEmp=$C31)*(PayDate&lt;=$AC31)*(ISERROR(SEARCH(PayEarnCode,AO$2)))*(PayEarnType="Annual")*(PayEarnValues)))),IF(ISNUMBER(OFFSET($N$3,0,MATCH(AO$5,PayDedList,0)-1,1,1)),OFFSET($N$3,0,MATCH(AO$5,PayDedList,0)-1,1,1),IgnoreMin)))*IF(COUNTIFS(EmpNo,$C31,OFFSET(Emp!$R$4,1,MATCH(AO$5,DedListItem,0)-1,EmpCount,1),"&lt;&gt;")&gt;0,VLOOKUP($C31,EmpAll,COLUMN(Emp!$R$4)+MATCH(AO$5,DedListItem,0)-1,0),OFFSET(Setup!$E$73,MATCH(AO$5,DedListItem,0),0,1,1))*AO$3))),IF(ISNUMBER(AO$4),AO$4,IgnoreMin)))))</f>
        <v>0</v>
      </c>
      <c r="AP31" s="148" cm="1">
        <f t="array" aca="1" ref="AP31" ca="1">-IF($F31="Terminated",0,IF($AA31=0,0,IF(ISNA(MATCH(AP$5,PayDedList,0)),0,MIN(IF(COUNTIFS(OverEmp,$C31,OverDeduct,AP$5,OverDate,"&lt;"&amp;DATE(YEAR($AC31),MONTH($AC31)+1,1),OverEnd,"&gt;="&amp;DATE(YEAR($AC31),MONTH($AC31),1))&gt;0,SUMPRODUCT((PayEmp=$C31)*(PayDate&lt;=$AC31)*(OFFSET($N$6,1,MATCH(AP$5,PayDedList,0)-1,PayCount,1)))/$AA31*12*AP$3,IF(OR(AP$1="Fixed",AP$1="Not Used"),SUMPRODUCT((PayEmp=$C31)*(PayDate&lt;=$AC31)*(OFFSET($N$6,1,MATCH(AP$5,PayDedList,0)-1,PayCount,1)))/$AA31*12*AP$3,IF(ISNA(MATCH(AP$1,EarnListItem,0))=FALSE,SUMPRODUCT((PayEmp=$C31)*(PayDate&lt;=$AC31)*(OFFSET($N$6,1,MATCH(AP$5,PayDedList,0)-1,PayCount,1)))/$AA31*12*AP$3,(MIN(((SUMPRODUCT((PayEmp=$C31)*(PayDate&lt;=$AC31)*(ISERROR(SEARCH(PayEarnCode,AP$2)))*(PayEarnType="Monthly")*(PayEarnValues))/$AA31*12)+(SUMPRODUCT((PayEmp=$C31)*(PayDate&lt;=$AC31)*(ISERROR(SEARCH(PayEarnCode,AP$2)))*(PayEarnType="Quarterly")*(PayEarnValues))/MAX(1,ROUNDDOWN($AB31/3,0))*4)+(SUMPRODUCT((PayEmp=$C31)*(PayDate&lt;=$AC31)*(ISERROR(SEARCH(PayEarnCode,AP$2)))*(PayEarnType="Bi-Annual")*(PayEarnValues))/MAX(1,ROUNDDOWN($AB31/6,0))*2)+(SUMPRODUCT((PayEmp=$C31)*(PayDate&lt;=$AC31)*(ISERROR(SEARCH(PayEarnCode,AP$2)))*(PayEarnType="Annual")*(PayEarnValues)))),IF(ISNUMBER(OFFSET($N$3,0,MATCH(AP$5,PayDedList,0)-1,1,1)),OFFSET($N$3,0,MATCH(AP$5,PayDedList,0)-1,1,1),IgnoreMin)))*IF(COUNTIFS(EmpNo,$C31,OFFSET(Emp!$R$4,1,MATCH(AP$5,DedListItem,0)-1,EmpCount,1),"&lt;&gt;")&gt;0,VLOOKUP($C31,EmpAll,COLUMN(Emp!$R$4)+MATCH(AP$5,DedListItem,0)-1,0),OFFSET(Setup!$E$73,MATCH(AP$5,DedListItem,0),0,1,1))*AP$3))),IF(ISNUMBER(AP$4),AP$4,IgnoreMin)))))</f>
        <v>0</v>
      </c>
      <c r="AQ31" s="148" cm="1">
        <f t="array" aca="1" ref="AQ31" ca="1">-IF($F31="Terminated",0,IF($AA31=0,0,IF(ISNA(MATCH(AQ$5,PayDedList,0)),0,MIN(IF(COUNTIFS(OverEmp,$C31,OverDeduct,AQ$5,OverDate,"&lt;"&amp;DATE(YEAR($AC31),MONTH($AC31)+1,1),OverEnd,"&gt;="&amp;DATE(YEAR($AC31),MONTH($AC31),1))&gt;0,SUMPRODUCT((PayEmp=$C31)*(PayDate&lt;=$AC31)*(OFFSET($N$6,1,MATCH(AQ$5,PayDedList,0)-1,PayCount,1)))/$AA31*12*AQ$3,IF(OR(AQ$1="Fixed",AQ$1="Not Used"),SUMPRODUCT((PayEmp=$C31)*(PayDate&lt;=$AC31)*(OFFSET($N$6,1,MATCH(AQ$5,PayDedList,0)-1,PayCount,1)))/$AA31*12*AQ$3,IF(ISNA(MATCH(AQ$1,EarnListItem,0))=FALSE,SUMPRODUCT((PayEmp=$C31)*(PayDate&lt;=$AC31)*(OFFSET($N$6,1,MATCH(AQ$5,PayDedList,0)-1,PayCount,1)))/$AA31*12*AQ$3,(MIN(((SUMPRODUCT((PayEmp=$C31)*(PayDate&lt;=$AC31)*(ISERROR(SEARCH(PayEarnCode,AQ$2)))*(PayEarnType="Monthly")*(PayEarnValues))/$AA31*12)+(SUMPRODUCT((PayEmp=$C31)*(PayDate&lt;=$AC31)*(ISERROR(SEARCH(PayEarnCode,AQ$2)))*(PayEarnType="Quarterly")*(PayEarnValues))/MAX(1,ROUNDDOWN($AB31/3,0))*4)+(SUMPRODUCT((PayEmp=$C31)*(PayDate&lt;=$AC31)*(ISERROR(SEARCH(PayEarnCode,AQ$2)))*(PayEarnType="Bi-Annual")*(PayEarnValues))/MAX(1,ROUNDDOWN($AB31/6,0))*2)+(SUMPRODUCT((PayEmp=$C31)*(PayDate&lt;=$AC31)*(ISERROR(SEARCH(PayEarnCode,AQ$2)))*(PayEarnType="Annual")*(PayEarnValues)))),IF(ISNUMBER(OFFSET($N$3,0,MATCH(AQ$5,PayDedList,0)-1,1,1)),OFFSET($N$3,0,MATCH(AQ$5,PayDedList,0)-1,1,1),IgnoreMin)))*IF(COUNTIFS(EmpNo,$C31,OFFSET(Emp!$R$4,1,MATCH(AQ$5,DedListItem,0)-1,EmpCount,1),"&lt;&gt;")&gt;0,VLOOKUP($C31,EmpAll,COLUMN(Emp!$R$4)+MATCH(AQ$5,DedListItem,0)-1,0),OFFSET(Setup!$E$73,MATCH(AQ$5,DedListItem,0),0,1,1))*AQ$3))),IF(ISNUMBER(AQ$4),AQ$4,IgnoreMin)))))</f>
        <v>0</v>
      </c>
      <c r="AR31" s="148">
        <f t="shared" ca="1" si="10"/>
        <v>108000</v>
      </c>
      <c r="AS31" s="148">
        <f t="shared" ca="1" si="11"/>
        <v>108000</v>
      </c>
      <c r="AT31" s="148" cm="1">
        <f t="array" aca="1" ref="AT31" ca="1">-IF($F31="Terminated",0,IF($AA31=0,0,IF(ISNA(MATCH(AT$5,PayDedList,0)),0,MIN(IF(COUNTIFS(OverEmp,$C31,OverDeduct,AT$5,OverDate,"&lt;"&amp;DATE(YEAR($AC31),MONTH($AC31)+1,1),OverEnd,"&gt;="&amp;DATE(YEAR($AC31),MONTH($AC31),1))&gt;0,SUMPRODUCT((PayEmp=$C31)*(PayDate&lt;=$AC31)*(OFFSET($N$6,1,MATCH(AT$5,PayDedList,0)-1,PayCount,1)))/$AA31*12*AT$3,IF(OR(AT$1="Fixed",AT$1="Not Used"),SUMPRODUCT((PayEmp=$C31)*(PayDate&lt;=$AC31)*(OFFSET($N$6,1,MATCH(AT$5,PayDedList,0)-1,PayCount,1)))/$AA31*12*AT$3,IF(ISNA(MATCH(OFFSET($N$2,0,MATCH(AT$5,PayDedList,0)-1,1,1),EarnListItem,0))=FALSE,SUMPRODUCT((PayEmp=$C31)*(PayDate&lt;=$AC31)*(OFFSET($N$6,1,MATCH(AT$5,PayDedList,0)-1,PayCount,1)))/$AA31*12*AT$3,(MIN(SUMPRODUCT((PayEmp=$C31)*(PayDate&lt;=$AC31)*(ISERROR(SEARCH(PayEarnCode,AT$2)))*(PayEarnType="Monthly")*(PayEarnValues))/$AA31*12,IF(ISNUMBER(OFFSET($N$3,0,MATCH(AT$5,PayDedList,0)-1,1,1)),OFFSET($N$3,0,MATCH(AT$5,PayDedList,0)-1,1,1),IgnoreMin)))*IF(COUNTIFS(EmpNo,$C31,OFFSET(Emp!$R$4,1,MATCH(AT$5,DedListItem,0)-1,EmpCount,1),"&lt;&gt;")&gt;0,VLOOKUP($C31,EmpAll,COLUMN(Emp!$R$4)+MATCH(AT$5,DedListItem,0)-1,0),OFFSET(Setup!$E$73,MATCH(AT$5,DedListItem,0),0,1,1))*AT$3))),IF(ISNUMBER(AT$4),AT$4,IgnoreMin)))))</f>
        <v>0</v>
      </c>
      <c r="AU31" s="148" cm="1">
        <f t="array" aca="1" ref="AU31" ca="1">-IF($F31="Terminated",0,IF($AA31=0,0,IF(ISNA(MATCH(AU$5,PayDedList,0)),0,MIN(IF(COUNTIFS(OverEmp,$C31,OverDeduct,AU$5,OverDate,"&lt;"&amp;DATE(YEAR($AC31),MONTH($AC31)+1,1),OverEnd,"&gt;="&amp;DATE(YEAR($AC31),MONTH($AC31),1))&gt;0,SUMPRODUCT((PayEmp=$C31)*(PayDate&lt;=$AC31)*(OFFSET($N$6,1,MATCH(AU$5,PayDedList,0)-1,PayCount,1)))/$AA31*12*AU$3,IF(OR(AU$1="Fixed",AU$1="Not Used"),SUMPRODUCT((PayEmp=$C31)*(PayDate&lt;=$AC31)*(OFFSET($N$6,1,MATCH(AU$5,PayDedList,0)-1,PayCount,1)))/$AA31*12*AU$3,IF(ISNA(MATCH(OFFSET($N$2,0,MATCH(AU$5,PayDedList,0)-1,1,1),EarnListItem,0))=FALSE,SUMPRODUCT((PayEmp=$C31)*(PayDate&lt;=$AC31)*(OFFSET($N$6,1,MATCH(AU$5,PayDedList,0)-1,PayCount,1)))/$AA31*12*AU$3,(MIN(SUMPRODUCT((PayEmp=$C31)*(PayDate&lt;=$AC31)*(ISERROR(SEARCH(PayEarnCode,AU$2)))*(PayEarnType="Monthly")*(PayEarnValues))/$AA31*12,IF(ISNUMBER(OFFSET($N$3,0,MATCH(AU$5,PayDedList,0)-1,1,1)),OFFSET($N$3,0,MATCH(AU$5,PayDedList,0)-1,1,1),IgnoreMin)))*IF(COUNTIFS(EmpNo,$C31,OFFSET(Emp!$R$4,1,MATCH(AU$5,DedListItem,0)-1,EmpCount,1),"&lt;&gt;")&gt;0,VLOOKUP($C31,EmpAll,COLUMN(Emp!$R$4)+MATCH(AU$5,DedListItem,0)-1,0),OFFSET(Setup!$E$73,MATCH(AU$5,DedListItem,0),0,1,1))*AU$3))),IF(ISNUMBER(AU$4),AU$4,IgnoreMin)))))</f>
        <v>0</v>
      </c>
      <c r="AV31" s="148" cm="1">
        <f t="array" aca="1" ref="AV31" ca="1">-IF($F31="Terminated",0,IF($AA31=0,0,IF(ISNA(MATCH(AV$5,PayDedList,0)),0,MIN(IF(COUNTIFS(OverEmp,$C31,OverDeduct,AV$5,OverDate,"&lt;"&amp;DATE(YEAR($AC31),MONTH($AC31)+1,1),OverEnd,"&gt;="&amp;DATE(YEAR($AC31),MONTH($AC31),1))&gt;0,SUMPRODUCT((PayEmp=$C31)*(PayDate&lt;=$AC31)*(OFFSET($N$6,1,MATCH(AV$5,PayDedList,0)-1,PayCount,1)))/$AA31*12*AV$3,IF(OR(AV$1="Fixed",AV$1="Not Used"),SUMPRODUCT((PayEmp=$C31)*(PayDate&lt;=$AC31)*(OFFSET($N$6,1,MATCH(AV$5,PayDedList,0)-1,PayCount,1)))/$AA31*12*AV$3,IF(ISNA(MATCH(OFFSET($N$2,0,MATCH(AV$5,PayDedList,0)-1,1,1),EarnListItem,0))=FALSE,SUMPRODUCT((PayEmp=$C31)*(PayDate&lt;=$AC31)*(OFFSET($N$6,1,MATCH(AV$5,PayDedList,0)-1,PayCount,1)))/$AA31*12*AV$3,(MIN(SUMPRODUCT((PayEmp=$C31)*(PayDate&lt;=$AC31)*(ISERROR(SEARCH(PayEarnCode,AV$2)))*(PayEarnType="Monthly")*(PayEarnValues))/$AA31*12,IF(ISNUMBER(OFFSET($N$3,0,MATCH(AV$5,PayDedList,0)-1,1,1)),OFFSET($N$3,0,MATCH(AV$5,PayDedList,0)-1,1,1),IgnoreMin)))*IF(COUNTIFS(EmpNo,$C31,OFFSET(Emp!$R$4,1,MATCH(AV$5,DedListItem,0)-1,EmpCount,1),"&lt;&gt;")&gt;0,VLOOKUP($C31,EmpAll,COLUMN(Emp!$R$4)+MATCH(AV$5,DedListItem,0)-1,0),OFFSET(Setup!$E$73,MATCH(AV$5,DedListItem,0),0,1,1))*AV$3))),IF(ISNUMBER(AV$4),AV$4,IgnoreMin)))))</f>
        <v>0</v>
      </c>
      <c r="AW31" s="148" cm="1">
        <f t="array" aca="1" ref="AW31" ca="1">-IF($F31="Terminated",0,IF($AA31=0,0,IF(ISNA(MATCH(AW$5,PayDedList,0)),0,MIN(IF(COUNTIFS(OverEmp,$C31,OverDeduct,AW$5,OverDate,"&lt;"&amp;DATE(YEAR($AC31),MONTH($AC31)+1,1),OverEnd,"&gt;="&amp;DATE(YEAR($AC31),MONTH($AC31),1))&gt;0,SUMPRODUCT((PayEmp=$C31)*(PayDate&lt;=$AC31)*(OFFSET($N$6,1,MATCH(AW$5,PayDedList,0)-1,PayCount,1)))/$AA31*12*AW$3,IF(OR(AW$1="Fixed",AW$1="Not Used"),SUMPRODUCT((PayEmp=$C31)*(PayDate&lt;=$AC31)*(OFFSET($N$6,1,MATCH(AW$5,PayDedList,0)-1,PayCount,1)))/$AA31*12*AW$3,IF(ISNA(MATCH(OFFSET($N$2,0,MATCH(AW$5,PayDedList,0)-1,1,1),EarnListItem,0))=FALSE,SUMPRODUCT((PayEmp=$C31)*(PayDate&lt;=$AC31)*(OFFSET($N$6,1,MATCH(AW$5,PayDedList,0)-1,PayCount,1)))/$AA31*12*AW$3,(MIN(SUMPRODUCT((PayEmp=$C31)*(PayDate&lt;=$AC31)*(ISERROR(SEARCH(PayEarnCode,AW$2)))*(PayEarnType="Monthly")*(PayEarnValues))/$AA31*12,IF(ISNUMBER(OFFSET($N$3,0,MATCH(AW$5,PayDedList,0)-1,1,1)),OFFSET($N$3,0,MATCH(AW$5,PayDedList,0)-1,1,1),IgnoreMin)))*IF(COUNTIFS(EmpNo,$C31,OFFSET(Emp!$R$4,1,MATCH(AW$5,DedListItem,0)-1,EmpCount,1),"&lt;&gt;")&gt;0,VLOOKUP($C31,EmpAll,COLUMN(Emp!$R$4)+MATCH(AW$5,DedListItem,0)-1,0),OFFSET(Setup!$E$73,MATCH(AW$5,DedListItem,0),0,1,1))*AW$3))),IF(ISNUMBER(AW$4),AW$4,IgnoreMin)))))</f>
        <v>0</v>
      </c>
      <c r="AX31" s="148">
        <f t="shared" ca="1" si="12"/>
        <v>108000</v>
      </c>
      <c r="AY31" s="148">
        <f t="shared" ca="1" si="13"/>
        <v>0</v>
      </c>
      <c r="AZ31" s="148">
        <f ca="1">IF(ISNUMBER($AL31),($AR31*$AL31)-$AI31-$AK31,MAX(0,IF($AL31="B",IF($AR31&lt;Setup!$C$32,($AR31*Setup!$D$32)-$AI31-$AK31,(($AR31-VLOOKUP($AR31,TaxAll2,1,1))*OFFSET(Setup!$D$32,MATCH($AR31,TaxBracket2,1),0,1,1))+OFFSET(Setup!$E$31,MATCH($AR31,TaxBracket2,1),0,1,1)-$AI31-$AK31),IF($AR31&lt;Setup!$C$21,($AR31*Setup!$D$21)-$AI31-$AK31,(($AR31-VLOOKUP($AR31,TaxAll1,1,1))*OFFSET(Setup!$D$21,MATCH($AR31,TaxBracket1,1),0,1,1))+OFFSET(Setup!$E$20,MATCH($AR31,TaxBracket1,1),0,1,1)-$AI31-$AK31))))</f>
        <v>2205</v>
      </c>
      <c r="BA31" s="148">
        <f ca="1">IF(ISNUMBER($AL31),($AX31*$AL31)-$AI31-$AK31,MAX(0,IF($AL31="B",IF($AX31&lt;Setup!$C$32,($AX31*Setup!$D$32)-$AI31-$AK31,(($AX31-VLOOKUP($AX31,TaxAll2,1,1))*OFFSET(Setup!$D$32,MATCH($AX31,TaxBracket2,1),0,1,1))+OFFSET(Setup!$E$31,MATCH($AX31,TaxBracket2,1),0,1,1)-$AI31-$AK31),IF($AX31&lt;Setup!$C$21,($AX31*Setup!$D$21)-$AI31-$AK31,(($AX31-VLOOKUP($AX31,TaxAll1,1,1))*OFFSET(Setup!$D$21,MATCH($AX31,TaxBracket1,1),0,1,1))+OFFSET(Setup!$E$20,MATCH($AX31,TaxBracket1,1),0,1,1)-$AI31-$AK31))))</f>
        <v>2205</v>
      </c>
      <c r="BB31" s="148">
        <f t="shared" ca="1" si="14"/>
        <v>0</v>
      </c>
      <c r="BC31" s="150">
        <f t="shared" ca="1" si="15"/>
        <v>1</v>
      </c>
      <c r="BD31" s="150">
        <f t="shared" ca="1" si="16"/>
        <v>0</v>
      </c>
      <c r="BE31" s="148">
        <f t="shared" ca="1" si="17"/>
        <v>108000</v>
      </c>
    </row>
    <row r="32" spans="1:57" ht="16.149999999999999" customHeight="1" x14ac:dyDescent="0.25">
      <c r="A32" s="10" t="str" cm="1">
        <f t="array" aca="1" ref="A32" ca="1">IF(ROW($A32)-ROW($A$6)&gt;EmpCount*12,"-",TEXT($B32,"yyyy")&amp;TEXT($B32,"mm")&amp;"-"&amp;$C32)</f>
        <v>202304-EXS011</v>
      </c>
      <c r="B32" s="137" cm="1">
        <f t="array" aca="1" ref="B32" ca="1">IF(ROW($A32)-ROW($A$6)&gt;EmpCount*12,Setup!$D$12,DATE(YEAR(Setup!$F$12),MONTH(Setup!$F$12)+ROUNDDOWN((ROW($A32)-ROW($A$6)-1)/EmpCount,0),IF(Setup!$C$14&gt;DAY(DATE(YEAR(Setup!$F$12),MONTH(Setup!$F$12)+ROUNDDOWN((ROW($A32)-ROW($A$6)-1)/EmpCount,0)+1,0)),DAY(DATE(YEAR(Setup!$F$12),MONTH(Setup!$F$12)+ROUNDDOWN((ROW($A32)-ROW($A$6)-1)/EmpCount,0)+1,0)),Setup!$C$14)))</f>
        <v>45041</v>
      </c>
      <c r="C32" s="101" t="str" cm="1">
        <f t="array" aca="1" ref="C32" ca="1">IF(ROW($A32)-ROW($A$6)&gt;EmpCount*12,"-",OFFSET(Emp!$A$4,ROW($A32)-ROW($A$6)-IF(ROW($A32)-ROW($A$6)&gt;EmpCount,ROUNDDOWN((ROW($A32)-ROW($A$6)-1)/EmpCount,0)*EmpCount,0),0,1,1))</f>
        <v>EXS011</v>
      </c>
      <c r="D32" s="10" t="str">
        <f ca="1">IF(ISNA(VLOOKUP($C32,EmpAll,COLUMN(Emp!$B$4),0)),"-",VLOOKUP($C32,EmpAll,COLUMN(Emp!$B$4),0))</f>
        <v>Newport GD</v>
      </c>
      <c r="E32" s="145" t="str">
        <f ca="1">IF(ISNA(VLOOKUP($C32,EmpAll,COLUMN(Emp!$C$4),0)),"-",VLOOKUP($C32,EmpAll,COLUMN(Emp!$C$4),0))</f>
        <v>A</v>
      </c>
      <c r="F32" s="101" t="str">
        <f ca="1">IF(ISNA(VLOOKUP($C32,EmpAll,COLUMN(Emp!$A$4),0)),"-",IF(AND(VLOOKUP($C32,EmpAll,COLUMN(Emp!$E$4),0)&lt;&gt;0,VLOOKUP($C32,EmpAll,COLUMN(Emp!$E$4),0)&gt;=DATE(YEAR($AC32),MONTH($AC32)+1,0)),"Inactive",IF(AND(VLOOKUP($C32,EmpAll,COLUMN(Emp!$F$4),0)&lt;&gt;0,VLOOKUP($C32,EmpAll,COLUMN(Emp!$F$4),0)&lt;=DATE(YEAR($AC32),MONTH($AC32),0)),"Terminated","Active")))</f>
        <v>Active</v>
      </c>
      <c r="G32" s="133" cm="1">
        <f t="array" aca="1" ref="G32" ca="1">IF($F32&lt;&gt;"Active",0,IF(COUNTIFS(OverEmp,$C32,OverEarn,G$2,OverDate,"&lt;"&amp;DATE(YEAR($AC32),MONTH($AC32)+1,1),OverEnd,"&gt;="&amp;DATE(YEAR($AC32),MONTH($AC32),1))&gt;0,SUMIFS(OverValue,OverEmp,$C32,OverEarn,G$2,OverDate,"&lt;"&amp;DATE(YEAR($AC32),MONTH($AC32)+1,1),OverEnd,"&gt;="&amp;DATE(YEAR($AC32),MONTH($AC32),1)),IF(AND($AC32&gt;=Setup!$E$10,SUMIFS(EmpIncrease,EmpCode,$C32)&gt;0),SUMIFS(EmpIncrease,EmpCode,$C32),SUMIFS(EmpSalary,EmpCode,$C32))))</f>
        <v>5000</v>
      </c>
      <c r="H32" s="133" cm="1">
        <f t="array" aca="1" ref="H32" ca="1">IF($F32&lt;&gt;"Active",0,IF(COUNTIFS(OverEmp,$C32,OverEarn,H$2,OverDate,"&lt;"&amp;DATE(YEAR($AC32),MONTH($AC32)+1,1),OverEnd,"&gt;="&amp;DATE(YEAR($AC32),MONTH($AC32),1))&gt;0,SUMIFS(OverValue,OverEmp,$C32,OverEarn,H$2,OverDate,"&lt;"&amp;DATE(YEAR($AC32),MONTH($AC32)+1,1),OverEnd,"&gt;="&amp;DATE(YEAR($AC32),MONTH($AC32),1)),0))</f>
        <v>0</v>
      </c>
      <c r="I32" s="133" cm="1">
        <f t="array" aca="1" ref="I32" ca="1">IF($F32&lt;&gt;"Active",0,IF(COUNTIFS(OverEmp,$C32,OverEarn,I$2,OverDate,"&lt;"&amp;DATE(YEAR($AC32),MONTH($AC32)+1,1),OverEnd,"&gt;="&amp;DATE(YEAR($AC32),MONTH($AC32),1))&gt;0,SUMIFS(OverValue,OverEmp,$C32,OverEarn,I$2,OverDate,"&lt;"&amp;DATE(YEAR($AC32),MONTH($AC32)+1,1),OverEnd,"&gt;="&amp;DATE(YEAR($AC32),MONTH($AC32),1)),IF(MONTH(B32)=Setup!$C$15,SUMIFS(EmpBonus,EmpCode,$C32),0)))</f>
        <v>0</v>
      </c>
      <c r="J32" s="133" cm="1">
        <f t="array" aca="1" ref="J32" ca="1">IF($F32&lt;&gt;"Active",0,IF(COUNTIFS(OverEmp,$C32,OverEarn,J$2,OverDate,"&lt;"&amp;DATE(YEAR($AC32),MONTH($AC32)+1,1),OverEnd,"&gt;="&amp;DATE(YEAR($AC32),MONTH($AC32),1))&gt;0,SUMIFS(OverValue,OverEmp,$C32,OverEarn,J$2,OverDate,"&lt;"&amp;DATE(YEAR($AC32),MONTH($AC32)+1,1),OverEnd,"&gt;="&amp;DATE(YEAR($AC32),MONTH($AC32),1)),0))</f>
        <v>0</v>
      </c>
      <c r="K32" s="133" cm="1">
        <f t="array" aca="1" ref="K32" ca="1">IF($F32&lt;&gt;"Active",0,IF(COUNTIFS(OverEmp,$C32,OverEarn,K$2,OverDate,"&lt;"&amp;DATE(YEAR($AC32),MONTH($AC32)+1,1),OverEnd,"&gt;="&amp;DATE(YEAR($AC32),MONTH($AC32),1))&gt;0,SUMIFS(OverValue,OverEmp,$C32,OverEarn,K$2,OverDate,"&lt;"&amp;DATE(YEAR($AC32),MONTH($AC32)+1,1),OverEnd,"&gt;="&amp;DATE(YEAR($AC32),MONTH($AC32),1)),0))</f>
        <v>0</v>
      </c>
      <c r="L32" s="185">
        <f t="shared" ca="1" si="0"/>
        <v>5000</v>
      </c>
      <c r="M32" s="182" cm="1">
        <f t="array" aca="1" ref="M32" ca="1">IF(COUNTIFS(OverEmp,$C32,OverTax,M$5,OverDate,"&lt;"&amp;DATE(YEAR($AC32),MONTH($AC32)+1,1),OverEnd,"&gt;="&amp;DATE(YEAR($AC32),MONTH($AC32),1))&gt;0,SUMIFS(OverValue,OverEmp,$C32,OverTax,M$5,OverDate,"&lt;"&amp;DATE(YEAR($AC32),MONTH($AC32)+1,1),OverEnd,"&gt;="&amp;DATE(YEAR($AC32),MONTH($AC32),1)),(($BA32/12*$AA32)+(BB32*IF(1-$BC32=0,0,BD32/(1-$BC32))))-IF($F32="Terminated",0,SUMIFS(PayTaxDeduct,PayDate,"&lt;"&amp;$AC32,PayEmp,$C32)))</f>
        <v>0</v>
      </c>
      <c r="N32" s="133" cm="1">
        <f t="array" aca="1" ref="N32" ca="1">IF($F32="Terminated",0,IF($AA32=0,0,IF(ISNA(MATCH(N$5,DedListItem,0)),0,IF(COUNTIFS(OverEmp,$C32,OverDeduct,N$5,OverDate,"&lt;"&amp;DATE(YEAR($AC32),MONTH($AC32)+1,1),OverEnd,"&gt;="&amp;DATE(YEAR($AC32),MONTH($AC32),1))&gt;0,SUMIFS(OverValue,OverEmp,$C32,OverDeduct,N$5,OverDate,"&lt;"&amp;DATE(YEAR($AC32),MONTH($AC32)+1,1),OverEnd,"&gt;="&amp;DATE(YEAR($AC32),MONTH($AC32),1)),IF(OR(N$2="Fixed",N$2="Not Used"),(IF(COUNTIFS(EmpNo,$C32,OFFSET(Emp!$R$4,1,MATCH(N$5,DedListItem,0)-1,EmpCount,1),"&lt;&gt;")&gt;0,VLOOKUP($C32,EmpAll,COLUMN(Emp!$R$4)+MATCH(N$5,DedListItem,0)-1,0),OFFSET(Setup!$E$73,MATCH(N$5,DedListItem,0),0,1,1))*$AA32)-SUMIFS(OFFSET(N$6,1,0,PayCount,1),PayDate,"&lt;"&amp;$AC32,PayEmp,$C32),IF(ISNA(MATCH(N$2,EarnListItem,0))=FALSE,IF(OFFSET(Setup!$G$73,MATCH(N$5,DedListItem,0),0,1,1)="Taxable",SUMPRODUCT((PayEmp=$C32)*(PayDate&lt;=$AC32)*(PayEarnCode=N$2)*(PayEarnTax)*(PayEarnValues)),SUMPRODUCT((PayEmp=$C32)*(PayDate&lt;=$AC32)*(PayEarnCode=N$2)*(PayEarnValues)))*IF(COUNTIFS(EmpNo,$C32,OFFSET(Emp!$R$4,1,MATCH(N$5,DedListItem,0)-1,EmpCount,1),"&lt;&gt;")&gt;0,VLOOKUP($C32,EmpAll,COLUMN(Emp!$R$4)+MATCH(N$5,DedListItem,0)-1,0),OFFSET(Setup!$E$73,MATCH(N$5,DedListItem,0),0,1,1)),(MIN(IF(OFFSET(Setup!$G$73,MATCH(N$5,DedListItem,0),0,1,1)="Taxable",SUMPRODUCT((PayEmp=$C32)*(PayDate&lt;=$AC32)*(ISERROR(SEARCH(PayEarnCode,N$4)))*(PayEarnTax)*(PayEarnValues)),SUMPRODUCT((PayEmp=$C32)*(PayDate&lt;=$AC32)*(ISERROR(SEARCH(PayEarnCode,N$4)))*(PayEarnValues))),IF(ISNUMBER(N$3),N$3/12*$AA32,IgnoreMin)))*IF(COUNTIFS(EmpNo,$C32,OFFSET(Emp!$R$4,1,MATCH(N$5,DedListItem,0)-1,EmpCount,1),"&lt;&gt;")&gt;0,VLOOKUP($C32,EmpAll,COLUMN(Emp!$R$4)+MATCH(N$5,DedListItem,0)-1,0),OFFSET(Setup!$E$73,MATCH(N$5,DedListItem,0),0,1,1)))-SUMIFS(OFFSET(N$6,1,0,PayCount,1),PayDate,"&lt;"&amp;$AC32,PayEmp,$C32))))))</f>
        <v>50</v>
      </c>
      <c r="O32" s="133" cm="1">
        <f t="array" aca="1" ref="O32" ca="1">IF($F32="Terminated",0,IF($AA32=0,0,IF(ISNA(MATCH(O$5,DedListItem,0)),0,IF(COUNTIFS(OverEmp,$C32,OverDeduct,O$5,OverDate,"&lt;"&amp;DATE(YEAR($AC32),MONTH($AC32)+1,1),OverEnd,"&gt;="&amp;DATE(YEAR($AC32),MONTH($AC32),1))&gt;0,SUMIFS(OverValue,OverEmp,$C32,OverDeduct,O$5,OverDate,"&lt;"&amp;DATE(YEAR($AC32),MONTH($AC32)+1,1),OverEnd,"&gt;="&amp;DATE(YEAR($AC32),MONTH($AC32),1)),IF(OR(O$2="Fixed",O$2="Not Used"),(IF(COUNTIFS(EmpNo,$C32,OFFSET(Emp!$R$4,1,MATCH(O$5,DedListItem,0)-1,EmpCount,1),"&lt;&gt;")&gt;0,VLOOKUP($C32,EmpAll,COLUMN(Emp!$R$4)+MATCH(O$5,DedListItem,0)-1,0),OFFSET(Setup!$E$73,MATCH(O$5,DedListItem,0),0,1,1))*$AA32)-SUMIFS(OFFSET(O$6,1,0,PayCount,1),PayDate,"&lt;"&amp;$AC32,PayEmp,$C32),IF(ISNA(MATCH(O$2,EarnListItem,0))=FALSE,IF(OFFSET(Setup!$G$73,MATCH(O$5,DedListItem,0),0,1,1)="Taxable",SUMPRODUCT((PayEmp=$C32)*(PayDate&lt;=$AC32)*(PayEarnCode=O$2)*(PayEarnTax)*(PayEarnValues)),SUMPRODUCT((PayEmp=$C32)*(PayDate&lt;=$AC32)*(PayEarnCode=O$2)*(PayEarnValues)))*IF(COUNTIFS(EmpNo,$C32,OFFSET(Emp!$R$4,1,MATCH(O$5,DedListItem,0)-1,EmpCount,1),"&lt;&gt;")&gt;0,VLOOKUP($C32,EmpAll,COLUMN(Emp!$R$4)+MATCH(O$5,DedListItem,0)-1,0),OFFSET(Setup!$E$73,MATCH(O$5,DedListItem,0),0,1,1)),(MIN(IF(OFFSET(Setup!$G$73,MATCH(O$5,DedListItem,0),0,1,1)="Taxable",SUMPRODUCT((PayEmp=$C32)*(PayDate&lt;=$AC32)*(ISERROR(SEARCH(PayEarnCode,O$4)))*(PayEarnTax)*(PayEarnValues)),SUMPRODUCT((PayEmp=$C32)*(PayDate&lt;=$AC32)*(ISERROR(SEARCH(PayEarnCode,O$4)))*(PayEarnValues))),IF(ISNUMBER(O$3),O$3/12*$AA32,IgnoreMin)))*IF(COUNTIFS(EmpNo,$C32,OFFSET(Emp!$R$4,1,MATCH(O$5,DedListItem,0)-1,EmpCount,1),"&lt;&gt;")&gt;0,VLOOKUP($C32,EmpAll,COLUMN(Emp!$R$4)+MATCH(O$5,DedListItem,0)-1,0),OFFSET(Setup!$E$73,MATCH(O$5,DedListItem,0),0,1,1)))-SUMIFS(OFFSET(O$6,1,0,PayCount,1),PayDate,"&lt;"&amp;$AC32,PayEmp,$C32))))))</f>
        <v>0</v>
      </c>
      <c r="P32" s="133" cm="1">
        <f t="array" aca="1" ref="P32" ca="1">IF($F32="Terminated",0,IF($AA32=0,0,IF(ISNA(MATCH(P$5,DedListItem,0)),0,IF(COUNTIFS(OverEmp,$C32,OverDeduct,P$5,OverDate,"&lt;"&amp;DATE(YEAR($AC32),MONTH($AC32)+1,1),OverEnd,"&gt;="&amp;DATE(YEAR($AC32),MONTH($AC32),1))&gt;0,SUMIFS(OverValue,OverEmp,$C32,OverDeduct,P$5,OverDate,"&lt;"&amp;DATE(YEAR($AC32),MONTH($AC32)+1,1),OverEnd,"&gt;="&amp;DATE(YEAR($AC32),MONTH($AC32),1)),IF(OR(P$2="Fixed",P$2="Not Used"),(IF(COUNTIFS(EmpNo,$C32,OFFSET(Emp!$R$4,1,MATCH(P$5,DedListItem,0)-1,EmpCount,1),"&lt;&gt;")&gt;0,VLOOKUP($C32,EmpAll,COLUMN(Emp!$R$4)+MATCH(P$5,DedListItem,0)-1,0),OFFSET(Setup!$E$73,MATCH(P$5,DedListItem,0),0,1,1))*$AA32)-SUMIFS(OFFSET(P$6,1,0,PayCount,1),PayDate,"&lt;"&amp;$AC32,PayEmp,$C32),IF(ISNA(MATCH(P$2,EarnListItem,0))=FALSE,IF(OFFSET(Setup!$G$73,MATCH(P$5,DedListItem,0),0,1,1)="Taxable",SUMPRODUCT((PayEmp=$C32)*(PayDate&lt;=$AC32)*(PayEarnCode=P$2)*(PayEarnTax)*(PayEarnValues)),SUMPRODUCT((PayEmp=$C32)*(PayDate&lt;=$AC32)*(PayEarnCode=P$2)*(PayEarnValues)))*IF(COUNTIFS(EmpNo,$C32,OFFSET(Emp!$R$4,1,MATCH(P$5,DedListItem,0)-1,EmpCount,1),"&lt;&gt;")&gt;0,VLOOKUP($C32,EmpAll,COLUMN(Emp!$R$4)+MATCH(P$5,DedListItem,0)-1,0),OFFSET(Setup!$E$73,MATCH(P$5,DedListItem,0),0,1,1)),(MIN(IF(OFFSET(Setup!$G$73,MATCH(P$5,DedListItem,0),0,1,1)="Taxable",SUMPRODUCT((PayEmp=$C32)*(PayDate&lt;=$AC32)*(ISERROR(SEARCH(PayEarnCode,P$4)))*(PayEarnTax)*(PayEarnValues)),SUMPRODUCT((PayEmp=$C32)*(PayDate&lt;=$AC32)*(ISERROR(SEARCH(PayEarnCode,P$4)))*(PayEarnValues))),IF(ISNUMBER(P$3),P$3/12*$AA32,IgnoreMin)))*IF(COUNTIFS(EmpNo,$C32,OFFSET(Emp!$R$4,1,MATCH(P$5,DedListItem,0)-1,EmpCount,1),"&lt;&gt;")&gt;0,VLOOKUP($C32,EmpAll,COLUMN(Emp!$R$4)+MATCH(P$5,DedListItem,0)-1,0),OFFSET(Setup!$E$73,MATCH(P$5,DedListItem,0),0,1,1)))-SUMIFS(OFFSET(P$6,1,0,PayCount,1),PayDate,"&lt;"&amp;$AC32,PayEmp,$C32))))))</f>
        <v>0</v>
      </c>
      <c r="Q32" s="133" cm="1">
        <f t="array" aca="1" ref="Q32" ca="1">IF($F32="Terminated",0,IF($AA32=0,0,IF(ISNA(MATCH(Q$5,DedListItem,0)),0,IF(COUNTIFS(OverEmp,$C32,OverDeduct,Q$5,OverDate,"&lt;"&amp;DATE(YEAR($AC32),MONTH($AC32)+1,1),OverEnd,"&gt;="&amp;DATE(YEAR($AC32),MONTH($AC32),1))&gt;0,SUMIFS(OverValue,OverEmp,$C32,OverDeduct,Q$5,OverDate,"&lt;"&amp;DATE(YEAR($AC32),MONTH($AC32)+1,1),OverEnd,"&gt;="&amp;DATE(YEAR($AC32),MONTH($AC32),1)),IF(OR(Q$2="Fixed",Q$2="Not Used"),(IF(COUNTIFS(EmpNo,$C32,OFFSET(Emp!$R$4,1,MATCH(Q$5,DedListItem,0)-1,EmpCount,1),"&lt;&gt;")&gt;0,VLOOKUP($C32,EmpAll,COLUMN(Emp!$R$4)+MATCH(Q$5,DedListItem,0)-1,0),OFFSET(Setup!$E$73,MATCH(Q$5,DedListItem,0),0,1,1))*$AA32)-SUMIFS(OFFSET(Q$6,1,0,PayCount,1),PayDate,"&lt;"&amp;$AC32,PayEmp,$C32),IF(ISNA(MATCH(Q$2,EarnListItem,0))=FALSE,IF(OFFSET(Setup!$G$73,MATCH(Q$5,DedListItem,0),0,1,1)="Taxable",SUMPRODUCT((PayEmp=$C32)*(PayDate&lt;=$AC32)*(PayEarnCode=Q$2)*(PayEarnTax)*(PayEarnValues)),SUMPRODUCT((PayEmp=$C32)*(PayDate&lt;=$AC32)*(PayEarnCode=Q$2)*(PayEarnValues)))*IF(COUNTIFS(EmpNo,$C32,OFFSET(Emp!$R$4,1,MATCH(Q$5,DedListItem,0)-1,EmpCount,1),"&lt;&gt;")&gt;0,VLOOKUP($C32,EmpAll,COLUMN(Emp!$R$4)+MATCH(Q$5,DedListItem,0)-1,0),OFFSET(Setup!$E$73,MATCH(Q$5,DedListItem,0),0,1,1)),(MIN(IF(OFFSET(Setup!$G$73,MATCH(Q$5,DedListItem,0),0,1,1)="Taxable",SUMPRODUCT((PayEmp=$C32)*(PayDate&lt;=$AC32)*(ISERROR(SEARCH(PayEarnCode,Q$4)))*(PayEarnTax)*(PayEarnValues)),SUMPRODUCT((PayEmp=$C32)*(PayDate&lt;=$AC32)*(ISERROR(SEARCH(PayEarnCode,Q$4)))*(PayEarnValues))),IF(ISNUMBER(Q$3),Q$3/12*$AA32,IgnoreMin)))*IF(COUNTIFS(EmpNo,$C32,OFFSET(Emp!$R$4,1,MATCH(Q$5,DedListItem,0)-1,EmpCount,1),"&lt;&gt;")&gt;0,VLOOKUP($C32,EmpAll,COLUMN(Emp!$R$4)+MATCH(Q$5,DedListItem,0)-1,0),OFFSET(Setup!$E$73,MATCH(Q$5,DedListItem,0),0,1,1)))-SUMIFS(OFFSET(Q$6,1,0,PayCount,1),PayDate,"&lt;"&amp;$AC32,PayEmp,$C32))))))</f>
        <v>0</v>
      </c>
      <c r="R32" s="185">
        <f t="shared" ca="1" si="1"/>
        <v>50</v>
      </c>
      <c r="S32" s="139">
        <f t="shared" ca="1" si="2"/>
        <v>4950</v>
      </c>
      <c r="T32" s="133" cm="1">
        <f t="array" aca="1" ref="T32" ca="1">IF($F32="Terminated",0,IF($AA32=0,0,IF(ISNA(MATCH(T$5,CompListItem,0)),0,IF(COUNTIFS(OverEmp,$C32,OverComp,T$5,OverDate,"&lt;"&amp;DATE(YEAR($AC32),MONTH($AC32)+1,1),OverEnd,"&gt;="&amp;DATE(YEAR($AC32),MONTH($AC32),1))&gt;0,SUMIFS(OverValue,OverEmp,$C32,OverComp,T$5,OverDate,"&lt;"&amp;DATE(YEAR($AC32),MONTH($AC32)+1,1),OverEnd,"&gt;="&amp;DATE(YEAR($AC32),MONTH($AC32),1)),IF(OR(T$2="Fixed",T$2="Not Used"),(OFFSET(Setup!$E$81,MATCH(T$5,CompListItem,0),0,1,1)*$AA32)-SUMIFS(OFFSET(T$6,1,0,PayCount,1),PayDate,"&lt;"&amp;$AC32,PayEmp,$C32),IF(ISNA(MATCH(T$2,DedListItem,0))=FALSE,(SUMPRODUCT((PayEmp=$C32)*(PayDate&lt;=$AC32)*(PayDedList=T$2)*(PayDedValues))*OFFSET(Setup!$E$81,MATCH(T$5,CompListItem,0),0,1,1))-SUMIFS(OFFSET(T$6,1,0,PayCount,1),PayDate,"&lt;"&amp;$AC32,PayEmp,$C32),(MIN(IF(OFFSET(Setup!$G$81,MATCH(T$5,CompListItem,0),0,1,1)="Taxable",SUMPRODUCT((PayEmp=$C32)*(PayDate&lt;=$AC32)*(ISERROR(SEARCH(PayEarnCode,T$4)))*(PayEarnTax)*(PayEarnValues)),SUMPRODUCT((PayEmp=$C32)*(PayDate&lt;=$AC32)*(ISERROR(SEARCH(PayEarnCode,T$4)))*(PayEarnValues))),IF(ISNUMBER(T$3),T$3/12*$AA32,IgnoreMin)))*OFFSET(Setup!$E$81,MATCH(T$5,CompListItem,0),0,1,1)-SUMIFS(OFFSET(T$6,1,0,PayCount,1),PayDate,"&lt;"&amp;$AC32,PayEmp,$C32)))))))</f>
        <v>50</v>
      </c>
      <c r="U32" s="133" cm="1">
        <f t="array" aca="1" ref="U32" ca="1">IF($F32="Terminated",0,IF($AA32=0,0,IF(ISNA(MATCH(U$5,CompListItem,0)),0,IF(COUNTIFS(OverEmp,$C32,OverComp,U$5,OverDate,"&lt;"&amp;DATE(YEAR($AC32),MONTH($AC32)+1,1),OverEnd,"&gt;="&amp;DATE(YEAR($AC32),MONTH($AC32),1))&gt;0,SUMIFS(OverValue,OverEmp,$C32,OverComp,U$5,OverDate,"&lt;"&amp;DATE(YEAR($AC32),MONTH($AC32)+1,1),OverEnd,"&gt;="&amp;DATE(YEAR($AC32),MONTH($AC32),1)),IF(OR(U$2="Fixed",U$2="Not Used"),(OFFSET(Setup!$E$81,MATCH(U$5,CompListItem,0),0,1,1)*$AA32)-SUMIFS(OFFSET(U$6,1,0,PayCount,1),PayDate,"&lt;"&amp;$AC32,PayEmp,$C32),IF(ISNA(MATCH(U$2,DedListItem,0))=FALSE,(SUMPRODUCT((PayEmp=$C32)*(PayDate&lt;=$AC32)*(PayDedList=U$2)*(PayDedValues))*OFFSET(Setup!$E$81,MATCH(U$5,CompListItem,0),0,1,1))-SUMIFS(OFFSET(U$6,1,0,PayCount,1),PayDate,"&lt;"&amp;$AC32,PayEmp,$C32),(MIN(IF(OFFSET(Setup!$G$81,MATCH(U$5,CompListItem,0),0,1,1)="Taxable",SUMPRODUCT((PayEmp=$C32)*(PayDate&lt;=$AC32)*(ISERROR(SEARCH(PayEarnCode,U$4)))*(PayEarnTax)*(PayEarnValues)),SUMPRODUCT((PayEmp=$C32)*(PayDate&lt;=$AC32)*(ISERROR(SEARCH(PayEarnCode,U$4)))*(PayEarnValues))),IF(ISNUMBER(U$3),U$3/12*$AA32,IgnoreMin)))*OFFSET(Setup!$E$81,MATCH(U$5,CompListItem,0),0,1,1)-SUMIFS(OFFSET(U$6,1,0,PayCount,1),PayDate,"&lt;"&amp;$AC32,PayEmp,$C32)))))))</f>
        <v>50</v>
      </c>
      <c r="V32" s="133" cm="1">
        <f t="array" aca="1" ref="V32" ca="1">IF($F32="Terminated",0,IF($AA32=0,0,IF(ISNA(MATCH(V$5,CompListItem,0)),0,IF(COUNTIFS(OverEmp,$C32,OverComp,V$5,OverDate,"&lt;"&amp;DATE(YEAR($AC32),MONTH($AC32)+1,1),OverEnd,"&gt;="&amp;DATE(YEAR($AC32),MONTH($AC32),1))&gt;0,SUMIFS(OverValue,OverEmp,$C32,OverComp,V$5,OverDate,"&lt;"&amp;DATE(YEAR($AC32),MONTH($AC32)+1,1),OverEnd,"&gt;="&amp;DATE(YEAR($AC32),MONTH($AC32),1)),IF(OR(V$2="Fixed",V$2="Not Used"),(OFFSET(Setup!$E$81,MATCH(V$5,CompListItem,0),0,1,1)*$AA32)-SUMIFS(OFFSET(V$6,1,0,PayCount,1),PayDate,"&lt;"&amp;$AC32,PayEmp,$C32),IF(ISNA(MATCH(V$2,DedListItem,0))=FALSE,(SUMPRODUCT((PayEmp=$C32)*(PayDate&lt;=$AC32)*(PayDedList=V$2)*(PayDedValues))*OFFSET(Setup!$E$81,MATCH(V$5,CompListItem,0),0,1,1))-SUMIFS(OFFSET(V$6,1,0,PayCount,1),PayDate,"&lt;"&amp;$AC32,PayEmp,$C32),(MIN(IF(OFFSET(Setup!$G$81,MATCH(V$5,CompListItem,0),0,1,1)="Taxable",SUMPRODUCT((PayEmp=$C32)*(PayDate&lt;=$AC32)*(ISERROR(SEARCH(PayEarnCode,V$4)))*(PayEarnTax)*(PayEarnValues)),SUMPRODUCT((PayEmp=$C32)*(PayDate&lt;=$AC32)*(ISERROR(SEARCH(PayEarnCode,V$4)))*(PayEarnValues))),IF(ISNUMBER(V$3),V$3/12*$AA32,IgnoreMin)))*OFFSET(Setup!$E$81,MATCH(V$5,CompListItem,0),0,1,1)-SUMIFS(OFFSET(V$6,1,0,PayCount,1),PayDate,"&lt;"&amp;$AC32,PayEmp,$C32)))))))</f>
        <v>0</v>
      </c>
      <c r="W32" s="133" cm="1">
        <f t="array" aca="1" ref="W32" ca="1">IF($F32="Terminated",0,IF($AA32=0,0,IF(ISNA(MATCH(W$5,CompListItem,0)),0,IF(COUNTIFS(OverEmp,$C32,OverComp,W$5,OverDate,"&lt;"&amp;DATE(YEAR($AC32),MONTH($AC32)+1,1),OverEnd,"&gt;="&amp;DATE(YEAR($AC32),MONTH($AC32),1))&gt;0,SUMIFS(OverValue,OverEmp,$C32,OverComp,W$5,OverDate,"&lt;"&amp;DATE(YEAR($AC32),MONTH($AC32)+1,1),OverEnd,"&gt;="&amp;DATE(YEAR($AC32),MONTH($AC32),1)),IF(OR(W$2="Fixed",W$2="Not Used"),(OFFSET(Setup!$E$81,MATCH(W$5,CompListItem,0),0,1,1)*$AA32)-SUMIFS(OFFSET(W$6,1,0,PayCount,1),PayDate,"&lt;"&amp;$AC32,PayEmp,$C32),IF(ISNA(MATCH(W$2,DedListItem,0))=FALSE,(SUMPRODUCT((PayEmp=$C32)*(PayDate&lt;=$AC32)*(PayDedList=W$2)*(PayDedValues))*OFFSET(Setup!$E$81,MATCH(W$5,CompListItem,0),0,1,1))-SUMIFS(OFFSET(W$6,1,0,PayCount,1),PayDate,"&lt;"&amp;$AC32,PayEmp,$C32),(MIN(IF(OFFSET(Setup!$G$81,MATCH(W$5,CompListItem,0),0,1,1)="Taxable",SUMPRODUCT((PayEmp=$C32)*(PayDate&lt;=$AC32)*(ISERROR(SEARCH(PayEarnCode,W$4)))*(PayEarnTax)*(PayEarnValues)),SUMPRODUCT((PayEmp=$C32)*(PayDate&lt;=$AC32)*(ISERROR(SEARCH(PayEarnCode,W$4)))*(PayEarnValues))),IF(ISNUMBER(W$3),W$3/12*$AA32,IgnoreMin)))*OFFSET(Setup!$E$81,MATCH(W$5,CompListItem,0),0,1,1)-SUMIFS(OFFSET(W$6,1,0,PayCount,1),PayDate,"&lt;"&amp;$AC32,PayEmp,$C32)))))))</f>
        <v>0</v>
      </c>
      <c r="X32" s="185">
        <f t="shared" ca="1" si="3"/>
        <v>100</v>
      </c>
      <c r="Y32" s="139">
        <f t="shared" ca="1" si="4"/>
        <v>5100</v>
      </c>
      <c r="Z32" s="139">
        <f t="shared" ca="1" si="5"/>
        <v>150</v>
      </c>
      <c r="AA32" s="146">
        <f ca="1">IF(OR($B32&lt;=Setup!$E$12,$B32&gt;=Setup!$D$12+1),0,IF($F32&lt;&gt;"Active",0,IF($AE32="Yes",$AB32,((YEAR($AC32)*12)+MONTH($AC32))-((YEAR($AD32)*12)+MONTH($AD32)-1))))</f>
        <v>2</v>
      </c>
      <c r="AB32" s="146">
        <f ca="1">IF(OR($B32&lt;=Setup!$E$12,$B32&gt;=Setup!$D$12+1),0,((YEAR($AC32)*12)+MONTH($AC32))-((YEAR(Setup!$E$12)*12)+MONTH(Setup!$E$12)))</f>
        <v>2</v>
      </c>
      <c r="AC32" s="186">
        <f t="shared" ca="1" si="6"/>
        <v>45041</v>
      </c>
      <c r="AD32" s="144">
        <f ca="1">IF(ISNA(VLOOKUP($C32,EmpAll,COLUMN(Emp!$E$4),0)),$AC32,IF(VLOOKUP($C32,EmpAll,COLUMN(Emp!$E$4),0)&lt;=Setup!$E$12,DATE(YEAR(Setup!$E$12),MONTH(Setup!$E$12)+1,1),VLOOKUP($C32,EmpAll,COLUMN(Emp!$E$4),0)))</f>
        <v>44986</v>
      </c>
      <c r="AE32" s="144" t="str">
        <f ca="1">IF(ISNA(VLOOKUP($C32,EmpAll,COLUMN(Emp!$G$1),0)),"-",IF(VLOOKUP($C32,EmpAll,COLUMN(Emp!$G$1),0)=0,"-",VLOOKUP($C32,EmpAll,COLUMN(Emp!$G$1),0)))</f>
        <v>-</v>
      </c>
      <c r="AF32" s="145">
        <f ca="1">IF(A32=PaySlip!$G$3,1,0)</f>
        <v>0</v>
      </c>
      <c r="AG32" s="130" cm="1">
        <f t="array" aca="1" ref="AG32" ca="1">IF(COUNTIFS(OverEmp,$C32,OverMed,"MED",OverDate,"&lt;"&amp;DATE(YEAR($AC32),MONTH($AC32)+1,1),OverEnd,"&gt;="&amp;DATE(YEAR($AC32),MONTH($AC32),1))&gt;0,SUMIFS(OverValue,OverEmp,$C32,OverMed,"MED",OverDate,"&lt;"&amp;DATE(YEAR($AC32),MONTH($AC32)+1,1),OverEnd,"&gt;="&amp;DATE(YEAR($AC32),MONTH($AC32),1)),IF(ISNA(VLOOKUP($C32,EmpAll,COLUMN(Emp!$N$4),0)),0,VLOOKUP($C32,EmpAll,COLUMN(Emp!$N$4),0)))</f>
        <v>0</v>
      </c>
      <c r="AH32" s="146">
        <f ca="1">VLOOKUP($AG32,MedList,COLUMN(Setup!$C$49),1)</f>
        <v>0</v>
      </c>
      <c r="AI32" s="146">
        <f t="shared" ca="1" si="7"/>
        <v>0</v>
      </c>
      <c r="AJ32" s="101" t="str">
        <f ca="1">IF(ISNA(VLOOKUP($C32,EmpAll,COLUMN(Emp!$L$4),0)),"None!",VLOOKUP($C32,EmpAll,COLUMN(Emp!$L$4),0))</f>
        <v>A</v>
      </c>
      <c r="AK32" s="147">
        <f t="shared" ca="1" si="8"/>
        <v>17235</v>
      </c>
      <c r="AL32" s="101" t="str">
        <f ca="1">IF(ISNA(VLOOKUP($C32,Employees[],COLUMN(Emp!$M$4),0))=TRUE,"Error!",IF(VLOOKUP($C32,Employees[],COLUMN(Emp!$M$4),0)=0,"Yes",VLOOKUP($C32,Employees[],COLUMN(Emp!$M$4),0)))</f>
        <v>A</v>
      </c>
      <c r="AM32" s="148">
        <f t="shared" ca="1" si="9"/>
        <v>60000</v>
      </c>
      <c r="AN32" s="148" cm="1">
        <f t="array" aca="1" ref="AN32" ca="1">-IF($F32="Terminated",0,IF($AA32=0,0,IF(ISNA(MATCH(AN$5,PayDedList,0)),0,MIN(IF(COUNTIFS(OverEmp,$C32,OverDeduct,AN$5,OverDate,"&lt;"&amp;DATE(YEAR($AC32),MONTH($AC32)+1,1),OverEnd,"&gt;="&amp;DATE(YEAR($AC32),MONTH($AC32),1))&gt;0,SUMPRODUCT((PayEmp=$C32)*(PayDate&lt;=$AC32)*(OFFSET($N$6,1,MATCH(AN$5,PayDedList,0)-1,PayCount,1)))/$AA32*12*AN$3,IF(OR(AN$1="Fixed",AN$1="Not Used"),SUMPRODUCT((PayEmp=$C32)*(PayDate&lt;=$AC32)*(OFFSET($N$6,1,MATCH(AN$5,PayDedList,0)-1,PayCount,1)))/$AA32*12*AN$3,IF(ISNA(MATCH(AN$1,EarnListItem,0))=FALSE,SUMPRODUCT((PayEmp=$C32)*(PayDate&lt;=$AC32)*(OFFSET($N$6,1,MATCH(AN$5,PayDedList,0)-1,PayCount,1)))/$AA32*12*AN$3,(MIN(((SUMPRODUCT((PayEmp=$C32)*(PayDate&lt;=$AC32)*(ISERROR(SEARCH(PayEarnCode,AN$2)))*(PayEarnType="Monthly")*(PayEarnValues))/$AA32*12)+(SUMPRODUCT((PayEmp=$C32)*(PayDate&lt;=$AC32)*(ISERROR(SEARCH(PayEarnCode,AN$2)))*(PayEarnType="Quarterly")*(PayEarnValues))/MAX(1,ROUNDDOWN($AB32/3,0))*4)+(SUMPRODUCT((PayEmp=$C32)*(PayDate&lt;=$AC32)*(ISERROR(SEARCH(PayEarnCode,AN$2)))*(PayEarnType="Bi-Annual")*(PayEarnValues))/MAX(1,ROUNDDOWN($AB32/6,0))*2)+(SUMPRODUCT((PayEmp=$C32)*(PayDate&lt;=$AC32)*(ISERROR(SEARCH(PayEarnCode,AN$2)))*(PayEarnType="Annual")*(PayEarnValues)))),IF(ISNUMBER(OFFSET($N$3,0,MATCH(AN$5,PayDedList,0)-1,1,1)),OFFSET($N$3,0,MATCH(AN$5,PayDedList,0)-1,1,1),IgnoreMin)))*IF(COUNTIFS(EmpNo,$C32,OFFSET(Emp!$R$4,1,MATCH(AN$5,DedListItem,0)-1,EmpCount,1),"&lt;&gt;")&gt;0,VLOOKUP($C32,EmpAll,COLUMN(Emp!$R$4)+MATCH(AN$5,DedListItem,0)-1,0),OFFSET(Setup!$E$73,MATCH(AN$5,DedListItem,0),0,1,1))*AN$3))),IF(ISNUMBER(AN$4),AN$4,IgnoreMin)))))</f>
        <v>0</v>
      </c>
      <c r="AO32" s="148" cm="1">
        <f t="array" aca="1" ref="AO32" ca="1">-IF($F32="Terminated",0,IF($AA32=0,0,IF(ISNA(MATCH(AO$5,PayDedList,0)),0,MIN(IF(COUNTIFS(OverEmp,$C32,OverDeduct,AO$5,OverDate,"&lt;"&amp;DATE(YEAR($AC32),MONTH($AC32)+1,1),OverEnd,"&gt;="&amp;DATE(YEAR($AC32),MONTH($AC32),1))&gt;0,SUMPRODUCT((PayEmp=$C32)*(PayDate&lt;=$AC32)*(OFFSET($N$6,1,MATCH(AO$5,PayDedList,0)-1,PayCount,1)))/$AA32*12*AO$3,IF(OR(AO$1="Fixed",AO$1="Not Used"),SUMPRODUCT((PayEmp=$C32)*(PayDate&lt;=$AC32)*(OFFSET($N$6,1,MATCH(AO$5,PayDedList,0)-1,PayCount,1)))/$AA32*12*AO$3,IF(ISNA(MATCH(AO$1,EarnListItem,0))=FALSE,SUMPRODUCT((PayEmp=$C32)*(PayDate&lt;=$AC32)*(OFFSET($N$6,1,MATCH(AO$5,PayDedList,0)-1,PayCount,1)))/$AA32*12*AO$3,(MIN(((SUMPRODUCT((PayEmp=$C32)*(PayDate&lt;=$AC32)*(ISERROR(SEARCH(PayEarnCode,AO$2)))*(PayEarnType="Monthly")*(PayEarnValues))/$AA32*12)+(SUMPRODUCT((PayEmp=$C32)*(PayDate&lt;=$AC32)*(ISERROR(SEARCH(PayEarnCode,AO$2)))*(PayEarnType="Quarterly")*(PayEarnValues))/MAX(1,ROUNDDOWN($AB32/3,0))*4)+(SUMPRODUCT((PayEmp=$C32)*(PayDate&lt;=$AC32)*(ISERROR(SEARCH(PayEarnCode,AO$2)))*(PayEarnType="Bi-Annual")*(PayEarnValues))/MAX(1,ROUNDDOWN($AB32/6,0))*2)+(SUMPRODUCT((PayEmp=$C32)*(PayDate&lt;=$AC32)*(ISERROR(SEARCH(PayEarnCode,AO$2)))*(PayEarnType="Annual")*(PayEarnValues)))),IF(ISNUMBER(OFFSET($N$3,0,MATCH(AO$5,PayDedList,0)-1,1,1)),OFFSET($N$3,0,MATCH(AO$5,PayDedList,0)-1,1,1),IgnoreMin)))*IF(COUNTIFS(EmpNo,$C32,OFFSET(Emp!$R$4,1,MATCH(AO$5,DedListItem,0)-1,EmpCount,1),"&lt;&gt;")&gt;0,VLOOKUP($C32,EmpAll,COLUMN(Emp!$R$4)+MATCH(AO$5,DedListItem,0)-1,0),OFFSET(Setup!$E$73,MATCH(AO$5,DedListItem,0),0,1,1))*AO$3))),IF(ISNUMBER(AO$4),AO$4,IgnoreMin)))))</f>
        <v>0</v>
      </c>
      <c r="AP32" s="148" cm="1">
        <f t="array" aca="1" ref="AP32" ca="1">-IF($F32="Terminated",0,IF($AA32=0,0,IF(ISNA(MATCH(AP$5,PayDedList,0)),0,MIN(IF(COUNTIFS(OverEmp,$C32,OverDeduct,AP$5,OverDate,"&lt;"&amp;DATE(YEAR($AC32),MONTH($AC32)+1,1),OverEnd,"&gt;="&amp;DATE(YEAR($AC32),MONTH($AC32),1))&gt;0,SUMPRODUCT((PayEmp=$C32)*(PayDate&lt;=$AC32)*(OFFSET($N$6,1,MATCH(AP$5,PayDedList,0)-1,PayCount,1)))/$AA32*12*AP$3,IF(OR(AP$1="Fixed",AP$1="Not Used"),SUMPRODUCT((PayEmp=$C32)*(PayDate&lt;=$AC32)*(OFFSET($N$6,1,MATCH(AP$5,PayDedList,0)-1,PayCount,1)))/$AA32*12*AP$3,IF(ISNA(MATCH(AP$1,EarnListItem,0))=FALSE,SUMPRODUCT((PayEmp=$C32)*(PayDate&lt;=$AC32)*(OFFSET($N$6,1,MATCH(AP$5,PayDedList,0)-1,PayCount,1)))/$AA32*12*AP$3,(MIN(((SUMPRODUCT((PayEmp=$C32)*(PayDate&lt;=$AC32)*(ISERROR(SEARCH(PayEarnCode,AP$2)))*(PayEarnType="Monthly")*(PayEarnValues))/$AA32*12)+(SUMPRODUCT((PayEmp=$C32)*(PayDate&lt;=$AC32)*(ISERROR(SEARCH(PayEarnCode,AP$2)))*(PayEarnType="Quarterly")*(PayEarnValues))/MAX(1,ROUNDDOWN($AB32/3,0))*4)+(SUMPRODUCT((PayEmp=$C32)*(PayDate&lt;=$AC32)*(ISERROR(SEARCH(PayEarnCode,AP$2)))*(PayEarnType="Bi-Annual")*(PayEarnValues))/MAX(1,ROUNDDOWN($AB32/6,0))*2)+(SUMPRODUCT((PayEmp=$C32)*(PayDate&lt;=$AC32)*(ISERROR(SEARCH(PayEarnCode,AP$2)))*(PayEarnType="Annual")*(PayEarnValues)))),IF(ISNUMBER(OFFSET($N$3,0,MATCH(AP$5,PayDedList,0)-1,1,1)),OFFSET($N$3,0,MATCH(AP$5,PayDedList,0)-1,1,1),IgnoreMin)))*IF(COUNTIFS(EmpNo,$C32,OFFSET(Emp!$R$4,1,MATCH(AP$5,DedListItem,0)-1,EmpCount,1),"&lt;&gt;")&gt;0,VLOOKUP($C32,EmpAll,COLUMN(Emp!$R$4)+MATCH(AP$5,DedListItem,0)-1,0),OFFSET(Setup!$E$73,MATCH(AP$5,DedListItem,0),0,1,1))*AP$3))),IF(ISNUMBER(AP$4),AP$4,IgnoreMin)))))</f>
        <v>0</v>
      </c>
      <c r="AQ32" s="148" cm="1">
        <f t="array" aca="1" ref="AQ32" ca="1">-IF($F32="Terminated",0,IF($AA32=0,0,IF(ISNA(MATCH(AQ$5,PayDedList,0)),0,MIN(IF(COUNTIFS(OverEmp,$C32,OverDeduct,AQ$5,OverDate,"&lt;"&amp;DATE(YEAR($AC32),MONTH($AC32)+1,1),OverEnd,"&gt;="&amp;DATE(YEAR($AC32),MONTH($AC32),1))&gt;0,SUMPRODUCT((PayEmp=$C32)*(PayDate&lt;=$AC32)*(OFFSET($N$6,1,MATCH(AQ$5,PayDedList,0)-1,PayCount,1)))/$AA32*12*AQ$3,IF(OR(AQ$1="Fixed",AQ$1="Not Used"),SUMPRODUCT((PayEmp=$C32)*(PayDate&lt;=$AC32)*(OFFSET($N$6,1,MATCH(AQ$5,PayDedList,0)-1,PayCount,1)))/$AA32*12*AQ$3,IF(ISNA(MATCH(AQ$1,EarnListItem,0))=FALSE,SUMPRODUCT((PayEmp=$C32)*(PayDate&lt;=$AC32)*(OFFSET($N$6,1,MATCH(AQ$5,PayDedList,0)-1,PayCount,1)))/$AA32*12*AQ$3,(MIN(((SUMPRODUCT((PayEmp=$C32)*(PayDate&lt;=$AC32)*(ISERROR(SEARCH(PayEarnCode,AQ$2)))*(PayEarnType="Monthly")*(PayEarnValues))/$AA32*12)+(SUMPRODUCT((PayEmp=$C32)*(PayDate&lt;=$AC32)*(ISERROR(SEARCH(PayEarnCode,AQ$2)))*(PayEarnType="Quarterly")*(PayEarnValues))/MAX(1,ROUNDDOWN($AB32/3,0))*4)+(SUMPRODUCT((PayEmp=$C32)*(PayDate&lt;=$AC32)*(ISERROR(SEARCH(PayEarnCode,AQ$2)))*(PayEarnType="Bi-Annual")*(PayEarnValues))/MAX(1,ROUNDDOWN($AB32/6,0))*2)+(SUMPRODUCT((PayEmp=$C32)*(PayDate&lt;=$AC32)*(ISERROR(SEARCH(PayEarnCode,AQ$2)))*(PayEarnType="Annual")*(PayEarnValues)))),IF(ISNUMBER(OFFSET($N$3,0,MATCH(AQ$5,PayDedList,0)-1,1,1)),OFFSET($N$3,0,MATCH(AQ$5,PayDedList,0)-1,1,1),IgnoreMin)))*IF(COUNTIFS(EmpNo,$C32,OFFSET(Emp!$R$4,1,MATCH(AQ$5,DedListItem,0)-1,EmpCount,1),"&lt;&gt;")&gt;0,VLOOKUP($C32,EmpAll,COLUMN(Emp!$R$4)+MATCH(AQ$5,DedListItem,0)-1,0),OFFSET(Setup!$E$73,MATCH(AQ$5,DedListItem,0),0,1,1))*AQ$3))),IF(ISNUMBER(AQ$4),AQ$4,IgnoreMin)))))</f>
        <v>0</v>
      </c>
      <c r="AR32" s="148">
        <f t="shared" ca="1" si="10"/>
        <v>60000</v>
      </c>
      <c r="AS32" s="148">
        <f t="shared" ca="1" si="11"/>
        <v>60000</v>
      </c>
      <c r="AT32" s="148" cm="1">
        <f t="array" aca="1" ref="AT32" ca="1">-IF($F32="Terminated",0,IF($AA32=0,0,IF(ISNA(MATCH(AT$5,PayDedList,0)),0,MIN(IF(COUNTIFS(OverEmp,$C32,OverDeduct,AT$5,OverDate,"&lt;"&amp;DATE(YEAR($AC32),MONTH($AC32)+1,1),OverEnd,"&gt;="&amp;DATE(YEAR($AC32),MONTH($AC32),1))&gt;0,SUMPRODUCT((PayEmp=$C32)*(PayDate&lt;=$AC32)*(OFFSET($N$6,1,MATCH(AT$5,PayDedList,0)-1,PayCount,1)))/$AA32*12*AT$3,IF(OR(AT$1="Fixed",AT$1="Not Used"),SUMPRODUCT((PayEmp=$C32)*(PayDate&lt;=$AC32)*(OFFSET($N$6,1,MATCH(AT$5,PayDedList,0)-1,PayCount,1)))/$AA32*12*AT$3,IF(ISNA(MATCH(OFFSET($N$2,0,MATCH(AT$5,PayDedList,0)-1,1,1),EarnListItem,0))=FALSE,SUMPRODUCT((PayEmp=$C32)*(PayDate&lt;=$AC32)*(OFFSET($N$6,1,MATCH(AT$5,PayDedList,0)-1,PayCount,1)))/$AA32*12*AT$3,(MIN(SUMPRODUCT((PayEmp=$C32)*(PayDate&lt;=$AC32)*(ISERROR(SEARCH(PayEarnCode,AT$2)))*(PayEarnType="Monthly")*(PayEarnValues))/$AA32*12,IF(ISNUMBER(OFFSET($N$3,0,MATCH(AT$5,PayDedList,0)-1,1,1)),OFFSET($N$3,0,MATCH(AT$5,PayDedList,0)-1,1,1),IgnoreMin)))*IF(COUNTIFS(EmpNo,$C32,OFFSET(Emp!$R$4,1,MATCH(AT$5,DedListItem,0)-1,EmpCount,1),"&lt;&gt;")&gt;0,VLOOKUP($C32,EmpAll,COLUMN(Emp!$R$4)+MATCH(AT$5,DedListItem,0)-1,0),OFFSET(Setup!$E$73,MATCH(AT$5,DedListItem,0),0,1,1))*AT$3))),IF(ISNUMBER(AT$4),AT$4,IgnoreMin)))))</f>
        <v>0</v>
      </c>
      <c r="AU32" s="148" cm="1">
        <f t="array" aca="1" ref="AU32" ca="1">-IF($F32="Terminated",0,IF($AA32=0,0,IF(ISNA(MATCH(AU$5,PayDedList,0)),0,MIN(IF(COUNTIFS(OverEmp,$C32,OverDeduct,AU$5,OverDate,"&lt;"&amp;DATE(YEAR($AC32),MONTH($AC32)+1,1),OverEnd,"&gt;="&amp;DATE(YEAR($AC32),MONTH($AC32),1))&gt;0,SUMPRODUCT((PayEmp=$C32)*(PayDate&lt;=$AC32)*(OFFSET($N$6,1,MATCH(AU$5,PayDedList,0)-1,PayCount,1)))/$AA32*12*AU$3,IF(OR(AU$1="Fixed",AU$1="Not Used"),SUMPRODUCT((PayEmp=$C32)*(PayDate&lt;=$AC32)*(OFFSET($N$6,1,MATCH(AU$5,PayDedList,0)-1,PayCount,1)))/$AA32*12*AU$3,IF(ISNA(MATCH(OFFSET($N$2,0,MATCH(AU$5,PayDedList,0)-1,1,1),EarnListItem,0))=FALSE,SUMPRODUCT((PayEmp=$C32)*(PayDate&lt;=$AC32)*(OFFSET($N$6,1,MATCH(AU$5,PayDedList,0)-1,PayCount,1)))/$AA32*12*AU$3,(MIN(SUMPRODUCT((PayEmp=$C32)*(PayDate&lt;=$AC32)*(ISERROR(SEARCH(PayEarnCode,AU$2)))*(PayEarnType="Monthly")*(PayEarnValues))/$AA32*12,IF(ISNUMBER(OFFSET($N$3,0,MATCH(AU$5,PayDedList,0)-1,1,1)),OFFSET($N$3,0,MATCH(AU$5,PayDedList,0)-1,1,1),IgnoreMin)))*IF(COUNTIFS(EmpNo,$C32,OFFSET(Emp!$R$4,1,MATCH(AU$5,DedListItem,0)-1,EmpCount,1),"&lt;&gt;")&gt;0,VLOOKUP($C32,EmpAll,COLUMN(Emp!$R$4)+MATCH(AU$5,DedListItem,0)-1,0),OFFSET(Setup!$E$73,MATCH(AU$5,DedListItem,0),0,1,1))*AU$3))),IF(ISNUMBER(AU$4),AU$4,IgnoreMin)))))</f>
        <v>0</v>
      </c>
      <c r="AV32" s="148" cm="1">
        <f t="array" aca="1" ref="AV32" ca="1">-IF($F32="Terminated",0,IF($AA32=0,0,IF(ISNA(MATCH(AV$5,PayDedList,0)),0,MIN(IF(COUNTIFS(OverEmp,$C32,OverDeduct,AV$5,OverDate,"&lt;"&amp;DATE(YEAR($AC32),MONTH($AC32)+1,1),OverEnd,"&gt;="&amp;DATE(YEAR($AC32),MONTH($AC32),1))&gt;0,SUMPRODUCT((PayEmp=$C32)*(PayDate&lt;=$AC32)*(OFFSET($N$6,1,MATCH(AV$5,PayDedList,0)-1,PayCount,1)))/$AA32*12*AV$3,IF(OR(AV$1="Fixed",AV$1="Not Used"),SUMPRODUCT((PayEmp=$C32)*(PayDate&lt;=$AC32)*(OFFSET($N$6,1,MATCH(AV$5,PayDedList,0)-1,PayCount,1)))/$AA32*12*AV$3,IF(ISNA(MATCH(OFFSET($N$2,0,MATCH(AV$5,PayDedList,0)-1,1,1),EarnListItem,0))=FALSE,SUMPRODUCT((PayEmp=$C32)*(PayDate&lt;=$AC32)*(OFFSET($N$6,1,MATCH(AV$5,PayDedList,0)-1,PayCount,1)))/$AA32*12*AV$3,(MIN(SUMPRODUCT((PayEmp=$C32)*(PayDate&lt;=$AC32)*(ISERROR(SEARCH(PayEarnCode,AV$2)))*(PayEarnType="Monthly")*(PayEarnValues))/$AA32*12,IF(ISNUMBER(OFFSET($N$3,0,MATCH(AV$5,PayDedList,0)-1,1,1)),OFFSET($N$3,0,MATCH(AV$5,PayDedList,0)-1,1,1),IgnoreMin)))*IF(COUNTIFS(EmpNo,$C32,OFFSET(Emp!$R$4,1,MATCH(AV$5,DedListItem,0)-1,EmpCount,1),"&lt;&gt;")&gt;0,VLOOKUP($C32,EmpAll,COLUMN(Emp!$R$4)+MATCH(AV$5,DedListItem,0)-1,0),OFFSET(Setup!$E$73,MATCH(AV$5,DedListItem,0),0,1,1))*AV$3))),IF(ISNUMBER(AV$4),AV$4,IgnoreMin)))))</f>
        <v>0</v>
      </c>
      <c r="AW32" s="148" cm="1">
        <f t="array" aca="1" ref="AW32" ca="1">-IF($F32="Terminated",0,IF($AA32=0,0,IF(ISNA(MATCH(AW$5,PayDedList,0)),0,MIN(IF(COUNTIFS(OverEmp,$C32,OverDeduct,AW$5,OverDate,"&lt;"&amp;DATE(YEAR($AC32),MONTH($AC32)+1,1),OverEnd,"&gt;="&amp;DATE(YEAR($AC32),MONTH($AC32),1))&gt;0,SUMPRODUCT((PayEmp=$C32)*(PayDate&lt;=$AC32)*(OFFSET($N$6,1,MATCH(AW$5,PayDedList,0)-1,PayCount,1)))/$AA32*12*AW$3,IF(OR(AW$1="Fixed",AW$1="Not Used"),SUMPRODUCT((PayEmp=$C32)*(PayDate&lt;=$AC32)*(OFFSET($N$6,1,MATCH(AW$5,PayDedList,0)-1,PayCount,1)))/$AA32*12*AW$3,IF(ISNA(MATCH(OFFSET($N$2,0,MATCH(AW$5,PayDedList,0)-1,1,1),EarnListItem,0))=FALSE,SUMPRODUCT((PayEmp=$C32)*(PayDate&lt;=$AC32)*(OFFSET($N$6,1,MATCH(AW$5,PayDedList,0)-1,PayCount,1)))/$AA32*12*AW$3,(MIN(SUMPRODUCT((PayEmp=$C32)*(PayDate&lt;=$AC32)*(ISERROR(SEARCH(PayEarnCode,AW$2)))*(PayEarnType="Monthly")*(PayEarnValues))/$AA32*12,IF(ISNUMBER(OFFSET($N$3,0,MATCH(AW$5,PayDedList,0)-1,1,1)),OFFSET($N$3,0,MATCH(AW$5,PayDedList,0)-1,1,1),IgnoreMin)))*IF(COUNTIFS(EmpNo,$C32,OFFSET(Emp!$R$4,1,MATCH(AW$5,DedListItem,0)-1,EmpCount,1),"&lt;&gt;")&gt;0,VLOOKUP($C32,EmpAll,COLUMN(Emp!$R$4)+MATCH(AW$5,DedListItem,0)-1,0),OFFSET(Setup!$E$73,MATCH(AW$5,DedListItem,0),0,1,1))*AW$3))),IF(ISNUMBER(AW$4),AW$4,IgnoreMin)))))</f>
        <v>0</v>
      </c>
      <c r="AX32" s="148">
        <f t="shared" ca="1" si="12"/>
        <v>60000</v>
      </c>
      <c r="AY32" s="148">
        <f t="shared" ca="1" si="13"/>
        <v>0</v>
      </c>
      <c r="AZ32" s="148">
        <f ca="1">IF(ISNUMBER($AL32),($AR32*$AL32)-$AI32-$AK32,MAX(0,IF($AL32="B",IF($AR32&lt;Setup!$C$32,($AR32*Setup!$D$32)-$AI32-$AK32,(($AR32-VLOOKUP($AR32,TaxAll2,1,1))*OFFSET(Setup!$D$32,MATCH($AR32,TaxBracket2,1),0,1,1))+OFFSET(Setup!$E$31,MATCH($AR32,TaxBracket2,1),0,1,1)-$AI32-$AK32),IF($AR32&lt;Setup!$C$21,($AR32*Setup!$D$21)-$AI32-$AK32,(($AR32-VLOOKUP($AR32,TaxAll1,1,1))*OFFSET(Setup!$D$21,MATCH($AR32,TaxBracket1,1),0,1,1))+OFFSET(Setup!$E$20,MATCH($AR32,TaxBracket1,1),0,1,1)-$AI32-$AK32))))</f>
        <v>0</v>
      </c>
      <c r="BA32" s="148">
        <f ca="1">IF(ISNUMBER($AL32),($AX32*$AL32)-$AI32-$AK32,MAX(0,IF($AL32="B",IF($AX32&lt;Setup!$C$32,($AX32*Setup!$D$32)-$AI32-$AK32,(($AX32-VLOOKUP($AX32,TaxAll2,1,1))*OFFSET(Setup!$D$32,MATCH($AX32,TaxBracket2,1),0,1,1))+OFFSET(Setup!$E$31,MATCH($AX32,TaxBracket2,1),0,1,1)-$AI32-$AK32),IF($AX32&lt;Setup!$C$21,($AX32*Setup!$D$21)-$AI32-$AK32,(($AX32-VLOOKUP($AX32,TaxAll1,1,1))*OFFSET(Setup!$D$21,MATCH($AX32,TaxBracket1,1),0,1,1))+OFFSET(Setup!$E$20,MATCH($AX32,TaxBracket1,1),0,1,1)-$AI32-$AK32))))</f>
        <v>0</v>
      </c>
      <c r="BB32" s="148">
        <f t="shared" ca="1" si="14"/>
        <v>0</v>
      </c>
      <c r="BC32" s="150">
        <f t="shared" ca="1" si="15"/>
        <v>1</v>
      </c>
      <c r="BD32" s="150">
        <f t="shared" ca="1" si="16"/>
        <v>0</v>
      </c>
      <c r="BE32" s="148">
        <f t="shared" ca="1" si="17"/>
        <v>60000</v>
      </c>
    </row>
    <row r="33" spans="1:57" ht="16.149999999999999" customHeight="1" x14ac:dyDescent="0.25">
      <c r="A33" s="10" t="str" cm="1">
        <f t="array" aca="1" ref="A33" ca="1">IF(ROW($A33)-ROW($A$6)&gt;EmpCount*12,"-",TEXT($B33,"yyyy")&amp;TEXT($B33,"mm")&amp;"-"&amp;$C33)</f>
        <v>202304-EXS012</v>
      </c>
      <c r="B33" s="137" cm="1">
        <f t="array" aca="1" ref="B33" ca="1">IF(ROW($A33)-ROW($A$6)&gt;EmpCount*12,Setup!$D$12,DATE(YEAR(Setup!$F$12),MONTH(Setup!$F$12)+ROUNDDOWN((ROW($A33)-ROW($A$6)-1)/EmpCount,0),IF(Setup!$C$14&gt;DAY(DATE(YEAR(Setup!$F$12),MONTH(Setup!$F$12)+ROUNDDOWN((ROW($A33)-ROW($A$6)-1)/EmpCount,0)+1,0)),DAY(DATE(YEAR(Setup!$F$12),MONTH(Setup!$F$12)+ROUNDDOWN((ROW($A33)-ROW($A$6)-1)/EmpCount,0)+1,0)),Setup!$C$14)))</f>
        <v>45041</v>
      </c>
      <c r="C33" s="101" t="str" cm="1">
        <f t="array" aca="1" ref="C33" ca="1">IF(ROW($A33)-ROW($A$6)&gt;EmpCount*12,"-",OFFSET(Emp!$A$4,ROW($A33)-ROW($A$6)-IF(ROW($A33)-ROW($A$6)&gt;EmpCount,ROUNDDOWN((ROW($A33)-ROW($A$6)-1)/EmpCount,0)*EmpCount,0),0,1,1))</f>
        <v>EXS012</v>
      </c>
      <c r="D33" s="10" t="str">
        <f ca="1">IF(ISNA(VLOOKUP($C33,EmpAll,COLUMN(Emp!$B$4),0)),"-",VLOOKUP($C33,EmpAll,COLUMN(Emp!$B$4),0))</f>
        <v>Williams VS</v>
      </c>
      <c r="E33" s="145" t="str">
        <f ca="1">IF(ISNA(VLOOKUP($C33,EmpAll,COLUMN(Emp!$C$4),0)),"-",VLOOKUP($C33,EmpAll,COLUMN(Emp!$C$4),0))</f>
        <v>A</v>
      </c>
      <c r="F33" s="101" t="str">
        <f ca="1">IF(ISNA(VLOOKUP($C33,EmpAll,COLUMN(Emp!$A$4),0)),"-",IF(AND(VLOOKUP($C33,EmpAll,COLUMN(Emp!$E$4),0)&lt;&gt;0,VLOOKUP($C33,EmpAll,COLUMN(Emp!$E$4),0)&gt;=DATE(YEAR($AC33),MONTH($AC33)+1,0)),"Inactive",IF(AND(VLOOKUP($C33,EmpAll,COLUMN(Emp!$F$4),0)&lt;&gt;0,VLOOKUP($C33,EmpAll,COLUMN(Emp!$F$4),0)&lt;=DATE(YEAR($AC33),MONTH($AC33),0)),"Terminated","Active")))</f>
        <v>Active</v>
      </c>
      <c r="G33" s="133" cm="1">
        <f t="array" aca="1" ref="G33" ca="1">IF($F33&lt;&gt;"Active",0,IF(COUNTIFS(OverEmp,$C33,OverEarn,G$2,OverDate,"&lt;"&amp;DATE(YEAR($AC33),MONTH($AC33)+1,1),OverEnd,"&gt;="&amp;DATE(YEAR($AC33),MONTH($AC33),1))&gt;0,SUMIFS(OverValue,OverEmp,$C33,OverEarn,G$2,OverDate,"&lt;"&amp;DATE(YEAR($AC33),MONTH($AC33)+1,1),OverEnd,"&gt;="&amp;DATE(YEAR($AC33),MONTH($AC33),1)),IF(AND($AC33&gt;=Setup!$E$10,SUMIFS(EmpIncrease,EmpCode,$C33)&gt;0),SUMIFS(EmpIncrease,EmpCode,$C33),SUMIFS(EmpSalary,EmpCode,$C33))))</f>
        <v>5000</v>
      </c>
      <c r="H33" s="133" cm="1">
        <f t="array" aca="1" ref="H33" ca="1">IF($F33&lt;&gt;"Active",0,IF(COUNTIFS(OverEmp,$C33,OverEarn,H$2,OverDate,"&lt;"&amp;DATE(YEAR($AC33),MONTH($AC33)+1,1),OverEnd,"&gt;="&amp;DATE(YEAR($AC33),MONTH($AC33),1))&gt;0,SUMIFS(OverValue,OverEmp,$C33,OverEarn,H$2,OverDate,"&lt;"&amp;DATE(YEAR($AC33),MONTH($AC33)+1,1),OverEnd,"&gt;="&amp;DATE(YEAR($AC33),MONTH($AC33),1)),0))</f>
        <v>0</v>
      </c>
      <c r="I33" s="133" cm="1">
        <f t="array" aca="1" ref="I33" ca="1">IF($F33&lt;&gt;"Active",0,IF(COUNTIFS(OverEmp,$C33,OverEarn,I$2,OverDate,"&lt;"&amp;DATE(YEAR($AC33),MONTH($AC33)+1,1),OverEnd,"&gt;="&amp;DATE(YEAR($AC33),MONTH($AC33),1))&gt;0,SUMIFS(OverValue,OverEmp,$C33,OverEarn,I$2,OverDate,"&lt;"&amp;DATE(YEAR($AC33),MONTH($AC33)+1,1),OverEnd,"&gt;="&amp;DATE(YEAR($AC33),MONTH($AC33),1)),IF(MONTH(B33)=Setup!$C$15,SUMIFS(EmpBonus,EmpCode,$C33),0)))</f>
        <v>0</v>
      </c>
      <c r="J33" s="133" cm="1">
        <f t="array" aca="1" ref="J33" ca="1">IF($F33&lt;&gt;"Active",0,IF(COUNTIFS(OverEmp,$C33,OverEarn,J$2,OverDate,"&lt;"&amp;DATE(YEAR($AC33),MONTH($AC33)+1,1),OverEnd,"&gt;="&amp;DATE(YEAR($AC33),MONTH($AC33),1))&gt;0,SUMIFS(OverValue,OverEmp,$C33,OverEarn,J$2,OverDate,"&lt;"&amp;DATE(YEAR($AC33),MONTH($AC33)+1,1),OverEnd,"&gt;="&amp;DATE(YEAR($AC33),MONTH($AC33),1)),0))</f>
        <v>0</v>
      </c>
      <c r="K33" s="133" cm="1">
        <f t="array" aca="1" ref="K33" ca="1">IF($F33&lt;&gt;"Active",0,IF(COUNTIFS(OverEmp,$C33,OverEarn,K$2,OverDate,"&lt;"&amp;DATE(YEAR($AC33),MONTH($AC33)+1,1),OverEnd,"&gt;="&amp;DATE(YEAR($AC33),MONTH($AC33),1))&gt;0,SUMIFS(OverValue,OverEmp,$C33,OverEarn,K$2,OverDate,"&lt;"&amp;DATE(YEAR($AC33),MONTH($AC33)+1,1),OverEnd,"&gt;="&amp;DATE(YEAR($AC33),MONTH($AC33),1)),0))</f>
        <v>0</v>
      </c>
      <c r="L33" s="185">
        <f t="shared" ca="1" si="0"/>
        <v>5000</v>
      </c>
      <c r="M33" s="182" cm="1">
        <f t="array" aca="1" ref="M33" ca="1">IF(COUNTIFS(OverEmp,$C33,OverTax,M$5,OverDate,"&lt;"&amp;DATE(YEAR($AC33),MONTH($AC33)+1,1),OverEnd,"&gt;="&amp;DATE(YEAR($AC33),MONTH($AC33),1))&gt;0,SUMIFS(OverValue,OverEmp,$C33,OverTax,M$5,OverDate,"&lt;"&amp;DATE(YEAR($AC33),MONTH($AC33)+1,1),OverEnd,"&gt;="&amp;DATE(YEAR($AC33),MONTH($AC33),1)),(($BA33/12*$AA33)+(BB33*IF(1-$BC33=0,0,BD33/(1-$BC33))))-IF($F33="Terminated",0,SUMIFS(PayTaxDeduct,PayDate,"&lt;"&amp;$AC33,PayEmp,$C33)))</f>
        <v>0</v>
      </c>
      <c r="N33" s="133" cm="1">
        <f t="array" aca="1" ref="N33" ca="1">IF($F33="Terminated",0,IF($AA33=0,0,IF(ISNA(MATCH(N$5,DedListItem,0)),0,IF(COUNTIFS(OverEmp,$C33,OverDeduct,N$5,OverDate,"&lt;"&amp;DATE(YEAR($AC33),MONTH($AC33)+1,1),OverEnd,"&gt;="&amp;DATE(YEAR($AC33),MONTH($AC33),1))&gt;0,SUMIFS(OverValue,OverEmp,$C33,OverDeduct,N$5,OverDate,"&lt;"&amp;DATE(YEAR($AC33),MONTH($AC33)+1,1),OverEnd,"&gt;="&amp;DATE(YEAR($AC33),MONTH($AC33),1)),IF(OR(N$2="Fixed",N$2="Not Used"),(IF(COUNTIFS(EmpNo,$C33,OFFSET(Emp!$R$4,1,MATCH(N$5,DedListItem,0)-1,EmpCount,1),"&lt;&gt;")&gt;0,VLOOKUP($C33,EmpAll,COLUMN(Emp!$R$4)+MATCH(N$5,DedListItem,0)-1,0),OFFSET(Setup!$E$73,MATCH(N$5,DedListItem,0),0,1,1))*$AA33)-SUMIFS(OFFSET(N$6,1,0,PayCount,1),PayDate,"&lt;"&amp;$AC33,PayEmp,$C33),IF(ISNA(MATCH(N$2,EarnListItem,0))=FALSE,IF(OFFSET(Setup!$G$73,MATCH(N$5,DedListItem,0),0,1,1)="Taxable",SUMPRODUCT((PayEmp=$C33)*(PayDate&lt;=$AC33)*(PayEarnCode=N$2)*(PayEarnTax)*(PayEarnValues)),SUMPRODUCT((PayEmp=$C33)*(PayDate&lt;=$AC33)*(PayEarnCode=N$2)*(PayEarnValues)))*IF(COUNTIFS(EmpNo,$C33,OFFSET(Emp!$R$4,1,MATCH(N$5,DedListItem,0)-1,EmpCount,1),"&lt;&gt;")&gt;0,VLOOKUP($C33,EmpAll,COLUMN(Emp!$R$4)+MATCH(N$5,DedListItem,0)-1,0),OFFSET(Setup!$E$73,MATCH(N$5,DedListItem,0),0,1,1)),(MIN(IF(OFFSET(Setup!$G$73,MATCH(N$5,DedListItem,0),0,1,1)="Taxable",SUMPRODUCT((PayEmp=$C33)*(PayDate&lt;=$AC33)*(ISERROR(SEARCH(PayEarnCode,N$4)))*(PayEarnTax)*(PayEarnValues)),SUMPRODUCT((PayEmp=$C33)*(PayDate&lt;=$AC33)*(ISERROR(SEARCH(PayEarnCode,N$4)))*(PayEarnValues))),IF(ISNUMBER(N$3),N$3/12*$AA33,IgnoreMin)))*IF(COUNTIFS(EmpNo,$C33,OFFSET(Emp!$R$4,1,MATCH(N$5,DedListItem,0)-1,EmpCount,1),"&lt;&gt;")&gt;0,VLOOKUP($C33,EmpAll,COLUMN(Emp!$R$4)+MATCH(N$5,DedListItem,0)-1,0),OFFSET(Setup!$E$73,MATCH(N$5,DedListItem,0),0,1,1)))-SUMIFS(OFFSET(N$6,1,0,PayCount,1),PayDate,"&lt;"&amp;$AC33,PayEmp,$C33))))))</f>
        <v>50</v>
      </c>
      <c r="O33" s="133" cm="1">
        <f t="array" aca="1" ref="O33" ca="1">IF($F33="Terminated",0,IF($AA33=0,0,IF(ISNA(MATCH(O$5,DedListItem,0)),0,IF(COUNTIFS(OverEmp,$C33,OverDeduct,O$5,OverDate,"&lt;"&amp;DATE(YEAR($AC33),MONTH($AC33)+1,1),OverEnd,"&gt;="&amp;DATE(YEAR($AC33),MONTH($AC33),1))&gt;0,SUMIFS(OverValue,OverEmp,$C33,OverDeduct,O$5,OverDate,"&lt;"&amp;DATE(YEAR($AC33),MONTH($AC33)+1,1),OverEnd,"&gt;="&amp;DATE(YEAR($AC33),MONTH($AC33),1)),IF(OR(O$2="Fixed",O$2="Not Used"),(IF(COUNTIFS(EmpNo,$C33,OFFSET(Emp!$R$4,1,MATCH(O$5,DedListItem,0)-1,EmpCount,1),"&lt;&gt;")&gt;0,VLOOKUP($C33,EmpAll,COLUMN(Emp!$R$4)+MATCH(O$5,DedListItem,0)-1,0),OFFSET(Setup!$E$73,MATCH(O$5,DedListItem,0),0,1,1))*$AA33)-SUMIFS(OFFSET(O$6,1,0,PayCount,1),PayDate,"&lt;"&amp;$AC33,PayEmp,$C33),IF(ISNA(MATCH(O$2,EarnListItem,0))=FALSE,IF(OFFSET(Setup!$G$73,MATCH(O$5,DedListItem,0),0,1,1)="Taxable",SUMPRODUCT((PayEmp=$C33)*(PayDate&lt;=$AC33)*(PayEarnCode=O$2)*(PayEarnTax)*(PayEarnValues)),SUMPRODUCT((PayEmp=$C33)*(PayDate&lt;=$AC33)*(PayEarnCode=O$2)*(PayEarnValues)))*IF(COUNTIFS(EmpNo,$C33,OFFSET(Emp!$R$4,1,MATCH(O$5,DedListItem,0)-1,EmpCount,1),"&lt;&gt;")&gt;0,VLOOKUP($C33,EmpAll,COLUMN(Emp!$R$4)+MATCH(O$5,DedListItem,0)-1,0),OFFSET(Setup!$E$73,MATCH(O$5,DedListItem,0),0,1,1)),(MIN(IF(OFFSET(Setup!$G$73,MATCH(O$5,DedListItem,0),0,1,1)="Taxable",SUMPRODUCT((PayEmp=$C33)*(PayDate&lt;=$AC33)*(ISERROR(SEARCH(PayEarnCode,O$4)))*(PayEarnTax)*(PayEarnValues)),SUMPRODUCT((PayEmp=$C33)*(PayDate&lt;=$AC33)*(ISERROR(SEARCH(PayEarnCode,O$4)))*(PayEarnValues))),IF(ISNUMBER(O$3),O$3/12*$AA33,IgnoreMin)))*IF(COUNTIFS(EmpNo,$C33,OFFSET(Emp!$R$4,1,MATCH(O$5,DedListItem,0)-1,EmpCount,1),"&lt;&gt;")&gt;0,VLOOKUP($C33,EmpAll,COLUMN(Emp!$R$4)+MATCH(O$5,DedListItem,0)-1,0),OFFSET(Setup!$E$73,MATCH(O$5,DedListItem,0),0,1,1)))-SUMIFS(OFFSET(O$6,1,0,PayCount,1),PayDate,"&lt;"&amp;$AC33,PayEmp,$C33))))))</f>
        <v>0</v>
      </c>
      <c r="P33" s="133" cm="1">
        <f t="array" aca="1" ref="P33" ca="1">IF($F33="Terminated",0,IF($AA33=0,0,IF(ISNA(MATCH(P$5,DedListItem,0)),0,IF(COUNTIFS(OverEmp,$C33,OverDeduct,P$5,OverDate,"&lt;"&amp;DATE(YEAR($AC33),MONTH($AC33)+1,1),OverEnd,"&gt;="&amp;DATE(YEAR($AC33),MONTH($AC33),1))&gt;0,SUMIFS(OverValue,OverEmp,$C33,OverDeduct,P$5,OverDate,"&lt;"&amp;DATE(YEAR($AC33),MONTH($AC33)+1,1),OverEnd,"&gt;="&amp;DATE(YEAR($AC33),MONTH($AC33),1)),IF(OR(P$2="Fixed",P$2="Not Used"),(IF(COUNTIFS(EmpNo,$C33,OFFSET(Emp!$R$4,1,MATCH(P$5,DedListItem,0)-1,EmpCount,1),"&lt;&gt;")&gt;0,VLOOKUP($C33,EmpAll,COLUMN(Emp!$R$4)+MATCH(P$5,DedListItem,0)-1,0),OFFSET(Setup!$E$73,MATCH(P$5,DedListItem,0),0,1,1))*$AA33)-SUMIFS(OFFSET(P$6,1,0,PayCount,1),PayDate,"&lt;"&amp;$AC33,PayEmp,$C33),IF(ISNA(MATCH(P$2,EarnListItem,0))=FALSE,IF(OFFSET(Setup!$G$73,MATCH(P$5,DedListItem,0),0,1,1)="Taxable",SUMPRODUCT((PayEmp=$C33)*(PayDate&lt;=$AC33)*(PayEarnCode=P$2)*(PayEarnTax)*(PayEarnValues)),SUMPRODUCT((PayEmp=$C33)*(PayDate&lt;=$AC33)*(PayEarnCode=P$2)*(PayEarnValues)))*IF(COUNTIFS(EmpNo,$C33,OFFSET(Emp!$R$4,1,MATCH(P$5,DedListItem,0)-1,EmpCount,1),"&lt;&gt;")&gt;0,VLOOKUP($C33,EmpAll,COLUMN(Emp!$R$4)+MATCH(P$5,DedListItem,0)-1,0),OFFSET(Setup!$E$73,MATCH(P$5,DedListItem,0),0,1,1)),(MIN(IF(OFFSET(Setup!$G$73,MATCH(P$5,DedListItem,0),0,1,1)="Taxable",SUMPRODUCT((PayEmp=$C33)*(PayDate&lt;=$AC33)*(ISERROR(SEARCH(PayEarnCode,P$4)))*(PayEarnTax)*(PayEarnValues)),SUMPRODUCT((PayEmp=$C33)*(PayDate&lt;=$AC33)*(ISERROR(SEARCH(PayEarnCode,P$4)))*(PayEarnValues))),IF(ISNUMBER(P$3),P$3/12*$AA33,IgnoreMin)))*IF(COUNTIFS(EmpNo,$C33,OFFSET(Emp!$R$4,1,MATCH(P$5,DedListItem,0)-1,EmpCount,1),"&lt;&gt;")&gt;0,VLOOKUP($C33,EmpAll,COLUMN(Emp!$R$4)+MATCH(P$5,DedListItem,0)-1,0),OFFSET(Setup!$E$73,MATCH(P$5,DedListItem,0),0,1,1)))-SUMIFS(OFFSET(P$6,1,0,PayCount,1),PayDate,"&lt;"&amp;$AC33,PayEmp,$C33))))))</f>
        <v>0</v>
      </c>
      <c r="Q33" s="133" cm="1">
        <f t="array" aca="1" ref="Q33" ca="1">IF($F33="Terminated",0,IF($AA33=0,0,IF(ISNA(MATCH(Q$5,DedListItem,0)),0,IF(COUNTIFS(OverEmp,$C33,OverDeduct,Q$5,OverDate,"&lt;"&amp;DATE(YEAR($AC33),MONTH($AC33)+1,1),OverEnd,"&gt;="&amp;DATE(YEAR($AC33),MONTH($AC33),1))&gt;0,SUMIFS(OverValue,OverEmp,$C33,OverDeduct,Q$5,OverDate,"&lt;"&amp;DATE(YEAR($AC33),MONTH($AC33)+1,1),OverEnd,"&gt;="&amp;DATE(YEAR($AC33),MONTH($AC33),1)),IF(OR(Q$2="Fixed",Q$2="Not Used"),(IF(COUNTIFS(EmpNo,$C33,OFFSET(Emp!$R$4,1,MATCH(Q$5,DedListItem,0)-1,EmpCount,1),"&lt;&gt;")&gt;0,VLOOKUP($C33,EmpAll,COLUMN(Emp!$R$4)+MATCH(Q$5,DedListItem,0)-1,0),OFFSET(Setup!$E$73,MATCH(Q$5,DedListItem,0),0,1,1))*$AA33)-SUMIFS(OFFSET(Q$6,1,0,PayCount,1),PayDate,"&lt;"&amp;$AC33,PayEmp,$C33),IF(ISNA(MATCH(Q$2,EarnListItem,0))=FALSE,IF(OFFSET(Setup!$G$73,MATCH(Q$5,DedListItem,0),0,1,1)="Taxable",SUMPRODUCT((PayEmp=$C33)*(PayDate&lt;=$AC33)*(PayEarnCode=Q$2)*(PayEarnTax)*(PayEarnValues)),SUMPRODUCT((PayEmp=$C33)*(PayDate&lt;=$AC33)*(PayEarnCode=Q$2)*(PayEarnValues)))*IF(COUNTIFS(EmpNo,$C33,OFFSET(Emp!$R$4,1,MATCH(Q$5,DedListItem,0)-1,EmpCount,1),"&lt;&gt;")&gt;0,VLOOKUP($C33,EmpAll,COLUMN(Emp!$R$4)+MATCH(Q$5,DedListItem,0)-1,0),OFFSET(Setup!$E$73,MATCH(Q$5,DedListItem,0),0,1,1)),(MIN(IF(OFFSET(Setup!$G$73,MATCH(Q$5,DedListItem,0),0,1,1)="Taxable",SUMPRODUCT((PayEmp=$C33)*(PayDate&lt;=$AC33)*(ISERROR(SEARCH(PayEarnCode,Q$4)))*(PayEarnTax)*(PayEarnValues)),SUMPRODUCT((PayEmp=$C33)*(PayDate&lt;=$AC33)*(ISERROR(SEARCH(PayEarnCode,Q$4)))*(PayEarnValues))),IF(ISNUMBER(Q$3),Q$3/12*$AA33,IgnoreMin)))*IF(COUNTIFS(EmpNo,$C33,OFFSET(Emp!$R$4,1,MATCH(Q$5,DedListItem,0)-1,EmpCount,1),"&lt;&gt;")&gt;0,VLOOKUP($C33,EmpAll,COLUMN(Emp!$R$4)+MATCH(Q$5,DedListItem,0)-1,0),OFFSET(Setup!$E$73,MATCH(Q$5,DedListItem,0),0,1,1)))-SUMIFS(OFFSET(Q$6,1,0,PayCount,1),PayDate,"&lt;"&amp;$AC33,PayEmp,$C33))))))</f>
        <v>0</v>
      </c>
      <c r="R33" s="185">
        <f t="shared" ca="1" si="1"/>
        <v>50</v>
      </c>
      <c r="S33" s="139">
        <f t="shared" ca="1" si="2"/>
        <v>4950</v>
      </c>
      <c r="T33" s="133" cm="1">
        <f t="array" aca="1" ref="T33" ca="1">IF($F33="Terminated",0,IF($AA33=0,0,IF(ISNA(MATCH(T$5,CompListItem,0)),0,IF(COUNTIFS(OverEmp,$C33,OverComp,T$5,OverDate,"&lt;"&amp;DATE(YEAR($AC33),MONTH($AC33)+1,1),OverEnd,"&gt;="&amp;DATE(YEAR($AC33),MONTH($AC33),1))&gt;0,SUMIFS(OverValue,OverEmp,$C33,OverComp,T$5,OverDate,"&lt;"&amp;DATE(YEAR($AC33),MONTH($AC33)+1,1),OverEnd,"&gt;="&amp;DATE(YEAR($AC33),MONTH($AC33),1)),IF(OR(T$2="Fixed",T$2="Not Used"),(OFFSET(Setup!$E$81,MATCH(T$5,CompListItem,0),0,1,1)*$AA33)-SUMIFS(OFFSET(T$6,1,0,PayCount,1),PayDate,"&lt;"&amp;$AC33,PayEmp,$C33),IF(ISNA(MATCH(T$2,DedListItem,0))=FALSE,(SUMPRODUCT((PayEmp=$C33)*(PayDate&lt;=$AC33)*(PayDedList=T$2)*(PayDedValues))*OFFSET(Setup!$E$81,MATCH(T$5,CompListItem,0),0,1,1))-SUMIFS(OFFSET(T$6,1,0,PayCount,1),PayDate,"&lt;"&amp;$AC33,PayEmp,$C33),(MIN(IF(OFFSET(Setup!$G$81,MATCH(T$5,CompListItem,0),0,1,1)="Taxable",SUMPRODUCT((PayEmp=$C33)*(PayDate&lt;=$AC33)*(ISERROR(SEARCH(PayEarnCode,T$4)))*(PayEarnTax)*(PayEarnValues)),SUMPRODUCT((PayEmp=$C33)*(PayDate&lt;=$AC33)*(ISERROR(SEARCH(PayEarnCode,T$4)))*(PayEarnValues))),IF(ISNUMBER(T$3),T$3/12*$AA33,IgnoreMin)))*OFFSET(Setup!$E$81,MATCH(T$5,CompListItem,0),0,1,1)-SUMIFS(OFFSET(T$6,1,0,PayCount,1),PayDate,"&lt;"&amp;$AC33,PayEmp,$C33)))))))</f>
        <v>50</v>
      </c>
      <c r="U33" s="133" cm="1">
        <f t="array" aca="1" ref="U33" ca="1">IF($F33="Terminated",0,IF($AA33=0,0,IF(ISNA(MATCH(U$5,CompListItem,0)),0,IF(COUNTIFS(OverEmp,$C33,OverComp,U$5,OverDate,"&lt;"&amp;DATE(YEAR($AC33),MONTH($AC33)+1,1),OverEnd,"&gt;="&amp;DATE(YEAR($AC33),MONTH($AC33),1))&gt;0,SUMIFS(OverValue,OverEmp,$C33,OverComp,U$5,OverDate,"&lt;"&amp;DATE(YEAR($AC33),MONTH($AC33)+1,1),OverEnd,"&gt;="&amp;DATE(YEAR($AC33),MONTH($AC33),1)),IF(OR(U$2="Fixed",U$2="Not Used"),(OFFSET(Setup!$E$81,MATCH(U$5,CompListItem,0),0,1,1)*$AA33)-SUMIFS(OFFSET(U$6,1,0,PayCount,1),PayDate,"&lt;"&amp;$AC33,PayEmp,$C33),IF(ISNA(MATCH(U$2,DedListItem,0))=FALSE,(SUMPRODUCT((PayEmp=$C33)*(PayDate&lt;=$AC33)*(PayDedList=U$2)*(PayDedValues))*OFFSET(Setup!$E$81,MATCH(U$5,CompListItem,0),0,1,1))-SUMIFS(OFFSET(U$6,1,0,PayCount,1),PayDate,"&lt;"&amp;$AC33,PayEmp,$C33),(MIN(IF(OFFSET(Setup!$G$81,MATCH(U$5,CompListItem,0),0,1,1)="Taxable",SUMPRODUCT((PayEmp=$C33)*(PayDate&lt;=$AC33)*(ISERROR(SEARCH(PayEarnCode,U$4)))*(PayEarnTax)*(PayEarnValues)),SUMPRODUCT((PayEmp=$C33)*(PayDate&lt;=$AC33)*(ISERROR(SEARCH(PayEarnCode,U$4)))*(PayEarnValues))),IF(ISNUMBER(U$3),U$3/12*$AA33,IgnoreMin)))*OFFSET(Setup!$E$81,MATCH(U$5,CompListItem,0),0,1,1)-SUMIFS(OFFSET(U$6,1,0,PayCount,1),PayDate,"&lt;"&amp;$AC33,PayEmp,$C33)))))))</f>
        <v>50</v>
      </c>
      <c r="V33" s="133" cm="1">
        <f t="array" aca="1" ref="V33" ca="1">IF($F33="Terminated",0,IF($AA33=0,0,IF(ISNA(MATCH(V$5,CompListItem,0)),0,IF(COUNTIFS(OverEmp,$C33,OverComp,V$5,OverDate,"&lt;"&amp;DATE(YEAR($AC33),MONTH($AC33)+1,1),OverEnd,"&gt;="&amp;DATE(YEAR($AC33),MONTH($AC33),1))&gt;0,SUMIFS(OverValue,OverEmp,$C33,OverComp,V$5,OverDate,"&lt;"&amp;DATE(YEAR($AC33),MONTH($AC33)+1,1),OverEnd,"&gt;="&amp;DATE(YEAR($AC33),MONTH($AC33),1)),IF(OR(V$2="Fixed",V$2="Not Used"),(OFFSET(Setup!$E$81,MATCH(V$5,CompListItem,0),0,1,1)*$AA33)-SUMIFS(OFFSET(V$6,1,0,PayCount,1),PayDate,"&lt;"&amp;$AC33,PayEmp,$C33),IF(ISNA(MATCH(V$2,DedListItem,0))=FALSE,(SUMPRODUCT((PayEmp=$C33)*(PayDate&lt;=$AC33)*(PayDedList=V$2)*(PayDedValues))*OFFSET(Setup!$E$81,MATCH(V$5,CompListItem,0),0,1,1))-SUMIFS(OFFSET(V$6,1,0,PayCount,1),PayDate,"&lt;"&amp;$AC33,PayEmp,$C33),(MIN(IF(OFFSET(Setup!$G$81,MATCH(V$5,CompListItem,0),0,1,1)="Taxable",SUMPRODUCT((PayEmp=$C33)*(PayDate&lt;=$AC33)*(ISERROR(SEARCH(PayEarnCode,V$4)))*(PayEarnTax)*(PayEarnValues)),SUMPRODUCT((PayEmp=$C33)*(PayDate&lt;=$AC33)*(ISERROR(SEARCH(PayEarnCode,V$4)))*(PayEarnValues))),IF(ISNUMBER(V$3),V$3/12*$AA33,IgnoreMin)))*OFFSET(Setup!$E$81,MATCH(V$5,CompListItem,0),0,1,1)-SUMIFS(OFFSET(V$6,1,0,PayCount,1),PayDate,"&lt;"&amp;$AC33,PayEmp,$C33)))))))</f>
        <v>0</v>
      </c>
      <c r="W33" s="133" cm="1">
        <f t="array" aca="1" ref="W33" ca="1">IF($F33="Terminated",0,IF($AA33=0,0,IF(ISNA(MATCH(W$5,CompListItem,0)),0,IF(COUNTIFS(OverEmp,$C33,OverComp,W$5,OverDate,"&lt;"&amp;DATE(YEAR($AC33),MONTH($AC33)+1,1),OverEnd,"&gt;="&amp;DATE(YEAR($AC33),MONTH($AC33),1))&gt;0,SUMIFS(OverValue,OverEmp,$C33,OverComp,W$5,OverDate,"&lt;"&amp;DATE(YEAR($AC33),MONTH($AC33)+1,1),OverEnd,"&gt;="&amp;DATE(YEAR($AC33),MONTH($AC33),1)),IF(OR(W$2="Fixed",W$2="Not Used"),(OFFSET(Setup!$E$81,MATCH(W$5,CompListItem,0),0,1,1)*$AA33)-SUMIFS(OFFSET(W$6,1,0,PayCount,1),PayDate,"&lt;"&amp;$AC33,PayEmp,$C33),IF(ISNA(MATCH(W$2,DedListItem,0))=FALSE,(SUMPRODUCT((PayEmp=$C33)*(PayDate&lt;=$AC33)*(PayDedList=W$2)*(PayDedValues))*OFFSET(Setup!$E$81,MATCH(W$5,CompListItem,0),0,1,1))-SUMIFS(OFFSET(W$6,1,0,PayCount,1),PayDate,"&lt;"&amp;$AC33,PayEmp,$C33),(MIN(IF(OFFSET(Setup!$G$81,MATCH(W$5,CompListItem,0),0,1,1)="Taxable",SUMPRODUCT((PayEmp=$C33)*(PayDate&lt;=$AC33)*(ISERROR(SEARCH(PayEarnCode,W$4)))*(PayEarnTax)*(PayEarnValues)),SUMPRODUCT((PayEmp=$C33)*(PayDate&lt;=$AC33)*(ISERROR(SEARCH(PayEarnCode,W$4)))*(PayEarnValues))),IF(ISNUMBER(W$3),W$3/12*$AA33,IgnoreMin)))*OFFSET(Setup!$E$81,MATCH(W$5,CompListItem,0),0,1,1)-SUMIFS(OFFSET(W$6,1,0,PayCount,1),PayDate,"&lt;"&amp;$AC33,PayEmp,$C33)))))))</f>
        <v>0</v>
      </c>
      <c r="X33" s="185">
        <f t="shared" ca="1" si="3"/>
        <v>100</v>
      </c>
      <c r="Y33" s="139">
        <f t="shared" ca="1" si="4"/>
        <v>5100</v>
      </c>
      <c r="Z33" s="139">
        <f t="shared" ca="1" si="5"/>
        <v>150</v>
      </c>
      <c r="AA33" s="146">
        <f ca="1">IF(OR($B33&lt;=Setup!$E$12,$B33&gt;=Setup!$D$12+1),0,IF($F33&lt;&gt;"Active",0,IF($AE33="Yes",$AB33,((YEAR($AC33)*12)+MONTH($AC33))-((YEAR($AD33)*12)+MONTH($AD33)-1))))</f>
        <v>2</v>
      </c>
      <c r="AB33" s="146">
        <f ca="1">IF(OR($B33&lt;=Setup!$E$12,$B33&gt;=Setup!$D$12+1),0,((YEAR($AC33)*12)+MONTH($AC33))-((YEAR(Setup!$E$12)*12)+MONTH(Setup!$E$12)))</f>
        <v>2</v>
      </c>
      <c r="AC33" s="186">
        <f t="shared" ca="1" si="6"/>
        <v>45041</v>
      </c>
      <c r="AD33" s="144">
        <f ca="1">IF(ISNA(VLOOKUP($C33,EmpAll,COLUMN(Emp!$E$4),0)),$AC33,IF(VLOOKUP($C33,EmpAll,COLUMN(Emp!$E$4),0)&lt;=Setup!$E$12,DATE(YEAR(Setup!$E$12),MONTH(Setup!$E$12)+1,1),VLOOKUP($C33,EmpAll,COLUMN(Emp!$E$4),0)))</f>
        <v>44986</v>
      </c>
      <c r="AE33" s="144" t="str">
        <f ca="1">IF(ISNA(VLOOKUP($C33,EmpAll,COLUMN(Emp!$G$1),0)),"-",IF(VLOOKUP($C33,EmpAll,COLUMN(Emp!$G$1),0)=0,"-",VLOOKUP($C33,EmpAll,COLUMN(Emp!$G$1),0)))</f>
        <v>-</v>
      </c>
      <c r="AF33" s="145">
        <f ca="1">IF(A33=PaySlip!$G$3,1,0)</f>
        <v>0</v>
      </c>
      <c r="AG33" s="130" cm="1">
        <f t="array" aca="1" ref="AG33" ca="1">IF(COUNTIFS(OverEmp,$C33,OverMed,"MED",OverDate,"&lt;"&amp;DATE(YEAR($AC33),MONTH($AC33)+1,1),OverEnd,"&gt;="&amp;DATE(YEAR($AC33),MONTH($AC33),1))&gt;0,SUMIFS(OverValue,OverEmp,$C33,OverMed,"MED",OverDate,"&lt;"&amp;DATE(YEAR($AC33),MONTH($AC33)+1,1),OverEnd,"&gt;="&amp;DATE(YEAR($AC33),MONTH($AC33),1)),IF(ISNA(VLOOKUP($C33,EmpAll,COLUMN(Emp!$N$4),0)),0,VLOOKUP($C33,EmpAll,COLUMN(Emp!$N$4),0)))</f>
        <v>0</v>
      </c>
      <c r="AH33" s="146">
        <f ca="1">VLOOKUP($AG33,MedList,COLUMN(Setup!$C$49),1)</f>
        <v>0</v>
      </c>
      <c r="AI33" s="146">
        <f t="shared" ca="1" si="7"/>
        <v>0</v>
      </c>
      <c r="AJ33" s="101" t="str">
        <f ca="1">IF(ISNA(VLOOKUP($C33,EmpAll,COLUMN(Emp!$L$4),0)),"None!",VLOOKUP($C33,EmpAll,COLUMN(Emp!$L$4),0))</f>
        <v>A</v>
      </c>
      <c r="AK33" s="147">
        <f t="shared" ca="1" si="8"/>
        <v>17235</v>
      </c>
      <c r="AL33" s="101" t="str">
        <f ca="1">IF(ISNA(VLOOKUP($C33,Employees[],COLUMN(Emp!$M$4),0))=TRUE,"Error!",IF(VLOOKUP($C33,Employees[],COLUMN(Emp!$M$4),0)=0,"Yes",VLOOKUP($C33,Employees[],COLUMN(Emp!$M$4),0)))</f>
        <v>A</v>
      </c>
      <c r="AM33" s="148">
        <f t="shared" ca="1" si="9"/>
        <v>60000</v>
      </c>
      <c r="AN33" s="148" cm="1">
        <f t="array" aca="1" ref="AN33" ca="1">-IF($F33="Terminated",0,IF($AA33=0,0,IF(ISNA(MATCH(AN$5,PayDedList,0)),0,MIN(IF(COUNTIFS(OverEmp,$C33,OverDeduct,AN$5,OverDate,"&lt;"&amp;DATE(YEAR($AC33),MONTH($AC33)+1,1),OverEnd,"&gt;="&amp;DATE(YEAR($AC33),MONTH($AC33),1))&gt;0,SUMPRODUCT((PayEmp=$C33)*(PayDate&lt;=$AC33)*(OFFSET($N$6,1,MATCH(AN$5,PayDedList,0)-1,PayCount,1)))/$AA33*12*AN$3,IF(OR(AN$1="Fixed",AN$1="Not Used"),SUMPRODUCT((PayEmp=$C33)*(PayDate&lt;=$AC33)*(OFFSET($N$6,1,MATCH(AN$5,PayDedList,0)-1,PayCount,1)))/$AA33*12*AN$3,IF(ISNA(MATCH(AN$1,EarnListItem,0))=FALSE,SUMPRODUCT((PayEmp=$C33)*(PayDate&lt;=$AC33)*(OFFSET($N$6,1,MATCH(AN$5,PayDedList,0)-1,PayCount,1)))/$AA33*12*AN$3,(MIN(((SUMPRODUCT((PayEmp=$C33)*(PayDate&lt;=$AC33)*(ISERROR(SEARCH(PayEarnCode,AN$2)))*(PayEarnType="Monthly")*(PayEarnValues))/$AA33*12)+(SUMPRODUCT((PayEmp=$C33)*(PayDate&lt;=$AC33)*(ISERROR(SEARCH(PayEarnCode,AN$2)))*(PayEarnType="Quarterly")*(PayEarnValues))/MAX(1,ROUNDDOWN($AB33/3,0))*4)+(SUMPRODUCT((PayEmp=$C33)*(PayDate&lt;=$AC33)*(ISERROR(SEARCH(PayEarnCode,AN$2)))*(PayEarnType="Bi-Annual")*(PayEarnValues))/MAX(1,ROUNDDOWN($AB33/6,0))*2)+(SUMPRODUCT((PayEmp=$C33)*(PayDate&lt;=$AC33)*(ISERROR(SEARCH(PayEarnCode,AN$2)))*(PayEarnType="Annual")*(PayEarnValues)))),IF(ISNUMBER(OFFSET($N$3,0,MATCH(AN$5,PayDedList,0)-1,1,1)),OFFSET($N$3,0,MATCH(AN$5,PayDedList,0)-1,1,1),IgnoreMin)))*IF(COUNTIFS(EmpNo,$C33,OFFSET(Emp!$R$4,1,MATCH(AN$5,DedListItem,0)-1,EmpCount,1),"&lt;&gt;")&gt;0,VLOOKUP($C33,EmpAll,COLUMN(Emp!$R$4)+MATCH(AN$5,DedListItem,0)-1,0),OFFSET(Setup!$E$73,MATCH(AN$5,DedListItem,0),0,1,1))*AN$3))),IF(ISNUMBER(AN$4),AN$4,IgnoreMin)))))</f>
        <v>0</v>
      </c>
      <c r="AO33" s="148" cm="1">
        <f t="array" aca="1" ref="AO33" ca="1">-IF($F33="Terminated",0,IF($AA33=0,0,IF(ISNA(MATCH(AO$5,PayDedList,0)),0,MIN(IF(COUNTIFS(OverEmp,$C33,OverDeduct,AO$5,OverDate,"&lt;"&amp;DATE(YEAR($AC33),MONTH($AC33)+1,1),OverEnd,"&gt;="&amp;DATE(YEAR($AC33),MONTH($AC33),1))&gt;0,SUMPRODUCT((PayEmp=$C33)*(PayDate&lt;=$AC33)*(OFFSET($N$6,1,MATCH(AO$5,PayDedList,0)-1,PayCount,1)))/$AA33*12*AO$3,IF(OR(AO$1="Fixed",AO$1="Not Used"),SUMPRODUCT((PayEmp=$C33)*(PayDate&lt;=$AC33)*(OFFSET($N$6,1,MATCH(AO$5,PayDedList,0)-1,PayCount,1)))/$AA33*12*AO$3,IF(ISNA(MATCH(AO$1,EarnListItem,0))=FALSE,SUMPRODUCT((PayEmp=$C33)*(PayDate&lt;=$AC33)*(OFFSET($N$6,1,MATCH(AO$5,PayDedList,0)-1,PayCount,1)))/$AA33*12*AO$3,(MIN(((SUMPRODUCT((PayEmp=$C33)*(PayDate&lt;=$AC33)*(ISERROR(SEARCH(PayEarnCode,AO$2)))*(PayEarnType="Monthly")*(PayEarnValues))/$AA33*12)+(SUMPRODUCT((PayEmp=$C33)*(PayDate&lt;=$AC33)*(ISERROR(SEARCH(PayEarnCode,AO$2)))*(PayEarnType="Quarterly")*(PayEarnValues))/MAX(1,ROUNDDOWN($AB33/3,0))*4)+(SUMPRODUCT((PayEmp=$C33)*(PayDate&lt;=$AC33)*(ISERROR(SEARCH(PayEarnCode,AO$2)))*(PayEarnType="Bi-Annual")*(PayEarnValues))/MAX(1,ROUNDDOWN($AB33/6,0))*2)+(SUMPRODUCT((PayEmp=$C33)*(PayDate&lt;=$AC33)*(ISERROR(SEARCH(PayEarnCode,AO$2)))*(PayEarnType="Annual")*(PayEarnValues)))),IF(ISNUMBER(OFFSET($N$3,0,MATCH(AO$5,PayDedList,0)-1,1,1)),OFFSET($N$3,0,MATCH(AO$5,PayDedList,0)-1,1,1),IgnoreMin)))*IF(COUNTIFS(EmpNo,$C33,OFFSET(Emp!$R$4,1,MATCH(AO$5,DedListItem,0)-1,EmpCount,1),"&lt;&gt;")&gt;0,VLOOKUP($C33,EmpAll,COLUMN(Emp!$R$4)+MATCH(AO$5,DedListItem,0)-1,0),OFFSET(Setup!$E$73,MATCH(AO$5,DedListItem,0),0,1,1))*AO$3))),IF(ISNUMBER(AO$4),AO$4,IgnoreMin)))))</f>
        <v>0</v>
      </c>
      <c r="AP33" s="148" cm="1">
        <f t="array" aca="1" ref="AP33" ca="1">-IF($F33="Terminated",0,IF($AA33=0,0,IF(ISNA(MATCH(AP$5,PayDedList,0)),0,MIN(IF(COUNTIFS(OverEmp,$C33,OverDeduct,AP$5,OverDate,"&lt;"&amp;DATE(YEAR($AC33),MONTH($AC33)+1,1),OverEnd,"&gt;="&amp;DATE(YEAR($AC33),MONTH($AC33),1))&gt;0,SUMPRODUCT((PayEmp=$C33)*(PayDate&lt;=$AC33)*(OFFSET($N$6,1,MATCH(AP$5,PayDedList,0)-1,PayCount,1)))/$AA33*12*AP$3,IF(OR(AP$1="Fixed",AP$1="Not Used"),SUMPRODUCT((PayEmp=$C33)*(PayDate&lt;=$AC33)*(OFFSET($N$6,1,MATCH(AP$5,PayDedList,0)-1,PayCount,1)))/$AA33*12*AP$3,IF(ISNA(MATCH(AP$1,EarnListItem,0))=FALSE,SUMPRODUCT((PayEmp=$C33)*(PayDate&lt;=$AC33)*(OFFSET($N$6,1,MATCH(AP$5,PayDedList,0)-1,PayCount,1)))/$AA33*12*AP$3,(MIN(((SUMPRODUCT((PayEmp=$C33)*(PayDate&lt;=$AC33)*(ISERROR(SEARCH(PayEarnCode,AP$2)))*(PayEarnType="Monthly")*(PayEarnValues))/$AA33*12)+(SUMPRODUCT((PayEmp=$C33)*(PayDate&lt;=$AC33)*(ISERROR(SEARCH(PayEarnCode,AP$2)))*(PayEarnType="Quarterly")*(PayEarnValues))/MAX(1,ROUNDDOWN($AB33/3,0))*4)+(SUMPRODUCT((PayEmp=$C33)*(PayDate&lt;=$AC33)*(ISERROR(SEARCH(PayEarnCode,AP$2)))*(PayEarnType="Bi-Annual")*(PayEarnValues))/MAX(1,ROUNDDOWN($AB33/6,0))*2)+(SUMPRODUCT((PayEmp=$C33)*(PayDate&lt;=$AC33)*(ISERROR(SEARCH(PayEarnCode,AP$2)))*(PayEarnType="Annual")*(PayEarnValues)))),IF(ISNUMBER(OFFSET($N$3,0,MATCH(AP$5,PayDedList,0)-1,1,1)),OFFSET($N$3,0,MATCH(AP$5,PayDedList,0)-1,1,1),IgnoreMin)))*IF(COUNTIFS(EmpNo,$C33,OFFSET(Emp!$R$4,1,MATCH(AP$5,DedListItem,0)-1,EmpCount,1),"&lt;&gt;")&gt;0,VLOOKUP($C33,EmpAll,COLUMN(Emp!$R$4)+MATCH(AP$5,DedListItem,0)-1,0),OFFSET(Setup!$E$73,MATCH(AP$5,DedListItem,0),0,1,1))*AP$3))),IF(ISNUMBER(AP$4),AP$4,IgnoreMin)))))</f>
        <v>0</v>
      </c>
      <c r="AQ33" s="148" cm="1">
        <f t="array" aca="1" ref="AQ33" ca="1">-IF($F33="Terminated",0,IF($AA33=0,0,IF(ISNA(MATCH(AQ$5,PayDedList,0)),0,MIN(IF(COUNTIFS(OverEmp,$C33,OverDeduct,AQ$5,OverDate,"&lt;"&amp;DATE(YEAR($AC33),MONTH($AC33)+1,1),OverEnd,"&gt;="&amp;DATE(YEAR($AC33),MONTH($AC33),1))&gt;0,SUMPRODUCT((PayEmp=$C33)*(PayDate&lt;=$AC33)*(OFFSET($N$6,1,MATCH(AQ$5,PayDedList,0)-1,PayCount,1)))/$AA33*12*AQ$3,IF(OR(AQ$1="Fixed",AQ$1="Not Used"),SUMPRODUCT((PayEmp=$C33)*(PayDate&lt;=$AC33)*(OFFSET($N$6,1,MATCH(AQ$5,PayDedList,0)-1,PayCount,1)))/$AA33*12*AQ$3,IF(ISNA(MATCH(AQ$1,EarnListItem,0))=FALSE,SUMPRODUCT((PayEmp=$C33)*(PayDate&lt;=$AC33)*(OFFSET($N$6,1,MATCH(AQ$5,PayDedList,0)-1,PayCount,1)))/$AA33*12*AQ$3,(MIN(((SUMPRODUCT((PayEmp=$C33)*(PayDate&lt;=$AC33)*(ISERROR(SEARCH(PayEarnCode,AQ$2)))*(PayEarnType="Monthly")*(PayEarnValues))/$AA33*12)+(SUMPRODUCT((PayEmp=$C33)*(PayDate&lt;=$AC33)*(ISERROR(SEARCH(PayEarnCode,AQ$2)))*(PayEarnType="Quarterly")*(PayEarnValues))/MAX(1,ROUNDDOWN($AB33/3,0))*4)+(SUMPRODUCT((PayEmp=$C33)*(PayDate&lt;=$AC33)*(ISERROR(SEARCH(PayEarnCode,AQ$2)))*(PayEarnType="Bi-Annual")*(PayEarnValues))/MAX(1,ROUNDDOWN($AB33/6,0))*2)+(SUMPRODUCT((PayEmp=$C33)*(PayDate&lt;=$AC33)*(ISERROR(SEARCH(PayEarnCode,AQ$2)))*(PayEarnType="Annual")*(PayEarnValues)))),IF(ISNUMBER(OFFSET($N$3,0,MATCH(AQ$5,PayDedList,0)-1,1,1)),OFFSET($N$3,0,MATCH(AQ$5,PayDedList,0)-1,1,1),IgnoreMin)))*IF(COUNTIFS(EmpNo,$C33,OFFSET(Emp!$R$4,1,MATCH(AQ$5,DedListItem,0)-1,EmpCount,1),"&lt;&gt;")&gt;0,VLOOKUP($C33,EmpAll,COLUMN(Emp!$R$4)+MATCH(AQ$5,DedListItem,0)-1,0),OFFSET(Setup!$E$73,MATCH(AQ$5,DedListItem,0),0,1,1))*AQ$3))),IF(ISNUMBER(AQ$4),AQ$4,IgnoreMin)))))</f>
        <v>0</v>
      </c>
      <c r="AR33" s="148">
        <f t="shared" ca="1" si="10"/>
        <v>60000</v>
      </c>
      <c r="AS33" s="148">
        <f t="shared" ca="1" si="11"/>
        <v>60000</v>
      </c>
      <c r="AT33" s="148" cm="1">
        <f t="array" aca="1" ref="AT33" ca="1">-IF($F33="Terminated",0,IF($AA33=0,0,IF(ISNA(MATCH(AT$5,PayDedList,0)),0,MIN(IF(COUNTIFS(OverEmp,$C33,OverDeduct,AT$5,OverDate,"&lt;"&amp;DATE(YEAR($AC33),MONTH($AC33)+1,1),OverEnd,"&gt;="&amp;DATE(YEAR($AC33),MONTH($AC33),1))&gt;0,SUMPRODUCT((PayEmp=$C33)*(PayDate&lt;=$AC33)*(OFFSET($N$6,1,MATCH(AT$5,PayDedList,0)-1,PayCount,1)))/$AA33*12*AT$3,IF(OR(AT$1="Fixed",AT$1="Not Used"),SUMPRODUCT((PayEmp=$C33)*(PayDate&lt;=$AC33)*(OFFSET($N$6,1,MATCH(AT$5,PayDedList,0)-1,PayCount,1)))/$AA33*12*AT$3,IF(ISNA(MATCH(OFFSET($N$2,0,MATCH(AT$5,PayDedList,0)-1,1,1),EarnListItem,0))=FALSE,SUMPRODUCT((PayEmp=$C33)*(PayDate&lt;=$AC33)*(OFFSET($N$6,1,MATCH(AT$5,PayDedList,0)-1,PayCount,1)))/$AA33*12*AT$3,(MIN(SUMPRODUCT((PayEmp=$C33)*(PayDate&lt;=$AC33)*(ISERROR(SEARCH(PayEarnCode,AT$2)))*(PayEarnType="Monthly")*(PayEarnValues))/$AA33*12,IF(ISNUMBER(OFFSET($N$3,0,MATCH(AT$5,PayDedList,0)-1,1,1)),OFFSET($N$3,0,MATCH(AT$5,PayDedList,0)-1,1,1),IgnoreMin)))*IF(COUNTIFS(EmpNo,$C33,OFFSET(Emp!$R$4,1,MATCH(AT$5,DedListItem,0)-1,EmpCount,1),"&lt;&gt;")&gt;0,VLOOKUP($C33,EmpAll,COLUMN(Emp!$R$4)+MATCH(AT$5,DedListItem,0)-1,0),OFFSET(Setup!$E$73,MATCH(AT$5,DedListItem,0),0,1,1))*AT$3))),IF(ISNUMBER(AT$4),AT$4,IgnoreMin)))))</f>
        <v>0</v>
      </c>
      <c r="AU33" s="148" cm="1">
        <f t="array" aca="1" ref="AU33" ca="1">-IF($F33="Terminated",0,IF($AA33=0,0,IF(ISNA(MATCH(AU$5,PayDedList,0)),0,MIN(IF(COUNTIFS(OverEmp,$C33,OverDeduct,AU$5,OverDate,"&lt;"&amp;DATE(YEAR($AC33),MONTH($AC33)+1,1),OverEnd,"&gt;="&amp;DATE(YEAR($AC33),MONTH($AC33),1))&gt;0,SUMPRODUCT((PayEmp=$C33)*(PayDate&lt;=$AC33)*(OFFSET($N$6,1,MATCH(AU$5,PayDedList,0)-1,PayCount,1)))/$AA33*12*AU$3,IF(OR(AU$1="Fixed",AU$1="Not Used"),SUMPRODUCT((PayEmp=$C33)*(PayDate&lt;=$AC33)*(OFFSET($N$6,1,MATCH(AU$5,PayDedList,0)-1,PayCount,1)))/$AA33*12*AU$3,IF(ISNA(MATCH(OFFSET($N$2,0,MATCH(AU$5,PayDedList,0)-1,1,1),EarnListItem,0))=FALSE,SUMPRODUCT((PayEmp=$C33)*(PayDate&lt;=$AC33)*(OFFSET($N$6,1,MATCH(AU$5,PayDedList,0)-1,PayCount,1)))/$AA33*12*AU$3,(MIN(SUMPRODUCT((PayEmp=$C33)*(PayDate&lt;=$AC33)*(ISERROR(SEARCH(PayEarnCode,AU$2)))*(PayEarnType="Monthly")*(PayEarnValues))/$AA33*12,IF(ISNUMBER(OFFSET($N$3,0,MATCH(AU$5,PayDedList,0)-1,1,1)),OFFSET($N$3,0,MATCH(AU$5,PayDedList,0)-1,1,1),IgnoreMin)))*IF(COUNTIFS(EmpNo,$C33,OFFSET(Emp!$R$4,1,MATCH(AU$5,DedListItem,0)-1,EmpCount,1),"&lt;&gt;")&gt;0,VLOOKUP($C33,EmpAll,COLUMN(Emp!$R$4)+MATCH(AU$5,DedListItem,0)-1,0),OFFSET(Setup!$E$73,MATCH(AU$5,DedListItem,0),0,1,1))*AU$3))),IF(ISNUMBER(AU$4),AU$4,IgnoreMin)))))</f>
        <v>0</v>
      </c>
      <c r="AV33" s="148" cm="1">
        <f t="array" aca="1" ref="AV33" ca="1">-IF($F33="Terminated",0,IF($AA33=0,0,IF(ISNA(MATCH(AV$5,PayDedList,0)),0,MIN(IF(COUNTIFS(OverEmp,$C33,OverDeduct,AV$5,OverDate,"&lt;"&amp;DATE(YEAR($AC33),MONTH($AC33)+1,1),OverEnd,"&gt;="&amp;DATE(YEAR($AC33),MONTH($AC33),1))&gt;0,SUMPRODUCT((PayEmp=$C33)*(PayDate&lt;=$AC33)*(OFFSET($N$6,1,MATCH(AV$5,PayDedList,0)-1,PayCount,1)))/$AA33*12*AV$3,IF(OR(AV$1="Fixed",AV$1="Not Used"),SUMPRODUCT((PayEmp=$C33)*(PayDate&lt;=$AC33)*(OFFSET($N$6,1,MATCH(AV$5,PayDedList,0)-1,PayCount,1)))/$AA33*12*AV$3,IF(ISNA(MATCH(OFFSET($N$2,0,MATCH(AV$5,PayDedList,0)-1,1,1),EarnListItem,0))=FALSE,SUMPRODUCT((PayEmp=$C33)*(PayDate&lt;=$AC33)*(OFFSET($N$6,1,MATCH(AV$5,PayDedList,0)-1,PayCount,1)))/$AA33*12*AV$3,(MIN(SUMPRODUCT((PayEmp=$C33)*(PayDate&lt;=$AC33)*(ISERROR(SEARCH(PayEarnCode,AV$2)))*(PayEarnType="Monthly")*(PayEarnValues))/$AA33*12,IF(ISNUMBER(OFFSET($N$3,0,MATCH(AV$5,PayDedList,0)-1,1,1)),OFFSET($N$3,0,MATCH(AV$5,PayDedList,0)-1,1,1),IgnoreMin)))*IF(COUNTIFS(EmpNo,$C33,OFFSET(Emp!$R$4,1,MATCH(AV$5,DedListItem,0)-1,EmpCount,1),"&lt;&gt;")&gt;0,VLOOKUP($C33,EmpAll,COLUMN(Emp!$R$4)+MATCH(AV$5,DedListItem,0)-1,0),OFFSET(Setup!$E$73,MATCH(AV$5,DedListItem,0),0,1,1))*AV$3))),IF(ISNUMBER(AV$4),AV$4,IgnoreMin)))))</f>
        <v>0</v>
      </c>
      <c r="AW33" s="148" cm="1">
        <f t="array" aca="1" ref="AW33" ca="1">-IF($F33="Terminated",0,IF($AA33=0,0,IF(ISNA(MATCH(AW$5,PayDedList,0)),0,MIN(IF(COUNTIFS(OverEmp,$C33,OverDeduct,AW$5,OverDate,"&lt;"&amp;DATE(YEAR($AC33),MONTH($AC33)+1,1),OverEnd,"&gt;="&amp;DATE(YEAR($AC33),MONTH($AC33),1))&gt;0,SUMPRODUCT((PayEmp=$C33)*(PayDate&lt;=$AC33)*(OFFSET($N$6,1,MATCH(AW$5,PayDedList,0)-1,PayCount,1)))/$AA33*12*AW$3,IF(OR(AW$1="Fixed",AW$1="Not Used"),SUMPRODUCT((PayEmp=$C33)*(PayDate&lt;=$AC33)*(OFFSET($N$6,1,MATCH(AW$5,PayDedList,0)-1,PayCount,1)))/$AA33*12*AW$3,IF(ISNA(MATCH(OFFSET($N$2,0,MATCH(AW$5,PayDedList,0)-1,1,1),EarnListItem,0))=FALSE,SUMPRODUCT((PayEmp=$C33)*(PayDate&lt;=$AC33)*(OFFSET($N$6,1,MATCH(AW$5,PayDedList,0)-1,PayCount,1)))/$AA33*12*AW$3,(MIN(SUMPRODUCT((PayEmp=$C33)*(PayDate&lt;=$AC33)*(ISERROR(SEARCH(PayEarnCode,AW$2)))*(PayEarnType="Monthly")*(PayEarnValues))/$AA33*12,IF(ISNUMBER(OFFSET($N$3,0,MATCH(AW$5,PayDedList,0)-1,1,1)),OFFSET($N$3,0,MATCH(AW$5,PayDedList,0)-1,1,1),IgnoreMin)))*IF(COUNTIFS(EmpNo,$C33,OFFSET(Emp!$R$4,1,MATCH(AW$5,DedListItem,0)-1,EmpCount,1),"&lt;&gt;")&gt;0,VLOOKUP($C33,EmpAll,COLUMN(Emp!$R$4)+MATCH(AW$5,DedListItem,0)-1,0),OFFSET(Setup!$E$73,MATCH(AW$5,DedListItem,0),0,1,1))*AW$3))),IF(ISNUMBER(AW$4),AW$4,IgnoreMin)))))</f>
        <v>0</v>
      </c>
      <c r="AX33" s="148">
        <f t="shared" ca="1" si="12"/>
        <v>60000</v>
      </c>
      <c r="AY33" s="148">
        <f t="shared" ca="1" si="13"/>
        <v>0</v>
      </c>
      <c r="AZ33" s="148">
        <f ca="1">IF(ISNUMBER($AL33),($AR33*$AL33)-$AI33-$AK33,MAX(0,IF($AL33="B",IF($AR33&lt;Setup!$C$32,($AR33*Setup!$D$32)-$AI33-$AK33,(($AR33-VLOOKUP($AR33,TaxAll2,1,1))*OFFSET(Setup!$D$32,MATCH($AR33,TaxBracket2,1),0,1,1))+OFFSET(Setup!$E$31,MATCH($AR33,TaxBracket2,1),0,1,1)-$AI33-$AK33),IF($AR33&lt;Setup!$C$21,($AR33*Setup!$D$21)-$AI33-$AK33,(($AR33-VLOOKUP($AR33,TaxAll1,1,1))*OFFSET(Setup!$D$21,MATCH($AR33,TaxBracket1,1),0,1,1))+OFFSET(Setup!$E$20,MATCH($AR33,TaxBracket1,1),0,1,1)-$AI33-$AK33))))</f>
        <v>0</v>
      </c>
      <c r="BA33" s="148">
        <f ca="1">IF(ISNUMBER($AL33),($AX33*$AL33)-$AI33-$AK33,MAX(0,IF($AL33="B",IF($AX33&lt;Setup!$C$32,($AX33*Setup!$D$32)-$AI33-$AK33,(($AX33-VLOOKUP($AX33,TaxAll2,1,1))*OFFSET(Setup!$D$32,MATCH($AX33,TaxBracket2,1),0,1,1))+OFFSET(Setup!$E$31,MATCH($AX33,TaxBracket2,1),0,1,1)-$AI33-$AK33),IF($AX33&lt;Setup!$C$21,($AX33*Setup!$D$21)-$AI33-$AK33,(($AX33-VLOOKUP($AX33,TaxAll1,1,1))*OFFSET(Setup!$D$21,MATCH($AX33,TaxBracket1,1),0,1,1))+OFFSET(Setup!$E$20,MATCH($AX33,TaxBracket1,1),0,1,1)-$AI33-$AK33))))</f>
        <v>0</v>
      </c>
      <c r="BB33" s="148">
        <f t="shared" ca="1" si="14"/>
        <v>0</v>
      </c>
      <c r="BC33" s="150">
        <f t="shared" ca="1" si="15"/>
        <v>1</v>
      </c>
      <c r="BD33" s="150">
        <f t="shared" ca="1" si="16"/>
        <v>0</v>
      </c>
      <c r="BE33" s="148">
        <f t="shared" ca="1" si="17"/>
        <v>60000</v>
      </c>
    </row>
    <row r="34" spans="1:57" ht="16.149999999999999" customHeight="1" x14ac:dyDescent="0.25">
      <c r="A34" s="10" t="str" cm="1">
        <f t="array" aca="1" ref="A34" ca="1">IF(ROW($A34)-ROW($A$6)&gt;EmpCount*12,"-",TEXT($B34,"yyyy")&amp;TEXT($B34,"mm")&amp;"-"&amp;$C34)</f>
        <v>202304-EXS013</v>
      </c>
      <c r="B34" s="137" cm="1">
        <f t="array" aca="1" ref="B34" ca="1">IF(ROW($A34)-ROW($A$6)&gt;EmpCount*12,Setup!$D$12,DATE(YEAR(Setup!$F$12),MONTH(Setup!$F$12)+ROUNDDOWN((ROW($A34)-ROW($A$6)-1)/EmpCount,0),IF(Setup!$C$14&gt;DAY(DATE(YEAR(Setup!$F$12),MONTH(Setup!$F$12)+ROUNDDOWN((ROW($A34)-ROW($A$6)-1)/EmpCount,0)+1,0)),DAY(DATE(YEAR(Setup!$F$12),MONTH(Setup!$F$12)+ROUNDDOWN((ROW($A34)-ROW($A$6)-1)/EmpCount,0)+1,0)),Setup!$C$14)))</f>
        <v>45041</v>
      </c>
      <c r="C34" s="101" t="str" cm="1">
        <f t="array" aca="1" ref="C34" ca="1">IF(ROW($A34)-ROW($A$6)&gt;EmpCount*12,"-",OFFSET(Emp!$A$4,ROW($A34)-ROW($A$6)-IF(ROW($A34)-ROW($A$6)&gt;EmpCount,ROUNDDOWN((ROW($A34)-ROW($A$6)-1)/EmpCount,0)*EmpCount,0),0,1,1))</f>
        <v>EXS013</v>
      </c>
      <c r="D34" s="10" t="str">
        <f ca="1">IF(ISNA(VLOOKUP($C34,EmpAll,COLUMN(Emp!$B$4),0)),"-",VLOOKUP($C34,EmpAll,COLUMN(Emp!$B$4),0))</f>
        <v>East WD</v>
      </c>
      <c r="E34" s="145" t="str">
        <f ca="1">IF(ISNA(VLOOKUP($C34,EmpAll,COLUMN(Emp!$C$4),0)),"-",VLOOKUP($C34,EmpAll,COLUMN(Emp!$C$4),0))</f>
        <v>A</v>
      </c>
      <c r="F34" s="101" t="str">
        <f ca="1">IF(ISNA(VLOOKUP($C34,EmpAll,COLUMN(Emp!$A$4),0)),"-",IF(AND(VLOOKUP($C34,EmpAll,COLUMN(Emp!$E$4),0)&lt;&gt;0,VLOOKUP($C34,EmpAll,COLUMN(Emp!$E$4),0)&gt;=DATE(YEAR($AC34),MONTH($AC34)+1,0)),"Inactive",IF(AND(VLOOKUP($C34,EmpAll,COLUMN(Emp!$F$4),0)&lt;&gt;0,VLOOKUP($C34,EmpAll,COLUMN(Emp!$F$4),0)&lt;=DATE(YEAR($AC34),MONTH($AC34),0)),"Terminated","Active")))</f>
        <v>Active</v>
      </c>
      <c r="G34" s="133" cm="1">
        <f t="array" aca="1" ref="G34" ca="1">IF($F34&lt;&gt;"Active",0,IF(COUNTIFS(OverEmp,$C34,OverEarn,G$2,OverDate,"&lt;"&amp;DATE(YEAR($AC34),MONTH($AC34)+1,1),OverEnd,"&gt;="&amp;DATE(YEAR($AC34),MONTH($AC34),1))&gt;0,SUMIFS(OverValue,OverEmp,$C34,OverEarn,G$2,OverDate,"&lt;"&amp;DATE(YEAR($AC34),MONTH($AC34)+1,1),OverEnd,"&gt;="&amp;DATE(YEAR($AC34),MONTH($AC34),1)),IF(AND($AC34&gt;=Setup!$E$10,SUMIFS(EmpIncrease,EmpCode,$C34)&gt;0),SUMIFS(EmpIncrease,EmpCode,$C34),SUMIFS(EmpSalary,EmpCode,$C34))))</f>
        <v>5000</v>
      </c>
      <c r="H34" s="133" cm="1">
        <f t="array" aca="1" ref="H34" ca="1">IF($F34&lt;&gt;"Active",0,IF(COUNTIFS(OverEmp,$C34,OverEarn,H$2,OverDate,"&lt;"&amp;DATE(YEAR($AC34),MONTH($AC34)+1,1),OverEnd,"&gt;="&amp;DATE(YEAR($AC34),MONTH($AC34),1))&gt;0,SUMIFS(OverValue,OverEmp,$C34,OverEarn,H$2,OverDate,"&lt;"&amp;DATE(YEAR($AC34),MONTH($AC34)+1,1),OverEnd,"&gt;="&amp;DATE(YEAR($AC34),MONTH($AC34),1)),0))</f>
        <v>0</v>
      </c>
      <c r="I34" s="133" cm="1">
        <f t="array" aca="1" ref="I34" ca="1">IF($F34&lt;&gt;"Active",0,IF(COUNTIFS(OverEmp,$C34,OverEarn,I$2,OverDate,"&lt;"&amp;DATE(YEAR($AC34),MONTH($AC34)+1,1),OverEnd,"&gt;="&amp;DATE(YEAR($AC34),MONTH($AC34),1))&gt;0,SUMIFS(OverValue,OverEmp,$C34,OverEarn,I$2,OverDate,"&lt;"&amp;DATE(YEAR($AC34),MONTH($AC34)+1,1),OverEnd,"&gt;="&amp;DATE(YEAR($AC34),MONTH($AC34),1)),IF(MONTH(B34)=Setup!$C$15,SUMIFS(EmpBonus,EmpCode,$C34),0)))</f>
        <v>0</v>
      </c>
      <c r="J34" s="133" cm="1">
        <f t="array" aca="1" ref="J34" ca="1">IF($F34&lt;&gt;"Active",0,IF(COUNTIFS(OverEmp,$C34,OverEarn,J$2,OverDate,"&lt;"&amp;DATE(YEAR($AC34),MONTH($AC34)+1,1),OverEnd,"&gt;="&amp;DATE(YEAR($AC34),MONTH($AC34),1))&gt;0,SUMIFS(OverValue,OverEmp,$C34,OverEarn,J$2,OverDate,"&lt;"&amp;DATE(YEAR($AC34),MONTH($AC34)+1,1),OverEnd,"&gt;="&amp;DATE(YEAR($AC34),MONTH($AC34),1)),0))</f>
        <v>0</v>
      </c>
      <c r="K34" s="133" cm="1">
        <f t="array" aca="1" ref="K34" ca="1">IF($F34&lt;&gt;"Active",0,IF(COUNTIFS(OverEmp,$C34,OverEarn,K$2,OverDate,"&lt;"&amp;DATE(YEAR($AC34),MONTH($AC34)+1,1),OverEnd,"&gt;="&amp;DATE(YEAR($AC34),MONTH($AC34),1))&gt;0,SUMIFS(OverValue,OverEmp,$C34,OverEarn,K$2,OverDate,"&lt;"&amp;DATE(YEAR($AC34),MONTH($AC34)+1,1),OverEnd,"&gt;="&amp;DATE(YEAR($AC34),MONTH($AC34),1)),0))</f>
        <v>0</v>
      </c>
      <c r="L34" s="185">
        <f t="shared" ca="1" si="0"/>
        <v>5000</v>
      </c>
      <c r="M34" s="182" cm="1">
        <f t="array" aca="1" ref="M34" ca="1">IF(COUNTIFS(OverEmp,$C34,OverTax,M$5,OverDate,"&lt;"&amp;DATE(YEAR($AC34),MONTH($AC34)+1,1),OverEnd,"&gt;="&amp;DATE(YEAR($AC34),MONTH($AC34),1))&gt;0,SUMIFS(OverValue,OverEmp,$C34,OverTax,M$5,OverDate,"&lt;"&amp;DATE(YEAR($AC34),MONTH($AC34)+1,1),OverEnd,"&gt;="&amp;DATE(YEAR($AC34),MONTH($AC34),1)),(($BA34/12*$AA34)+(BB34*IF(1-$BC34=0,0,BD34/(1-$BC34))))-IF($F34="Terminated",0,SUMIFS(PayTaxDeduct,PayDate,"&lt;"&amp;$AC34,PayEmp,$C34)))</f>
        <v>0</v>
      </c>
      <c r="N34" s="133" cm="1">
        <f t="array" aca="1" ref="N34" ca="1">IF($F34="Terminated",0,IF($AA34=0,0,IF(ISNA(MATCH(N$5,DedListItem,0)),0,IF(COUNTIFS(OverEmp,$C34,OverDeduct,N$5,OverDate,"&lt;"&amp;DATE(YEAR($AC34),MONTH($AC34)+1,1),OverEnd,"&gt;="&amp;DATE(YEAR($AC34),MONTH($AC34),1))&gt;0,SUMIFS(OverValue,OverEmp,$C34,OverDeduct,N$5,OverDate,"&lt;"&amp;DATE(YEAR($AC34),MONTH($AC34)+1,1),OverEnd,"&gt;="&amp;DATE(YEAR($AC34),MONTH($AC34),1)),IF(OR(N$2="Fixed",N$2="Not Used"),(IF(COUNTIFS(EmpNo,$C34,OFFSET(Emp!$R$4,1,MATCH(N$5,DedListItem,0)-1,EmpCount,1),"&lt;&gt;")&gt;0,VLOOKUP($C34,EmpAll,COLUMN(Emp!$R$4)+MATCH(N$5,DedListItem,0)-1,0),OFFSET(Setup!$E$73,MATCH(N$5,DedListItem,0),0,1,1))*$AA34)-SUMIFS(OFFSET(N$6,1,0,PayCount,1),PayDate,"&lt;"&amp;$AC34,PayEmp,$C34),IF(ISNA(MATCH(N$2,EarnListItem,0))=FALSE,IF(OFFSET(Setup!$G$73,MATCH(N$5,DedListItem,0),0,1,1)="Taxable",SUMPRODUCT((PayEmp=$C34)*(PayDate&lt;=$AC34)*(PayEarnCode=N$2)*(PayEarnTax)*(PayEarnValues)),SUMPRODUCT((PayEmp=$C34)*(PayDate&lt;=$AC34)*(PayEarnCode=N$2)*(PayEarnValues)))*IF(COUNTIFS(EmpNo,$C34,OFFSET(Emp!$R$4,1,MATCH(N$5,DedListItem,0)-1,EmpCount,1),"&lt;&gt;")&gt;0,VLOOKUP($C34,EmpAll,COLUMN(Emp!$R$4)+MATCH(N$5,DedListItem,0)-1,0),OFFSET(Setup!$E$73,MATCH(N$5,DedListItem,0),0,1,1)),(MIN(IF(OFFSET(Setup!$G$73,MATCH(N$5,DedListItem,0),0,1,1)="Taxable",SUMPRODUCT((PayEmp=$C34)*(PayDate&lt;=$AC34)*(ISERROR(SEARCH(PayEarnCode,N$4)))*(PayEarnTax)*(PayEarnValues)),SUMPRODUCT((PayEmp=$C34)*(PayDate&lt;=$AC34)*(ISERROR(SEARCH(PayEarnCode,N$4)))*(PayEarnValues))),IF(ISNUMBER(N$3),N$3/12*$AA34,IgnoreMin)))*IF(COUNTIFS(EmpNo,$C34,OFFSET(Emp!$R$4,1,MATCH(N$5,DedListItem,0)-1,EmpCount,1),"&lt;&gt;")&gt;0,VLOOKUP($C34,EmpAll,COLUMN(Emp!$R$4)+MATCH(N$5,DedListItem,0)-1,0),OFFSET(Setup!$E$73,MATCH(N$5,DedListItem,0),0,1,1)))-SUMIFS(OFFSET(N$6,1,0,PayCount,1),PayDate,"&lt;"&amp;$AC34,PayEmp,$C34))))))</f>
        <v>50</v>
      </c>
      <c r="O34" s="133" cm="1">
        <f t="array" aca="1" ref="O34" ca="1">IF($F34="Terminated",0,IF($AA34=0,0,IF(ISNA(MATCH(O$5,DedListItem,0)),0,IF(COUNTIFS(OverEmp,$C34,OverDeduct,O$5,OverDate,"&lt;"&amp;DATE(YEAR($AC34),MONTH($AC34)+1,1),OverEnd,"&gt;="&amp;DATE(YEAR($AC34),MONTH($AC34),1))&gt;0,SUMIFS(OverValue,OverEmp,$C34,OverDeduct,O$5,OverDate,"&lt;"&amp;DATE(YEAR($AC34),MONTH($AC34)+1,1),OverEnd,"&gt;="&amp;DATE(YEAR($AC34),MONTH($AC34),1)),IF(OR(O$2="Fixed",O$2="Not Used"),(IF(COUNTIFS(EmpNo,$C34,OFFSET(Emp!$R$4,1,MATCH(O$5,DedListItem,0)-1,EmpCount,1),"&lt;&gt;")&gt;0,VLOOKUP($C34,EmpAll,COLUMN(Emp!$R$4)+MATCH(O$5,DedListItem,0)-1,0),OFFSET(Setup!$E$73,MATCH(O$5,DedListItem,0),0,1,1))*$AA34)-SUMIFS(OFFSET(O$6,1,0,PayCount,1),PayDate,"&lt;"&amp;$AC34,PayEmp,$C34),IF(ISNA(MATCH(O$2,EarnListItem,0))=FALSE,IF(OFFSET(Setup!$G$73,MATCH(O$5,DedListItem,0),0,1,1)="Taxable",SUMPRODUCT((PayEmp=$C34)*(PayDate&lt;=$AC34)*(PayEarnCode=O$2)*(PayEarnTax)*(PayEarnValues)),SUMPRODUCT((PayEmp=$C34)*(PayDate&lt;=$AC34)*(PayEarnCode=O$2)*(PayEarnValues)))*IF(COUNTIFS(EmpNo,$C34,OFFSET(Emp!$R$4,1,MATCH(O$5,DedListItem,0)-1,EmpCount,1),"&lt;&gt;")&gt;0,VLOOKUP($C34,EmpAll,COLUMN(Emp!$R$4)+MATCH(O$5,DedListItem,0)-1,0),OFFSET(Setup!$E$73,MATCH(O$5,DedListItem,0),0,1,1)),(MIN(IF(OFFSET(Setup!$G$73,MATCH(O$5,DedListItem,0),0,1,1)="Taxable",SUMPRODUCT((PayEmp=$C34)*(PayDate&lt;=$AC34)*(ISERROR(SEARCH(PayEarnCode,O$4)))*(PayEarnTax)*(PayEarnValues)),SUMPRODUCT((PayEmp=$C34)*(PayDate&lt;=$AC34)*(ISERROR(SEARCH(PayEarnCode,O$4)))*(PayEarnValues))),IF(ISNUMBER(O$3),O$3/12*$AA34,IgnoreMin)))*IF(COUNTIFS(EmpNo,$C34,OFFSET(Emp!$R$4,1,MATCH(O$5,DedListItem,0)-1,EmpCount,1),"&lt;&gt;")&gt;0,VLOOKUP($C34,EmpAll,COLUMN(Emp!$R$4)+MATCH(O$5,DedListItem,0)-1,0),OFFSET(Setup!$E$73,MATCH(O$5,DedListItem,0),0,1,1)))-SUMIFS(OFFSET(O$6,1,0,PayCount,1),PayDate,"&lt;"&amp;$AC34,PayEmp,$C34))))))</f>
        <v>0</v>
      </c>
      <c r="P34" s="133" cm="1">
        <f t="array" aca="1" ref="P34" ca="1">IF($F34="Terminated",0,IF($AA34=0,0,IF(ISNA(MATCH(P$5,DedListItem,0)),0,IF(COUNTIFS(OverEmp,$C34,OverDeduct,P$5,OverDate,"&lt;"&amp;DATE(YEAR($AC34),MONTH($AC34)+1,1),OverEnd,"&gt;="&amp;DATE(YEAR($AC34),MONTH($AC34),1))&gt;0,SUMIFS(OverValue,OverEmp,$C34,OverDeduct,P$5,OverDate,"&lt;"&amp;DATE(YEAR($AC34),MONTH($AC34)+1,1),OverEnd,"&gt;="&amp;DATE(YEAR($AC34),MONTH($AC34),1)),IF(OR(P$2="Fixed",P$2="Not Used"),(IF(COUNTIFS(EmpNo,$C34,OFFSET(Emp!$R$4,1,MATCH(P$5,DedListItem,0)-1,EmpCount,1),"&lt;&gt;")&gt;0,VLOOKUP($C34,EmpAll,COLUMN(Emp!$R$4)+MATCH(P$5,DedListItem,0)-1,0),OFFSET(Setup!$E$73,MATCH(P$5,DedListItem,0),0,1,1))*$AA34)-SUMIFS(OFFSET(P$6,1,0,PayCount,1),PayDate,"&lt;"&amp;$AC34,PayEmp,$C34),IF(ISNA(MATCH(P$2,EarnListItem,0))=FALSE,IF(OFFSET(Setup!$G$73,MATCH(P$5,DedListItem,0),0,1,1)="Taxable",SUMPRODUCT((PayEmp=$C34)*(PayDate&lt;=$AC34)*(PayEarnCode=P$2)*(PayEarnTax)*(PayEarnValues)),SUMPRODUCT((PayEmp=$C34)*(PayDate&lt;=$AC34)*(PayEarnCode=P$2)*(PayEarnValues)))*IF(COUNTIFS(EmpNo,$C34,OFFSET(Emp!$R$4,1,MATCH(P$5,DedListItem,0)-1,EmpCount,1),"&lt;&gt;")&gt;0,VLOOKUP($C34,EmpAll,COLUMN(Emp!$R$4)+MATCH(P$5,DedListItem,0)-1,0),OFFSET(Setup!$E$73,MATCH(P$5,DedListItem,0),0,1,1)),(MIN(IF(OFFSET(Setup!$G$73,MATCH(P$5,DedListItem,0),0,1,1)="Taxable",SUMPRODUCT((PayEmp=$C34)*(PayDate&lt;=$AC34)*(ISERROR(SEARCH(PayEarnCode,P$4)))*(PayEarnTax)*(PayEarnValues)),SUMPRODUCT((PayEmp=$C34)*(PayDate&lt;=$AC34)*(ISERROR(SEARCH(PayEarnCode,P$4)))*(PayEarnValues))),IF(ISNUMBER(P$3),P$3/12*$AA34,IgnoreMin)))*IF(COUNTIFS(EmpNo,$C34,OFFSET(Emp!$R$4,1,MATCH(P$5,DedListItem,0)-1,EmpCount,1),"&lt;&gt;")&gt;0,VLOOKUP($C34,EmpAll,COLUMN(Emp!$R$4)+MATCH(P$5,DedListItem,0)-1,0),OFFSET(Setup!$E$73,MATCH(P$5,DedListItem,0),0,1,1)))-SUMIFS(OFFSET(P$6,1,0,PayCount,1),PayDate,"&lt;"&amp;$AC34,PayEmp,$C34))))))</f>
        <v>0</v>
      </c>
      <c r="Q34" s="133" cm="1">
        <f t="array" aca="1" ref="Q34" ca="1">IF($F34="Terminated",0,IF($AA34=0,0,IF(ISNA(MATCH(Q$5,DedListItem,0)),0,IF(COUNTIFS(OverEmp,$C34,OverDeduct,Q$5,OverDate,"&lt;"&amp;DATE(YEAR($AC34),MONTH($AC34)+1,1),OverEnd,"&gt;="&amp;DATE(YEAR($AC34),MONTH($AC34),1))&gt;0,SUMIFS(OverValue,OverEmp,$C34,OverDeduct,Q$5,OverDate,"&lt;"&amp;DATE(YEAR($AC34),MONTH($AC34)+1,1),OverEnd,"&gt;="&amp;DATE(YEAR($AC34),MONTH($AC34),1)),IF(OR(Q$2="Fixed",Q$2="Not Used"),(IF(COUNTIFS(EmpNo,$C34,OFFSET(Emp!$R$4,1,MATCH(Q$5,DedListItem,0)-1,EmpCount,1),"&lt;&gt;")&gt;0,VLOOKUP($C34,EmpAll,COLUMN(Emp!$R$4)+MATCH(Q$5,DedListItem,0)-1,0),OFFSET(Setup!$E$73,MATCH(Q$5,DedListItem,0),0,1,1))*$AA34)-SUMIFS(OFFSET(Q$6,1,0,PayCount,1),PayDate,"&lt;"&amp;$AC34,PayEmp,$C34),IF(ISNA(MATCH(Q$2,EarnListItem,0))=FALSE,IF(OFFSET(Setup!$G$73,MATCH(Q$5,DedListItem,0),0,1,1)="Taxable",SUMPRODUCT((PayEmp=$C34)*(PayDate&lt;=$AC34)*(PayEarnCode=Q$2)*(PayEarnTax)*(PayEarnValues)),SUMPRODUCT((PayEmp=$C34)*(PayDate&lt;=$AC34)*(PayEarnCode=Q$2)*(PayEarnValues)))*IF(COUNTIFS(EmpNo,$C34,OFFSET(Emp!$R$4,1,MATCH(Q$5,DedListItem,0)-1,EmpCount,1),"&lt;&gt;")&gt;0,VLOOKUP($C34,EmpAll,COLUMN(Emp!$R$4)+MATCH(Q$5,DedListItem,0)-1,0),OFFSET(Setup!$E$73,MATCH(Q$5,DedListItem,0),0,1,1)),(MIN(IF(OFFSET(Setup!$G$73,MATCH(Q$5,DedListItem,0),0,1,1)="Taxable",SUMPRODUCT((PayEmp=$C34)*(PayDate&lt;=$AC34)*(ISERROR(SEARCH(PayEarnCode,Q$4)))*(PayEarnTax)*(PayEarnValues)),SUMPRODUCT((PayEmp=$C34)*(PayDate&lt;=$AC34)*(ISERROR(SEARCH(PayEarnCode,Q$4)))*(PayEarnValues))),IF(ISNUMBER(Q$3),Q$3/12*$AA34,IgnoreMin)))*IF(COUNTIFS(EmpNo,$C34,OFFSET(Emp!$R$4,1,MATCH(Q$5,DedListItem,0)-1,EmpCount,1),"&lt;&gt;")&gt;0,VLOOKUP($C34,EmpAll,COLUMN(Emp!$R$4)+MATCH(Q$5,DedListItem,0)-1,0),OFFSET(Setup!$E$73,MATCH(Q$5,DedListItem,0),0,1,1)))-SUMIFS(OFFSET(Q$6,1,0,PayCount,1),PayDate,"&lt;"&amp;$AC34,PayEmp,$C34))))))</f>
        <v>0</v>
      </c>
      <c r="R34" s="185">
        <f t="shared" ca="1" si="1"/>
        <v>50</v>
      </c>
      <c r="S34" s="139">
        <f t="shared" ca="1" si="2"/>
        <v>4950</v>
      </c>
      <c r="T34" s="133" cm="1">
        <f t="array" aca="1" ref="T34" ca="1">IF($F34="Terminated",0,IF($AA34=0,0,IF(ISNA(MATCH(T$5,CompListItem,0)),0,IF(COUNTIFS(OverEmp,$C34,OverComp,T$5,OverDate,"&lt;"&amp;DATE(YEAR($AC34),MONTH($AC34)+1,1),OverEnd,"&gt;="&amp;DATE(YEAR($AC34),MONTH($AC34),1))&gt;0,SUMIFS(OverValue,OverEmp,$C34,OverComp,T$5,OverDate,"&lt;"&amp;DATE(YEAR($AC34),MONTH($AC34)+1,1),OverEnd,"&gt;="&amp;DATE(YEAR($AC34),MONTH($AC34),1)),IF(OR(T$2="Fixed",T$2="Not Used"),(OFFSET(Setup!$E$81,MATCH(T$5,CompListItem,0),0,1,1)*$AA34)-SUMIFS(OFFSET(T$6,1,0,PayCount,1),PayDate,"&lt;"&amp;$AC34,PayEmp,$C34),IF(ISNA(MATCH(T$2,DedListItem,0))=FALSE,(SUMPRODUCT((PayEmp=$C34)*(PayDate&lt;=$AC34)*(PayDedList=T$2)*(PayDedValues))*OFFSET(Setup!$E$81,MATCH(T$5,CompListItem,0),0,1,1))-SUMIFS(OFFSET(T$6,1,0,PayCount,1),PayDate,"&lt;"&amp;$AC34,PayEmp,$C34),(MIN(IF(OFFSET(Setup!$G$81,MATCH(T$5,CompListItem,0),0,1,1)="Taxable",SUMPRODUCT((PayEmp=$C34)*(PayDate&lt;=$AC34)*(ISERROR(SEARCH(PayEarnCode,T$4)))*(PayEarnTax)*(PayEarnValues)),SUMPRODUCT((PayEmp=$C34)*(PayDate&lt;=$AC34)*(ISERROR(SEARCH(PayEarnCode,T$4)))*(PayEarnValues))),IF(ISNUMBER(T$3),T$3/12*$AA34,IgnoreMin)))*OFFSET(Setup!$E$81,MATCH(T$5,CompListItem,0),0,1,1)-SUMIFS(OFFSET(T$6,1,0,PayCount,1),PayDate,"&lt;"&amp;$AC34,PayEmp,$C34)))))))</f>
        <v>50</v>
      </c>
      <c r="U34" s="133" cm="1">
        <f t="array" aca="1" ref="U34" ca="1">IF($F34="Terminated",0,IF($AA34=0,0,IF(ISNA(MATCH(U$5,CompListItem,0)),0,IF(COUNTIFS(OverEmp,$C34,OverComp,U$5,OverDate,"&lt;"&amp;DATE(YEAR($AC34),MONTH($AC34)+1,1),OverEnd,"&gt;="&amp;DATE(YEAR($AC34),MONTH($AC34),1))&gt;0,SUMIFS(OverValue,OverEmp,$C34,OverComp,U$5,OverDate,"&lt;"&amp;DATE(YEAR($AC34),MONTH($AC34)+1,1),OverEnd,"&gt;="&amp;DATE(YEAR($AC34),MONTH($AC34),1)),IF(OR(U$2="Fixed",U$2="Not Used"),(OFFSET(Setup!$E$81,MATCH(U$5,CompListItem,0),0,1,1)*$AA34)-SUMIFS(OFFSET(U$6,1,0,PayCount,1),PayDate,"&lt;"&amp;$AC34,PayEmp,$C34),IF(ISNA(MATCH(U$2,DedListItem,0))=FALSE,(SUMPRODUCT((PayEmp=$C34)*(PayDate&lt;=$AC34)*(PayDedList=U$2)*(PayDedValues))*OFFSET(Setup!$E$81,MATCH(U$5,CompListItem,0),0,1,1))-SUMIFS(OFFSET(U$6,1,0,PayCount,1),PayDate,"&lt;"&amp;$AC34,PayEmp,$C34),(MIN(IF(OFFSET(Setup!$G$81,MATCH(U$5,CompListItem,0),0,1,1)="Taxable",SUMPRODUCT((PayEmp=$C34)*(PayDate&lt;=$AC34)*(ISERROR(SEARCH(PayEarnCode,U$4)))*(PayEarnTax)*(PayEarnValues)),SUMPRODUCT((PayEmp=$C34)*(PayDate&lt;=$AC34)*(ISERROR(SEARCH(PayEarnCode,U$4)))*(PayEarnValues))),IF(ISNUMBER(U$3),U$3/12*$AA34,IgnoreMin)))*OFFSET(Setup!$E$81,MATCH(U$5,CompListItem,0),0,1,1)-SUMIFS(OFFSET(U$6,1,0,PayCount,1),PayDate,"&lt;"&amp;$AC34,PayEmp,$C34)))))))</f>
        <v>50</v>
      </c>
      <c r="V34" s="133" cm="1">
        <f t="array" aca="1" ref="V34" ca="1">IF($F34="Terminated",0,IF($AA34=0,0,IF(ISNA(MATCH(V$5,CompListItem,0)),0,IF(COUNTIFS(OverEmp,$C34,OverComp,V$5,OverDate,"&lt;"&amp;DATE(YEAR($AC34),MONTH($AC34)+1,1),OverEnd,"&gt;="&amp;DATE(YEAR($AC34),MONTH($AC34),1))&gt;0,SUMIFS(OverValue,OverEmp,$C34,OverComp,V$5,OverDate,"&lt;"&amp;DATE(YEAR($AC34),MONTH($AC34)+1,1),OverEnd,"&gt;="&amp;DATE(YEAR($AC34),MONTH($AC34),1)),IF(OR(V$2="Fixed",V$2="Not Used"),(OFFSET(Setup!$E$81,MATCH(V$5,CompListItem,0),0,1,1)*$AA34)-SUMIFS(OFFSET(V$6,1,0,PayCount,1),PayDate,"&lt;"&amp;$AC34,PayEmp,$C34),IF(ISNA(MATCH(V$2,DedListItem,0))=FALSE,(SUMPRODUCT((PayEmp=$C34)*(PayDate&lt;=$AC34)*(PayDedList=V$2)*(PayDedValues))*OFFSET(Setup!$E$81,MATCH(V$5,CompListItem,0),0,1,1))-SUMIFS(OFFSET(V$6,1,0,PayCount,1),PayDate,"&lt;"&amp;$AC34,PayEmp,$C34),(MIN(IF(OFFSET(Setup!$G$81,MATCH(V$5,CompListItem,0),0,1,1)="Taxable",SUMPRODUCT((PayEmp=$C34)*(PayDate&lt;=$AC34)*(ISERROR(SEARCH(PayEarnCode,V$4)))*(PayEarnTax)*(PayEarnValues)),SUMPRODUCT((PayEmp=$C34)*(PayDate&lt;=$AC34)*(ISERROR(SEARCH(PayEarnCode,V$4)))*(PayEarnValues))),IF(ISNUMBER(V$3),V$3/12*$AA34,IgnoreMin)))*OFFSET(Setup!$E$81,MATCH(V$5,CompListItem,0),0,1,1)-SUMIFS(OFFSET(V$6,1,0,PayCount,1),PayDate,"&lt;"&amp;$AC34,PayEmp,$C34)))))))</f>
        <v>0</v>
      </c>
      <c r="W34" s="133" cm="1">
        <f t="array" aca="1" ref="W34" ca="1">IF($F34="Terminated",0,IF($AA34=0,0,IF(ISNA(MATCH(W$5,CompListItem,0)),0,IF(COUNTIFS(OverEmp,$C34,OverComp,W$5,OverDate,"&lt;"&amp;DATE(YEAR($AC34),MONTH($AC34)+1,1),OverEnd,"&gt;="&amp;DATE(YEAR($AC34),MONTH($AC34),1))&gt;0,SUMIFS(OverValue,OverEmp,$C34,OverComp,W$5,OverDate,"&lt;"&amp;DATE(YEAR($AC34),MONTH($AC34)+1,1),OverEnd,"&gt;="&amp;DATE(YEAR($AC34),MONTH($AC34),1)),IF(OR(W$2="Fixed",W$2="Not Used"),(OFFSET(Setup!$E$81,MATCH(W$5,CompListItem,0),0,1,1)*$AA34)-SUMIFS(OFFSET(W$6,1,0,PayCount,1),PayDate,"&lt;"&amp;$AC34,PayEmp,$C34),IF(ISNA(MATCH(W$2,DedListItem,0))=FALSE,(SUMPRODUCT((PayEmp=$C34)*(PayDate&lt;=$AC34)*(PayDedList=W$2)*(PayDedValues))*OFFSET(Setup!$E$81,MATCH(W$5,CompListItem,0),0,1,1))-SUMIFS(OFFSET(W$6,1,0,PayCount,1),PayDate,"&lt;"&amp;$AC34,PayEmp,$C34),(MIN(IF(OFFSET(Setup!$G$81,MATCH(W$5,CompListItem,0),0,1,1)="Taxable",SUMPRODUCT((PayEmp=$C34)*(PayDate&lt;=$AC34)*(ISERROR(SEARCH(PayEarnCode,W$4)))*(PayEarnTax)*(PayEarnValues)),SUMPRODUCT((PayEmp=$C34)*(PayDate&lt;=$AC34)*(ISERROR(SEARCH(PayEarnCode,W$4)))*(PayEarnValues))),IF(ISNUMBER(W$3),W$3/12*$AA34,IgnoreMin)))*OFFSET(Setup!$E$81,MATCH(W$5,CompListItem,0),0,1,1)-SUMIFS(OFFSET(W$6,1,0,PayCount,1),PayDate,"&lt;"&amp;$AC34,PayEmp,$C34)))))))</f>
        <v>0</v>
      </c>
      <c r="X34" s="185">
        <f t="shared" ca="1" si="3"/>
        <v>100</v>
      </c>
      <c r="Y34" s="139">
        <f t="shared" ca="1" si="4"/>
        <v>5100</v>
      </c>
      <c r="Z34" s="139">
        <f t="shared" ca="1" si="5"/>
        <v>150</v>
      </c>
      <c r="AA34" s="146">
        <f ca="1">IF(OR($B34&lt;=Setup!$E$12,$B34&gt;=Setup!$D$12+1),0,IF($F34&lt;&gt;"Active",0,IF($AE34="Yes",$AB34,((YEAR($AC34)*12)+MONTH($AC34))-((YEAR($AD34)*12)+MONTH($AD34)-1))))</f>
        <v>2</v>
      </c>
      <c r="AB34" s="146">
        <f ca="1">IF(OR($B34&lt;=Setup!$E$12,$B34&gt;=Setup!$D$12+1),0,((YEAR($AC34)*12)+MONTH($AC34))-((YEAR(Setup!$E$12)*12)+MONTH(Setup!$E$12)))</f>
        <v>2</v>
      </c>
      <c r="AC34" s="186">
        <f t="shared" ca="1" si="6"/>
        <v>45041</v>
      </c>
      <c r="AD34" s="144">
        <f ca="1">IF(ISNA(VLOOKUP($C34,EmpAll,COLUMN(Emp!$E$4),0)),$AC34,IF(VLOOKUP($C34,EmpAll,COLUMN(Emp!$E$4),0)&lt;=Setup!$E$12,DATE(YEAR(Setup!$E$12),MONTH(Setup!$E$12)+1,1),VLOOKUP($C34,EmpAll,COLUMN(Emp!$E$4),0)))</f>
        <v>44986</v>
      </c>
      <c r="AE34" s="144" t="str">
        <f ca="1">IF(ISNA(VLOOKUP($C34,EmpAll,COLUMN(Emp!$G$1),0)),"-",IF(VLOOKUP($C34,EmpAll,COLUMN(Emp!$G$1),0)=0,"-",VLOOKUP($C34,EmpAll,COLUMN(Emp!$G$1),0)))</f>
        <v>-</v>
      </c>
      <c r="AF34" s="145">
        <f ca="1">IF(A34=PaySlip!$G$3,1,0)</f>
        <v>0</v>
      </c>
      <c r="AG34" s="130" cm="1">
        <f t="array" aca="1" ref="AG34" ca="1">IF(COUNTIFS(OverEmp,$C34,OverMed,"MED",OverDate,"&lt;"&amp;DATE(YEAR($AC34),MONTH($AC34)+1,1),OverEnd,"&gt;="&amp;DATE(YEAR($AC34),MONTH($AC34),1))&gt;0,SUMIFS(OverValue,OverEmp,$C34,OverMed,"MED",OverDate,"&lt;"&amp;DATE(YEAR($AC34),MONTH($AC34)+1,1),OverEnd,"&gt;="&amp;DATE(YEAR($AC34),MONTH($AC34),1)),IF(ISNA(VLOOKUP($C34,EmpAll,COLUMN(Emp!$N$4),0)),0,VLOOKUP($C34,EmpAll,COLUMN(Emp!$N$4),0)))</f>
        <v>0</v>
      </c>
      <c r="AH34" s="146">
        <f ca="1">VLOOKUP($AG34,MedList,COLUMN(Setup!$C$49),1)</f>
        <v>0</v>
      </c>
      <c r="AI34" s="146">
        <f t="shared" ca="1" si="7"/>
        <v>0</v>
      </c>
      <c r="AJ34" s="101" t="str">
        <f ca="1">IF(ISNA(VLOOKUP($C34,EmpAll,COLUMN(Emp!$L$4),0)),"None!",VLOOKUP($C34,EmpAll,COLUMN(Emp!$L$4),0))</f>
        <v>A</v>
      </c>
      <c r="AK34" s="147">
        <f t="shared" ca="1" si="8"/>
        <v>17235</v>
      </c>
      <c r="AL34" s="101" t="str">
        <f ca="1">IF(ISNA(VLOOKUP($C34,Employees[],COLUMN(Emp!$M$4),0))=TRUE,"Error!",IF(VLOOKUP($C34,Employees[],COLUMN(Emp!$M$4),0)=0,"Yes",VLOOKUP($C34,Employees[],COLUMN(Emp!$M$4),0)))</f>
        <v>A</v>
      </c>
      <c r="AM34" s="148">
        <f t="shared" ca="1" si="9"/>
        <v>60000</v>
      </c>
      <c r="AN34" s="148" cm="1">
        <f t="array" aca="1" ref="AN34" ca="1">-IF($F34="Terminated",0,IF($AA34=0,0,IF(ISNA(MATCH(AN$5,PayDedList,0)),0,MIN(IF(COUNTIFS(OverEmp,$C34,OverDeduct,AN$5,OverDate,"&lt;"&amp;DATE(YEAR($AC34),MONTH($AC34)+1,1),OverEnd,"&gt;="&amp;DATE(YEAR($AC34),MONTH($AC34),1))&gt;0,SUMPRODUCT((PayEmp=$C34)*(PayDate&lt;=$AC34)*(OFFSET($N$6,1,MATCH(AN$5,PayDedList,0)-1,PayCount,1)))/$AA34*12*AN$3,IF(OR(AN$1="Fixed",AN$1="Not Used"),SUMPRODUCT((PayEmp=$C34)*(PayDate&lt;=$AC34)*(OFFSET($N$6,1,MATCH(AN$5,PayDedList,0)-1,PayCount,1)))/$AA34*12*AN$3,IF(ISNA(MATCH(AN$1,EarnListItem,0))=FALSE,SUMPRODUCT((PayEmp=$C34)*(PayDate&lt;=$AC34)*(OFFSET($N$6,1,MATCH(AN$5,PayDedList,0)-1,PayCount,1)))/$AA34*12*AN$3,(MIN(((SUMPRODUCT((PayEmp=$C34)*(PayDate&lt;=$AC34)*(ISERROR(SEARCH(PayEarnCode,AN$2)))*(PayEarnType="Monthly")*(PayEarnValues))/$AA34*12)+(SUMPRODUCT((PayEmp=$C34)*(PayDate&lt;=$AC34)*(ISERROR(SEARCH(PayEarnCode,AN$2)))*(PayEarnType="Quarterly")*(PayEarnValues))/MAX(1,ROUNDDOWN($AB34/3,0))*4)+(SUMPRODUCT((PayEmp=$C34)*(PayDate&lt;=$AC34)*(ISERROR(SEARCH(PayEarnCode,AN$2)))*(PayEarnType="Bi-Annual")*(PayEarnValues))/MAX(1,ROUNDDOWN($AB34/6,0))*2)+(SUMPRODUCT((PayEmp=$C34)*(PayDate&lt;=$AC34)*(ISERROR(SEARCH(PayEarnCode,AN$2)))*(PayEarnType="Annual")*(PayEarnValues)))),IF(ISNUMBER(OFFSET($N$3,0,MATCH(AN$5,PayDedList,0)-1,1,1)),OFFSET($N$3,0,MATCH(AN$5,PayDedList,0)-1,1,1),IgnoreMin)))*IF(COUNTIFS(EmpNo,$C34,OFFSET(Emp!$R$4,1,MATCH(AN$5,DedListItem,0)-1,EmpCount,1),"&lt;&gt;")&gt;0,VLOOKUP($C34,EmpAll,COLUMN(Emp!$R$4)+MATCH(AN$5,DedListItem,0)-1,0),OFFSET(Setup!$E$73,MATCH(AN$5,DedListItem,0),0,1,1))*AN$3))),IF(ISNUMBER(AN$4),AN$4,IgnoreMin)))))</f>
        <v>0</v>
      </c>
      <c r="AO34" s="148" cm="1">
        <f t="array" aca="1" ref="AO34" ca="1">-IF($F34="Terminated",0,IF($AA34=0,0,IF(ISNA(MATCH(AO$5,PayDedList,0)),0,MIN(IF(COUNTIFS(OverEmp,$C34,OverDeduct,AO$5,OverDate,"&lt;"&amp;DATE(YEAR($AC34),MONTH($AC34)+1,1),OverEnd,"&gt;="&amp;DATE(YEAR($AC34),MONTH($AC34),1))&gt;0,SUMPRODUCT((PayEmp=$C34)*(PayDate&lt;=$AC34)*(OFFSET($N$6,1,MATCH(AO$5,PayDedList,0)-1,PayCount,1)))/$AA34*12*AO$3,IF(OR(AO$1="Fixed",AO$1="Not Used"),SUMPRODUCT((PayEmp=$C34)*(PayDate&lt;=$AC34)*(OFFSET($N$6,1,MATCH(AO$5,PayDedList,0)-1,PayCount,1)))/$AA34*12*AO$3,IF(ISNA(MATCH(AO$1,EarnListItem,0))=FALSE,SUMPRODUCT((PayEmp=$C34)*(PayDate&lt;=$AC34)*(OFFSET($N$6,1,MATCH(AO$5,PayDedList,0)-1,PayCount,1)))/$AA34*12*AO$3,(MIN(((SUMPRODUCT((PayEmp=$C34)*(PayDate&lt;=$AC34)*(ISERROR(SEARCH(PayEarnCode,AO$2)))*(PayEarnType="Monthly")*(PayEarnValues))/$AA34*12)+(SUMPRODUCT((PayEmp=$C34)*(PayDate&lt;=$AC34)*(ISERROR(SEARCH(PayEarnCode,AO$2)))*(PayEarnType="Quarterly")*(PayEarnValues))/MAX(1,ROUNDDOWN($AB34/3,0))*4)+(SUMPRODUCT((PayEmp=$C34)*(PayDate&lt;=$AC34)*(ISERROR(SEARCH(PayEarnCode,AO$2)))*(PayEarnType="Bi-Annual")*(PayEarnValues))/MAX(1,ROUNDDOWN($AB34/6,0))*2)+(SUMPRODUCT((PayEmp=$C34)*(PayDate&lt;=$AC34)*(ISERROR(SEARCH(PayEarnCode,AO$2)))*(PayEarnType="Annual")*(PayEarnValues)))),IF(ISNUMBER(OFFSET($N$3,0,MATCH(AO$5,PayDedList,0)-1,1,1)),OFFSET($N$3,0,MATCH(AO$5,PayDedList,0)-1,1,1),IgnoreMin)))*IF(COUNTIFS(EmpNo,$C34,OFFSET(Emp!$R$4,1,MATCH(AO$5,DedListItem,0)-1,EmpCount,1),"&lt;&gt;")&gt;0,VLOOKUP($C34,EmpAll,COLUMN(Emp!$R$4)+MATCH(AO$5,DedListItem,0)-1,0),OFFSET(Setup!$E$73,MATCH(AO$5,DedListItem,0),0,1,1))*AO$3))),IF(ISNUMBER(AO$4),AO$4,IgnoreMin)))))</f>
        <v>0</v>
      </c>
      <c r="AP34" s="148" cm="1">
        <f t="array" aca="1" ref="AP34" ca="1">-IF($F34="Terminated",0,IF($AA34=0,0,IF(ISNA(MATCH(AP$5,PayDedList,0)),0,MIN(IF(COUNTIFS(OverEmp,$C34,OverDeduct,AP$5,OverDate,"&lt;"&amp;DATE(YEAR($AC34),MONTH($AC34)+1,1),OverEnd,"&gt;="&amp;DATE(YEAR($AC34),MONTH($AC34),1))&gt;0,SUMPRODUCT((PayEmp=$C34)*(PayDate&lt;=$AC34)*(OFFSET($N$6,1,MATCH(AP$5,PayDedList,0)-1,PayCount,1)))/$AA34*12*AP$3,IF(OR(AP$1="Fixed",AP$1="Not Used"),SUMPRODUCT((PayEmp=$C34)*(PayDate&lt;=$AC34)*(OFFSET($N$6,1,MATCH(AP$5,PayDedList,0)-1,PayCount,1)))/$AA34*12*AP$3,IF(ISNA(MATCH(AP$1,EarnListItem,0))=FALSE,SUMPRODUCT((PayEmp=$C34)*(PayDate&lt;=$AC34)*(OFFSET($N$6,1,MATCH(AP$5,PayDedList,0)-1,PayCount,1)))/$AA34*12*AP$3,(MIN(((SUMPRODUCT((PayEmp=$C34)*(PayDate&lt;=$AC34)*(ISERROR(SEARCH(PayEarnCode,AP$2)))*(PayEarnType="Monthly")*(PayEarnValues))/$AA34*12)+(SUMPRODUCT((PayEmp=$C34)*(PayDate&lt;=$AC34)*(ISERROR(SEARCH(PayEarnCode,AP$2)))*(PayEarnType="Quarterly")*(PayEarnValues))/MAX(1,ROUNDDOWN($AB34/3,0))*4)+(SUMPRODUCT((PayEmp=$C34)*(PayDate&lt;=$AC34)*(ISERROR(SEARCH(PayEarnCode,AP$2)))*(PayEarnType="Bi-Annual")*(PayEarnValues))/MAX(1,ROUNDDOWN($AB34/6,0))*2)+(SUMPRODUCT((PayEmp=$C34)*(PayDate&lt;=$AC34)*(ISERROR(SEARCH(PayEarnCode,AP$2)))*(PayEarnType="Annual")*(PayEarnValues)))),IF(ISNUMBER(OFFSET($N$3,0,MATCH(AP$5,PayDedList,0)-1,1,1)),OFFSET($N$3,0,MATCH(AP$5,PayDedList,0)-1,1,1),IgnoreMin)))*IF(COUNTIFS(EmpNo,$C34,OFFSET(Emp!$R$4,1,MATCH(AP$5,DedListItem,0)-1,EmpCount,1),"&lt;&gt;")&gt;0,VLOOKUP($C34,EmpAll,COLUMN(Emp!$R$4)+MATCH(AP$5,DedListItem,0)-1,0),OFFSET(Setup!$E$73,MATCH(AP$5,DedListItem,0),0,1,1))*AP$3))),IF(ISNUMBER(AP$4),AP$4,IgnoreMin)))))</f>
        <v>0</v>
      </c>
      <c r="AQ34" s="148" cm="1">
        <f t="array" aca="1" ref="AQ34" ca="1">-IF($F34="Terminated",0,IF($AA34=0,0,IF(ISNA(MATCH(AQ$5,PayDedList,0)),0,MIN(IF(COUNTIFS(OverEmp,$C34,OverDeduct,AQ$5,OverDate,"&lt;"&amp;DATE(YEAR($AC34),MONTH($AC34)+1,1),OverEnd,"&gt;="&amp;DATE(YEAR($AC34),MONTH($AC34),1))&gt;0,SUMPRODUCT((PayEmp=$C34)*(PayDate&lt;=$AC34)*(OFFSET($N$6,1,MATCH(AQ$5,PayDedList,0)-1,PayCount,1)))/$AA34*12*AQ$3,IF(OR(AQ$1="Fixed",AQ$1="Not Used"),SUMPRODUCT((PayEmp=$C34)*(PayDate&lt;=$AC34)*(OFFSET($N$6,1,MATCH(AQ$5,PayDedList,0)-1,PayCount,1)))/$AA34*12*AQ$3,IF(ISNA(MATCH(AQ$1,EarnListItem,0))=FALSE,SUMPRODUCT((PayEmp=$C34)*(PayDate&lt;=$AC34)*(OFFSET($N$6,1,MATCH(AQ$5,PayDedList,0)-1,PayCount,1)))/$AA34*12*AQ$3,(MIN(((SUMPRODUCT((PayEmp=$C34)*(PayDate&lt;=$AC34)*(ISERROR(SEARCH(PayEarnCode,AQ$2)))*(PayEarnType="Monthly")*(PayEarnValues))/$AA34*12)+(SUMPRODUCT((PayEmp=$C34)*(PayDate&lt;=$AC34)*(ISERROR(SEARCH(PayEarnCode,AQ$2)))*(PayEarnType="Quarterly")*(PayEarnValues))/MAX(1,ROUNDDOWN($AB34/3,0))*4)+(SUMPRODUCT((PayEmp=$C34)*(PayDate&lt;=$AC34)*(ISERROR(SEARCH(PayEarnCode,AQ$2)))*(PayEarnType="Bi-Annual")*(PayEarnValues))/MAX(1,ROUNDDOWN($AB34/6,0))*2)+(SUMPRODUCT((PayEmp=$C34)*(PayDate&lt;=$AC34)*(ISERROR(SEARCH(PayEarnCode,AQ$2)))*(PayEarnType="Annual")*(PayEarnValues)))),IF(ISNUMBER(OFFSET($N$3,0,MATCH(AQ$5,PayDedList,0)-1,1,1)),OFFSET($N$3,0,MATCH(AQ$5,PayDedList,0)-1,1,1),IgnoreMin)))*IF(COUNTIFS(EmpNo,$C34,OFFSET(Emp!$R$4,1,MATCH(AQ$5,DedListItem,0)-1,EmpCount,1),"&lt;&gt;")&gt;0,VLOOKUP($C34,EmpAll,COLUMN(Emp!$R$4)+MATCH(AQ$5,DedListItem,0)-1,0),OFFSET(Setup!$E$73,MATCH(AQ$5,DedListItem,0),0,1,1))*AQ$3))),IF(ISNUMBER(AQ$4),AQ$4,IgnoreMin)))))</f>
        <v>0</v>
      </c>
      <c r="AR34" s="148">
        <f t="shared" ca="1" si="10"/>
        <v>60000</v>
      </c>
      <c r="AS34" s="148">
        <f t="shared" ca="1" si="11"/>
        <v>60000</v>
      </c>
      <c r="AT34" s="148" cm="1">
        <f t="array" aca="1" ref="AT34" ca="1">-IF($F34="Terminated",0,IF($AA34=0,0,IF(ISNA(MATCH(AT$5,PayDedList,0)),0,MIN(IF(COUNTIFS(OverEmp,$C34,OverDeduct,AT$5,OverDate,"&lt;"&amp;DATE(YEAR($AC34),MONTH($AC34)+1,1),OverEnd,"&gt;="&amp;DATE(YEAR($AC34),MONTH($AC34),1))&gt;0,SUMPRODUCT((PayEmp=$C34)*(PayDate&lt;=$AC34)*(OFFSET($N$6,1,MATCH(AT$5,PayDedList,0)-1,PayCount,1)))/$AA34*12*AT$3,IF(OR(AT$1="Fixed",AT$1="Not Used"),SUMPRODUCT((PayEmp=$C34)*(PayDate&lt;=$AC34)*(OFFSET($N$6,1,MATCH(AT$5,PayDedList,0)-1,PayCount,1)))/$AA34*12*AT$3,IF(ISNA(MATCH(OFFSET($N$2,0,MATCH(AT$5,PayDedList,0)-1,1,1),EarnListItem,0))=FALSE,SUMPRODUCT((PayEmp=$C34)*(PayDate&lt;=$AC34)*(OFFSET($N$6,1,MATCH(AT$5,PayDedList,0)-1,PayCount,1)))/$AA34*12*AT$3,(MIN(SUMPRODUCT((PayEmp=$C34)*(PayDate&lt;=$AC34)*(ISERROR(SEARCH(PayEarnCode,AT$2)))*(PayEarnType="Monthly")*(PayEarnValues))/$AA34*12,IF(ISNUMBER(OFFSET($N$3,0,MATCH(AT$5,PayDedList,0)-1,1,1)),OFFSET($N$3,0,MATCH(AT$5,PayDedList,0)-1,1,1),IgnoreMin)))*IF(COUNTIFS(EmpNo,$C34,OFFSET(Emp!$R$4,1,MATCH(AT$5,DedListItem,0)-1,EmpCount,1),"&lt;&gt;")&gt;0,VLOOKUP($C34,EmpAll,COLUMN(Emp!$R$4)+MATCH(AT$5,DedListItem,0)-1,0),OFFSET(Setup!$E$73,MATCH(AT$5,DedListItem,0),0,1,1))*AT$3))),IF(ISNUMBER(AT$4),AT$4,IgnoreMin)))))</f>
        <v>0</v>
      </c>
      <c r="AU34" s="148" cm="1">
        <f t="array" aca="1" ref="AU34" ca="1">-IF($F34="Terminated",0,IF($AA34=0,0,IF(ISNA(MATCH(AU$5,PayDedList,0)),0,MIN(IF(COUNTIFS(OverEmp,$C34,OverDeduct,AU$5,OverDate,"&lt;"&amp;DATE(YEAR($AC34),MONTH($AC34)+1,1),OverEnd,"&gt;="&amp;DATE(YEAR($AC34),MONTH($AC34),1))&gt;0,SUMPRODUCT((PayEmp=$C34)*(PayDate&lt;=$AC34)*(OFFSET($N$6,1,MATCH(AU$5,PayDedList,0)-1,PayCount,1)))/$AA34*12*AU$3,IF(OR(AU$1="Fixed",AU$1="Not Used"),SUMPRODUCT((PayEmp=$C34)*(PayDate&lt;=$AC34)*(OFFSET($N$6,1,MATCH(AU$5,PayDedList,0)-1,PayCount,1)))/$AA34*12*AU$3,IF(ISNA(MATCH(OFFSET($N$2,0,MATCH(AU$5,PayDedList,0)-1,1,1),EarnListItem,0))=FALSE,SUMPRODUCT((PayEmp=$C34)*(PayDate&lt;=$AC34)*(OFFSET($N$6,1,MATCH(AU$5,PayDedList,0)-1,PayCount,1)))/$AA34*12*AU$3,(MIN(SUMPRODUCT((PayEmp=$C34)*(PayDate&lt;=$AC34)*(ISERROR(SEARCH(PayEarnCode,AU$2)))*(PayEarnType="Monthly")*(PayEarnValues))/$AA34*12,IF(ISNUMBER(OFFSET($N$3,0,MATCH(AU$5,PayDedList,0)-1,1,1)),OFFSET($N$3,0,MATCH(AU$5,PayDedList,0)-1,1,1),IgnoreMin)))*IF(COUNTIFS(EmpNo,$C34,OFFSET(Emp!$R$4,1,MATCH(AU$5,DedListItem,0)-1,EmpCount,1),"&lt;&gt;")&gt;0,VLOOKUP($C34,EmpAll,COLUMN(Emp!$R$4)+MATCH(AU$5,DedListItem,0)-1,0),OFFSET(Setup!$E$73,MATCH(AU$5,DedListItem,0),0,1,1))*AU$3))),IF(ISNUMBER(AU$4),AU$4,IgnoreMin)))))</f>
        <v>0</v>
      </c>
      <c r="AV34" s="148" cm="1">
        <f t="array" aca="1" ref="AV34" ca="1">-IF($F34="Terminated",0,IF($AA34=0,0,IF(ISNA(MATCH(AV$5,PayDedList,0)),0,MIN(IF(COUNTIFS(OverEmp,$C34,OverDeduct,AV$5,OverDate,"&lt;"&amp;DATE(YEAR($AC34),MONTH($AC34)+1,1),OverEnd,"&gt;="&amp;DATE(YEAR($AC34),MONTH($AC34),1))&gt;0,SUMPRODUCT((PayEmp=$C34)*(PayDate&lt;=$AC34)*(OFFSET($N$6,1,MATCH(AV$5,PayDedList,0)-1,PayCount,1)))/$AA34*12*AV$3,IF(OR(AV$1="Fixed",AV$1="Not Used"),SUMPRODUCT((PayEmp=$C34)*(PayDate&lt;=$AC34)*(OFFSET($N$6,1,MATCH(AV$5,PayDedList,0)-1,PayCount,1)))/$AA34*12*AV$3,IF(ISNA(MATCH(OFFSET($N$2,0,MATCH(AV$5,PayDedList,0)-1,1,1),EarnListItem,0))=FALSE,SUMPRODUCT((PayEmp=$C34)*(PayDate&lt;=$AC34)*(OFFSET($N$6,1,MATCH(AV$5,PayDedList,0)-1,PayCount,1)))/$AA34*12*AV$3,(MIN(SUMPRODUCT((PayEmp=$C34)*(PayDate&lt;=$AC34)*(ISERROR(SEARCH(PayEarnCode,AV$2)))*(PayEarnType="Monthly")*(PayEarnValues))/$AA34*12,IF(ISNUMBER(OFFSET($N$3,0,MATCH(AV$5,PayDedList,0)-1,1,1)),OFFSET($N$3,0,MATCH(AV$5,PayDedList,0)-1,1,1),IgnoreMin)))*IF(COUNTIFS(EmpNo,$C34,OFFSET(Emp!$R$4,1,MATCH(AV$5,DedListItem,0)-1,EmpCount,1),"&lt;&gt;")&gt;0,VLOOKUP($C34,EmpAll,COLUMN(Emp!$R$4)+MATCH(AV$5,DedListItem,0)-1,0),OFFSET(Setup!$E$73,MATCH(AV$5,DedListItem,0),0,1,1))*AV$3))),IF(ISNUMBER(AV$4),AV$4,IgnoreMin)))))</f>
        <v>0</v>
      </c>
      <c r="AW34" s="148" cm="1">
        <f t="array" aca="1" ref="AW34" ca="1">-IF($F34="Terminated",0,IF($AA34=0,0,IF(ISNA(MATCH(AW$5,PayDedList,0)),0,MIN(IF(COUNTIFS(OverEmp,$C34,OverDeduct,AW$5,OverDate,"&lt;"&amp;DATE(YEAR($AC34),MONTH($AC34)+1,1),OverEnd,"&gt;="&amp;DATE(YEAR($AC34),MONTH($AC34),1))&gt;0,SUMPRODUCT((PayEmp=$C34)*(PayDate&lt;=$AC34)*(OFFSET($N$6,1,MATCH(AW$5,PayDedList,0)-1,PayCount,1)))/$AA34*12*AW$3,IF(OR(AW$1="Fixed",AW$1="Not Used"),SUMPRODUCT((PayEmp=$C34)*(PayDate&lt;=$AC34)*(OFFSET($N$6,1,MATCH(AW$5,PayDedList,0)-1,PayCount,1)))/$AA34*12*AW$3,IF(ISNA(MATCH(OFFSET($N$2,0,MATCH(AW$5,PayDedList,0)-1,1,1),EarnListItem,0))=FALSE,SUMPRODUCT((PayEmp=$C34)*(PayDate&lt;=$AC34)*(OFFSET($N$6,1,MATCH(AW$5,PayDedList,0)-1,PayCount,1)))/$AA34*12*AW$3,(MIN(SUMPRODUCT((PayEmp=$C34)*(PayDate&lt;=$AC34)*(ISERROR(SEARCH(PayEarnCode,AW$2)))*(PayEarnType="Monthly")*(PayEarnValues))/$AA34*12,IF(ISNUMBER(OFFSET($N$3,0,MATCH(AW$5,PayDedList,0)-1,1,1)),OFFSET($N$3,0,MATCH(AW$5,PayDedList,0)-1,1,1),IgnoreMin)))*IF(COUNTIFS(EmpNo,$C34,OFFSET(Emp!$R$4,1,MATCH(AW$5,DedListItem,0)-1,EmpCount,1),"&lt;&gt;")&gt;0,VLOOKUP($C34,EmpAll,COLUMN(Emp!$R$4)+MATCH(AW$5,DedListItem,0)-1,0),OFFSET(Setup!$E$73,MATCH(AW$5,DedListItem,0),0,1,1))*AW$3))),IF(ISNUMBER(AW$4),AW$4,IgnoreMin)))))</f>
        <v>0</v>
      </c>
      <c r="AX34" s="148">
        <f t="shared" ca="1" si="12"/>
        <v>60000</v>
      </c>
      <c r="AY34" s="148">
        <f t="shared" ca="1" si="13"/>
        <v>0</v>
      </c>
      <c r="AZ34" s="148">
        <f ca="1">IF(ISNUMBER($AL34),($AR34*$AL34)-$AI34-$AK34,MAX(0,IF($AL34="B",IF($AR34&lt;Setup!$C$32,($AR34*Setup!$D$32)-$AI34-$AK34,(($AR34-VLOOKUP($AR34,TaxAll2,1,1))*OFFSET(Setup!$D$32,MATCH($AR34,TaxBracket2,1),0,1,1))+OFFSET(Setup!$E$31,MATCH($AR34,TaxBracket2,1),0,1,1)-$AI34-$AK34),IF($AR34&lt;Setup!$C$21,($AR34*Setup!$D$21)-$AI34-$AK34,(($AR34-VLOOKUP($AR34,TaxAll1,1,1))*OFFSET(Setup!$D$21,MATCH($AR34,TaxBracket1,1),0,1,1))+OFFSET(Setup!$E$20,MATCH($AR34,TaxBracket1,1),0,1,1)-$AI34-$AK34))))</f>
        <v>0</v>
      </c>
      <c r="BA34" s="148">
        <f ca="1">IF(ISNUMBER($AL34),($AX34*$AL34)-$AI34-$AK34,MAX(0,IF($AL34="B",IF($AX34&lt;Setup!$C$32,($AX34*Setup!$D$32)-$AI34-$AK34,(($AX34-VLOOKUP($AX34,TaxAll2,1,1))*OFFSET(Setup!$D$32,MATCH($AX34,TaxBracket2,1),0,1,1))+OFFSET(Setup!$E$31,MATCH($AX34,TaxBracket2,1),0,1,1)-$AI34-$AK34),IF($AX34&lt;Setup!$C$21,($AX34*Setup!$D$21)-$AI34-$AK34,(($AX34-VLOOKUP($AX34,TaxAll1,1,1))*OFFSET(Setup!$D$21,MATCH($AX34,TaxBracket1,1),0,1,1))+OFFSET(Setup!$E$20,MATCH($AX34,TaxBracket1,1),0,1,1)-$AI34-$AK34))))</f>
        <v>0</v>
      </c>
      <c r="BB34" s="148">
        <f t="shared" ca="1" si="14"/>
        <v>0</v>
      </c>
      <c r="BC34" s="150">
        <f t="shared" ca="1" si="15"/>
        <v>1</v>
      </c>
      <c r="BD34" s="150">
        <f t="shared" ca="1" si="16"/>
        <v>0</v>
      </c>
      <c r="BE34" s="148">
        <f t="shared" ca="1" si="17"/>
        <v>60000</v>
      </c>
    </row>
    <row r="35" spans="1:57" ht="16.149999999999999" customHeight="1" x14ac:dyDescent="0.25">
      <c r="A35" s="10" t="str" cm="1">
        <f t="array" aca="1" ref="A35" ca="1">IF(ROW($A35)-ROW($A$6)&gt;EmpCount*12,"-",TEXT($B35,"yyyy")&amp;TEXT($B35,"mm")&amp;"-"&amp;$C35)</f>
        <v>202304-EXS014</v>
      </c>
      <c r="B35" s="137" cm="1">
        <f t="array" aca="1" ref="B35" ca="1">IF(ROW($A35)-ROW($A$6)&gt;EmpCount*12,Setup!$D$12,DATE(YEAR(Setup!$F$12),MONTH(Setup!$F$12)+ROUNDDOWN((ROW($A35)-ROW($A$6)-1)/EmpCount,0),IF(Setup!$C$14&gt;DAY(DATE(YEAR(Setup!$F$12),MONTH(Setup!$F$12)+ROUNDDOWN((ROW($A35)-ROW($A$6)-1)/EmpCount,0)+1,0)),DAY(DATE(YEAR(Setup!$F$12),MONTH(Setup!$F$12)+ROUNDDOWN((ROW($A35)-ROW($A$6)-1)/EmpCount,0)+1,0)),Setup!$C$14)))</f>
        <v>45041</v>
      </c>
      <c r="C35" s="101" t="str" cm="1">
        <f t="array" aca="1" ref="C35" ca="1">IF(ROW($A35)-ROW($A$6)&gt;EmpCount*12,"-",OFFSET(Emp!$A$4,ROW($A35)-ROW($A$6)-IF(ROW($A35)-ROW($A$6)&gt;EmpCount,ROUNDDOWN((ROW($A35)-ROW($A$6)-1)/EmpCount,0)*EmpCount,0),0,1,1))</f>
        <v>EXS014</v>
      </c>
      <c r="D35" s="10" t="str">
        <f ca="1">IF(ISNA(VLOOKUP($C35,EmpAll,COLUMN(Emp!$B$4),0)),"-",VLOOKUP($C35,EmpAll,COLUMN(Emp!$B$4),0))</f>
        <v>Ross Q</v>
      </c>
      <c r="E35" s="145" t="str">
        <f ca="1">IF(ISNA(VLOOKUP($C35,EmpAll,COLUMN(Emp!$C$4),0)),"-",VLOOKUP($C35,EmpAll,COLUMN(Emp!$C$4),0))</f>
        <v>A</v>
      </c>
      <c r="F35" s="101" t="str">
        <f ca="1">IF(ISNA(VLOOKUP($C35,EmpAll,COLUMN(Emp!$A$4),0)),"-",IF(AND(VLOOKUP($C35,EmpAll,COLUMN(Emp!$E$4),0)&lt;&gt;0,VLOOKUP($C35,EmpAll,COLUMN(Emp!$E$4),0)&gt;=DATE(YEAR($AC35),MONTH($AC35)+1,0)),"Inactive",IF(AND(VLOOKUP($C35,EmpAll,COLUMN(Emp!$F$4),0)&lt;&gt;0,VLOOKUP($C35,EmpAll,COLUMN(Emp!$F$4),0)&lt;=DATE(YEAR($AC35),MONTH($AC35),0)),"Terminated","Active")))</f>
        <v>Inactive</v>
      </c>
      <c r="G35" s="133" cm="1">
        <f t="array" aca="1" ref="G35" ca="1">IF($F35&lt;&gt;"Active",0,IF(COUNTIFS(OverEmp,$C35,OverEarn,G$2,OverDate,"&lt;"&amp;DATE(YEAR($AC35),MONTH($AC35)+1,1),OverEnd,"&gt;="&amp;DATE(YEAR($AC35),MONTH($AC35),1))&gt;0,SUMIFS(OverValue,OverEmp,$C35,OverEarn,G$2,OverDate,"&lt;"&amp;DATE(YEAR($AC35),MONTH($AC35)+1,1),OverEnd,"&gt;="&amp;DATE(YEAR($AC35),MONTH($AC35),1)),IF(AND($AC35&gt;=Setup!$E$10,SUMIFS(EmpIncrease,EmpCode,$C35)&gt;0),SUMIFS(EmpIncrease,EmpCode,$C35),SUMIFS(EmpSalary,EmpCode,$C35))))</f>
        <v>0</v>
      </c>
      <c r="H35" s="133" cm="1">
        <f t="array" aca="1" ref="H35" ca="1">IF($F35&lt;&gt;"Active",0,IF(COUNTIFS(OverEmp,$C35,OverEarn,H$2,OverDate,"&lt;"&amp;DATE(YEAR($AC35),MONTH($AC35)+1,1),OverEnd,"&gt;="&amp;DATE(YEAR($AC35),MONTH($AC35),1))&gt;0,SUMIFS(OverValue,OverEmp,$C35,OverEarn,H$2,OverDate,"&lt;"&amp;DATE(YEAR($AC35),MONTH($AC35)+1,1),OverEnd,"&gt;="&amp;DATE(YEAR($AC35),MONTH($AC35),1)),0))</f>
        <v>0</v>
      </c>
      <c r="I35" s="133" cm="1">
        <f t="array" aca="1" ref="I35" ca="1">IF($F35&lt;&gt;"Active",0,IF(COUNTIFS(OverEmp,$C35,OverEarn,I$2,OverDate,"&lt;"&amp;DATE(YEAR($AC35),MONTH($AC35)+1,1),OverEnd,"&gt;="&amp;DATE(YEAR($AC35),MONTH($AC35),1))&gt;0,SUMIFS(OverValue,OverEmp,$C35,OverEarn,I$2,OverDate,"&lt;"&amp;DATE(YEAR($AC35),MONTH($AC35)+1,1),OverEnd,"&gt;="&amp;DATE(YEAR($AC35),MONTH($AC35),1)),IF(MONTH(B35)=Setup!$C$15,SUMIFS(EmpBonus,EmpCode,$C35),0)))</f>
        <v>0</v>
      </c>
      <c r="J35" s="133" cm="1">
        <f t="array" aca="1" ref="J35" ca="1">IF($F35&lt;&gt;"Active",0,IF(COUNTIFS(OverEmp,$C35,OverEarn,J$2,OverDate,"&lt;"&amp;DATE(YEAR($AC35),MONTH($AC35)+1,1),OverEnd,"&gt;="&amp;DATE(YEAR($AC35),MONTH($AC35),1))&gt;0,SUMIFS(OverValue,OverEmp,$C35,OverEarn,J$2,OverDate,"&lt;"&amp;DATE(YEAR($AC35),MONTH($AC35)+1,1),OverEnd,"&gt;="&amp;DATE(YEAR($AC35),MONTH($AC35),1)),0))</f>
        <v>0</v>
      </c>
      <c r="K35" s="133" cm="1">
        <f t="array" aca="1" ref="K35" ca="1">IF($F35&lt;&gt;"Active",0,IF(COUNTIFS(OverEmp,$C35,OverEarn,K$2,OverDate,"&lt;"&amp;DATE(YEAR($AC35),MONTH($AC35)+1,1),OverEnd,"&gt;="&amp;DATE(YEAR($AC35),MONTH($AC35),1))&gt;0,SUMIFS(OverValue,OverEmp,$C35,OverEarn,K$2,OverDate,"&lt;"&amp;DATE(YEAR($AC35),MONTH($AC35)+1,1),OverEnd,"&gt;="&amp;DATE(YEAR($AC35),MONTH($AC35),1)),0))</f>
        <v>0</v>
      </c>
      <c r="L35" s="185">
        <f t="shared" ca="1" si="0"/>
        <v>0</v>
      </c>
      <c r="M35" s="182" cm="1">
        <f t="array" aca="1" ref="M35" ca="1">IF(COUNTIFS(OverEmp,$C35,OverTax,M$5,OverDate,"&lt;"&amp;DATE(YEAR($AC35),MONTH($AC35)+1,1),OverEnd,"&gt;="&amp;DATE(YEAR($AC35),MONTH($AC35),1))&gt;0,SUMIFS(OverValue,OverEmp,$C35,OverTax,M$5,OverDate,"&lt;"&amp;DATE(YEAR($AC35),MONTH($AC35)+1,1),OverEnd,"&gt;="&amp;DATE(YEAR($AC35),MONTH($AC35),1)),(($BA35/12*$AA35)+(BB35*IF(1-$BC35=0,0,BD35/(1-$BC35))))-IF($F35="Terminated",0,SUMIFS(PayTaxDeduct,PayDate,"&lt;"&amp;$AC35,PayEmp,$C35)))</f>
        <v>0</v>
      </c>
      <c r="N35" s="133" cm="1">
        <f t="array" aca="1" ref="N35" ca="1">IF($F35="Terminated",0,IF($AA35=0,0,IF(ISNA(MATCH(N$5,DedListItem,0)),0,IF(COUNTIFS(OverEmp,$C35,OverDeduct,N$5,OverDate,"&lt;"&amp;DATE(YEAR($AC35),MONTH($AC35)+1,1),OverEnd,"&gt;="&amp;DATE(YEAR($AC35),MONTH($AC35),1))&gt;0,SUMIFS(OverValue,OverEmp,$C35,OverDeduct,N$5,OverDate,"&lt;"&amp;DATE(YEAR($AC35),MONTH($AC35)+1,1),OverEnd,"&gt;="&amp;DATE(YEAR($AC35),MONTH($AC35),1)),IF(OR(N$2="Fixed",N$2="Not Used"),(IF(COUNTIFS(EmpNo,$C35,OFFSET(Emp!$R$4,1,MATCH(N$5,DedListItem,0)-1,EmpCount,1),"&lt;&gt;")&gt;0,VLOOKUP($C35,EmpAll,COLUMN(Emp!$R$4)+MATCH(N$5,DedListItem,0)-1,0),OFFSET(Setup!$E$73,MATCH(N$5,DedListItem,0),0,1,1))*$AA35)-SUMIFS(OFFSET(N$6,1,0,PayCount,1),PayDate,"&lt;"&amp;$AC35,PayEmp,$C35),IF(ISNA(MATCH(N$2,EarnListItem,0))=FALSE,IF(OFFSET(Setup!$G$73,MATCH(N$5,DedListItem,0),0,1,1)="Taxable",SUMPRODUCT((PayEmp=$C35)*(PayDate&lt;=$AC35)*(PayEarnCode=N$2)*(PayEarnTax)*(PayEarnValues)),SUMPRODUCT((PayEmp=$C35)*(PayDate&lt;=$AC35)*(PayEarnCode=N$2)*(PayEarnValues)))*IF(COUNTIFS(EmpNo,$C35,OFFSET(Emp!$R$4,1,MATCH(N$5,DedListItem,0)-1,EmpCount,1),"&lt;&gt;")&gt;0,VLOOKUP($C35,EmpAll,COLUMN(Emp!$R$4)+MATCH(N$5,DedListItem,0)-1,0),OFFSET(Setup!$E$73,MATCH(N$5,DedListItem,0),0,1,1)),(MIN(IF(OFFSET(Setup!$G$73,MATCH(N$5,DedListItem,0),0,1,1)="Taxable",SUMPRODUCT((PayEmp=$C35)*(PayDate&lt;=$AC35)*(ISERROR(SEARCH(PayEarnCode,N$4)))*(PayEarnTax)*(PayEarnValues)),SUMPRODUCT((PayEmp=$C35)*(PayDate&lt;=$AC35)*(ISERROR(SEARCH(PayEarnCode,N$4)))*(PayEarnValues))),IF(ISNUMBER(N$3),N$3/12*$AA35,IgnoreMin)))*IF(COUNTIFS(EmpNo,$C35,OFFSET(Emp!$R$4,1,MATCH(N$5,DedListItem,0)-1,EmpCount,1),"&lt;&gt;")&gt;0,VLOOKUP($C35,EmpAll,COLUMN(Emp!$R$4)+MATCH(N$5,DedListItem,0)-1,0),OFFSET(Setup!$E$73,MATCH(N$5,DedListItem,0),0,1,1)))-SUMIFS(OFFSET(N$6,1,0,PayCount,1),PayDate,"&lt;"&amp;$AC35,PayEmp,$C35))))))</f>
        <v>0</v>
      </c>
      <c r="O35" s="133" cm="1">
        <f t="array" aca="1" ref="O35" ca="1">IF($F35="Terminated",0,IF($AA35=0,0,IF(ISNA(MATCH(O$5,DedListItem,0)),0,IF(COUNTIFS(OverEmp,$C35,OverDeduct,O$5,OverDate,"&lt;"&amp;DATE(YEAR($AC35),MONTH($AC35)+1,1),OverEnd,"&gt;="&amp;DATE(YEAR($AC35),MONTH($AC35),1))&gt;0,SUMIFS(OverValue,OverEmp,$C35,OverDeduct,O$5,OverDate,"&lt;"&amp;DATE(YEAR($AC35),MONTH($AC35)+1,1),OverEnd,"&gt;="&amp;DATE(YEAR($AC35),MONTH($AC35),1)),IF(OR(O$2="Fixed",O$2="Not Used"),(IF(COUNTIFS(EmpNo,$C35,OFFSET(Emp!$R$4,1,MATCH(O$5,DedListItem,0)-1,EmpCount,1),"&lt;&gt;")&gt;0,VLOOKUP($C35,EmpAll,COLUMN(Emp!$R$4)+MATCH(O$5,DedListItem,0)-1,0),OFFSET(Setup!$E$73,MATCH(O$5,DedListItem,0),0,1,1))*$AA35)-SUMIFS(OFFSET(O$6,1,0,PayCount,1),PayDate,"&lt;"&amp;$AC35,PayEmp,$C35),IF(ISNA(MATCH(O$2,EarnListItem,0))=FALSE,IF(OFFSET(Setup!$G$73,MATCH(O$5,DedListItem,0),0,1,1)="Taxable",SUMPRODUCT((PayEmp=$C35)*(PayDate&lt;=$AC35)*(PayEarnCode=O$2)*(PayEarnTax)*(PayEarnValues)),SUMPRODUCT((PayEmp=$C35)*(PayDate&lt;=$AC35)*(PayEarnCode=O$2)*(PayEarnValues)))*IF(COUNTIFS(EmpNo,$C35,OFFSET(Emp!$R$4,1,MATCH(O$5,DedListItem,0)-1,EmpCount,1),"&lt;&gt;")&gt;0,VLOOKUP($C35,EmpAll,COLUMN(Emp!$R$4)+MATCH(O$5,DedListItem,0)-1,0),OFFSET(Setup!$E$73,MATCH(O$5,DedListItem,0),0,1,1)),(MIN(IF(OFFSET(Setup!$G$73,MATCH(O$5,DedListItem,0),0,1,1)="Taxable",SUMPRODUCT((PayEmp=$C35)*(PayDate&lt;=$AC35)*(ISERROR(SEARCH(PayEarnCode,O$4)))*(PayEarnTax)*(PayEarnValues)),SUMPRODUCT((PayEmp=$C35)*(PayDate&lt;=$AC35)*(ISERROR(SEARCH(PayEarnCode,O$4)))*(PayEarnValues))),IF(ISNUMBER(O$3),O$3/12*$AA35,IgnoreMin)))*IF(COUNTIFS(EmpNo,$C35,OFFSET(Emp!$R$4,1,MATCH(O$5,DedListItem,0)-1,EmpCount,1),"&lt;&gt;")&gt;0,VLOOKUP($C35,EmpAll,COLUMN(Emp!$R$4)+MATCH(O$5,DedListItem,0)-1,0),OFFSET(Setup!$E$73,MATCH(O$5,DedListItem,0),0,1,1)))-SUMIFS(OFFSET(O$6,1,0,PayCount,1),PayDate,"&lt;"&amp;$AC35,PayEmp,$C35))))))</f>
        <v>0</v>
      </c>
      <c r="P35" s="133" cm="1">
        <f t="array" aca="1" ref="P35" ca="1">IF($F35="Terminated",0,IF($AA35=0,0,IF(ISNA(MATCH(P$5,DedListItem,0)),0,IF(COUNTIFS(OverEmp,$C35,OverDeduct,P$5,OverDate,"&lt;"&amp;DATE(YEAR($AC35),MONTH($AC35)+1,1),OverEnd,"&gt;="&amp;DATE(YEAR($AC35),MONTH($AC35),1))&gt;0,SUMIFS(OverValue,OverEmp,$C35,OverDeduct,P$5,OverDate,"&lt;"&amp;DATE(YEAR($AC35),MONTH($AC35)+1,1),OverEnd,"&gt;="&amp;DATE(YEAR($AC35),MONTH($AC35),1)),IF(OR(P$2="Fixed",P$2="Not Used"),(IF(COUNTIFS(EmpNo,$C35,OFFSET(Emp!$R$4,1,MATCH(P$5,DedListItem,0)-1,EmpCount,1),"&lt;&gt;")&gt;0,VLOOKUP($C35,EmpAll,COLUMN(Emp!$R$4)+MATCH(P$5,DedListItem,0)-1,0),OFFSET(Setup!$E$73,MATCH(P$5,DedListItem,0),0,1,1))*$AA35)-SUMIFS(OFFSET(P$6,1,0,PayCount,1),PayDate,"&lt;"&amp;$AC35,PayEmp,$C35),IF(ISNA(MATCH(P$2,EarnListItem,0))=FALSE,IF(OFFSET(Setup!$G$73,MATCH(P$5,DedListItem,0),0,1,1)="Taxable",SUMPRODUCT((PayEmp=$C35)*(PayDate&lt;=$AC35)*(PayEarnCode=P$2)*(PayEarnTax)*(PayEarnValues)),SUMPRODUCT((PayEmp=$C35)*(PayDate&lt;=$AC35)*(PayEarnCode=P$2)*(PayEarnValues)))*IF(COUNTIFS(EmpNo,$C35,OFFSET(Emp!$R$4,1,MATCH(P$5,DedListItem,0)-1,EmpCount,1),"&lt;&gt;")&gt;0,VLOOKUP($C35,EmpAll,COLUMN(Emp!$R$4)+MATCH(P$5,DedListItem,0)-1,0),OFFSET(Setup!$E$73,MATCH(P$5,DedListItem,0),0,1,1)),(MIN(IF(OFFSET(Setup!$G$73,MATCH(P$5,DedListItem,0),0,1,1)="Taxable",SUMPRODUCT((PayEmp=$C35)*(PayDate&lt;=$AC35)*(ISERROR(SEARCH(PayEarnCode,P$4)))*(PayEarnTax)*(PayEarnValues)),SUMPRODUCT((PayEmp=$C35)*(PayDate&lt;=$AC35)*(ISERROR(SEARCH(PayEarnCode,P$4)))*(PayEarnValues))),IF(ISNUMBER(P$3),P$3/12*$AA35,IgnoreMin)))*IF(COUNTIFS(EmpNo,$C35,OFFSET(Emp!$R$4,1,MATCH(P$5,DedListItem,0)-1,EmpCount,1),"&lt;&gt;")&gt;0,VLOOKUP($C35,EmpAll,COLUMN(Emp!$R$4)+MATCH(P$5,DedListItem,0)-1,0),OFFSET(Setup!$E$73,MATCH(P$5,DedListItem,0),0,1,1)))-SUMIFS(OFFSET(P$6,1,0,PayCount,1),PayDate,"&lt;"&amp;$AC35,PayEmp,$C35))))))</f>
        <v>0</v>
      </c>
      <c r="Q35" s="133" cm="1">
        <f t="array" aca="1" ref="Q35" ca="1">IF($F35="Terminated",0,IF($AA35=0,0,IF(ISNA(MATCH(Q$5,DedListItem,0)),0,IF(COUNTIFS(OverEmp,$C35,OverDeduct,Q$5,OverDate,"&lt;"&amp;DATE(YEAR($AC35),MONTH($AC35)+1,1),OverEnd,"&gt;="&amp;DATE(YEAR($AC35),MONTH($AC35),1))&gt;0,SUMIFS(OverValue,OverEmp,$C35,OverDeduct,Q$5,OverDate,"&lt;"&amp;DATE(YEAR($AC35),MONTH($AC35)+1,1),OverEnd,"&gt;="&amp;DATE(YEAR($AC35),MONTH($AC35),1)),IF(OR(Q$2="Fixed",Q$2="Not Used"),(IF(COUNTIFS(EmpNo,$C35,OFFSET(Emp!$R$4,1,MATCH(Q$5,DedListItem,0)-1,EmpCount,1),"&lt;&gt;")&gt;0,VLOOKUP($C35,EmpAll,COLUMN(Emp!$R$4)+MATCH(Q$5,DedListItem,0)-1,0),OFFSET(Setup!$E$73,MATCH(Q$5,DedListItem,0),0,1,1))*$AA35)-SUMIFS(OFFSET(Q$6,1,0,PayCount,1),PayDate,"&lt;"&amp;$AC35,PayEmp,$C35),IF(ISNA(MATCH(Q$2,EarnListItem,0))=FALSE,IF(OFFSET(Setup!$G$73,MATCH(Q$5,DedListItem,0),0,1,1)="Taxable",SUMPRODUCT((PayEmp=$C35)*(PayDate&lt;=$AC35)*(PayEarnCode=Q$2)*(PayEarnTax)*(PayEarnValues)),SUMPRODUCT((PayEmp=$C35)*(PayDate&lt;=$AC35)*(PayEarnCode=Q$2)*(PayEarnValues)))*IF(COUNTIFS(EmpNo,$C35,OFFSET(Emp!$R$4,1,MATCH(Q$5,DedListItem,0)-1,EmpCount,1),"&lt;&gt;")&gt;0,VLOOKUP($C35,EmpAll,COLUMN(Emp!$R$4)+MATCH(Q$5,DedListItem,0)-1,0),OFFSET(Setup!$E$73,MATCH(Q$5,DedListItem,0),0,1,1)),(MIN(IF(OFFSET(Setup!$G$73,MATCH(Q$5,DedListItem,0),0,1,1)="Taxable",SUMPRODUCT((PayEmp=$C35)*(PayDate&lt;=$AC35)*(ISERROR(SEARCH(PayEarnCode,Q$4)))*(PayEarnTax)*(PayEarnValues)),SUMPRODUCT((PayEmp=$C35)*(PayDate&lt;=$AC35)*(ISERROR(SEARCH(PayEarnCode,Q$4)))*(PayEarnValues))),IF(ISNUMBER(Q$3),Q$3/12*$AA35,IgnoreMin)))*IF(COUNTIFS(EmpNo,$C35,OFFSET(Emp!$R$4,1,MATCH(Q$5,DedListItem,0)-1,EmpCount,1),"&lt;&gt;")&gt;0,VLOOKUP($C35,EmpAll,COLUMN(Emp!$R$4)+MATCH(Q$5,DedListItem,0)-1,0),OFFSET(Setup!$E$73,MATCH(Q$5,DedListItem,0),0,1,1)))-SUMIFS(OFFSET(Q$6,1,0,PayCount,1),PayDate,"&lt;"&amp;$AC35,PayEmp,$C35))))))</f>
        <v>0</v>
      </c>
      <c r="R35" s="185">
        <f t="shared" ca="1" si="1"/>
        <v>0</v>
      </c>
      <c r="S35" s="139">
        <f t="shared" ca="1" si="2"/>
        <v>0</v>
      </c>
      <c r="T35" s="133" cm="1">
        <f t="array" aca="1" ref="T35" ca="1">IF($F35="Terminated",0,IF($AA35=0,0,IF(ISNA(MATCH(T$5,CompListItem,0)),0,IF(COUNTIFS(OverEmp,$C35,OverComp,T$5,OverDate,"&lt;"&amp;DATE(YEAR($AC35),MONTH($AC35)+1,1),OverEnd,"&gt;="&amp;DATE(YEAR($AC35),MONTH($AC35),1))&gt;0,SUMIFS(OverValue,OverEmp,$C35,OverComp,T$5,OverDate,"&lt;"&amp;DATE(YEAR($AC35),MONTH($AC35)+1,1),OverEnd,"&gt;="&amp;DATE(YEAR($AC35),MONTH($AC35),1)),IF(OR(T$2="Fixed",T$2="Not Used"),(OFFSET(Setup!$E$81,MATCH(T$5,CompListItem,0),0,1,1)*$AA35)-SUMIFS(OFFSET(T$6,1,0,PayCount,1),PayDate,"&lt;"&amp;$AC35,PayEmp,$C35),IF(ISNA(MATCH(T$2,DedListItem,0))=FALSE,(SUMPRODUCT((PayEmp=$C35)*(PayDate&lt;=$AC35)*(PayDedList=T$2)*(PayDedValues))*OFFSET(Setup!$E$81,MATCH(T$5,CompListItem,0),0,1,1))-SUMIFS(OFFSET(T$6,1,0,PayCount,1),PayDate,"&lt;"&amp;$AC35,PayEmp,$C35),(MIN(IF(OFFSET(Setup!$G$81,MATCH(T$5,CompListItem,0),0,1,1)="Taxable",SUMPRODUCT((PayEmp=$C35)*(PayDate&lt;=$AC35)*(ISERROR(SEARCH(PayEarnCode,T$4)))*(PayEarnTax)*(PayEarnValues)),SUMPRODUCT((PayEmp=$C35)*(PayDate&lt;=$AC35)*(ISERROR(SEARCH(PayEarnCode,T$4)))*(PayEarnValues))),IF(ISNUMBER(T$3),T$3/12*$AA35,IgnoreMin)))*OFFSET(Setup!$E$81,MATCH(T$5,CompListItem,0),0,1,1)-SUMIFS(OFFSET(T$6,1,0,PayCount,1),PayDate,"&lt;"&amp;$AC35,PayEmp,$C35)))))))</f>
        <v>0</v>
      </c>
      <c r="U35" s="133" cm="1">
        <f t="array" aca="1" ref="U35" ca="1">IF($F35="Terminated",0,IF($AA35=0,0,IF(ISNA(MATCH(U$5,CompListItem,0)),0,IF(COUNTIFS(OverEmp,$C35,OverComp,U$5,OverDate,"&lt;"&amp;DATE(YEAR($AC35),MONTH($AC35)+1,1),OverEnd,"&gt;="&amp;DATE(YEAR($AC35),MONTH($AC35),1))&gt;0,SUMIFS(OverValue,OverEmp,$C35,OverComp,U$5,OverDate,"&lt;"&amp;DATE(YEAR($AC35),MONTH($AC35)+1,1),OverEnd,"&gt;="&amp;DATE(YEAR($AC35),MONTH($AC35),1)),IF(OR(U$2="Fixed",U$2="Not Used"),(OFFSET(Setup!$E$81,MATCH(U$5,CompListItem,0),0,1,1)*$AA35)-SUMIFS(OFFSET(U$6,1,0,PayCount,1),PayDate,"&lt;"&amp;$AC35,PayEmp,$C35),IF(ISNA(MATCH(U$2,DedListItem,0))=FALSE,(SUMPRODUCT((PayEmp=$C35)*(PayDate&lt;=$AC35)*(PayDedList=U$2)*(PayDedValues))*OFFSET(Setup!$E$81,MATCH(U$5,CompListItem,0),0,1,1))-SUMIFS(OFFSET(U$6,1,0,PayCount,1),PayDate,"&lt;"&amp;$AC35,PayEmp,$C35),(MIN(IF(OFFSET(Setup!$G$81,MATCH(U$5,CompListItem,0),0,1,1)="Taxable",SUMPRODUCT((PayEmp=$C35)*(PayDate&lt;=$AC35)*(ISERROR(SEARCH(PayEarnCode,U$4)))*(PayEarnTax)*(PayEarnValues)),SUMPRODUCT((PayEmp=$C35)*(PayDate&lt;=$AC35)*(ISERROR(SEARCH(PayEarnCode,U$4)))*(PayEarnValues))),IF(ISNUMBER(U$3),U$3/12*$AA35,IgnoreMin)))*OFFSET(Setup!$E$81,MATCH(U$5,CompListItem,0),0,1,1)-SUMIFS(OFFSET(U$6,1,0,PayCount,1),PayDate,"&lt;"&amp;$AC35,PayEmp,$C35)))))))</f>
        <v>0</v>
      </c>
      <c r="V35" s="133" cm="1">
        <f t="array" aca="1" ref="V35" ca="1">IF($F35="Terminated",0,IF($AA35=0,0,IF(ISNA(MATCH(V$5,CompListItem,0)),0,IF(COUNTIFS(OverEmp,$C35,OverComp,V$5,OverDate,"&lt;"&amp;DATE(YEAR($AC35),MONTH($AC35)+1,1),OverEnd,"&gt;="&amp;DATE(YEAR($AC35),MONTH($AC35),1))&gt;0,SUMIFS(OverValue,OverEmp,$C35,OverComp,V$5,OverDate,"&lt;"&amp;DATE(YEAR($AC35),MONTH($AC35)+1,1),OverEnd,"&gt;="&amp;DATE(YEAR($AC35),MONTH($AC35),1)),IF(OR(V$2="Fixed",V$2="Not Used"),(OFFSET(Setup!$E$81,MATCH(V$5,CompListItem,0),0,1,1)*$AA35)-SUMIFS(OFFSET(V$6,1,0,PayCount,1),PayDate,"&lt;"&amp;$AC35,PayEmp,$C35),IF(ISNA(MATCH(V$2,DedListItem,0))=FALSE,(SUMPRODUCT((PayEmp=$C35)*(PayDate&lt;=$AC35)*(PayDedList=V$2)*(PayDedValues))*OFFSET(Setup!$E$81,MATCH(V$5,CompListItem,0),0,1,1))-SUMIFS(OFFSET(V$6,1,0,PayCount,1),PayDate,"&lt;"&amp;$AC35,PayEmp,$C35),(MIN(IF(OFFSET(Setup!$G$81,MATCH(V$5,CompListItem,0),0,1,1)="Taxable",SUMPRODUCT((PayEmp=$C35)*(PayDate&lt;=$AC35)*(ISERROR(SEARCH(PayEarnCode,V$4)))*(PayEarnTax)*(PayEarnValues)),SUMPRODUCT((PayEmp=$C35)*(PayDate&lt;=$AC35)*(ISERROR(SEARCH(PayEarnCode,V$4)))*(PayEarnValues))),IF(ISNUMBER(V$3),V$3/12*$AA35,IgnoreMin)))*OFFSET(Setup!$E$81,MATCH(V$5,CompListItem,0),0,1,1)-SUMIFS(OFFSET(V$6,1,0,PayCount,1),PayDate,"&lt;"&amp;$AC35,PayEmp,$C35)))))))</f>
        <v>0</v>
      </c>
      <c r="W35" s="133" cm="1">
        <f t="array" aca="1" ref="W35" ca="1">IF($F35="Terminated",0,IF($AA35=0,0,IF(ISNA(MATCH(W$5,CompListItem,0)),0,IF(COUNTIFS(OverEmp,$C35,OverComp,W$5,OverDate,"&lt;"&amp;DATE(YEAR($AC35),MONTH($AC35)+1,1),OverEnd,"&gt;="&amp;DATE(YEAR($AC35),MONTH($AC35),1))&gt;0,SUMIFS(OverValue,OverEmp,$C35,OverComp,W$5,OverDate,"&lt;"&amp;DATE(YEAR($AC35),MONTH($AC35)+1,1),OverEnd,"&gt;="&amp;DATE(YEAR($AC35),MONTH($AC35),1)),IF(OR(W$2="Fixed",W$2="Not Used"),(OFFSET(Setup!$E$81,MATCH(W$5,CompListItem,0),0,1,1)*$AA35)-SUMIFS(OFFSET(W$6,1,0,PayCount,1),PayDate,"&lt;"&amp;$AC35,PayEmp,$C35),IF(ISNA(MATCH(W$2,DedListItem,0))=FALSE,(SUMPRODUCT((PayEmp=$C35)*(PayDate&lt;=$AC35)*(PayDedList=W$2)*(PayDedValues))*OFFSET(Setup!$E$81,MATCH(W$5,CompListItem,0),0,1,1))-SUMIFS(OFFSET(W$6,1,0,PayCount,1),PayDate,"&lt;"&amp;$AC35,PayEmp,$C35),(MIN(IF(OFFSET(Setup!$G$81,MATCH(W$5,CompListItem,0),0,1,1)="Taxable",SUMPRODUCT((PayEmp=$C35)*(PayDate&lt;=$AC35)*(ISERROR(SEARCH(PayEarnCode,W$4)))*(PayEarnTax)*(PayEarnValues)),SUMPRODUCT((PayEmp=$C35)*(PayDate&lt;=$AC35)*(ISERROR(SEARCH(PayEarnCode,W$4)))*(PayEarnValues))),IF(ISNUMBER(W$3),W$3/12*$AA35,IgnoreMin)))*OFFSET(Setup!$E$81,MATCH(W$5,CompListItem,0),0,1,1)-SUMIFS(OFFSET(W$6,1,0,PayCount,1),PayDate,"&lt;"&amp;$AC35,PayEmp,$C35)))))))</f>
        <v>0</v>
      </c>
      <c r="X35" s="185">
        <f t="shared" ca="1" si="3"/>
        <v>0</v>
      </c>
      <c r="Y35" s="139">
        <f t="shared" ca="1" si="4"/>
        <v>0</v>
      </c>
      <c r="Z35" s="139">
        <f t="shared" ca="1" si="5"/>
        <v>0</v>
      </c>
      <c r="AA35" s="146">
        <f ca="1">IF(OR($B35&lt;=Setup!$E$12,$B35&gt;=Setup!$D$12+1),0,IF($F35&lt;&gt;"Active",0,IF($AE35="Yes",$AB35,((YEAR($AC35)*12)+MONTH($AC35))-((YEAR($AD35)*12)+MONTH($AD35)-1))))</f>
        <v>0</v>
      </c>
      <c r="AB35" s="146">
        <f ca="1">IF(OR($B35&lt;=Setup!$E$12,$B35&gt;=Setup!$D$12+1),0,((YEAR($AC35)*12)+MONTH($AC35))-((YEAR(Setup!$E$12)*12)+MONTH(Setup!$E$12)))</f>
        <v>2</v>
      </c>
      <c r="AC35" s="186">
        <f t="shared" ca="1" si="6"/>
        <v>45041</v>
      </c>
      <c r="AD35" s="144">
        <f ca="1">IF(ISNA(VLOOKUP($C35,EmpAll,COLUMN(Emp!$E$4),0)),$AC35,IF(VLOOKUP($C35,EmpAll,COLUMN(Emp!$E$4),0)&lt;=Setup!$E$12,DATE(YEAR(Setup!$E$12),MONTH(Setup!$E$12)+1,1),VLOOKUP($C35,EmpAll,COLUMN(Emp!$E$4),0)))</f>
        <v>45102</v>
      </c>
      <c r="AE35" s="144" t="str">
        <f ca="1">IF(ISNA(VLOOKUP($C35,EmpAll,COLUMN(Emp!$G$1),0)),"-",IF(VLOOKUP($C35,EmpAll,COLUMN(Emp!$G$1),0)=0,"-",VLOOKUP($C35,EmpAll,COLUMN(Emp!$G$1),0)))</f>
        <v>-</v>
      </c>
      <c r="AF35" s="145">
        <f ca="1">IF(A35=PaySlip!$G$3,1,0)</f>
        <v>0</v>
      </c>
      <c r="AG35" s="130" cm="1">
        <f t="array" aca="1" ref="AG35" ca="1">IF(COUNTIFS(OverEmp,$C35,OverMed,"MED",OverDate,"&lt;"&amp;DATE(YEAR($AC35),MONTH($AC35)+1,1),OverEnd,"&gt;="&amp;DATE(YEAR($AC35),MONTH($AC35),1))&gt;0,SUMIFS(OverValue,OverEmp,$C35,OverMed,"MED",OverDate,"&lt;"&amp;DATE(YEAR($AC35),MONTH($AC35)+1,1),OverEnd,"&gt;="&amp;DATE(YEAR($AC35),MONTH($AC35),1)),IF(ISNA(VLOOKUP($C35,EmpAll,COLUMN(Emp!$N$4),0)),0,VLOOKUP($C35,EmpAll,COLUMN(Emp!$N$4),0)))</f>
        <v>0</v>
      </c>
      <c r="AH35" s="146">
        <f ca="1">VLOOKUP($AG35,MedList,COLUMN(Setup!$C$49),1)</f>
        <v>0</v>
      </c>
      <c r="AI35" s="146">
        <f t="shared" ca="1" si="7"/>
        <v>0</v>
      </c>
      <c r="AJ35" s="101" t="str">
        <f ca="1">IF(ISNA(VLOOKUP($C35,EmpAll,COLUMN(Emp!$L$4),0)),"None!",VLOOKUP($C35,EmpAll,COLUMN(Emp!$L$4),0))</f>
        <v>A</v>
      </c>
      <c r="AK35" s="147">
        <f t="shared" ca="1" si="8"/>
        <v>17235</v>
      </c>
      <c r="AL35" s="101" t="str">
        <f ca="1">IF(ISNA(VLOOKUP($C35,Employees[],COLUMN(Emp!$M$4),0))=TRUE,"Error!",IF(VLOOKUP($C35,Employees[],COLUMN(Emp!$M$4),0)=0,"Yes",VLOOKUP($C35,Employees[],COLUMN(Emp!$M$4),0)))</f>
        <v>A</v>
      </c>
      <c r="AM35" s="148">
        <f t="shared" ca="1" si="9"/>
        <v>0</v>
      </c>
      <c r="AN35" s="148" cm="1">
        <f t="array" aca="1" ref="AN35" ca="1">-IF($F35="Terminated",0,IF($AA35=0,0,IF(ISNA(MATCH(AN$5,PayDedList,0)),0,MIN(IF(COUNTIFS(OverEmp,$C35,OverDeduct,AN$5,OverDate,"&lt;"&amp;DATE(YEAR($AC35),MONTH($AC35)+1,1),OverEnd,"&gt;="&amp;DATE(YEAR($AC35),MONTH($AC35),1))&gt;0,SUMPRODUCT((PayEmp=$C35)*(PayDate&lt;=$AC35)*(OFFSET($N$6,1,MATCH(AN$5,PayDedList,0)-1,PayCount,1)))/$AA35*12*AN$3,IF(OR(AN$1="Fixed",AN$1="Not Used"),SUMPRODUCT((PayEmp=$C35)*(PayDate&lt;=$AC35)*(OFFSET($N$6,1,MATCH(AN$5,PayDedList,0)-1,PayCount,1)))/$AA35*12*AN$3,IF(ISNA(MATCH(AN$1,EarnListItem,0))=FALSE,SUMPRODUCT((PayEmp=$C35)*(PayDate&lt;=$AC35)*(OFFSET($N$6,1,MATCH(AN$5,PayDedList,0)-1,PayCount,1)))/$AA35*12*AN$3,(MIN(((SUMPRODUCT((PayEmp=$C35)*(PayDate&lt;=$AC35)*(ISERROR(SEARCH(PayEarnCode,AN$2)))*(PayEarnType="Monthly")*(PayEarnValues))/$AA35*12)+(SUMPRODUCT((PayEmp=$C35)*(PayDate&lt;=$AC35)*(ISERROR(SEARCH(PayEarnCode,AN$2)))*(PayEarnType="Quarterly")*(PayEarnValues))/MAX(1,ROUNDDOWN($AB35/3,0))*4)+(SUMPRODUCT((PayEmp=$C35)*(PayDate&lt;=$AC35)*(ISERROR(SEARCH(PayEarnCode,AN$2)))*(PayEarnType="Bi-Annual")*(PayEarnValues))/MAX(1,ROUNDDOWN($AB35/6,0))*2)+(SUMPRODUCT((PayEmp=$C35)*(PayDate&lt;=$AC35)*(ISERROR(SEARCH(PayEarnCode,AN$2)))*(PayEarnType="Annual")*(PayEarnValues)))),IF(ISNUMBER(OFFSET($N$3,0,MATCH(AN$5,PayDedList,0)-1,1,1)),OFFSET($N$3,0,MATCH(AN$5,PayDedList,0)-1,1,1),IgnoreMin)))*IF(COUNTIFS(EmpNo,$C35,OFFSET(Emp!$R$4,1,MATCH(AN$5,DedListItem,0)-1,EmpCount,1),"&lt;&gt;")&gt;0,VLOOKUP($C35,EmpAll,COLUMN(Emp!$R$4)+MATCH(AN$5,DedListItem,0)-1,0),OFFSET(Setup!$E$73,MATCH(AN$5,DedListItem,0),0,1,1))*AN$3))),IF(ISNUMBER(AN$4),AN$4,IgnoreMin)))))</f>
        <v>0</v>
      </c>
      <c r="AO35" s="148" cm="1">
        <f t="array" aca="1" ref="AO35" ca="1">-IF($F35="Terminated",0,IF($AA35=0,0,IF(ISNA(MATCH(AO$5,PayDedList,0)),0,MIN(IF(COUNTIFS(OverEmp,$C35,OverDeduct,AO$5,OverDate,"&lt;"&amp;DATE(YEAR($AC35),MONTH($AC35)+1,1),OverEnd,"&gt;="&amp;DATE(YEAR($AC35),MONTH($AC35),1))&gt;0,SUMPRODUCT((PayEmp=$C35)*(PayDate&lt;=$AC35)*(OFFSET($N$6,1,MATCH(AO$5,PayDedList,0)-1,PayCount,1)))/$AA35*12*AO$3,IF(OR(AO$1="Fixed",AO$1="Not Used"),SUMPRODUCT((PayEmp=$C35)*(PayDate&lt;=$AC35)*(OFFSET($N$6,1,MATCH(AO$5,PayDedList,0)-1,PayCount,1)))/$AA35*12*AO$3,IF(ISNA(MATCH(AO$1,EarnListItem,0))=FALSE,SUMPRODUCT((PayEmp=$C35)*(PayDate&lt;=$AC35)*(OFFSET($N$6,1,MATCH(AO$5,PayDedList,0)-1,PayCount,1)))/$AA35*12*AO$3,(MIN(((SUMPRODUCT((PayEmp=$C35)*(PayDate&lt;=$AC35)*(ISERROR(SEARCH(PayEarnCode,AO$2)))*(PayEarnType="Monthly")*(PayEarnValues))/$AA35*12)+(SUMPRODUCT((PayEmp=$C35)*(PayDate&lt;=$AC35)*(ISERROR(SEARCH(PayEarnCode,AO$2)))*(PayEarnType="Quarterly")*(PayEarnValues))/MAX(1,ROUNDDOWN($AB35/3,0))*4)+(SUMPRODUCT((PayEmp=$C35)*(PayDate&lt;=$AC35)*(ISERROR(SEARCH(PayEarnCode,AO$2)))*(PayEarnType="Bi-Annual")*(PayEarnValues))/MAX(1,ROUNDDOWN($AB35/6,0))*2)+(SUMPRODUCT((PayEmp=$C35)*(PayDate&lt;=$AC35)*(ISERROR(SEARCH(PayEarnCode,AO$2)))*(PayEarnType="Annual")*(PayEarnValues)))),IF(ISNUMBER(OFFSET($N$3,0,MATCH(AO$5,PayDedList,0)-1,1,1)),OFFSET($N$3,0,MATCH(AO$5,PayDedList,0)-1,1,1),IgnoreMin)))*IF(COUNTIFS(EmpNo,$C35,OFFSET(Emp!$R$4,1,MATCH(AO$5,DedListItem,0)-1,EmpCount,1),"&lt;&gt;")&gt;0,VLOOKUP($C35,EmpAll,COLUMN(Emp!$R$4)+MATCH(AO$5,DedListItem,0)-1,0),OFFSET(Setup!$E$73,MATCH(AO$5,DedListItem,0),0,1,1))*AO$3))),IF(ISNUMBER(AO$4),AO$4,IgnoreMin)))))</f>
        <v>0</v>
      </c>
      <c r="AP35" s="148" cm="1">
        <f t="array" aca="1" ref="AP35" ca="1">-IF($F35="Terminated",0,IF($AA35=0,0,IF(ISNA(MATCH(AP$5,PayDedList,0)),0,MIN(IF(COUNTIFS(OverEmp,$C35,OverDeduct,AP$5,OverDate,"&lt;"&amp;DATE(YEAR($AC35),MONTH($AC35)+1,1),OverEnd,"&gt;="&amp;DATE(YEAR($AC35),MONTH($AC35),1))&gt;0,SUMPRODUCT((PayEmp=$C35)*(PayDate&lt;=$AC35)*(OFFSET($N$6,1,MATCH(AP$5,PayDedList,0)-1,PayCount,1)))/$AA35*12*AP$3,IF(OR(AP$1="Fixed",AP$1="Not Used"),SUMPRODUCT((PayEmp=$C35)*(PayDate&lt;=$AC35)*(OFFSET($N$6,1,MATCH(AP$5,PayDedList,0)-1,PayCount,1)))/$AA35*12*AP$3,IF(ISNA(MATCH(AP$1,EarnListItem,0))=FALSE,SUMPRODUCT((PayEmp=$C35)*(PayDate&lt;=$AC35)*(OFFSET($N$6,1,MATCH(AP$5,PayDedList,0)-1,PayCount,1)))/$AA35*12*AP$3,(MIN(((SUMPRODUCT((PayEmp=$C35)*(PayDate&lt;=$AC35)*(ISERROR(SEARCH(PayEarnCode,AP$2)))*(PayEarnType="Monthly")*(PayEarnValues))/$AA35*12)+(SUMPRODUCT((PayEmp=$C35)*(PayDate&lt;=$AC35)*(ISERROR(SEARCH(PayEarnCode,AP$2)))*(PayEarnType="Quarterly")*(PayEarnValues))/MAX(1,ROUNDDOWN($AB35/3,0))*4)+(SUMPRODUCT((PayEmp=$C35)*(PayDate&lt;=$AC35)*(ISERROR(SEARCH(PayEarnCode,AP$2)))*(PayEarnType="Bi-Annual")*(PayEarnValues))/MAX(1,ROUNDDOWN($AB35/6,0))*2)+(SUMPRODUCT((PayEmp=$C35)*(PayDate&lt;=$AC35)*(ISERROR(SEARCH(PayEarnCode,AP$2)))*(PayEarnType="Annual")*(PayEarnValues)))),IF(ISNUMBER(OFFSET($N$3,0,MATCH(AP$5,PayDedList,0)-1,1,1)),OFFSET($N$3,0,MATCH(AP$5,PayDedList,0)-1,1,1),IgnoreMin)))*IF(COUNTIFS(EmpNo,$C35,OFFSET(Emp!$R$4,1,MATCH(AP$5,DedListItem,0)-1,EmpCount,1),"&lt;&gt;")&gt;0,VLOOKUP($C35,EmpAll,COLUMN(Emp!$R$4)+MATCH(AP$5,DedListItem,0)-1,0),OFFSET(Setup!$E$73,MATCH(AP$5,DedListItem,0),0,1,1))*AP$3))),IF(ISNUMBER(AP$4),AP$4,IgnoreMin)))))</f>
        <v>0</v>
      </c>
      <c r="AQ35" s="148" cm="1">
        <f t="array" aca="1" ref="AQ35" ca="1">-IF($F35="Terminated",0,IF($AA35=0,0,IF(ISNA(MATCH(AQ$5,PayDedList,0)),0,MIN(IF(COUNTIFS(OverEmp,$C35,OverDeduct,AQ$5,OverDate,"&lt;"&amp;DATE(YEAR($AC35),MONTH($AC35)+1,1),OverEnd,"&gt;="&amp;DATE(YEAR($AC35),MONTH($AC35),1))&gt;0,SUMPRODUCT((PayEmp=$C35)*(PayDate&lt;=$AC35)*(OFFSET($N$6,1,MATCH(AQ$5,PayDedList,0)-1,PayCount,1)))/$AA35*12*AQ$3,IF(OR(AQ$1="Fixed",AQ$1="Not Used"),SUMPRODUCT((PayEmp=$C35)*(PayDate&lt;=$AC35)*(OFFSET($N$6,1,MATCH(AQ$5,PayDedList,0)-1,PayCount,1)))/$AA35*12*AQ$3,IF(ISNA(MATCH(AQ$1,EarnListItem,0))=FALSE,SUMPRODUCT((PayEmp=$C35)*(PayDate&lt;=$AC35)*(OFFSET($N$6,1,MATCH(AQ$5,PayDedList,0)-1,PayCount,1)))/$AA35*12*AQ$3,(MIN(((SUMPRODUCT((PayEmp=$C35)*(PayDate&lt;=$AC35)*(ISERROR(SEARCH(PayEarnCode,AQ$2)))*(PayEarnType="Monthly")*(PayEarnValues))/$AA35*12)+(SUMPRODUCT((PayEmp=$C35)*(PayDate&lt;=$AC35)*(ISERROR(SEARCH(PayEarnCode,AQ$2)))*(PayEarnType="Quarterly")*(PayEarnValues))/MAX(1,ROUNDDOWN($AB35/3,0))*4)+(SUMPRODUCT((PayEmp=$C35)*(PayDate&lt;=$AC35)*(ISERROR(SEARCH(PayEarnCode,AQ$2)))*(PayEarnType="Bi-Annual")*(PayEarnValues))/MAX(1,ROUNDDOWN($AB35/6,0))*2)+(SUMPRODUCT((PayEmp=$C35)*(PayDate&lt;=$AC35)*(ISERROR(SEARCH(PayEarnCode,AQ$2)))*(PayEarnType="Annual")*(PayEarnValues)))),IF(ISNUMBER(OFFSET($N$3,0,MATCH(AQ$5,PayDedList,0)-1,1,1)),OFFSET($N$3,0,MATCH(AQ$5,PayDedList,0)-1,1,1),IgnoreMin)))*IF(COUNTIFS(EmpNo,$C35,OFFSET(Emp!$R$4,1,MATCH(AQ$5,DedListItem,0)-1,EmpCount,1),"&lt;&gt;")&gt;0,VLOOKUP($C35,EmpAll,COLUMN(Emp!$R$4)+MATCH(AQ$5,DedListItem,0)-1,0),OFFSET(Setup!$E$73,MATCH(AQ$5,DedListItem,0),0,1,1))*AQ$3))),IF(ISNUMBER(AQ$4),AQ$4,IgnoreMin)))))</f>
        <v>0</v>
      </c>
      <c r="AR35" s="148">
        <f t="shared" ca="1" si="10"/>
        <v>0</v>
      </c>
      <c r="AS35" s="148">
        <f t="shared" ca="1" si="11"/>
        <v>0</v>
      </c>
      <c r="AT35" s="148" cm="1">
        <f t="array" aca="1" ref="AT35" ca="1">-IF($F35="Terminated",0,IF($AA35=0,0,IF(ISNA(MATCH(AT$5,PayDedList,0)),0,MIN(IF(COUNTIFS(OverEmp,$C35,OverDeduct,AT$5,OverDate,"&lt;"&amp;DATE(YEAR($AC35),MONTH($AC35)+1,1),OverEnd,"&gt;="&amp;DATE(YEAR($AC35),MONTH($AC35),1))&gt;0,SUMPRODUCT((PayEmp=$C35)*(PayDate&lt;=$AC35)*(OFFSET($N$6,1,MATCH(AT$5,PayDedList,0)-1,PayCount,1)))/$AA35*12*AT$3,IF(OR(AT$1="Fixed",AT$1="Not Used"),SUMPRODUCT((PayEmp=$C35)*(PayDate&lt;=$AC35)*(OFFSET($N$6,1,MATCH(AT$5,PayDedList,0)-1,PayCount,1)))/$AA35*12*AT$3,IF(ISNA(MATCH(OFFSET($N$2,0,MATCH(AT$5,PayDedList,0)-1,1,1),EarnListItem,0))=FALSE,SUMPRODUCT((PayEmp=$C35)*(PayDate&lt;=$AC35)*(OFFSET($N$6,1,MATCH(AT$5,PayDedList,0)-1,PayCount,1)))/$AA35*12*AT$3,(MIN(SUMPRODUCT((PayEmp=$C35)*(PayDate&lt;=$AC35)*(ISERROR(SEARCH(PayEarnCode,AT$2)))*(PayEarnType="Monthly")*(PayEarnValues))/$AA35*12,IF(ISNUMBER(OFFSET($N$3,0,MATCH(AT$5,PayDedList,0)-1,1,1)),OFFSET($N$3,0,MATCH(AT$5,PayDedList,0)-1,1,1),IgnoreMin)))*IF(COUNTIFS(EmpNo,$C35,OFFSET(Emp!$R$4,1,MATCH(AT$5,DedListItem,0)-1,EmpCount,1),"&lt;&gt;")&gt;0,VLOOKUP($C35,EmpAll,COLUMN(Emp!$R$4)+MATCH(AT$5,DedListItem,0)-1,0),OFFSET(Setup!$E$73,MATCH(AT$5,DedListItem,0),0,1,1))*AT$3))),IF(ISNUMBER(AT$4),AT$4,IgnoreMin)))))</f>
        <v>0</v>
      </c>
      <c r="AU35" s="148" cm="1">
        <f t="array" aca="1" ref="AU35" ca="1">-IF($F35="Terminated",0,IF($AA35=0,0,IF(ISNA(MATCH(AU$5,PayDedList,0)),0,MIN(IF(COUNTIFS(OverEmp,$C35,OverDeduct,AU$5,OverDate,"&lt;"&amp;DATE(YEAR($AC35),MONTH($AC35)+1,1),OverEnd,"&gt;="&amp;DATE(YEAR($AC35),MONTH($AC35),1))&gt;0,SUMPRODUCT((PayEmp=$C35)*(PayDate&lt;=$AC35)*(OFFSET($N$6,1,MATCH(AU$5,PayDedList,0)-1,PayCount,1)))/$AA35*12*AU$3,IF(OR(AU$1="Fixed",AU$1="Not Used"),SUMPRODUCT((PayEmp=$C35)*(PayDate&lt;=$AC35)*(OFFSET($N$6,1,MATCH(AU$5,PayDedList,0)-1,PayCount,1)))/$AA35*12*AU$3,IF(ISNA(MATCH(OFFSET($N$2,0,MATCH(AU$5,PayDedList,0)-1,1,1),EarnListItem,0))=FALSE,SUMPRODUCT((PayEmp=$C35)*(PayDate&lt;=$AC35)*(OFFSET($N$6,1,MATCH(AU$5,PayDedList,0)-1,PayCount,1)))/$AA35*12*AU$3,(MIN(SUMPRODUCT((PayEmp=$C35)*(PayDate&lt;=$AC35)*(ISERROR(SEARCH(PayEarnCode,AU$2)))*(PayEarnType="Monthly")*(PayEarnValues))/$AA35*12,IF(ISNUMBER(OFFSET($N$3,0,MATCH(AU$5,PayDedList,0)-1,1,1)),OFFSET($N$3,0,MATCH(AU$5,PayDedList,0)-1,1,1),IgnoreMin)))*IF(COUNTIFS(EmpNo,$C35,OFFSET(Emp!$R$4,1,MATCH(AU$5,DedListItem,0)-1,EmpCount,1),"&lt;&gt;")&gt;0,VLOOKUP($C35,EmpAll,COLUMN(Emp!$R$4)+MATCH(AU$5,DedListItem,0)-1,0),OFFSET(Setup!$E$73,MATCH(AU$5,DedListItem,0),0,1,1))*AU$3))),IF(ISNUMBER(AU$4),AU$4,IgnoreMin)))))</f>
        <v>0</v>
      </c>
      <c r="AV35" s="148" cm="1">
        <f t="array" aca="1" ref="AV35" ca="1">-IF($F35="Terminated",0,IF($AA35=0,0,IF(ISNA(MATCH(AV$5,PayDedList,0)),0,MIN(IF(COUNTIFS(OverEmp,$C35,OverDeduct,AV$5,OverDate,"&lt;"&amp;DATE(YEAR($AC35),MONTH($AC35)+1,1),OverEnd,"&gt;="&amp;DATE(YEAR($AC35),MONTH($AC35),1))&gt;0,SUMPRODUCT((PayEmp=$C35)*(PayDate&lt;=$AC35)*(OFFSET($N$6,1,MATCH(AV$5,PayDedList,0)-1,PayCount,1)))/$AA35*12*AV$3,IF(OR(AV$1="Fixed",AV$1="Not Used"),SUMPRODUCT((PayEmp=$C35)*(PayDate&lt;=$AC35)*(OFFSET($N$6,1,MATCH(AV$5,PayDedList,0)-1,PayCount,1)))/$AA35*12*AV$3,IF(ISNA(MATCH(OFFSET($N$2,0,MATCH(AV$5,PayDedList,0)-1,1,1),EarnListItem,0))=FALSE,SUMPRODUCT((PayEmp=$C35)*(PayDate&lt;=$AC35)*(OFFSET($N$6,1,MATCH(AV$5,PayDedList,0)-1,PayCount,1)))/$AA35*12*AV$3,(MIN(SUMPRODUCT((PayEmp=$C35)*(PayDate&lt;=$AC35)*(ISERROR(SEARCH(PayEarnCode,AV$2)))*(PayEarnType="Monthly")*(PayEarnValues))/$AA35*12,IF(ISNUMBER(OFFSET($N$3,0,MATCH(AV$5,PayDedList,0)-1,1,1)),OFFSET($N$3,0,MATCH(AV$5,PayDedList,0)-1,1,1),IgnoreMin)))*IF(COUNTIFS(EmpNo,$C35,OFFSET(Emp!$R$4,1,MATCH(AV$5,DedListItem,0)-1,EmpCount,1),"&lt;&gt;")&gt;0,VLOOKUP($C35,EmpAll,COLUMN(Emp!$R$4)+MATCH(AV$5,DedListItem,0)-1,0),OFFSET(Setup!$E$73,MATCH(AV$5,DedListItem,0),0,1,1))*AV$3))),IF(ISNUMBER(AV$4),AV$4,IgnoreMin)))))</f>
        <v>0</v>
      </c>
      <c r="AW35" s="148" cm="1">
        <f t="array" aca="1" ref="AW35" ca="1">-IF($F35="Terminated",0,IF($AA35=0,0,IF(ISNA(MATCH(AW$5,PayDedList,0)),0,MIN(IF(COUNTIFS(OverEmp,$C35,OverDeduct,AW$5,OverDate,"&lt;"&amp;DATE(YEAR($AC35),MONTH($AC35)+1,1),OverEnd,"&gt;="&amp;DATE(YEAR($AC35),MONTH($AC35),1))&gt;0,SUMPRODUCT((PayEmp=$C35)*(PayDate&lt;=$AC35)*(OFFSET($N$6,1,MATCH(AW$5,PayDedList,0)-1,PayCount,1)))/$AA35*12*AW$3,IF(OR(AW$1="Fixed",AW$1="Not Used"),SUMPRODUCT((PayEmp=$C35)*(PayDate&lt;=$AC35)*(OFFSET($N$6,1,MATCH(AW$5,PayDedList,0)-1,PayCount,1)))/$AA35*12*AW$3,IF(ISNA(MATCH(OFFSET($N$2,0,MATCH(AW$5,PayDedList,0)-1,1,1),EarnListItem,0))=FALSE,SUMPRODUCT((PayEmp=$C35)*(PayDate&lt;=$AC35)*(OFFSET($N$6,1,MATCH(AW$5,PayDedList,0)-1,PayCount,1)))/$AA35*12*AW$3,(MIN(SUMPRODUCT((PayEmp=$C35)*(PayDate&lt;=$AC35)*(ISERROR(SEARCH(PayEarnCode,AW$2)))*(PayEarnType="Monthly")*(PayEarnValues))/$AA35*12,IF(ISNUMBER(OFFSET($N$3,0,MATCH(AW$5,PayDedList,0)-1,1,1)),OFFSET($N$3,0,MATCH(AW$5,PayDedList,0)-1,1,1),IgnoreMin)))*IF(COUNTIFS(EmpNo,$C35,OFFSET(Emp!$R$4,1,MATCH(AW$5,DedListItem,0)-1,EmpCount,1),"&lt;&gt;")&gt;0,VLOOKUP($C35,EmpAll,COLUMN(Emp!$R$4)+MATCH(AW$5,DedListItem,0)-1,0),OFFSET(Setup!$E$73,MATCH(AW$5,DedListItem,0),0,1,1))*AW$3))),IF(ISNUMBER(AW$4),AW$4,IgnoreMin)))))</f>
        <v>0</v>
      </c>
      <c r="AX35" s="148">
        <f t="shared" ca="1" si="12"/>
        <v>0</v>
      </c>
      <c r="AY35" s="148">
        <f t="shared" ca="1" si="13"/>
        <v>0</v>
      </c>
      <c r="AZ35" s="148">
        <f ca="1">IF(ISNUMBER($AL35),($AR35*$AL35)-$AI35-$AK35,MAX(0,IF($AL35="B",IF($AR35&lt;Setup!$C$32,($AR35*Setup!$D$32)-$AI35-$AK35,(($AR35-VLOOKUP($AR35,TaxAll2,1,1))*OFFSET(Setup!$D$32,MATCH($AR35,TaxBracket2,1),0,1,1))+OFFSET(Setup!$E$31,MATCH($AR35,TaxBracket2,1),0,1,1)-$AI35-$AK35),IF($AR35&lt;Setup!$C$21,($AR35*Setup!$D$21)-$AI35-$AK35,(($AR35-VLOOKUP($AR35,TaxAll1,1,1))*OFFSET(Setup!$D$21,MATCH($AR35,TaxBracket1,1),0,1,1))+OFFSET(Setup!$E$20,MATCH($AR35,TaxBracket1,1),0,1,1)-$AI35-$AK35))))</f>
        <v>0</v>
      </c>
      <c r="BA35" s="148">
        <f ca="1">IF(ISNUMBER($AL35),($AX35*$AL35)-$AI35-$AK35,MAX(0,IF($AL35="B",IF($AX35&lt;Setup!$C$32,($AX35*Setup!$D$32)-$AI35-$AK35,(($AX35-VLOOKUP($AX35,TaxAll2,1,1))*OFFSET(Setup!$D$32,MATCH($AX35,TaxBracket2,1),0,1,1))+OFFSET(Setup!$E$31,MATCH($AX35,TaxBracket2,1),0,1,1)-$AI35-$AK35),IF($AX35&lt;Setup!$C$21,($AX35*Setup!$D$21)-$AI35-$AK35,(($AX35-VLOOKUP($AX35,TaxAll1,1,1))*OFFSET(Setup!$D$21,MATCH($AX35,TaxBracket1,1),0,1,1))+OFFSET(Setup!$E$20,MATCH($AX35,TaxBracket1,1),0,1,1)-$AI35-$AK35))))</f>
        <v>0</v>
      </c>
      <c r="BB35" s="148">
        <f t="shared" ca="1" si="14"/>
        <v>0</v>
      </c>
      <c r="BC35" s="150">
        <f t="shared" ca="1" si="15"/>
        <v>0</v>
      </c>
      <c r="BD35" s="150">
        <f t="shared" ca="1" si="16"/>
        <v>0</v>
      </c>
      <c r="BE35" s="148">
        <f t="shared" ca="1" si="17"/>
        <v>0</v>
      </c>
    </row>
    <row r="36" spans="1:57" ht="16.149999999999999" customHeight="1" x14ac:dyDescent="0.25">
      <c r="A36" s="10" t="str" cm="1">
        <f t="array" aca="1" ref="A36" ca="1">IF(ROW($A36)-ROW($A$6)&gt;EmpCount*12,"-",TEXT($B36,"yyyy")&amp;TEXT($B36,"mm")&amp;"-"&amp;$C36)</f>
        <v>202304-EXS015</v>
      </c>
      <c r="B36" s="137" cm="1">
        <f t="array" aca="1" ref="B36" ca="1">IF(ROW($A36)-ROW($A$6)&gt;EmpCount*12,Setup!$D$12,DATE(YEAR(Setup!$F$12),MONTH(Setup!$F$12)+ROUNDDOWN((ROW($A36)-ROW($A$6)-1)/EmpCount,0),IF(Setup!$C$14&gt;DAY(DATE(YEAR(Setup!$F$12),MONTH(Setup!$F$12)+ROUNDDOWN((ROW($A36)-ROW($A$6)-1)/EmpCount,0)+1,0)),DAY(DATE(YEAR(Setup!$F$12),MONTH(Setup!$F$12)+ROUNDDOWN((ROW($A36)-ROW($A$6)-1)/EmpCount,0)+1,0)),Setup!$C$14)))</f>
        <v>45041</v>
      </c>
      <c r="C36" s="101" t="str" cm="1">
        <f t="array" aca="1" ref="C36" ca="1">IF(ROW($A36)-ROW($A$6)&gt;EmpCount*12,"-",OFFSET(Emp!$A$4,ROW($A36)-ROW($A$6)-IF(ROW($A36)-ROW($A$6)&gt;EmpCount,ROUNDDOWN((ROW($A36)-ROW($A$6)-1)/EmpCount,0)*EmpCount,0),0,1,1))</f>
        <v>EXS015</v>
      </c>
      <c r="D36" s="10" t="str">
        <f ca="1">IF(ISNA(VLOOKUP($C36,EmpAll,COLUMN(Emp!$B$4),0)),"-",VLOOKUP($C36,EmpAll,COLUMN(Emp!$B$4),0))</f>
        <v>Graham L</v>
      </c>
      <c r="E36" s="145" t="str">
        <f ca="1">IF(ISNA(VLOOKUP($C36,EmpAll,COLUMN(Emp!$C$4),0)),"-",VLOOKUP($C36,EmpAll,COLUMN(Emp!$C$4),0))</f>
        <v>S</v>
      </c>
      <c r="F36" s="101" t="str">
        <f ca="1">IF(ISNA(VLOOKUP($C36,EmpAll,COLUMN(Emp!$A$4),0)),"-",IF(AND(VLOOKUP($C36,EmpAll,COLUMN(Emp!$E$4),0)&lt;&gt;0,VLOOKUP($C36,EmpAll,COLUMN(Emp!$E$4),0)&gt;=DATE(YEAR($AC36),MONTH($AC36)+1,0)),"Inactive",IF(AND(VLOOKUP($C36,EmpAll,COLUMN(Emp!$F$4),0)&lt;&gt;0,VLOOKUP($C36,EmpAll,COLUMN(Emp!$F$4),0)&lt;=DATE(YEAR($AC36),MONTH($AC36),0)),"Terminated","Active")))</f>
        <v>Inactive</v>
      </c>
      <c r="G36" s="133" cm="1">
        <f t="array" aca="1" ref="G36" ca="1">IF($F36&lt;&gt;"Active",0,IF(COUNTIFS(OverEmp,$C36,OverEarn,G$2,OverDate,"&lt;"&amp;DATE(YEAR($AC36),MONTH($AC36)+1,1),OverEnd,"&gt;="&amp;DATE(YEAR($AC36),MONTH($AC36),1))&gt;0,SUMIFS(OverValue,OverEmp,$C36,OverEarn,G$2,OverDate,"&lt;"&amp;DATE(YEAR($AC36),MONTH($AC36)+1,1),OverEnd,"&gt;="&amp;DATE(YEAR($AC36),MONTH($AC36),1)),IF(AND($AC36&gt;=Setup!$E$10,SUMIFS(EmpIncrease,EmpCode,$C36)&gt;0),SUMIFS(EmpIncrease,EmpCode,$C36),SUMIFS(EmpSalary,EmpCode,$C36))))</f>
        <v>0</v>
      </c>
      <c r="H36" s="133" cm="1">
        <f t="array" aca="1" ref="H36" ca="1">IF($F36&lt;&gt;"Active",0,IF(COUNTIFS(OverEmp,$C36,OverEarn,H$2,OverDate,"&lt;"&amp;DATE(YEAR($AC36),MONTH($AC36)+1,1),OverEnd,"&gt;="&amp;DATE(YEAR($AC36),MONTH($AC36),1))&gt;0,SUMIFS(OverValue,OverEmp,$C36,OverEarn,H$2,OverDate,"&lt;"&amp;DATE(YEAR($AC36),MONTH($AC36)+1,1),OverEnd,"&gt;="&amp;DATE(YEAR($AC36),MONTH($AC36),1)),0))</f>
        <v>0</v>
      </c>
      <c r="I36" s="133" cm="1">
        <f t="array" aca="1" ref="I36" ca="1">IF($F36&lt;&gt;"Active",0,IF(COUNTIFS(OverEmp,$C36,OverEarn,I$2,OverDate,"&lt;"&amp;DATE(YEAR($AC36),MONTH($AC36)+1,1),OverEnd,"&gt;="&amp;DATE(YEAR($AC36),MONTH($AC36),1))&gt;0,SUMIFS(OverValue,OverEmp,$C36,OverEarn,I$2,OverDate,"&lt;"&amp;DATE(YEAR($AC36),MONTH($AC36)+1,1),OverEnd,"&gt;="&amp;DATE(YEAR($AC36),MONTH($AC36),1)),IF(MONTH(B36)=Setup!$C$15,SUMIFS(EmpBonus,EmpCode,$C36),0)))</f>
        <v>0</v>
      </c>
      <c r="J36" s="133" cm="1">
        <f t="array" aca="1" ref="J36" ca="1">IF($F36&lt;&gt;"Active",0,IF(COUNTIFS(OverEmp,$C36,OverEarn,J$2,OverDate,"&lt;"&amp;DATE(YEAR($AC36),MONTH($AC36)+1,1),OverEnd,"&gt;="&amp;DATE(YEAR($AC36),MONTH($AC36),1))&gt;0,SUMIFS(OverValue,OverEmp,$C36,OverEarn,J$2,OverDate,"&lt;"&amp;DATE(YEAR($AC36),MONTH($AC36)+1,1),OverEnd,"&gt;="&amp;DATE(YEAR($AC36),MONTH($AC36),1)),0))</f>
        <v>0</v>
      </c>
      <c r="K36" s="133" cm="1">
        <f t="array" aca="1" ref="K36" ca="1">IF($F36&lt;&gt;"Active",0,IF(COUNTIFS(OverEmp,$C36,OverEarn,K$2,OverDate,"&lt;"&amp;DATE(YEAR($AC36),MONTH($AC36)+1,1),OverEnd,"&gt;="&amp;DATE(YEAR($AC36),MONTH($AC36),1))&gt;0,SUMIFS(OverValue,OverEmp,$C36,OverEarn,K$2,OverDate,"&lt;"&amp;DATE(YEAR($AC36),MONTH($AC36)+1,1),OverEnd,"&gt;="&amp;DATE(YEAR($AC36),MONTH($AC36),1)),0))</f>
        <v>0</v>
      </c>
      <c r="L36" s="185">
        <f t="shared" ca="1" si="0"/>
        <v>0</v>
      </c>
      <c r="M36" s="182" cm="1">
        <f t="array" aca="1" ref="M36" ca="1">IF(COUNTIFS(OverEmp,$C36,OverTax,M$5,OverDate,"&lt;"&amp;DATE(YEAR($AC36),MONTH($AC36)+1,1),OverEnd,"&gt;="&amp;DATE(YEAR($AC36),MONTH($AC36),1))&gt;0,SUMIFS(OverValue,OverEmp,$C36,OverTax,M$5,OverDate,"&lt;"&amp;DATE(YEAR($AC36),MONTH($AC36)+1,1),OverEnd,"&gt;="&amp;DATE(YEAR($AC36),MONTH($AC36),1)),(($BA36/12*$AA36)+(BB36*IF(1-$BC36=0,0,BD36/(1-$BC36))))-IF($F36="Terminated",0,SUMIFS(PayTaxDeduct,PayDate,"&lt;"&amp;$AC36,PayEmp,$C36)))</f>
        <v>0</v>
      </c>
      <c r="N36" s="133" cm="1">
        <f t="array" aca="1" ref="N36" ca="1">IF($F36="Terminated",0,IF($AA36=0,0,IF(ISNA(MATCH(N$5,DedListItem,0)),0,IF(COUNTIFS(OverEmp,$C36,OverDeduct,N$5,OverDate,"&lt;"&amp;DATE(YEAR($AC36),MONTH($AC36)+1,1),OverEnd,"&gt;="&amp;DATE(YEAR($AC36),MONTH($AC36),1))&gt;0,SUMIFS(OverValue,OverEmp,$C36,OverDeduct,N$5,OverDate,"&lt;"&amp;DATE(YEAR($AC36),MONTH($AC36)+1,1),OverEnd,"&gt;="&amp;DATE(YEAR($AC36),MONTH($AC36),1)),IF(OR(N$2="Fixed",N$2="Not Used"),(IF(COUNTIFS(EmpNo,$C36,OFFSET(Emp!$R$4,1,MATCH(N$5,DedListItem,0)-1,EmpCount,1),"&lt;&gt;")&gt;0,VLOOKUP($C36,EmpAll,COLUMN(Emp!$R$4)+MATCH(N$5,DedListItem,0)-1,0),OFFSET(Setup!$E$73,MATCH(N$5,DedListItem,0),0,1,1))*$AA36)-SUMIFS(OFFSET(N$6,1,0,PayCount,1),PayDate,"&lt;"&amp;$AC36,PayEmp,$C36),IF(ISNA(MATCH(N$2,EarnListItem,0))=FALSE,IF(OFFSET(Setup!$G$73,MATCH(N$5,DedListItem,0),0,1,1)="Taxable",SUMPRODUCT((PayEmp=$C36)*(PayDate&lt;=$AC36)*(PayEarnCode=N$2)*(PayEarnTax)*(PayEarnValues)),SUMPRODUCT((PayEmp=$C36)*(PayDate&lt;=$AC36)*(PayEarnCode=N$2)*(PayEarnValues)))*IF(COUNTIFS(EmpNo,$C36,OFFSET(Emp!$R$4,1,MATCH(N$5,DedListItem,0)-1,EmpCount,1),"&lt;&gt;")&gt;0,VLOOKUP($C36,EmpAll,COLUMN(Emp!$R$4)+MATCH(N$5,DedListItem,0)-1,0),OFFSET(Setup!$E$73,MATCH(N$5,DedListItem,0),0,1,1)),(MIN(IF(OFFSET(Setup!$G$73,MATCH(N$5,DedListItem,0),0,1,1)="Taxable",SUMPRODUCT((PayEmp=$C36)*(PayDate&lt;=$AC36)*(ISERROR(SEARCH(PayEarnCode,N$4)))*(PayEarnTax)*(PayEarnValues)),SUMPRODUCT((PayEmp=$C36)*(PayDate&lt;=$AC36)*(ISERROR(SEARCH(PayEarnCode,N$4)))*(PayEarnValues))),IF(ISNUMBER(N$3),N$3/12*$AA36,IgnoreMin)))*IF(COUNTIFS(EmpNo,$C36,OFFSET(Emp!$R$4,1,MATCH(N$5,DedListItem,0)-1,EmpCount,1),"&lt;&gt;")&gt;0,VLOOKUP($C36,EmpAll,COLUMN(Emp!$R$4)+MATCH(N$5,DedListItem,0)-1,0),OFFSET(Setup!$E$73,MATCH(N$5,DedListItem,0),0,1,1)))-SUMIFS(OFFSET(N$6,1,0,PayCount,1),PayDate,"&lt;"&amp;$AC36,PayEmp,$C36))))))</f>
        <v>0</v>
      </c>
      <c r="O36" s="133" cm="1">
        <f t="array" aca="1" ref="O36" ca="1">IF($F36="Terminated",0,IF($AA36=0,0,IF(ISNA(MATCH(O$5,DedListItem,0)),0,IF(COUNTIFS(OverEmp,$C36,OverDeduct,O$5,OverDate,"&lt;"&amp;DATE(YEAR($AC36),MONTH($AC36)+1,1),OverEnd,"&gt;="&amp;DATE(YEAR($AC36),MONTH($AC36),1))&gt;0,SUMIFS(OverValue,OverEmp,$C36,OverDeduct,O$5,OverDate,"&lt;"&amp;DATE(YEAR($AC36),MONTH($AC36)+1,1),OverEnd,"&gt;="&amp;DATE(YEAR($AC36),MONTH($AC36),1)),IF(OR(O$2="Fixed",O$2="Not Used"),(IF(COUNTIFS(EmpNo,$C36,OFFSET(Emp!$R$4,1,MATCH(O$5,DedListItem,0)-1,EmpCount,1),"&lt;&gt;")&gt;0,VLOOKUP($C36,EmpAll,COLUMN(Emp!$R$4)+MATCH(O$5,DedListItem,0)-1,0),OFFSET(Setup!$E$73,MATCH(O$5,DedListItem,0),0,1,1))*$AA36)-SUMIFS(OFFSET(O$6,1,0,PayCount,1),PayDate,"&lt;"&amp;$AC36,PayEmp,$C36),IF(ISNA(MATCH(O$2,EarnListItem,0))=FALSE,IF(OFFSET(Setup!$G$73,MATCH(O$5,DedListItem,0),0,1,1)="Taxable",SUMPRODUCT((PayEmp=$C36)*(PayDate&lt;=$AC36)*(PayEarnCode=O$2)*(PayEarnTax)*(PayEarnValues)),SUMPRODUCT((PayEmp=$C36)*(PayDate&lt;=$AC36)*(PayEarnCode=O$2)*(PayEarnValues)))*IF(COUNTIFS(EmpNo,$C36,OFFSET(Emp!$R$4,1,MATCH(O$5,DedListItem,0)-1,EmpCount,1),"&lt;&gt;")&gt;0,VLOOKUP($C36,EmpAll,COLUMN(Emp!$R$4)+MATCH(O$5,DedListItem,0)-1,0),OFFSET(Setup!$E$73,MATCH(O$5,DedListItem,0),0,1,1)),(MIN(IF(OFFSET(Setup!$G$73,MATCH(O$5,DedListItem,0),0,1,1)="Taxable",SUMPRODUCT((PayEmp=$C36)*(PayDate&lt;=$AC36)*(ISERROR(SEARCH(PayEarnCode,O$4)))*(PayEarnTax)*(PayEarnValues)),SUMPRODUCT((PayEmp=$C36)*(PayDate&lt;=$AC36)*(ISERROR(SEARCH(PayEarnCode,O$4)))*(PayEarnValues))),IF(ISNUMBER(O$3),O$3/12*$AA36,IgnoreMin)))*IF(COUNTIFS(EmpNo,$C36,OFFSET(Emp!$R$4,1,MATCH(O$5,DedListItem,0)-1,EmpCount,1),"&lt;&gt;")&gt;0,VLOOKUP($C36,EmpAll,COLUMN(Emp!$R$4)+MATCH(O$5,DedListItem,0)-1,0),OFFSET(Setup!$E$73,MATCH(O$5,DedListItem,0),0,1,1)))-SUMIFS(OFFSET(O$6,1,0,PayCount,1),PayDate,"&lt;"&amp;$AC36,PayEmp,$C36))))))</f>
        <v>0</v>
      </c>
      <c r="P36" s="133" cm="1">
        <f t="array" aca="1" ref="P36" ca="1">IF($F36="Terminated",0,IF($AA36=0,0,IF(ISNA(MATCH(P$5,DedListItem,0)),0,IF(COUNTIFS(OverEmp,$C36,OverDeduct,P$5,OverDate,"&lt;"&amp;DATE(YEAR($AC36),MONTH($AC36)+1,1),OverEnd,"&gt;="&amp;DATE(YEAR($AC36),MONTH($AC36),1))&gt;0,SUMIFS(OverValue,OverEmp,$C36,OverDeduct,P$5,OverDate,"&lt;"&amp;DATE(YEAR($AC36),MONTH($AC36)+1,1),OverEnd,"&gt;="&amp;DATE(YEAR($AC36),MONTH($AC36),1)),IF(OR(P$2="Fixed",P$2="Not Used"),(IF(COUNTIFS(EmpNo,$C36,OFFSET(Emp!$R$4,1,MATCH(P$5,DedListItem,0)-1,EmpCount,1),"&lt;&gt;")&gt;0,VLOOKUP($C36,EmpAll,COLUMN(Emp!$R$4)+MATCH(P$5,DedListItem,0)-1,0),OFFSET(Setup!$E$73,MATCH(P$5,DedListItem,0),0,1,1))*$AA36)-SUMIFS(OFFSET(P$6,1,0,PayCount,1),PayDate,"&lt;"&amp;$AC36,PayEmp,$C36),IF(ISNA(MATCH(P$2,EarnListItem,0))=FALSE,IF(OFFSET(Setup!$G$73,MATCH(P$5,DedListItem,0),0,1,1)="Taxable",SUMPRODUCT((PayEmp=$C36)*(PayDate&lt;=$AC36)*(PayEarnCode=P$2)*(PayEarnTax)*(PayEarnValues)),SUMPRODUCT((PayEmp=$C36)*(PayDate&lt;=$AC36)*(PayEarnCode=P$2)*(PayEarnValues)))*IF(COUNTIFS(EmpNo,$C36,OFFSET(Emp!$R$4,1,MATCH(P$5,DedListItem,0)-1,EmpCount,1),"&lt;&gt;")&gt;0,VLOOKUP($C36,EmpAll,COLUMN(Emp!$R$4)+MATCH(P$5,DedListItem,0)-1,0),OFFSET(Setup!$E$73,MATCH(P$5,DedListItem,0),0,1,1)),(MIN(IF(OFFSET(Setup!$G$73,MATCH(P$5,DedListItem,0),0,1,1)="Taxable",SUMPRODUCT((PayEmp=$C36)*(PayDate&lt;=$AC36)*(ISERROR(SEARCH(PayEarnCode,P$4)))*(PayEarnTax)*(PayEarnValues)),SUMPRODUCT((PayEmp=$C36)*(PayDate&lt;=$AC36)*(ISERROR(SEARCH(PayEarnCode,P$4)))*(PayEarnValues))),IF(ISNUMBER(P$3),P$3/12*$AA36,IgnoreMin)))*IF(COUNTIFS(EmpNo,$C36,OFFSET(Emp!$R$4,1,MATCH(P$5,DedListItem,0)-1,EmpCount,1),"&lt;&gt;")&gt;0,VLOOKUP($C36,EmpAll,COLUMN(Emp!$R$4)+MATCH(P$5,DedListItem,0)-1,0),OFFSET(Setup!$E$73,MATCH(P$5,DedListItem,0),0,1,1)))-SUMIFS(OFFSET(P$6,1,0,PayCount,1),PayDate,"&lt;"&amp;$AC36,PayEmp,$C36))))))</f>
        <v>0</v>
      </c>
      <c r="Q36" s="133" cm="1">
        <f t="array" aca="1" ref="Q36" ca="1">IF($F36="Terminated",0,IF($AA36=0,0,IF(ISNA(MATCH(Q$5,DedListItem,0)),0,IF(COUNTIFS(OverEmp,$C36,OverDeduct,Q$5,OverDate,"&lt;"&amp;DATE(YEAR($AC36),MONTH($AC36)+1,1),OverEnd,"&gt;="&amp;DATE(YEAR($AC36),MONTH($AC36),1))&gt;0,SUMIFS(OverValue,OverEmp,$C36,OverDeduct,Q$5,OverDate,"&lt;"&amp;DATE(YEAR($AC36),MONTH($AC36)+1,1),OverEnd,"&gt;="&amp;DATE(YEAR($AC36),MONTH($AC36),1)),IF(OR(Q$2="Fixed",Q$2="Not Used"),(IF(COUNTIFS(EmpNo,$C36,OFFSET(Emp!$R$4,1,MATCH(Q$5,DedListItem,0)-1,EmpCount,1),"&lt;&gt;")&gt;0,VLOOKUP($C36,EmpAll,COLUMN(Emp!$R$4)+MATCH(Q$5,DedListItem,0)-1,0),OFFSET(Setup!$E$73,MATCH(Q$5,DedListItem,0),0,1,1))*$AA36)-SUMIFS(OFFSET(Q$6,1,0,PayCount,1),PayDate,"&lt;"&amp;$AC36,PayEmp,$C36),IF(ISNA(MATCH(Q$2,EarnListItem,0))=FALSE,IF(OFFSET(Setup!$G$73,MATCH(Q$5,DedListItem,0),0,1,1)="Taxable",SUMPRODUCT((PayEmp=$C36)*(PayDate&lt;=$AC36)*(PayEarnCode=Q$2)*(PayEarnTax)*(PayEarnValues)),SUMPRODUCT((PayEmp=$C36)*(PayDate&lt;=$AC36)*(PayEarnCode=Q$2)*(PayEarnValues)))*IF(COUNTIFS(EmpNo,$C36,OFFSET(Emp!$R$4,1,MATCH(Q$5,DedListItem,0)-1,EmpCount,1),"&lt;&gt;")&gt;0,VLOOKUP($C36,EmpAll,COLUMN(Emp!$R$4)+MATCH(Q$5,DedListItem,0)-1,0),OFFSET(Setup!$E$73,MATCH(Q$5,DedListItem,0),0,1,1)),(MIN(IF(OFFSET(Setup!$G$73,MATCH(Q$5,DedListItem,0),0,1,1)="Taxable",SUMPRODUCT((PayEmp=$C36)*(PayDate&lt;=$AC36)*(ISERROR(SEARCH(PayEarnCode,Q$4)))*(PayEarnTax)*(PayEarnValues)),SUMPRODUCT((PayEmp=$C36)*(PayDate&lt;=$AC36)*(ISERROR(SEARCH(PayEarnCode,Q$4)))*(PayEarnValues))),IF(ISNUMBER(Q$3),Q$3/12*$AA36,IgnoreMin)))*IF(COUNTIFS(EmpNo,$C36,OFFSET(Emp!$R$4,1,MATCH(Q$5,DedListItem,0)-1,EmpCount,1),"&lt;&gt;")&gt;0,VLOOKUP($C36,EmpAll,COLUMN(Emp!$R$4)+MATCH(Q$5,DedListItem,0)-1,0),OFFSET(Setup!$E$73,MATCH(Q$5,DedListItem,0),0,1,1)))-SUMIFS(OFFSET(Q$6,1,0,PayCount,1),PayDate,"&lt;"&amp;$AC36,PayEmp,$C36))))))</f>
        <v>0</v>
      </c>
      <c r="R36" s="185">
        <f t="shared" ca="1" si="1"/>
        <v>0</v>
      </c>
      <c r="S36" s="139">
        <f t="shared" ca="1" si="2"/>
        <v>0</v>
      </c>
      <c r="T36" s="133" cm="1">
        <f t="array" aca="1" ref="T36" ca="1">IF($F36="Terminated",0,IF($AA36=0,0,IF(ISNA(MATCH(T$5,CompListItem,0)),0,IF(COUNTIFS(OverEmp,$C36,OverComp,T$5,OverDate,"&lt;"&amp;DATE(YEAR($AC36),MONTH($AC36)+1,1),OverEnd,"&gt;="&amp;DATE(YEAR($AC36),MONTH($AC36),1))&gt;0,SUMIFS(OverValue,OverEmp,$C36,OverComp,T$5,OverDate,"&lt;"&amp;DATE(YEAR($AC36),MONTH($AC36)+1,1),OverEnd,"&gt;="&amp;DATE(YEAR($AC36),MONTH($AC36),1)),IF(OR(T$2="Fixed",T$2="Not Used"),(OFFSET(Setup!$E$81,MATCH(T$5,CompListItem,0),0,1,1)*$AA36)-SUMIFS(OFFSET(T$6,1,0,PayCount,1),PayDate,"&lt;"&amp;$AC36,PayEmp,$C36),IF(ISNA(MATCH(T$2,DedListItem,0))=FALSE,(SUMPRODUCT((PayEmp=$C36)*(PayDate&lt;=$AC36)*(PayDedList=T$2)*(PayDedValues))*OFFSET(Setup!$E$81,MATCH(T$5,CompListItem,0),0,1,1))-SUMIFS(OFFSET(T$6,1,0,PayCount,1),PayDate,"&lt;"&amp;$AC36,PayEmp,$C36),(MIN(IF(OFFSET(Setup!$G$81,MATCH(T$5,CompListItem,0),0,1,1)="Taxable",SUMPRODUCT((PayEmp=$C36)*(PayDate&lt;=$AC36)*(ISERROR(SEARCH(PayEarnCode,T$4)))*(PayEarnTax)*(PayEarnValues)),SUMPRODUCT((PayEmp=$C36)*(PayDate&lt;=$AC36)*(ISERROR(SEARCH(PayEarnCode,T$4)))*(PayEarnValues))),IF(ISNUMBER(T$3),T$3/12*$AA36,IgnoreMin)))*OFFSET(Setup!$E$81,MATCH(T$5,CompListItem,0),0,1,1)-SUMIFS(OFFSET(T$6,1,0,PayCount,1),PayDate,"&lt;"&amp;$AC36,PayEmp,$C36)))))))</f>
        <v>0</v>
      </c>
      <c r="U36" s="133" cm="1">
        <f t="array" aca="1" ref="U36" ca="1">IF($F36="Terminated",0,IF($AA36=0,0,IF(ISNA(MATCH(U$5,CompListItem,0)),0,IF(COUNTIFS(OverEmp,$C36,OverComp,U$5,OverDate,"&lt;"&amp;DATE(YEAR($AC36),MONTH($AC36)+1,1),OverEnd,"&gt;="&amp;DATE(YEAR($AC36),MONTH($AC36),1))&gt;0,SUMIFS(OverValue,OverEmp,$C36,OverComp,U$5,OverDate,"&lt;"&amp;DATE(YEAR($AC36),MONTH($AC36)+1,1),OverEnd,"&gt;="&amp;DATE(YEAR($AC36),MONTH($AC36),1)),IF(OR(U$2="Fixed",U$2="Not Used"),(OFFSET(Setup!$E$81,MATCH(U$5,CompListItem,0),0,1,1)*$AA36)-SUMIFS(OFFSET(U$6,1,0,PayCount,1),PayDate,"&lt;"&amp;$AC36,PayEmp,$C36),IF(ISNA(MATCH(U$2,DedListItem,0))=FALSE,(SUMPRODUCT((PayEmp=$C36)*(PayDate&lt;=$AC36)*(PayDedList=U$2)*(PayDedValues))*OFFSET(Setup!$E$81,MATCH(U$5,CompListItem,0),0,1,1))-SUMIFS(OFFSET(U$6,1,0,PayCount,1),PayDate,"&lt;"&amp;$AC36,PayEmp,$C36),(MIN(IF(OFFSET(Setup!$G$81,MATCH(U$5,CompListItem,0),0,1,1)="Taxable",SUMPRODUCT((PayEmp=$C36)*(PayDate&lt;=$AC36)*(ISERROR(SEARCH(PayEarnCode,U$4)))*(PayEarnTax)*(PayEarnValues)),SUMPRODUCT((PayEmp=$C36)*(PayDate&lt;=$AC36)*(ISERROR(SEARCH(PayEarnCode,U$4)))*(PayEarnValues))),IF(ISNUMBER(U$3),U$3/12*$AA36,IgnoreMin)))*OFFSET(Setup!$E$81,MATCH(U$5,CompListItem,0),0,1,1)-SUMIFS(OFFSET(U$6,1,0,PayCount,1),PayDate,"&lt;"&amp;$AC36,PayEmp,$C36)))))))</f>
        <v>0</v>
      </c>
      <c r="V36" s="133" cm="1">
        <f t="array" aca="1" ref="V36" ca="1">IF($F36="Terminated",0,IF($AA36=0,0,IF(ISNA(MATCH(V$5,CompListItem,0)),0,IF(COUNTIFS(OverEmp,$C36,OverComp,V$5,OverDate,"&lt;"&amp;DATE(YEAR($AC36),MONTH($AC36)+1,1),OverEnd,"&gt;="&amp;DATE(YEAR($AC36),MONTH($AC36),1))&gt;0,SUMIFS(OverValue,OverEmp,$C36,OverComp,V$5,OverDate,"&lt;"&amp;DATE(YEAR($AC36),MONTH($AC36)+1,1),OverEnd,"&gt;="&amp;DATE(YEAR($AC36),MONTH($AC36),1)),IF(OR(V$2="Fixed",V$2="Not Used"),(OFFSET(Setup!$E$81,MATCH(V$5,CompListItem,0),0,1,1)*$AA36)-SUMIFS(OFFSET(V$6,1,0,PayCount,1),PayDate,"&lt;"&amp;$AC36,PayEmp,$C36),IF(ISNA(MATCH(V$2,DedListItem,0))=FALSE,(SUMPRODUCT((PayEmp=$C36)*(PayDate&lt;=$AC36)*(PayDedList=V$2)*(PayDedValues))*OFFSET(Setup!$E$81,MATCH(V$5,CompListItem,0),0,1,1))-SUMIFS(OFFSET(V$6,1,0,PayCount,1),PayDate,"&lt;"&amp;$AC36,PayEmp,$C36),(MIN(IF(OFFSET(Setup!$G$81,MATCH(V$5,CompListItem,0),0,1,1)="Taxable",SUMPRODUCT((PayEmp=$C36)*(PayDate&lt;=$AC36)*(ISERROR(SEARCH(PayEarnCode,V$4)))*(PayEarnTax)*(PayEarnValues)),SUMPRODUCT((PayEmp=$C36)*(PayDate&lt;=$AC36)*(ISERROR(SEARCH(PayEarnCode,V$4)))*(PayEarnValues))),IF(ISNUMBER(V$3),V$3/12*$AA36,IgnoreMin)))*OFFSET(Setup!$E$81,MATCH(V$5,CompListItem,0),0,1,1)-SUMIFS(OFFSET(V$6,1,0,PayCount,1),PayDate,"&lt;"&amp;$AC36,PayEmp,$C36)))))))</f>
        <v>0</v>
      </c>
      <c r="W36" s="133" cm="1">
        <f t="array" aca="1" ref="W36" ca="1">IF($F36="Terminated",0,IF($AA36=0,0,IF(ISNA(MATCH(W$5,CompListItem,0)),0,IF(COUNTIFS(OverEmp,$C36,OverComp,W$5,OverDate,"&lt;"&amp;DATE(YEAR($AC36),MONTH($AC36)+1,1),OverEnd,"&gt;="&amp;DATE(YEAR($AC36),MONTH($AC36),1))&gt;0,SUMIFS(OverValue,OverEmp,$C36,OverComp,W$5,OverDate,"&lt;"&amp;DATE(YEAR($AC36),MONTH($AC36)+1,1),OverEnd,"&gt;="&amp;DATE(YEAR($AC36),MONTH($AC36),1)),IF(OR(W$2="Fixed",W$2="Not Used"),(OFFSET(Setup!$E$81,MATCH(W$5,CompListItem,0),0,1,1)*$AA36)-SUMIFS(OFFSET(W$6,1,0,PayCount,1),PayDate,"&lt;"&amp;$AC36,PayEmp,$C36),IF(ISNA(MATCH(W$2,DedListItem,0))=FALSE,(SUMPRODUCT((PayEmp=$C36)*(PayDate&lt;=$AC36)*(PayDedList=W$2)*(PayDedValues))*OFFSET(Setup!$E$81,MATCH(W$5,CompListItem,0),0,1,1))-SUMIFS(OFFSET(W$6,1,0,PayCount,1),PayDate,"&lt;"&amp;$AC36,PayEmp,$C36),(MIN(IF(OFFSET(Setup!$G$81,MATCH(W$5,CompListItem,0),0,1,1)="Taxable",SUMPRODUCT((PayEmp=$C36)*(PayDate&lt;=$AC36)*(ISERROR(SEARCH(PayEarnCode,W$4)))*(PayEarnTax)*(PayEarnValues)),SUMPRODUCT((PayEmp=$C36)*(PayDate&lt;=$AC36)*(ISERROR(SEARCH(PayEarnCode,W$4)))*(PayEarnValues))),IF(ISNUMBER(W$3),W$3/12*$AA36,IgnoreMin)))*OFFSET(Setup!$E$81,MATCH(W$5,CompListItem,0),0,1,1)-SUMIFS(OFFSET(W$6,1,0,PayCount,1),PayDate,"&lt;"&amp;$AC36,PayEmp,$C36)))))))</f>
        <v>0</v>
      </c>
      <c r="X36" s="185">
        <f t="shared" ca="1" si="3"/>
        <v>0</v>
      </c>
      <c r="Y36" s="139">
        <f t="shared" ca="1" si="4"/>
        <v>0</v>
      </c>
      <c r="Z36" s="139">
        <f t="shared" ca="1" si="5"/>
        <v>0</v>
      </c>
      <c r="AA36" s="146">
        <f ca="1">IF(OR($B36&lt;=Setup!$E$12,$B36&gt;=Setup!$D$12+1),0,IF($F36&lt;&gt;"Active",0,IF($AE36="Yes",$AB36,((YEAR($AC36)*12)+MONTH($AC36))-((YEAR($AD36)*12)+MONTH($AD36)-1))))</f>
        <v>0</v>
      </c>
      <c r="AB36" s="146">
        <f ca="1">IF(OR($B36&lt;=Setup!$E$12,$B36&gt;=Setup!$D$12+1),0,((YEAR($AC36)*12)+MONTH($AC36))-((YEAR(Setup!$E$12)*12)+MONTH(Setup!$E$12)))</f>
        <v>2</v>
      </c>
      <c r="AC36" s="186">
        <f t="shared" ca="1" si="6"/>
        <v>45041</v>
      </c>
      <c r="AD36" s="144">
        <f ca="1">IF(ISNA(VLOOKUP($C36,EmpAll,COLUMN(Emp!$E$4),0)),$AC36,IF(VLOOKUP($C36,EmpAll,COLUMN(Emp!$E$4),0)&lt;=Setup!$E$12,DATE(YEAR(Setup!$E$12),MONTH(Setup!$E$12)+1,1),VLOOKUP($C36,EmpAll,COLUMN(Emp!$E$4),0)))</f>
        <v>45316</v>
      </c>
      <c r="AE36" s="144" t="str">
        <f ca="1">IF(ISNA(VLOOKUP($C36,EmpAll,COLUMN(Emp!$G$1),0)),"-",IF(VLOOKUP($C36,EmpAll,COLUMN(Emp!$G$1),0)=0,"-",VLOOKUP($C36,EmpAll,COLUMN(Emp!$G$1),0)))</f>
        <v>-</v>
      </c>
      <c r="AF36" s="145">
        <f ca="1">IF(A36=PaySlip!$G$3,1,0)</f>
        <v>0</v>
      </c>
      <c r="AG36" s="130" cm="1">
        <f t="array" aca="1" ref="AG36" ca="1">IF(COUNTIFS(OverEmp,$C36,OverMed,"MED",OverDate,"&lt;"&amp;DATE(YEAR($AC36),MONTH($AC36)+1,1),OverEnd,"&gt;="&amp;DATE(YEAR($AC36),MONTH($AC36),1))&gt;0,SUMIFS(OverValue,OverEmp,$C36,OverMed,"MED",OverDate,"&lt;"&amp;DATE(YEAR($AC36),MONTH($AC36)+1,1),OverEnd,"&gt;="&amp;DATE(YEAR($AC36),MONTH($AC36),1)),IF(ISNA(VLOOKUP($C36,EmpAll,COLUMN(Emp!$N$4),0)),0,VLOOKUP($C36,EmpAll,COLUMN(Emp!$N$4),0)))</f>
        <v>1</v>
      </c>
      <c r="AH36" s="146">
        <f ca="1">VLOOKUP($AG36,MedList,COLUMN(Setup!$C$49),1)</f>
        <v>364</v>
      </c>
      <c r="AI36" s="146">
        <f t="shared" ca="1" si="7"/>
        <v>5096</v>
      </c>
      <c r="AJ36" s="101" t="str">
        <f ca="1">IF(ISNA(VLOOKUP($C36,EmpAll,COLUMN(Emp!$L$4),0)),"None!",VLOOKUP($C36,EmpAll,COLUMN(Emp!$L$4),0))</f>
        <v>A</v>
      </c>
      <c r="AK36" s="147">
        <f t="shared" ca="1" si="8"/>
        <v>17235</v>
      </c>
      <c r="AL36" s="101" t="str">
        <f ca="1">IF(ISNA(VLOOKUP($C36,Employees[],COLUMN(Emp!$M$4),0))=TRUE,"Error!",IF(VLOOKUP($C36,Employees[],COLUMN(Emp!$M$4),0)=0,"Yes",VLOOKUP($C36,Employees[],COLUMN(Emp!$M$4),0)))</f>
        <v>A</v>
      </c>
      <c r="AM36" s="148">
        <f t="shared" ca="1" si="9"/>
        <v>0</v>
      </c>
      <c r="AN36" s="148" cm="1">
        <f t="array" aca="1" ref="AN36" ca="1">-IF($F36="Terminated",0,IF($AA36=0,0,IF(ISNA(MATCH(AN$5,PayDedList,0)),0,MIN(IF(COUNTIFS(OverEmp,$C36,OverDeduct,AN$5,OverDate,"&lt;"&amp;DATE(YEAR($AC36),MONTH($AC36)+1,1),OverEnd,"&gt;="&amp;DATE(YEAR($AC36),MONTH($AC36),1))&gt;0,SUMPRODUCT((PayEmp=$C36)*(PayDate&lt;=$AC36)*(OFFSET($N$6,1,MATCH(AN$5,PayDedList,0)-1,PayCount,1)))/$AA36*12*AN$3,IF(OR(AN$1="Fixed",AN$1="Not Used"),SUMPRODUCT((PayEmp=$C36)*(PayDate&lt;=$AC36)*(OFFSET($N$6,1,MATCH(AN$5,PayDedList,0)-1,PayCount,1)))/$AA36*12*AN$3,IF(ISNA(MATCH(AN$1,EarnListItem,0))=FALSE,SUMPRODUCT((PayEmp=$C36)*(PayDate&lt;=$AC36)*(OFFSET($N$6,1,MATCH(AN$5,PayDedList,0)-1,PayCount,1)))/$AA36*12*AN$3,(MIN(((SUMPRODUCT((PayEmp=$C36)*(PayDate&lt;=$AC36)*(ISERROR(SEARCH(PayEarnCode,AN$2)))*(PayEarnType="Monthly")*(PayEarnValues))/$AA36*12)+(SUMPRODUCT((PayEmp=$C36)*(PayDate&lt;=$AC36)*(ISERROR(SEARCH(PayEarnCode,AN$2)))*(PayEarnType="Quarterly")*(PayEarnValues))/MAX(1,ROUNDDOWN($AB36/3,0))*4)+(SUMPRODUCT((PayEmp=$C36)*(PayDate&lt;=$AC36)*(ISERROR(SEARCH(PayEarnCode,AN$2)))*(PayEarnType="Bi-Annual")*(PayEarnValues))/MAX(1,ROUNDDOWN($AB36/6,0))*2)+(SUMPRODUCT((PayEmp=$C36)*(PayDate&lt;=$AC36)*(ISERROR(SEARCH(PayEarnCode,AN$2)))*(PayEarnType="Annual")*(PayEarnValues)))),IF(ISNUMBER(OFFSET($N$3,0,MATCH(AN$5,PayDedList,0)-1,1,1)),OFFSET($N$3,0,MATCH(AN$5,PayDedList,0)-1,1,1),IgnoreMin)))*IF(COUNTIFS(EmpNo,$C36,OFFSET(Emp!$R$4,1,MATCH(AN$5,DedListItem,0)-1,EmpCount,1),"&lt;&gt;")&gt;0,VLOOKUP($C36,EmpAll,COLUMN(Emp!$R$4)+MATCH(AN$5,DedListItem,0)-1,0),OFFSET(Setup!$E$73,MATCH(AN$5,DedListItem,0),0,1,1))*AN$3))),IF(ISNUMBER(AN$4),AN$4,IgnoreMin)))))</f>
        <v>0</v>
      </c>
      <c r="AO36" s="148" cm="1">
        <f t="array" aca="1" ref="AO36" ca="1">-IF($F36="Terminated",0,IF($AA36=0,0,IF(ISNA(MATCH(AO$5,PayDedList,0)),0,MIN(IF(COUNTIFS(OverEmp,$C36,OverDeduct,AO$5,OverDate,"&lt;"&amp;DATE(YEAR($AC36),MONTH($AC36)+1,1),OverEnd,"&gt;="&amp;DATE(YEAR($AC36),MONTH($AC36),1))&gt;0,SUMPRODUCT((PayEmp=$C36)*(PayDate&lt;=$AC36)*(OFFSET($N$6,1,MATCH(AO$5,PayDedList,0)-1,PayCount,1)))/$AA36*12*AO$3,IF(OR(AO$1="Fixed",AO$1="Not Used"),SUMPRODUCT((PayEmp=$C36)*(PayDate&lt;=$AC36)*(OFFSET($N$6,1,MATCH(AO$5,PayDedList,0)-1,PayCount,1)))/$AA36*12*AO$3,IF(ISNA(MATCH(AO$1,EarnListItem,0))=FALSE,SUMPRODUCT((PayEmp=$C36)*(PayDate&lt;=$AC36)*(OFFSET($N$6,1,MATCH(AO$5,PayDedList,0)-1,PayCount,1)))/$AA36*12*AO$3,(MIN(((SUMPRODUCT((PayEmp=$C36)*(PayDate&lt;=$AC36)*(ISERROR(SEARCH(PayEarnCode,AO$2)))*(PayEarnType="Monthly")*(PayEarnValues))/$AA36*12)+(SUMPRODUCT((PayEmp=$C36)*(PayDate&lt;=$AC36)*(ISERROR(SEARCH(PayEarnCode,AO$2)))*(PayEarnType="Quarterly")*(PayEarnValues))/MAX(1,ROUNDDOWN($AB36/3,0))*4)+(SUMPRODUCT((PayEmp=$C36)*(PayDate&lt;=$AC36)*(ISERROR(SEARCH(PayEarnCode,AO$2)))*(PayEarnType="Bi-Annual")*(PayEarnValues))/MAX(1,ROUNDDOWN($AB36/6,0))*2)+(SUMPRODUCT((PayEmp=$C36)*(PayDate&lt;=$AC36)*(ISERROR(SEARCH(PayEarnCode,AO$2)))*(PayEarnType="Annual")*(PayEarnValues)))),IF(ISNUMBER(OFFSET($N$3,0,MATCH(AO$5,PayDedList,0)-1,1,1)),OFFSET($N$3,0,MATCH(AO$5,PayDedList,0)-1,1,1),IgnoreMin)))*IF(COUNTIFS(EmpNo,$C36,OFFSET(Emp!$R$4,1,MATCH(AO$5,DedListItem,0)-1,EmpCount,1),"&lt;&gt;")&gt;0,VLOOKUP($C36,EmpAll,COLUMN(Emp!$R$4)+MATCH(AO$5,DedListItem,0)-1,0),OFFSET(Setup!$E$73,MATCH(AO$5,DedListItem,0),0,1,1))*AO$3))),IF(ISNUMBER(AO$4),AO$4,IgnoreMin)))))</f>
        <v>0</v>
      </c>
      <c r="AP36" s="148" cm="1">
        <f t="array" aca="1" ref="AP36" ca="1">-IF($F36="Terminated",0,IF($AA36=0,0,IF(ISNA(MATCH(AP$5,PayDedList,0)),0,MIN(IF(COUNTIFS(OverEmp,$C36,OverDeduct,AP$5,OverDate,"&lt;"&amp;DATE(YEAR($AC36),MONTH($AC36)+1,1),OverEnd,"&gt;="&amp;DATE(YEAR($AC36),MONTH($AC36),1))&gt;0,SUMPRODUCT((PayEmp=$C36)*(PayDate&lt;=$AC36)*(OFFSET($N$6,1,MATCH(AP$5,PayDedList,0)-1,PayCount,1)))/$AA36*12*AP$3,IF(OR(AP$1="Fixed",AP$1="Not Used"),SUMPRODUCT((PayEmp=$C36)*(PayDate&lt;=$AC36)*(OFFSET($N$6,1,MATCH(AP$5,PayDedList,0)-1,PayCount,1)))/$AA36*12*AP$3,IF(ISNA(MATCH(AP$1,EarnListItem,0))=FALSE,SUMPRODUCT((PayEmp=$C36)*(PayDate&lt;=$AC36)*(OFFSET($N$6,1,MATCH(AP$5,PayDedList,0)-1,PayCount,1)))/$AA36*12*AP$3,(MIN(((SUMPRODUCT((PayEmp=$C36)*(PayDate&lt;=$AC36)*(ISERROR(SEARCH(PayEarnCode,AP$2)))*(PayEarnType="Monthly")*(PayEarnValues))/$AA36*12)+(SUMPRODUCT((PayEmp=$C36)*(PayDate&lt;=$AC36)*(ISERROR(SEARCH(PayEarnCode,AP$2)))*(PayEarnType="Quarterly")*(PayEarnValues))/MAX(1,ROUNDDOWN($AB36/3,0))*4)+(SUMPRODUCT((PayEmp=$C36)*(PayDate&lt;=$AC36)*(ISERROR(SEARCH(PayEarnCode,AP$2)))*(PayEarnType="Bi-Annual")*(PayEarnValues))/MAX(1,ROUNDDOWN($AB36/6,0))*2)+(SUMPRODUCT((PayEmp=$C36)*(PayDate&lt;=$AC36)*(ISERROR(SEARCH(PayEarnCode,AP$2)))*(PayEarnType="Annual")*(PayEarnValues)))),IF(ISNUMBER(OFFSET($N$3,0,MATCH(AP$5,PayDedList,0)-1,1,1)),OFFSET($N$3,0,MATCH(AP$5,PayDedList,0)-1,1,1),IgnoreMin)))*IF(COUNTIFS(EmpNo,$C36,OFFSET(Emp!$R$4,1,MATCH(AP$5,DedListItem,0)-1,EmpCount,1),"&lt;&gt;")&gt;0,VLOOKUP($C36,EmpAll,COLUMN(Emp!$R$4)+MATCH(AP$5,DedListItem,0)-1,0),OFFSET(Setup!$E$73,MATCH(AP$5,DedListItem,0),0,1,1))*AP$3))),IF(ISNUMBER(AP$4),AP$4,IgnoreMin)))))</f>
        <v>0</v>
      </c>
      <c r="AQ36" s="148" cm="1">
        <f t="array" aca="1" ref="AQ36" ca="1">-IF($F36="Terminated",0,IF($AA36=0,0,IF(ISNA(MATCH(AQ$5,PayDedList,0)),0,MIN(IF(COUNTIFS(OverEmp,$C36,OverDeduct,AQ$5,OverDate,"&lt;"&amp;DATE(YEAR($AC36),MONTH($AC36)+1,1),OverEnd,"&gt;="&amp;DATE(YEAR($AC36),MONTH($AC36),1))&gt;0,SUMPRODUCT((PayEmp=$C36)*(PayDate&lt;=$AC36)*(OFFSET($N$6,1,MATCH(AQ$5,PayDedList,0)-1,PayCount,1)))/$AA36*12*AQ$3,IF(OR(AQ$1="Fixed",AQ$1="Not Used"),SUMPRODUCT((PayEmp=$C36)*(PayDate&lt;=$AC36)*(OFFSET($N$6,1,MATCH(AQ$5,PayDedList,0)-1,PayCount,1)))/$AA36*12*AQ$3,IF(ISNA(MATCH(AQ$1,EarnListItem,0))=FALSE,SUMPRODUCT((PayEmp=$C36)*(PayDate&lt;=$AC36)*(OFFSET($N$6,1,MATCH(AQ$5,PayDedList,0)-1,PayCount,1)))/$AA36*12*AQ$3,(MIN(((SUMPRODUCT((PayEmp=$C36)*(PayDate&lt;=$AC36)*(ISERROR(SEARCH(PayEarnCode,AQ$2)))*(PayEarnType="Monthly")*(PayEarnValues))/$AA36*12)+(SUMPRODUCT((PayEmp=$C36)*(PayDate&lt;=$AC36)*(ISERROR(SEARCH(PayEarnCode,AQ$2)))*(PayEarnType="Quarterly")*(PayEarnValues))/MAX(1,ROUNDDOWN($AB36/3,0))*4)+(SUMPRODUCT((PayEmp=$C36)*(PayDate&lt;=$AC36)*(ISERROR(SEARCH(PayEarnCode,AQ$2)))*(PayEarnType="Bi-Annual")*(PayEarnValues))/MAX(1,ROUNDDOWN($AB36/6,0))*2)+(SUMPRODUCT((PayEmp=$C36)*(PayDate&lt;=$AC36)*(ISERROR(SEARCH(PayEarnCode,AQ$2)))*(PayEarnType="Annual")*(PayEarnValues)))),IF(ISNUMBER(OFFSET($N$3,0,MATCH(AQ$5,PayDedList,0)-1,1,1)),OFFSET($N$3,0,MATCH(AQ$5,PayDedList,0)-1,1,1),IgnoreMin)))*IF(COUNTIFS(EmpNo,$C36,OFFSET(Emp!$R$4,1,MATCH(AQ$5,DedListItem,0)-1,EmpCount,1),"&lt;&gt;")&gt;0,VLOOKUP($C36,EmpAll,COLUMN(Emp!$R$4)+MATCH(AQ$5,DedListItem,0)-1,0),OFFSET(Setup!$E$73,MATCH(AQ$5,DedListItem,0),0,1,1))*AQ$3))),IF(ISNUMBER(AQ$4),AQ$4,IgnoreMin)))))</f>
        <v>0</v>
      </c>
      <c r="AR36" s="148">
        <f t="shared" ca="1" si="10"/>
        <v>0</v>
      </c>
      <c r="AS36" s="148">
        <f t="shared" ca="1" si="11"/>
        <v>0</v>
      </c>
      <c r="AT36" s="148" cm="1">
        <f t="array" aca="1" ref="AT36" ca="1">-IF($F36="Terminated",0,IF($AA36=0,0,IF(ISNA(MATCH(AT$5,PayDedList,0)),0,MIN(IF(COUNTIFS(OverEmp,$C36,OverDeduct,AT$5,OverDate,"&lt;"&amp;DATE(YEAR($AC36),MONTH($AC36)+1,1),OverEnd,"&gt;="&amp;DATE(YEAR($AC36),MONTH($AC36),1))&gt;0,SUMPRODUCT((PayEmp=$C36)*(PayDate&lt;=$AC36)*(OFFSET($N$6,1,MATCH(AT$5,PayDedList,0)-1,PayCount,1)))/$AA36*12*AT$3,IF(OR(AT$1="Fixed",AT$1="Not Used"),SUMPRODUCT((PayEmp=$C36)*(PayDate&lt;=$AC36)*(OFFSET($N$6,1,MATCH(AT$5,PayDedList,0)-1,PayCount,1)))/$AA36*12*AT$3,IF(ISNA(MATCH(OFFSET($N$2,0,MATCH(AT$5,PayDedList,0)-1,1,1),EarnListItem,0))=FALSE,SUMPRODUCT((PayEmp=$C36)*(PayDate&lt;=$AC36)*(OFFSET($N$6,1,MATCH(AT$5,PayDedList,0)-1,PayCount,1)))/$AA36*12*AT$3,(MIN(SUMPRODUCT((PayEmp=$C36)*(PayDate&lt;=$AC36)*(ISERROR(SEARCH(PayEarnCode,AT$2)))*(PayEarnType="Monthly")*(PayEarnValues))/$AA36*12,IF(ISNUMBER(OFFSET($N$3,0,MATCH(AT$5,PayDedList,0)-1,1,1)),OFFSET($N$3,0,MATCH(AT$5,PayDedList,0)-1,1,1),IgnoreMin)))*IF(COUNTIFS(EmpNo,$C36,OFFSET(Emp!$R$4,1,MATCH(AT$5,DedListItem,0)-1,EmpCount,1),"&lt;&gt;")&gt;0,VLOOKUP($C36,EmpAll,COLUMN(Emp!$R$4)+MATCH(AT$5,DedListItem,0)-1,0),OFFSET(Setup!$E$73,MATCH(AT$5,DedListItem,0),0,1,1))*AT$3))),IF(ISNUMBER(AT$4),AT$4,IgnoreMin)))))</f>
        <v>0</v>
      </c>
      <c r="AU36" s="148" cm="1">
        <f t="array" aca="1" ref="AU36" ca="1">-IF($F36="Terminated",0,IF($AA36=0,0,IF(ISNA(MATCH(AU$5,PayDedList,0)),0,MIN(IF(COUNTIFS(OverEmp,$C36,OverDeduct,AU$5,OverDate,"&lt;"&amp;DATE(YEAR($AC36),MONTH($AC36)+1,1),OverEnd,"&gt;="&amp;DATE(YEAR($AC36),MONTH($AC36),1))&gt;0,SUMPRODUCT((PayEmp=$C36)*(PayDate&lt;=$AC36)*(OFFSET($N$6,1,MATCH(AU$5,PayDedList,0)-1,PayCount,1)))/$AA36*12*AU$3,IF(OR(AU$1="Fixed",AU$1="Not Used"),SUMPRODUCT((PayEmp=$C36)*(PayDate&lt;=$AC36)*(OFFSET($N$6,1,MATCH(AU$5,PayDedList,0)-1,PayCount,1)))/$AA36*12*AU$3,IF(ISNA(MATCH(OFFSET($N$2,0,MATCH(AU$5,PayDedList,0)-1,1,1),EarnListItem,0))=FALSE,SUMPRODUCT((PayEmp=$C36)*(PayDate&lt;=$AC36)*(OFFSET($N$6,1,MATCH(AU$5,PayDedList,0)-1,PayCount,1)))/$AA36*12*AU$3,(MIN(SUMPRODUCT((PayEmp=$C36)*(PayDate&lt;=$AC36)*(ISERROR(SEARCH(PayEarnCode,AU$2)))*(PayEarnType="Monthly")*(PayEarnValues))/$AA36*12,IF(ISNUMBER(OFFSET($N$3,0,MATCH(AU$5,PayDedList,0)-1,1,1)),OFFSET($N$3,0,MATCH(AU$5,PayDedList,0)-1,1,1),IgnoreMin)))*IF(COUNTIFS(EmpNo,$C36,OFFSET(Emp!$R$4,1,MATCH(AU$5,DedListItem,0)-1,EmpCount,1),"&lt;&gt;")&gt;0,VLOOKUP($C36,EmpAll,COLUMN(Emp!$R$4)+MATCH(AU$5,DedListItem,0)-1,0),OFFSET(Setup!$E$73,MATCH(AU$5,DedListItem,0),0,1,1))*AU$3))),IF(ISNUMBER(AU$4),AU$4,IgnoreMin)))))</f>
        <v>0</v>
      </c>
      <c r="AV36" s="148" cm="1">
        <f t="array" aca="1" ref="AV36" ca="1">-IF($F36="Terminated",0,IF($AA36=0,0,IF(ISNA(MATCH(AV$5,PayDedList,0)),0,MIN(IF(COUNTIFS(OverEmp,$C36,OverDeduct,AV$5,OverDate,"&lt;"&amp;DATE(YEAR($AC36),MONTH($AC36)+1,1),OverEnd,"&gt;="&amp;DATE(YEAR($AC36),MONTH($AC36),1))&gt;0,SUMPRODUCT((PayEmp=$C36)*(PayDate&lt;=$AC36)*(OFFSET($N$6,1,MATCH(AV$5,PayDedList,0)-1,PayCount,1)))/$AA36*12*AV$3,IF(OR(AV$1="Fixed",AV$1="Not Used"),SUMPRODUCT((PayEmp=$C36)*(PayDate&lt;=$AC36)*(OFFSET($N$6,1,MATCH(AV$5,PayDedList,0)-1,PayCount,1)))/$AA36*12*AV$3,IF(ISNA(MATCH(OFFSET($N$2,0,MATCH(AV$5,PayDedList,0)-1,1,1),EarnListItem,0))=FALSE,SUMPRODUCT((PayEmp=$C36)*(PayDate&lt;=$AC36)*(OFFSET($N$6,1,MATCH(AV$5,PayDedList,0)-1,PayCount,1)))/$AA36*12*AV$3,(MIN(SUMPRODUCT((PayEmp=$C36)*(PayDate&lt;=$AC36)*(ISERROR(SEARCH(PayEarnCode,AV$2)))*(PayEarnType="Monthly")*(PayEarnValues))/$AA36*12,IF(ISNUMBER(OFFSET($N$3,0,MATCH(AV$5,PayDedList,0)-1,1,1)),OFFSET($N$3,0,MATCH(AV$5,PayDedList,0)-1,1,1),IgnoreMin)))*IF(COUNTIFS(EmpNo,$C36,OFFSET(Emp!$R$4,1,MATCH(AV$5,DedListItem,0)-1,EmpCount,1),"&lt;&gt;")&gt;0,VLOOKUP($C36,EmpAll,COLUMN(Emp!$R$4)+MATCH(AV$5,DedListItem,0)-1,0),OFFSET(Setup!$E$73,MATCH(AV$5,DedListItem,0),0,1,1))*AV$3))),IF(ISNUMBER(AV$4),AV$4,IgnoreMin)))))</f>
        <v>0</v>
      </c>
      <c r="AW36" s="148" cm="1">
        <f t="array" aca="1" ref="AW36" ca="1">-IF($F36="Terminated",0,IF($AA36=0,0,IF(ISNA(MATCH(AW$5,PayDedList,0)),0,MIN(IF(COUNTIFS(OverEmp,$C36,OverDeduct,AW$5,OverDate,"&lt;"&amp;DATE(YEAR($AC36),MONTH($AC36)+1,1),OverEnd,"&gt;="&amp;DATE(YEAR($AC36),MONTH($AC36),1))&gt;0,SUMPRODUCT((PayEmp=$C36)*(PayDate&lt;=$AC36)*(OFFSET($N$6,1,MATCH(AW$5,PayDedList,0)-1,PayCount,1)))/$AA36*12*AW$3,IF(OR(AW$1="Fixed",AW$1="Not Used"),SUMPRODUCT((PayEmp=$C36)*(PayDate&lt;=$AC36)*(OFFSET($N$6,1,MATCH(AW$5,PayDedList,0)-1,PayCount,1)))/$AA36*12*AW$3,IF(ISNA(MATCH(OFFSET($N$2,0,MATCH(AW$5,PayDedList,0)-1,1,1),EarnListItem,0))=FALSE,SUMPRODUCT((PayEmp=$C36)*(PayDate&lt;=$AC36)*(OFFSET($N$6,1,MATCH(AW$5,PayDedList,0)-1,PayCount,1)))/$AA36*12*AW$3,(MIN(SUMPRODUCT((PayEmp=$C36)*(PayDate&lt;=$AC36)*(ISERROR(SEARCH(PayEarnCode,AW$2)))*(PayEarnType="Monthly")*(PayEarnValues))/$AA36*12,IF(ISNUMBER(OFFSET($N$3,0,MATCH(AW$5,PayDedList,0)-1,1,1)),OFFSET($N$3,0,MATCH(AW$5,PayDedList,0)-1,1,1),IgnoreMin)))*IF(COUNTIFS(EmpNo,$C36,OFFSET(Emp!$R$4,1,MATCH(AW$5,DedListItem,0)-1,EmpCount,1),"&lt;&gt;")&gt;0,VLOOKUP($C36,EmpAll,COLUMN(Emp!$R$4)+MATCH(AW$5,DedListItem,0)-1,0),OFFSET(Setup!$E$73,MATCH(AW$5,DedListItem,0),0,1,1))*AW$3))),IF(ISNUMBER(AW$4),AW$4,IgnoreMin)))))</f>
        <v>0</v>
      </c>
      <c r="AX36" s="148">
        <f t="shared" ca="1" si="12"/>
        <v>0</v>
      </c>
      <c r="AY36" s="148">
        <f t="shared" ca="1" si="13"/>
        <v>0</v>
      </c>
      <c r="AZ36" s="148">
        <f ca="1">IF(ISNUMBER($AL36),($AR36*$AL36)-$AI36-$AK36,MAX(0,IF($AL36="B",IF($AR36&lt;Setup!$C$32,($AR36*Setup!$D$32)-$AI36-$AK36,(($AR36-VLOOKUP($AR36,TaxAll2,1,1))*OFFSET(Setup!$D$32,MATCH($AR36,TaxBracket2,1),0,1,1))+OFFSET(Setup!$E$31,MATCH($AR36,TaxBracket2,1),0,1,1)-$AI36-$AK36),IF($AR36&lt;Setup!$C$21,($AR36*Setup!$D$21)-$AI36-$AK36,(($AR36-VLOOKUP($AR36,TaxAll1,1,1))*OFFSET(Setup!$D$21,MATCH($AR36,TaxBracket1,1),0,1,1))+OFFSET(Setup!$E$20,MATCH($AR36,TaxBracket1,1),0,1,1)-$AI36-$AK36))))</f>
        <v>0</v>
      </c>
      <c r="BA36" s="148">
        <f ca="1">IF(ISNUMBER($AL36),($AX36*$AL36)-$AI36-$AK36,MAX(0,IF($AL36="B",IF($AX36&lt;Setup!$C$32,($AX36*Setup!$D$32)-$AI36-$AK36,(($AX36-VLOOKUP($AX36,TaxAll2,1,1))*OFFSET(Setup!$D$32,MATCH($AX36,TaxBracket2,1),0,1,1))+OFFSET(Setup!$E$31,MATCH($AX36,TaxBracket2,1),0,1,1)-$AI36-$AK36),IF($AX36&lt;Setup!$C$21,($AX36*Setup!$D$21)-$AI36-$AK36,(($AX36-VLOOKUP($AX36,TaxAll1,1,1))*OFFSET(Setup!$D$21,MATCH($AX36,TaxBracket1,1),0,1,1))+OFFSET(Setup!$E$20,MATCH($AX36,TaxBracket1,1),0,1,1)-$AI36-$AK36))))</f>
        <v>0</v>
      </c>
      <c r="BB36" s="148">
        <f t="shared" ca="1" si="14"/>
        <v>0</v>
      </c>
      <c r="BC36" s="150">
        <f t="shared" ca="1" si="15"/>
        <v>0</v>
      </c>
      <c r="BD36" s="150">
        <f t="shared" ca="1" si="16"/>
        <v>0</v>
      </c>
      <c r="BE36" s="148">
        <f t="shared" ca="1" si="17"/>
        <v>0</v>
      </c>
    </row>
    <row r="37" spans="1:57" ht="16.149999999999999" customHeight="1" x14ac:dyDescent="0.25">
      <c r="A37" s="10" t="str" cm="1">
        <f t="array" aca="1" ref="A37" ca="1">IF(ROW($A37)-ROW($A$6)&gt;EmpCount*12,"-",TEXT($B37,"yyyy")&amp;TEXT($B37,"mm")&amp;"-"&amp;$C37)</f>
        <v>202305-EXS001</v>
      </c>
      <c r="B37" s="137" cm="1">
        <f t="array" aca="1" ref="B37" ca="1">IF(ROW($A37)-ROW($A$6)&gt;EmpCount*12,Setup!$D$12,DATE(YEAR(Setup!$F$12),MONTH(Setup!$F$12)+ROUNDDOWN((ROW($A37)-ROW($A$6)-1)/EmpCount,0),IF(Setup!$C$14&gt;DAY(DATE(YEAR(Setup!$F$12),MONTH(Setup!$F$12)+ROUNDDOWN((ROW($A37)-ROW($A$6)-1)/EmpCount,0)+1,0)),DAY(DATE(YEAR(Setup!$F$12),MONTH(Setup!$F$12)+ROUNDDOWN((ROW($A37)-ROW($A$6)-1)/EmpCount,0)+1,0)),Setup!$C$14)))</f>
        <v>45071</v>
      </c>
      <c r="C37" s="101" t="str" cm="1">
        <f t="array" aca="1" ref="C37" ca="1">IF(ROW($A37)-ROW($A$6)&gt;EmpCount*12,"-",OFFSET(Emp!$A$4,ROW($A37)-ROW($A$6)-IF(ROW($A37)-ROW($A$6)&gt;EmpCount,ROUNDDOWN((ROW($A37)-ROW($A$6)-1)/EmpCount,0)*EmpCount,0),0,1,1))</f>
        <v>EXS001</v>
      </c>
      <c r="D37" s="10" t="str">
        <f ca="1">IF(ISNA(VLOOKUP($C37,EmpAll,COLUMN(Emp!$B$4),0)),"-",VLOOKUP($C37,EmpAll,COLUMN(Emp!$B$4),0))</f>
        <v>Taylor AE</v>
      </c>
      <c r="E37" s="145" t="str">
        <f ca="1">IF(ISNA(VLOOKUP($C37,EmpAll,COLUMN(Emp!$C$4),0)),"-",VLOOKUP($C37,EmpAll,COLUMN(Emp!$C$4),0))</f>
        <v>M</v>
      </c>
      <c r="F37" s="101" t="str">
        <f ca="1">IF(ISNA(VLOOKUP($C37,EmpAll,COLUMN(Emp!$A$4),0)),"-",IF(AND(VLOOKUP($C37,EmpAll,COLUMN(Emp!$E$4),0)&lt;&gt;0,VLOOKUP($C37,EmpAll,COLUMN(Emp!$E$4),0)&gt;=DATE(YEAR($AC37),MONTH($AC37)+1,0)),"Inactive",IF(AND(VLOOKUP($C37,EmpAll,COLUMN(Emp!$F$4),0)&lt;&gt;0,VLOOKUP($C37,EmpAll,COLUMN(Emp!$F$4),0)&lt;=DATE(YEAR($AC37),MONTH($AC37),0)),"Terminated","Active")))</f>
        <v>Active</v>
      </c>
      <c r="G37" s="133" cm="1">
        <f t="array" aca="1" ref="G37" ca="1">IF($F37&lt;&gt;"Active",0,IF(COUNTIFS(OverEmp,$C37,OverEarn,G$2,OverDate,"&lt;"&amp;DATE(YEAR($AC37),MONTH($AC37)+1,1),OverEnd,"&gt;="&amp;DATE(YEAR($AC37),MONTH($AC37),1))&gt;0,SUMIFS(OverValue,OverEmp,$C37,OverEarn,G$2,OverDate,"&lt;"&amp;DATE(YEAR($AC37),MONTH($AC37)+1,1),OverEnd,"&gt;="&amp;DATE(YEAR($AC37),MONTH($AC37),1)),IF(AND($AC37&gt;=Setup!$E$10,SUMIFS(EmpIncrease,EmpCode,$C37)&gt;0),SUMIFS(EmpIncrease,EmpCode,$C37),SUMIFS(EmpSalary,EmpCode,$C37))))</f>
        <v>150000</v>
      </c>
      <c r="H37" s="133" cm="1">
        <f t="array" aca="1" ref="H37" ca="1">IF($F37&lt;&gt;"Active",0,IF(COUNTIFS(OverEmp,$C37,OverEarn,H$2,OverDate,"&lt;"&amp;DATE(YEAR($AC37),MONTH($AC37)+1,1),OverEnd,"&gt;="&amp;DATE(YEAR($AC37),MONTH($AC37),1))&gt;0,SUMIFS(OverValue,OverEmp,$C37,OverEarn,H$2,OverDate,"&lt;"&amp;DATE(YEAR($AC37),MONTH($AC37)+1,1),OverEnd,"&gt;="&amp;DATE(YEAR($AC37),MONTH($AC37),1)),0))</f>
        <v>0</v>
      </c>
      <c r="I37" s="133" cm="1">
        <f t="array" aca="1" ref="I37" ca="1">IF($F37&lt;&gt;"Active",0,IF(COUNTIFS(OverEmp,$C37,OverEarn,I$2,OverDate,"&lt;"&amp;DATE(YEAR($AC37),MONTH($AC37)+1,1),OverEnd,"&gt;="&amp;DATE(YEAR($AC37),MONTH($AC37),1))&gt;0,SUMIFS(OverValue,OverEmp,$C37,OverEarn,I$2,OverDate,"&lt;"&amp;DATE(YEAR($AC37),MONTH($AC37)+1,1),OverEnd,"&gt;="&amp;DATE(YEAR($AC37),MONTH($AC37),1)),IF(MONTH(B37)=Setup!$C$15,SUMIFS(EmpBonus,EmpCode,$C37),0)))</f>
        <v>0</v>
      </c>
      <c r="J37" s="133" cm="1">
        <f t="array" aca="1" ref="J37" ca="1">IF($F37&lt;&gt;"Active",0,IF(COUNTIFS(OverEmp,$C37,OverEarn,J$2,OverDate,"&lt;"&amp;DATE(YEAR($AC37),MONTH($AC37)+1,1),OverEnd,"&gt;="&amp;DATE(YEAR($AC37),MONTH($AC37),1))&gt;0,SUMIFS(OverValue,OverEmp,$C37,OverEarn,J$2,OverDate,"&lt;"&amp;DATE(YEAR($AC37),MONTH($AC37)+1,1),OverEnd,"&gt;="&amp;DATE(YEAR($AC37),MONTH($AC37),1)),0))</f>
        <v>0</v>
      </c>
      <c r="K37" s="133" cm="1">
        <f t="array" aca="1" ref="K37" ca="1">IF($F37&lt;&gt;"Active",0,IF(COUNTIFS(OverEmp,$C37,OverEarn,K$2,OverDate,"&lt;"&amp;DATE(YEAR($AC37),MONTH($AC37)+1,1),OverEnd,"&gt;="&amp;DATE(YEAR($AC37),MONTH($AC37),1))&gt;0,SUMIFS(OverValue,OverEmp,$C37,OverEarn,K$2,OverDate,"&lt;"&amp;DATE(YEAR($AC37),MONTH($AC37)+1,1),OverEnd,"&gt;="&amp;DATE(YEAR($AC37),MONTH($AC37),1)),0))</f>
        <v>0</v>
      </c>
      <c r="L37" s="185">
        <f t="shared" ca="1" si="0"/>
        <v>150000</v>
      </c>
      <c r="M37" s="182" cm="1">
        <f t="array" aca="1" ref="M37" ca="1">IF(COUNTIFS(OverEmp,$C37,OverTax,M$5,OverDate,"&lt;"&amp;DATE(YEAR($AC37),MONTH($AC37)+1,1),OverEnd,"&gt;="&amp;DATE(YEAR($AC37),MONTH($AC37),1))&gt;0,SUMIFS(OverValue,OverEmp,$C37,OverTax,M$5,OverDate,"&lt;"&amp;DATE(YEAR($AC37),MONTH($AC37)+1,1),OverEnd,"&gt;="&amp;DATE(YEAR($AC37),MONTH($AC37),1)),(($BA37/12*$AA37)+(BB37*IF(1-$BC37=0,0,BD37/(1-$BC37))))-IF($F37="Terminated",0,SUMIFS(PayTaxDeduct,PayDate,"&lt;"&amp;$AC37,PayEmp,$C37)))</f>
        <v>45611.833333333328</v>
      </c>
      <c r="N37" s="133" cm="1">
        <f t="array" aca="1" ref="N37" ca="1">IF($F37="Terminated",0,IF($AA37=0,0,IF(ISNA(MATCH(N$5,DedListItem,0)),0,IF(COUNTIFS(OverEmp,$C37,OverDeduct,N$5,OverDate,"&lt;"&amp;DATE(YEAR($AC37),MONTH($AC37)+1,1),OverEnd,"&gt;="&amp;DATE(YEAR($AC37),MONTH($AC37),1))&gt;0,SUMIFS(OverValue,OverEmp,$C37,OverDeduct,N$5,OverDate,"&lt;"&amp;DATE(YEAR($AC37),MONTH($AC37)+1,1),OverEnd,"&gt;="&amp;DATE(YEAR($AC37),MONTH($AC37),1)),IF(OR(N$2="Fixed",N$2="Not Used"),(IF(COUNTIFS(EmpNo,$C37,OFFSET(Emp!$R$4,1,MATCH(N$5,DedListItem,0)-1,EmpCount,1),"&lt;&gt;")&gt;0,VLOOKUP($C37,EmpAll,COLUMN(Emp!$R$4)+MATCH(N$5,DedListItem,0)-1,0),OFFSET(Setup!$E$73,MATCH(N$5,DedListItem,0),0,1,1))*$AA37)-SUMIFS(OFFSET(N$6,1,0,PayCount,1),PayDate,"&lt;"&amp;$AC37,PayEmp,$C37),IF(ISNA(MATCH(N$2,EarnListItem,0))=FALSE,IF(OFFSET(Setup!$G$73,MATCH(N$5,DedListItem,0),0,1,1)="Taxable",SUMPRODUCT((PayEmp=$C37)*(PayDate&lt;=$AC37)*(PayEarnCode=N$2)*(PayEarnTax)*(PayEarnValues)),SUMPRODUCT((PayEmp=$C37)*(PayDate&lt;=$AC37)*(PayEarnCode=N$2)*(PayEarnValues)))*IF(COUNTIFS(EmpNo,$C37,OFFSET(Emp!$R$4,1,MATCH(N$5,DedListItem,0)-1,EmpCount,1),"&lt;&gt;")&gt;0,VLOOKUP($C37,EmpAll,COLUMN(Emp!$R$4)+MATCH(N$5,DedListItem,0)-1,0),OFFSET(Setup!$E$73,MATCH(N$5,DedListItem,0),0,1,1)),(MIN(IF(OFFSET(Setup!$G$73,MATCH(N$5,DedListItem,0),0,1,1)="Taxable",SUMPRODUCT((PayEmp=$C37)*(PayDate&lt;=$AC37)*(ISERROR(SEARCH(PayEarnCode,N$4)))*(PayEarnTax)*(PayEarnValues)),SUMPRODUCT((PayEmp=$C37)*(PayDate&lt;=$AC37)*(ISERROR(SEARCH(PayEarnCode,N$4)))*(PayEarnValues))),IF(ISNUMBER(N$3),N$3/12*$AA37,IgnoreMin)))*IF(COUNTIFS(EmpNo,$C37,OFFSET(Emp!$R$4,1,MATCH(N$5,DedListItem,0)-1,EmpCount,1),"&lt;&gt;")&gt;0,VLOOKUP($C37,EmpAll,COLUMN(Emp!$R$4)+MATCH(N$5,DedListItem,0)-1,0),OFFSET(Setup!$E$73,MATCH(N$5,DedListItem,0),0,1,1)))-SUMIFS(OFFSET(N$6,1,0,PayCount,1),PayDate,"&lt;"&amp;$AC37,PayEmp,$C37))))))</f>
        <v>177.12</v>
      </c>
      <c r="O37" s="133" cm="1">
        <f t="array" aca="1" ref="O37" ca="1">IF($F37="Terminated",0,IF($AA37=0,0,IF(ISNA(MATCH(O$5,DedListItem,0)),0,IF(COUNTIFS(OverEmp,$C37,OverDeduct,O$5,OverDate,"&lt;"&amp;DATE(YEAR($AC37),MONTH($AC37)+1,1),OverEnd,"&gt;="&amp;DATE(YEAR($AC37),MONTH($AC37),1))&gt;0,SUMIFS(OverValue,OverEmp,$C37,OverDeduct,O$5,OverDate,"&lt;"&amp;DATE(YEAR($AC37),MONTH($AC37)+1,1),OverEnd,"&gt;="&amp;DATE(YEAR($AC37),MONTH($AC37),1)),IF(OR(O$2="Fixed",O$2="Not Used"),(IF(COUNTIFS(EmpNo,$C37,OFFSET(Emp!$R$4,1,MATCH(O$5,DedListItem,0)-1,EmpCount,1),"&lt;&gt;")&gt;0,VLOOKUP($C37,EmpAll,COLUMN(Emp!$R$4)+MATCH(O$5,DedListItem,0)-1,0),OFFSET(Setup!$E$73,MATCH(O$5,DedListItem,0),0,1,1))*$AA37)-SUMIFS(OFFSET(O$6,1,0,PayCount,1),PayDate,"&lt;"&amp;$AC37,PayEmp,$C37),IF(ISNA(MATCH(O$2,EarnListItem,0))=FALSE,IF(OFFSET(Setup!$G$73,MATCH(O$5,DedListItem,0),0,1,1)="Taxable",SUMPRODUCT((PayEmp=$C37)*(PayDate&lt;=$AC37)*(PayEarnCode=O$2)*(PayEarnTax)*(PayEarnValues)),SUMPRODUCT((PayEmp=$C37)*(PayDate&lt;=$AC37)*(PayEarnCode=O$2)*(PayEarnValues)))*IF(COUNTIFS(EmpNo,$C37,OFFSET(Emp!$R$4,1,MATCH(O$5,DedListItem,0)-1,EmpCount,1),"&lt;&gt;")&gt;0,VLOOKUP($C37,EmpAll,COLUMN(Emp!$R$4)+MATCH(O$5,DedListItem,0)-1,0),OFFSET(Setup!$E$73,MATCH(O$5,DedListItem,0),0,1,1)),(MIN(IF(OFFSET(Setup!$G$73,MATCH(O$5,DedListItem,0),0,1,1)="Taxable",SUMPRODUCT((PayEmp=$C37)*(PayDate&lt;=$AC37)*(ISERROR(SEARCH(PayEarnCode,O$4)))*(PayEarnTax)*(PayEarnValues)),SUMPRODUCT((PayEmp=$C37)*(PayDate&lt;=$AC37)*(ISERROR(SEARCH(PayEarnCode,O$4)))*(PayEarnValues))),IF(ISNUMBER(O$3),O$3/12*$AA37,IgnoreMin)))*IF(COUNTIFS(EmpNo,$C37,OFFSET(Emp!$R$4,1,MATCH(O$5,DedListItem,0)-1,EmpCount,1),"&lt;&gt;")&gt;0,VLOOKUP($C37,EmpAll,COLUMN(Emp!$R$4)+MATCH(O$5,DedListItem,0)-1,0),OFFSET(Setup!$E$73,MATCH(O$5,DedListItem,0),0,1,1)))-SUMIFS(OFFSET(O$6,1,0,PayCount,1),PayDate,"&lt;"&amp;$AC37,PayEmp,$C37))))))</f>
        <v>11250</v>
      </c>
      <c r="P37" s="133" cm="1">
        <f t="array" aca="1" ref="P37" ca="1">IF($F37="Terminated",0,IF($AA37=0,0,IF(ISNA(MATCH(P$5,DedListItem,0)),0,IF(COUNTIFS(OverEmp,$C37,OverDeduct,P$5,OverDate,"&lt;"&amp;DATE(YEAR($AC37),MONTH($AC37)+1,1),OverEnd,"&gt;="&amp;DATE(YEAR($AC37),MONTH($AC37),1))&gt;0,SUMIFS(OverValue,OverEmp,$C37,OverDeduct,P$5,OverDate,"&lt;"&amp;DATE(YEAR($AC37),MONTH($AC37)+1,1),OverEnd,"&gt;="&amp;DATE(YEAR($AC37),MONTH($AC37),1)),IF(OR(P$2="Fixed",P$2="Not Used"),(IF(COUNTIFS(EmpNo,$C37,OFFSET(Emp!$R$4,1,MATCH(P$5,DedListItem,0)-1,EmpCount,1),"&lt;&gt;")&gt;0,VLOOKUP($C37,EmpAll,COLUMN(Emp!$R$4)+MATCH(P$5,DedListItem,0)-1,0),OFFSET(Setup!$E$73,MATCH(P$5,DedListItem,0),0,1,1))*$AA37)-SUMIFS(OFFSET(P$6,1,0,PayCount,1),PayDate,"&lt;"&amp;$AC37,PayEmp,$C37),IF(ISNA(MATCH(P$2,EarnListItem,0))=FALSE,IF(OFFSET(Setup!$G$73,MATCH(P$5,DedListItem,0),0,1,1)="Taxable",SUMPRODUCT((PayEmp=$C37)*(PayDate&lt;=$AC37)*(PayEarnCode=P$2)*(PayEarnTax)*(PayEarnValues)),SUMPRODUCT((PayEmp=$C37)*(PayDate&lt;=$AC37)*(PayEarnCode=P$2)*(PayEarnValues)))*IF(COUNTIFS(EmpNo,$C37,OFFSET(Emp!$R$4,1,MATCH(P$5,DedListItem,0)-1,EmpCount,1),"&lt;&gt;")&gt;0,VLOOKUP($C37,EmpAll,COLUMN(Emp!$R$4)+MATCH(P$5,DedListItem,0)-1,0),OFFSET(Setup!$E$73,MATCH(P$5,DedListItem,0),0,1,1)),(MIN(IF(OFFSET(Setup!$G$73,MATCH(P$5,DedListItem,0),0,1,1)="Taxable",SUMPRODUCT((PayEmp=$C37)*(PayDate&lt;=$AC37)*(ISERROR(SEARCH(PayEarnCode,P$4)))*(PayEarnTax)*(PayEarnValues)),SUMPRODUCT((PayEmp=$C37)*(PayDate&lt;=$AC37)*(ISERROR(SEARCH(PayEarnCode,P$4)))*(PayEarnValues))),IF(ISNUMBER(P$3),P$3/12*$AA37,IgnoreMin)))*IF(COUNTIFS(EmpNo,$C37,OFFSET(Emp!$R$4,1,MATCH(P$5,DedListItem,0)-1,EmpCount,1),"&lt;&gt;")&gt;0,VLOOKUP($C37,EmpAll,COLUMN(Emp!$R$4)+MATCH(P$5,DedListItem,0)-1,0),OFFSET(Setup!$E$73,MATCH(P$5,DedListItem,0),0,1,1)))-SUMIFS(OFFSET(P$6,1,0,PayCount,1),PayDate,"&lt;"&amp;$AC37,PayEmp,$C37))))))</f>
        <v>0</v>
      </c>
      <c r="Q37" s="133" cm="1">
        <f t="array" aca="1" ref="Q37" ca="1">IF($F37="Terminated",0,IF($AA37=0,0,IF(ISNA(MATCH(Q$5,DedListItem,0)),0,IF(COUNTIFS(OverEmp,$C37,OverDeduct,Q$5,OverDate,"&lt;"&amp;DATE(YEAR($AC37),MONTH($AC37)+1,1),OverEnd,"&gt;="&amp;DATE(YEAR($AC37),MONTH($AC37),1))&gt;0,SUMIFS(OverValue,OverEmp,$C37,OverDeduct,Q$5,OverDate,"&lt;"&amp;DATE(YEAR($AC37),MONTH($AC37)+1,1),OverEnd,"&gt;="&amp;DATE(YEAR($AC37),MONTH($AC37),1)),IF(OR(Q$2="Fixed",Q$2="Not Used"),(IF(COUNTIFS(EmpNo,$C37,OFFSET(Emp!$R$4,1,MATCH(Q$5,DedListItem,0)-1,EmpCount,1),"&lt;&gt;")&gt;0,VLOOKUP($C37,EmpAll,COLUMN(Emp!$R$4)+MATCH(Q$5,DedListItem,0)-1,0),OFFSET(Setup!$E$73,MATCH(Q$5,DedListItem,0),0,1,1))*$AA37)-SUMIFS(OFFSET(Q$6,1,0,PayCount,1),PayDate,"&lt;"&amp;$AC37,PayEmp,$C37),IF(ISNA(MATCH(Q$2,EarnListItem,0))=FALSE,IF(OFFSET(Setup!$G$73,MATCH(Q$5,DedListItem,0),0,1,1)="Taxable",SUMPRODUCT((PayEmp=$C37)*(PayDate&lt;=$AC37)*(PayEarnCode=Q$2)*(PayEarnTax)*(PayEarnValues)),SUMPRODUCT((PayEmp=$C37)*(PayDate&lt;=$AC37)*(PayEarnCode=Q$2)*(PayEarnValues)))*IF(COUNTIFS(EmpNo,$C37,OFFSET(Emp!$R$4,1,MATCH(Q$5,DedListItem,0)-1,EmpCount,1),"&lt;&gt;")&gt;0,VLOOKUP($C37,EmpAll,COLUMN(Emp!$R$4)+MATCH(Q$5,DedListItem,0)-1,0),OFFSET(Setup!$E$73,MATCH(Q$5,DedListItem,0),0,1,1)),(MIN(IF(OFFSET(Setup!$G$73,MATCH(Q$5,DedListItem,0),0,1,1)="Taxable",SUMPRODUCT((PayEmp=$C37)*(PayDate&lt;=$AC37)*(ISERROR(SEARCH(PayEarnCode,Q$4)))*(PayEarnTax)*(PayEarnValues)),SUMPRODUCT((PayEmp=$C37)*(PayDate&lt;=$AC37)*(ISERROR(SEARCH(PayEarnCode,Q$4)))*(PayEarnValues))),IF(ISNUMBER(Q$3),Q$3/12*$AA37,IgnoreMin)))*IF(COUNTIFS(EmpNo,$C37,OFFSET(Emp!$R$4,1,MATCH(Q$5,DedListItem,0)-1,EmpCount,1),"&lt;&gt;")&gt;0,VLOOKUP($C37,EmpAll,COLUMN(Emp!$R$4)+MATCH(Q$5,DedListItem,0)-1,0),OFFSET(Setup!$E$73,MATCH(Q$5,DedListItem,0),0,1,1)))-SUMIFS(OFFSET(Q$6,1,0,PayCount,1),PayDate,"&lt;"&amp;$AC37,PayEmp,$C37))))))</f>
        <v>0</v>
      </c>
      <c r="R37" s="185">
        <f t="shared" ca="1" si="1"/>
        <v>57038.953333333331</v>
      </c>
      <c r="S37" s="139">
        <f t="shared" ca="1" si="2"/>
        <v>92961.05</v>
      </c>
      <c r="T37" s="133" cm="1">
        <f t="array" aca="1" ref="T37" ca="1">IF($F37="Terminated",0,IF($AA37=0,0,IF(ISNA(MATCH(T$5,CompListItem,0)),0,IF(COUNTIFS(OverEmp,$C37,OverComp,T$5,OverDate,"&lt;"&amp;DATE(YEAR($AC37),MONTH($AC37)+1,1),OverEnd,"&gt;="&amp;DATE(YEAR($AC37),MONTH($AC37),1))&gt;0,SUMIFS(OverValue,OverEmp,$C37,OverComp,T$5,OverDate,"&lt;"&amp;DATE(YEAR($AC37),MONTH($AC37)+1,1),OverEnd,"&gt;="&amp;DATE(YEAR($AC37),MONTH($AC37),1)),IF(OR(T$2="Fixed",T$2="Not Used"),(OFFSET(Setup!$E$81,MATCH(T$5,CompListItem,0),0,1,1)*$AA37)-SUMIFS(OFFSET(T$6,1,0,PayCount,1),PayDate,"&lt;"&amp;$AC37,PayEmp,$C37),IF(ISNA(MATCH(T$2,DedListItem,0))=FALSE,(SUMPRODUCT((PayEmp=$C37)*(PayDate&lt;=$AC37)*(PayDedList=T$2)*(PayDedValues))*OFFSET(Setup!$E$81,MATCH(T$5,CompListItem,0),0,1,1))-SUMIFS(OFFSET(T$6,1,0,PayCount,1),PayDate,"&lt;"&amp;$AC37,PayEmp,$C37),(MIN(IF(OFFSET(Setup!$G$81,MATCH(T$5,CompListItem,0),0,1,1)="Taxable",SUMPRODUCT((PayEmp=$C37)*(PayDate&lt;=$AC37)*(ISERROR(SEARCH(PayEarnCode,T$4)))*(PayEarnTax)*(PayEarnValues)),SUMPRODUCT((PayEmp=$C37)*(PayDate&lt;=$AC37)*(ISERROR(SEARCH(PayEarnCode,T$4)))*(PayEarnValues))),IF(ISNUMBER(T$3),T$3/12*$AA37,IgnoreMin)))*OFFSET(Setup!$E$81,MATCH(T$5,CompListItem,0),0,1,1)-SUMIFS(OFFSET(T$6,1,0,PayCount,1),PayDate,"&lt;"&amp;$AC37,PayEmp,$C37)))))))</f>
        <v>177.12</v>
      </c>
      <c r="U37" s="133" cm="1">
        <f t="array" aca="1" ref="U37" ca="1">IF($F37="Terminated",0,IF($AA37=0,0,IF(ISNA(MATCH(U$5,CompListItem,0)),0,IF(COUNTIFS(OverEmp,$C37,OverComp,U$5,OverDate,"&lt;"&amp;DATE(YEAR($AC37),MONTH($AC37)+1,1),OverEnd,"&gt;="&amp;DATE(YEAR($AC37),MONTH($AC37),1))&gt;0,SUMIFS(OverValue,OverEmp,$C37,OverComp,U$5,OverDate,"&lt;"&amp;DATE(YEAR($AC37),MONTH($AC37)+1,1),OverEnd,"&gt;="&amp;DATE(YEAR($AC37),MONTH($AC37),1)),IF(OR(U$2="Fixed",U$2="Not Used"),(OFFSET(Setup!$E$81,MATCH(U$5,CompListItem,0),0,1,1)*$AA37)-SUMIFS(OFFSET(U$6,1,0,PayCount,1),PayDate,"&lt;"&amp;$AC37,PayEmp,$C37),IF(ISNA(MATCH(U$2,DedListItem,0))=FALSE,(SUMPRODUCT((PayEmp=$C37)*(PayDate&lt;=$AC37)*(PayDedList=U$2)*(PayDedValues))*OFFSET(Setup!$E$81,MATCH(U$5,CompListItem,0),0,1,1))-SUMIFS(OFFSET(U$6,1,0,PayCount,1),PayDate,"&lt;"&amp;$AC37,PayEmp,$C37),(MIN(IF(OFFSET(Setup!$G$81,MATCH(U$5,CompListItem,0),0,1,1)="Taxable",SUMPRODUCT((PayEmp=$C37)*(PayDate&lt;=$AC37)*(ISERROR(SEARCH(PayEarnCode,U$4)))*(PayEarnTax)*(PayEarnValues)),SUMPRODUCT((PayEmp=$C37)*(PayDate&lt;=$AC37)*(ISERROR(SEARCH(PayEarnCode,U$4)))*(PayEarnValues))),IF(ISNUMBER(U$3),U$3/12*$AA37,IgnoreMin)))*OFFSET(Setup!$E$81,MATCH(U$5,CompListItem,0),0,1,1)-SUMIFS(OFFSET(U$6,1,0,PayCount,1),PayDate,"&lt;"&amp;$AC37,PayEmp,$C37)))))))</f>
        <v>1500</v>
      </c>
      <c r="V37" s="133" cm="1">
        <f t="array" aca="1" ref="V37" ca="1">IF($F37="Terminated",0,IF($AA37=0,0,IF(ISNA(MATCH(V$5,CompListItem,0)),0,IF(COUNTIFS(OverEmp,$C37,OverComp,V$5,OverDate,"&lt;"&amp;DATE(YEAR($AC37),MONTH($AC37)+1,1),OverEnd,"&gt;="&amp;DATE(YEAR($AC37),MONTH($AC37),1))&gt;0,SUMIFS(OverValue,OverEmp,$C37,OverComp,V$5,OverDate,"&lt;"&amp;DATE(YEAR($AC37),MONTH($AC37)+1,1),OverEnd,"&gt;="&amp;DATE(YEAR($AC37),MONTH($AC37),1)),IF(OR(V$2="Fixed",V$2="Not Used"),(OFFSET(Setup!$E$81,MATCH(V$5,CompListItem,0),0,1,1)*$AA37)-SUMIFS(OFFSET(V$6,1,0,PayCount,1),PayDate,"&lt;"&amp;$AC37,PayEmp,$C37),IF(ISNA(MATCH(V$2,DedListItem,0))=FALSE,(SUMPRODUCT((PayEmp=$C37)*(PayDate&lt;=$AC37)*(PayDedList=V$2)*(PayDedValues))*OFFSET(Setup!$E$81,MATCH(V$5,CompListItem,0),0,1,1))-SUMIFS(OFFSET(V$6,1,0,PayCount,1),PayDate,"&lt;"&amp;$AC37,PayEmp,$C37),(MIN(IF(OFFSET(Setup!$G$81,MATCH(V$5,CompListItem,0),0,1,1)="Taxable",SUMPRODUCT((PayEmp=$C37)*(PayDate&lt;=$AC37)*(ISERROR(SEARCH(PayEarnCode,V$4)))*(PayEarnTax)*(PayEarnValues)),SUMPRODUCT((PayEmp=$C37)*(PayDate&lt;=$AC37)*(ISERROR(SEARCH(PayEarnCode,V$4)))*(PayEarnValues))),IF(ISNUMBER(V$3),V$3/12*$AA37,IgnoreMin)))*OFFSET(Setup!$E$81,MATCH(V$5,CompListItem,0),0,1,1)-SUMIFS(OFFSET(V$6,1,0,PayCount,1),PayDate,"&lt;"&amp;$AC37,PayEmp,$C37)))))))</f>
        <v>0</v>
      </c>
      <c r="W37" s="133" cm="1">
        <f t="array" aca="1" ref="W37" ca="1">IF($F37="Terminated",0,IF($AA37=0,0,IF(ISNA(MATCH(W$5,CompListItem,0)),0,IF(COUNTIFS(OverEmp,$C37,OverComp,W$5,OverDate,"&lt;"&amp;DATE(YEAR($AC37),MONTH($AC37)+1,1),OverEnd,"&gt;="&amp;DATE(YEAR($AC37),MONTH($AC37),1))&gt;0,SUMIFS(OverValue,OverEmp,$C37,OverComp,W$5,OverDate,"&lt;"&amp;DATE(YEAR($AC37),MONTH($AC37)+1,1),OverEnd,"&gt;="&amp;DATE(YEAR($AC37),MONTH($AC37),1)),IF(OR(W$2="Fixed",W$2="Not Used"),(OFFSET(Setup!$E$81,MATCH(W$5,CompListItem,0),0,1,1)*$AA37)-SUMIFS(OFFSET(W$6,1,0,PayCount,1),PayDate,"&lt;"&amp;$AC37,PayEmp,$C37),IF(ISNA(MATCH(W$2,DedListItem,0))=FALSE,(SUMPRODUCT((PayEmp=$C37)*(PayDate&lt;=$AC37)*(PayDedList=W$2)*(PayDedValues))*OFFSET(Setup!$E$81,MATCH(W$5,CompListItem,0),0,1,1))-SUMIFS(OFFSET(W$6,1,0,PayCount,1),PayDate,"&lt;"&amp;$AC37,PayEmp,$C37),(MIN(IF(OFFSET(Setup!$G$81,MATCH(W$5,CompListItem,0),0,1,1)="Taxable",SUMPRODUCT((PayEmp=$C37)*(PayDate&lt;=$AC37)*(ISERROR(SEARCH(PayEarnCode,W$4)))*(PayEarnTax)*(PayEarnValues)),SUMPRODUCT((PayEmp=$C37)*(PayDate&lt;=$AC37)*(ISERROR(SEARCH(PayEarnCode,W$4)))*(PayEarnValues))),IF(ISNUMBER(W$3),W$3/12*$AA37,IgnoreMin)))*OFFSET(Setup!$E$81,MATCH(W$5,CompListItem,0),0,1,1)-SUMIFS(OFFSET(W$6,1,0,PayCount,1),PayDate,"&lt;"&amp;$AC37,PayEmp,$C37)))))))</f>
        <v>0</v>
      </c>
      <c r="X37" s="185">
        <f t="shared" ref="X37:X68" ca="1" si="18">SUM(OFFSET($T37,0,0,1,COLUMN($X$6)-COLUMN($T$7)))</f>
        <v>1677.12</v>
      </c>
      <c r="Y37" s="139">
        <f t="shared" ca="1" si="4"/>
        <v>151677.12</v>
      </c>
      <c r="Z37" s="139">
        <f t="shared" ref="Z37:Z68" ca="1" si="19">ROUND(SUM(R37,X37),2)</f>
        <v>58716.07</v>
      </c>
      <c r="AA37" s="146">
        <f ca="1">IF(OR($B37&lt;=Setup!$E$12,$B37&gt;=Setup!$D$12+1),0,IF($F37&lt;&gt;"Active",0,IF($AE37="Yes",$AB37,((YEAR($AC37)*12)+MONTH($AC37))-((YEAR($AD37)*12)+MONTH($AD37)-1))))</f>
        <v>3</v>
      </c>
      <c r="AB37" s="146">
        <f ca="1">IF(OR($B37&lt;=Setup!$E$12,$B37&gt;=Setup!$D$12+1),0,((YEAR($AC37)*12)+MONTH($AC37))-((YEAR(Setup!$E$12)*12)+MONTH(Setup!$E$12)))</f>
        <v>3</v>
      </c>
      <c r="AC37" s="186">
        <f t="shared" ref="AC37:AC68" ca="1" si="20">DATE(YEAR($B37),MONTH($B37),DAY($B37))</f>
        <v>45071</v>
      </c>
      <c r="AD37" s="144">
        <f ca="1">IF(ISNA(VLOOKUP($C37,EmpAll,COLUMN(Emp!$E$4),0)),$AC37,IF(VLOOKUP($C37,EmpAll,COLUMN(Emp!$E$4),0)&lt;=Setup!$E$12,DATE(YEAR(Setup!$E$12),MONTH(Setup!$E$12)+1,1),VLOOKUP($C37,EmpAll,COLUMN(Emp!$E$4),0)))</f>
        <v>44986</v>
      </c>
      <c r="AE37" s="144" t="str">
        <f ca="1">IF(ISNA(VLOOKUP($C37,EmpAll,COLUMN(Emp!$G$1),0)),"-",IF(VLOOKUP($C37,EmpAll,COLUMN(Emp!$G$1),0)=0,"-",VLOOKUP($C37,EmpAll,COLUMN(Emp!$G$1),0)))</f>
        <v>-</v>
      </c>
      <c r="AF37" s="145">
        <f ca="1">IF(A37=PaySlip!$G$3,1,0)</f>
        <v>0</v>
      </c>
      <c r="AG37" s="130" cm="1">
        <f t="array" aca="1" ref="AG37" ca="1">IF(COUNTIFS(OverEmp,$C37,OverMed,"MED",OverDate,"&lt;"&amp;DATE(YEAR($AC37),MONTH($AC37)+1,1),OverEnd,"&gt;="&amp;DATE(YEAR($AC37),MONTH($AC37),1))&gt;0,SUMIFS(OverValue,OverEmp,$C37,OverMed,"MED",OverDate,"&lt;"&amp;DATE(YEAR($AC37),MONTH($AC37)+1,1),OverEnd,"&gt;="&amp;DATE(YEAR($AC37),MONTH($AC37),1)),IF(ISNA(VLOOKUP($C37,EmpAll,COLUMN(Emp!$N$4),0)),0,VLOOKUP($C37,EmpAll,COLUMN(Emp!$N$4),0)))</f>
        <v>5</v>
      </c>
      <c r="AH37" s="146">
        <f ca="1">VLOOKUP($AG37,MedList,COLUMN(Setup!$C$49),1)</f>
        <v>1466</v>
      </c>
      <c r="AI37" s="146">
        <f t="shared" ca="1" si="7"/>
        <v>17592</v>
      </c>
      <c r="AJ37" s="101" t="str">
        <f ca="1">IF(ISNA(VLOOKUP($C37,EmpAll,COLUMN(Emp!$L$4),0)),"None!",VLOOKUP($C37,EmpAll,COLUMN(Emp!$L$4),0))</f>
        <v>A</v>
      </c>
      <c r="AK37" s="147">
        <f t="shared" ref="AK37:AK68" ca="1" si="21">IF(ISNA(VLOOKUP($AJ37,RebateList,4,0)),VLOOKUP("A",RebateList,3,0),VLOOKUP($AJ37,RebateList,4,0))</f>
        <v>17235</v>
      </c>
      <c r="AL37" s="101" t="str">
        <f ca="1">IF(ISNA(VLOOKUP($C37,Employees[],COLUMN(Emp!$M$4),0))=TRUE,"Error!",IF(VLOOKUP($C37,Employees[],COLUMN(Emp!$M$4),0)=0,"Yes",VLOOKUP($C37,Employees[],COLUMN(Emp!$M$4),0)))</f>
        <v>A</v>
      </c>
      <c r="AM37" s="148">
        <f t="shared" ca="1" si="9"/>
        <v>1800000</v>
      </c>
      <c r="AN37" s="148" cm="1">
        <f t="array" aca="1" ref="AN37" ca="1">-IF($F37="Terminated",0,IF($AA37=0,0,IF(ISNA(MATCH(AN$5,PayDedList,0)),0,MIN(IF(COUNTIFS(OverEmp,$C37,OverDeduct,AN$5,OverDate,"&lt;"&amp;DATE(YEAR($AC37),MONTH($AC37)+1,1),OverEnd,"&gt;="&amp;DATE(YEAR($AC37),MONTH($AC37),1))&gt;0,SUMPRODUCT((PayEmp=$C37)*(PayDate&lt;=$AC37)*(OFFSET($N$6,1,MATCH(AN$5,PayDedList,0)-1,PayCount,1)))/$AA37*12*AN$3,IF(OR(AN$1="Fixed",AN$1="Not Used"),SUMPRODUCT((PayEmp=$C37)*(PayDate&lt;=$AC37)*(OFFSET($N$6,1,MATCH(AN$5,PayDedList,0)-1,PayCount,1)))/$AA37*12*AN$3,IF(ISNA(MATCH(AN$1,EarnListItem,0))=FALSE,SUMPRODUCT((PayEmp=$C37)*(PayDate&lt;=$AC37)*(OFFSET($N$6,1,MATCH(AN$5,PayDedList,0)-1,PayCount,1)))/$AA37*12*AN$3,(MIN(((SUMPRODUCT((PayEmp=$C37)*(PayDate&lt;=$AC37)*(ISERROR(SEARCH(PayEarnCode,AN$2)))*(PayEarnType="Monthly")*(PayEarnValues))/$AA37*12)+(SUMPRODUCT((PayEmp=$C37)*(PayDate&lt;=$AC37)*(ISERROR(SEARCH(PayEarnCode,AN$2)))*(PayEarnType="Quarterly")*(PayEarnValues))/MAX(1,ROUNDDOWN($AB37/3,0))*4)+(SUMPRODUCT((PayEmp=$C37)*(PayDate&lt;=$AC37)*(ISERROR(SEARCH(PayEarnCode,AN$2)))*(PayEarnType="Bi-Annual")*(PayEarnValues))/MAX(1,ROUNDDOWN($AB37/6,0))*2)+(SUMPRODUCT((PayEmp=$C37)*(PayDate&lt;=$AC37)*(ISERROR(SEARCH(PayEarnCode,AN$2)))*(PayEarnType="Annual")*(PayEarnValues)))),IF(ISNUMBER(OFFSET($N$3,0,MATCH(AN$5,PayDedList,0)-1,1,1)),OFFSET($N$3,0,MATCH(AN$5,PayDedList,0)-1,1,1),IgnoreMin)))*IF(COUNTIFS(EmpNo,$C37,OFFSET(Emp!$R$4,1,MATCH(AN$5,DedListItem,0)-1,EmpCount,1),"&lt;&gt;")&gt;0,VLOOKUP($C37,EmpAll,COLUMN(Emp!$R$4)+MATCH(AN$5,DedListItem,0)-1,0),OFFSET(Setup!$E$73,MATCH(AN$5,DedListItem,0),0,1,1))*AN$3))),IF(ISNUMBER(AN$4),AN$4,IgnoreMin)))))</f>
        <v>0</v>
      </c>
      <c r="AO37" s="148" cm="1">
        <f t="array" aca="1" ref="AO37" ca="1">-IF($F37="Terminated",0,IF($AA37=0,0,IF(ISNA(MATCH(AO$5,PayDedList,0)),0,MIN(IF(COUNTIFS(OverEmp,$C37,OverDeduct,AO$5,OverDate,"&lt;"&amp;DATE(YEAR($AC37),MONTH($AC37)+1,1),OverEnd,"&gt;="&amp;DATE(YEAR($AC37),MONTH($AC37),1))&gt;0,SUMPRODUCT((PayEmp=$C37)*(PayDate&lt;=$AC37)*(OFFSET($N$6,1,MATCH(AO$5,PayDedList,0)-1,PayCount,1)))/$AA37*12*AO$3,IF(OR(AO$1="Fixed",AO$1="Not Used"),SUMPRODUCT((PayEmp=$C37)*(PayDate&lt;=$AC37)*(OFFSET($N$6,1,MATCH(AO$5,PayDedList,0)-1,PayCount,1)))/$AA37*12*AO$3,IF(ISNA(MATCH(AO$1,EarnListItem,0))=FALSE,SUMPRODUCT((PayEmp=$C37)*(PayDate&lt;=$AC37)*(OFFSET($N$6,1,MATCH(AO$5,PayDedList,0)-1,PayCount,1)))/$AA37*12*AO$3,(MIN(((SUMPRODUCT((PayEmp=$C37)*(PayDate&lt;=$AC37)*(ISERROR(SEARCH(PayEarnCode,AO$2)))*(PayEarnType="Monthly")*(PayEarnValues))/$AA37*12)+(SUMPRODUCT((PayEmp=$C37)*(PayDate&lt;=$AC37)*(ISERROR(SEARCH(PayEarnCode,AO$2)))*(PayEarnType="Quarterly")*(PayEarnValues))/MAX(1,ROUNDDOWN($AB37/3,0))*4)+(SUMPRODUCT((PayEmp=$C37)*(PayDate&lt;=$AC37)*(ISERROR(SEARCH(PayEarnCode,AO$2)))*(PayEarnType="Bi-Annual")*(PayEarnValues))/MAX(1,ROUNDDOWN($AB37/6,0))*2)+(SUMPRODUCT((PayEmp=$C37)*(PayDate&lt;=$AC37)*(ISERROR(SEARCH(PayEarnCode,AO$2)))*(PayEarnType="Annual")*(PayEarnValues)))),IF(ISNUMBER(OFFSET($N$3,0,MATCH(AO$5,PayDedList,0)-1,1,1)),OFFSET($N$3,0,MATCH(AO$5,PayDedList,0)-1,1,1),IgnoreMin)))*IF(COUNTIFS(EmpNo,$C37,OFFSET(Emp!$R$4,1,MATCH(AO$5,DedListItem,0)-1,EmpCount,1),"&lt;&gt;")&gt;0,VLOOKUP($C37,EmpAll,COLUMN(Emp!$R$4)+MATCH(AO$5,DedListItem,0)-1,0),OFFSET(Setup!$E$73,MATCH(AO$5,DedListItem,0),0,1,1))*AO$3))),IF(ISNUMBER(AO$4),AO$4,IgnoreMin)))))</f>
        <v>-135000</v>
      </c>
      <c r="AP37" s="148" cm="1">
        <f t="array" aca="1" ref="AP37" ca="1">-IF($F37="Terminated",0,IF($AA37=0,0,IF(ISNA(MATCH(AP$5,PayDedList,0)),0,MIN(IF(COUNTIFS(OverEmp,$C37,OverDeduct,AP$5,OverDate,"&lt;"&amp;DATE(YEAR($AC37),MONTH($AC37)+1,1),OverEnd,"&gt;="&amp;DATE(YEAR($AC37),MONTH($AC37),1))&gt;0,SUMPRODUCT((PayEmp=$C37)*(PayDate&lt;=$AC37)*(OFFSET($N$6,1,MATCH(AP$5,PayDedList,0)-1,PayCount,1)))/$AA37*12*AP$3,IF(OR(AP$1="Fixed",AP$1="Not Used"),SUMPRODUCT((PayEmp=$C37)*(PayDate&lt;=$AC37)*(OFFSET($N$6,1,MATCH(AP$5,PayDedList,0)-1,PayCount,1)))/$AA37*12*AP$3,IF(ISNA(MATCH(AP$1,EarnListItem,0))=FALSE,SUMPRODUCT((PayEmp=$C37)*(PayDate&lt;=$AC37)*(OFFSET($N$6,1,MATCH(AP$5,PayDedList,0)-1,PayCount,1)))/$AA37*12*AP$3,(MIN(((SUMPRODUCT((PayEmp=$C37)*(PayDate&lt;=$AC37)*(ISERROR(SEARCH(PayEarnCode,AP$2)))*(PayEarnType="Monthly")*(PayEarnValues))/$AA37*12)+(SUMPRODUCT((PayEmp=$C37)*(PayDate&lt;=$AC37)*(ISERROR(SEARCH(PayEarnCode,AP$2)))*(PayEarnType="Quarterly")*(PayEarnValues))/MAX(1,ROUNDDOWN($AB37/3,0))*4)+(SUMPRODUCT((PayEmp=$C37)*(PayDate&lt;=$AC37)*(ISERROR(SEARCH(PayEarnCode,AP$2)))*(PayEarnType="Bi-Annual")*(PayEarnValues))/MAX(1,ROUNDDOWN($AB37/6,0))*2)+(SUMPRODUCT((PayEmp=$C37)*(PayDate&lt;=$AC37)*(ISERROR(SEARCH(PayEarnCode,AP$2)))*(PayEarnType="Annual")*(PayEarnValues)))),IF(ISNUMBER(OFFSET($N$3,0,MATCH(AP$5,PayDedList,0)-1,1,1)),OFFSET($N$3,0,MATCH(AP$5,PayDedList,0)-1,1,1),IgnoreMin)))*IF(COUNTIFS(EmpNo,$C37,OFFSET(Emp!$R$4,1,MATCH(AP$5,DedListItem,0)-1,EmpCount,1),"&lt;&gt;")&gt;0,VLOOKUP($C37,EmpAll,COLUMN(Emp!$R$4)+MATCH(AP$5,DedListItem,0)-1,0),OFFSET(Setup!$E$73,MATCH(AP$5,DedListItem,0),0,1,1))*AP$3))),IF(ISNUMBER(AP$4),AP$4,IgnoreMin)))))</f>
        <v>0</v>
      </c>
      <c r="AQ37" s="148" cm="1">
        <f t="array" aca="1" ref="AQ37" ca="1">-IF($F37="Terminated",0,IF($AA37=0,0,IF(ISNA(MATCH(AQ$5,PayDedList,0)),0,MIN(IF(COUNTIFS(OverEmp,$C37,OverDeduct,AQ$5,OverDate,"&lt;"&amp;DATE(YEAR($AC37),MONTH($AC37)+1,1),OverEnd,"&gt;="&amp;DATE(YEAR($AC37),MONTH($AC37),1))&gt;0,SUMPRODUCT((PayEmp=$C37)*(PayDate&lt;=$AC37)*(OFFSET($N$6,1,MATCH(AQ$5,PayDedList,0)-1,PayCount,1)))/$AA37*12*AQ$3,IF(OR(AQ$1="Fixed",AQ$1="Not Used"),SUMPRODUCT((PayEmp=$C37)*(PayDate&lt;=$AC37)*(OFFSET($N$6,1,MATCH(AQ$5,PayDedList,0)-1,PayCount,1)))/$AA37*12*AQ$3,IF(ISNA(MATCH(AQ$1,EarnListItem,0))=FALSE,SUMPRODUCT((PayEmp=$C37)*(PayDate&lt;=$AC37)*(OFFSET($N$6,1,MATCH(AQ$5,PayDedList,0)-1,PayCount,1)))/$AA37*12*AQ$3,(MIN(((SUMPRODUCT((PayEmp=$C37)*(PayDate&lt;=$AC37)*(ISERROR(SEARCH(PayEarnCode,AQ$2)))*(PayEarnType="Monthly")*(PayEarnValues))/$AA37*12)+(SUMPRODUCT((PayEmp=$C37)*(PayDate&lt;=$AC37)*(ISERROR(SEARCH(PayEarnCode,AQ$2)))*(PayEarnType="Quarterly")*(PayEarnValues))/MAX(1,ROUNDDOWN($AB37/3,0))*4)+(SUMPRODUCT((PayEmp=$C37)*(PayDate&lt;=$AC37)*(ISERROR(SEARCH(PayEarnCode,AQ$2)))*(PayEarnType="Bi-Annual")*(PayEarnValues))/MAX(1,ROUNDDOWN($AB37/6,0))*2)+(SUMPRODUCT((PayEmp=$C37)*(PayDate&lt;=$AC37)*(ISERROR(SEARCH(PayEarnCode,AQ$2)))*(PayEarnType="Annual")*(PayEarnValues)))),IF(ISNUMBER(OFFSET($N$3,0,MATCH(AQ$5,PayDedList,0)-1,1,1)),OFFSET($N$3,0,MATCH(AQ$5,PayDedList,0)-1,1,1),IgnoreMin)))*IF(COUNTIFS(EmpNo,$C37,OFFSET(Emp!$R$4,1,MATCH(AQ$5,DedListItem,0)-1,EmpCount,1),"&lt;&gt;")&gt;0,VLOOKUP($C37,EmpAll,COLUMN(Emp!$R$4)+MATCH(AQ$5,DedListItem,0)-1,0),OFFSET(Setup!$E$73,MATCH(AQ$5,DedListItem,0),0,1,1))*AQ$3))),IF(ISNUMBER(AQ$4),AQ$4,IgnoreMin)))))</f>
        <v>0</v>
      </c>
      <c r="AR37" s="148">
        <f t="shared" ref="AR37:AR68" ca="1" si="22">$AM37+SUM(OFFSET($AM37,0,1,1,COLUMN($AR$2)-COLUMN($AM$2)-1))</f>
        <v>1665000</v>
      </c>
      <c r="AS37" s="148">
        <f t="shared" ca="1" si="11"/>
        <v>1800000</v>
      </c>
      <c r="AT37" s="148" cm="1">
        <f t="array" aca="1" ref="AT37" ca="1">-IF($F37="Terminated",0,IF($AA37=0,0,IF(ISNA(MATCH(AT$5,PayDedList,0)),0,MIN(IF(COUNTIFS(OverEmp,$C37,OverDeduct,AT$5,OverDate,"&lt;"&amp;DATE(YEAR($AC37),MONTH($AC37)+1,1),OverEnd,"&gt;="&amp;DATE(YEAR($AC37),MONTH($AC37),1))&gt;0,SUMPRODUCT((PayEmp=$C37)*(PayDate&lt;=$AC37)*(OFFSET($N$6,1,MATCH(AT$5,PayDedList,0)-1,PayCount,1)))/$AA37*12*AT$3,IF(OR(AT$1="Fixed",AT$1="Not Used"),SUMPRODUCT((PayEmp=$C37)*(PayDate&lt;=$AC37)*(OFFSET($N$6,1,MATCH(AT$5,PayDedList,0)-1,PayCount,1)))/$AA37*12*AT$3,IF(ISNA(MATCH(OFFSET($N$2,0,MATCH(AT$5,PayDedList,0)-1,1,1),EarnListItem,0))=FALSE,SUMPRODUCT((PayEmp=$C37)*(PayDate&lt;=$AC37)*(OFFSET($N$6,1,MATCH(AT$5,PayDedList,0)-1,PayCount,1)))/$AA37*12*AT$3,(MIN(SUMPRODUCT((PayEmp=$C37)*(PayDate&lt;=$AC37)*(ISERROR(SEARCH(PayEarnCode,AT$2)))*(PayEarnType="Monthly")*(PayEarnValues))/$AA37*12,IF(ISNUMBER(OFFSET($N$3,0,MATCH(AT$5,PayDedList,0)-1,1,1)),OFFSET($N$3,0,MATCH(AT$5,PayDedList,0)-1,1,1),IgnoreMin)))*IF(COUNTIFS(EmpNo,$C37,OFFSET(Emp!$R$4,1,MATCH(AT$5,DedListItem,0)-1,EmpCount,1),"&lt;&gt;")&gt;0,VLOOKUP($C37,EmpAll,COLUMN(Emp!$R$4)+MATCH(AT$5,DedListItem,0)-1,0),OFFSET(Setup!$E$73,MATCH(AT$5,DedListItem,0),0,1,1))*AT$3))),IF(ISNUMBER(AT$4),AT$4,IgnoreMin)))))</f>
        <v>0</v>
      </c>
      <c r="AU37" s="148" cm="1">
        <f t="array" aca="1" ref="AU37" ca="1">-IF($F37="Terminated",0,IF($AA37=0,0,IF(ISNA(MATCH(AU$5,PayDedList,0)),0,MIN(IF(COUNTIFS(OverEmp,$C37,OverDeduct,AU$5,OverDate,"&lt;"&amp;DATE(YEAR($AC37),MONTH($AC37)+1,1),OverEnd,"&gt;="&amp;DATE(YEAR($AC37),MONTH($AC37),1))&gt;0,SUMPRODUCT((PayEmp=$C37)*(PayDate&lt;=$AC37)*(OFFSET($N$6,1,MATCH(AU$5,PayDedList,0)-1,PayCount,1)))/$AA37*12*AU$3,IF(OR(AU$1="Fixed",AU$1="Not Used"),SUMPRODUCT((PayEmp=$C37)*(PayDate&lt;=$AC37)*(OFFSET($N$6,1,MATCH(AU$5,PayDedList,0)-1,PayCount,1)))/$AA37*12*AU$3,IF(ISNA(MATCH(OFFSET($N$2,0,MATCH(AU$5,PayDedList,0)-1,1,1),EarnListItem,0))=FALSE,SUMPRODUCT((PayEmp=$C37)*(PayDate&lt;=$AC37)*(OFFSET($N$6,1,MATCH(AU$5,PayDedList,0)-1,PayCount,1)))/$AA37*12*AU$3,(MIN(SUMPRODUCT((PayEmp=$C37)*(PayDate&lt;=$AC37)*(ISERROR(SEARCH(PayEarnCode,AU$2)))*(PayEarnType="Monthly")*(PayEarnValues))/$AA37*12,IF(ISNUMBER(OFFSET($N$3,0,MATCH(AU$5,PayDedList,0)-1,1,1)),OFFSET($N$3,0,MATCH(AU$5,PayDedList,0)-1,1,1),IgnoreMin)))*IF(COUNTIFS(EmpNo,$C37,OFFSET(Emp!$R$4,1,MATCH(AU$5,DedListItem,0)-1,EmpCount,1),"&lt;&gt;")&gt;0,VLOOKUP($C37,EmpAll,COLUMN(Emp!$R$4)+MATCH(AU$5,DedListItem,0)-1,0),OFFSET(Setup!$E$73,MATCH(AU$5,DedListItem,0),0,1,1))*AU$3))),IF(ISNUMBER(AU$4),AU$4,IgnoreMin)))))</f>
        <v>-135000</v>
      </c>
      <c r="AV37" s="148" cm="1">
        <f t="array" aca="1" ref="AV37" ca="1">-IF($F37="Terminated",0,IF($AA37=0,0,IF(ISNA(MATCH(AV$5,PayDedList,0)),0,MIN(IF(COUNTIFS(OverEmp,$C37,OverDeduct,AV$5,OverDate,"&lt;"&amp;DATE(YEAR($AC37),MONTH($AC37)+1,1),OverEnd,"&gt;="&amp;DATE(YEAR($AC37),MONTH($AC37),1))&gt;0,SUMPRODUCT((PayEmp=$C37)*(PayDate&lt;=$AC37)*(OFFSET($N$6,1,MATCH(AV$5,PayDedList,0)-1,PayCount,1)))/$AA37*12*AV$3,IF(OR(AV$1="Fixed",AV$1="Not Used"),SUMPRODUCT((PayEmp=$C37)*(PayDate&lt;=$AC37)*(OFFSET($N$6,1,MATCH(AV$5,PayDedList,0)-1,PayCount,1)))/$AA37*12*AV$3,IF(ISNA(MATCH(OFFSET($N$2,0,MATCH(AV$5,PayDedList,0)-1,1,1),EarnListItem,0))=FALSE,SUMPRODUCT((PayEmp=$C37)*(PayDate&lt;=$AC37)*(OFFSET($N$6,1,MATCH(AV$5,PayDedList,0)-1,PayCount,1)))/$AA37*12*AV$3,(MIN(SUMPRODUCT((PayEmp=$C37)*(PayDate&lt;=$AC37)*(ISERROR(SEARCH(PayEarnCode,AV$2)))*(PayEarnType="Monthly")*(PayEarnValues))/$AA37*12,IF(ISNUMBER(OFFSET($N$3,0,MATCH(AV$5,PayDedList,0)-1,1,1)),OFFSET($N$3,0,MATCH(AV$5,PayDedList,0)-1,1,1),IgnoreMin)))*IF(COUNTIFS(EmpNo,$C37,OFFSET(Emp!$R$4,1,MATCH(AV$5,DedListItem,0)-1,EmpCount,1),"&lt;&gt;")&gt;0,VLOOKUP($C37,EmpAll,COLUMN(Emp!$R$4)+MATCH(AV$5,DedListItem,0)-1,0),OFFSET(Setup!$E$73,MATCH(AV$5,DedListItem,0),0,1,1))*AV$3))),IF(ISNUMBER(AV$4),AV$4,IgnoreMin)))))</f>
        <v>0</v>
      </c>
      <c r="AW37" s="148" cm="1">
        <f t="array" aca="1" ref="AW37" ca="1">-IF($F37="Terminated",0,IF($AA37=0,0,IF(ISNA(MATCH(AW$5,PayDedList,0)),0,MIN(IF(COUNTIFS(OverEmp,$C37,OverDeduct,AW$5,OverDate,"&lt;"&amp;DATE(YEAR($AC37),MONTH($AC37)+1,1),OverEnd,"&gt;="&amp;DATE(YEAR($AC37),MONTH($AC37),1))&gt;0,SUMPRODUCT((PayEmp=$C37)*(PayDate&lt;=$AC37)*(OFFSET($N$6,1,MATCH(AW$5,PayDedList,0)-1,PayCount,1)))/$AA37*12*AW$3,IF(OR(AW$1="Fixed",AW$1="Not Used"),SUMPRODUCT((PayEmp=$C37)*(PayDate&lt;=$AC37)*(OFFSET($N$6,1,MATCH(AW$5,PayDedList,0)-1,PayCount,1)))/$AA37*12*AW$3,IF(ISNA(MATCH(OFFSET($N$2,0,MATCH(AW$5,PayDedList,0)-1,1,1),EarnListItem,0))=FALSE,SUMPRODUCT((PayEmp=$C37)*(PayDate&lt;=$AC37)*(OFFSET($N$6,1,MATCH(AW$5,PayDedList,0)-1,PayCount,1)))/$AA37*12*AW$3,(MIN(SUMPRODUCT((PayEmp=$C37)*(PayDate&lt;=$AC37)*(ISERROR(SEARCH(PayEarnCode,AW$2)))*(PayEarnType="Monthly")*(PayEarnValues))/$AA37*12,IF(ISNUMBER(OFFSET($N$3,0,MATCH(AW$5,PayDedList,0)-1,1,1)),OFFSET($N$3,0,MATCH(AW$5,PayDedList,0)-1,1,1),IgnoreMin)))*IF(COUNTIFS(EmpNo,$C37,OFFSET(Emp!$R$4,1,MATCH(AW$5,DedListItem,0)-1,EmpCount,1),"&lt;&gt;")&gt;0,VLOOKUP($C37,EmpAll,COLUMN(Emp!$R$4)+MATCH(AW$5,DedListItem,0)-1,0),OFFSET(Setup!$E$73,MATCH(AW$5,DedListItem,0),0,1,1))*AW$3))),IF(ISNUMBER(AW$4),AW$4,IgnoreMin)))))</f>
        <v>0</v>
      </c>
      <c r="AX37" s="148">
        <f t="shared" ca="1" si="12"/>
        <v>1665000</v>
      </c>
      <c r="AY37" s="148">
        <f t="shared" ca="1" si="13"/>
        <v>0</v>
      </c>
      <c r="AZ37" s="148">
        <f ca="1">IF(ISNUMBER($AL37),($AR37*$AL37)-$AI37-$AK37,MAX(0,IF($AL37="B",IF($AR37&lt;Setup!$C$32,($AR37*Setup!$D$32)-$AI37-$AK37,(($AR37-VLOOKUP($AR37,TaxAll2,1,1))*OFFSET(Setup!$D$32,MATCH($AR37,TaxBracket2,1),0,1,1))+OFFSET(Setup!$E$31,MATCH($AR37,TaxBracket2,1),0,1,1)-$AI37-$AK37),IF($AR37&lt;Setup!$C$21,($AR37*Setup!$D$21)-$AI37-$AK37,(($AR37-VLOOKUP($AR37,TaxAll1,1,1))*OFFSET(Setup!$D$21,MATCH($AR37,TaxBracket1,1),0,1,1))+OFFSET(Setup!$E$20,MATCH($AR37,TaxBracket1,1),0,1,1)-$AI37-$AK37))))</f>
        <v>547342</v>
      </c>
      <c r="BA37" s="148">
        <f ca="1">IF(ISNUMBER($AL37),($AX37*$AL37)-$AI37-$AK37,MAX(0,IF($AL37="B",IF($AX37&lt;Setup!$C$32,($AX37*Setup!$D$32)-$AI37-$AK37,(($AX37-VLOOKUP($AX37,TaxAll2,1,1))*OFFSET(Setup!$D$32,MATCH($AX37,TaxBracket2,1),0,1,1))+OFFSET(Setup!$E$31,MATCH($AX37,TaxBracket2,1),0,1,1)-$AI37-$AK37),IF($AX37&lt;Setup!$C$21,($AX37*Setup!$D$21)-$AI37-$AK37,(($AX37-VLOOKUP($AX37,TaxAll1,1,1))*OFFSET(Setup!$D$21,MATCH($AX37,TaxBracket1,1),0,1,1))+OFFSET(Setup!$E$20,MATCH($AX37,TaxBracket1,1),0,1,1)-$AI37-$AK37))))</f>
        <v>547342</v>
      </c>
      <c r="BB37" s="148">
        <f t="shared" ref="BB37:BB68" ca="1" si="23">AZ37-BA37</f>
        <v>0</v>
      </c>
      <c r="BC37" s="150">
        <f t="shared" ca="1" si="15"/>
        <v>1</v>
      </c>
      <c r="BD37" s="150">
        <f t="shared" ca="1" si="16"/>
        <v>0</v>
      </c>
      <c r="BE37" s="148">
        <f t="shared" ca="1" si="17"/>
        <v>1800000</v>
      </c>
    </row>
    <row r="38" spans="1:57" ht="16.149999999999999" customHeight="1" x14ac:dyDescent="0.25">
      <c r="A38" s="10" t="str" cm="1">
        <f t="array" aca="1" ref="A38" ca="1">IF(ROW($A38)-ROW($A$6)&gt;EmpCount*12,"-",TEXT($B38,"yyyy")&amp;TEXT($B38,"mm")&amp;"-"&amp;$C38)</f>
        <v>202305-EXS002</v>
      </c>
      <c r="B38" s="137" cm="1">
        <f t="array" aca="1" ref="B38" ca="1">IF(ROW($A38)-ROW($A$6)&gt;EmpCount*12,Setup!$D$12,DATE(YEAR(Setup!$F$12),MONTH(Setup!$F$12)+ROUNDDOWN((ROW($A38)-ROW($A$6)-1)/EmpCount,0),IF(Setup!$C$14&gt;DAY(DATE(YEAR(Setup!$F$12),MONTH(Setup!$F$12)+ROUNDDOWN((ROW($A38)-ROW($A$6)-1)/EmpCount,0)+1,0)),DAY(DATE(YEAR(Setup!$F$12),MONTH(Setup!$F$12)+ROUNDDOWN((ROW($A38)-ROW($A$6)-1)/EmpCount,0)+1,0)),Setup!$C$14)))</f>
        <v>45071</v>
      </c>
      <c r="C38" s="101" t="str" cm="1">
        <f t="array" aca="1" ref="C38" ca="1">IF(ROW($A38)-ROW($A$6)&gt;EmpCount*12,"-",OFFSET(Emp!$A$4,ROW($A38)-ROW($A$6)-IF(ROW($A38)-ROW($A$6)&gt;EmpCount,ROUNDDOWN((ROW($A38)-ROW($A$6)-1)/EmpCount,0)*EmpCount,0),0,1,1))</f>
        <v>EXS002</v>
      </c>
      <c r="D38" s="10" t="str">
        <f ca="1">IF(ISNA(VLOOKUP($C38,EmpAll,COLUMN(Emp!$B$4),0)),"-",VLOOKUP($C38,EmpAll,COLUMN(Emp!$B$4),0))</f>
        <v>Smith F</v>
      </c>
      <c r="E38" s="145" t="str">
        <f ca="1">IF(ISNA(VLOOKUP($C38,EmpAll,COLUMN(Emp!$C$4),0)),"-",VLOOKUP($C38,EmpAll,COLUMN(Emp!$C$4),0))</f>
        <v>M</v>
      </c>
      <c r="F38" s="101" t="str">
        <f ca="1">IF(ISNA(VLOOKUP($C38,EmpAll,COLUMN(Emp!$A$4),0)),"-",IF(AND(VLOOKUP($C38,EmpAll,COLUMN(Emp!$E$4),0)&lt;&gt;0,VLOOKUP($C38,EmpAll,COLUMN(Emp!$E$4),0)&gt;=DATE(YEAR($AC38),MONTH($AC38)+1,0)),"Inactive",IF(AND(VLOOKUP($C38,EmpAll,COLUMN(Emp!$F$4),0)&lt;&gt;0,VLOOKUP($C38,EmpAll,COLUMN(Emp!$F$4),0)&lt;=DATE(YEAR($AC38),MONTH($AC38),0)),"Terminated","Active")))</f>
        <v>Active</v>
      </c>
      <c r="G38" s="133" cm="1">
        <f t="array" aca="1" ref="G38" ca="1">IF($F38&lt;&gt;"Active",0,IF(COUNTIFS(OverEmp,$C38,OverEarn,G$2,OverDate,"&lt;"&amp;DATE(YEAR($AC38),MONTH($AC38)+1,1),OverEnd,"&gt;="&amp;DATE(YEAR($AC38),MONTH($AC38),1))&gt;0,SUMIFS(OverValue,OverEmp,$C38,OverEarn,G$2,OverDate,"&lt;"&amp;DATE(YEAR($AC38),MONTH($AC38)+1,1),OverEnd,"&gt;="&amp;DATE(YEAR($AC38),MONTH($AC38),1)),IF(AND($AC38&gt;=Setup!$E$10,SUMIFS(EmpIncrease,EmpCode,$C38)&gt;0),SUMIFS(EmpIncrease,EmpCode,$C38),SUMIFS(EmpSalary,EmpCode,$C38))))</f>
        <v>120000</v>
      </c>
      <c r="H38" s="133" cm="1">
        <f t="array" aca="1" ref="H38" ca="1">IF($F38&lt;&gt;"Active",0,IF(COUNTIFS(OverEmp,$C38,OverEarn,H$2,OverDate,"&lt;"&amp;DATE(YEAR($AC38),MONTH($AC38)+1,1),OverEnd,"&gt;="&amp;DATE(YEAR($AC38),MONTH($AC38),1))&gt;0,SUMIFS(OverValue,OverEmp,$C38,OverEarn,H$2,OverDate,"&lt;"&amp;DATE(YEAR($AC38),MONTH($AC38)+1,1),OverEnd,"&gt;="&amp;DATE(YEAR($AC38),MONTH($AC38),1)),0))</f>
        <v>0</v>
      </c>
      <c r="I38" s="133" cm="1">
        <f t="array" aca="1" ref="I38" ca="1">IF($F38&lt;&gt;"Active",0,IF(COUNTIFS(OverEmp,$C38,OverEarn,I$2,OverDate,"&lt;"&amp;DATE(YEAR($AC38),MONTH($AC38)+1,1),OverEnd,"&gt;="&amp;DATE(YEAR($AC38),MONTH($AC38),1))&gt;0,SUMIFS(OverValue,OverEmp,$C38,OverEarn,I$2,OverDate,"&lt;"&amp;DATE(YEAR($AC38),MONTH($AC38)+1,1),OverEnd,"&gt;="&amp;DATE(YEAR($AC38),MONTH($AC38),1)),IF(MONTH(B38)=Setup!$C$15,SUMIFS(EmpBonus,EmpCode,$C38),0)))</f>
        <v>0</v>
      </c>
      <c r="J38" s="133" cm="1">
        <f t="array" aca="1" ref="J38" ca="1">IF($F38&lt;&gt;"Active",0,IF(COUNTIFS(OverEmp,$C38,OverEarn,J$2,OverDate,"&lt;"&amp;DATE(YEAR($AC38),MONTH($AC38)+1,1),OverEnd,"&gt;="&amp;DATE(YEAR($AC38),MONTH($AC38),1))&gt;0,SUMIFS(OverValue,OverEmp,$C38,OverEarn,J$2,OverDate,"&lt;"&amp;DATE(YEAR($AC38),MONTH($AC38)+1,1),OverEnd,"&gt;="&amp;DATE(YEAR($AC38),MONTH($AC38),1)),0))</f>
        <v>0</v>
      </c>
      <c r="K38" s="133" cm="1">
        <f t="array" aca="1" ref="K38" ca="1">IF($F38&lt;&gt;"Active",0,IF(COUNTIFS(OverEmp,$C38,OverEarn,K$2,OverDate,"&lt;"&amp;DATE(YEAR($AC38),MONTH($AC38)+1,1),OverEnd,"&gt;="&amp;DATE(YEAR($AC38),MONTH($AC38),1))&gt;0,SUMIFS(OverValue,OverEmp,$C38,OverEarn,K$2,OverDate,"&lt;"&amp;DATE(YEAR($AC38),MONTH($AC38)+1,1),OverEnd,"&gt;="&amp;DATE(YEAR($AC38),MONTH($AC38),1)),0))</f>
        <v>0</v>
      </c>
      <c r="L38" s="185">
        <f t="shared" ca="1" si="0"/>
        <v>120000</v>
      </c>
      <c r="M38" s="182" cm="1">
        <f t="array" aca="1" ref="M38" ca="1">IF(COUNTIFS(OverEmp,$C38,OverTax,M$5,OverDate,"&lt;"&amp;DATE(YEAR($AC38),MONTH($AC38)+1,1),OverEnd,"&gt;="&amp;DATE(YEAR($AC38),MONTH($AC38),1))&gt;0,SUMIFS(OverValue,OverEmp,$C38,OverTax,M$5,OverDate,"&lt;"&amp;DATE(YEAR($AC38),MONTH($AC38)+1,1),OverEnd,"&gt;="&amp;DATE(YEAR($AC38),MONTH($AC38),1)),(($BA38/12*$AA38)+(BB38*IF(1-$BC38=0,0,BD38/(1-$BC38))))-IF($F38="Terminated",0,SUMIFS(PayTaxDeduct,PayDate,"&lt;"&amp;$AC38,PayEmp,$C38)))</f>
        <v>38662.333333333328</v>
      </c>
      <c r="N38" s="133" cm="1">
        <f t="array" aca="1" ref="N38" ca="1">IF($F38="Terminated",0,IF($AA38=0,0,IF(ISNA(MATCH(N$5,DedListItem,0)),0,IF(COUNTIFS(OverEmp,$C38,OverDeduct,N$5,OverDate,"&lt;"&amp;DATE(YEAR($AC38),MONTH($AC38)+1,1),OverEnd,"&gt;="&amp;DATE(YEAR($AC38),MONTH($AC38),1))&gt;0,SUMIFS(OverValue,OverEmp,$C38,OverDeduct,N$5,OverDate,"&lt;"&amp;DATE(YEAR($AC38),MONTH($AC38)+1,1),OverEnd,"&gt;="&amp;DATE(YEAR($AC38),MONTH($AC38),1)),IF(OR(N$2="Fixed",N$2="Not Used"),(IF(COUNTIFS(EmpNo,$C38,OFFSET(Emp!$R$4,1,MATCH(N$5,DedListItem,0)-1,EmpCount,1),"&lt;&gt;")&gt;0,VLOOKUP($C38,EmpAll,COLUMN(Emp!$R$4)+MATCH(N$5,DedListItem,0)-1,0),OFFSET(Setup!$E$73,MATCH(N$5,DedListItem,0),0,1,1))*$AA38)-SUMIFS(OFFSET(N$6,1,0,PayCount,1),PayDate,"&lt;"&amp;$AC38,PayEmp,$C38),IF(ISNA(MATCH(N$2,EarnListItem,0))=FALSE,IF(OFFSET(Setup!$G$73,MATCH(N$5,DedListItem,0),0,1,1)="Taxable",SUMPRODUCT((PayEmp=$C38)*(PayDate&lt;=$AC38)*(PayEarnCode=N$2)*(PayEarnTax)*(PayEarnValues)),SUMPRODUCT((PayEmp=$C38)*(PayDate&lt;=$AC38)*(PayEarnCode=N$2)*(PayEarnValues)))*IF(COUNTIFS(EmpNo,$C38,OFFSET(Emp!$R$4,1,MATCH(N$5,DedListItem,0)-1,EmpCount,1),"&lt;&gt;")&gt;0,VLOOKUP($C38,EmpAll,COLUMN(Emp!$R$4)+MATCH(N$5,DedListItem,0)-1,0),OFFSET(Setup!$E$73,MATCH(N$5,DedListItem,0),0,1,1)),(MIN(IF(OFFSET(Setup!$G$73,MATCH(N$5,DedListItem,0),0,1,1)="Taxable",SUMPRODUCT((PayEmp=$C38)*(PayDate&lt;=$AC38)*(ISERROR(SEARCH(PayEarnCode,N$4)))*(PayEarnTax)*(PayEarnValues)),SUMPRODUCT((PayEmp=$C38)*(PayDate&lt;=$AC38)*(ISERROR(SEARCH(PayEarnCode,N$4)))*(PayEarnValues))),IF(ISNUMBER(N$3),N$3/12*$AA38,IgnoreMin)))*IF(COUNTIFS(EmpNo,$C38,OFFSET(Emp!$R$4,1,MATCH(N$5,DedListItem,0)-1,EmpCount,1),"&lt;&gt;")&gt;0,VLOOKUP($C38,EmpAll,COLUMN(Emp!$R$4)+MATCH(N$5,DedListItem,0)-1,0),OFFSET(Setup!$E$73,MATCH(N$5,DedListItem,0),0,1,1)))-SUMIFS(OFFSET(N$6,1,0,PayCount,1),PayDate,"&lt;"&amp;$AC38,PayEmp,$C38))))))</f>
        <v>177.12</v>
      </c>
      <c r="O38" s="133" cm="1">
        <f t="array" aca="1" ref="O38" ca="1">IF($F38="Terminated",0,IF($AA38=0,0,IF(ISNA(MATCH(O$5,DedListItem,0)),0,IF(COUNTIFS(OverEmp,$C38,OverDeduct,O$5,OverDate,"&lt;"&amp;DATE(YEAR($AC38),MONTH($AC38)+1,1),OverEnd,"&gt;="&amp;DATE(YEAR($AC38),MONTH($AC38),1))&gt;0,SUMIFS(OverValue,OverEmp,$C38,OverDeduct,O$5,OverDate,"&lt;"&amp;DATE(YEAR($AC38),MONTH($AC38)+1,1),OverEnd,"&gt;="&amp;DATE(YEAR($AC38),MONTH($AC38),1)),IF(OR(O$2="Fixed",O$2="Not Used"),(IF(COUNTIFS(EmpNo,$C38,OFFSET(Emp!$R$4,1,MATCH(O$5,DedListItem,0)-1,EmpCount,1),"&lt;&gt;")&gt;0,VLOOKUP($C38,EmpAll,COLUMN(Emp!$R$4)+MATCH(O$5,DedListItem,0)-1,0),OFFSET(Setup!$E$73,MATCH(O$5,DedListItem,0),0,1,1))*$AA38)-SUMIFS(OFFSET(O$6,1,0,PayCount,1),PayDate,"&lt;"&amp;$AC38,PayEmp,$C38),IF(ISNA(MATCH(O$2,EarnListItem,0))=FALSE,IF(OFFSET(Setup!$G$73,MATCH(O$5,DedListItem,0),0,1,1)="Taxable",SUMPRODUCT((PayEmp=$C38)*(PayDate&lt;=$AC38)*(PayEarnCode=O$2)*(PayEarnTax)*(PayEarnValues)),SUMPRODUCT((PayEmp=$C38)*(PayDate&lt;=$AC38)*(PayEarnCode=O$2)*(PayEarnValues)))*IF(COUNTIFS(EmpNo,$C38,OFFSET(Emp!$R$4,1,MATCH(O$5,DedListItem,0)-1,EmpCount,1),"&lt;&gt;")&gt;0,VLOOKUP($C38,EmpAll,COLUMN(Emp!$R$4)+MATCH(O$5,DedListItem,0)-1,0),OFFSET(Setup!$E$73,MATCH(O$5,DedListItem,0),0,1,1)),(MIN(IF(OFFSET(Setup!$G$73,MATCH(O$5,DedListItem,0),0,1,1)="Taxable",SUMPRODUCT((PayEmp=$C38)*(PayDate&lt;=$AC38)*(ISERROR(SEARCH(PayEarnCode,O$4)))*(PayEarnTax)*(PayEarnValues)),SUMPRODUCT((PayEmp=$C38)*(PayDate&lt;=$AC38)*(ISERROR(SEARCH(PayEarnCode,O$4)))*(PayEarnValues))),IF(ISNUMBER(O$3),O$3/12*$AA38,IgnoreMin)))*IF(COUNTIFS(EmpNo,$C38,OFFSET(Emp!$R$4,1,MATCH(O$5,DedListItem,0)-1,EmpCount,1),"&lt;&gt;")&gt;0,VLOOKUP($C38,EmpAll,COLUMN(Emp!$R$4)+MATCH(O$5,DedListItem,0)-1,0),OFFSET(Setup!$E$73,MATCH(O$5,DedListItem,0),0,1,1)))-SUMIFS(OFFSET(O$6,1,0,PayCount,1),PayDate,"&lt;"&amp;$AC38,PayEmp,$C38))))))</f>
        <v>0</v>
      </c>
      <c r="P38" s="133" cm="1">
        <f t="array" aca="1" ref="P38" ca="1">IF($F38="Terminated",0,IF($AA38=0,0,IF(ISNA(MATCH(P$5,DedListItem,0)),0,IF(COUNTIFS(OverEmp,$C38,OverDeduct,P$5,OverDate,"&lt;"&amp;DATE(YEAR($AC38),MONTH($AC38)+1,1),OverEnd,"&gt;="&amp;DATE(YEAR($AC38),MONTH($AC38),1))&gt;0,SUMIFS(OverValue,OverEmp,$C38,OverDeduct,P$5,OverDate,"&lt;"&amp;DATE(YEAR($AC38),MONTH($AC38)+1,1),OverEnd,"&gt;="&amp;DATE(YEAR($AC38),MONTH($AC38),1)),IF(OR(P$2="Fixed",P$2="Not Used"),(IF(COUNTIFS(EmpNo,$C38,OFFSET(Emp!$R$4,1,MATCH(P$5,DedListItem,0)-1,EmpCount,1),"&lt;&gt;")&gt;0,VLOOKUP($C38,EmpAll,COLUMN(Emp!$R$4)+MATCH(P$5,DedListItem,0)-1,0),OFFSET(Setup!$E$73,MATCH(P$5,DedListItem,0),0,1,1))*$AA38)-SUMIFS(OFFSET(P$6,1,0,PayCount,1),PayDate,"&lt;"&amp;$AC38,PayEmp,$C38),IF(ISNA(MATCH(P$2,EarnListItem,0))=FALSE,IF(OFFSET(Setup!$G$73,MATCH(P$5,DedListItem,0),0,1,1)="Taxable",SUMPRODUCT((PayEmp=$C38)*(PayDate&lt;=$AC38)*(PayEarnCode=P$2)*(PayEarnTax)*(PayEarnValues)),SUMPRODUCT((PayEmp=$C38)*(PayDate&lt;=$AC38)*(PayEarnCode=P$2)*(PayEarnValues)))*IF(COUNTIFS(EmpNo,$C38,OFFSET(Emp!$R$4,1,MATCH(P$5,DedListItem,0)-1,EmpCount,1),"&lt;&gt;")&gt;0,VLOOKUP($C38,EmpAll,COLUMN(Emp!$R$4)+MATCH(P$5,DedListItem,0)-1,0),OFFSET(Setup!$E$73,MATCH(P$5,DedListItem,0),0,1,1)),(MIN(IF(OFFSET(Setup!$G$73,MATCH(P$5,DedListItem,0),0,1,1)="Taxable",SUMPRODUCT((PayEmp=$C38)*(PayDate&lt;=$AC38)*(ISERROR(SEARCH(PayEarnCode,P$4)))*(PayEarnTax)*(PayEarnValues)),SUMPRODUCT((PayEmp=$C38)*(PayDate&lt;=$AC38)*(ISERROR(SEARCH(PayEarnCode,P$4)))*(PayEarnValues))),IF(ISNUMBER(P$3),P$3/12*$AA38,IgnoreMin)))*IF(COUNTIFS(EmpNo,$C38,OFFSET(Emp!$R$4,1,MATCH(P$5,DedListItem,0)-1,EmpCount,1),"&lt;&gt;")&gt;0,VLOOKUP($C38,EmpAll,COLUMN(Emp!$R$4)+MATCH(P$5,DedListItem,0)-1,0),OFFSET(Setup!$E$73,MATCH(P$5,DedListItem,0),0,1,1)))-SUMIFS(OFFSET(P$6,1,0,PayCount,1),PayDate,"&lt;"&amp;$AC38,PayEmp,$C38))))))</f>
        <v>0</v>
      </c>
      <c r="Q38" s="133" cm="1">
        <f t="array" aca="1" ref="Q38" ca="1">IF($F38="Terminated",0,IF($AA38=0,0,IF(ISNA(MATCH(Q$5,DedListItem,0)),0,IF(COUNTIFS(OverEmp,$C38,OverDeduct,Q$5,OverDate,"&lt;"&amp;DATE(YEAR($AC38),MONTH($AC38)+1,1),OverEnd,"&gt;="&amp;DATE(YEAR($AC38),MONTH($AC38),1))&gt;0,SUMIFS(OverValue,OverEmp,$C38,OverDeduct,Q$5,OverDate,"&lt;"&amp;DATE(YEAR($AC38),MONTH($AC38)+1,1),OverEnd,"&gt;="&amp;DATE(YEAR($AC38),MONTH($AC38),1)),IF(OR(Q$2="Fixed",Q$2="Not Used"),(IF(COUNTIFS(EmpNo,$C38,OFFSET(Emp!$R$4,1,MATCH(Q$5,DedListItem,0)-1,EmpCount,1),"&lt;&gt;")&gt;0,VLOOKUP($C38,EmpAll,COLUMN(Emp!$R$4)+MATCH(Q$5,DedListItem,0)-1,0),OFFSET(Setup!$E$73,MATCH(Q$5,DedListItem,0),0,1,1))*$AA38)-SUMIFS(OFFSET(Q$6,1,0,PayCount,1),PayDate,"&lt;"&amp;$AC38,PayEmp,$C38),IF(ISNA(MATCH(Q$2,EarnListItem,0))=FALSE,IF(OFFSET(Setup!$G$73,MATCH(Q$5,DedListItem,0),0,1,1)="Taxable",SUMPRODUCT((PayEmp=$C38)*(PayDate&lt;=$AC38)*(PayEarnCode=Q$2)*(PayEarnTax)*(PayEarnValues)),SUMPRODUCT((PayEmp=$C38)*(PayDate&lt;=$AC38)*(PayEarnCode=Q$2)*(PayEarnValues)))*IF(COUNTIFS(EmpNo,$C38,OFFSET(Emp!$R$4,1,MATCH(Q$5,DedListItem,0)-1,EmpCount,1),"&lt;&gt;")&gt;0,VLOOKUP($C38,EmpAll,COLUMN(Emp!$R$4)+MATCH(Q$5,DedListItem,0)-1,0),OFFSET(Setup!$E$73,MATCH(Q$5,DedListItem,0),0,1,1)),(MIN(IF(OFFSET(Setup!$G$73,MATCH(Q$5,DedListItem,0),0,1,1)="Taxable",SUMPRODUCT((PayEmp=$C38)*(PayDate&lt;=$AC38)*(ISERROR(SEARCH(PayEarnCode,Q$4)))*(PayEarnTax)*(PayEarnValues)),SUMPRODUCT((PayEmp=$C38)*(PayDate&lt;=$AC38)*(ISERROR(SEARCH(PayEarnCode,Q$4)))*(PayEarnValues))),IF(ISNUMBER(Q$3),Q$3/12*$AA38,IgnoreMin)))*IF(COUNTIFS(EmpNo,$C38,OFFSET(Emp!$R$4,1,MATCH(Q$5,DedListItem,0)-1,EmpCount,1),"&lt;&gt;")&gt;0,VLOOKUP($C38,EmpAll,COLUMN(Emp!$R$4)+MATCH(Q$5,DedListItem,0)-1,0),OFFSET(Setup!$E$73,MATCH(Q$5,DedListItem,0),0,1,1)))-SUMIFS(OFFSET(Q$6,1,0,PayCount,1),PayDate,"&lt;"&amp;$AC38,PayEmp,$C38))))))</f>
        <v>0</v>
      </c>
      <c r="R38" s="185">
        <f t="shared" ca="1" si="1"/>
        <v>38839.453333333331</v>
      </c>
      <c r="S38" s="139">
        <f t="shared" ca="1" si="2"/>
        <v>81160.55</v>
      </c>
      <c r="T38" s="133" cm="1">
        <f t="array" aca="1" ref="T38" ca="1">IF($F38="Terminated",0,IF($AA38=0,0,IF(ISNA(MATCH(T$5,CompListItem,0)),0,IF(COUNTIFS(OverEmp,$C38,OverComp,T$5,OverDate,"&lt;"&amp;DATE(YEAR($AC38),MONTH($AC38)+1,1),OverEnd,"&gt;="&amp;DATE(YEAR($AC38),MONTH($AC38),1))&gt;0,SUMIFS(OverValue,OverEmp,$C38,OverComp,T$5,OverDate,"&lt;"&amp;DATE(YEAR($AC38),MONTH($AC38)+1,1),OverEnd,"&gt;="&amp;DATE(YEAR($AC38),MONTH($AC38),1)),IF(OR(T$2="Fixed",T$2="Not Used"),(OFFSET(Setup!$E$81,MATCH(T$5,CompListItem,0),0,1,1)*$AA38)-SUMIFS(OFFSET(T$6,1,0,PayCount,1),PayDate,"&lt;"&amp;$AC38,PayEmp,$C38),IF(ISNA(MATCH(T$2,DedListItem,0))=FALSE,(SUMPRODUCT((PayEmp=$C38)*(PayDate&lt;=$AC38)*(PayDedList=T$2)*(PayDedValues))*OFFSET(Setup!$E$81,MATCH(T$5,CompListItem,0),0,1,1))-SUMIFS(OFFSET(T$6,1,0,PayCount,1),PayDate,"&lt;"&amp;$AC38,PayEmp,$C38),(MIN(IF(OFFSET(Setup!$G$81,MATCH(T$5,CompListItem,0),0,1,1)="Taxable",SUMPRODUCT((PayEmp=$C38)*(PayDate&lt;=$AC38)*(ISERROR(SEARCH(PayEarnCode,T$4)))*(PayEarnTax)*(PayEarnValues)),SUMPRODUCT((PayEmp=$C38)*(PayDate&lt;=$AC38)*(ISERROR(SEARCH(PayEarnCode,T$4)))*(PayEarnValues))),IF(ISNUMBER(T$3),T$3/12*$AA38,IgnoreMin)))*OFFSET(Setup!$E$81,MATCH(T$5,CompListItem,0),0,1,1)-SUMIFS(OFFSET(T$6,1,0,PayCount,1),PayDate,"&lt;"&amp;$AC38,PayEmp,$C38)))))))</f>
        <v>177.12</v>
      </c>
      <c r="U38" s="133" cm="1">
        <f t="array" aca="1" ref="U38" ca="1">IF($F38="Terminated",0,IF($AA38=0,0,IF(ISNA(MATCH(U$5,CompListItem,0)),0,IF(COUNTIFS(OverEmp,$C38,OverComp,U$5,OverDate,"&lt;"&amp;DATE(YEAR($AC38),MONTH($AC38)+1,1),OverEnd,"&gt;="&amp;DATE(YEAR($AC38),MONTH($AC38),1))&gt;0,SUMIFS(OverValue,OverEmp,$C38,OverComp,U$5,OverDate,"&lt;"&amp;DATE(YEAR($AC38),MONTH($AC38)+1,1),OverEnd,"&gt;="&amp;DATE(YEAR($AC38),MONTH($AC38),1)),IF(OR(U$2="Fixed",U$2="Not Used"),(OFFSET(Setup!$E$81,MATCH(U$5,CompListItem,0),0,1,1)*$AA38)-SUMIFS(OFFSET(U$6,1,0,PayCount,1),PayDate,"&lt;"&amp;$AC38,PayEmp,$C38),IF(ISNA(MATCH(U$2,DedListItem,0))=FALSE,(SUMPRODUCT((PayEmp=$C38)*(PayDate&lt;=$AC38)*(PayDedList=U$2)*(PayDedValues))*OFFSET(Setup!$E$81,MATCH(U$5,CompListItem,0),0,1,1))-SUMIFS(OFFSET(U$6,1,0,PayCount,1),PayDate,"&lt;"&amp;$AC38,PayEmp,$C38),(MIN(IF(OFFSET(Setup!$G$81,MATCH(U$5,CompListItem,0),0,1,1)="Taxable",SUMPRODUCT((PayEmp=$C38)*(PayDate&lt;=$AC38)*(ISERROR(SEARCH(PayEarnCode,U$4)))*(PayEarnTax)*(PayEarnValues)),SUMPRODUCT((PayEmp=$C38)*(PayDate&lt;=$AC38)*(ISERROR(SEARCH(PayEarnCode,U$4)))*(PayEarnValues))),IF(ISNUMBER(U$3),U$3/12*$AA38,IgnoreMin)))*OFFSET(Setup!$E$81,MATCH(U$5,CompListItem,0),0,1,1)-SUMIFS(OFFSET(U$6,1,0,PayCount,1),PayDate,"&lt;"&amp;$AC38,PayEmp,$C38)))))))</f>
        <v>1200</v>
      </c>
      <c r="V38" s="133" cm="1">
        <f t="array" aca="1" ref="V38" ca="1">IF($F38="Terminated",0,IF($AA38=0,0,IF(ISNA(MATCH(V$5,CompListItem,0)),0,IF(COUNTIFS(OverEmp,$C38,OverComp,V$5,OverDate,"&lt;"&amp;DATE(YEAR($AC38),MONTH($AC38)+1,1),OverEnd,"&gt;="&amp;DATE(YEAR($AC38),MONTH($AC38),1))&gt;0,SUMIFS(OverValue,OverEmp,$C38,OverComp,V$5,OverDate,"&lt;"&amp;DATE(YEAR($AC38),MONTH($AC38)+1,1),OverEnd,"&gt;="&amp;DATE(YEAR($AC38),MONTH($AC38),1)),IF(OR(V$2="Fixed",V$2="Not Used"),(OFFSET(Setup!$E$81,MATCH(V$5,CompListItem,0),0,1,1)*$AA38)-SUMIFS(OFFSET(V$6,1,0,PayCount,1),PayDate,"&lt;"&amp;$AC38,PayEmp,$C38),IF(ISNA(MATCH(V$2,DedListItem,0))=FALSE,(SUMPRODUCT((PayEmp=$C38)*(PayDate&lt;=$AC38)*(PayDedList=V$2)*(PayDedValues))*OFFSET(Setup!$E$81,MATCH(V$5,CompListItem,0),0,1,1))-SUMIFS(OFFSET(V$6,1,0,PayCount,1),PayDate,"&lt;"&amp;$AC38,PayEmp,$C38),(MIN(IF(OFFSET(Setup!$G$81,MATCH(V$5,CompListItem,0),0,1,1)="Taxable",SUMPRODUCT((PayEmp=$C38)*(PayDate&lt;=$AC38)*(ISERROR(SEARCH(PayEarnCode,V$4)))*(PayEarnTax)*(PayEarnValues)),SUMPRODUCT((PayEmp=$C38)*(PayDate&lt;=$AC38)*(ISERROR(SEARCH(PayEarnCode,V$4)))*(PayEarnValues))),IF(ISNUMBER(V$3),V$3/12*$AA38,IgnoreMin)))*OFFSET(Setup!$E$81,MATCH(V$5,CompListItem,0),0,1,1)-SUMIFS(OFFSET(V$6,1,0,PayCount,1),PayDate,"&lt;"&amp;$AC38,PayEmp,$C38)))))))</f>
        <v>0</v>
      </c>
      <c r="W38" s="133" cm="1">
        <f t="array" aca="1" ref="W38" ca="1">IF($F38="Terminated",0,IF($AA38=0,0,IF(ISNA(MATCH(W$5,CompListItem,0)),0,IF(COUNTIFS(OverEmp,$C38,OverComp,W$5,OverDate,"&lt;"&amp;DATE(YEAR($AC38),MONTH($AC38)+1,1),OverEnd,"&gt;="&amp;DATE(YEAR($AC38),MONTH($AC38),1))&gt;0,SUMIFS(OverValue,OverEmp,$C38,OverComp,W$5,OverDate,"&lt;"&amp;DATE(YEAR($AC38),MONTH($AC38)+1,1),OverEnd,"&gt;="&amp;DATE(YEAR($AC38),MONTH($AC38),1)),IF(OR(W$2="Fixed",W$2="Not Used"),(OFFSET(Setup!$E$81,MATCH(W$5,CompListItem,0),0,1,1)*$AA38)-SUMIFS(OFFSET(W$6,1,0,PayCount,1),PayDate,"&lt;"&amp;$AC38,PayEmp,$C38),IF(ISNA(MATCH(W$2,DedListItem,0))=FALSE,(SUMPRODUCT((PayEmp=$C38)*(PayDate&lt;=$AC38)*(PayDedList=W$2)*(PayDedValues))*OFFSET(Setup!$E$81,MATCH(W$5,CompListItem,0),0,1,1))-SUMIFS(OFFSET(W$6,1,0,PayCount,1),PayDate,"&lt;"&amp;$AC38,PayEmp,$C38),(MIN(IF(OFFSET(Setup!$G$81,MATCH(W$5,CompListItem,0),0,1,1)="Taxable",SUMPRODUCT((PayEmp=$C38)*(PayDate&lt;=$AC38)*(ISERROR(SEARCH(PayEarnCode,W$4)))*(PayEarnTax)*(PayEarnValues)),SUMPRODUCT((PayEmp=$C38)*(PayDate&lt;=$AC38)*(ISERROR(SEARCH(PayEarnCode,W$4)))*(PayEarnValues))),IF(ISNUMBER(W$3),W$3/12*$AA38,IgnoreMin)))*OFFSET(Setup!$E$81,MATCH(W$5,CompListItem,0),0,1,1)-SUMIFS(OFFSET(W$6,1,0,PayCount,1),PayDate,"&lt;"&amp;$AC38,PayEmp,$C38)))))))</f>
        <v>0</v>
      </c>
      <c r="X38" s="185">
        <f t="shared" ca="1" si="18"/>
        <v>1377.12</v>
      </c>
      <c r="Y38" s="139">
        <f t="shared" ca="1" si="4"/>
        <v>121377.12</v>
      </c>
      <c r="Z38" s="139">
        <f t="shared" ca="1" si="19"/>
        <v>40216.57</v>
      </c>
      <c r="AA38" s="146">
        <f ca="1">IF(OR($B38&lt;=Setup!$E$12,$B38&gt;=Setup!$D$12+1),0,IF($F38&lt;&gt;"Active",0,IF($AE38="Yes",$AB38,((YEAR($AC38)*12)+MONTH($AC38))-((YEAR($AD38)*12)+MONTH($AD38)-1))))</f>
        <v>3</v>
      </c>
      <c r="AB38" s="146">
        <f ca="1">IF(OR($B38&lt;=Setup!$E$12,$B38&gt;=Setup!$D$12+1),0,((YEAR($AC38)*12)+MONTH($AC38))-((YEAR(Setup!$E$12)*12)+MONTH(Setup!$E$12)))</f>
        <v>3</v>
      </c>
      <c r="AC38" s="186">
        <f t="shared" ca="1" si="20"/>
        <v>45071</v>
      </c>
      <c r="AD38" s="144">
        <f ca="1">IF(ISNA(VLOOKUP($C38,EmpAll,COLUMN(Emp!$E$4),0)),$AC38,IF(VLOOKUP($C38,EmpAll,COLUMN(Emp!$E$4),0)&lt;=Setup!$E$12,DATE(YEAR(Setup!$E$12),MONTH(Setup!$E$12)+1,1),VLOOKUP($C38,EmpAll,COLUMN(Emp!$E$4),0)))</f>
        <v>44986</v>
      </c>
      <c r="AE38" s="144" t="str">
        <f ca="1">IF(ISNA(VLOOKUP($C38,EmpAll,COLUMN(Emp!$G$1),0)),"-",IF(VLOOKUP($C38,EmpAll,COLUMN(Emp!$G$1),0)=0,"-",VLOOKUP($C38,EmpAll,COLUMN(Emp!$G$1),0)))</f>
        <v>-</v>
      </c>
      <c r="AF38" s="145">
        <f ca="1">IF(A38=PaySlip!$G$3,1,0)</f>
        <v>0</v>
      </c>
      <c r="AG38" s="130" cm="1">
        <f t="array" aca="1" ref="AG38" ca="1">IF(COUNTIFS(OverEmp,$C38,OverMed,"MED",OverDate,"&lt;"&amp;DATE(YEAR($AC38),MONTH($AC38)+1,1),OverEnd,"&gt;="&amp;DATE(YEAR($AC38),MONTH($AC38),1))&gt;0,SUMIFS(OverValue,OverEmp,$C38,OverMed,"MED",OverDate,"&lt;"&amp;DATE(YEAR($AC38),MONTH($AC38)+1,1),OverEnd,"&gt;="&amp;DATE(YEAR($AC38),MONTH($AC38),1)),IF(ISNA(VLOOKUP($C38,EmpAll,COLUMN(Emp!$N$4),0)),0,VLOOKUP($C38,EmpAll,COLUMN(Emp!$N$4),0)))</f>
        <v>2</v>
      </c>
      <c r="AH38" s="146">
        <f ca="1">VLOOKUP($AG38,MedList,COLUMN(Setup!$C$49),1)</f>
        <v>728</v>
      </c>
      <c r="AI38" s="146">
        <f t="shared" ca="1" si="7"/>
        <v>8736</v>
      </c>
      <c r="AJ38" s="101" t="str">
        <f ca="1">IF(ISNA(VLOOKUP($C38,EmpAll,COLUMN(Emp!$L$4),0)),"None!",VLOOKUP($C38,EmpAll,COLUMN(Emp!$L$4),0))</f>
        <v>A</v>
      </c>
      <c r="AK38" s="147">
        <f t="shared" ca="1" si="21"/>
        <v>17235</v>
      </c>
      <c r="AL38" s="101" t="str">
        <f ca="1">IF(ISNA(VLOOKUP($C38,Employees[],COLUMN(Emp!$M$4),0))=TRUE,"Error!",IF(VLOOKUP($C38,Employees[],COLUMN(Emp!$M$4),0)=0,"Yes",VLOOKUP($C38,Employees[],COLUMN(Emp!$M$4),0)))</f>
        <v>A</v>
      </c>
      <c r="AM38" s="148">
        <f t="shared" ca="1" si="9"/>
        <v>1440000</v>
      </c>
      <c r="AN38" s="148" cm="1">
        <f t="array" aca="1" ref="AN38" ca="1">-IF($F38="Terminated",0,IF($AA38=0,0,IF(ISNA(MATCH(AN$5,PayDedList,0)),0,MIN(IF(COUNTIFS(OverEmp,$C38,OverDeduct,AN$5,OverDate,"&lt;"&amp;DATE(YEAR($AC38),MONTH($AC38)+1,1),OverEnd,"&gt;="&amp;DATE(YEAR($AC38),MONTH($AC38),1))&gt;0,SUMPRODUCT((PayEmp=$C38)*(PayDate&lt;=$AC38)*(OFFSET($N$6,1,MATCH(AN$5,PayDedList,0)-1,PayCount,1)))/$AA38*12*AN$3,IF(OR(AN$1="Fixed",AN$1="Not Used"),SUMPRODUCT((PayEmp=$C38)*(PayDate&lt;=$AC38)*(OFFSET($N$6,1,MATCH(AN$5,PayDedList,0)-1,PayCount,1)))/$AA38*12*AN$3,IF(ISNA(MATCH(AN$1,EarnListItem,0))=FALSE,SUMPRODUCT((PayEmp=$C38)*(PayDate&lt;=$AC38)*(OFFSET($N$6,1,MATCH(AN$5,PayDedList,0)-1,PayCount,1)))/$AA38*12*AN$3,(MIN(((SUMPRODUCT((PayEmp=$C38)*(PayDate&lt;=$AC38)*(ISERROR(SEARCH(PayEarnCode,AN$2)))*(PayEarnType="Monthly")*(PayEarnValues))/$AA38*12)+(SUMPRODUCT((PayEmp=$C38)*(PayDate&lt;=$AC38)*(ISERROR(SEARCH(PayEarnCode,AN$2)))*(PayEarnType="Quarterly")*(PayEarnValues))/MAX(1,ROUNDDOWN($AB38/3,0))*4)+(SUMPRODUCT((PayEmp=$C38)*(PayDate&lt;=$AC38)*(ISERROR(SEARCH(PayEarnCode,AN$2)))*(PayEarnType="Bi-Annual")*(PayEarnValues))/MAX(1,ROUNDDOWN($AB38/6,0))*2)+(SUMPRODUCT((PayEmp=$C38)*(PayDate&lt;=$AC38)*(ISERROR(SEARCH(PayEarnCode,AN$2)))*(PayEarnType="Annual")*(PayEarnValues)))),IF(ISNUMBER(OFFSET($N$3,0,MATCH(AN$5,PayDedList,0)-1,1,1)),OFFSET($N$3,0,MATCH(AN$5,PayDedList,0)-1,1,1),IgnoreMin)))*IF(COUNTIFS(EmpNo,$C38,OFFSET(Emp!$R$4,1,MATCH(AN$5,DedListItem,0)-1,EmpCount,1),"&lt;&gt;")&gt;0,VLOOKUP($C38,EmpAll,COLUMN(Emp!$R$4)+MATCH(AN$5,DedListItem,0)-1,0),OFFSET(Setup!$E$73,MATCH(AN$5,DedListItem,0),0,1,1))*AN$3))),IF(ISNUMBER(AN$4),AN$4,IgnoreMin)))))</f>
        <v>0</v>
      </c>
      <c r="AO38" s="148" cm="1">
        <f t="array" aca="1" ref="AO38" ca="1">-IF($F38="Terminated",0,IF($AA38=0,0,IF(ISNA(MATCH(AO$5,PayDedList,0)),0,MIN(IF(COUNTIFS(OverEmp,$C38,OverDeduct,AO$5,OverDate,"&lt;"&amp;DATE(YEAR($AC38),MONTH($AC38)+1,1),OverEnd,"&gt;="&amp;DATE(YEAR($AC38),MONTH($AC38),1))&gt;0,SUMPRODUCT((PayEmp=$C38)*(PayDate&lt;=$AC38)*(OFFSET($N$6,1,MATCH(AO$5,PayDedList,0)-1,PayCount,1)))/$AA38*12*AO$3,IF(OR(AO$1="Fixed",AO$1="Not Used"),SUMPRODUCT((PayEmp=$C38)*(PayDate&lt;=$AC38)*(OFFSET($N$6,1,MATCH(AO$5,PayDedList,0)-1,PayCount,1)))/$AA38*12*AO$3,IF(ISNA(MATCH(AO$1,EarnListItem,0))=FALSE,SUMPRODUCT((PayEmp=$C38)*(PayDate&lt;=$AC38)*(OFFSET($N$6,1,MATCH(AO$5,PayDedList,0)-1,PayCount,1)))/$AA38*12*AO$3,(MIN(((SUMPRODUCT((PayEmp=$C38)*(PayDate&lt;=$AC38)*(ISERROR(SEARCH(PayEarnCode,AO$2)))*(PayEarnType="Monthly")*(PayEarnValues))/$AA38*12)+(SUMPRODUCT((PayEmp=$C38)*(PayDate&lt;=$AC38)*(ISERROR(SEARCH(PayEarnCode,AO$2)))*(PayEarnType="Quarterly")*(PayEarnValues))/MAX(1,ROUNDDOWN($AB38/3,0))*4)+(SUMPRODUCT((PayEmp=$C38)*(PayDate&lt;=$AC38)*(ISERROR(SEARCH(PayEarnCode,AO$2)))*(PayEarnType="Bi-Annual")*(PayEarnValues))/MAX(1,ROUNDDOWN($AB38/6,0))*2)+(SUMPRODUCT((PayEmp=$C38)*(PayDate&lt;=$AC38)*(ISERROR(SEARCH(PayEarnCode,AO$2)))*(PayEarnType="Annual")*(PayEarnValues)))),IF(ISNUMBER(OFFSET($N$3,0,MATCH(AO$5,PayDedList,0)-1,1,1)),OFFSET($N$3,0,MATCH(AO$5,PayDedList,0)-1,1,1),IgnoreMin)))*IF(COUNTIFS(EmpNo,$C38,OFFSET(Emp!$R$4,1,MATCH(AO$5,DedListItem,0)-1,EmpCount,1),"&lt;&gt;")&gt;0,VLOOKUP($C38,EmpAll,COLUMN(Emp!$R$4)+MATCH(AO$5,DedListItem,0)-1,0),OFFSET(Setup!$E$73,MATCH(AO$5,DedListItem,0),0,1,1))*AO$3))),IF(ISNUMBER(AO$4),AO$4,IgnoreMin)))))</f>
        <v>0</v>
      </c>
      <c r="AP38" s="148" cm="1">
        <f t="array" aca="1" ref="AP38" ca="1">-IF($F38="Terminated",0,IF($AA38=0,0,IF(ISNA(MATCH(AP$5,PayDedList,0)),0,MIN(IF(COUNTIFS(OverEmp,$C38,OverDeduct,AP$5,OverDate,"&lt;"&amp;DATE(YEAR($AC38),MONTH($AC38)+1,1),OverEnd,"&gt;="&amp;DATE(YEAR($AC38),MONTH($AC38),1))&gt;0,SUMPRODUCT((PayEmp=$C38)*(PayDate&lt;=$AC38)*(OFFSET($N$6,1,MATCH(AP$5,PayDedList,0)-1,PayCount,1)))/$AA38*12*AP$3,IF(OR(AP$1="Fixed",AP$1="Not Used"),SUMPRODUCT((PayEmp=$C38)*(PayDate&lt;=$AC38)*(OFFSET($N$6,1,MATCH(AP$5,PayDedList,0)-1,PayCount,1)))/$AA38*12*AP$3,IF(ISNA(MATCH(AP$1,EarnListItem,0))=FALSE,SUMPRODUCT((PayEmp=$C38)*(PayDate&lt;=$AC38)*(OFFSET($N$6,1,MATCH(AP$5,PayDedList,0)-1,PayCount,1)))/$AA38*12*AP$3,(MIN(((SUMPRODUCT((PayEmp=$C38)*(PayDate&lt;=$AC38)*(ISERROR(SEARCH(PayEarnCode,AP$2)))*(PayEarnType="Monthly")*(PayEarnValues))/$AA38*12)+(SUMPRODUCT((PayEmp=$C38)*(PayDate&lt;=$AC38)*(ISERROR(SEARCH(PayEarnCode,AP$2)))*(PayEarnType="Quarterly")*(PayEarnValues))/MAX(1,ROUNDDOWN($AB38/3,0))*4)+(SUMPRODUCT((PayEmp=$C38)*(PayDate&lt;=$AC38)*(ISERROR(SEARCH(PayEarnCode,AP$2)))*(PayEarnType="Bi-Annual")*(PayEarnValues))/MAX(1,ROUNDDOWN($AB38/6,0))*2)+(SUMPRODUCT((PayEmp=$C38)*(PayDate&lt;=$AC38)*(ISERROR(SEARCH(PayEarnCode,AP$2)))*(PayEarnType="Annual")*(PayEarnValues)))),IF(ISNUMBER(OFFSET($N$3,0,MATCH(AP$5,PayDedList,0)-1,1,1)),OFFSET($N$3,0,MATCH(AP$5,PayDedList,0)-1,1,1),IgnoreMin)))*IF(COUNTIFS(EmpNo,$C38,OFFSET(Emp!$R$4,1,MATCH(AP$5,DedListItem,0)-1,EmpCount,1),"&lt;&gt;")&gt;0,VLOOKUP($C38,EmpAll,COLUMN(Emp!$R$4)+MATCH(AP$5,DedListItem,0)-1,0),OFFSET(Setup!$E$73,MATCH(AP$5,DedListItem,0),0,1,1))*AP$3))),IF(ISNUMBER(AP$4),AP$4,IgnoreMin)))))</f>
        <v>0</v>
      </c>
      <c r="AQ38" s="148" cm="1">
        <f t="array" aca="1" ref="AQ38" ca="1">-IF($F38="Terminated",0,IF($AA38=0,0,IF(ISNA(MATCH(AQ$5,PayDedList,0)),0,MIN(IF(COUNTIFS(OverEmp,$C38,OverDeduct,AQ$5,OverDate,"&lt;"&amp;DATE(YEAR($AC38),MONTH($AC38)+1,1),OverEnd,"&gt;="&amp;DATE(YEAR($AC38),MONTH($AC38),1))&gt;0,SUMPRODUCT((PayEmp=$C38)*(PayDate&lt;=$AC38)*(OFFSET($N$6,1,MATCH(AQ$5,PayDedList,0)-1,PayCount,1)))/$AA38*12*AQ$3,IF(OR(AQ$1="Fixed",AQ$1="Not Used"),SUMPRODUCT((PayEmp=$C38)*(PayDate&lt;=$AC38)*(OFFSET($N$6,1,MATCH(AQ$5,PayDedList,0)-1,PayCount,1)))/$AA38*12*AQ$3,IF(ISNA(MATCH(AQ$1,EarnListItem,0))=FALSE,SUMPRODUCT((PayEmp=$C38)*(PayDate&lt;=$AC38)*(OFFSET($N$6,1,MATCH(AQ$5,PayDedList,0)-1,PayCount,1)))/$AA38*12*AQ$3,(MIN(((SUMPRODUCT((PayEmp=$C38)*(PayDate&lt;=$AC38)*(ISERROR(SEARCH(PayEarnCode,AQ$2)))*(PayEarnType="Monthly")*(PayEarnValues))/$AA38*12)+(SUMPRODUCT((PayEmp=$C38)*(PayDate&lt;=$AC38)*(ISERROR(SEARCH(PayEarnCode,AQ$2)))*(PayEarnType="Quarterly")*(PayEarnValues))/MAX(1,ROUNDDOWN($AB38/3,0))*4)+(SUMPRODUCT((PayEmp=$C38)*(PayDate&lt;=$AC38)*(ISERROR(SEARCH(PayEarnCode,AQ$2)))*(PayEarnType="Bi-Annual")*(PayEarnValues))/MAX(1,ROUNDDOWN($AB38/6,0))*2)+(SUMPRODUCT((PayEmp=$C38)*(PayDate&lt;=$AC38)*(ISERROR(SEARCH(PayEarnCode,AQ$2)))*(PayEarnType="Annual")*(PayEarnValues)))),IF(ISNUMBER(OFFSET($N$3,0,MATCH(AQ$5,PayDedList,0)-1,1,1)),OFFSET($N$3,0,MATCH(AQ$5,PayDedList,0)-1,1,1),IgnoreMin)))*IF(COUNTIFS(EmpNo,$C38,OFFSET(Emp!$R$4,1,MATCH(AQ$5,DedListItem,0)-1,EmpCount,1),"&lt;&gt;")&gt;0,VLOOKUP($C38,EmpAll,COLUMN(Emp!$R$4)+MATCH(AQ$5,DedListItem,0)-1,0),OFFSET(Setup!$E$73,MATCH(AQ$5,DedListItem,0),0,1,1))*AQ$3))),IF(ISNUMBER(AQ$4),AQ$4,IgnoreMin)))))</f>
        <v>0</v>
      </c>
      <c r="AR38" s="148">
        <f t="shared" ca="1" si="22"/>
        <v>1440000</v>
      </c>
      <c r="AS38" s="148">
        <f t="shared" ca="1" si="11"/>
        <v>1440000</v>
      </c>
      <c r="AT38" s="148" cm="1">
        <f t="array" aca="1" ref="AT38" ca="1">-IF($F38="Terminated",0,IF($AA38=0,0,IF(ISNA(MATCH(AT$5,PayDedList,0)),0,MIN(IF(COUNTIFS(OverEmp,$C38,OverDeduct,AT$5,OverDate,"&lt;"&amp;DATE(YEAR($AC38),MONTH($AC38)+1,1),OverEnd,"&gt;="&amp;DATE(YEAR($AC38),MONTH($AC38),1))&gt;0,SUMPRODUCT((PayEmp=$C38)*(PayDate&lt;=$AC38)*(OFFSET($N$6,1,MATCH(AT$5,PayDedList,0)-1,PayCount,1)))/$AA38*12*AT$3,IF(OR(AT$1="Fixed",AT$1="Not Used"),SUMPRODUCT((PayEmp=$C38)*(PayDate&lt;=$AC38)*(OFFSET($N$6,1,MATCH(AT$5,PayDedList,0)-1,PayCount,1)))/$AA38*12*AT$3,IF(ISNA(MATCH(OFFSET($N$2,0,MATCH(AT$5,PayDedList,0)-1,1,1),EarnListItem,0))=FALSE,SUMPRODUCT((PayEmp=$C38)*(PayDate&lt;=$AC38)*(OFFSET($N$6,1,MATCH(AT$5,PayDedList,0)-1,PayCount,1)))/$AA38*12*AT$3,(MIN(SUMPRODUCT((PayEmp=$C38)*(PayDate&lt;=$AC38)*(ISERROR(SEARCH(PayEarnCode,AT$2)))*(PayEarnType="Monthly")*(PayEarnValues))/$AA38*12,IF(ISNUMBER(OFFSET($N$3,0,MATCH(AT$5,PayDedList,0)-1,1,1)),OFFSET($N$3,0,MATCH(AT$5,PayDedList,0)-1,1,1),IgnoreMin)))*IF(COUNTIFS(EmpNo,$C38,OFFSET(Emp!$R$4,1,MATCH(AT$5,DedListItem,0)-1,EmpCount,1),"&lt;&gt;")&gt;0,VLOOKUP($C38,EmpAll,COLUMN(Emp!$R$4)+MATCH(AT$5,DedListItem,0)-1,0),OFFSET(Setup!$E$73,MATCH(AT$5,DedListItem,0),0,1,1))*AT$3))),IF(ISNUMBER(AT$4),AT$4,IgnoreMin)))))</f>
        <v>0</v>
      </c>
      <c r="AU38" s="148" cm="1">
        <f t="array" aca="1" ref="AU38" ca="1">-IF($F38="Terminated",0,IF($AA38=0,0,IF(ISNA(MATCH(AU$5,PayDedList,0)),0,MIN(IF(COUNTIFS(OverEmp,$C38,OverDeduct,AU$5,OverDate,"&lt;"&amp;DATE(YEAR($AC38),MONTH($AC38)+1,1),OverEnd,"&gt;="&amp;DATE(YEAR($AC38),MONTH($AC38),1))&gt;0,SUMPRODUCT((PayEmp=$C38)*(PayDate&lt;=$AC38)*(OFFSET($N$6,1,MATCH(AU$5,PayDedList,0)-1,PayCount,1)))/$AA38*12*AU$3,IF(OR(AU$1="Fixed",AU$1="Not Used"),SUMPRODUCT((PayEmp=$C38)*(PayDate&lt;=$AC38)*(OFFSET($N$6,1,MATCH(AU$5,PayDedList,0)-1,PayCount,1)))/$AA38*12*AU$3,IF(ISNA(MATCH(OFFSET($N$2,0,MATCH(AU$5,PayDedList,0)-1,1,1),EarnListItem,0))=FALSE,SUMPRODUCT((PayEmp=$C38)*(PayDate&lt;=$AC38)*(OFFSET($N$6,1,MATCH(AU$5,PayDedList,0)-1,PayCount,1)))/$AA38*12*AU$3,(MIN(SUMPRODUCT((PayEmp=$C38)*(PayDate&lt;=$AC38)*(ISERROR(SEARCH(PayEarnCode,AU$2)))*(PayEarnType="Monthly")*(PayEarnValues))/$AA38*12,IF(ISNUMBER(OFFSET($N$3,0,MATCH(AU$5,PayDedList,0)-1,1,1)),OFFSET($N$3,0,MATCH(AU$5,PayDedList,0)-1,1,1),IgnoreMin)))*IF(COUNTIFS(EmpNo,$C38,OFFSET(Emp!$R$4,1,MATCH(AU$5,DedListItem,0)-1,EmpCount,1),"&lt;&gt;")&gt;0,VLOOKUP($C38,EmpAll,COLUMN(Emp!$R$4)+MATCH(AU$5,DedListItem,0)-1,0),OFFSET(Setup!$E$73,MATCH(AU$5,DedListItem,0),0,1,1))*AU$3))),IF(ISNUMBER(AU$4),AU$4,IgnoreMin)))))</f>
        <v>0</v>
      </c>
      <c r="AV38" s="148" cm="1">
        <f t="array" aca="1" ref="AV38" ca="1">-IF($F38="Terminated",0,IF($AA38=0,0,IF(ISNA(MATCH(AV$5,PayDedList,0)),0,MIN(IF(COUNTIFS(OverEmp,$C38,OverDeduct,AV$5,OverDate,"&lt;"&amp;DATE(YEAR($AC38),MONTH($AC38)+1,1),OverEnd,"&gt;="&amp;DATE(YEAR($AC38),MONTH($AC38),1))&gt;0,SUMPRODUCT((PayEmp=$C38)*(PayDate&lt;=$AC38)*(OFFSET($N$6,1,MATCH(AV$5,PayDedList,0)-1,PayCount,1)))/$AA38*12*AV$3,IF(OR(AV$1="Fixed",AV$1="Not Used"),SUMPRODUCT((PayEmp=$C38)*(PayDate&lt;=$AC38)*(OFFSET($N$6,1,MATCH(AV$5,PayDedList,0)-1,PayCount,1)))/$AA38*12*AV$3,IF(ISNA(MATCH(OFFSET($N$2,0,MATCH(AV$5,PayDedList,0)-1,1,1),EarnListItem,0))=FALSE,SUMPRODUCT((PayEmp=$C38)*(PayDate&lt;=$AC38)*(OFFSET($N$6,1,MATCH(AV$5,PayDedList,0)-1,PayCount,1)))/$AA38*12*AV$3,(MIN(SUMPRODUCT((PayEmp=$C38)*(PayDate&lt;=$AC38)*(ISERROR(SEARCH(PayEarnCode,AV$2)))*(PayEarnType="Monthly")*(PayEarnValues))/$AA38*12,IF(ISNUMBER(OFFSET($N$3,0,MATCH(AV$5,PayDedList,0)-1,1,1)),OFFSET($N$3,0,MATCH(AV$5,PayDedList,0)-1,1,1),IgnoreMin)))*IF(COUNTIFS(EmpNo,$C38,OFFSET(Emp!$R$4,1,MATCH(AV$5,DedListItem,0)-1,EmpCount,1),"&lt;&gt;")&gt;0,VLOOKUP($C38,EmpAll,COLUMN(Emp!$R$4)+MATCH(AV$5,DedListItem,0)-1,0),OFFSET(Setup!$E$73,MATCH(AV$5,DedListItem,0),0,1,1))*AV$3))),IF(ISNUMBER(AV$4),AV$4,IgnoreMin)))))</f>
        <v>0</v>
      </c>
      <c r="AW38" s="148" cm="1">
        <f t="array" aca="1" ref="AW38" ca="1">-IF($F38="Terminated",0,IF($AA38=0,0,IF(ISNA(MATCH(AW$5,PayDedList,0)),0,MIN(IF(COUNTIFS(OverEmp,$C38,OverDeduct,AW$5,OverDate,"&lt;"&amp;DATE(YEAR($AC38),MONTH($AC38)+1,1),OverEnd,"&gt;="&amp;DATE(YEAR($AC38),MONTH($AC38),1))&gt;0,SUMPRODUCT((PayEmp=$C38)*(PayDate&lt;=$AC38)*(OFFSET($N$6,1,MATCH(AW$5,PayDedList,0)-1,PayCount,1)))/$AA38*12*AW$3,IF(OR(AW$1="Fixed",AW$1="Not Used"),SUMPRODUCT((PayEmp=$C38)*(PayDate&lt;=$AC38)*(OFFSET($N$6,1,MATCH(AW$5,PayDedList,0)-1,PayCount,1)))/$AA38*12*AW$3,IF(ISNA(MATCH(OFFSET($N$2,0,MATCH(AW$5,PayDedList,0)-1,1,1),EarnListItem,0))=FALSE,SUMPRODUCT((PayEmp=$C38)*(PayDate&lt;=$AC38)*(OFFSET($N$6,1,MATCH(AW$5,PayDedList,0)-1,PayCount,1)))/$AA38*12*AW$3,(MIN(SUMPRODUCT((PayEmp=$C38)*(PayDate&lt;=$AC38)*(ISERROR(SEARCH(PayEarnCode,AW$2)))*(PayEarnType="Monthly")*(PayEarnValues))/$AA38*12,IF(ISNUMBER(OFFSET($N$3,0,MATCH(AW$5,PayDedList,0)-1,1,1)),OFFSET($N$3,0,MATCH(AW$5,PayDedList,0)-1,1,1),IgnoreMin)))*IF(COUNTIFS(EmpNo,$C38,OFFSET(Emp!$R$4,1,MATCH(AW$5,DedListItem,0)-1,EmpCount,1),"&lt;&gt;")&gt;0,VLOOKUP($C38,EmpAll,COLUMN(Emp!$R$4)+MATCH(AW$5,DedListItem,0)-1,0),OFFSET(Setup!$E$73,MATCH(AW$5,DedListItem,0),0,1,1))*AW$3))),IF(ISNUMBER(AW$4),AW$4,IgnoreMin)))))</f>
        <v>0</v>
      </c>
      <c r="AX38" s="148">
        <f t="shared" ca="1" si="12"/>
        <v>1440000</v>
      </c>
      <c r="AY38" s="148">
        <f t="shared" ca="1" si="13"/>
        <v>0</v>
      </c>
      <c r="AZ38" s="148">
        <f ca="1">IF(ISNUMBER($AL38),($AR38*$AL38)-$AI38-$AK38,MAX(0,IF($AL38="B",IF($AR38&lt;Setup!$C$32,($AR38*Setup!$D$32)-$AI38-$AK38,(($AR38-VLOOKUP($AR38,TaxAll2,1,1))*OFFSET(Setup!$D$32,MATCH($AR38,TaxBracket2,1),0,1,1))+OFFSET(Setup!$E$31,MATCH($AR38,TaxBracket2,1),0,1,1)-$AI38-$AK38),IF($AR38&lt;Setup!$C$21,($AR38*Setup!$D$21)-$AI38-$AK38,(($AR38-VLOOKUP($AR38,TaxAll1,1,1))*OFFSET(Setup!$D$21,MATCH($AR38,TaxBracket1,1),0,1,1))+OFFSET(Setup!$E$20,MATCH($AR38,TaxBracket1,1),0,1,1)-$AI38-$AK38))))</f>
        <v>463948</v>
      </c>
      <c r="BA38" s="148">
        <f ca="1">IF(ISNUMBER($AL38),($AX38*$AL38)-$AI38-$AK38,MAX(0,IF($AL38="B",IF($AX38&lt;Setup!$C$32,($AX38*Setup!$D$32)-$AI38-$AK38,(($AX38-VLOOKUP($AX38,TaxAll2,1,1))*OFFSET(Setup!$D$32,MATCH($AX38,TaxBracket2,1),0,1,1))+OFFSET(Setup!$E$31,MATCH($AX38,TaxBracket2,1),0,1,1)-$AI38-$AK38),IF($AX38&lt;Setup!$C$21,($AX38*Setup!$D$21)-$AI38-$AK38,(($AX38-VLOOKUP($AX38,TaxAll1,1,1))*OFFSET(Setup!$D$21,MATCH($AX38,TaxBracket1,1),0,1,1))+OFFSET(Setup!$E$20,MATCH($AX38,TaxBracket1,1),0,1,1)-$AI38-$AK38))))</f>
        <v>463948</v>
      </c>
      <c r="BB38" s="148">
        <f t="shared" ca="1" si="23"/>
        <v>0</v>
      </c>
      <c r="BC38" s="150">
        <f t="shared" ca="1" si="15"/>
        <v>1</v>
      </c>
      <c r="BD38" s="150">
        <f t="shared" ca="1" si="16"/>
        <v>0</v>
      </c>
      <c r="BE38" s="148">
        <f t="shared" ca="1" si="17"/>
        <v>1440000</v>
      </c>
    </row>
    <row r="39" spans="1:57" ht="16.149999999999999" customHeight="1" x14ac:dyDescent="0.25">
      <c r="A39" s="10" t="str" cm="1">
        <f t="array" aca="1" ref="A39" ca="1">IF(ROW($A39)-ROW($A$6)&gt;EmpCount*12,"-",TEXT($B39,"yyyy")&amp;TEXT($B39,"mm")&amp;"-"&amp;$C39)</f>
        <v>202305-EXS003</v>
      </c>
      <c r="B39" s="137" cm="1">
        <f t="array" aca="1" ref="B39" ca="1">IF(ROW($A39)-ROW($A$6)&gt;EmpCount*12,Setup!$D$12,DATE(YEAR(Setup!$F$12),MONTH(Setup!$F$12)+ROUNDDOWN((ROW($A39)-ROW($A$6)-1)/EmpCount,0),IF(Setup!$C$14&gt;DAY(DATE(YEAR(Setup!$F$12),MONTH(Setup!$F$12)+ROUNDDOWN((ROW($A39)-ROW($A$6)-1)/EmpCount,0)+1,0)),DAY(DATE(YEAR(Setup!$F$12),MONTH(Setup!$F$12)+ROUNDDOWN((ROW($A39)-ROW($A$6)-1)/EmpCount,0)+1,0)),Setup!$C$14)))</f>
        <v>45071</v>
      </c>
      <c r="C39" s="101" t="str" cm="1">
        <f t="array" aca="1" ref="C39" ca="1">IF(ROW($A39)-ROW($A$6)&gt;EmpCount*12,"-",OFFSET(Emp!$A$4,ROW($A39)-ROW($A$6)-IF(ROW($A39)-ROW($A$6)&gt;EmpCount,ROUNDDOWN((ROW($A39)-ROW($A$6)-1)/EmpCount,0)*EmpCount,0),0,1,1))</f>
        <v>EXS003</v>
      </c>
      <c r="D39" s="10" t="str">
        <f ca="1">IF(ISNA(VLOOKUP($C39,EmpAll,COLUMN(Emp!$B$4),0)),"-",VLOOKUP($C39,EmpAll,COLUMN(Emp!$B$4),0))</f>
        <v>Wilson PG</v>
      </c>
      <c r="E39" s="145" t="str">
        <f ca="1">IF(ISNA(VLOOKUP($C39,EmpAll,COLUMN(Emp!$C$4),0)),"-",VLOOKUP($C39,EmpAll,COLUMN(Emp!$C$4),0))</f>
        <v>S</v>
      </c>
      <c r="F39" s="101" t="str">
        <f ca="1">IF(ISNA(VLOOKUP($C39,EmpAll,COLUMN(Emp!$A$4),0)),"-",IF(AND(VLOOKUP($C39,EmpAll,COLUMN(Emp!$E$4),0)&lt;&gt;0,VLOOKUP($C39,EmpAll,COLUMN(Emp!$E$4),0)&gt;=DATE(YEAR($AC39),MONTH($AC39)+1,0)),"Inactive",IF(AND(VLOOKUP($C39,EmpAll,COLUMN(Emp!$F$4),0)&lt;&gt;0,VLOOKUP($C39,EmpAll,COLUMN(Emp!$F$4),0)&lt;=DATE(YEAR($AC39),MONTH($AC39),0)),"Terminated","Active")))</f>
        <v>Active</v>
      </c>
      <c r="G39" s="133" cm="1">
        <f t="array" aca="1" ref="G39" ca="1">IF($F39&lt;&gt;"Active",0,IF(COUNTIFS(OverEmp,$C39,OverEarn,G$2,OverDate,"&lt;"&amp;DATE(YEAR($AC39),MONTH($AC39)+1,1),OverEnd,"&gt;="&amp;DATE(YEAR($AC39),MONTH($AC39),1))&gt;0,SUMIFS(OverValue,OverEmp,$C39,OverEarn,G$2,OverDate,"&lt;"&amp;DATE(YEAR($AC39),MONTH($AC39)+1,1),OverEnd,"&gt;="&amp;DATE(YEAR($AC39),MONTH($AC39),1)),IF(AND($AC39&gt;=Setup!$E$10,SUMIFS(EmpIncrease,EmpCode,$C39)&gt;0),SUMIFS(EmpIncrease,EmpCode,$C39),SUMIFS(EmpSalary,EmpCode,$C39))))</f>
        <v>15000</v>
      </c>
      <c r="H39" s="133" cm="1">
        <f t="array" aca="1" ref="H39" ca="1">IF($F39&lt;&gt;"Active",0,IF(COUNTIFS(OverEmp,$C39,OverEarn,H$2,OverDate,"&lt;"&amp;DATE(YEAR($AC39),MONTH($AC39)+1,1),OverEnd,"&gt;="&amp;DATE(YEAR($AC39),MONTH($AC39),1))&gt;0,SUMIFS(OverValue,OverEmp,$C39,OverEarn,H$2,OverDate,"&lt;"&amp;DATE(YEAR($AC39),MONTH($AC39)+1,1),OverEnd,"&gt;="&amp;DATE(YEAR($AC39),MONTH($AC39),1)),0))</f>
        <v>0</v>
      </c>
      <c r="I39" s="133" cm="1">
        <f t="array" aca="1" ref="I39" ca="1">IF($F39&lt;&gt;"Active",0,IF(COUNTIFS(OverEmp,$C39,OverEarn,I$2,OverDate,"&lt;"&amp;DATE(YEAR($AC39),MONTH($AC39)+1,1),OverEnd,"&gt;="&amp;DATE(YEAR($AC39),MONTH($AC39),1))&gt;0,SUMIFS(OverValue,OverEmp,$C39,OverEarn,I$2,OverDate,"&lt;"&amp;DATE(YEAR($AC39),MONTH($AC39)+1,1),OverEnd,"&gt;="&amp;DATE(YEAR($AC39),MONTH($AC39),1)),IF(MONTH(B39)=Setup!$C$15,SUMIFS(EmpBonus,EmpCode,$C39),0)))</f>
        <v>0</v>
      </c>
      <c r="J39" s="133" cm="1">
        <f t="array" aca="1" ref="J39" ca="1">IF($F39&lt;&gt;"Active",0,IF(COUNTIFS(OverEmp,$C39,OverEarn,J$2,OverDate,"&lt;"&amp;DATE(YEAR($AC39),MONTH($AC39)+1,1),OverEnd,"&gt;="&amp;DATE(YEAR($AC39),MONTH($AC39),1))&gt;0,SUMIFS(OverValue,OverEmp,$C39,OverEarn,J$2,OverDate,"&lt;"&amp;DATE(YEAR($AC39),MONTH($AC39)+1,1),OverEnd,"&gt;="&amp;DATE(YEAR($AC39),MONTH($AC39),1)),0))</f>
        <v>0</v>
      </c>
      <c r="K39" s="133" cm="1">
        <f t="array" aca="1" ref="K39" ca="1">IF($F39&lt;&gt;"Active",0,IF(COUNTIFS(OverEmp,$C39,OverEarn,K$2,OverDate,"&lt;"&amp;DATE(YEAR($AC39),MONTH($AC39)+1,1),OverEnd,"&gt;="&amp;DATE(YEAR($AC39),MONTH($AC39),1))&gt;0,SUMIFS(OverValue,OverEmp,$C39,OverEarn,K$2,OverDate,"&lt;"&amp;DATE(YEAR($AC39),MONTH($AC39)+1,1),OverEnd,"&gt;="&amp;DATE(YEAR($AC39),MONTH($AC39),1)),0))</f>
        <v>0</v>
      </c>
      <c r="L39" s="185">
        <f t="shared" ref="L39:L70" ca="1" si="24">IF($AA39=0,0,SUM(OFFSET($G39,0,0,1,COLUMN($L$6)-COLUMN($G$6))))</f>
        <v>15000</v>
      </c>
      <c r="M39" s="182" cm="1">
        <f t="array" aca="1" ref="M39" ca="1">IF(COUNTIFS(OverEmp,$C39,OverTax,M$5,OverDate,"&lt;"&amp;DATE(YEAR($AC39),MONTH($AC39)+1,1),OverEnd,"&gt;="&amp;DATE(YEAR($AC39),MONTH($AC39),1))&gt;0,SUMIFS(OverValue,OverEmp,$C39,OverTax,M$5,OverDate,"&lt;"&amp;DATE(YEAR($AC39),MONTH($AC39)+1,1),OverEnd,"&gt;="&amp;DATE(YEAR($AC39),MONTH($AC39),1)),(($BA39/12*$AA39)+(BB39*IF(1-$BC39=0,0,BD39/(1-$BC39))))-IF($F39="Terminated",0,SUMIFS(PayTaxDeduct,PayDate,"&lt;"&amp;$AC39,PayEmp,$C39)))</f>
        <v>899.75</v>
      </c>
      <c r="N39" s="133" cm="1">
        <f t="array" aca="1" ref="N39" ca="1">IF($F39="Terminated",0,IF($AA39=0,0,IF(ISNA(MATCH(N$5,DedListItem,0)),0,IF(COUNTIFS(OverEmp,$C39,OverDeduct,N$5,OverDate,"&lt;"&amp;DATE(YEAR($AC39),MONTH($AC39)+1,1),OverEnd,"&gt;="&amp;DATE(YEAR($AC39),MONTH($AC39),1))&gt;0,SUMIFS(OverValue,OverEmp,$C39,OverDeduct,N$5,OverDate,"&lt;"&amp;DATE(YEAR($AC39),MONTH($AC39)+1,1),OverEnd,"&gt;="&amp;DATE(YEAR($AC39),MONTH($AC39),1)),IF(OR(N$2="Fixed",N$2="Not Used"),(IF(COUNTIFS(EmpNo,$C39,OFFSET(Emp!$R$4,1,MATCH(N$5,DedListItem,0)-1,EmpCount,1),"&lt;&gt;")&gt;0,VLOOKUP($C39,EmpAll,COLUMN(Emp!$R$4)+MATCH(N$5,DedListItem,0)-1,0),OFFSET(Setup!$E$73,MATCH(N$5,DedListItem,0),0,1,1))*$AA39)-SUMIFS(OFFSET(N$6,1,0,PayCount,1),PayDate,"&lt;"&amp;$AC39,PayEmp,$C39),IF(ISNA(MATCH(N$2,EarnListItem,0))=FALSE,IF(OFFSET(Setup!$G$73,MATCH(N$5,DedListItem,0),0,1,1)="Taxable",SUMPRODUCT((PayEmp=$C39)*(PayDate&lt;=$AC39)*(PayEarnCode=N$2)*(PayEarnTax)*(PayEarnValues)),SUMPRODUCT((PayEmp=$C39)*(PayDate&lt;=$AC39)*(PayEarnCode=N$2)*(PayEarnValues)))*IF(COUNTIFS(EmpNo,$C39,OFFSET(Emp!$R$4,1,MATCH(N$5,DedListItem,0)-1,EmpCount,1),"&lt;&gt;")&gt;0,VLOOKUP($C39,EmpAll,COLUMN(Emp!$R$4)+MATCH(N$5,DedListItem,0)-1,0),OFFSET(Setup!$E$73,MATCH(N$5,DedListItem,0),0,1,1)),(MIN(IF(OFFSET(Setup!$G$73,MATCH(N$5,DedListItem,0),0,1,1)="Taxable",SUMPRODUCT((PayEmp=$C39)*(PayDate&lt;=$AC39)*(ISERROR(SEARCH(PayEarnCode,N$4)))*(PayEarnTax)*(PayEarnValues)),SUMPRODUCT((PayEmp=$C39)*(PayDate&lt;=$AC39)*(ISERROR(SEARCH(PayEarnCode,N$4)))*(PayEarnValues))),IF(ISNUMBER(N$3),N$3/12*$AA39,IgnoreMin)))*IF(COUNTIFS(EmpNo,$C39,OFFSET(Emp!$R$4,1,MATCH(N$5,DedListItem,0)-1,EmpCount,1),"&lt;&gt;")&gt;0,VLOOKUP($C39,EmpAll,COLUMN(Emp!$R$4)+MATCH(N$5,DedListItem,0)-1,0),OFFSET(Setup!$E$73,MATCH(N$5,DedListItem,0),0,1,1)))-SUMIFS(OFFSET(N$6,1,0,PayCount,1),PayDate,"&lt;"&amp;$AC39,PayEmp,$C39))))))</f>
        <v>150</v>
      </c>
      <c r="O39" s="133" cm="1">
        <f t="array" aca="1" ref="O39" ca="1">IF($F39="Terminated",0,IF($AA39=0,0,IF(ISNA(MATCH(O$5,DedListItem,0)),0,IF(COUNTIFS(OverEmp,$C39,OverDeduct,O$5,OverDate,"&lt;"&amp;DATE(YEAR($AC39),MONTH($AC39)+1,1),OverEnd,"&gt;="&amp;DATE(YEAR($AC39),MONTH($AC39),1))&gt;0,SUMIFS(OverValue,OverEmp,$C39,OverDeduct,O$5,OverDate,"&lt;"&amp;DATE(YEAR($AC39),MONTH($AC39)+1,1),OverEnd,"&gt;="&amp;DATE(YEAR($AC39),MONTH($AC39),1)),IF(OR(O$2="Fixed",O$2="Not Used"),(IF(COUNTIFS(EmpNo,$C39,OFFSET(Emp!$R$4,1,MATCH(O$5,DedListItem,0)-1,EmpCount,1),"&lt;&gt;")&gt;0,VLOOKUP($C39,EmpAll,COLUMN(Emp!$R$4)+MATCH(O$5,DedListItem,0)-1,0),OFFSET(Setup!$E$73,MATCH(O$5,DedListItem,0),0,1,1))*$AA39)-SUMIFS(OFFSET(O$6,1,0,PayCount,1),PayDate,"&lt;"&amp;$AC39,PayEmp,$C39),IF(ISNA(MATCH(O$2,EarnListItem,0))=FALSE,IF(OFFSET(Setup!$G$73,MATCH(O$5,DedListItem,0),0,1,1)="Taxable",SUMPRODUCT((PayEmp=$C39)*(PayDate&lt;=$AC39)*(PayEarnCode=O$2)*(PayEarnTax)*(PayEarnValues)),SUMPRODUCT((PayEmp=$C39)*(PayDate&lt;=$AC39)*(PayEarnCode=O$2)*(PayEarnValues)))*IF(COUNTIFS(EmpNo,$C39,OFFSET(Emp!$R$4,1,MATCH(O$5,DedListItem,0)-1,EmpCount,1),"&lt;&gt;")&gt;0,VLOOKUP($C39,EmpAll,COLUMN(Emp!$R$4)+MATCH(O$5,DedListItem,0)-1,0),OFFSET(Setup!$E$73,MATCH(O$5,DedListItem,0),0,1,1)),(MIN(IF(OFFSET(Setup!$G$73,MATCH(O$5,DedListItem,0),0,1,1)="Taxable",SUMPRODUCT((PayEmp=$C39)*(PayDate&lt;=$AC39)*(ISERROR(SEARCH(PayEarnCode,O$4)))*(PayEarnTax)*(PayEarnValues)),SUMPRODUCT((PayEmp=$C39)*(PayDate&lt;=$AC39)*(ISERROR(SEARCH(PayEarnCode,O$4)))*(PayEarnValues))),IF(ISNUMBER(O$3),O$3/12*$AA39,IgnoreMin)))*IF(COUNTIFS(EmpNo,$C39,OFFSET(Emp!$R$4,1,MATCH(O$5,DedListItem,0)-1,EmpCount,1),"&lt;&gt;")&gt;0,VLOOKUP($C39,EmpAll,COLUMN(Emp!$R$4)+MATCH(O$5,DedListItem,0)-1,0),OFFSET(Setup!$E$73,MATCH(O$5,DedListItem,0),0,1,1)))-SUMIFS(OFFSET(O$6,1,0,PayCount,1),PayDate,"&lt;"&amp;$AC39,PayEmp,$C39))))))</f>
        <v>0</v>
      </c>
      <c r="P39" s="133" cm="1">
        <f t="array" aca="1" ref="P39" ca="1">IF($F39="Terminated",0,IF($AA39=0,0,IF(ISNA(MATCH(P$5,DedListItem,0)),0,IF(COUNTIFS(OverEmp,$C39,OverDeduct,P$5,OverDate,"&lt;"&amp;DATE(YEAR($AC39),MONTH($AC39)+1,1),OverEnd,"&gt;="&amp;DATE(YEAR($AC39),MONTH($AC39),1))&gt;0,SUMIFS(OverValue,OverEmp,$C39,OverDeduct,P$5,OverDate,"&lt;"&amp;DATE(YEAR($AC39),MONTH($AC39)+1,1),OverEnd,"&gt;="&amp;DATE(YEAR($AC39),MONTH($AC39),1)),IF(OR(P$2="Fixed",P$2="Not Used"),(IF(COUNTIFS(EmpNo,$C39,OFFSET(Emp!$R$4,1,MATCH(P$5,DedListItem,0)-1,EmpCount,1),"&lt;&gt;")&gt;0,VLOOKUP($C39,EmpAll,COLUMN(Emp!$R$4)+MATCH(P$5,DedListItem,0)-1,0),OFFSET(Setup!$E$73,MATCH(P$5,DedListItem,0),0,1,1))*$AA39)-SUMIFS(OFFSET(P$6,1,0,PayCount,1),PayDate,"&lt;"&amp;$AC39,PayEmp,$C39),IF(ISNA(MATCH(P$2,EarnListItem,0))=FALSE,IF(OFFSET(Setup!$G$73,MATCH(P$5,DedListItem,0),0,1,1)="Taxable",SUMPRODUCT((PayEmp=$C39)*(PayDate&lt;=$AC39)*(PayEarnCode=P$2)*(PayEarnTax)*(PayEarnValues)),SUMPRODUCT((PayEmp=$C39)*(PayDate&lt;=$AC39)*(PayEarnCode=P$2)*(PayEarnValues)))*IF(COUNTIFS(EmpNo,$C39,OFFSET(Emp!$R$4,1,MATCH(P$5,DedListItem,0)-1,EmpCount,1),"&lt;&gt;")&gt;0,VLOOKUP($C39,EmpAll,COLUMN(Emp!$R$4)+MATCH(P$5,DedListItem,0)-1,0),OFFSET(Setup!$E$73,MATCH(P$5,DedListItem,0),0,1,1)),(MIN(IF(OFFSET(Setup!$G$73,MATCH(P$5,DedListItem,0),0,1,1)="Taxable",SUMPRODUCT((PayEmp=$C39)*(PayDate&lt;=$AC39)*(ISERROR(SEARCH(PayEarnCode,P$4)))*(PayEarnTax)*(PayEarnValues)),SUMPRODUCT((PayEmp=$C39)*(PayDate&lt;=$AC39)*(ISERROR(SEARCH(PayEarnCode,P$4)))*(PayEarnValues))),IF(ISNUMBER(P$3),P$3/12*$AA39,IgnoreMin)))*IF(COUNTIFS(EmpNo,$C39,OFFSET(Emp!$R$4,1,MATCH(P$5,DedListItem,0)-1,EmpCount,1),"&lt;&gt;")&gt;0,VLOOKUP($C39,EmpAll,COLUMN(Emp!$R$4)+MATCH(P$5,DedListItem,0)-1,0),OFFSET(Setup!$E$73,MATCH(P$5,DedListItem,0),0,1,1)))-SUMIFS(OFFSET(P$6,1,0,PayCount,1),PayDate,"&lt;"&amp;$AC39,PayEmp,$C39))))))</f>
        <v>0</v>
      </c>
      <c r="Q39" s="133" cm="1">
        <f t="array" aca="1" ref="Q39" ca="1">IF($F39="Terminated",0,IF($AA39=0,0,IF(ISNA(MATCH(Q$5,DedListItem,0)),0,IF(COUNTIFS(OverEmp,$C39,OverDeduct,Q$5,OverDate,"&lt;"&amp;DATE(YEAR($AC39),MONTH($AC39)+1,1),OverEnd,"&gt;="&amp;DATE(YEAR($AC39),MONTH($AC39),1))&gt;0,SUMIFS(OverValue,OverEmp,$C39,OverDeduct,Q$5,OverDate,"&lt;"&amp;DATE(YEAR($AC39),MONTH($AC39)+1,1),OverEnd,"&gt;="&amp;DATE(YEAR($AC39),MONTH($AC39),1)),IF(OR(Q$2="Fixed",Q$2="Not Used"),(IF(COUNTIFS(EmpNo,$C39,OFFSET(Emp!$R$4,1,MATCH(Q$5,DedListItem,0)-1,EmpCount,1),"&lt;&gt;")&gt;0,VLOOKUP($C39,EmpAll,COLUMN(Emp!$R$4)+MATCH(Q$5,DedListItem,0)-1,0),OFFSET(Setup!$E$73,MATCH(Q$5,DedListItem,0),0,1,1))*$AA39)-SUMIFS(OFFSET(Q$6,1,0,PayCount,1),PayDate,"&lt;"&amp;$AC39,PayEmp,$C39),IF(ISNA(MATCH(Q$2,EarnListItem,0))=FALSE,IF(OFFSET(Setup!$G$73,MATCH(Q$5,DedListItem,0),0,1,1)="Taxable",SUMPRODUCT((PayEmp=$C39)*(PayDate&lt;=$AC39)*(PayEarnCode=Q$2)*(PayEarnTax)*(PayEarnValues)),SUMPRODUCT((PayEmp=$C39)*(PayDate&lt;=$AC39)*(PayEarnCode=Q$2)*(PayEarnValues)))*IF(COUNTIFS(EmpNo,$C39,OFFSET(Emp!$R$4,1,MATCH(Q$5,DedListItem,0)-1,EmpCount,1),"&lt;&gt;")&gt;0,VLOOKUP($C39,EmpAll,COLUMN(Emp!$R$4)+MATCH(Q$5,DedListItem,0)-1,0),OFFSET(Setup!$E$73,MATCH(Q$5,DedListItem,0),0,1,1)),(MIN(IF(OFFSET(Setup!$G$73,MATCH(Q$5,DedListItem,0),0,1,1)="Taxable",SUMPRODUCT((PayEmp=$C39)*(PayDate&lt;=$AC39)*(ISERROR(SEARCH(PayEarnCode,Q$4)))*(PayEarnTax)*(PayEarnValues)),SUMPRODUCT((PayEmp=$C39)*(PayDate&lt;=$AC39)*(ISERROR(SEARCH(PayEarnCode,Q$4)))*(PayEarnValues))),IF(ISNUMBER(Q$3),Q$3/12*$AA39,IgnoreMin)))*IF(COUNTIFS(EmpNo,$C39,OFFSET(Emp!$R$4,1,MATCH(Q$5,DedListItem,0)-1,EmpCount,1),"&lt;&gt;")&gt;0,VLOOKUP($C39,EmpAll,COLUMN(Emp!$R$4)+MATCH(Q$5,DedListItem,0)-1,0),OFFSET(Setup!$E$73,MATCH(Q$5,DedListItem,0),0,1,1)))-SUMIFS(OFFSET(Q$6,1,0,PayCount,1),PayDate,"&lt;"&amp;$AC39,PayEmp,$C39))))))</f>
        <v>0</v>
      </c>
      <c r="R39" s="185">
        <f t="shared" ref="R39:R70" ca="1" si="25">SUM(OFFSET(M39,0,0,1,COLUMN($R$6)-COLUMN($M$6)))</f>
        <v>1049.75</v>
      </c>
      <c r="S39" s="139">
        <f t="shared" ref="S39:S70" ca="1" si="26">ROUND(SUM(L39,-R39),2)</f>
        <v>13950.25</v>
      </c>
      <c r="T39" s="133" cm="1">
        <f t="array" aca="1" ref="T39" ca="1">IF($F39="Terminated",0,IF($AA39=0,0,IF(ISNA(MATCH(T$5,CompListItem,0)),0,IF(COUNTIFS(OverEmp,$C39,OverComp,T$5,OverDate,"&lt;"&amp;DATE(YEAR($AC39),MONTH($AC39)+1,1),OverEnd,"&gt;="&amp;DATE(YEAR($AC39),MONTH($AC39),1))&gt;0,SUMIFS(OverValue,OverEmp,$C39,OverComp,T$5,OverDate,"&lt;"&amp;DATE(YEAR($AC39),MONTH($AC39)+1,1),OverEnd,"&gt;="&amp;DATE(YEAR($AC39),MONTH($AC39),1)),IF(OR(T$2="Fixed",T$2="Not Used"),(OFFSET(Setup!$E$81,MATCH(T$5,CompListItem,0),0,1,1)*$AA39)-SUMIFS(OFFSET(T$6,1,0,PayCount,1),PayDate,"&lt;"&amp;$AC39,PayEmp,$C39),IF(ISNA(MATCH(T$2,DedListItem,0))=FALSE,(SUMPRODUCT((PayEmp=$C39)*(PayDate&lt;=$AC39)*(PayDedList=T$2)*(PayDedValues))*OFFSET(Setup!$E$81,MATCH(T$5,CompListItem,0),0,1,1))-SUMIFS(OFFSET(T$6,1,0,PayCount,1),PayDate,"&lt;"&amp;$AC39,PayEmp,$C39),(MIN(IF(OFFSET(Setup!$G$81,MATCH(T$5,CompListItem,0),0,1,1)="Taxable",SUMPRODUCT((PayEmp=$C39)*(PayDate&lt;=$AC39)*(ISERROR(SEARCH(PayEarnCode,T$4)))*(PayEarnTax)*(PayEarnValues)),SUMPRODUCT((PayEmp=$C39)*(PayDate&lt;=$AC39)*(ISERROR(SEARCH(PayEarnCode,T$4)))*(PayEarnValues))),IF(ISNUMBER(T$3),T$3/12*$AA39,IgnoreMin)))*OFFSET(Setup!$E$81,MATCH(T$5,CompListItem,0),0,1,1)-SUMIFS(OFFSET(T$6,1,0,PayCount,1),PayDate,"&lt;"&amp;$AC39,PayEmp,$C39)))))))</f>
        <v>150</v>
      </c>
      <c r="U39" s="133" cm="1">
        <f t="array" aca="1" ref="U39" ca="1">IF($F39="Terminated",0,IF($AA39=0,0,IF(ISNA(MATCH(U$5,CompListItem,0)),0,IF(COUNTIFS(OverEmp,$C39,OverComp,U$5,OverDate,"&lt;"&amp;DATE(YEAR($AC39),MONTH($AC39)+1,1),OverEnd,"&gt;="&amp;DATE(YEAR($AC39),MONTH($AC39),1))&gt;0,SUMIFS(OverValue,OverEmp,$C39,OverComp,U$5,OverDate,"&lt;"&amp;DATE(YEAR($AC39),MONTH($AC39)+1,1),OverEnd,"&gt;="&amp;DATE(YEAR($AC39),MONTH($AC39),1)),IF(OR(U$2="Fixed",U$2="Not Used"),(OFFSET(Setup!$E$81,MATCH(U$5,CompListItem,0),0,1,1)*$AA39)-SUMIFS(OFFSET(U$6,1,0,PayCount,1),PayDate,"&lt;"&amp;$AC39,PayEmp,$C39),IF(ISNA(MATCH(U$2,DedListItem,0))=FALSE,(SUMPRODUCT((PayEmp=$C39)*(PayDate&lt;=$AC39)*(PayDedList=U$2)*(PayDedValues))*OFFSET(Setup!$E$81,MATCH(U$5,CompListItem,0),0,1,1))-SUMIFS(OFFSET(U$6,1,0,PayCount,1),PayDate,"&lt;"&amp;$AC39,PayEmp,$C39),(MIN(IF(OFFSET(Setup!$G$81,MATCH(U$5,CompListItem,0),0,1,1)="Taxable",SUMPRODUCT((PayEmp=$C39)*(PayDate&lt;=$AC39)*(ISERROR(SEARCH(PayEarnCode,U$4)))*(PayEarnTax)*(PayEarnValues)),SUMPRODUCT((PayEmp=$C39)*(PayDate&lt;=$AC39)*(ISERROR(SEARCH(PayEarnCode,U$4)))*(PayEarnValues))),IF(ISNUMBER(U$3),U$3/12*$AA39,IgnoreMin)))*OFFSET(Setup!$E$81,MATCH(U$5,CompListItem,0),0,1,1)-SUMIFS(OFFSET(U$6,1,0,PayCount,1),PayDate,"&lt;"&amp;$AC39,PayEmp,$C39)))))))</f>
        <v>150</v>
      </c>
      <c r="V39" s="133" cm="1">
        <f t="array" aca="1" ref="V39" ca="1">IF($F39="Terminated",0,IF($AA39=0,0,IF(ISNA(MATCH(V$5,CompListItem,0)),0,IF(COUNTIFS(OverEmp,$C39,OverComp,V$5,OverDate,"&lt;"&amp;DATE(YEAR($AC39),MONTH($AC39)+1,1),OverEnd,"&gt;="&amp;DATE(YEAR($AC39),MONTH($AC39),1))&gt;0,SUMIFS(OverValue,OverEmp,$C39,OverComp,V$5,OverDate,"&lt;"&amp;DATE(YEAR($AC39),MONTH($AC39)+1,1),OverEnd,"&gt;="&amp;DATE(YEAR($AC39),MONTH($AC39),1)),IF(OR(V$2="Fixed",V$2="Not Used"),(OFFSET(Setup!$E$81,MATCH(V$5,CompListItem,0),0,1,1)*$AA39)-SUMIFS(OFFSET(V$6,1,0,PayCount,1),PayDate,"&lt;"&amp;$AC39,PayEmp,$C39),IF(ISNA(MATCH(V$2,DedListItem,0))=FALSE,(SUMPRODUCT((PayEmp=$C39)*(PayDate&lt;=$AC39)*(PayDedList=V$2)*(PayDedValues))*OFFSET(Setup!$E$81,MATCH(V$5,CompListItem,0),0,1,1))-SUMIFS(OFFSET(V$6,1,0,PayCount,1),PayDate,"&lt;"&amp;$AC39,PayEmp,$C39),(MIN(IF(OFFSET(Setup!$G$81,MATCH(V$5,CompListItem,0),0,1,1)="Taxable",SUMPRODUCT((PayEmp=$C39)*(PayDate&lt;=$AC39)*(ISERROR(SEARCH(PayEarnCode,V$4)))*(PayEarnTax)*(PayEarnValues)),SUMPRODUCT((PayEmp=$C39)*(PayDate&lt;=$AC39)*(ISERROR(SEARCH(PayEarnCode,V$4)))*(PayEarnValues))),IF(ISNUMBER(V$3),V$3/12*$AA39,IgnoreMin)))*OFFSET(Setup!$E$81,MATCH(V$5,CompListItem,0),0,1,1)-SUMIFS(OFFSET(V$6,1,0,PayCount,1),PayDate,"&lt;"&amp;$AC39,PayEmp,$C39)))))))</f>
        <v>0</v>
      </c>
      <c r="W39" s="133" cm="1">
        <f t="array" aca="1" ref="W39" ca="1">IF($F39="Terminated",0,IF($AA39=0,0,IF(ISNA(MATCH(W$5,CompListItem,0)),0,IF(COUNTIFS(OverEmp,$C39,OverComp,W$5,OverDate,"&lt;"&amp;DATE(YEAR($AC39),MONTH($AC39)+1,1),OverEnd,"&gt;="&amp;DATE(YEAR($AC39),MONTH($AC39),1))&gt;0,SUMIFS(OverValue,OverEmp,$C39,OverComp,W$5,OverDate,"&lt;"&amp;DATE(YEAR($AC39),MONTH($AC39)+1,1),OverEnd,"&gt;="&amp;DATE(YEAR($AC39),MONTH($AC39),1)),IF(OR(W$2="Fixed",W$2="Not Used"),(OFFSET(Setup!$E$81,MATCH(W$5,CompListItem,0),0,1,1)*$AA39)-SUMIFS(OFFSET(W$6,1,0,PayCount,1),PayDate,"&lt;"&amp;$AC39,PayEmp,$C39),IF(ISNA(MATCH(W$2,DedListItem,0))=FALSE,(SUMPRODUCT((PayEmp=$C39)*(PayDate&lt;=$AC39)*(PayDedList=W$2)*(PayDedValues))*OFFSET(Setup!$E$81,MATCH(W$5,CompListItem,0),0,1,1))-SUMIFS(OFFSET(W$6,1,0,PayCount,1),PayDate,"&lt;"&amp;$AC39,PayEmp,$C39),(MIN(IF(OFFSET(Setup!$G$81,MATCH(W$5,CompListItem,0),0,1,1)="Taxable",SUMPRODUCT((PayEmp=$C39)*(PayDate&lt;=$AC39)*(ISERROR(SEARCH(PayEarnCode,W$4)))*(PayEarnTax)*(PayEarnValues)),SUMPRODUCT((PayEmp=$C39)*(PayDate&lt;=$AC39)*(ISERROR(SEARCH(PayEarnCode,W$4)))*(PayEarnValues))),IF(ISNUMBER(W$3),W$3/12*$AA39,IgnoreMin)))*OFFSET(Setup!$E$81,MATCH(W$5,CompListItem,0),0,1,1)-SUMIFS(OFFSET(W$6,1,0,PayCount,1),PayDate,"&lt;"&amp;$AC39,PayEmp,$C39)))))))</f>
        <v>0</v>
      </c>
      <c r="X39" s="185">
        <f t="shared" ca="1" si="18"/>
        <v>300</v>
      </c>
      <c r="Y39" s="139">
        <f t="shared" ref="Y39:Y70" ca="1" si="27">L39+X39</f>
        <v>15300</v>
      </c>
      <c r="Z39" s="139">
        <f t="shared" ca="1" si="19"/>
        <v>1349.75</v>
      </c>
      <c r="AA39" s="146">
        <f ca="1">IF(OR($B39&lt;=Setup!$E$12,$B39&gt;=Setup!$D$12+1),0,IF($F39&lt;&gt;"Active",0,IF($AE39="Yes",$AB39,((YEAR($AC39)*12)+MONTH($AC39))-((YEAR($AD39)*12)+MONTH($AD39)-1))))</f>
        <v>3</v>
      </c>
      <c r="AB39" s="146">
        <f ca="1">IF(OR($B39&lt;=Setup!$E$12,$B39&gt;=Setup!$D$12+1),0,((YEAR($AC39)*12)+MONTH($AC39))-((YEAR(Setup!$E$12)*12)+MONTH(Setup!$E$12)))</f>
        <v>3</v>
      </c>
      <c r="AC39" s="186">
        <f t="shared" ca="1" si="20"/>
        <v>45071</v>
      </c>
      <c r="AD39" s="144">
        <f ca="1">IF(ISNA(VLOOKUP($C39,EmpAll,COLUMN(Emp!$E$4),0)),$AC39,IF(VLOOKUP($C39,EmpAll,COLUMN(Emp!$E$4),0)&lt;=Setup!$E$12,DATE(YEAR(Setup!$E$12),MONTH(Setup!$E$12)+1,1),VLOOKUP($C39,EmpAll,COLUMN(Emp!$E$4),0)))</f>
        <v>44986</v>
      </c>
      <c r="AE39" s="144" t="str">
        <f ca="1">IF(ISNA(VLOOKUP($C39,EmpAll,COLUMN(Emp!$G$1),0)),"-",IF(VLOOKUP($C39,EmpAll,COLUMN(Emp!$G$1),0)=0,"-",VLOOKUP($C39,EmpAll,COLUMN(Emp!$G$1),0)))</f>
        <v>-</v>
      </c>
      <c r="AF39" s="145">
        <f ca="1">IF(A39=PaySlip!$G$3,1,0)</f>
        <v>0</v>
      </c>
      <c r="AG39" s="130" cm="1">
        <f t="array" aca="1" ref="AG39" ca="1">IF(COUNTIFS(OverEmp,$C39,OverMed,"MED",OverDate,"&lt;"&amp;DATE(YEAR($AC39),MONTH($AC39)+1,1),OverEnd,"&gt;="&amp;DATE(YEAR($AC39),MONTH($AC39),1))&gt;0,SUMIFS(OverValue,OverEmp,$C39,OverMed,"MED",OverDate,"&lt;"&amp;DATE(YEAR($AC39),MONTH($AC39)+1,1),OverEnd,"&gt;="&amp;DATE(YEAR($AC39),MONTH($AC39),1)),IF(ISNA(VLOOKUP($C39,EmpAll,COLUMN(Emp!$N$4),0)),0,VLOOKUP($C39,EmpAll,COLUMN(Emp!$N$4),0)))</f>
        <v>1</v>
      </c>
      <c r="AH39" s="146">
        <f ca="1">VLOOKUP($AG39,MedList,COLUMN(Setup!$C$49),1)</f>
        <v>364</v>
      </c>
      <c r="AI39" s="146">
        <f t="shared" ca="1" si="7"/>
        <v>4368</v>
      </c>
      <c r="AJ39" s="101" t="str">
        <f ca="1">IF(ISNA(VLOOKUP($C39,EmpAll,COLUMN(Emp!$L$4),0)),"None!",VLOOKUP($C39,EmpAll,COLUMN(Emp!$L$4),0))</f>
        <v>A</v>
      </c>
      <c r="AK39" s="147">
        <f t="shared" ca="1" si="21"/>
        <v>17235</v>
      </c>
      <c r="AL39" s="101" t="str">
        <f ca="1">IF(ISNA(VLOOKUP($C39,Employees[],COLUMN(Emp!$M$4),0))=TRUE,"Error!",IF(VLOOKUP($C39,Employees[],COLUMN(Emp!$M$4),0)=0,"Yes",VLOOKUP($C39,Employees[],COLUMN(Emp!$M$4),0)))</f>
        <v>A</v>
      </c>
      <c r="AM39" s="148">
        <f t="shared" ca="1" si="9"/>
        <v>180000</v>
      </c>
      <c r="AN39" s="148" cm="1">
        <f t="array" aca="1" ref="AN39" ca="1">-IF($F39="Terminated",0,IF($AA39=0,0,IF(ISNA(MATCH(AN$5,PayDedList,0)),0,MIN(IF(COUNTIFS(OverEmp,$C39,OverDeduct,AN$5,OverDate,"&lt;"&amp;DATE(YEAR($AC39),MONTH($AC39)+1,1),OverEnd,"&gt;="&amp;DATE(YEAR($AC39),MONTH($AC39),1))&gt;0,SUMPRODUCT((PayEmp=$C39)*(PayDate&lt;=$AC39)*(OFFSET($N$6,1,MATCH(AN$5,PayDedList,0)-1,PayCount,1)))/$AA39*12*AN$3,IF(OR(AN$1="Fixed",AN$1="Not Used"),SUMPRODUCT((PayEmp=$C39)*(PayDate&lt;=$AC39)*(OFFSET($N$6,1,MATCH(AN$5,PayDedList,0)-1,PayCount,1)))/$AA39*12*AN$3,IF(ISNA(MATCH(AN$1,EarnListItem,0))=FALSE,SUMPRODUCT((PayEmp=$C39)*(PayDate&lt;=$AC39)*(OFFSET($N$6,1,MATCH(AN$5,PayDedList,0)-1,PayCount,1)))/$AA39*12*AN$3,(MIN(((SUMPRODUCT((PayEmp=$C39)*(PayDate&lt;=$AC39)*(ISERROR(SEARCH(PayEarnCode,AN$2)))*(PayEarnType="Monthly")*(PayEarnValues))/$AA39*12)+(SUMPRODUCT((PayEmp=$C39)*(PayDate&lt;=$AC39)*(ISERROR(SEARCH(PayEarnCode,AN$2)))*(PayEarnType="Quarterly")*(PayEarnValues))/MAX(1,ROUNDDOWN($AB39/3,0))*4)+(SUMPRODUCT((PayEmp=$C39)*(PayDate&lt;=$AC39)*(ISERROR(SEARCH(PayEarnCode,AN$2)))*(PayEarnType="Bi-Annual")*(PayEarnValues))/MAX(1,ROUNDDOWN($AB39/6,0))*2)+(SUMPRODUCT((PayEmp=$C39)*(PayDate&lt;=$AC39)*(ISERROR(SEARCH(PayEarnCode,AN$2)))*(PayEarnType="Annual")*(PayEarnValues)))),IF(ISNUMBER(OFFSET($N$3,0,MATCH(AN$5,PayDedList,0)-1,1,1)),OFFSET($N$3,0,MATCH(AN$5,PayDedList,0)-1,1,1),IgnoreMin)))*IF(COUNTIFS(EmpNo,$C39,OFFSET(Emp!$R$4,1,MATCH(AN$5,DedListItem,0)-1,EmpCount,1),"&lt;&gt;")&gt;0,VLOOKUP($C39,EmpAll,COLUMN(Emp!$R$4)+MATCH(AN$5,DedListItem,0)-1,0),OFFSET(Setup!$E$73,MATCH(AN$5,DedListItem,0),0,1,1))*AN$3))),IF(ISNUMBER(AN$4),AN$4,IgnoreMin)))))</f>
        <v>0</v>
      </c>
      <c r="AO39" s="148" cm="1">
        <f t="array" aca="1" ref="AO39" ca="1">-IF($F39="Terminated",0,IF($AA39=0,0,IF(ISNA(MATCH(AO$5,PayDedList,0)),0,MIN(IF(COUNTIFS(OverEmp,$C39,OverDeduct,AO$5,OverDate,"&lt;"&amp;DATE(YEAR($AC39),MONTH($AC39)+1,1),OverEnd,"&gt;="&amp;DATE(YEAR($AC39),MONTH($AC39),1))&gt;0,SUMPRODUCT((PayEmp=$C39)*(PayDate&lt;=$AC39)*(OFFSET($N$6,1,MATCH(AO$5,PayDedList,0)-1,PayCount,1)))/$AA39*12*AO$3,IF(OR(AO$1="Fixed",AO$1="Not Used"),SUMPRODUCT((PayEmp=$C39)*(PayDate&lt;=$AC39)*(OFFSET($N$6,1,MATCH(AO$5,PayDedList,0)-1,PayCount,1)))/$AA39*12*AO$3,IF(ISNA(MATCH(AO$1,EarnListItem,0))=FALSE,SUMPRODUCT((PayEmp=$C39)*(PayDate&lt;=$AC39)*(OFFSET($N$6,1,MATCH(AO$5,PayDedList,0)-1,PayCount,1)))/$AA39*12*AO$3,(MIN(((SUMPRODUCT((PayEmp=$C39)*(PayDate&lt;=$AC39)*(ISERROR(SEARCH(PayEarnCode,AO$2)))*(PayEarnType="Monthly")*(PayEarnValues))/$AA39*12)+(SUMPRODUCT((PayEmp=$C39)*(PayDate&lt;=$AC39)*(ISERROR(SEARCH(PayEarnCode,AO$2)))*(PayEarnType="Quarterly")*(PayEarnValues))/MAX(1,ROUNDDOWN($AB39/3,0))*4)+(SUMPRODUCT((PayEmp=$C39)*(PayDate&lt;=$AC39)*(ISERROR(SEARCH(PayEarnCode,AO$2)))*(PayEarnType="Bi-Annual")*(PayEarnValues))/MAX(1,ROUNDDOWN($AB39/6,0))*2)+(SUMPRODUCT((PayEmp=$C39)*(PayDate&lt;=$AC39)*(ISERROR(SEARCH(PayEarnCode,AO$2)))*(PayEarnType="Annual")*(PayEarnValues)))),IF(ISNUMBER(OFFSET($N$3,0,MATCH(AO$5,PayDedList,0)-1,1,1)),OFFSET($N$3,0,MATCH(AO$5,PayDedList,0)-1,1,1),IgnoreMin)))*IF(COUNTIFS(EmpNo,$C39,OFFSET(Emp!$R$4,1,MATCH(AO$5,DedListItem,0)-1,EmpCount,1),"&lt;&gt;")&gt;0,VLOOKUP($C39,EmpAll,COLUMN(Emp!$R$4)+MATCH(AO$5,DedListItem,0)-1,0),OFFSET(Setup!$E$73,MATCH(AO$5,DedListItem,0),0,1,1))*AO$3))),IF(ISNUMBER(AO$4),AO$4,IgnoreMin)))))</f>
        <v>0</v>
      </c>
      <c r="AP39" s="148" cm="1">
        <f t="array" aca="1" ref="AP39" ca="1">-IF($F39="Terminated",0,IF($AA39=0,0,IF(ISNA(MATCH(AP$5,PayDedList,0)),0,MIN(IF(COUNTIFS(OverEmp,$C39,OverDeduct,AP$5,OverDate,"&lt;"&amp;DATE(YEAR($AC39),MONTH($AC39)+1,1),OverEnd,"&gt;="&amp;DATE(YEAR($AC39),MONTH($AC39),1))&gt;0,SUMPRODUCT((PayEmp=$C39)*(PayDate&lt;=$AC39)*(OFFSET($N$6,1,MATCH(AP$5,PayDedList,0)-1,PayCount,1)))/$AA39*12*AP$3,IF(OR(AP$1="Fixed",AP$1="Not Used"),SUMPRODUCT((PayEmp=$C39)*(PayDate&lt;=$AC39)*(OFFSET($N$6,1,MATCH(AP$5,PayDedList,0)-1,PayCount,1)))/$AA39*12*AP$3,IF(ISNA(MATCH(AP$1,EarnListItem,0))=FALSE,SUMPRODUCT((PayEmp=$C39)*(PayDate&lt;=$AC39)*(OFFSET($N$6,1,MATCH(AP$5,PayDedList,0)-1,PayCount,1)))/$AA39*12*AP$3,(MIN(((SUMPRODUCT((PayEmp=$C39)*(PayDate&lt;=$AC39)*(ISERROR(SEARCH(PayEarnCode,AP$2)))*(PayEarnType="Monthly")*(PayEarnValues))/$AA39*12)+(SUMPRODUCT((PayEmp=$C39)*(PayDate&lt;=$AC39)*(ISERROR(SEARCH(PayEarnCode,AP$2)))*(PayEarnType="Quarterly")*(PayEarnValues))/MAX(1,ROUNDDOWN($AB39/3,0))*4)+(SUMPRODUCT((PayEmp=$C39)*(PayDate&lt;=$AC39)*(ISERROR(SEARCH(PayEarnCode,AP$2)))*(PayEarnType="Bi-Annual")*(PayEarnValues))/MAX(1,ROUNDDOWN($AB39/6,0))*2)+(SUMPRODUCT((PayEmp=$C39)*(PayDate&lt;=$AC39)*(ISERROR(SEARCH(PayEarnCode,AP$2)))*(PayEarnType="Annual")*(PayEarnValues)))),IF(ISNUMBER(OFFSET($N$3,0,MATCH(AP$5,PayDedList,0)-1,1,1)),OFFSET($N$3,0,MATCH(AP$5,PayDedList,0)-1,1,1),IgnoreMin)))*IF(COUNTIFS(EmpNo,$C39,OFFSET(Emp!$R$4,1,MATCH(AP$5,DedListItem,0)-1,EmpCount,1),"&lt;&gt;")&gt;0,VLOOKUP($C39,EmpAll,COLUMN(Emp!$R$4)+MATCH(AP$5,DedListItem,0)-1,0),OFFSET(Setup!$E$73,MATCH(AP$5,DedListItem,0),0,1,1))*AP$3))),IF(ISNUMBER(AP$4),AP$4,IgnoreMin)))))</f>
        <v>0</v>
      </c>
      <c r="AQ39" s="148" cm="1">
        <f t="array" aca="1" ref="AQ39" ca="1">-IF($F39="Terminated",0,IF($AA39=0,0,IF(ISNA(MATCH(AQ$5,PayDedList,0)),0,MIN(IF(COUNTIFS(OverEmp,$C39,OverDeduct,AQ$5,OverDate,"&lt;"&amp;DATE(YEAR($AC39),MONTH($AC39)+1,1),OverEnd,"&gt;="&amp;DATE(YEAR($AC39),MONTH($AC39),1))&gt;0,SUMPRODUCT((PayEmp=$C39)*(PayDate&lt;=$AC39)*(OFFSET($N$6,1,MATCH(AQ$5,PayDedList,0)-1,PayCount,1)))/$AA39*12*AQ$3,IF(OR(AQ$1="Fixed",AQ$1="Not Used"),SUMPRODUCT((PayEmp=$C39)*(PayDate&lt;=$AC39)*(OFFSET($N$6,1,MATCH(AQ$5,PayDedList,0)-1,PayCount,1)))/$AA39*12*AQ$3,IF(ISNA(MATCH(AQ$1,EarnListItem,0))=FALSE,SUMPRODUCT((PayEmp=$C39)*(PayDate&lt;=$AC39)*(OFFSET($N$6,1,MATCH(AQ$5,PayDedList,0)-1,PayCount,1)))/$AA39*12*AQ$3,(MIN(((SUMPRODUCT((PayEmp=$C39)*(PayDate&lt;=$AC39)*(ISERROR(SEARCH(PayEarnCode,AQ$2)))*(PayEarnType="Monthly")*(PayEarnValues))/$AA39*12)+(SUMPRODUCT((PayEmp=$C39)*(PayDate&lt;=$AC39)*(ISERROR(SEARCH(PayEarnCode,AQ$2)))*(PayEarnType="Quarterly")*(PayEarnValues))/MAX(1,ROUNDDOWN($AB39/3,0))*4)+(SUMPRODUCT((PayEmp=$C39)*(PayDate&lt;=$AC39)*(ISERROR(SEARCH(PayEarnCode,AQ$2)))*(PayEarnType="Bi-Annual")*(PayEarnValues))/MAX(1,ROUNDDOWN($AB39/6,0))*2)+(SUMPRODUCT((PayEmp=$C39)*(PayDate&lt;=$AC39)*(ISERROR(SEARCH(PayEarnCode,AQ$2)))*(PayEarnType="Annual")*(PayEarnValues)))),IF(ISNUMBER(OFFSET($N$3,0,MATCH(AQ$5,PayDedList,0)-1,1,1)),OFFSET($N$3,0,MATCH(AQ$5,PayDedList,0)-1,1,1),IgnoreMin)))*IF(COUNTIFS(EmpNo,$C39,OFFSET(Emp!$R$4,1,MATCH(AQ$5,DedListItem,0)-1,EmpCount,1),"&lt;&gt;")&gt;0,VLOOKUP($C39,EmpAll,COLUMN(Emp!$R$4)+MATCH(AQ$5,DedListItem,0)-1,0),OFFSET(Setup!$E$73,MATCH(AQ$5,DedListItem,0),0,1,1))*AQ$3))),IF(ISNUMBER(AQ$4),AQ$4,IgnoreMin)))))</f>
        <v>0</v>
      </c>
      <c r="AR39" s="148">
        <f t="shared" ca="1" si="22"/>
        <v>180000</v>
      </c>
      <c r="AS39" s="148">
        <f t="shared" ca="1" si="11"/>
        <v>180000</v>
      </c>
      <c r="AT39" s="148" cm="1">
        <f t="array" aca="1" ref="AT39" ca="1">-IF($F39="Terminated",0,IF($AA39=0,0,IF(ISNA(MATCH(AT$5,PayDedList,0)),0,MIN(IF(COUNTIFS(OverEmp,$C39,OverDeduct,AT$5,OverDate,"&lt;"&amp;DATE(YEAR($AC39),MONTH($AC39)+1,1),OverEnd,"&gt;="&amp;DATE(YEAR($AC39),MONTH($AC39),1))&gt;0,SUMPRODUCT((PayEmp=$C39)*(PayDate&lt;=$AC39)*(OFFSET($N$6,1,MATCH(AT$5,PayDedList,0)-1,PayCount,1)))/$AA39*12*AT$3,IF(OR(AT$1="Fixed",AT$1="Not Used"),SUMPRODUCT((PayEmp=$C39)*(PayDate&lt;=$AC39)*(OFFSET($N$6,1,MATCH(AT$5,PayDedList,0)-1,PayCount,1)))/$AA39*12*AT$3,IF(ISNA(MATCH(OFFSET($N$2,0,MATCH(AT$5,PayDedList,0)-1,1,1),EarnListItem,0))=FALSE,SUMPRODUCT((PayEmp=$C39)*(PayDate&lt;=$AC39)*(OFFSET($N$6,1,MATCH(AT$5,PayDedList,0)-1,PayCount,1)))/$AA39*12*AT$3,(MIN(SUMPRODUCT((PayEmp=$C39)*(PayDate&lt;=$AC39)*(ISERROR(SEARCH(PayEarnCode,AT$2)))*(PayEarnType="Monthly")*(PayEarnValues))/$AA39*12,IF(ISNUMBER(OFFSET($N$3,0,MATCH(AT$5,PayDedList,0)-1,1,1)),OFFSET($N$3,0,MATCH(AT$5,PayDedList,0)-1,1,1),IgnoreMin)))*IF(COUNTIFS(EmpNo,$C39,OFFSET(Emp!$R$4,1,MATCH(AT$5,DedListItem,0)-1,EmpCount,1),"&lt;&gt;")&gt;0,VLOOKUP($C39,EmpAll,COLUMN(Emp!$R$4)+MATCH(AT$5,DedListItem,0)-1,0),OFFSET(Setup!$E$73,MATCH(AT$5,DedListItem,0),0,1,1))*AT$3))),IF(ISNUMBER(AT$4),AT$4,IgnoreMin)))))</f>
        <v>0</v>
      </c>
      <c r="AU39" s="148" cm="1">
        <f t="array" aca="1" ref="AU39" ca="1">-IF($F39="Terminated",0,IF($AA39=0,0,IF(ISNA(MATCH(AU$5,PayDedList,0)),0,MIN(IF(COUNTIFS(OverEmp,$C39,OverDeduct,AU$5,OverDate,"&lt;"&amp;DATE(YEAR($AC39),MONTH($AC39)+1,1),OverEnd,"&gt;="&amp;DATE(YEAR($AC39),MONTH($AC39),1))&gt;0,SUMPRODUCT((PayEmp=$C39)*(PayDate&lt;=$AC39)*(OFFSET($N$6,1,MATCH(AU$5,PayDedList,0)-1,PayCount,1)))/$AA39*12*AU$3,IF(OR(AU$1="Fixed",AU$1="Not Used"),SUMPRODUCT((PayEmp=$C39)*(PayDate&lt;=$AC39)*(OFFSET($N$6,1,MATCH(AU$5,PayDedList,0)-1,PayCount,1)))/$AA39*12*AU$3,IF(ISNA(MATCH(OFFSET($N$2,0,MATCH(AU$5,PayDedList,0)-1,1,1),EarnListItem,0))=FALSE,SUMPRODUCT((PayEmp=$C39)*(PayDate&lt;=$AC39)*(OFFSET($N$6,1,MATCH(AU$5,PayDedList,0)-1,PayCount,1)))/$AA39*12*AU$3,(MIN(SUMPRODUCT((PayEmp=$C39)*(PayDate&lt;=$AC39)*(ISERROR(SEARCH(PayEarnCode,AU$2)))*(PayEarnType="Monthly")*(PayEarnValues))/$AA39*12,IF(ISNUMBER(OFFSET($N$3,0,MATCH(AU$5,PayDedList,0)-1,1,1)),OFFSET($N$3,0,MATCH(AU$5,PayDedList,0)-1,1,1),IgnoreMin)))*IF(COUNTIFS(EmpNo,$C39,OFFSET(Emp!$R$4,1,MATCH(AU$5,DedListItem,0)-1,EmpCount,1),"&lt;&gt;")&gt;0,VLOOKUP($C39,EmpAll,COLUMN(Emp!$R$4)+MATCH(AU$5,DedListItem,0)-1,0),OFFSET(Setup!$E$73,MATCH(AU$5,DedListItem,0),0,1,1))*AU$3))),IF(ISNUMBER(AU$4),AU$4,IgnoreMin)))))</f>
        <v>0</v>
      </c>
      <c r="AV39" s="148" cm="1">
        <f t="array" aca="1" ref="AV39" ca="1">-IF($F39="Terminated",0,IF($AA39=0,0,IF(ISNA(MATCH(AV$5,PayDedList,0)),0,MIN(IF(COUNTIFS(OverEmp,$C39,OverDeduct,AV$5,OverDate,"&lt;"&amp;DATE(YEAR($AC39),MONTH($AC39)+1,1),OverEnd,"&gt;="&amp;DATE(YEAR($AC39),MONTH($AC39),1))&gt;0,SUMPRODUCT((PayEmp=$C39)*(PayDate&lt;=$AC39)*(OFFSET($N$6,1,MATCH(AV$5,PayDedList,0)-1,PayCount,1)))/$AA39*12*AV$3,IF(OR(AV$1="Fixed",AV$1="Not Used"),SUMPRODUCT((PayEmp=$C39)*(PayDate&lt;=$AC39)*(OFFSET($N$6,1,MATCH(AV$5,PayDedList,0)-1,PayCount,1)))/$AA39*12*AV$3,IF(ISNA(MATCH(OFFSET($N$2,0,MATCH(AV$5,PayDedList,0)-1,1,1),EarnListItem,0))=FALSE,SUMPRODUCT((PayEmp=$C39)*(PayDate&lt;=$AC39)*(OFFSET($N$6,1,MATCH(AV$5,PayDedList,0)-1,PayCount,1)))/$AA39*12*AV$3,(MIN(SUMPRODUCT((PayEmp=$C39)*(PayDate&lt;=$AC39)*(ISERROR(SEARCH(PayEarnCode,AV$2)))*(PayEarnType="Monthly")*(PayEarnValues))/$AA39*12,IF(ISNUMBER(OFFSET($N$3,0,MATCH(AV$5,PayDedList,0)-1,1,1)),OFFSET($N$3,0,MATCH(AV$5,PayDedList,0)-1,1,1),IgnoreMin)))*IF(COUNTIFS(EmpNo,$C39,OFFSET(Emp!$R$4,1,MATCH(AV$5,DedListItem,0)-1,EmpCount,1),"&lt;&gt;")&gt;0,VLOOKUP($C39,EmpAll,COLUMN(Emp!$R$4)+MATCH(AV$5,DedListItem,0)-1,0),OFFSET(Setup!$E$73,MATCH(AV$5,DedListItem,0),0,1,1))*AV$3))),IF(ISNUMBER(AV$4),AV$4,IgnoreMin)))))</f>
        <v>0</v>
      </c>
      <c r="AW39" s="148" cm="1">
        <f t="array" aca="1" ref="AW39" ca="1">-IF($F39="Terminated",0,IF($AA39=0,0,IF(ISNA(MATCH(AW$5,PayDedList,0)),0,MIN(IF(COUNTIFS(OverEmp,$C39,OverDeduct,AW$5,OverDate,"&lt;"&amp;DATE(YEAR($AC39),MONTH($AC39)+1,1),OverEnd,"&gt;="&amp;DATE(YEAR($AC39),MONTH($AC39),1))&gt;0,SUMPRODUCT((PayEmp=$C39)*(PayDate&lt;=$AC39)*(OFFSET($N$6,1,MATCH(AW$5,PayDedList,0)-1,PayCount,1)))/$AA39*12*AW$3,IF(OR(AW$1="Fixed",AW$1="Not Used"),SUMPRODUCT((PayEmp=$C39)*(PayDate&lt;=$AC39)*(OFFSET($N$6,1,MATCH(AW$5,PayDedList,0)-1,PayCount,1)))/$AA39*12*AW$3,IF(ISNA(MATCH(OFFSET($N$2,0,MATCH(AW$5,PayDedList,0)-1,1,1),EarnListItem,0))=FALSE,SUMPRODUCT((PayEmp=$C39)*(PayDate&lt;=$AC39)*(OFFSET($N$6,1,MATCH(AW$5,PayDedList,0)-1,PayCount,1)))/$AA39*12*AW$3,(MIN(SUMPRODUCT((PayEmp=$C39)*(PayDate&lt;=$AC39)*(ISERROR(SEARCH(PayEarnCode,AW$2)))*(PayEarnType="Monthly")*(PayEarnValues))/$AA39*12,IF(ISNUMBER(OFFSET($N$3,0,MATCH(AW$5,PayDedList,0)-1,1,1)),OFFSET($N$3,0,MATCH(AW$5,PayDedList,0)-1,1,1),IgnoreMin)))*IF(COUNTIFS(EmpNo,$C39,OFFSET(Emp!$R$4,1,MATCH(AW$5,DedListItem,0)-1,EmpCount,1),"&lt;&gt;")&gt;0,VLOOKUP($C39,EmpAll,COLUMN(Emp!$R$4)+MATCH(AW$5,DedListItem,0)-1,0),OFFSET(Setup!$E$73,MATCH(AW$5,DedListItem,0),0,1,1))*AW$3))),IF(ISNUMBER(AW$4),AW$4,IgnoreMin)))))</f>
        <v>0</v>
      </c>
      <c r="AX39" s="148">
        <f t="shared" ref="AX39:AX70" ca="1" si="28">$AS39+SUM(OFFSET($AT39,0,0,1,COLUMN($AX$2)-COLUMN($AT$2)))</f>
        <v>180000</v>
      </c>
      <c r="AY39" s="148">
        <f t="shared" ref="AY39:AY70" ca="1" si="29">AR39-AX39</f>
        <v>0</v>
      </c>
      <c r="AZ39" s="148">
        <f ca="1">IF(ISNUMBER($AL39),($AR39*$AL39)-$AI39-$AK39,MAX(0,IF($AL39="B",IF($AR39&lt;Setup!$C$32,($AR39*Setup!$D$32)-$AI39-$AK39,(($AR39-VLOOKUP($AR39,TaxAll2,1,1))*OFFSET(Setup!$D$32,MATCH($AR39,TaxBracket2,1),0,1,1))+OFFSET(Setup!$E$31,MATCH($AR39,TaxBracket2,1),0,1,1)-$AI39-$AK39),IF($AR39&lt;Setup!$C$21,($AR39*Setup!$D$21)-$AI39-$AK39,(($AR39-VLOOKUP($AR39,TaxAll1,1,1))*OFFSET(Setup!$D$21,MATCH($AR39,TaxBracket1,1),0,1,1))+OFFSET(Setup!$E$20,MATCH($AR39,TaxBracket1,1),0,1,1)-$AI39-$AK39))))</f>
        <v>10797</v>
      </c>
      <c r="BA39" s="148">
        <f ca="1">IF(ISNUMBER($AL39),($AX39*$AL39)-$AI39-$AK39,MAX(0,IF($AL39="B",IF($AX39&lt;Setup!$C$32,($AX39*Setup!$D$32)-$AI39-$AK39,(($AX39-VLOOKUP($AX39,TaxAll2,1,1))*OFFSET(Setup!$D$32,MATCH($AX39,TaxBracket2,1),0,1,1))+OFFSET(Setup!$E$31,MATCH($AX39,TaxBracket2,1),0,1,1)-$AI39-$AK39),IF($AX39&lt;Setup!$C$21,($AX39*Setup!$D$21)-$AI39-$AK39,(($AX39-VLOOKUP($AX39,TaxAll1,1,1))*OFFSET(Setup!$D$21,MATCH($AX39,TaxBracket1,1),0,1,1))+OFFSET(Setup!$E$20,MATCH($AX39,TaxBracket1,1),0,1,1)-$AI39-$AK39))))</f>
        <v>10797</v>
      </c>
      <c r="BB39" s="148">
        <f t="shared" ca="1" si="23"/>
        <v>0</v>
      </c>
      <c r="BC39" s="150">
        <f t="shared" ca="1" si="15"/>
        <v>1</v>
      </c>
      <c r="BD39" s="150">
        <f t="shared" ca="1" si="16"/>
        <v>0</v>
      </c>
      <c r="BE39" s="148">
        <f t="shared" ca="1" si="17"/>
        <v>180000</v>
      </c>
    </row>
    <row r="40" spans="1:57" ht="16.149999999999999" customHeight="1" x14ac:dyDescent="0.25">
      <c r="A40" s="10" t="str" cm="1">
        <f t="array" aca="1" ref="A40" ca="1">IF(ROW($A40)-ROW($A$6)&gt;EmpCount*12,"-",TEXT($B40,"yyyy")&amp;TEXT($B40,"mm")&amp;"-"&amp;$C40)</f>
        <v>202305-EXS004</v>
      </c>
      <c r="B40" s="137" cm="1">
        <f t="array" aca="1" ref="B40" ca="1">IF(ROW($A40)-ROW($A$6)&gt;EmpCount*12,Setup!$D$12,DATE(YEAR(Setup!$F$12),MONTH(Setup!$F$12)+ROUNDDOWN((ROW($A40)-ROW($A$6)-1)/EmpCount,0),IF(Setup!$C$14&gt;DAY(DATE(YEAR(Setup!$F$12),MONTH(Setup!$F$12)+ROUNDDOWN((ROW($A40)-ROW($A$6)-1)/EmpCount,0)+1,0)),DAY(DATE(YEAR(Setup!$F$12),MONTH(Setup!$F$12)+ROUNDDOWN((ROW($A40)-ROW($A$6)-1)/EmpCount,0)+1,0)),Setup!$C$14)))</f>
        <v>45071</v>
      </c>
      <c r="C40" s="101" t="str" cm="1">
        <f t="array" aca="1" ref="C40" ca="1">IF(ROW($A40)-ROW($A$6)&gt;EmpCount*12,"-",OFFSET(Emp!$A$4,ROW($A40)-ROW($A$6)-IF(ROW($A40)-ROW($A$6)&gt;EmpCount,ROUNDDOWN((ROW($A40)-ROW($A$6)-1)/EmpCount,0)*EmpCount,0),0,1,1))</f>
        <v>EXS004</v>
      </c>
      <c r="D40" s="10" t="str">
        <f ca="1">IF(ISNA(VLOOKUP($C40,EmpAll,COLUMN(Emp!$B$4),0)),"-",VLOOKUP($C40,EmpAll,COLUMN(Emp!$B$4),0))</f>
        <v>Osborne S</v>
      </c>
      <c r="E40" s="145" t="str">
        <f ca="1">IF(ISNA(VLOOKUP($C40,EmpAll,COLUMN(Emp!$C$4),0)),"-",VLOOKUP($C40,EmpAll,COLUMN(Emp!$C$4),0))</f>
        <v>S</v>
      </c>
      <c r="F40" s="101" t="str">
        <f ca="1">IF(ISNA(VLOOKUP($C40,EmpAll,COLUMN(Emp!$A$4),0)),"-",IF(AND(VLOOKUP($C40,EmpAll,COLUMN(Emp!$E$4),0)&lt;&gt;0,VLOOKUP($C40,EmpAll,COLUMN(Emp!$E$4),0)&gt;=DATE(YEAR($AC40),MONTH($AC40)+1,0)),"Inactive",IF(AND(VLOOKUP($C40,EmpAll,COLUMN(Emp!$F$4),0)&lt;&gt;0,VLOOKUP($C40,EmpAll,COLUMN(Emp!$F$4),0)&lt;=DATE(YEAR($AC40),MONTH($AC40),0)),"Terminated","Active")))</f>
        <v>Active</v>
      </c>
      <c r="G40" s="133" cm="1">
        <f t="array" aca="1" ref="G40" ca="1">IF($F40&lt;&gt;"Active",0,IF(COUNTIFS(OverEmp,$C40,OverEarn,G$2,OverDate,"&lt;"&amp;DATE(YEAR($AC40),MONTH($AC40)+1,1),OverEnd,"&gt;="&amp;DATE(YEAR($AC40),MONTH($AC40),1))&gt;0,SUMIFS(OverValue,OverEmp,$C40,OverEarn,G$2,OverDate,"&lt;"&amp;DATE(YEAR($AC40),MONTH($AC40)+1,1),OverEnd,"&gt;="&amp;DATE(YEAR($AC40),MONTH($AC40),1)),IF(AND($AC40&gt;=Setup!$E$10,SUMIFS(EmpIncrease,EmpCode,$C40)&gt;0),SUMIFS(EmpIncrease,EmpCode,$C40),SUMIFS(EmpSalary,EmpCode,$C40))))</f>
        <v>15000</v>
      </c>
      <c r="H40" s="133" cm="1">
        <f t="array" aca="1" ref="H40" ca="1">IF($F40&lt;&gt;"Active",0,IF(COUNTIFS(OverEmp,$C40,OverEarn,H$2,OverDate,"&lt;"&amp;DATE(YEAR($AC40),MONTH($AC40)+1,1),OverEnd,"&gt;="&amp;DATE(YEAR($AC40),MONTH($AC40),1))&gt;0,SUMIFS(OverValue,OverEmp,$C40,OverEarn,H$2,OverDate,"&lt;"&amp;DATE(YEAR($AC40),MONTH($AC40)+1,1),OverEnd,"&gt;="&amp;DATE(YEAR($AC40),MONTH($AC40),1)),0))</f>
        <v>0</v>
      </c>
      <c r="I40" s="133" cm="1">
        <f t="array" aca="1" ref="I40" ca="1">IF($F40&lt;&gt;"Active",0,IF(COUNTIFS(OverEmp,$C40,OverEarn,I$2,OverDate,"&lt;"&amp;DATE(YEAR($AC40),MONTH($AC40)+1,1),OverEnd,"&gt;="&amp;DATE(YEAR($AC40),MONTH($AC40),1))&gt;0,SUMIFS(OverValue,OverEmp,$C40,OverEarn,I$2,OverDate,"&lt;"&amp;DATE(YEAR($AC40),MONTH($AC40)+1,1),OverEnd,"&gt;="&amp;DATE(YEAR($AC40),MONTH($AC40),1)),IF(MONTH(B40)=Setup!$C$15,SUMIFS(EmpBonus,EmpCode,$C40),0)))</f>
        <v>0</v>
      </c>
      <c r="J40" s="133" cm="1">
        <f t="array" aca="1" ref="J40" ca="1">IF($F40&lt;&gt;"Active",0,IF(COUNTIFS(OverEmp,$C40,OverEarn,J$2,OverDate,"&lt;"&amp;DATE(YEAR($AC40),MONTH($AC40)+1,1),OverEnd,"&gt;="&amp;DATE(YEAR($AC40),MONTH($AC40),1))&gt;0,SUMIFS(OverValue,OverEmp,$C40,OverEarn,J$2,OverDate,"&lt;"&amp;DATE(YEAR($AC40),MONTH($AC40)+1,1),OverEnd,"&gt;="&amp;DATE(YEAR($AC40),MONTH($AC40),1)),0))</f>
        <v>0</v>
      </c>
      <c r="K40" s="133" cm="1">
        <f t="array" aca="1" ref="K40" ca="1">IF($F40&lt;&gt;"Active",0,IF(COUNTIFS(OverEmp,$C40,OverEarn,K$2,OverDate,"&lt;"&amp;DATE(YEAR($AC40),MONTH($AC40)+1,1),OverEnd,"&gt;="&amp;DATE(YEAR($AC40),MONTH($AC40),1))&gt;0,SUMIFS(OverValue,OverEmp,$C40,OverEarn,K$2,OverDate,"&lt;"&amp;DATE(YEAR($AC40),MONTH($AC40)+1,1),OverEnd,"&gt;="&amp;DATE(YEAR($AC40),MONTH($AC40),1)),0))</f>
        <v>0</v>
      </c>
      <c r="L40" s="185">
        <f t="shared" ca="1" si="24"/>
        <v>15000</v>
      </c>
      <c r="M40" s="182" cm="1">
        <f t="array" aca="1" ref="M40" ca="1">IF(COUNTIFS(OverEmp,$C40,OverTax,M$5,OverDate,"&lt;"&amp;DATE(YEAR($AC40),MONTH($AC40)+1,1),OverEnd,"&gt;="&amp;DATE(YEAR($AC40),MONTH($AC40),1))&gt;0,SUMIFS(OverValue,OverEmp,$C40,OverTax,M$5,OverDate,"&lt;"&amp;DATE(YEAR($AC40),MONTH($AC40)+1,1),OverEnd,"&gt;="&amp;DATE(YEAR($AC40),MONTH($AC40),1)),(($BA40/12*$AA40)+(BB40*IF(1-$BC40=0,0,BD40/(1-$BC40))))-IF($F40="Terminated",0,SUMIFS(PayTaxDeduct,PayDate,"&lt;"&amp;$AC40,PayEmp,$C40)))</f>
        <v>899.75</v>
      </c>
      <c r="N40" s="133" cm="1">
        <f t="array" aca="1" ref="N40" ca="1">IF($F40="Terminated",0,IF($AA40=0,0,IF(ISNA(MATCH(N$5,DedListItem,0)),0,IF(COUNTIFS(OverEmp,$C40,OverDeduct,N$5,OverDate,"&lt;"&amp;DATE(YEAR($AC40),MONTH($AC40)+1,1),OverEnd,"&gt;="&amp;DATE(YEAR($AC40),MONTH($AC40),1))&gt;0,SUMIFS(OverValue,OverEmp,$C40,OverDeduct,N$5,OverDate,"&lt;"&amp;DATE(YEAR($AC40),MONTH($AC40)+1,1),OverEnd,"&gt;="&amp;DATE(YEAR($AC40),MONTH($AC40),1)),IF(OR(N$2="Fixed",N$2="Not Used"),(IF(COUNTIFS(EmpNo,$C40,OFFSET(Emp!$R$4,1,MATCH(N$5,DedListItem,0)-1,EmpCount,1),"&lt;&gt;")&gt;0,VLOOKUP($C40,EmpAll,COLUMN(Emp!$R$4)+MATCH(N$5,DedListItem,0)-1,0),OFFSET(Setup!$E$73,MATCH(N$5,DedListItem,0),0,1,1))*$AA40)-SUMIFS(OFFSET(N$6,1,0,PayCount,1),PayDate,"&lt;"&amp;$AC40,PayEmp,$C40),IF(ISNA(MATCH(N$2,EarnListItem,0))=FALSE,IF(OFFSET(Setup!$G$73,MATCH(N$5,DedListItem,0),0,1,1)="Taxable",SUMPRODUCT((PayEmp=$C40)*(PayDate&lt;=$AC40)*(PayEarnCode=N$2)*(PayEarnTax)*(PayEarnValues)),SUMPRODUCT((PayEmp=$C40)*(PayDate&lt;=$AC40)*(PayEarnCode=N$2)*(PayEarnValues)))*IF(COUNTIFS(EmpNo,$C40,OFFSET(Emp!$R$4,1,MATCH(N$5,DedListItem,0)-1,EmpCount,1),"&lt;&gt;")&gt;0,VLOOKUP($C40,EmpAll,COLUMN(Emp!$R$4)+MATCH(N$5,DedListItem,0)-1,0),OFFSET(Setup!$E$73,MATCH(N$5,DedListItem,0),0,1,1)),(MIN(IF(OFFSET(Setup!$G$73,MATCH(N$5,DedListItem,0),0,1,1)="Taxable",SUMPRODUCT((PayEmp=$C40)*(PayDate&lt;=$AC40)*(ISERROR(SEARCH(PayEarnCode,N$4)))*(PayEarnTax)*(PayEarnValues)),SUMPRODUCT((PayEmp=$C40)*(PayDate&lt;=$AC40)*(ISERROR(SEARCH(PayEarnCode,N$4)))*(PayEarnValues))),IF(ISNUMBER(N$3),N$3/12*$AA40,IgnoreMin)))*IF(COUNTIFS(EmpNo,$C40,OFFSET(Emp!$R$4,1,MATCH(N$5,DedListItem,0)-1,EmpCount,1),"&lt;&gt;")&gt;0,VLOOKUP($C40,EmpAll,COLUMN(Emp!$R$4)+MATCH(N$5,DedListItem,0)-1,0),OFFSET(Setup!$E$73,MATCH(N$5,DedListItem,0),0,1,1)))-SUMIFS(OFFSET(N$6,1,0,PayCount,1),PayDate,"&lt;"&amp;$AC40,PayEmp,$C40))))))</f>
        <v>150</v>
      </c>
      <c r="O40" s="133" cm="1">
        <f t="array" aca="1" ref="O40" ca="1">IF($F40="Terminated",0,IF($AA40=0,0,IF(ISNA(MATCH(O$5,DedListItem,0)),0,IF(COUNTIFS(OverEmp,$C40,OverDeduct,O$5,OverDate,"&lt;"&amp;DATE(YEAR($AC40),MONTH($AC40)+1,1),OverEnd,"&gt;="&amp;DATE(YEAR($AC40),MONTH($AC40),1))&gt;0,SUMIFS(OverValue,OverEmp,$C40,OverDeduct,O$5,OverDate,"&lt;"&amp;DATE(YEAR($AC40),MONTH($AC40)+1,1),OverEnd,"&gt;="&amp;DATE(YEAR($AC40),MONTH($AC40),1)),IF(OR(O$2="Fixed",O$2="Not Used"),(IF(COUNTIFS(EmpNo,$C40,OFFSET(Emp!$R$4,1,MATCH(O$5,DedListItem,0)-1,EmpCount,1),"&lt;&gt;")&gt;0,VLOOKUP($C40,EmpAll,COLUMN(Emp!$R$4)+MATCH(O$5,DedListItem,0)-1,0),OFFSET(Setup!$E$73,MATCH(O$5,DedListItem,0),0,1,1))*$AA40)-SUMIFS(OFFSET(O$6,1,0,PayCount,1),PayDate,"&lt;"&amp;$AC40,PayEmp,$C40),IF(ISNA(MATCH(O$2,EarnListItem,0))=FALSE,IF(OFFSET(Setup!$G$73,MATCH(O$5,DedListItem,0),0,1,1)="Taxable",SUMPRODUCT((PayEmp=$C40)*(PayDate&lt;=$AC40)*(PayEarnCode=O$2)*(PayEarnTax)*(PayEarnValues)),SUMPRODUCT((PayEmp=$C40)*(PayDate&lt;=$AC40)*(PayEarnCode=O$2)*(PayEarnValues)))*IF(COUNTIFS(EmpNo,$C40,OFFSET(Emp!$R$4,1,MATCH(O$5,DedListItem,0)-1,EmpCount,1),"&lt;&gt;")&gt;0,VLOOKUP($C40,EmpAll,COLUMN(Emp!$R$4)+MATCH(O$5,DedListItem,0)-1,0),OFFSET(Setup!$E$73,MATCH(O$5,DedListItem,0),0,1,1)),(MIN(IF(OFFSET(Setup!$G$73,MATCH(O$5,DedListItem,0),0,1,1)="Taxable",SUMPRODUCT((PayEmp=$C40)*(PayDate&lt;=$AC40)*(ISERROR(SEARCH(PayEarnCode,O$4)))*(PayEarnTax)*(PayEarnValues)),SUMPRODUCT((PayEmp=$C40)*(PayDate&lt;=$AC40)*(ISERROR(SEARCH(PayEarnCode,O$4)))*(PayEarnValues))),IF(ISNUMBER(O$3),O$3/12*$AA40,IgnoreMin)))*IF(COUNTIFS(EmpNo,$C40,OFFSET(Emp!$R$4,1,MATCH(O$5,DedListItem,0)-1,EmpCount,1),"&lt;&gt;")&gt;0,VLOOKUP($C40,EmpAll,COLUMN(Emp!$R$4)+MATCH(O$5,DedListItem,0)-1,0),OFFSET(Setup!$E$73,MATCH(O$5,DedListItem,0),0,1,1)))-SUMIFS(OFFSET(O$6,1,0,PayCount,1),PayDate,"&lt;"&amp;$AC40,PayEmp,$C40))))))</f>
        <v>0</v>
      </c>
      <c r="P40" s="133" cm="1">
        <f t="array" aca="1" ref="P40" ca="1">IF($F40="Terminated",0,IF($AA40=0,0,IF(ISNA(MATCH(P$5,DedListItem,0)),0,IF(COUNTIFS(OverEmp,$C40,OverDeduct,P$5,OverDate,"&lt;"&amp;DATE(YEAR($AC40),MONTH($AC40)+1,1),OverEnd,"&gt;="&amp;DATE(YEAR($AC40),MONTH($AC40),1))&gt;0,SUMIFS(OverValue,OverEmp,$C40,OverDeduct,P$5,OverDate,"&lt;"&amp;DATE(YEAR($AC40),MONTH($AC40)+1,1),OverEnd,"&gt;="&amp;DATE(YEAR($AC40),MONTH($AC40),1)),IF(OR(P$2="Fixed",P$2="Not Used"),(IF(COUNTIFS(EmpNo,$C40,OFFSET(Emp!$R$4,1,MATCH(P$5,DedListItem,0)-1,EmpCount,1),"&lt;&gt;")&gt;0,VLOOKUP($C40,EmpAll,COLUMN(Emp!$R$4)+MATCH(P$5,DedListItem,0)-1,0),OFFSET(Setup!$E$73,MATCH(P$5,DedListItem,0),0,1,1))*$AA40)-SUMIFS(OFFSET(P$6,1,0,PayCount,1),PayDate,"&lt;"&amp;$AC40,PayEmp,$C40),IF(ISNA(MATCH(P$2,EarnListItem,0))=FALSE,IF(OFFSET(Setup!$G$73,MATCH(P$5,DedListItem,0),0,1,1)="Taxable",SUMPRODUCT((PayEmp=$C40)*(PayDate&lt;=$AC40)*(PayEarnCode=P$2)*(PayEarnTax)*(PayEarnValues)),SUMPRODUCT((PayEmp=$C40)*(PayDate&lt;=$AC40)*(PayEarnCode=P$2)*(PayEarnValues)))*IF(COUNTIFS(EmpNo,$C40,OFFSET(Emp!$R$4,1,MATCH(P$5,DedListItem,0)-1,EmpCount,1),"&lt;&gt;")&gt;0,VLOOKUP($C40,EmpAll,COLUMN(Emp!$R$4)+MATCH(P$5,DedListItem,0)-1,0),OFFSET(Setup!$E$73,MATCH(P$5,DedListItem,0),0,1,1)),(MIN(IF(OFFSET(Setup!$G$73,MATCH(P$5,DedListItem,0),0,1,1)="Taxable",SUMPRODUCT((PayEmp=$C40)*(PayDate&lt;=$AC40)*(ISERROR(SEARCH(PayEarnCode,P$4)))*(PayEarnTax)*(PayEarnValues)),SUMPRODUCT((PayEmp=$C40)*(PayDate&lt;=$AC40)*(ISERROR(SEARCH(PayEarnCode,P$4)))*(PayEarnValues))),IF(ISNUMBER(P$3),P$3/12*$AA40,IgnoreMin)))*IF(COUNTIFS(EmpNo,$C40,OFFSET(Emp!$R$4,1,MATCH(P$5,DedListItem,0)-1,EmpCount,1),"&lt;&gt;")&gt;0,VLOOKUP($C40,EmpAll,COLUMN(Emp!$R$4)+MATCH(P$5,DedListItem,0)-1,0),OFFSET(Setup!$E$73,MATCH(P$5,DedListItem,0),0,1,1)))-SUMIFS(OFFSET(P$6,1,0,PayCount,1),PayDate,"&lt;"&amp;$AC40,PayEmp,$C40))))))</f>
        <v>500</v>
      </c>
      <c r="Q40" s="133" cm="1">
        <f t="array" aca="1" ref="Q40" ca="1">IF($F40="Terminated",0,IF($AA40=0,0,IF(ISNA(MATCH(Q$5,DedListItem,0)),0,IF(COUNTIFS(OverEmp,$C40,OverDeduct,Q$5,OverDate,"&lt;"&amp;DATE(YEAR($AC40),MONTH($AC40)+1,1),OverEnd,"&gt;="&amp;DATE(YEAR($AC40),MONTH($AC40),1))&gt;0,SUMIFS(OverValue,OverEmp,$C40,OverDeduct,Q$5,OverDate,"&lt;"&amp;DATE(YEAR($AC40),MONTH($AC40)+1,1),OverEnd,"&gt;="&amp;DATE(YEAR($AC40),MONTH($AC40),1)),IF(OR(Q$2="Fixed",Q$2="Not Used"),(IF(COUNTIFS(EmpNo,$C40,OFFSET(Emp!$R$4,1,MATCH(Q$5,DedListItem,0)-1,EmpCount,1),"&lt;&gt;")&gt;0,VLOOKUP($C40,EmpAll,COLUMN(Emp!$R$4)+MATCH(Q$5,DedListItem,0)-1,0),OFFSET(Setup!$E$73,MATCH(Q$5,DedListItem,0),0,1,1))*$AA40)-SUMIFS(OFFSET(Q$6,1,0,PayCount,1),PayDate,"&lt;"&amp;$AC40,PayEmp,$C40),IF(ISNA(MATCH(Q$2,EarnListItem,0))=FALSE,IF(OFFSET(Setup!$G$73,MATCH(Q$5,DedListItem,0),0,1,1)="Taxable",SUMPRODUCT((PayEmp=$C40)*(PayDate&lt;=$AC40)*(PayEarnCode=Q$2)*(PayEarnTax)*(PayEarnValues)),SUMPRODUCT((PayEmp=$C40)*(PayDate&lt;=$AC40)*(PayEarnCode=Q$2)*(PayEarnValues)))*IF(COUNTIFS(EmpNo,$C40,OFFSET(Emp!$R$4,1,MATCH(Q$5,DedListItem,0)-1,EmpCount,1),"&lt;&gt;")&gt;0,VLOOKUP($C40,EmpAll,COLUMN(Emp!$R$4)+MATCH(Q$5,DedListItem,0)-1,0),OFFSET(Setup!$E$73,MATCH(Q$5,DedListItem,0),0,1,1)),(MIN(IF(OFFSET(Setup!$G$73,MATCH(Q$5,DedListItem,0),0,1,1)="Taxable",SUMPRODUCT((PayEmp=$C40)*(PayDate&lt;=$AC40)*(ISERROR(SEARCH(PayEarnCode,Q$4)))*(PayEarnTax)*(PayEarnValues)),SUMPRODUCT((PayEmp=$C40)*(PayDate&lt;=$AC40)*(ISERROR(SEARCH(PayEarnCode,Q$4)))*(PayEarnValues))),IF(ISNUMBER(Q$3),Q$3/12*$AA40,IgnoreMin)))*IF(COUNTIFS(EmpNo,$C40,OFFSET(Emp!$R$4,1,MATCH(Q$5,DedListItem,0)-1,EmpCount,1),"&lt;&gt;")&gt;0,VLOOKUP($C40,EmpAll,COLUMN(Emp!$R$4)+MATCH(Q$5,DedListItem,0)-1,0),OFFSET(Setup!$E$73,MATCH(Q$5,DedListItem,0),0,1,1)))-SUMIFS(OFFSET(Q$6,1,0,PayCount,1),PayDate,"&lt;"&amp;$AC40,PayEmp,$C40))))))</f>
        <v>0</v>
      </c>
      <c r="R40" s="185">
        <f t="shared" ca="1" si="25"/>
        <v>1549.75</v>
      </c>
      <c r="S40" s="139">
        <f t="shared" ca="1" si="26"/>
        <v>13450.25</v>
      </c>
      <c r="T40" s="133" cm="1">
        <f t="array" aca="1" ref="T40" ca="1">IF($F40="Terminated",0,IF($AA40=0,0,IF(ISNA(MATCH(T$5,CompListItem,0)),0,IF(COUNTIFS(OverEmp,$C40,OverComp,T$5,OverDate,"&lt;"&amp;DATE(YEAR($AC40),MONTH($AC40)+1,1),OverEnd,"&gt;="&amp;DATE(YEAR($AC40),MONTH($AC40),1))&gt;0,SUMIFS(OverValue,OverEmp,$C40,OverComp,T$5,OverDate,"&lt;"&amp;DATE(YEAR($AC40),MONTH($AC40)+1,1),OverEnd,"&gt;="&amp;DATE(YEAR($AC40),MONTH($AC40),1)),IF(OR(T$2="Fixed",T$2="Not Used"),(OFFSET(Setup!$E$81,MATCH(T$5,CompListItem,0),0,1,1)*$AA40)-SUMIFS(OFFSET(T$6,1,0,PayCount,1),PayDate,"&lt;"&amp;$AC40,PayEmp,$C40),IF(ISNA(MATCH(T$2,DedListItem,0))=FALSE,(SUMPRODUCT((PayEmp=$C40)*(PayDate&lt;=$AC40)*(PayDedList=T$2)*(PayDedValues))*OFFSET(Setup!$E$81,MATCH(T$5,CompListItem,0),0,1,1))-SUMIFS(OFFSET(T$6,1,0,PayCount,1),PayDate,"&lt;"&amp;$AC40,PayEmp,$C40),(MIN(IF(OFFSET(Setup!$G$81,MATCH(T$5,CompListItem,0),0,1,1)="Taxable",SUMPRODUCT((PayEmp=$C40)*(PayDate&lt;=$AC40)*(ISERROR(SEARCH(PayEarnCode,T$4)))*(PayEarnTax)*(PayEarnValues)),SUMPRODUCT((PayEmp=$C40)*(PayDate&lt;=$AC40)*(ISERROR(SEARCH(PayEarnCode,T$4)))*(PayEarnValues))),IF(ISNUMBER(T$3),T$3/12*$AA40,IgnoreMin)))*OFFSET(Setup!$E$81,MATCH(T$5,CompListItem,0),0,1,1)-SUMIFS(OFFSET(T$6,1,0,PayCount,1),PayDate,"&lt;"&amp;$AC40,PayEmp,$C40)))))))</f>
        <v>150</v>
      </c>
      <c r="U40" s="133" cm="1">
        <f t="array" aca="1" ref="U40" ca="1">IF($F40="Terminated",0,IF($AA40=0,0,IF(ISNA(MATCH(U$5,CompListItem,0)),0,IF(COUNTIFS(OverEmp,$C40,OverComp,U$5,OverDate,"&lt;"&amp;DATE(YEAR($AC40),MONTH($AC40)+1,1),OverEnd,"&gt;="&amp;DATE(YEAR($AC40),MONTH($AC40),1))&gt;0,SUMIFS(OverValue,OverEmp,$C40,OverComp,U$5,OverDate,"&lt;"&amp;DATE(YEAR($AC40),MONTH($AC40)+1,1),OverEnd,"&gt;="&amp;DATE(YEAR($AC40),MONTH($AC40),1)),IF(OR(U$2="Fixed",U$2="Not Used"),(OFFSET(Setup!$E$81,MATCH(U$5,CompListItem,0),0,1,1)*$AA40)-SUMIFS(OFFSET(U$6,1,0,PayCount,1),PayDate,"&lt;"&amp;$AC40,PayEmp,$C40),IF(ISNA(MATCH(U$2,DedListItem,0))=FALSE,(SUMPRODUCT((PayEmp=$C40)*(PayDate&lt;=$AC40)*(PayDedList=U$2)*(PayDedValues))*OFFSET(Setup!$E$81,MATCH(U$5,CompListItem,0),0,1,1))-SUMIFS(OFFSET(U$6,1,0,PayCount,1),PayDate,"&lt;"&amp;$AC40,PayEmp,$C40),(MIN(IF(OFFSET(Setup!$G$81,MATCH(U$5,CompListItem,0),0,1,1)="Taxable",SUMPRODUCT((PayEmp=$C40)*(PayDate&lt;=$AC40)*(ISERROR(SEARCH(PayEarnCode,U$4)))*(PayEarnTax)*(PayEarnValues)),SUMPRODUCT((PayEmp=$C40)*(PayDate&lt;=$AC40)*(ISERROR(SEARCH(PayEarnCode,U$4)))*(PayEarnValues))),IF(ISNUMBER(U$3),U$3/12*$AA40,IgnoreMin)))*OFFSET(Setup!$E$81,MATCH(U$5,CompListItem,0),0,1,1)-SUMIFS(OFFSET(U$6,1,0,PayCount,1),PayDate,"&lt;"&amp;$AC40,PayEmp,$C40)))))))</f>
        <v>150</v>
      </c>
      <c r="V40" s="133" cm="1">
        <f t="array" aca="1" ref="V40" ca="1">IF($F40="Terminated",0,IF($AA40=0,0,IF(ISNA(MATCH(V$5,CompListItem,0)),0,IF(COUNTIFS(OverEmp,$C40,OverComp,V$5,OverDate,"&lt;"&amp;DATE(YEAR($AC40),MONTH($AC40)+1,1),OverEnd,"&gt;="&amp;DATE(YEAR($AC40),MONTH($AC40),1))&gt;0,SUMIFS(OverValue,OverEmp,$C40,OverComp,V$5,OverDate,"&lt;"&amp;DATE(YEAR($AC40),MONTH($AC40)+1,1),OverEnd,"&gt;="&amp;DATE(YEAR($AC40),MONTH($AC40),1)),IF(OR(V$2="Fixed",V$2="Not Used"),(OFFSET(Setup!$E$81,MATCH(V$5,CompListItem,0),0,1,1)*$AA40)-SUMIFS(OFFSET(V$6,1,0,PayCount,1),PayDate,"&lt;"&amp;$AC40,PayEmp,$C40),IF(ISNA(MATCH(V$2,DedListItem,0))=FALSE,(SUMPRODUCT((PayEmp=$C40)*(PayDate&lt;=$AC40)*(PayDedList=V$2)*(PayDedValues))*OFFSET(Setup!$E$81,MATCH(V$5,CompListItem,0),0,1,1))-SUMIFS(OFFSET(V$6,1,0,PayCount,1),PayDate,"&lt;"&amp;$AC40,PayEmp,$C40),(MIN(IF(OFFSET(Setup!$G$81,MATCH(V$5,CompListItem,0),0,1,1)="Taxable",SUMPRODUCT((PayEmp=$C40)*(PayDate&lt;=$AC40)*(ISERROR(SEARCH(PayEarnCode,V$4)))*(PayEarnTax)*(PayEarnValues)),SUMPRODUCT((PayEmp=$C40)*(PayDate&lt;=$AC40)*(ISERROR(SEARCH(PayEarnCode,V$4)))*(PayEarnValues))),IF(ISNUMBER(V$3),V$3/12*$AA40,IgnoreMin)))*OFFSET(Setup!$E$81,MATCH(V$5,CompListItem,0),0,1,1)-SUMIFS(OFFSET(V$6,1,0,PayCount,1),PayDate,"&lt;"&amp;$AC40,PayEmp,$C40)))))))</f>
        <v>0</v>
      </c>
      <c r="W40" s="133" cm="1">
        <f t="array" aca="1" ref="W40" ca="1">IF($F40="Terminated",0,IF($AA40=0,0,IF(ISNA(MATCH(W$5,CompListItem,0)),0,IF(COUNTIFS(OverEmp,$C40,OverComp,W$5,OverDate,"&lt;"&amp;DATE(YEAR($AC40),MONTH($AC40)+1,1),OverEnd,"&gt;="&amp;DATE(YEAR($AC40),MONTH($AC40),1))&gt;0,SUMIFS(OverValue,OverEmp,$C40,OverComp,W$5,OverDate,"&lt;"&amp;DATE(YEAR($AC40),MONTH($AC40)+1,1),OverEnd,"&gt;="&amp;DATE(YEAR($AC40),MONTH($AC40),1)),IF(OR(W$2="Fixed",W$2="Not Used"),(OFFSET(Setup!$E$81,MATCH(W$5,CompListItem,0),0,1,1)*$AA40)-SUMIFS(OFFSET(W$6,1,0,PayCount,1),PayDate,"&lt;"&amp;$AC40,PayEmp,$C40),IF(ISNA(MATCH(W$2,DedListItem,0))=FALSE,(SUMPRODUCT((PayEmp=$C40)*(PayDate&lt;=$AC40)*(PayDedList=W$2)*(PayDedValues))*OFFSET(Setup!$E$81,MATCH(W$5,CompListItem,0),0,1,1))-SUMIFS(OFFSET(W$6,1,0,PayCount,1),PayDate,"&lt;"&amp;$AC40,PayEmp,$C40),(MIN(IF(OFFSET(Setup!$G$81,MATCH(W$5,CompListItem,0),0,1,1)="Taxable",SUMPRODUCT((PayEmp=$C40)*(PayDate&lt;=$AC40)*(ISERROR(SEARCH(PayEarnCode,W$4)))*(PayEarnTax)*(PayEarnValues)),SUMPRODUCT((PayEmp=$C40)*(PayDate&lt;=$AC40)*(ISERROR(SEARCH(PayEarnCode,W$4)))*(PayEarnValues))),IF(ISNUMBER(W$3),W$3/12*$AA40,IgnoreMin)))*OFFSET(Setup!$E$81,MATCH(W$5,CompListItem,0),0,1,1)-SUMIFS(OFFSET(W$6,1,0,PayCount,1),PayDate,"&lt;"&amp;$AC40,PayEmp,$C40)))))))</f>
        <v>0</v>
      </c>
      <c r="X40" s="185">
        <f t="shared" ca="1" si="18"/>
        <v>300</v>
      </c>
      <c r="Y40" s="139">
        <f t="shared" ca="1" si="27"/>
        <v>15300</v>
      </c>
      <c r="Z40" s="139">
        <f t="shared" ca="1" si="19"/>
        <v>1849.75</v>
      </c>
      <c r="AA40" s="146">
        <f ca="1">IF(OR($B40&lt;=Setup!$E$12,$B40&gt;=Setup!$D$12+1),0,IF($F40&lt;&gt;"Active",0,IF($AE40="Yes",$AB40,((YEAR($AC40)*12)+MONTH($AC40))-((YEAR($AD40)*12)+MONTH($AD40)-1))))</f>
        <v>3</v>
      </c>
      <c r="AB40" s="146">
        <f ca="1">IF(OR($B40&lt;=Setup!$E$12,$B40&gt;=Setup!$D$12+1),0,((YEAR($AC40)*12)+MONTH($AC40))-((YEAR(Setup!$E$12)*12)+MONTH(Setup!$E$12)))</f>
        <v>3</v>
      </c>
      <c r="AC40" s="186">
        <f t="shared" ca="1" si="20"/>
        <v>45071</v>
      </c>
      <c r="AD40" s="144">
        <f ca="1">IF(ISNA(VLOOKUP($C40,EmpAll,COLUMN(Emp!$E$4),0)),$AC40,IF(VLOOKUP($C40,EmpAll,COLUMN(Emp!$E$4),0)&lt;=Setup!$E$12,DATE(YEAR(Setup!$E$12),MONTH(Setup!$E$12)+1,1),VLOOKUP($C40,EmpAll,COLUMN(Emp!$E$4),0)))</f>
        <v>44986</v>
      </c>
      <c r="AE40" s="144" t="str">
        <f ca="1">IF(ISNA(VLOOKUP($C40,EmpAll,COLUMN(Emp!$G$1),0)),"-",IF(VLOOKUP($C40,EmpAll,COLUMN(Emp!$G$1),0)=0,"-",VLOOKUP($C40,EmpAll,COLUMN(Emp!$G$1),0)))</f>
        <v>-</v>
      </c>
      <c r="AF40" s="145">
        <f ca="1">IF(A40=PaySlip!$G$3,1,0)</f>
        <v>0</v>
      </c>
      <c r="AG40" s="130" cm="1">
        <f t="array" aca="1" ref="AG40" ca="1">IF(COUNTIFS(OverEmp,$C40,OverMed,"MED",OverDate,"&lt;"&amp;DATE(YEAR($AC40),MONTH($AC40)+1,1),OverEnd,"&gt;="&amp;DATE(YEAR($AC40),MONTH($AC40),1))&gt;0,SUMIFS(OverValue,OverEmp,$C40,OverMed,"MED",OverDate,"&lt;"&amp;DATE(YEAR($AC40),MONTH($AC40)+1,1),OverEnd,"&gt;="&amp;DATE(YEAR($AC40),MONTH($AC40),1)),IF(ISNA(VLOOKUP($C40,EmpAll,COLUMN(Emp!$N$4),0)),0,VLOOKUP($C40,EmpAll,COLUMN(Emp!$N$4),0)))</f>
        <v>1</v>
      </c>
      <c r="AH40" s="146">
        <f ca="1">VLOOKUP($AG40,MedList,COLUMN(Setup!$C$49),1)</f>
        <v>364</v>
      </c>
      <c r="AI40" s="146">
        <f t="shared" ca="1" si="7"/>
        <v>4368</v>
      </c>
      <c r="AJ40" s="101" t="str">
        <f ca="1">IF(ISNA(VLOOKUP($C40,EmpAll,COLUMN(Emp!$L$4),0)),"None!",VLOOKUP($C40,EmpAll,COLUMN(Emp!$L$4),0))</f>
        <v>A</v>
      </c>
      <c r="AK40" s="147">
        <f t="shared" ca="1" si="21"/>
        <v>17235</v>
      </c>
      <c r="AL40" s="101" t="str">
        <f ca="1">IF(ISNA(VLOOKUP($C40,Employees[],COLUMN(Emp!$M$4),0))=TRUE,"Error!",IF(VLOOKUP($C40,Employees[],COLUMN(Emp!$M$4),0)=0,"Yes",VLOOKUP($C40,Employees[],COLUMN(Emp!$M$4),0)))</f>
        <v>A</v>
      </c>
      <c r="AM40" s="148">
        <f t="shared" ca="1" si="9"/>
        <v>183600</v>
      </c>
      <c r="AN40" s="148" cm="1">
        <f t="array" aca="1" ref="AN40" ca="1">-IF($F40="Terminated",0,IF($AA40=0,0,IF(ISNA(MATCH(AN$5,PayDedList,0)),0,MIN(IF(COUNTIFS(OverEmp,$C40,OverDeduct,AN$5,OverDate,"&lt;"&amp;DATE(YEAR($AC40),MONTH($AC40)+1,1),OverEnd,"&gt;="&amp;DATE(YEAR($AC40),MONTH($AC40),1))&gt;0,SUMPRODUCT((PayEmp=$C40)*(PayDate&lt;=$AC40)*(OFFSET($N$6,1,MATCH(AN$5,PayDedList,0)-1,PayCount,1)))/$AA40*12*AN$3,IF(OR(AN$1="Fixed",AN$1="Not Used"),SUMPRODUCT((PayEmp=$C40)*(PayDate&lt;=$AC40)*(OFFSET($N$6,1,MATCH(AN$5,PayDedList,0)-1,PayCount,1)))/$AA40*12*AN$3,IF(ISNA(MATCH(AN$1,EarnListItem,0))=FALSE,SUMPRODUCT((PayEmp=$C40)*(PayDate&lt;=$AC40)*(OFFSET($N$6,1,MATCH(AN$5,PayDedList,0)-1,PayCount,1)))/$AA40*12*AN$3,(MIN(((SUMPRODUCT((PayEmp=$C40)*(PayDate&lt;=$AC40)*(ISERROR(SEARCH(PayEarnCode,AN$2)))*(PayEarnType="Monthly")*(PayEarnValues))/$AA40*12)+(SUMPRODUCT((PayEmp=$C40)*(PayDate&lt;=$AC40)*(ISERROR(SEARCH(PayEarnCode,AN$2)))*(PayEarnType="Quarterly")*(PayEarnValues))/MAX(1,ROUNDDOWN($AB40/3,0))*4)+(SUMPRODUCT((PayEmp=$C40)*(PayDate&lt;=$AC40)*(ISERROR(SEARCH(PayEarnCode,AN$2)))*(PayEarnType="Bi-Annual")*(PayEarnValues))/MAX(1,ROUNDDOWN($AB40/6,0))*2)+(SUMPRODUCT((PayEmp=$C40)*(PayDate&lt;=$AC40)*(ISERROR(SEARCH(PayEarnCode,AN$2)))*(PayEarnType="Annual")*(PayEarnValues)))),IF(ISNUMBER(OFFSET($N$3,0,MATCH(AN$5,PayDedList,0)-1,1,1)),OFFSET($N$3,0,MATCH(AN$5,PayDedList,0)-1,1,1),IgnoreMin)))*IF(COUNTIFS(EmpNo,$C40,OFFSET(Emp!$R$4,1,MATCH(AN$5,DedListItem,0)-1,EmpCount,1),"&lt;&gt;")&gt;0,VLOOKUP($C40,EmpAll,COLUMN(Emp!$R$4)+MATCH(AN$5,DedListItem,0)-1,0),OFFSET(Setup!$E$73,MATCH(AN$5,DedListItem,0),0,1,1))*AN$3))),IF(ISNUMBER(AN$4),AN$4,IgnoreMin)))))</f>
        <v>0</v>
      </c>
      <c r="AO40" s="148" cm="1">
        <f t="array" aca="1" ref="AO40" ca="1">-IF($F40="Terminated",0,IF($AA40=0,0,IF(ISNA(MATCH(AO$5,PayDedList,0)),0,MIN(IF(COUNTIFS(OverEmp,$C40,OverDeduct,AO$5,OverDate,"&lt;"&amp;DATE(YEAR($AC40),MONTH($AC40)+1,1),OverEnd,"&gt;="&amp;DATE(YEAR($AC40),MONTH($AC40),1))&gt;0,SUMPRODUCT((PayEmp=$C40)*(PayDate&lt;=$AC40)*(OFFSET($N$6,1,MATCH(AO$5,PayDedList,0)-1,PayCount,1)))/$AA40*12*AO$3,IF(OR(AO$1="Fixed",AO$1="Not Used"),SUMPRODUCT((PayEmp=$C40)*(PayDate&lt;=$AC40)*(OFFSET($N$6,1,MATCH(AO$5,PayDedList,0)-1,PayCount,1)))/$AA40*12*AO$3,IF(ISNA(MATCH(AO$1,EarnListItem,0))=FALSE,SUMPRODUCT((PayEmp=$C40)*(PayDate&lt;=$AC40)*(OFFSET($N$6,1,MATCH(AO$5,PayDedList,0)-1,PayCount,1)))/$AA40*12*AO$3,(MIN(((SUMPRODUCT((PayEmp=$C40)*(PayDate&lt;=$AC40)*(ISERROR(SEARCH(PayEarnCode,AO$2)))*(PayEarnType="Monthly")*(PayEarnValues))/$AA40*12)+(SUMPRODUCT((PayEmp=$C40)*(PayDate&lt;=$AC40)*(ISERROR(SEARCH(PayEarnCode,AO$2)))*(PayEarnType="Quarterly")*(PayEarnValues))/MAX(1,ROUNDDOWN($AB40/3,0))*4)+(SUMPRODUCT((PayEmp=$C40)*(PayDate&lt;=$AC40)*(ISERROR(SEARCH(PayEarnCode,AO$2)))*(PayEarnType="Bi-Annual")*(PayEarnValues))/MAX(1,ROUNDDOWN($AB40/6,0))*2)+(SUMPRODUCT((PayEmp=$C40)*(PayDate&lt;=$AC40)*(ISERROR(SEARCH(PayEarnCode,AO$2)))*(PayEarnType="Annual")*(PayEarnValues)))),IF(ISNUMBER(OFFSET($N$3,0,MATCH(AO$5,PayDedList,0)-1,1,1)),OFFSET($N$3,0,MATCH(AO$5,PayDedList,0)-1,1,1),IgnoreMin)))*IF(COUNTIFS(EmpNo,$C40,OFFSET(Emp!$R$4,1,MATCH(AO$5,DedListItem,0)-1,EmpCount,1),"&lt;&gt;")&gt;0,VLOOKUP($C40,EmpAll,COLUMN(Emp!$R$4)+MATCH(AO$5,DedListItem,0)-1,0),OFFSET(Setup!$E$73,MATCH(AO$5,DedListItem,0),0,1,1))*AO$3))),IF(ISNUMBER(AO$4),AO$4,IgnoreMin)))))</f>
        <v>0</v>
      </c>
      <c r="AP40" s="148" cm="1">
        <f t="array" aca="1" ref="AP40" ca="1">-IF($F40="Terminated",0,IF($AA40=0,0,IF(ISNA(MATCH(AP$5,PayDedList,0)),0,MIN(IF(COUNTIFS(OverEmp,$C40,OverDeduct,AP$5,OverDate,"&lt;"&amp;DATE(YEAR($AC40),MONTH($AC40)+1,1),OverEnd,"&gt;="&amp;DATE(YEAR($AC40),MONTH($AC40),1))&gt;0,SUMPRODUCT((PayEmp=$C40)*(PayDate&lt;=$AC40)*(OFFSET($N$6,1,MATCH(AP$5,PayDedList,0)-1,PayCount,1)))/$AA40*12*AP$3,IF(OR(AP$1="Fixed",AP$1="Not Used"),SUMPRODUCT((PayEmp=$C40)*(PayDate&lt;=$AC40)*(OFFSET($N$6,1,MATCH(AP$5,PayDedList,0)-1,PayCount,1)))/$AA40*12*AP$3,IF(ISNA(MATCH(AP$1,EarnListItem,0))=FALSE,SUMPRODUCT((PayEmp=$C40)*(PayDate&lt;=$AC40)*(OFFSET($N$6,1,MATCH(AP$5,PayDedList,0)-1,PayCount,1)))/$AA40*12*AP$3,(MIN(((SUMPRODUCT((PayEmp=$C40)*(PayDate&lt;=$AC40)*(ISERROR(SEARCH(PayEarnCode,AP$2)))*(PayEarnType="Monthly")*(PayEarnValues))/$AA40*12)+(SUMPRODUCT((PayEmp=$C40)*(PayDate&lt;=$AC40)*(ISERROR(SEARCH(PayEarnCode,AP$2)))*(PayEarnType="Quarterly")*(PayEarnValues))/MAX(1,ROUNDDOWN($AB40/3,0))*4)+(SUMPRODUCT((PayEmp=$C40)*(PayDate&lt;=$AC40)*(ISERROR(SEARCH(PayEarnCode,AP$2)))*(PayEarnType="Bi-Annual")*(PayEarnValues))/MAX(1,ROUNDDOWN($AB40/6,0))*2)+(SUMPRODUCT((PayEmp=$C40)*(PayDate&lt;=$AC40)*(ISERROR(SEARCH(PayEarnCode,AP$2)))*(PayEarnType="Annual")*(PayEarnValues)))),IF(ISNUMBER(OFFSET($N$3,0,MATCH(AP$5,PayDedList,0)-1,1,1)),OFFSET($N$3,0,MATCH(AP$5,PayDedList,0)-1,1,1),IgnoreMin)))*IF(COUNTIFS(EmpNo,$C40,OFFSET(Emp!$R$4,1,MATCH(AP$5,DedListItem,0)-1,EmpCount,1),"&lt;&gt;")&gt;0,VLOOKUP($C40,EmpAll,COLUMN(Emp!$R$4)+MATCH(AP$5,DedListItem,0)-1,0),OFFSET(Setup!$E$73,MATCH(AP$5,DedListItem,0),0,1,1))*AP$3))),IF(ISNUMBER(AP$4),AP$4,IgnoreMin)))))</f>
        <v>0</v>
      </c>
      <c r="AQ40" s="148" cm="1">
        <f t="array" aca="1" ref="AQ40" ca="1">-IF($F40="Terminated",0,IF($AA40=0,0,IF(ISNA(MATCH(AQ$5,PayDedList,0)),0,MIN(IF(COUNTIFS(OverEmp,$C40,OverDeduct,AQ$5,OverDate,"&lt;"&amp;DATE(YEAR($AC40),MONTH($AC40)+1,1),OverEnd,"&gt;="&amp;DATE(YEAR($AC40),MONTH($AC40),1))&gt;0,SUMPRODUCT((PayEmp=$C40)*(PayDate&lt;=$AC40)*(OFFSET($N$6,1,MATCH(AQ$5,PayDedList,0)-1,PayCount,1)))/$AA40*12*AQ$3,IF(OR(AQ$1="Fixed",AQ$1="Not Used"),SUMPRODUCT((PayEmp=$C40)*(PayDate&lt;=$AC40)*(OFFSET($N$6,1,MATCH(AQ$5,PayDedList,0)-1,PayCount,1)))/$AA40*12*AQ$3,IF(ISNA(MATCH(AQ$1,EarnListItem,0))=FALSE,SUMPRODUCT((PayEmp=$C40)*(PayDate&lt;=$AC40)*(OFFSET($N$6,1,MATCH(AQ$5,PayDedList,0)-1,PayCount,1)))/$AA40*12*AQ$3,(MIN(((SUMPRODUCT((PayEmp=$C40)*(PayDate&lt;=$AC40)*(ISERROR(SEARCH(PayEarnCode,AQ$2)))*(PayEarnType="Monthly")*(PayEarnValues))/$AA40*12)+(SUMPRODUCT((PayEmp=$C40)*(PayDate&lt;=$AC40)*(ISERROR(SEARCH(PayEarnCode,AQ$2)))*(PayEarnType="Quarterly")*(PayEarnValues))/MAX(1,ROUNDDOWN($AB40/3,0))*4)+(SUMPRODUCT((PayEmp=$C40)*(PayDate&lt;=$AC40)*(ISERROR(SEARCH(PayEarnCode,AQ$2)))*(PayEarnType="Bi-Annual")*(PayEarnValues))/MAX(1,ROUNDDOWN($AB40/6,0))*2)+(SUMPRODUCT((PayEmp=$C40)*(PayDate&lt;=$AC40)*(ISERROR(SEARCH(PayEarnCode,AQ$2)))*(PayEarnType="Annual")*(PayEarnValues)))),IF(ISNUMBER(OFFSET($N$3,0,MATCH(AQ$5,PayDedList,0)-1,1,1)),OFFSET($N$3,0,MATCH(AQ$5,PayDedList,0)-1,1,1),IgnoreMin)))*IF(COUNTIFS(EmpNo,$C40,OFFSET(Emp!$R$4,1,MATCH(AQ$5,DedListItem,0)-1,EmpCount,1),"&lt;&gt;")&gt;0,VLOOKUP($C40,EmpAll,COLUMN(Emp!$R$4)+MATCH(AQ$5,DedListItem,0)-1,0),OFFSET(Setup!$E$73,MATCH(AQ$5,DedListItem,0),0,1,1))*AQ$3))),IF(ISNUMBER(AQ$4),AQ$4,IgnoreMin)))))</f>
        <v>0</v>
      </c>
      <c r="AR40" s="148">
        <f t="shared" ca="1" si="22"/>
        <v>183600</v>
      </c>
      <c r="AS40" s="148">
        <f t="shared" ca="1" si="11"/>
        <v>180000</v>
      </c>
      <c r="AT40" s="148" cm="1">
        <f t="array" aca="1" ref="AT40" ca="1">-IF($F40="Terminated",0,IF($AA40=0,0,IF(ISNA(MATCH(AT$5,PayDedList,0)),0,MIN(IF(COUNTIFS(OverEmp,$C40,OverDeduct,AT$5,OverDate,"&lt;"&amp;DATE(YEAR($AC40),MONTH($AC40)+1,1),OverEnd,"&gt;="&amp;DATE(YEAR($AC40),MONTH($AC40),1))&gt;0,SUMPRODUCT((PayEmp=$C40)*(PayDate&lt;=$AC40)*(OFFSET($N$6,1,MATCH(AT$5,PayDedList,0)-1,PayCount,1)))/$AA40*12*AT$3,IF(OR(AT$1="Fixed",AT$1="Not Used"),SUMPRODUCT((PayEmp=$C40)*(PayDate&lt;=$AC40)*(OFFSET($N$6,1,MATCH(AT$5,PayDedList,0)-1,PayCount,1)))/$AA40*12*AT$3,IF(ISNA(MATCH(OFFSET($N$2,0,MATCH(AT$5,PayDedList,0)-1,1,1),EarnListItem,0))=FALSE,SUMPRODUCT((PayEmp=$C40)*(PayDate&lt;=$AC40)*(OFFSET($N$6,1,MATCH(AT$5,PayDedList,0)-1,PayCount,1)))/$AA40*12*AT$3,(MIN(SUMPRODUCT((PayEmp=$C40)*(PayDate&lt;=$AC40)*(ISERROR(SEARCH(PayEarnCode,AT$2)))*(PayEarnType="Monthly")*(PayEarnValues))/$AA40*12,IF(ISNUMBER(OFFSET($N$3,0,MATCH(AT$5,PayDedList,0)-1,1,1)),OFFSET($N$3,0,MATCH(AT$5,PayDedList,0)-1,1,1),IgnoreMin)))*IF(COUNTIFS(EmpNo,$C40,OFFSET(Emp!$R$4,1,MATCH(AT$5,DedListItem,0)-1,EmpCount,1),"&lt;&gt;")&gt;0,VLOOKUP($C40,EmpAll,COLUMN(Emp!$R$4)+MATCH(AT$5,DedListItem,0)-1,0),OFFSET(Setup!$E$73,MATCH(AT$5,DedListItem,0),0,1,1))*AT$3))),IF(ISNUMBER(AT$4),AT$4,IgnoreMin)))))</f>
        <v>0</v>
      </c>
      <c r="AU40" s="148" cm="1">
        <f t="array" aca="1" ref="AU40" ca="1">-IF($F40="Terminated",0,IF($AA40=0,0,IF(ISNA(MATCH(AU$5,PayDedList,0)),0,MIN(IF(COUNTIFS(OverEmp,$C40,OverDeduct,AU$5,OverDate,"&lt;"&amp;DATE(YEAR($AC40),MONTH($AC40)+1,1),OverEnd,"&gt;="&amp;DATE(YEAR($AC40),MONTH($AC40),1))&gt;0,SUMPRODUCT((PayEmp=$C40)*(PayDate&lt;=$AC40)*(OFFSET($N$6,1,MATCH(AU$5,PayDedList,0)-1,PayCount,1)))/$AA40*12*AU$3,IF(OR(AU$1="Fixed",AU$1="Not Used"),SUMPRODUCT((PayEmp=$C40)*(PayDate&lt;=$AC40)*(OFFSET($N$6,1,MATCH(AU$5,PayDedList,0)-1,PayCount,1)))/$AA40*12*AU$3,IF(ISNA(MATCH(OFFSET($N$2,0,MATCH(AU$5,PayDedList,0)-1,1,1),EarnListItem,0))=FALSE,SUMPRODUCT((PayEmp=$C40)*(PayDate&lt;=$AC40)*(OFFSET($N$6,1,MATCH(AU$5,PayDedList,0)-1,PayCount,1)))/$AA40*12*AU$3,(MIN(SUMPRODUCT((PayEmp=$C40)*(PayDate&lt;=$AC40)*(ISERROR(SEARCH(PayEarnCode,AU$2)))*(PayEarnType="Monthly")*(PayEarnValues))/$AA40*12,IF(ISNUMBER(OFFSET($N$3,0,MATCH(AU$5,PayDedList,0)-1,1,1)),OFFSET($N$3,0,MATCH(AU$5,PayDedList,0)-1,1,1),IgnoreMin)))*IF(COUNTIFS(EmpNo,$C40,OFFSET(Emp!$R$4,1,MATCH(AU$5,DedListItem,0)-1,EmpCount,1),"&lt;&gt;")&gt;0,VLOOKUP($C40,EmpAll,COLUMN(Emp!$R$4)+MATCH(AU$5,DedListItem,0)-1,0),OFFSET(Setup!$E$73,MATCH(AU$5,DedListItem,0),0,1,1))*AU$3))),IF(ISNUMBER(AU$4),AU$4,IgnoreMin)))))</f>
        <v>0</v>
      </c>
      <c r="AV40" s="148" cm="1">
        <f t="array" aca="1" ref="AV40" ca="1">-IF($F40="Terminated",0,IF($AA40=0,0,IF(ISNA(MATCH(AV$5,PayDedList,0)),0,MIN(IF(COUNTIFS(OverEmp,$C40,OverDeduct,AV$5,OverDate,"&lt;"&amp;DATE(YEAR($AC40),MONTH($AC40)+1,1),OverEnd,"&gt;="&amp;DATE(YEAR($AC40),MONTH($AC40),1))&gt;0,SUMPRODUCT((PayEmp=$C40)*(PayDate&lt;=$AC40)*(OFFSET($N$6,1,MATCH(AV$5,PayDedList,0)-1,PayCount,1)))/$AA40*12*AV$3,IF(OR(AV$1="Fixed",AV$1="Not Used"),SUMPRODUCT((PayEmp=$C40)*(PayDate&lt;=$AC40)*(OFFSET($N$6,1,MATCH(AV$5,PayDedList,0)-1,PayCount,1)))/$AA40*12*AV$3,IF(ISNA(MATCH(OFFSET($N$2,0,MATCH(AV$5,PayDedList,0)-1,1,1),EarnListItem,0))=FALSE,SUMPRODUCT((PayEmp=$C40)*(PayDate&lt;=$AC40)*(OFFSET($N$6,1,MATCH(AV$5,PayDedList,0)-1,PayCount,1)))/$AA40*12*AV$3,(MIN(SUMPRODUCT((PayEmp=$C40)*(PayDate&lt;=$AC40)*(ISERROR(SEARCH(PayEarnCode,AV$2)))*(PayEarnType="Monthly")*(PayEarnValues))/$AA40*12,IF(ISNUMBER(OFFSET($N$3,0,MATCH(AV$5,PayDedList,0)-1,1,1)),OFFSET($N$3,0,MATCH(AV$5,PayDedList,0)-1,1,1),IgnoreMin)))*IF(COUNTIFS(EmpNo,$C40,OFFSET(Emp!$R$4,1,MATCH(AV$5,DedListItem,0)-1,EmpCount,1),"&lt;&gt;")&gt;0,VLOOKUP($C40,EmpAll,COLUMN(Emp!$R$4)+MATCH(AV$5,DedListItem,0)-1,0),OFFSET(Setup!$E$73,MATCH(AV$5,DedListItem,0),0,1,1))*AV$3))),IF(ISNUMBER(AV$4),AV$4,IgnoreMin)))))</f>
        <v>0</v>
      </c>
      <c r="AW40" s="148" cm="1">
        <f t="array" aca="1" ref="AW40" ca="1">-IF($F40="Terminated",0,IF($AA40=0,0,IF(ISNA(MATCH(AW$5,PayDedList,0)),0,MIN(IF(COUNTIFS(OverEmp,$C40,OverDeduct,AW$5,OverDate,"&lt;"&amp;DATE(YEAR($AC40),MONTH($AC40)+1,1),OverEnd,"&gt;="&amp;DATE(YEAR($AC40),MONTH($AC40),1))&gt;0,SUMPRODUCT((PayEmp=$C40)*(PayDate&lt;=$AC40)*(OFFSET($N$6,1,MATCH(AW$5,PayDedList,0)-1,PayCount,1)))/$AA40*12*AW$3,IF(OR(AW$1="Fixed",AW$1="Not Used"),SUMPRODUCT((PayEmp=$C40)*(PayDate&lt;=$AC40)*(OFFSET($N$6,1,MATCH(AW$5,PayDedList,0)-1,PayCount,1)))/$AA40*12*AW$3,IF(ISNA(MATCH(OFFSET($N$2,0,MATCH(AW$5,PayDedList,0)-1,1,1),EarnListItem,0))=FALSE,SUMPRODUCT((PayEmp=$C40)*(PayDate&lt;=$AC40)*(OFFSET($N$6,1,MATCH(AW$5,PayDedList,0)-1,PayCount,1)))/$AA40*12*AW$3,(MIN(SUMPRODUCT((PayEmp=$C40)*(PayDate&lt;=$AC40)*(ISERROR(SEARCH(PayEarnCode,AW$2)))*(PayEarnType="Monthly")*(PayEarnValues))/$AA40*12,IF(ISNUMBER(OFFSET($N$3,0,MATCH(AW$5,PayDedList,0)-1,1,1)),OFFSET($N$3,0,MATCH(AW$5,PayDedList,0)-1,1,1),IgnoreMin)))*IF(COUNTIFS(EmpNo,$C40,OFFSET(Emp!$R$4,1,MATCH(AW$5,DedListItem,0)-1,EmpCount,1),"&lt;&gt;")&gt;0,VLOOKUP($C40,EmpAll,COLUMN(Emp!$R$4)+MATCH(AW$5,DedListItem,0)-1,0),OFFSET(Setup!$E$73,MATCH(AW$5,DedListItem,0),0,1,1))*AW$3))),IF(ISNUMBER(AW$4),AW$4,IgnoreMin)))))</f>
        <v>0</v>
      </c>
      <c r="AX40" s="148">
        <f t="shared" ca="1" si="28"/>
        <v>180000</v>
      </c>
      <c r="AY40" s="148">
        <f t="shared" ca="1" si="29"/>
        <v>3600</v>
      </c>
      <c r="AZ40" s="148">
        <f ca="1">IF(ISNUMBER($AL40),($AR40*$AL40)-$AI40-$AK40,MAX(0,IF($AL40="B",IF($AR40&lt;Setup!$C$32,($AR40*Setup!$D$32)-$AI40-$AK40,(($AR40-VLOOKUP($AR40,TaxAll2,1,1))*OFFSET(Setup!$D$32,MATCH($AR40,TaxBracket2,1),0,1,1))+OFFSET(Setup!$E$31,MATCH($AR40,TaxBracket2,1),0,1,1)-$AI40-$AK40),IF($AR40&lt;Setup!$C$21,($AR40*Setup!$D$21)-$AI40-$AK40,(($AR40-VLOOKUP($AR40,TaxAll1,1,1))*OFFSET(Setup!$D$21,MATCH($AR40,TaxBracket1,1),0,1,1))+OFFSET(Setup!$E$20,MATCH($AR40,TaxBracket1,1),0,1,1)-$AI40-$AK40))))</f>
        <v>11445</v>
      </c>
      <c r="BA40" s="148">
        <f ca="1">IF(ISNUMBER($AL40),($AX40*$AL40)-$AI40-$AK40,MAX(0,IF($AL40="B",IF($AX40&lt;Setup!$C$32,($AX40*Setup!$D$32)-$AI40-$AK40,(($AX40-VLOOKUP($AX40,TaxAll2,1,1))*OFFSET(Setup!$D$32,MATCH($AX40,TaxBracket2,1),0,1,1))+OFFSET(Setup!$E$31,MATCH($AX40,TaxBracket2,1),0,1,1)-$AI40-$AK40),IF($AX40&lt;Setup!$C$21,($AX40*Setup!$D$21)-$AI40-$AK40,(($AX40-VLOOKUP($AX40,TaxAll1,1,1))*OFFSET(Setup!$D$21,MATCH($AX40,TaxBracket1,1),0,1,1))+OFFSET(Setup!$E$20,MATCH($AX40,TaxBracket1,1),0,1,1)-$AI40-$AK40))))</f>
        <v>10797</v>
      </c>
      <c r="BB40" s="148">
        <f t="shared" ca="1" si="23"/>
        <v>648</v>
      </c>
      <c r="BC40" s="150">
        <f t="shared" ca="1" si="15"/>
        <v>0.98039215686274506</v>
      </c>
      <c r="BD40" s="150">
        <f t="shared" ca="1" si="16"/>
        <v>1.9607843137254902E-2</v>
      </c>
      <c r="BE40" s="148">
        <f t="shared" ca="1" si="17"/>
        <v>183600</v>
      </c>
    </row>
    <row r="41" spans="1:57" ht="16.149999999999999" customHeight="1" x14ac:dyDescent="0.25">
      <c r="A41" s="10" t="str" cm="1">
        <f t="array" aca="1" ref="A41" ca="1">IF(ROW($A41)-ROW($A$6)&gt;EmpCount*12,"-",TEXT($B41,"yyyy")&amp;TEXT($B41,"mm")&amp;"-"&amp;$C41)</f>
        <v>202305-EXS005</v>
      </c>
      <c r="B41" s="137" cm="1">
        <f t="array" aca="1" ref="B41" ca="1">IF(ROW($A41)-ROW($A$6)&gt;EmpCount*12,Setup!$D$12,DATE(YEAR(Setup!$F$12),MONTH(Setup!$F$12)+ROUNDDOWN((ROW($A41)-ROW($A$6)-1)/EmpCount,0),IF(Setup!$C$14&gt;DAY(DATE(YEAR(Setup!$F$12),MONTH(Setup!$F$12)+ROUNDDOWN((ROW($A41)-ROW($A$6)-1)/EmpCount,0)+1,0)),DAY(DATE(YEAR(Setup!$F$12),MONTH(Setup!$F$12)+ROUNDDOWN((ROW($A41)-ROW($A$6)-1)/EmpCount,0)+1,0)),Setup!$C$14)))</f>
        <v>45071</v>
      </c>
      <c r="C41" s="101" t="str" cm="1">
        <f t="array" aca="1" ref="C41" ca="1">IF(ROW($A41)-ROW($A$6)&gt;EmpCount*12,"-",OFFSET(Emp!$A$4,ROW($A41)-ROW($A$6)-IF(ROW($A41)-ROW($A$6)&gt;EmpCount,ROUNDDOWN((ROW($A41)-ROW($A$6)-1)/EmpCount,0)*EmpCount,0),0,1,1))</f>
        <v>EXS005</v>
      </c>
      <c r="D41" s="10" t="str">
        <f ca="1">IF(ISNA(VLOOKUP($C41,EmpAll,COLUMN(Emp!$B$4),0)),"-",VLOOKUP($C41,EmpAll,COLUMN(Emp!$B$4),0))</f>
        <v>Miller R</v>
      </c>
      <c r="E41" s="145" t="str">
        <f ca="1">IF(ISNA(VLOOKUP($C41,EmpAll,COLUMN(Emp!$C$4),0)),"-",VLOOKUP($C41,EmpAll,COLUMN(Emp!$C$4),0))</f>
        <v>S</v>
      </c>
      <c r="F41" s="101" t="str">
        <f ca="1">IF(ISNA(VLOOKUP($C41,EmpAll,COLUMN(Emp!$A$4),0)),"-",IF(AND(VLOOKUP($C41,EmpAll,COLUMN(Emp!$E$4),0)&lt;&gt;0,VLOOKUP($C41,EmpAll,COLUMN(Emp!$E$4),0)&gt;=DATE(YEAR($AC41),MONTH($AC41)+1,0)),"Inactive",IF(AND(VLOOKUP($C41,EmpAll,COLUMN(Emp!$F$4),0)&lt;&gt;0,VLOOKUP($C41,EmpAll,COLUMN(Emp!$F$4),0)&lt;=DATE(YEAR($AC41),MONTH($AC41),0)),"Terminated","Active")))</f>
        <v>Active</v>
      </c>
      <c r="G41" s="133" cm="1">
        <f t="array" aca="1" ref="G41" ca="1">IF($F41&lt;&gt;"Active",0,IF(COUNTIFS(OverEmp,$C41,OverEarn,G$2,OverDate,"&lt;"&amp;DATE(YEAR($AC41),MONTH($AC41)+1,1),OverEnd,"&gt;="&amp;DATE(YEAR($AC41),MONTH($AC41),1))&gt;0,SUMIFS(OverValue,OverEmp,$C41,OverEarn,G$2,OverDate,"&lt;"&amp;DATE(YEAR($AC41),MONTH($AC41)+1,1),OverEnd,"&gt;="&amp;DATE(YEAR($AC41),MONTH($AC41),1)),IF(AND($AC41&gt;=Setup!$E$10,SUMIFS(EmpIncrease,EmpCode,$C41)&gt;0),SUMIFS(EmpIncrease,EmpCode,$C41),SUMIFS(EmpSalary,EmpCode,$C41))))</f>
        <v>10000</v>
      </c>
      <c r="H41" s="133" cm="1">
        <f t="array" aca="1" ref="H41" ca="1">IF($F41&lt;&gt;"Active",0,IF(COUNTIFS(OverEmp,$C41,OverEarn,H$2,OverDate,"&lt;"&amp;DATE(YEAR($AC41),MONTH($AC41)+1,1),OverEnd,"&gt;="&amp;DATE(YEAR($AC41),MONTH($AC41),1))&gt;0,SUMIFS(OverValue,OverEmp,$C41,OverEarn,H$2,OverDate,"&lt;"&amp;DATE(YEAR($AC41),MONTH($AC41)+1,1),OverEnd,"&gt;="&amp;DATE(YEAR($AC41),MONTH($AC41),1)),0))</f>
        <v>0</v>
      </c>
      <c r="I41" s="133" cm="1">
        <f t="array" aca="1" ref="I41" ca="1">IF($F41&lt;&gt;"Active",0,IF(COUNTIFS(OverEmp,$C41,OverEarn,I$2,OverDate,"&lt;"&amp;DATE(YEAR($AC41),MONTH($AC41)+1,1),OverEnd,"&gt;="&amp;DATE(YEAR($AC41),MONTH($AC41),1))&gt;0,SUMIFS(OverValue,OverEmp,$C41,OverEarn,I$2,OverDate,"&lt;"&amp;DATE(YEAR($AC41),MONTH($AC41)+1,1),OverEnd,"&gt;="&amp;DATE(YEAR($AC41),MONTH($AC41),1)),IF(MONTH(B41)=Setup!$C$15,SUMIFS(EmpBonus,EmpCode,$C41),0)))</f>
        <v>0</v>
      </c>
      <c r="J41" s="133" cm="1">
        <f t="array" aca="1" ref="J41" ca="1">IF($F41&lt;&gt;"Active",0,IF(COUNTIFS(OverEmp,$C41,OverEarn,J$2,OverDate,"&lt;"&amp;DATE(YEAR($AC41),MONTH($AC41)+1,1),OverEnd,"&gt;="&amp;DATE(YEAR($AC41),MONTH($AC41),1))&gt;0,SUMIFS(OverValue,OverEmp,$C41,OverEarn,J$2,OverDate,"&lt;"&amp;DATE(YEAR($AC41),MONTH($AC41)+1,1),OverEnd,"&gt;="&amp;DATE(YEAR($AC41),MONTH($AC41),1)),0))</f>
        <v>0</v>
      </c>
      <c r="K41" s="133" cm="1">
        <f t="array" aca="1" ref="K41" ca="1">IF($F41&lt;&gt;"Active",0,IF(COUNTIFS(OverEmp,$C41,OverEarn,K$2,OverDate,"&lt;"&amp;DATE(YEAR($AC41),MONTH($AC41)+1,1),OverEnd,"&gt;="&amp;DATE(YEAR($AC41),MONTH($AC41),1))&gt;0,SUMIFS(OverValue,OverEmp,$C41,OverEarn,K$2,OverDate,"&lt;"&amp;DATE(YEAR($AC41),MONTH($AC41)+1,1),OverEnd,"&gt;="&amp;DATE(YEAR($AC41),MONTH($AC41),1)),0))</f>
        <v>0</v>
      </c>
      <c r="L41" s="185">
        <f t="shared" ca="1" si="24"/>
        <v>10000</v>
      </c>
      <c r="M41" s="182" cm="1">
        <f t="array" aca="1" ref="M41" ca="1">IF(COUNTIFS(OverEmp,$C41,OverTax,M$5,OverDate,"&lt;"&amp;DATE(YEAR($AC41),MONTH($AC41)+1,1),OverEnd,"&gt;="&amp;DATE(YEAR($AC41),MONTH($AC41),1))&gt;0,SUMIFS(OverValue,OverEmp,$C41,OverTax,M$5,OverDate,"&lt;"&amp;DATE(YEAR($AC41),MONTH($AC41)+1,1),OverEnd,"&gt;="&amp;DATE(YEAR($AC41),MONTH($AC41),1)),(($BA41/12*$AA41)+(BB41*IF(1-$BC41=0,0,BD41/(1-$BC41))))-IF($F41="Terminated",0,SUMIFS(PayTaxDeduct,PayDate,"&lt;"&amp;$AC41,PayEmp,$C41)))</f>
        <v>0</v>
      </c>
      <c r="N41" s="133" cm="1">
        <f t="array" aca="1" ref="N41" ca="1">IF($F41="Terminated",0,IF($AA41=0,0,IF(ISNA(MATCH(N$5,DedListItem,0)),0,IF(COUNTIFS(OverEmp,$C41,OverDeduct,N$5,OverDate,"&lt;"&amp;DATE(YEAR($AC41),MONTH($AC41)+1,1),OverEnd,"&gt;="&amp;DATE(YEAR($AC41),MONTH($AC41),1))&gt;0,SUMIFS(OverValue,OverEmp,$C41,OverDeduct,N$5,OverDate,"&lt;"&amp;DATE(YEAR($AC41),MONTH($AC41)+1,1),OverEnd,"&gt;="&amp;DATE(YEAR($AC41),MONTH($AC41),1)),IF(OR(N$2="Fixed",N$2="Not Used"),(IF(COUNTIFS(EmpNo,$C41,OFFSET(Emp!$R$4,1,MATCH(N$5,DedListItem,0)-1,EmpCount,1),"&lt;&gt;")&gt;0,VLOOKUP($C41,EmpAll,COLUMN(Emp!$R$4)+MATCH(N$5,DedListItem,0)-1,0),OFFSET(Setup!$E$73,MATCH(N$5,DedListItem,0),0,1,1))*$AA41)-SUMIFS(OFFSET(N$6,1,0,PayCount,1),PayDate,"&lt;"&amp;$AC41,PayEmp,$C41),IF(ISNA(MATCH(N$2,EarnListItem,0))=FALSE,IF(OFFSET(Setup!$G$73,MATCH(N$5,DedListItem,0),0,1,1)="Taxable",SUMPRODUCT((PayEmp=$C41)*(PayDate&lt;=$AC41)*(PayEarnCode=N$2)*(PayEarnTax)*(PayEarnValues)),SUMPRODUCT((PayEmp=$C41)*(PayDate&lt;=$AC41)*(PayEarnCode=N$2)*(PayEarnValues)))*IF(COUNTIFS(EmpNo,$C41,OFFSET(Emp!$R$4,1,MATCH(N$5,DedListItem,0)-1,EmpCount,1),"&lt;&gt;")&gt;0,VLOOKUP($C41,EmpAll,COLUMN(Emp!$R$4)+MATCH(N$5,DedListItem,0)-1,0),OFFSET(Setup!$E$73,MATCH(N$5,DedListItem,0),0,1,1)),(MIN(IF(OFFSET(Setup!$G$73,MATCH(N$5,DedListItem,0),0,1,1)="Taxable",SUMPRODUCT((PayEmp=$C41)*(PayDate&lt;=$AC41)*(ISERROR(SEARCH(PayEarnCode,N$4)))*(PayEarnTax)*(PayEarnValues)),SUMPRODUCT((PayEmp=$C41)*(PayDate&lt;=$AC41)*(ISERROR(SEARCH(PayEarnCode,N$4)))*(PayEarnValues))),IF(ISNUMBER(N$3),N$3/12*$AA41,IgnoreMin)))*IF(COUNTIFS(EmpNo,$C41,OFFSET(Emp!$R$4,1,MATCH(N$5,DedListItem,0)-1,EmpCount,1),"&lt;&gt;")&gt;0,VLOOKUP($C41,EmpAll,COLUMN(Emp!$R$4)+MATCH(N$5,DedListItem,0)-1,0),OFFSET(Setup!$E$73,MATCH(N$5,DedListItem,0),0,1,1)))-SUMIFS(OFFSET(N$6,1,0,PayCount,1),PayDate,"&lt;"&amp;$AC41,PayEmp,$C41))))))</f>
        <v>100</v>
      </c>
      <c r="O41" s="133" cm="1">
        <f t="array" aca="1" ref="O41" ca="1">IF($F41="Terminated",0,IF($AA41=0,0,IF(ISNA(MATCH(O$5,DedListItem,0)),0,IF(COUNTIFS(OverEmp,$C41,OverDeduct,O$5,OverDate,"&lt;"&amp;DATE(YEAR($AC41),MONTH($AC41)+1,1),OverEnd,"&gt;="&amp;DATE(YEAR($AC41),MONTH($AC41),1))&gt;0,SUMIFS(OverValue,OverEmp,$C41,OverDeduct,O$5,OverDate,"&lt;"&amp;DATE(YEAR($AC41),MONTH($AC41)+1,1),OverEnd,"&gt;="&amp;DATE(YEAR($AC41),MONTH($AC41),1)),IF(OR(O$2="Fixed",O$2="Not Used"),(IF(COUNTIFS(EmpNo,$C41,OFFSET(Emp!$R$4,1,MATCH(O$5,DedListItem,0)-1,EmpCount,1),"&lt;&gt;")&gt;0,VLOOKUP($C41,EmpAll,COLUMN(Emp!$R$4)+MATCH(O$5,DedListItem,0)-1,0),OFFSET(Setup!$E$73,MATCH(O$5,DedListItem,0),0,1,1))*$AA41)-SUMIFS(OFFSET(O$6,1,0,PayCount,1),PayDate,"&lt;"&amp;$AC41,PayEmp,$C41),IF(ISNA(MATCH(O$2,EarnListItem,0))=FALSE,IF(OFFSET(Setup!$G$73,MATCH(O$5,DedListItem,0),0,1,1)="Taxable",SUMPRODUCT((PayEmp=$C41)*(PayDate&lt;=$AC41)*(PayEarnCode=O$2)*(PayEarnTax)*(PayEarnValues)),SUMPRODUCT((PayEmp=$C41)*(PayDate&lt;=$AC41)*(PayEarnCode=O$2)*(PayEarnValues)))*IF(COUNTIFS(EmpNo,$C41,OFFSET(Emp!$R$4,1,MATCH(O$5,DedListItem,0)-1,EmpCount,1),"&lt;&gt;")&gt;0,VLOOKUP($C41,EmpAll,COLUMN(Emp!$R$4)+MATCH(O$5,DedListItem,0)-1,0),OFFSET(Setup!$E$73,MATCH(O$5,DedListItem,0),0,1,1)),(MIN(IF(OFFSET(Setup!$G$73,MATCH(O$5,DedListItem,0),0,1,1)="Taxable",SUMPRODUCT((PayEmp=$C41)*(PayDate&lt;=$AC41)*(ISERROR(SEARCH(PayEarnCode,O$4)))*(PayEarnTax)*(PayEarnValues)),SUMPRODUCT((PayEmp=$C41)*(PayDate&lt;=$AC41)*(ISERROR(SEARCH(PayEarnCode,O$4)))*(PayEarnValues))),IF(ISNUMBER(O$3),O$3/12*$AA41,IgnoreMin)))*IF(COUNTIFS(EmpNo,$C41,OFFSET(Emp!$R$4,1,MATCH(O$5,DedListItem,0)-1,EmpCount,1),"&lt;&gt;")&gt;0,VLOOKUP($C41,EmpAll,COLUMN(Emp!$R$4)+MATCH(O$5,DedListItem,0)-1,0),OFFSET(Setup!$E$73,MATCH(O$5,DedListItem,0),0,1,1)))-SUMIFS(OFFSET(O$6,1,0,PayCount,1),PayDate,"&lt;"&amp;$AC41,PayEmp,$C41))))))</f>
        <v>0</v>
      </c>
      <c r="P41" s="133" cm="1">
        <f t="array" aca="1" ref="P41" ca="1">IF($F41="Terminated",0,IF($AA41=0,0,IF(ISNA(MATCH(P$5,DedListItem,0)),0,IF(COUNTIFS(OverEmp,$C41,OverDeduct,P$5,OverDate,"&lt;"&amp;DATE(YEAR($AC41),MONTH($AC41)+1,1),OverEnd,"&gt;="&amp;DATE(YEAR($AC41),MONTH($AC41),1))&gt;0,SUMIFS(OverValue,OverEmp,$C41,OverDeduct,P$5,OverDate,"&lt;"&amp;DATE(YEAR($AC41),MONTH($AC41)+1,1),OverEnd,"&gt;="&amp;DATE(YEAR($AC41),MONTH($AC41),1)),IF(OR(P$2="Fixed",P$2="Not Used"),(IF(COUNTIFS(EmpNo,$C41,OFFSET(Emp!$R$4,1,MATCH(P$5,DedListItem,0)-1,EmpCount,1),"&lt;&gt;")&gt;0,VLOOKUP($C41,EmpAll,COLUMN(Emp!$R$4)+MATCH(P$5,DedListItem,0)-1,0),OFFSET(Setup!$E$73,MATCH(P$5,DedListItem,0),0,1,1))*$AA41)-SUMIFS(OFFSET(P$6,1,0,PayCount,1),PayDate,"&lt;"&amp;$AC41,PayEmp,$C41),IF(ISNA(MATCH(P$2,EarnListItem,0))=FALSE,IF(OFFSET(Setup!$G$73,MATCH(P$5,DedListItem,0),0,1,1)="Taxable",SUMPRODUCT((PayEmp=$C41)*(PayDate&lt;=$AC41)*(PayEarnCode=P$2)*(PayEarnTax)*(PayEarnValues)),SUMPRODUCT((PayEmp=$C41)*(PayDate&lt;=$AC41)*(PayEarnCode=P$2)*(PayEarnValues)))*IF(COUNTIFS(EmpNo,$C41,OFFSET(Emp!$R$4,1,MATCH(P$5,DedListItem,0)-1,EmpCount,1),"&lt;&gt;")&gt;0,VLOOKUP($C41,EmpAll,COLUMN(Emp!$R$4)+MATCH(P$5,DedListItem,0)-1,0),OFFSET(Setup!$E$73,MATCH(P$5,DedListItem,0),0,1,1)),(MIN(IF(OFFSET(Setup!$G$73,MATCH(P$5,DedListItem,0),0,1,1)="Taxable",SUMPRODUCT((PayEmp=$C41)*(PayDate&lt;=$AC41)*(ISERROR(SEARCH(PayEarnCode,P$4)))*(PayEarnTax)*(PayEarnValues)),SUMPRODUCT((PayEmp=$C41)*(PayDate&lt;=$AC41)*(ISERROR(SEARCH(PayEarnCode,P$4)))*(PayEarnValues))),IF(ISNUMBER(P$3),P$3/12*$AA41,IgnoreMin)))*IF(COUNTIFS(EmpNo,$C41,OFFSET(Emp!$R$4,1,MATCH(P$5,DedListItem,0)-1,EmpCount,1),"&lt;&gt;")&gt;0,VLOOKUP($C41,EmpAll,COLUMN(Emp!$R$4)+MATCH(P$5,DedListItem,0)-1,0),OFFSET(Setup!$E$73,MATCH(P$5,DedListItem,0),0,1,1)))-SUMIFS(OFFSET(P$6,1,0,PayCount,1),PayDate,"&lt;"&amp;$AC41,PayEmp,$C41))))))</f>
        <v>0</v>
      </c>
      <c r="Q41" s="133" cm="1">
        <f t="array" aca="1" ref="Q41" ca="1">IF($F41="Terminated",0,IF($AA41=0,0,IF(ISNA(MATCH(Q$5,DedListItem,0)),0,IF(COUNTIFS(OverEmp,$C41,OverDeduct,Q$5,OverDate,"&lt;"&amp;DATE(YEAR($AC41),MONTH($AC41)+1,1),OverEnd,"&gt;="&amp;DATE(YEAR($AC41),MONTH($AC41),1))&gt;0,SUMIFS(OverValue,OverEmp,$C41,OverDeduct,Q$5,OverDate,"&lt;"&amp;DATE(YEAR($AC41),MONTH($AC41)+1,1),OverEnd,"&gt;="&amp;DATE(YEAR($AC41),MONTH($AC41),1)),IF(OR(Q$2="Fixed",Q$2="Not Used"),(IF(COUNTIFS(EmpNo,$C41,OFFSET(Emp!$R$4,1,MATCH(Q$5,DedListItem,0)-1,EmpCount,1),"&lt;&gt;")&gt;0,VLOOKUP($C41,EmpAll,COLUMN(Emp!$R$4)+MATCH(Q$5,DedListItem,0)-1,0),OFFSET(Setup!$E$73,MATCH(Q$5,DedListItem,0),0,1,1))*$AA41)-SUMIFS(OFFSET(Q$6,1,0,PayCount,1),PayDate,"&lt;"&amp;$AC41,PayEmp,$C41),IF(ISNA(MATCH(Q$2,EarnListItem,0))=FALSE,IF(OFFSET(Setup!$G$73,MATCH(Q$5,DedListItem,0),0,1,1)="Taxable",SUMPRODUCT((PayEmp=$C41)*(PayDate&lt;=$AC41)*(PayEarnCode=Q$2)*(PayEarnTax)*(PayEarnValues)),SUMPRODUCT((PayEmp=$C41)*(PayDate&lt;=$AC41)*(PayEarnCode=Q$2)*(PayEarnValues)))*IF(COUNTIFS(EmpNo,$C41,OFFSET(Emp!$R$4,1,MATCH(Q$5,DedListItem,0)-1,EmpCount,1),"&lt;&gt;")&gt;0,VLOOKUP($C41,EmpAll,COLUMN(Emp!$R$4)+MATCH(Q$5,DedListItem,0)-1,0),OFFSET(Setup!$E$73,MATCH(Q$5,DedListItem,0),0,1,1)),(MIN(IF(OFFSET(Setup!$G$73,MATCH(Q$5,DedListItem,0),0,1,1)="Taxable",SUMPRODUCT((PayEmp=$C41)*(PayDate&lt;=$AC41)*(ISERROR(SEARCH(PayEarnCode,Q$4)))*(PayEarnTax)*(PayEarnValues)),SUMPRODUCT((PayEmp=$C41)*(PayDate&lt;=$AC41)*(ISERROR(SEARCH(PayEarnCode,Q$4)))*(PayEarnValues))),IF(ISNUMBER(Q$3),Q$3/12*$AA41,IgnoreMin)))*IF(COUNTIFS(EmpNo,$C41,OFFSET(Emp!$R$4,1,MATCH(Q$5,DedListItem,0)-1,EmpCount,1),"&lt;&gt;")&gt;0,VLOOKUP($C41,EmpAll,COLUMN(Emp!$R$4)+MATCH(Q$5,DedListItem,0)-1,0),OFFSET(Setup!$E$73,MATCH(Q$5,DedListItem,0),0,1,1)))-SUMIFS(OFFSET(Q$6,1,0,PayCount,1),PayDate,"&lt;"&amp;$AC41,PayEmp,$C41))))))</f>
        <v>0</v>
      </c>
      <c r="R41" s="185">
        <f t="shared" ca="1" si="25"/>
        <v>100</v>
      </c>
      <c r="S41" s="139">
        <f t="shared" ca="1" si="26"/>
        <v>9900</v>
      </c>
      <c r="T41" s="133" cm="1">
        <f t="array" aca="1" ref="T41" ca="1">IF($F41="Terminated",0,IF($AA41=0,0,IF(ISNA(MATCH(T$5,CompListItem,0)),0,IF(COUNTIFS(OverEmp,$C41,OverComp,T$5,OverDate,"&lt;"&amp;DATE(YEAR($AC41),MONTH($AC41)+1,1),OverEnd,"&gt;="&amp;DATE(YEAR($AC41),MONTH($AC41),1))&gt;0,SUMIFS(OverValue,OverEmp,$C41,OverComp,T$5,OverDate,"&lt;"&amp;DATE(YEAR($AC41),MONTH($AC41)+1,1),OverEnd,"&gt;="&amp;DATE(YEAR($AC41),MONTH($AC41),1)),IF(OR(T$2="Fixed",T$2="Not Used"),(OFFSET(Setup!$E$81,MATCH(T$5,CompListItem,0),0,1,1)*$AA41)-SUMIFS(OFFSET(T$6,1,0,PayCount,1),PayDate,"&lt;"&amp;$AC41,PayEmp,$C41),IF(ISNA(MATCH(T$2,DedListItem,0))=FALSE,(SUMPRODUCT((PayEmp=$C41)*(PayDate&lt;=$AC41)*(PayDedList=T$2)*(PayDedValues))*OFFSET(Setup!$E$81,MATCH(T$5,CompListItem,0),0,1,1))-SUMIFS(OFFSET(T$6,1,0,PayCount,1),PayDate,"&lt;"&amp;$AC41,PayEmp,$C41),(MIN(IF(OFFSET(Setup!$G$81,MATCH(T$5,CompListItem,0),0,1,1)="Taxable",SUMPRODUCT((PayEmp=$C41)*(PayDate&lt;=$AC41)*(ISERROR(SEARCH(PayEarnCode,T$4)))*(PayEarnTax)*(PayEarnValues)),SUMPRODUCT((PayEmp=$C41)*(PayDate&lt;=$AC41)*(ISERROR(SEARCH(PayEarnCode,T$4)))*(PayEarnValues))),IF(ISNUMBER(T$3),T$3/12*$AA41,IgnoreMin)))*OFFSET(Setup!$E$81,MATCH(T$5,CompListItem,0),0,1,1)-SUMIFS(OFFSET(T$6,1,0,PayCount,1),PayDate,"&lt;"&amp;$AC41,PayEmp,$C41)))))))</f>
        <v>100</v>
      </c>
      <c r="U41" s="133" cm="1">
        <f t="array" aca="1" ref="U41" ca="1">IF($F41="Terminated",0,IF($AA41=0,0,IF(ISNA(MATCH(U$5,CompListItem,0)),0,IF(COUNTIFS(OverEmp,$C41,OverComp,U$5,OverDate,"&lt;"&amp;DATE(YEAR($AC41),MONTH($AC41)+1,1),OverEnd,"&gt;="&amp;DATE(YEAR($AC41),MONTH($AC41),1))&gt;0,SUMIFS(OverValue,OverEmp,$C41,OverComp,U$5,OverDate,"&lt;"&amp;DATE(YEAR($AC41),MONTH($AC41)+1,1),OverEnd,"&gt;="&amp;DATE(YEAR($AC41),MONTH($AC41),1)),IF(OR(U$2="Fixed",U$2="Not Used"),(OFFSET(Setup!$E$81,MATCH(U$5,CompListItem,0),0,1,1)*$AA41)-SUMIFS(OFFSET(U$6,1,0,PayCount,1),PayDate,"&lt;"&amp;$AC41,PayEmp,$C41),IF(ISNA(MATCH(U$2,DedListItem,0))=FALSE,(SUMPRODUCT((PayEmp=$C41)*(PayDate&lt;=$AC41)*(PayDedList=U$2)*(PayDedValues))*OFFSET(Setup!$E$81,MATCH(U$5,CompListItem,0),0,1,1))-SUMIFS(OFFSET(U$6,1,0,PayCount,1),PayDate,"&lt;"&amp;$AC41,PayEmp,$C41),(MIN(IF(OFFSET(Setup!$G$81,MATCH(U$5,CompListItem,0),0,1,1)="Taxable",SUMPRODUCT((PayEmp=$C41)*(PayDate&lt;=$AC41)*(ISERROR(SEARCH(PayEarnCode,U$4)))*(PayEarnTax)*(PayEarnValues)),SUMPRODUCT((PayEmp=$C41)*(PayDate&lt;=$AC41)*(ISERROR(SEARCH(PayEarnCode,U$4)))*(PayEarnValues))),IF(ISNUMBER(U$3),U$3/12*$AA41,IgnoreMin)))*OFFSET(Setup!$E$81,MATCH(U$5,CompListItem,0),0,1,1)-SUMIFS(OFFSET(U$6,1,0,PayCount,1),PayDate,"&lt;"&amp;$AC41,PayEmp,$C41)))))))</f>
        <v>100</v>
      </c>
      <c r="V41" s="133" cm="1">
        <f t="array" aca="1" ref="V41" ca="1">IF($F41="Terminated",0,IF($AA41=0,0,IF(ISNA(MATCH(V$5,CompListItem,0)),0,IF(COUNTIFS(OverEmp,$C41,OverComp,V$5,OverDate,"&lt;"&amp;DATE(YEAR($AC41),MONTH($AC41)+1,1),OverEnd,"&gt;="&amp;DATE(YEAR($AC41),MONTH($AC41),1))&gt;0,SUMIFS(OverValue,OverEmp,$C41,OverComp,V$5,OverDate,"&lt;"&amp;DATE(YEAR($AC41),MONTH($AC41)+1,1),OverEnd,"&gt;="&amp;DATE(YEAR($AC41),MONTH($AC41),1)),IF(OR(V$2="Fixed",V$2="Not Used"),(OFFSET(Setup!$E$81,MATCH(V$5,CompListItem,0),0,1,1)*$AA41)-SUMIFS(OFFSET(V$6,1,0,PayCount,1),PayDate,"&lt;"&amp;$AC41,PayEmp,$C41),IF(ISNA(MATCH(V$2,DedListItem,0))=FALSE,(SUMPRODUCT((PayEmp=$C41)*(PayDate&lt;=$AC41)*(PayDedList=V$2)*(PayDedValues))*OFFSET(Setup!$E$81,MATCH(V$5,CompListItem,0),0,1,1))-SUMIFS(OFFSET(V$6,1,0,PayCount,1),PayDate,"&lt;"&amp;$AC41,PayEmp,$C41),(MIN(IF(OFFSET(Setup!$G$81,MATCH(V$5,CompListItem,0),0,1,1)="Taxable",SUMPRODUCT((PayEmp=$C41)*(PayDate&lt;=$AC41)*(ISERROR(SEARCH(PayEarnCode,V$4)))*(PayEarnTax)*(PayEarnValues)),SUMPRODUCT((PayEmp=$C41)*(PayDate&lt;=$AC41)*(ISERROR(SEARCH(PayEarnCode,V$4)))*(PayEarnValues))),IF(ISNUMBER(V$3),V$3/12*$AA41,IgnoreMin)))*OFFSET(Setup!$E$81,MATCH(V$5,CompListItem,0),0,1,1)-SUMIFS(OFFSET(V$6,1,0,PayCount,1),PayDate,"&lt;"&amp;$AC41,PayEmp,$C41)))))))</f>
        <v>0</v>
      </c>
      <c r="W41" s="133" cm="1">
        <f t="array" aca="1" ref="W41" ca="1">IF($F41="Terminated",0,IF($AA41=0,0,IF(ISNA(MATCH(W$5,CompListItem,0)),0,IF(COUNTIFS(OverEmp,$C41,OverComp,W$5,OverDate,"&lt;"&amp;DATE(YEAR($AC41),MONTH($AC41)+1,1),OverEnd,"&gt;="&amp;DATE(YEAR($AC41),MONTH($AC41),1))&gt;0,SUMIFS(OverValue,OverEmp,$C41,OverComp,W$5,OverDate,"&lt;"&amp;DATE(YEAR($AC41),MONTH($AC41)+1,1),OverEnd,"&gt;="&amp;DATE(YEAR($AC41),MONTH($AC41),1)),IF(OR(W$2="Fixed",W$2="Not Used"),(OFFSET(Setup!$E$81,MATCH(W$5,CompListItem,0),0,1,1)*$AA41)-SUMIFS(OFFSET(W$6,1,0,PayCount,1),PayDate,"&lt;"&amp;$AC41,PayEmp,$C41),IF(ISNA(MATCH(W$2,DedListItem,0))=FALSE,(SUMPRODUCT((PayEmp=$C41)*(PayDate&lt;=$AC41)*(PayDedList=W$2)*(PayDedValues))*OFFSET(Setup!$E$81,MATCH(W$5,CompListItem,0),0,1,1))-SUMIFS(OFFSET(W$6,1,0,PayCount,1),PayDate,"&lt;"&amp;$AC41,PayEmp,$C41),(MIN(IF(OFFSET(Setup!$G$81,MATCH(W$5,CompListItem,0),0,1,1)="Taxable",SUMPRODUCT((PayEmp=$C41)*(PayDate&lt;=$AC41)*(ISERROR(SEARCH(PayEarnCode,W$4)))*(PayEarnTax)*(PayEarnValues)),SUMPRODUCT((PayEmp=$C41)*(PayDate&lt;=$AC41)*(ISERROR(SEARCH(PayEarnCode,W$4)))*(PayEarnValues))),IF(ISNUMBER(W$3),W$3/12*$AA41,IgnoreMin)))*OFFSET(Setup!$E$81,MATCH(W$5,CompListItem,0),0,1,1)-SUMIFS(OFFSET(W$6,1,0,PayCount,1),PayDate,"&lt;"&amp;$AC41,PayEmp,$C41)))))))</f>
        <v>0</v>
      </c>
      <c r="X41" s="185">
        <f t="shared" ca="1" si="18"/>
        <v>200</v>
      </c>
      <c r="Y41" s="139">
        <f t="shared" ca="1" si="27"/>
        <v>10200</v>
      </c>
      <c r="Z41" s="139">
        <f t="shared" ca="1" si="19"/>
        <v>300</v>
      </c>
      <c r="AA41" s="146">
        <f ca="1">IF(OR($B41&lt;=Setup!$E$12,$B41&gt;=Setup!$D$12+1),0,IF($F41&lt;&gt;"Active",0,IF($AE41="Yes",$AB41,((YEAR($AC41)*12)+MONTH($AC41))-((YEAR($AD41)*12)+MONTH($AD41)-1))))</f>
        <v>3</v>
      </c>
      <c r="AB41" s="146">
        <f ca="1">IF(OR($B41&lt;=Setup!$E$12,$B41&gt;=Setup!$D$12+1),0,((YEAR($AC41)*12)+MONTH($AC41))-((YEAR(Setup!$E$12)*12)+MONTH(Setup!$E$12)))</f>
        <v>3</v>
      </c>
      <c r="AC41" s="186">
        <f t="shared" ca="1" si="20"/>
        <v>45071</v>
      </c>
      <c r="AD41" s="144">
        <f ca="1">IF(ISNA(VLOOKUP($C41,EmpAll,COLUMN(Emp!$E$4),0)),$AC41,IF(VLOOKUP($C41,EmpAll,COLUMN(Emp!$E$4),0)&lt;=Setup!$E$12,DATE(YEAR(Setup!$E$12),MONTH(Setup!$E$12)+1,1),VLOOKUP($C41,EmpAll,COLUMN(Emp!$E$4),0)))</f>
        <v>44986</v>
      </c>
      <c r="AE41" s="144" t="str">
        <f ca="1">IF(ISNA(VLOOKUP($C41,EmpAll,COLUMN(Emp!$G$1),0)),"-",IF(VLOOKUP($C41,EmpAll,COLUMN(Emp!$G$1),0)=0,"-",VLOOKUP($C41,EmpAll,COLUMN(Emp!$G$1),0)))</f>
        <v>-</v>
      </c>
      <c r="AF41" s="145">
        <f ca="1">IF(A41=PaySlip!$G$3,1,0)</f>
        <v>0</v>
      </c>
      <c r="AG41" s="130" cm="1">
        <f t="array" aca="1" ref="AG41" ca="1">IF(COUNTIFS(OverEmp,$C41,OverMed,"MED",OverDate,"&lt;"&amp;DATE(YEAR($AC41),MONTH($AC41)+1,1),OverEnd,"&gt;="&amp;DATE(YEAR($AC41),MONTH($AC41),1))&gt;0,SUMIFS(OverValue,OverEmp,$C41,OverMed,"MED",OverDate,"&lt;"&amp;DATE(YEAR($AC41),MONTH($AC41)+1,1),OverEnd,"&gt;="&amp;DATE(YEAR($AC41),MONTH($AC41),1)),IF(ISNA(VLOOKUP($C41,EmpAll,COLUMN(Emp!$N$4),0)),0,VLOOKUP($C41,EmpAll,COLUMN(Emp!$N$4),0)))</f>
        <v>1</v>
      </c>
      <c r="AH41" s="146">
        <f ca="1">VLOOKUP($AG41,MedList,COLUMN(Setup!$C$49),1)</f>
        <v>364</v>
      </c>
      <c r="AI41" s="146">
        <f t="shared" ca="1" si="7"/>
        <v>4368</v>
      </c>
      <c r="AJ41" s="101" t="str">
        <f ca="1">IF(ISNA(VLOOKUP($C41,EmpAll,COLUMN(Emp!$L$4),0)),"None!",VLOOKUP($C41,EmpAll,COLUMN(Emp!$L$4),0))</f>
        <v>A</v>
      </c>
      <c r="AK41" s="147">
        <f t="shared" ca="1" si="21"/>
        <v>17235</v>
      </c>
      <c r="AL41" s="101" t="str">
        <f ca="1">IF(ISNA(VLOOKUP($C41,Employees[],COLUMN(Emp!$M$4),0))=TRUE,"Error!",IF(VLOOKUP($C41,Employees[],COLUMN(Emp!$M$4),0)=0,"Yes",VLOOKUP($C41,Employees[],COLUMN(Emp!$M$4),0)))</f>
        <v>A</v>
      </c>
      <c r="AM41" s="148">
        <f t="shared" ca="1" si="9"/>
        <v>120000</v>
      </c>
      <c r="AN41" s="148" cm="1">
        <f t="array" aca="1" ref="AN41" ca="1">-IF($F41="Terminated",0,IF($AA41=0,0,IF(ISNA(MATCH(AN$5,PayDedList,0)),0,MIN(IF(COUNTIFS(OverEmp,$C41,OverDeduct,AN$5,OverDate,"&lt;"&amp;DATE(YEAR($AC41),MONTH($AC41)+1,1),OverEnd,"&gt;="&amp;DATE(YEAR($AC41),MONTH($AC41),1))&gt;0,SUMPRODUCT((PayEmp=$C41)*(PayDate&lt;=$AC41)*(OFFSET($N$6,1,MATCH(AN$5,PayDedList,0)-1,PayCount,1)))/$AA41*12*AN$3,IF(OR(AN$1="Fixed",AN$1="Not Used"),SUMPRODUCT((PayEmp=$C41)*(PayDate&lt;=$AC41)*(OFFSET($N$6,1,MATCH(AN$5,PayDedList,0)-1,PayCount,1)))/$AA41*12*AN$3,IF(ISNA(MATCH(AN$1,EarnListItem,0))=FALSE,SUMPRODUCT((PayEmp=$C41)*(PayDate&lt;=$AC41)*(OFFSET($N$6,1,MATCH(AN$5,PayDedList,0)-1,PayCount,1)))/$AA41*12*AN$3,(MIN(((SUMPRODUCT((PayEmp=$C41)*(PayDate&lt;=$AC41)*(ISERROR(SEARCH(PayEarnCode,AN$2)))*(PayEarnType="Monthly")*(PayEarnValues))/$AA41*12)+(SUMPRODUCT((PayEmp=$C41)*(PayDate&lt;=$AC41)*(ISERROR(SEARCH(PayEarnCode,AN$2)))*(PayEarnType="Quarterly")*(PayEarnValues))/MAX(1,ROUNDDOWN($AB41/3,0))*4)+(SUMPRODUCT((PayEmp=$C41)*(PayDate&lt;=$AC41)*(ISERROR(SEARCH(PayEarnCode,AN$2)))*(PayEarnType="Bi-Annual")*(PayEarnValues))/MAX(1,ROUNDDOWN($AB41/6,0))*2)+(SUMPRODUCT((PayEmp=$C41)*(PayDate&lt;=$AC41)*(ISERROR(SEARCH(PayEarnCode,AN$2)))*(PayEarnType="Annual")*(PayEarnValues)))),IF(ISNUMBER(OFFSET($N$3,0,MATCH(AN$5,PayDedList,0)-1,1,1)),OFFSET($N$3,0,MATCH(AN$5,PayDedList,0)-1,1,1),IgnoreMin)))*IF(COUNTIFS(EmpNo,$C41,OFFSET(Emp!$R$4,1,MATCH(AN$5,DedListItem,0)-1,EmpCount,1),"&lt;&gt;")&gt;0,VLOOKUP($C41,EmpAll,COLUMN(Emp!$R$4)+MATCH(AN$5,DedListItem,0)-1,0),OFFSET(Setup!$E$73,MATCH(AN$5,DedListItem,0),0,1,1))*AN$3))),IF(ISNUMBER(AN$4),AN$4,IgnoreMin)))))</f>
        <v>0</v>
      </c>
      <c r="AO41" s="148" cm="1">
        <f t="array" aca="1" ref="AO41" ca="1">-IF($F41="Terminated",0,IF($AA41=0,0,IF(ISNA(MATCH(AO$5,PayDedList,0)),0,MIN(IF(COUNTIFS(OverEmp,$C41,OverDeduct,AO$5,OverDate,"&lt;"&amp;DATE(YEAR($AC41),MONTH($AC41)+1,1),OverEnd,"&gt;="&amp;DATE(YEAR($AC41),MONTH($AC41),1))&gt;0,SUMPRODUCT((PayEmp=$C41)*(PayDate&lt;=$AC41)*(OFFSET($N$6,1,MATCH(AO$5,PayDedList,0)-1,PayCount,1)))/$AA41*12*AO$3,IF(OR(AO$1="Fixed",AO$1="Not Used"),SUMPRODUCT((PayEmp=$C41)*(PayDate&lt;=$AC41)*(OFFSET($N$6,1,MATCH(AO$5,PayDedList,0)-1,PayCount,1)))/$AA41*12*AO$3,IF(ISNA(MATCH(AO$1,EarnListItem,0))=FALSE,SUMPRODUCT((PayEmp=$C41)*(PayDate&lt;=$AC41)*(OFFSET($N$6,1,MATCH(AO$5,PayDedList,0)-1,PayCount,1)))/$AA41*12*AO$3,(MIN(((SUMPRODUCT((PayEmp=$C41)*(PayDate&lt;=$AC41)*(ISERROR(SEARCH(PayEarnCode,AO$2)))*(PayEarnType="Monthly")*(PayEarnValues))/$AA41*12)+(SUMPRODUCT((PayEmp=$C41)*(PayDate&lt;=$AC41)*(ISERROR(SEARCH(PayEarnCode,AO$2)))*(PayEarnType="Quarterly")*(PayEarnValues))/MAX(1,ROUNDDOWN($AB41/3,0))*4)+(SUMPRODUCT((PayEmp=$C41)*(PayDate&lt;=$AC41)*(ISERROR(SEARCH(PayEarnCode,AO$2)))*(PayEarnType="Bi-Annual")*(PayEarnValues))/MAX(1,ROUNDDOWN($AB41/6,0))*2)+(SUMPRODUCT((PayEmp=$C41)*(PayDate&lt;=$AC41)*(ISERROR(SEARCH(PayEarnCode,AO$2)))*(PayEarnType="Annual")*(PayEarnValues)))),IF(ISNUMBER(OFFSET($N$3,0,MATCH(AO$5,PayDedList,0)-1,1,1)),OFFSET($N$3,0,MATCH(AO$5,PayDedList,0)-1,1,1),IgnoreMin)))*IF(COUNTIFS(EmpNo,$C41,OFFSET(Emp!$R$4,1,MATCH(AO$5,DedListItem,0)-1,EmpCount,1),"&lt;&gt;")&gt;0,VLOOKUP($C41,EmpAll,COLUMN(Emp!$R$4)+MATCH(AO$5,DedListItem,0)-1,0),OFFSET(Setup!$E$73,MATCH(AO$5,DedListItem,0),0,1,1))*AO$3))),IF(ISNUMBER(AO$4),AO$4,IgnoreMin)))))</f>
        <v>0</v>
      </c>
      <c r="AP41" s="148" cm="1">
        <f t="array" aca="1" ref="AP41" ca="1">-IF($F41="Terminated",0,IF($AA41=0,0,IF(ISNA(MATCH(AP$5,PayDedList,0)),0,MIN(IF(COUNTIFS(OverEmp,$C41,OverDeduct,AP$5,OverDate,"&lt;"&amp;DATE(YEAR($AC41),MONTH($AC41)+1,1),OverEnd,"&gt;="&amp;DATE(YEAR($AC41),MONTH($AC41),1))&gt;0,SUMPRODUCT((PayEmp=$C41)*(PayDate&lt;=$AC41)*(OFFSET($N$6,1,MATCH(AP$5,PayDedList,0)-1,PayCount,1)))/$AA41*12*AP$3,IF(OR(AP$1="Fixed",AP$1="Not Used"),SUMPRODUCT((PayEmp=$C41)*(PayDate&lt;=$AC41)*(OFFSET($N$6,1,MATCH(AP$5,PayDedList,0)-1,PayCount,1)))/$AA41*12*AP$3,IF(ISNA(MATCH(AP$1,EarnListItem,0))=FALSE,SUMPRODUCT((PayEmp=$C41)*(PayDate&lt;=$AC41)*(OFFSET($N$6,1,MATCH(AP$5,PayDedList,0)-1,PayCount,1)))/$AA41*12*AP$3,(MIN(((SUMPRODUCT((PayEmp=$C41)*(PayDate&lt;=$AC41)*(ISERROR(SEARCH(PayEarnCode,AP$2)))*(PayEarnType="Monthly")*(PayEarnValues))/$AA41*12)+(SUMPRODUCT((PayEmp=$C41)*(PayDate&lt;=$AC41)*(ISERROR(SEARCH(PayEarnCode,AP$2)))*(PayEarnType="Quarterly")*(PayEarnValues))/MAX(1,ROUNDDOWN($AB41/3,0))*4)+(SUMPRODUCT((PayEmp=$C41)*(PayDate&lt;=$AC41)*(ISERROR(SEARCH(PayEarnCode,AP$2)))*(PayEarnType="Bi-Annual")*(PayEarnValues))/MAX(1,ROUNDDOWN($AB41/6,0))*2)+(SUMPRODUCT((PayEmp=$C41)*(PayDate&lt;=$AC41)*(ISERROR(SEARCH(PayEarnCode,AP$2)))*(PayEarnType="Annual")*(PayEarnValues)))),IF(ISNUMBER(OFFSET($N$3,0,MATCH(AP$5,PayDedList,0)-1,1,1)),OFFSET($N$3,0,MATCH(AP$5,PayDedList,0)-1,1,1),IgnoreMin)))*IF(COUNTIFS(EmpNo,$C41,OFFSET(Emp!$R$4,1,MATCH(AP$5,DedListItem,0)-1,EmpCount,1),"&lt;&gt;")&gt;0,VLOOKUP($C41,EmpAll,COLUMN(Emp!$R$4)+MATCH(AP$5,DedListItem,0)-1,0),OFFSET(Setup!$E$73,MATCH(AP$5,DedListItem,0),0,1,1))*AP$3))),IF(ISNUMBER(AP$4),AP$4,IgnoreMin)))))</f>
        <v>0</v>
      </c>
      <c r="AQ41" s="148" cm="1">
        <f t="array" aca="1" ref="AQ41" ca="1">-IF($F41="Terminated",0,IF($AA41=0,0,IF(ISNA(MATCH(AQ$5,PayDedList,0)),0,MIN(IF(COUNTIFS(OverEmp,$C41,OverDeduct,AQ$5,OverDate,"&lt;"&amp;DATE(YEAR($AC41),MONTH($AC41)+1,1),OverEnd,"&gt;="&amp;DATE(YEAR($AC41),MONTH($AC41),1))&gt;0,SUMPRODUCT((PayEmp=$C41)*(PayDate&lt;=$AC41)*(OFFSET($N$6,1,MATCH(AQ$5,PayDedList,0)-1,PayCount,1)))/$AA41*12*AQ$3,IF(OR(AQ$1="Fixed",AQ$1="Not Used"),SUMPRODUCT((PayEmp=$C41)*(PayDate&lt;=$AC41)*(OFFSET($N$6,1,MATCH(AQ$5,PayDedList,0)-1,PayCount,1)))/$AA41*12*AQ$3,IF(ISNA(MATCH(AQ$1,EarnListItem,0))=FALSE,SUMPRODUCT((PayEmp=$C41)*(PayDate&lt;=$AC41)*(OFFSET($N$6,1,MATCH(AQ$5,PayDedList,0)-1,PayCount,1)))/$AA41*12*AQ$3,(MIN(((SUMPRODUCT((PayEmp=$C41)*(PayDate&lt;=$AC41)*(ISERROR(SEARCH(PayEarnCode,AQ$2)))*(PayEarnType="Monthly")*(PayEarnValues))/$AA41*12)+(SUMPRODUCT((PayEmp=$C41)*(PayDate&lt;=$AC41)*(ISERROR(SEARCH(PayEarnCode,AQ$2)))*(PayEarnType="Quarterly")*(PayEarnValues))/MAX(1,ROUNDDOWN($AB41/3,0))*4)+(SUMPRODUCT((PayEmp=$C41)*(PayDate&lt;=$AC41)*(ISERROR(SEARCH(PayEarnCode,AQ$2)))*(PayEarnType="Bi-Annual")*(PayEarnValues))/MAX(1,ROUNDDOWN($AB41/6,0))*2)+(SUMPRODUCT((PayEmp=$C41)*(PayDate&lt;=$AC41)*(ISERROR(SEARCH(PayEarnCode,AQ$2)))*(PayEarnType="Annual")*(PayEarnValues)))),IF(ISNUMBER(OFFSET($N$3,0,MATCH(AQ$5,PayDedList,0)-1,1,1)),OFFSET($N$3,0,MATCH(AQ$5,PayDedList,0)-1,1,1),IgnoreMin)))*IF(COUNTIFS(EmpNo,$C41,OFFSET(Emp!$R$4,1,MATCH(AQ$5,DedListItem,0)-1,EmpCount,1),"&lt;&gt;")&gt;0,VLOOKUP($C41,EmpAll,COLUMN(Emp!$R$4)+MATCH(AQ$5,DedListItem,0)-1,0),OFFSET(Setup!$E$73,MATCH(AQ$5,DedListItem,0),0,1,1))*AQ$3))),IF(ISNUMBER(AQ$4),AQ$4,IgnoreMin)))))</f>
        <v>0</v>
      </c>
      <c r="AR41" s="148">
        <f t="shared" ca="1" si="22"/>
        <v>120000</v>
      </c>
      <c r="AS41" s="148">
        <f t="shared" ca="1" si="11"/>
        <v>120000</v>
      </c>
      <c r="AT41" s="148" cm="1">
        <f t="array" aca="1" ref="AT41" ca="1">-IF($F41="Terminated",0,IF($AA41=0,0,IF(ISNA(MATCH(AT$5,PayDedList,0)),0,MIN(IF(COUNTIFS(OverEmp,$C41,OverDeduct,AT$5,OverDate,"&lt;"&amp;DATE(YEAR($AC41),MONTH($AC41)+1,1),OverEnd,"&gt;="&amp;DATE(YEAR($AC41),MONTH($AC41),1))&gt;0,SUMPRODUCT((PayEmp=$C41)*(PayDate&lt;=$AC41)*(OFFSET($N$6,1,MATCH(AT$5,PayDedList,0)-1,PayCount,1)))/$AA41*12*AT$3,IF(OR(AT$1="Fixed",AT$1="Not Used"),SUMPRODUCT((PayEmp=$C41)*(PayDate&lt;=$AC41)*(OFFSET($N$6,1,MATCH(AT$5,PayDedList,0)-1,PayCount,1)))/$AA41*12*AT$3,IF(ISNA(MATCH(OFFSET($N$2,0,MATCH(AT$5,PayDedList,0)-1,1,1),EarnListItem,0))=FALSE,SUMPRODUCT((PayEmp=$C41)*(PayDate&lt;=$AC41)*(OFFSET($N$6,1,MATCH(AT$5,PayDedList,0)-1,PayCount,1)))/$AA41*12*AT$3,(MIN(SUMPRODUCT((PayEmp=$C41)*(PayDate&lt;=$AC41)*(ISERROR(SEARCH(PayEarnCode,AT$2)))*(PayEarnType="Monthly")*(PayEarnValues))/$AA41*12,IF(ISNUMBER(OFFSET($N$3,0,MATCH(AT$5,PayDedList,0)-1,1,1)),OFFSET($N$3,0,MATCH(AT$5,PayDedList,0)-1,1,1),IgnoreMin)))*IF(COUNTIFS(EmpNo,$C41,OFFSET(Emp!$R$4,1,MATCH(AT$5,DedListItem,0)-1,EmpCount,1),"&lt;&gt;")&gt;0,VLOOKUP($C41,EmpAll,COLUMN(Emp!$R$4)+MATCH(AT$5,DedListItem,0)-1,0),OFFSET(Setup!$E$73,MATCH(AT$5,DedListItem,0),0,1,1))*AT$3))),IF(ISNUMBER(AT$4),AT$4,IgnoreMin)))))</f>
        <v>0</v>
      </c>
      <c r="AU41" s="148" cm="1">
        <f t="array" aca="1" ref="AU41" ca="1">-IF($F41="Terminated",0,IF($AA41=0,0,IF(ISNA(MATCH(AU$5,PayDedList,0)),0,MIN(IF(COUNTIFS(OverEmp,$C41,OverDeduct,AU$5,OverDate,"&lt;"&amp;DATE(YEAR($AC41),MONTH($AC41)+1,1),OverEnd,"&gt;="&amp;DATE(YEAR($AC41),MONTH($AC41),1))&gt;0,SUMPRODUCT((PayEmp=$C41)*(PayDate&lt;=$AC41)*(OFFSET($N$6,1,MATCH(AU$5,PayDedList,0)-1,PayCount,1)))/$AA41*12*AU$3,IF(OR(AU$1="Fixed",AU$1="Not Used"),SUMPRODUCT((PayEmp=$C41)*(PayDate&lt;=$AC41)*(OFFSET($N$6,1,MATCH(AU$5,PayDedList,0)-1,PayCount,1)))/$AA41*12*AU$3,IF(ISNA(MATCH(OFFSET($N$2,0,MATCH(AU$5,PayDedList,0)-1,1,1),EarnListItem,0))=FALSE,SUMPRODUCT((PayEmp=$C41)*(PayDate&lt;=$AC41)*(OFFSET($N$6,1,MATCH(AU$5,PayDedList,0)-1,PayCount,1)))/$AA41*12*AU$3,(MIN(SUMPRODUCT((PayEmp=$C41)*(PayDate&lt;=$AC41)*(ISERROR(SEARCH(PayEarnCode,AU$2)))*(PayEarnType="Monthly")*(PayEarnValues))/$AA41*12,IF(ISNUMBER(OFFSET($N$3,0,MATCH(AU$5,PayDedList,0)-1,1,1)),OFFSET($N$3,0,MATCH(AU$5,PayDedList,0)-1,1,1),IgnoreMin)))*IF(COUNTIFS(EmpNo,$C41,OFFSET(Emp!$R$4,1,MATCH(AU$5,DedListItem,0)-1,EmpCount,1),"&lt;&gt;")&gt;0,VLOOKUP($C41,EmpAll,COLUMN(Emp!$R$4)+MATCH(AU$5,DedListItem,0)-1,0),OFFSET(Setup!$E$73,MATCH(AU$5,DedListItem,0),0,1,1))*AU$3))),IF(ISNUMBER(AU$4),AU$4,IgnoreMin)))))</f>
        <v>0</v>
      </c>
      <c r="AV41" s="148" cm="1">
        <f t="array" aca="1" ref="AV41" ca="1">-IF($F41="Terminated",0,IF($AA41=0,0,IF(ISNA(MATCH(AV$5,PayDedList,0)),0,MIN(IF(COUNTIFS(OverEmp,$C41,OverDeduct,AV$5,OverDate,"&lt;"&amp;DATE(YEAR($AC41),MONTH($AC41)+1,1),OverEnd,"&gt;="&amp;DATE(YEAR($AC41),MONTH($AC41),1))&gt;0,SUMPRODUCT((PayEmp=$C41)*(PayDate&lt;=$AC41)*(OFFSET($N$6,1,MATCH(AV$5,PayDedList,0)-1,PayCount,1)))/$AA41*12*AV$3,IF(OR(AV$1="Fixed",AV$1="Not Used"),SUMPRODUCT((PayEmp=$C41)*(PayDate&lt;=$AC41)*(OFFSET($N$6,1,MATCH(AV$5,PayDedList,0)-1,PayCount,1)))/$AA41*12*AV$3,IF(ISNA(MATCH(OFFSET($N$2,0,MATCH(AV$5,PayDedList,0)-1,1,1),EarnListItem,0))=FALSE,SUMPRODUCT((PayEmp=$C41)*(PayDate&lt;=$AC41)*(OFFSET($N$6,1,MATCH(AV$5,PayDedList,0)-1,PayCount,1)))/$AA41*12*AV$3,(MIN(SUMPRODUCT((PayEmp=$C41)*(PayDate&lt;=$AC41)*(ISERROR(SEARCH(PayEarnCode,AV$2)))*(PayEarnType="Monthly")*(PayEarnValues))/$AA41*12,IF(ISNUMBER(OFFSET($N$3,0,MATCH(AV$5,PayDedList,0)-1,1,1)),OFFSET($N$3,0,MATCH(AV$5,PayDedList,0)-1,1,1),IgnoreMin)))*IF(COUNTIFS(EmpNo,$C41,OFFSET(Emp!$R$4,1,MATCH(AV$5,DedListItem,0)-1,EmpCount,1),"&lt;&gt;")&gt;0,VLOOKUP($C41,EmpAll,COLUMN(Emp!$R$4)+MATCH(AV$5,DedListItem,0)-1,0),OFFSET(Setup!$E$73,MATCH(AV$5,DedListItem,0),0,1,1))*AV$3))),IF(ISNUMBER(AV$4),AV$4,IgnoreMin)))))</f>
        <v>0</v>
      </c>
      <c r="AW41" s="148" cm="1">
        <f t="array" aca="1" ref="AW41" ca="1">-IF($F41="Terminated",0,IF($AA41=0,0,IF(ISNA(MATCH(AW$5,PayDedList,0)),0,MIN(IF(COUNTIFS(OverEmp,$C41,OverDeduct,AW$5,OverDate,"&lt;"&amp;DATE(YEAR($AC41),MONTH($AC41)+1,1),OverEnd,"&gt;="&amp;DATE(YEAR($AC41),MONTH($AC41),1))&gt;0,SUMPRODUCT((PayEmp=$C41)*(PayDate&lt;=$AC41)*(OFFSET($N$6,1,MATCH(AW$5,PayDedList,0)-1,PayCount,1)))/$AA41*12*AW$3,IF(OR(AW$1="Fixed",AW$1="Not Used"),SUMPRODUCT((PayEmp=$C41)*(PayDate&lt;=$AC41)*(OFFSET($N$6,1,MATCH(AW$5,PayDedList,0)-1,PayCount,1)))/$AA41*12*AW$3,IF(ISNA(MATCH(OFFSET($N$2,0,MATCH(AW$5,PayDedList,0)-1,1,1),EarnListItem,0))=FALSE,SUMPRODUCT((PayEmp=$C41)*(PayDate&lt;=$AC41)*(OFFSET($N$6,1,MATCH(AW$5,PayDedList,0)-1,PayCount,1)))/$AA41*12*AW$3,(MIN(SUMPRODUCT((PayEmp=$C41)*(PayDate&lt;=$AC41)*(ISERROR(SEARCH(PayEarnCode,AW$2)))*(PayEarnType="Monthly")*(PayEarnValues))/$AA41*12,IF(ISNUMBER(OFFSET($N$3,0,MATCH(AW$5,PayDedList,0)-1,1,1)),OFFSET($N$3,0,MATCH(AW$5,PayDedList,0)-1,1,1),IgnoreMin)))*IF(COUNTIFS(EmpNo,$C41,OFFSET(Emp!$R$4,1,MATCH(AW$5,DedListItem,0)-1,EmpCount,1),"&lt;&gt;")&gt;0,VLOOKUP($C41,EmpAll,COLUMN(Emp!$R$4)+MATCH(AW$5,DedListItem,0)-1,0),OFFSET(Setup!$E$73,MATCH(AW$5,DedListItem,0),0,1,1))*AW$3))),IF(ISNUMBER(AW$4),AW$4,IgnoreMin)))))</f>
        <v>0</v>
      </c>
      <c r="AX41" s="148">
        <f t="shared" ca="1" si="28"/>
        <v>120000</v>
      </c>
      <c r="AY41" s="148">
        <f t="shared" ca="1" si="29"/>
        <v>0</v>
      </c>
      <c r="AZ41" s="148">
        <f ca="1">IF(ISNUMBER($AL41),($AR41*$AL41)-$AI41-$AK41,MAX(0,IF($AL41="B",IF($AR41&lt;Setup!$C$32,($AR41*Setup!$D$32)-$AI41-$AK41,(($AR41-VLOOKUP($AR41,TaxAll2,1,1))*OFFSET(Setup!$D$32,MATCH($AR41,TaxBracket2,1),0,1,1))+OFFSET(Setup!$E$31,MATCH($AR41,TaxBracket2,1),0,1,1)-$AI41-$AK41),IF($AR41&lt;Setup!$C$21,($AR41*Setup!$D$21)-$AI41-$AK41,(($AR41-VLOOKUP($AR41,TaxAll1,1,1))*OFFSET(Setup!$D$21,MATCH($AR41,TaxBracket1,1),0,1,1))+OFFSET(Setup!$E$20,MATCH($AR41,TaxBracket1,1),0,1,1)-$AI41-$AK41))))</f>
        <v>0</v>
      </c>
      <c r="BA41" s="148">
        <f ca="1">IF(ISNUMBER($AL41),($AX41*$AL41)-$AI41-$AK41,MAX(0,IF($AL41="B",IF($AX41&lt;Setup!$C$32,($AX41*Setup!$D$32)-$AI41-$AK41,(($AX41-VLOOKUP($AX41,TaxAll2,1,1))*OFFSET(Setup!$D$32,MATCH($AX41,TaxBracket2,1),0,1,1))+OFFSET(Setup!$E$31,MATCH($AX41,TaxBracket2,1),0,1,1)-$AI41-$AK41),IF($AX41&lt;Setup!$C$21,($AX41*Setup!$D$21)-$AI41-$AK41,(($AX41-VLOOKUP($AX41,TaxAll1,1,1))*OFFSET(Setup!$D$21,MATCH($AX41,TaxBracket1,1),0,1,1))+OFFSET(Setup!$E$20,MATCH($AX41,TaxBracket1,1),0,1,1)-$AI41-$AK41))))</f>
        <v>0</v>
      </c>
      <c r="BB41" s="148">
        <f t="shared" ca="1" si="23"/>
        <v>0</v>
      </c>
      <c r="BC41" s="150">
        <f t="shared" ca="1" si="15"/>
        <v>1</v>
      </c>
      <c r="BD41" s="150">
        <f t="shared" ca="1" si="16"/>
        <v>0</v>
      </c>
      <c r="BE41" s="148">
        <f t="shared" ca="1" si="17"/>
        <v>120000</v>
      </c>
    </row>
    <row r="42" spans="1:57" ht="16.149999999999999" customHeight="1" x14ac:dyDescent="0.25">
      <c r="A42" s="10" t="str" cm="1">
        <f t="array" aca="1" ref="A42" ca="1">IF(ROW($A42)-ROW($A$6)&gt;EmpCount*12,"-",TEXT($B42,"yyyy")&amp;TEXT($B42,"mm")&amp;"-"&amp;$C42)</f>
        <v>202305-EXS006</v>
      </c>
      <c r="B42" s="137" cm="1">
        <f t="array" aca="1" ref="B42" ca="1">IF(ROW($A42)-ROW($A$6)&gt;EmpCount*12,Setup!$D$12,DATE(YEAR(Setup!$F$12),MONTH(Setup!$F$12)+ROUNDDOWN((ROW($A42)-ROW($A$6)-1)/EmpCount,0),IF(Setup!$C$14&gt;DAY(DATE(YEAR(Setup!$F$12),MONTH(Setup!$F$12)+ROUNDDOWN((ROW($A42)-ROW($A$6)-1)/EmpCount,0)+1,0)),DAY(DATE(YEAR(Setup!$F$12),MONTH(Setup!$F$12)+ROUNDDOWN((ROW($A42)-ROW($A$6)-1)/EmpCount,0)+1,0)),Setup!$C$14)))</f>
        <v>45071</v>
      </c>
      <c r="C42" s="101" t="str" cm="1">
        <f t="array" aca="1" ref="C42" ca="1">IF(ROW($A42)-ROW($A$6)&gt;EmpCount*12,"-",OFFSET(Emp!$A$4,ROW($A42)-ROW($A$6)-IF(ROW($A42)-ROW($A$6)&gt;EmpCount,ROUNDDOWN((ROW($A42)-ROW($A$6)-1)/EmpCount,0)*EmpCount,0),0,1,1))</f>
        <v>EXS006</v>
      </c>
      <c r="D42" s="10" t="str">
        <f ca="1">IF(ISNA(VLOOKUP($C42,EmpAll,COLUMN(Emp!$B$4),0)),"-",VLOOKUP($C42,EmpAll,COLUMN(Emp!$B$4),0))</f>
        <v>Andrews MS</v>
      </c>
      <c r="E42" s="145" t="str">
        <f ca="1">IF(ISNA(VLOOKUP($C42,EmpAll,COLUMN(Emp!$C$4),0)),"-",VLOOKUP($C42,EmpAll,COLUMN(Emp!$C$4),0))</f>
        <v>S</v>
      </c>
      <c r="F42" s="101" t="str">
        <f ca="1">IF(ISNA(VLOOKUP($C42,EmpAll,COLUMN(Emp!$A$4),0)),"-",IF(AND(VLOOKUP($C42,EmpAll,COLUMN(Emp!$E$4),0)&lt;&gt;0,VLOOKUP($C42,EmpAll,COLUMN(Emp!$E$4),0)&gt;=DATE(YEAR($AC42),MONTH($AC42)+1,0)),"Inactive",IF(AND(VLOOKUP($C42,EmpAll,COLUMN(Emp!$F$4),0)&lt;&gt;0,VLOOKUP($C42,EmpAll,COLUMN(Emp!$F$4),0)&lt;=DATE(YEAR($AC42),MONTH($AC42),0)),"Terminated","Active")))</f>
        <v>Active</v>
      </c>
      <c r="G42" s="133" cm="1">
        <f t="array" aca="1" ref="G42" ca="1">IF($F42&lt;&gt;"Active",0,IF(COUNTIFS(OverEmp,$C42,OverEarn,G$2,OverDate,"&lt;"&amp;DATE(YEAR($AC42),MONTH($AC42)+1,1),OverEnd,"&gt;="&amp;DATE(YEAR($AC42),MONTH($AC42),1))&gt;0,SUMIFS(OverValue,OverEmp,$C42,OverEarn,G$2,OverDate,"&lt;"&amp;DATE(YEAR($AC42),MONTH($AC42)+1,1),OverEnd,"&gt;="&amp;DATE(YEAR($AC42),MONTH($AC42),1)),IF(AND($AC42&gt;=Setup!$E$10,SUMIFS(EmpIncrease,EmpCode,$C42)&gt;0),SUMIFS(EmpIncrease,EmpCode,$C42),SUMIFS(EmpSalary,EmpCode,$C42))))</f>
        <v>10000</v>
      </c>
      <c r="H42" s="133" cm="1">
        <f t="array" aca="1" ref="H42" ca="1">IF($F42&lt;&gt;"Active",0,IF(COUNTIFS(OverEmp,$C42,OverEarn,H$2,OverDate,"&lt;"&amp;DATE(YEAR($AC42),MONTH($AC42)+1,1),OverEnd,"&gt;="&amp;DATE(YEAR($AC42),MONTH($AC42),1))&gt;0,SUMIFS(OverValue,OverEmp,$C42,OverEarn,H$2,OverDate,"&lt;"&amp;DATE(YEAR($AC42),MONTH($AC42)+1,1),OverEnd,"&gt;="&amp;DATE(YEAR($AC42),MONTH($AC42),1)),0))</f>
        <v>0</v>
      </c>
      <c r="I42" s="133" cm="1">
        <f t="array" aca="1" ref="I42" ca="1">IF($F42&lt;&gt;"Active",0,IF(COUNTIFS(OverEmp,$C42,OverEarn,I$2,OverDate,"&lt;"&amp;DATE(YEAR($AC42),MONTH($AC42)+1,1),OverEnd,"&gt;="&amp;DATE(YEAR($AC42),MONTH($AC42),1))&gt;0,SUMIFS(OverValue,OverEmp,$C42,OverEarn,I$2,OverDate,"&lt;"&amp;DATE(YEAR($AC42),MONTH($AC42)+1,1),OverEnd,"&gt;="&amp;DATE(YEAR($AC42),MONTH($AC42),1)),IF(MONTH(B42)=Setup!$C$15,SUMIFS(EmpBonus,EmpCode,$C42),0)))</f>
        <v>0</v>
      </c>
      <c r="J42" s="133" cm="1">
        <f t="array" aca="1" ref="J42" ca="1">IF($F42&lt;&gt;"Active",0,IF(COUNTIFS(OverEmp,$C42,OverEarn,J$2,OverDate,"&lt;"&amp;DATE(YEAR($AC42),MONTH($AC42)+1,1),OverEnd,"&gt;="&amp;DATE(YEAR($AC42),MONTH($AC42),1))&gt;0,SUMIFS(OverValue,OverEmp,$C42,OverEarn,J$2,OverDate,"&lt;"&amp;DATE(YEAR($AC42),MONTH($AC42)+1,1),OverEnd,"&gt;="&amp;DATE(YEAR($AC42),MONTH($AC42),1)),0))</f>
        <v>0</v>
      </c>
      <c r="K42" s="133" cm="1">
        <f t="array" aca="1" ref="K42" ca="1">IF($F42&lt;&gt;"Active",0,IF(COUNTIFS(OverEmp,$C42,OverEarn,K$2,OverDate,"&lt;"&amp;DATE(YEAR($AC42),MONTH($AC42)+1,1),OverEnd,"&gt;="&amp;DATE(YEAR($AC42),MONTH($AC42),1))&gt;0,SUMIFS(OverValue,OverEmp,$C42,OverEarn,K$2,OverDate,"&lt;"&amp;DATE(YEAR($AC42),MONTH($AC42)+1,1),OverEnd,"&gt;="&amp;DATE(YEAR($AC42),MONTH($AC42),1)),0))</f>
        <v>0</v>
      </c>
      <c r="L42" s="185">
        <f t="shared" ca="1" si="24"/>
        <v>10000</v>
      </c>
      <c r="M42" s="182" cm="1">
        <f t="array" aca="1" ref="M42" ca="1">IF(COUNTIFS(OverEmp,$C42,OverTax,M$5,OverDate,"&lt;"&amp;DATE(YEAR($AC42),MONTH($AC42)+1,1),OverEnd,"&gt;="&amp;DATE(YEAR($AC42),MONTH($AC42),1))&gt;0,SUMIFS(OverValue,OverEmp,$C42,OverTax,M$5,OverDate,"&lt;"&amp;DATE(YEAR($AC42),MONTH($AC42)+1,1),OverEnd,"&gt;="&amp;DATE(YEAR($AC42),MONTH($AC42),1)),(($BA42/12*$AA42)+(BB42*IF(1-$BC42=0,0,BD42/(1-$BC42))))-IF($F42="Terminated",0,SUMIFS(PayTaxDeduct,PayDate,"&lt;"&amp;$AC42,PayEmp,$C42)))</f>
        <v>0</v>
      </c>
      <c r="N42" s="133" cm="1">
        <f t="array" aca="1" ref="N42" ca="1">IF($F42="Terminated",0,IF($AA42=0,0,IF(ISNA(MATCH(N$5,DedListItem,0)),0,IF(COUNTIFS(OverEmp,$C42,OverDeduct,N$5,OverDate,"&lt;"&amp;DATE(YEAR($AC42),MONTH($AC42)+1,1),OverEnd,"&gt;="&amp;DATE(YEAR($AC42),MONTH($AC42),1))&gt;0,SUMIFS(OverValue,OverEmp,$C42,OverDeduct,N$5,OverDate,"&lt;"&amp;DATE(YEAR($AC42),MONTH($AC42)+1,1),OverEnd,"&gt;="&amp;DATE(YEAR($AC42),MONTH($AC42),1)),IF(OR(N$2="Fixed",N$2="Not Used"),(IF(COUNTIFS(EmpNo,$C42,OFFSET(Emp!$R$4,1,MATCH(N$5,DedListItem,0)-1,EmpCount,1),"&lt;&gt;")&gt;0,VLOOKUP($C42,EmpAll,COLUMN(Emp!$R$4)+MATCH(N$5,DedListItem,0)-1,0),OFFSET(Setup!$E$73,MATCH(N$5,DedListItem,0),0,1,1))*$AA42)-SUMIFS(OFFSET(N$6,1,0,PayCount,1),PayDate,"&lt;"&amp;$AC42,PayEmp,$C42),IF(ISNA(MATCH(N$2,EarnListItem,0))=FALSE,IF(OFFSET(Setup!$G$73,MATCH(N$5,DedListItem,0),0,1,1)="Taxable",SUMPRODUCT((PayEmp=$C42)*(PayDate&lt;=$AC42)*(PayEarnCode=N$2)*(PayEarnTax)*(PayEarnValues)),SUMPRODUCT((PayEmp=$C42)*(PayDate&lt;=$AC42)*(PayEarnCode=N$2)*(PayEarnValues)))*IF(COUNTIFS(EmpNo,$C42,OFFSET(Emp!$R$4,1,MATCH(N$5,DedListItem,0)-1,EmpCount,1),"&lt;&gt;")&gt;0,VLOOKUP($C42,EmpAll,COLUMN(Emp!$R$4)+MATCH(N$5,DedListItem,0)-1,0),OFFSET(Setup!$E$73,MATCH(N$5,DedListItem,0),0,1,1)),(MIN(IF(OFFSET(Setup!$G$73,MATCH(N$5,DedListItem,0),0,1,1)="Taxable",SUMPRODUCT((PayEmp=$C42)*(PayDate&lt;=$AC42)*(ISERROR(SEARCH(PayEarnCode,N$4)))*(PayEarnTax)*(PayEarnValues)),SUMPRODUCT((PayEmp=$C42)*(PayDate&lt;=$AC42)*(ISERROR(SEARCH(PayEarnCode,N$4)))*(PayEarnValues))),IF(ISNUMBER(N$3),N$3/12*$AA42,IgnoreMin)))*IF(COUNTIFS(EmpNo,$C42,OFFSET(Emp!$R$4,1,MATCH(N$5,DedListItem,0)-1,EmpCount,1),"&lt;&gt;")&gt;0,VLOOKUP($C42,EmpAll,COLUMN(Emp!$R$4)+MATCH(N$5,DedListItem,0)-1,0),OFFSET(Setup!$E$73,MATCH(N$5,DedListItem,0),0,1,1)))-SUMIFS(OFFSET(N$6,1,0,PayCount,1),PayDate,"&lt;"&amp;$AC42,PayEmp,$C42))))))</f>
        <v>100</v>
      </c>
      <c r="O42" s="133" cm="1">
        <f t="array" aca="1" ref="O42" ca="1">IF($F42="Terminated",0,IF($AA42=0,0,IF(ISNA(MATCH(O$5,DedListItem,0)),0,IF(COUNTIFS(OverEmp,$C42,OverDeduct,O$5,OverDate,"&lt;"&amp;DATE(YEAR($AC42),MONTH($AC42)+1,1),OverEnd,"&gt;="&amp;DATE(YEAR($AC42),MONTH($AC42),1))&gt;0,SUMIFS(OverValue,OverEmp,$C42,OverDeduct,O$5,OverDate,"&lt;"&amp;DATE(YEAR($AC42),MONTH($AC42)+1,1),OverEnd,"&gt;="&amp;DATE(YEAR($AC42),MONTH($AC42),1)),IF(OR(O$2="Fixed",O$2="Not Used"),(IF(COUNTIFS(EmpNo,$C42,OFFSET(Emp!$R$4,1,MATCH(O$5,DedListItem,0)-1,EmpCount,1),"&lt;&gt;")&gt;0,VLOOKUP($C42,EmpAll,COLUMN(Emp!$R$4)+MATCH(O$5,DedListItem,0)-1,0),OFFSET(Setup!$E$73,MATCH(O$5,DedListItem,0),0,1,1))*$AA42)-SUMIFS(OFFSET(O$6,1,0,PayCount,1),PayDate,"&lt;"&amp;$AC42,PayEmp,$C42),IF(ISNA(MATCH(O$2,EarnListItem,0))=FALSE,IF(OFFSET(Setup!$G$73,MATCH(O$5,DedListItem,0),0,1,1)="Taxable",SUMPRODUCT((PayEmp=$C42)*(PayDate&lt;=$AC42)*(PayEarnCode=O$2)*(PayEarnTax)*(PayEarnValues)),SUMPRODUCT((PayEmp=$C42)*(PayDate&lt;=$AC42)*(PayEarnCode=O$2)*(PayEarnValues)))*IF(COUNTIFS(EmpNo,$C42,OFFSET(Emp!$R$4,1,MATCH(O$5,DedListItem,0)-1,EmpCount,1),"&lt;&gt;")&gt;0,VLOOKUP($C42,EmpAll,COLUMN(Emp!$R$4)+MATCH(O$5,DedListItem,0)-1,0),OFFSET(Setup!$E$73,MATCH(O$5,DedListItem,0),0,1,1)),(MIN(IF(OFFSET(Setup!$G$73,MATCH(O$5,DedListItem,0),0,1,1)="Taxable",SUMPRODUCT((PayEmp=$C42)*(PayDate&lt;=$AC42)*(ISERROR(SEARCH(PayEarnCode,O$4)))*(PayEarnTax)*(PayEarnValues)),SUMPRODUCT((PayEmp=$C42)*(PayDate&lt;=$AC42)*(ISERROR(SEARCH(PayEarnCode,O$4)))*(PayEarnValues))),IF(ISNUMBER(O$3),O$3/12*$AA42,IgnoreMin)))*IF(COUNTIFS(EmpNo,$C42,OFFSET(Emp!$R$4,1,MATCH(O$5,DedListItem,0)-1,EmpCount,1),"&lt;&gt;")&gt;0,VLOOKUP($C42,EmpAll,COLUMN(Emp!$R$4)+MATCH(O$5,DedListItem,0)-1,0),OFFSET(Setup!$E$73,MATCH(O$5,DedListItem,0),0,1,1)))-SUMIFS(OFFSET(O$6,1,0,PayCount,1),PayDate,"&lt;"&amp;$AC42,PayEmp,$C42))))))</f>
        <v>0</v>
      </c>
      <c r="P42" s="133" cm="1">
        <f t="array" aca="1" ref="P42" ca="1">IF($F42="Terminated",0,IF($AA42=0,0,IF(ISNA(MATCH(P$5,DedListItem,0)),0,IF(COUNTIFS(OverEmp,$C42,OverDeduct,P$5,OverDate,"&lt;"&amp;DATE(YEAR($AC42),MONTH($AC42)+1,1),OverEnd,"&gt;="&amp;DATE(YEAR($AC42),MONTH($AC42),1))&gt;0,SUMIFS(OverValue,OverEmp,$C42,OverDeduct,P$5,OverDate,"&lt;"&amp;DATE(YEAR($AC42),MONTH($AC42)+1,1),OverEnd,"&gt;="&amp;DATE(YEAR($AC42),MONTH($AC42),1)),IF(OR(P$2="Fixed",P$2="Not Used"),(IF(COUNTIFS(EmpNo,$C42,OFFSET(Emp!$R$4,1,MATCH(P$5,DedListItem,0)-1,EmpCount,1),"&lt;&gt;")&gt;0,VLOOKUP($C42,EmpAll,COLUMN(Emp!$R$4)+MATCH(P$5,DedListItem,0)-1,0),OFFSET(Setup!$E$73,MATCH(P$5,DedListItem,0),0,1,1))*$AA42)-SUMIFS(OFFSET(P$6,1,0,PayCount,1),PayDate,"&lt;"&amp;$AC42,PayEmp,$C42),IF(ISNA(MATCH(P$2,EarnListItem,0))=FALSE,IF(OFFSET(Setup!$G$73,MATCH(P$5,DedListItem,0),0,1,1)="Taxable",SUMPRODUCT((PayEmp=$C42)*(PayDate&lt;=$AC42)*(PayEarnCode=P$2)*(PayEarnTax)*(PayEarnValues)),SUMPRODUCT((PayEmp=$C42)*(PayDate&lt;=$AC42)*(PayEarnCode=P$2)*(PayEarnValues)))*IF(COUNTIFS(EmpNo,$C42,OFFSET(Emp!$R$4,1,MATCH(P$5,DedListItem,0)-1,EmpCount,1),"&lt;&gt;")&gt;0,VLOOKUP($C42,EmpAll,COLUMN(Emp!$R$4)+MATCH(P$5,DedListItem,0)-1,0),OFFSET(Setup!$E$73,MATCH(P$5,DedListItem,0),0,1,1)),(MIN(IF(OFFSET(Setup!$G$73,MATCH(P$5,DedListItem,0),0,1,1)="Taxable",SUMPRODUCT((PayEmp=$C42)*(PayDate&lt;=$AC42)*(ISERROR(SEARCH(PayEarnCode,P$4)))*(PayEarnTax)*(PayEarnValues)),SUMPRODUCT((PayEmp=$C42)*(PayDate&lt;=$AC42)*(ISERROR(SEARCH(PayEarnCode,P$4)))*(PayEarnValues))),IF(ISNUMBER(P$3),P$3/12*$AA42,IgnoreMin)))*IF(COUNTIFS(EmpNo,$C42,OFFSET(Emp!$R$4,1,MATCH(P$5,DedListItem,0)-1,EmpCount,1),"&lt;&gt;")&gt;0,VLOOKUP($C42,EmpAll,COLUMN(Emp!$R$4)+MATCH(P$5,DedListItem,0)-1,0),OFFSET(Setup!$E$73,MATCH(P$5,DedListItem,0),0,1,1)))-SUMIFS(OFFSET(P$6,1,0,PayCount,1),PayDate,"&lt;"&amp;$AC42,PayEmp,$C42))))))</f>
        <v>0</v>
      </c>
      <c r="Q42" s="133" cm="1">
        <f t="array" aca="1" ref="Q42" ca="1">IF($F42="Terminated",0,IF($AA42=0,0,IF(ISNA(MATCH(Q$5,DedListItem,0)),0,IF(COUNTIFS(OverEmp,$C42,OverDeduct,Q$5,OverDate,"&lt;"&amp;DATE(YEAR($AC42),MONTH($AC42)+1,1),OverEnd,"&gt;="&amp;DATE(YEAR($AC42),MONTH($AC42),1))&gt;0,SUMIFS(OverValue,OverEmp,$C42,OverDeduct,Q$5,OverDate,"&lt;"&amp;DATE(YEAR($AC42),MONTH($AC42)+1,1),OverEnd,"&gt;="&amp;DATE(YEAR($AC42),MONTH($AC42),1)),IF(OR(Q$2="Fixed",Q$2="Not Used"),(IF(COUNTIFS(EmpNo,$C42,OFFSET(Emp!$R$4,1,MATCH(Q$5,DedListItem,0)-1,EmpCount,1),"&lt;&gt;")&gt;0,VLOOKUP($C42,EmpAll,COLUMN(Emp!$R$4)+MATCH(Q$5,DedListItem,0)-1,0),OFFSET(Setup!$E$73,MATCH(Q$5,DedListItem,0),0,1,1))*$AA42)-SUMIFS(OFFSET(Q$6,1,0,PayCount,1),PayDate,"&lt;"&amp;$AC42,PayEmp,$C42),IF(ISNA(MATCH(Q$2,EarnListItem,0))=FALSE,IF(OFFSET(Setup!$G$73,MATCH(Q$5,DedListItem,0),0,1,1)="Taxable",SUMPRODUCT((PayEmp=$C42)*(PayDate&lt;=$AC42)*(PayEarnCode=Q$2)*(PayEarnTax)*(PayEarnValues)),SUMPRODUCT((PayEmp=$C42)*(PayDate&lt;=$AC42)*(PayEarnCode=Q$2)*(PayEarnValues)))*IF(COUNTIFS(EmpNo,$C42,OFFSET(Emp!$R$4,1,MATCH(Q$5,DedListItem,0)-1,EmpCount,1),"&lt;&gt;")&gt;0,VLOOKUP($C42,EmpAll,COLUMN(Emp!$R$4)+MATCH(Q$5,DedListItem,0)-1,0),OFFSET(Setup!$E$73,MATCH(Q$5,DedListItem,0),0,1,1)),(MIN(IF(OFFSET(Setup!$G$73,MATCH(Q$5,DedListItem,0),0,1,1)="Taxable",SUMPRODUCT((PayEmp=$C42)*(PayDate&lt;=$AC42)*(ISERROR(SEARCH(PayEarnCode,Q$4)))*(PayEarnTax)*(PayEarnValues)),SUMPRODUCT((PayEmp=$C42)*(PayDate&lt;=$AC42)*(ISERROR(SEARCH(PayEarnCode,Q$4)))*(PayEarnValues))),IF(ISNUMBER(Q$3),Q$3/12*$AA42,IgnoreMin)))*IF(COUNTIFS(EmpNo,$C42,OFFSET(Emp!$R$4,1,MATCH(Q$5,DedListItem,0)-1,EmpCount,1),"&lt;&gt;")&gt;0,VLOOKUP($C42,EmpAll,COLUMN(Emp!$R$4)+MATCH(Q$5,DedListItem,0)-1,0),OFFSET(Setup!$E$73,MATCH(Q$5,DedListItem,0),0,1,1)))-SUMIFS(OFFSET(Q$6,1,0,PayCount,1),PayDate,"&lt;"&amp;$AC42,PayEmp,$C42))))))</f>
        <v>0</v>
      </c>
      <c r="R42" s="185">
        <f t="shared" ca="1" si="25"/>
        <v>100</v>
      </c>
      <c r="S42" s="139">
        <f t="shared" ca="1" si="26"/>
        <v>9900</v>
      </c>
      <c r="T42" s="133" cm="1">
        <f t="array" aca="1" ref="T42" ca="1">IF($F42="Terminated",0,IF($AA42=0,0,IF(ISNA(MATCH(T$5,CompListItem,0)),0,IF(COUNTIFS(OverEmp,$C42,OverComp,T$5,OverDate,"&lt;"&amp;DATE(YEAR($AC42),MONTH($AC42)+1,1),OverEnd,"&gt;="&amp;DATE(YEAR($AC42),MONTH($AC42),1))&gt;0,SUMIFS(OverValue,OverEmp,$C42,OverComp,T$5,OverDate,"&lt;"&amp;DATE(YEAR($AC42),MONTH($AC42)+1,1),OverEnd,"&gt;="&amp;DATE(YEAR($AC42),MONTH($AC42),1)),IF(OR(T$2="Fixed",T$2="Not Used"),(OFFSET(Setup!$E$81,MATCH(T$5,CompListItem,0),0,1,1)*$AA42)-SUMIFS(OFFSET(T$6,1,0,PayCount,1),PayDate,"&lt;"&amp;$AC42,PayEmp,$C42),IF(ISNA(MATCH(T$2,DedListItem,0))=FALSE,(SUMPRODUCT((PayEmp=$C42)*(PayDate&lt;=$AC42)*(PayDedList=T$2)*(PayDedValues))*OFFSET(Setup!$E$81,MATCH(T$5,CompListItem,0),0,1,1))-SUMIFS(OFFSET(T$6,1,0,PayCount,1),PayDate,"&lt;"&amp;$AC42,PayEmp,$C42),(MIN(IF(OFFSET(Setup!$G$81,MATCH(T$5,CompListItem,0),0,1,1)="Taxable",SUMPRODUCT((PayEmp=$C42)*(PayDate&lt;=$AC42)*(ISERROR(SEARCH(PayEarnCode,T$4)))*(PayEarnTax)*(PayEarnValues)),SUMPRODUCT((PayEmp=$C42)*(PayDate&lt;=$AC42)*(ISERROR(SEARCH(PayEarnCode,T$4)))*(PayEarnValues))),IF(ISNUMBER(T$3),T$3/12*$AA42,IgnoreMin)))*OFFSET(Setup!$E$81,MATCH(T$5,CompListItem,0),0,1,1)-SUMIFS(OFFSET(T$6,1,0,PayCount,1),PayDate,"&lt;"&amp;$AC42,PayEmp,$C42)))))))</f>
        <v>100</v>
      </c>
      <c r="U42" s="133" cm="1">
        <f t="array" aca="1" ref="U42" ca="1">IF($F42="Terminated",0,IF($AA42=0,0,IF(ISNA(MATCH(U$5,CompListItem,0)),0,IF(COUNTIFS(OverEmp,$C42,OverComp,U$5,OverDate,"&lt;"&amp;DATE(YEAR($AC42),MONTH($AC42)+1,1),OverEnd,"&gt;="&amp;DATE(YEAR($AC42),MONTH($AC42),1))&gt;0,SUMIFS(OverValue,OverEmp,$C42,OverComp,U$5,OverDate,"&lt;"&amp;DATE(YEAR($AC42),MONTH($AC42)+1,1),OverEnd,"&gt;="&amp;DATE(YEAR($AC42),MONTH($AC42),1)),IF(OR(U$2="Fixed",U$2="Not Used"),(OFFSET(Setup!$E$81,MATCH(U$5,CompListItem,0),0,1,1)*$AA42)-SUMIFS(OFFSET(U$6,1,0,PayCount,1),PayDate,"&lt;"&amp;$AC42,PayEmp,$C42),IF(ISNA(MATCH(U$2,DedListItem,0))=FALSE,(SUMPRODUCT((PayEmp=$C42)*(PayDate&lt;=$AC42)*(PayDedList=U$2)*(PayDedValues))*OFFSET(Setup!$E$81,MATCH(U$5,CompListItem,0),0,1,1))-SUMIFS(OFFSET(U$6,1,0,PayCount,1),PayDate,"&lt;"&amp;$AC42,PayEmp,$C42),(MIN(IF(OFFSET(Setup!$G$81,MATCH(U$5,CompListItem,0),0,1,1)="Taxable",SUMPRODUCT((PayEmp=$C42)*(PayDate&lt;=$AC42)*(ISERROR(SEARCH(PayEarnCode,U$4)))*(PayEarnTax)*(PayEarnValues)),SUMPRODUCT((PayEmp=$C42)*(PayDate&lt;=$AC42)*(ISERROR(SEARCH(PayEarnCode,U$4)))*(PayEarnValues))),IF(ISNUMBER(U$3),U$3/12*$AA42,IgnoreMin)))*OFFSET(Setup!$E$81,MATCH(U$5,CompListItem,0),0,1,1)-SUMIFS(OFFSET(U$6,1,0,PayCount,1),PayDate,"&lt;"&amp;$AC42,PayEmp,$C42)))))))</f>
        <v>100</v>
      </c>
      <c r="V42" s="133" cm="1">
        <f t="array" aca="1" ref="V42" ca="1">IF($F42="Terminated",0,IF($AA42=0,0,IF(ISNA(MATCH(V$5,CompListItem,0)),0,IF(COUNTIFS(OverEmp,$C42,OverComp,V$5,OverDate,"&lt;"&amp;DATE(YEAR($AC42),MONTH($AC42)+1,1),OverEnd,"&gt;="&amp;DATE(YEAR($AC42),MONTH($AC42),1))&gt;0,SUMIFS(OverValue,OverEmp,$C42,OverComp,V$5,OverDate,"&lt;"&amp;DATE(YEAR($AC42),MONTH($AC42)+1,1),OverEnd,"&gt;="&amp;DATE(YEAR($AC42),MONTH($AC42),1)),IF(OR(V$2="Fixed",V$2="Not Used"),(OFFSET(Setup!$E$81,MATCH(V$5,CompListItem,0),0,1,1)*$AA42)-SUMIFS(OFFSET(V$6,1,0,PayCount,1),PayDate,"&lt;"&amp;$AC42,PayEmp,$C42),IF(ISNA(MATCH(V$2,DedListItem,0))=FALSE,(SUMPRODUCT((PayEmp=$C42)*(PayDate&lt;=$AC42)*(PayDedList=V$2)*(PayDedValues))*OFFSET(Setup!$E$81,MATCH(V$5,CompListItem,0),0,1,1))-SUMIFS(OFFSET(V$6,1,0,PayCount,1),PayDate,"&lt;"&amp;$AC42,PayEmp,$C42),(MIN(IF(OFFSET(Setup!$G$81,MATCH(V$5,CompListItem,0),0,1,1)="Taxable",SUMPRODUCT((PayEmp=$C42)*(PayDate&lt;=$AC42)*(ISERROR(SEARCH(PayEarnCode,V$4)))*(PayEarnTax)*(PayEarnValues)),SUMPRODUCT((PayEmp=$C42)*(PayDate&lt;=$AC42)*(ISERROR(SEARCH(PayEarnCode,V$4)))*(PayEarnValues))),IF(ISNUMBER(V$3),V$3/12*$AA42,IgnoreMin)))*OFFSET(Setup!$E$81,MATCH(V$5,CompListItem,0),0,1,1)-SUMIFS(OFFSET(V$6,1,0,PayCount,1),PayDate,"&lt;"&amp;$AC42,PayEmp,$C42)))))))</f>
        <v>0</v>
      </c>
      <c r="W42" s="133" cm="1">
        <f t="array" aca="1" ref="W42" ca="1">IF($F42="Terminated",0,IF($AA42=0,0,IF(ISNA(MATCH(W$5,CompListItem,0)),0,IF(COUNTIFS(OverEmp,$C42,OverComp,W$5,OverDate,"&lt;"&amp;DATE(YEAR($AC42),MONTH($AC42)+1,1),OverEnd,"&gt;="&amp;DATE(YEAR($AC42),MONTH($AC42),1))&gt;0,SUMIFS(OverValue,OverEmp,$C42,OverComp,W$5,OverDate,"&lt;"&amp;DATE(YEAR($AC42),MONTH($AC42)+1,1),OverEnd,"&gt;="&amp;DATE(YEAR($AC42),MONTH($AC42),1)),IF(OR(W$2="Fixed",W$2="Not Used"),(OFFSET(Setup!$E$81,MATCH(W$5,CompListItem,0),0,1,1)*$AA42)-SUMIFS(OFFSET(W$6,1,0,PayCount,1),PayDate,"&lt;"&amp;$AC42,PayEmp,$C42),IF(ISNA(MATCH(W$2,DedListItem,0))=FALSE,(SUMPRODUCT((PayEmp=$C42)*(PayDate&lt;=$AC42)*(PayDedList=W$2)*(PayDedValues))*OFFSET(Setup!$E$81,MATCH(W$5,CompListItem,0),0,1,1))-SUMIFS(OFFSET(W$6,1,0,PayCount,1),PayDate,"&lt;"&amp;$AC42,PayEmp,$C42),(MIN(IF(OFFSET(Setup!$G$81,MATCH(W$5,CompListItem,0),0,1,1)="Taxable",SUMPRODUCT((PayEmp=$C42)*(PayDate&lt;=$AC42)*(ISERROR(SEARCH(PayEarnCode,W$4)))*(PayEarnTax)*(PayEarnValues)),SUMPRODUCT((PayEmp=$C42)*(PayDate&lt;=$AC42)*(ISERROR(SEARCH(PayEarnCode,W$4)))*(PayEarnValues))),IF(ISNUMBER(W$3),W$3/12*$AA42,IgnoreMin)))*OFFSET(Setup!$E$81,MATCH(W$5,CompListItem,0),0,1,1)-SUMIFS(OFFSET(W$6,1,0,PayCount,1),PayDate,"&lt;"&amp;$AC42,PayEmp,$C42)))))))</f>
        <v>0</v>
      </c>
      <c r="X42" s="185">
        <f t="shared" ca="1" si="18"/>
        <v>200</v>
      </c>
      <c r="Y42" s="139">
        <f t="shared" ca="1" si="27"/>
        <v>10200</v>
      </c>
      <c r="Z42" s="139">
        <f t="shared" ca="1" si="19"/>
        <v>300</v>
      </c>
      <c r="AA42" s="146">
        <f ca="1">IF(OR($B42&lt;=Setup!$E$12,$B42&gt;=Setup!$D$12+1),0,IF($F42&lt;&gt;"Active",0,IF($AE42="Yes",$AB42,((YEAR($AC42)*12)+MONTH($AC42))-((YEAR($AD42)*12)+MONTH($AD42)-1))))</f>
        <v>3</v>
      </c>
      <c r="AB42" s="146">
        <f ca="1">IF(OR($B42&lt;=Setup!$E$12,$B42&gt;=Setup!$D$12+1),0,((YEAR($AC42)*12)+MONTH($AC42))-((YEAR(Setup!$E$12)*12)+MONTH(Setup!$E$12)))</f>
        <v>3</v>
      </c>
      <c r="AC42" s="186">
        <f t="shared" ca="1" si="20"/>
        <v>45071</v>
      </c>
      <c r="AD42" s="144">
        <f ca="1">IF(ISNA(VLOOKUP($C42,EmpAll,COLUMN(Emp!$E$4),0)),$AC42,IF(VLOOKUP($C42,EmpAll,COLUMN(Emp!$E$4),0)&lt;=Setup!$E$12,DATE(YEAR(Setup!$E$12),MONTH(Setup!$E$12)+1,1),VLOOKUP($C42,EmpAll,COLUMN(Emp!$E$4),0)))</f>
        <v>44986</v>
      </c>
      <c r="AE42" s="144" t="str">
        <f ca="1">IF(ISNA(VLOOKUP($C42,EmpAll,COLUMN(Emp!$G$1),0)),"-",IF(VLOOKUP($C42,EmpAll,COLUMN(Emp!$G$1),0)=0,"-",VLOOKUP($C42,EmpAll,COLUMN(Emp!$G$1),0)))</f>
        <v>-</v>
      </c>
      <c r="AF42" s="145">
        <f ca="1">IF(A42=PaySlip!$G$3,1,0)</f>
        <v>0</v>
      </c>
      <c r="AG42" s="130" cm="1">
        <f t="array" aca="1" ref="AG42" ca="1">IF(COUNTIFS(OverEmp,$C42,OverMed,"MED",OverDate,"&lt;"&amp;DATE(YEAR($AC42),MONTH($AC42)+1,1),OverEnd,"&gt;="&amp;DATE(YEAR($AC42),MONTH($AC42),1))&gt;0,SUMIFS(OverValue,OverEmp,$C42,OverMed,"MED",OverDate,"&lt;"&amp;DATE(YEAR($AC42),MONTH($AC42)+1,1),OverEnd,"&gt;="&amp;DATE(YEAR($AC42),MONTH($AC42),1)),IF(ISNA(VLOOKUP($C42,EmpAll,COLUMN(Emp!$N$4),0)),0,VLOOKUP($C42,EmpAll,COLUMN(Emp!$N$4),0)))</f>
        <v>1</v>
      </c>
      <c r="AH42" s="146">
        <f ca="1">VLOOKUP($AG42,MedList,COLUMN(Setup!$C$49),1)</f>
        <v>364</v>
      </c>
      <c r="AI42" s="146">
        <f t="shared" ca="1" si="7"/>
        <v>4368</v>
      </c>
      <c r="AJ42" s="101" t="str">
        <f ca="1">IF(ISNA(VLOOKUP($C42,EmpAll,COLUMN(Emp!$L$4),0)),"None!",VLOOKUP($C42,EmpAll,COLUMN(Emp!$L$4),0))</f>
        <v>A</v>
      </c>
      <c r="AK42" s="147">
        <f t="shared" ca="1" si="21"/>
        <v>17235</v>
      </c>
      <c r="AL42" s="101" t="str">
        <f ca="1">IF(ISNA(VLOOKUP($C42,Employees[],COLUMN(Emp!$M$4),0))=TRUE,"Error!",IF(VLOOKUP($C42,Employees[],COLUMN(Emp!$M$4),0)=0,"Yes",VLOOKUP($C42,Employees[],COLUMN(Emp!$M$4),0)))</f>
        <v>A</v>
      </c>
      <c r="AM42" s="148">
        <f t="shared" ca="1" si="9"/>
        <v>120000</v>
      </c>
      <c r="AN42" s="148" cm="1">
        <f t="array" aca="1" ref="AN42" ca="1">-IF($F42="Terminated",0,IF($AA42=0,0,IF(ISNA(MATCH(AN$5,PayDedList,0)),0,MIN(IF(COUNTIFS(OverEmp,$C42,OverDeduct,AN$5,OverDate,"&lt;"&amp;DATE(YEAR($AC42),MONTH($AC42)+1,1),OverEnd,"&gt;="&amp;DATE(YEAR($AC42),MONTH($AC42),1))&gt;0,SUMPRODUCT((PayEmp=$C42)*(PayDate&lt;=$AC42)*(OFFSET($N$6,1,MATCH(AN$5,PayDedList,0)-1,PayCount,1)))/$AA42*12*AN$3,IF(OR(AN$1="Fixed",AN$1="Not Used"),SUMPRODUCT((PayEmp=$C42)*(PayDate&lt;=$AC42)*(OFFSET($N$6,1,MATCH(AN$5,PayDedList,0)-1,PayCount,1)))/$AA42*12*AN$3,IF(ISNA(MATCH(AN$1,EarnListItem,0))=FALSE,SUMPRODUCT((PayEmp=$C42)*(PayDate&lt;=$AC42)*(OFFSET($N$6,1,MATCH(AN$5,PayDedList,0)-1,PayCount,1)))/$AA42*12*AN$3,(MIN(((SUMPRODUCT((PayEmp=$C42)*(PayDate&lt;=$AC42)*(ISERROR(SEARCH(PayEarnCode,AN$2)))*(PayEarnType="Monthly")*(PayEarnValues))/$AA42*12)+(SUMPRODUCT((PayEmp=$C42)*(PayDate&lt;=$AC42)*(ISERROR(SEARCH(PayEarnCode,AN$2)))*(PayEarnType="Quarterly")*(PayEarnValues))/MAX(1,ROUNDDOWN($AB42/3,0))*4)+(SUMPRODUCT((PayEmp=$C42)*(PayDate&lt;=$AC42)*(ISERROR(SEARCH(PayEarnCode,AN$2)))*(PayEarnType="Bi-Annual")*(PayEarnValues))/MAX(1,ROUNDDOWN($AB42/6,0))*2)+(SUMPRODUCT((PayEmp=$C42)*(PayDate&lt;=$AC42)*(ISERROR(SEARCH(PayEarnCode,AN$2)))*(PayEarnType="Annual")*(PayEarnValues)))),IF(ISNUMBER(OFFSET($N$3,0,MATCH(AN$5,PayDedList,0)-1,1,1)),OFFSET($N$3,0,MATCH(AN$5,PayDedList,0)-1,1,1),IgnoreMin)))*IF(COUNTIFS(EmpNo,$C42,OFFSET(Emp!$R$4,1,MATCH(AN$5,DedListItem,0)-1,EmpCount,1),"&lt;&gt;")&gt;0,VLOOKUP($C42,EmpAll,COLUMN(Emp!$R$4)+MATCH(AN$5,DedListItem,0)-1,0),OFFSET(Setup!$E$73,MATCH(AN$5,DedListItem,0),0,1,1))*AN$3))),IF(ISNUMBER(AN$4),AN$4,IgnoreMin)))))</f>
        <v>0</v>
      </c>
      <c r="AO42" s="148" cm="1">
        <f t="array" aca="1" ref="AO42" ca="1">-IF($F42="Terminated",0,IF($AA42=0,0,IF(ISNA(MATCH(AO$5,PayDedList,0)),0,MIN(IF(COUNTIFS(OverEmp,$C42,OverDeduct,AO$5,OverDate,"&lt;"&amp;DATE(YEAR($AC42),MONTH($AC42)+1,1),OverEnd,"&gt;="&amp;DATE(YEAR($AC42),MONTH($AC42),1))&gt;0,SUMPRODUCT((PayEmp=$C42)*(PayDate&lt;=$AC42)*(OFFSET($N$6,1,MATCH(AO$5,PayDedList,0)-1,PayCount,1)))/$AA42*12*AO$3,IF(OR(AO$1="Fixed",AO$1="Not Used"),SUMPRODUCT((PayEmp=$C42)*(PayDate&lt;=$AC42)*(OFFSET($N$6,1,MATCH(AO$5,PayDedList,0)-1,PayCount,1)))/$AA42*12*AO$3,IF(ISNA(MATCH(AO$1,EarnListItem,0))=FALSE,SUMPRODUCT((PayEmp=$C42)*(PayDate&lt;=$AC42)*(OFFSET($N$6,1,MATCH(AO$5,PayDedList,0)-1,PayCount,1)))/$AA42*12*AO$3,(MIN(((SUMPRODUCT((PayEmp=$C42)*(PayDate&lt;=$AC42)*(ISERROR(SEARCH(PayEarnCode,AO$2)))*(PayEarnType="Monthly")*(PayEarnValues))/$AA42*12)+(SUMPRODUCT((PayEmp=$C42)*(PayDate&lt;=$AC42)*(ISERROR(SEARCH(PayEarnCode,AO$2)))*(PayEarnType="Quarterly")*(PayEarnValues))/MAX(1,ROUNDDOWN($AB42/3,0))*4)+(SUMPRODUCT((PayEmp=$C42)*(PayDate&lt;=$AC42)*(ISERROR(SEARCH(PayEarnCode,AO$2)))*(PayEarnType="Bi-Annual")*(PayEarnValues))/MAX(1,ROUNDDOWN($AB42/6,0))*2)+(SUMPRODUCT((PayEmp=$C42)*(PayDate&lt;=$AC42)*(ISERROR(SEARCH(PayEarnCode,AO$2)))*(PayEarnType="Annual")*(PayEarnValues)))),IF(ISNUMBER(OFFSET($N$3,0,MATCH(AO$5,PayDedList,0)-1,1,1)),OFFSET($N$3,0,MATCH(AO$5,PayDedList,0)-1,1,1),IgnoreMin)))*IF(COUNTIFS(EmpNo,$C42,OFFSET(Emp!$R$4,1,MATCH(AO$5,DedListItem,0)-1,EmpCount,1),"&lt;&gt;")&gt;0,VLOOKUP($C42,EmpAll,COLUMN(Emp!$R$4)+MATCH(AO$5,DedListItem,0)-1,0),OFFSET(Setup!$E$73,MATCH(AO$5,DedListItem,0),0,1,1))*AO$3))),IF(ISNUMBER(AO$4),AO$4,IgnoreMin)))))</f>
        <v>0</v>
      </c>
      <c r="AP42" s="148" cm="1">
        <f t="array" aca="1" ref="AP42" ca="1">-IF($F42="Terminated",0,IF($AA42=0,0,IF(ISNA(MATCH(AP$5,PayDedList,0)),0,MIN(IF(COUNTIFS(OverEmp,$C42,OverDeduct,AP$5,OverDate,"&lt;"&amp;DATE(YEAR($AC42),MONTH($AC42)+1,1),OverEnd,"&gt;="&amp;DATE(YEAR($AC42),MONTH($AC42),1))&gt;0,SUMPRODUCT((PayEmp=$C42)*(PayDate&lt;=$AC42)*(OFFSET($N$6,1,MATCH(AP$5,PayDedList,0)-1,PayCount,1)))/$AA42*12*AP$3,IF(OR(AP$1="Fixed",AP$1="Not Used"),SUMPRODUCT((PayEmp=$C42)*(PayDate&lt;=$AC42)*(OFFSET($N$6,1,MATCH(AP$5,PayDedList,0)-1,PayCount,1)))/$AA42*12*AP$3,IF(ISNA(MATCH(AP$1,EarnListItem,0))=FALSE,SUMPRODUCT((PayEmp=$C42)*(PayDate&lt;=$AC42)*(OFFSET($N$6,1,MATCH(AP$5,PayDedList,0)-1,PayCount,1)))/$AA42*12*AP$3,(MIN(((SUMPRODUCT((PayEmp=$C42)*(PayDate&lt;=$AC42)*(ISERROR(SEARCH(PayEarnCode,AP$2)))*(PayEarnType="Monthly")*(PayEarnValues))/$AA42*12)+(SUMPRODUCT((PayEmp=$C42)*(PayDate&lt;=$AC42)*(ISERROR(SEARCH(PayEarnCode,AP$2)))*(PayEarnType="Quarterly")*(PayEarnValues))/MAX(1,ROUNDDOWN($AB42/3,0))*4)+(SUMPRODUCT((PayEmp=$C42)*(PayDate&lt;=$AC42)*(ISERROR(SEARCH(PayEarnCode,AP$2)))*(PayEarnType="Bi-Annual")*(PayEarnValues))/MAX(1,ROUNDDOWN($AB42/6,0))*2)+(SUMPRODUCT((PayEmp=$C42)*(PayDate&lt;=$AC42)*(ISERROR(SEARCH(PayEarnCode,AP$2)))*(PayEarnType="Annual")*(PayEarnValues)))),IF(ISNUMBER(OFFSET($N$3,0,MATCH(AP$5,PayDedList,0)-1,1,1)),OFFSET($N$3,0,MATCH(AP$5,PayDedList,0)-1,1,1),IgnoreMin)))*IF(COUNTIFS(EmpNo,$C42,OFFSET(Emp!$R$4,1,MATCH(AP$5,DedListItem,0)-1,EmpCount,1),"&lt;&gt;")&gt;0,VLOOKUP($C42,EmpAll,COLUMN(Emp!$R$4)+MATCH(AP$5,DedListItem,0)-1,0),OFFSET(Setup!$E$73,MATCH(AP$5,DedListItem,0),0,1,1))*AP$3))),IF(ISNUMBER(AP$4),AP$4,IgnoreMin)))))</f>
        <v>0</v>
      </c>
      <c r="AQ42" s="148" cm="1">
        <f t="array" aca="1" ref="AQ42" ca="1">-IF($F42="Terminated",0,IF($AA42=0,0,IF(ISNA(MATCH(AQ$5,PayDedList,0)),0,MIN(IF(COUNTIFS(OverEmp,$C42,OverDeduct,AQ$5,OverDate,"&lt;"&amp;DATE(YEAR($AC42),MONTH($AC42)+1,1),OverEnd,"&gt;="&amp;DATE(YEAR($AC42),MONTH($AC42),1))&gt;0,SUMPRODUCT((PayEmp=$C42)*(PayDate&lt;=$AC42)*(OFFSET($N$6,1,MATCH(AQ$5,PayDedList,0)-1,PayCount,1)))/$AA42*12*AQ$3,IF(OR(AQ$1="Fixed",AQ$1="Not Used"),SUMPRODUCT((PayEmp=$C42)*(PayDate&lt;=$AC42)*(OFFSET($N$6,1,MATCH(AQ$5,PayDedList,0)-1,PayCount,1)))/$AA42*12*AQ$3,IF(ISNA(MATCH(AQ$1,EarnListItem,0))=FALSE,SUMPRODUCT((PayEmp=$C42)*(PayDate&lt;=$AC42)*(OFFSET($N$6,1,MATCH(AQ$5,PayDedList,0)-1,PayCount,1)))/$AA42*12*AQ$3,(MIN(((SUMPRODUCT((PayEmp=$C42)*(PayDate&lt;=$AC42)*(ISERROR(SEARCH(PayEarnCode,AQ$2)))*(PayEarnType="Monthly")*(PayEarnValues))/$AA42*12)+(SUMPRODUCT((PayEmp=$C42)*(PayDate&lt;=$AC42)*(ISERROR(SEARCH(PayEarnCode,AQ$2)))*(PayEarnType="Quarterly")*(PayEarnValues))/MAX(1,ROUNDDOWN($AB42/3,0))*4)+(SUMPRODUCT((PayEmp=$C42)*(PayDate&lt;=$AC42)*(ISERROR(SEARCH(PayEarnCode,AQ$2)))*(PayEarnType="Bi-Annual")*(PayEarnValues))/MAX(1,ROUNDDOWN($AB42/6,0))*2)+(SUMPRODUCT((PayEmp=$C42)*(PayDate&lt;=$AC42)*(ISERROR(SEARCH(PayEarnCode,AQ$2)))*(PayEarnType="Annual")*(PayEarnValues)))),IF(ISNUMBER(OFFSET($N$3,0,MATCH(AQ$5,PayDedList,0)-1,1,1)),OFFSET($N$3,0,MATCH(AQ$5,PayDedList,0)-1,1,1),IgnoreMin)))*IF(COUNTIFS(EmpNo,$C42,OFFSET(Emp!$R$4,1,MATCH(AQ$5,DedListItem,0)-1,EmpCount,1),"&lt;&gt;")&gt;0,VLOOKUP($C42,EmpAll,COLUMN(Emp!$R$4)+MATCH(AQ$5,DedListItem,0)-1,0),OFFSET(Setup!$E$73,MATCH(AQ$5,DedListItem,0),0,1,1))*AQ$3))),IF(ISNUMBER(AQ$4),AQ$4,IgnoreMin)))))</f>
        <v>0</v>
      </c>
      <c r="AR42" s="148">
        <f t="shared" ca="1" si="22"/>
        <v>120000</v>
      </c>
      <c r="AS42" s="148">
        <f t="shared" ca="1" si="11"/>
        <v>120000</v>
      </c>
      <c r="AT42" s="148" cm="1">
        <f t="array" aca="1" ref="AT42" ca="1">-IF($F42="Terminated",0,IF($AA42=0,0,IF(ISNA(MATCH(AT$5,PayDedList,0)),0,MIN(IF(COUNTIFS(OverEmp,$C42,OverDeduct,AT$5,OverDate,"&lt;"&amp;DATE(YEAR($AC42),MONTH($AC42)+1,1),OverEnd,"&gt;="&amp;DATE(YEAR($AC42),MONTH($AC42),1))&gt;0,SUMPRODUCT((PayEmp=$C42)*(PayDate&lt;=$AC42)*(OFFSET($N$6,1,MATCH(AT$5,PayDedList,0)-1,PayCount,1)))/$AA42*12*AT$3,IF(OR(AT$1="Fixed",AT$1="Not Used"),SUMPRODUCT((PayEmp=$C42)*(PayDate&lt;=$AC42)*(OFFSET($N$6,1,MATCH(AT$5,PayDedList,0)-1,PayCount,1)))/$AA42*12*AT$3,IF(ISNA(MATCH(OFFSET($N$2,0,MATCH(AT$5,PayDedList,0)-1,1,1),EarnListItem,0))=FALSE,SUMPRODUCT((PayEmp=$C42)*(PayDate&lt;=$AC42)*(OFFSET($N$6,1,MATCH(AT$5,PayDedList,0)-1,PayCount,1)))/$AA42*12*AT$3,(MIN(SUMPRODUCT((PayEmp=$C42)*(PayDate&lt;=$AC42)*(ISERROR(SEARCH(PayEarnCode,AT$2)))*(PayEarnType="Monthly")*(PayEarnValues))/$AA42*12,IF(ISNUMBER(OFFSET($N$3,0,MATCH(AT$5,PayDedList,0)-1,1,1)),OFFSET($N$3,0,MATCH(AT$5,PayDedList,0)-1,1,1),IgnoreMin)))*IF(COUNTIFS(EmpNo,$C42,OFFSET(Emp!$R$4,1,MATCH(AT$5,DedListItem,0)-1,EmpCount,1),"&lt;&gt;")&gt;0,VLOOKUP($C42,EmpAll,COLUMN(Emp!$R$4)+MATCH(AT$5,DedListItem,0)-1,0),OFFSET(Setup!$E$73,MATCH(AT$5,DedListItem,0),0,1,1))*AT$3))),IF(ISNUMBER(AT$4),AT$4,IgnoreMin)))))</f>
        <v>0</v>
      </c>
      <c r="AU42" s="148" cm="1">
        <f t="array" aca="1" ref="AU42" ca="1">-IF($F42="Terminated",0,IF($AA42=0,0,IF(ISNA(MATCH(AU$5,PayDedList,0)),0,MIN(IF(COUNTIFS(OverEmp,$C42,OverDeduct,AU$5,OverDate,"&lt;"&amp;DATE(YEAR($AC42),MONTH($AC42)+1,1),OverEnd,"&gt;="&amp;DATE(YEAR($AC42),MONTH($AC42),1))&gt;0,SUMPRODUCT((PayEmp=$C42)*(PayDate&lt;=$AC42)*(OFFSET($N$6,1,MATCH(AU$5,PayDedList,0)-1,PayCount,1)))/$AA42*12*AU$3,IF(OR(AU$1="Fixed",AU$1="Not Used"),SUMPRODUCT((PayEmp=$C42)*(PayDate&lt;=$AC42)*(OFFSET($N$6,1,MATCH(AU$5,PayDedList,0)-1,PayCount,1)))/$AA42*12*AU$3,IF(ISNA(MATCH(OFFSET($N$2,0,MATCH(AU$5,PayDedList,0)-1,1,1),EarnListItem,0))=FALSE,SUMPRODUCT((PayEmp=$C42)*(PayDate&lt;=$AC42)*(OFFSET($N$6,1,MATCH(AU$5,PayDedList,0)-1,PayCount,1)))/$AA42*12*AU$3,(MIN(SUMPRODUCT((PayEmp=$C42)*(PayDate&lt;=$AC42)*(ISERROR(SEARCH(PayEarnCode,AU$2)))*(PayEarnType="Monthly")*(PayEarnValues))/$AA42*12,IF(ISNUMBER(OFFSET($N$3,0,MATCH(AU$5,PayDedList,0)-1,1,1)),OFFSET($N$3,0,MATCH(AU$5,PayDedList,0)-1,1,1),IgnoreMin)))*IF(COUNTIFS(EmpNo,$C42,OFFSET(Emp!$R$4,1,MATCH(AU$5,DedListItem,0)-1,EmpCount,1),"&lt;&gt;")&gt;0,VLOOKUP($C42,EmpAll,COLUMN(Emp!$R$4)+MATCH(AU$5,DedListItem,0)-1,0),OFFSET(Setup!$E$73,MATCH(AU$5,DedListItem,0),0,1,1))*AU$3))),IF(ISNUMBER(AU$4),AU$4,IgnoreMin)))))</f>
        <v>0</v>
      </c>
      <c r="AV42" s="148" cm="1">
        <f t="array" aca="1" ref="AV42" ca="1">-IF($F42="Terminated",0,IF($AA42=0,0,IF(ISNA(MATCH(AV$5,PayDedList,0)),0,MIN(IF(COUNTIFS(OverEmp,$C42,OverDeduct,AV$5,OverDate,"&lt;"&amp;DATE(YEAR($AC42),MONTH($AC42)+1,1),OverEnd,"&gt;="&amp;DATE(YEAR($AC42),MONTH($AC42),1))&gt;0,SUMPRODUCT((PayEmp=$C42)*(PayDate&lt;=$AC42)*(OFFSET($N$6,1,MATCH(AV$5,PayDedList,0)-1,PayCount,1)))/$AA42*12*AV$3,IF(OR(AV$1="Fixed",AV$1="Not Used"),SUMPRODUCT((PayEmp=$C42)*(PayDate&lt;=$AC42)*(OFFSET($N$6,1,MATCH(AV$5,PayDedList,0)-1,PayCount,1)))/$AA42*12*AV$3,IF(ISNA(MATCH(OFFSET($N$2,0,MATCH(AV$5,PayDedList,0)-1,1,1),EarnListItem,0))=FALSE,SUMPRODUCT((PayEmp=$C42)*(PayDate&lt;=$AC42)*(OFFSET($N$6,1,MATCH(AV$5,PayDedList,0)-1,PayCount,1)))/$AA42*12*AV$3,(MIN(SUMPRODUCT((PayEmp=$C42)*(PayDate&lt;=$AC42)*(ISERROR(SEARCH(PayEarnCode,AV$2)))*(PayEarnType="Monthly")*(PayEarnValues))/$AA42*12,IF(ISNUMBER(OFFSET($N$3,0,MATCH(AV$5,PayDedList,0)-1,1,1)),OFFSET($N$3,0,MATCH(AV$5,PayDedList,0)-1,1,1),IgnoreMin)))*IF(COUNTIFS(EmpNo,$C42,OFFSET(Emp!$R$4,1,MATCH(AV$5,DedListItem,0)-1,EmpCount,1),"&lt;&gt;")&gt;0,VLOOKUP($C42,EmpAll,COLUMN(Emp!$R$4)+MATCH(AV$5,DedListItem,0)-1,0),OFFSET(Setup!$E$73,MATCH(AV$5,DedListItem,0),0,1,1))*AV$3))),IF(ISNUMBER(AV$4),AV$4,IgnoreMin)))))</f>
        <v>0</v>
      </c>
      <c r="AW42" s="148" cm="1">
        <f t="array" aca="1" ref="AW42" ca="1">-IF($F42="Terminated",0,IF($AA42=0,0,IF(ISNA(MATCH(AW$5,PayDedList,0)),0,MIN(IF(COUNTIFS(OverEmp,$C42,OverDeduct,AW$5,OverDate,"&lt;"&amp;DATE(YEAR($AC42),MONTH($AC42)+1,1),OverEnd,"&gt;="&amp;DATE(YEAR($AC42),MONTH($AC42),1))&gt;0,SUMPRODUCT((PayEmp=$C42)*(PayDate&lt;=$AC42)*(OFFSET($N$6,1,MATCH(AW$5,PayDedList,0)-1,PayCount,1)))/$AA42*12*AW$3,IF(OR(AW$1="Fixed",AW$1="Not Used"),SUMPRODUCT((PayEmp=$C42)*(PayDate&lt;=$AC42)*(OFFSET($N$6,1,MATCH(AW$5,PayDedList,0)-1,PayCount,1)))/$AA42*12*AW$3,IF(ISNA(MATCH(OFFSET($N$2,0,MATCH(AW$5,PayDedList,0)-1,1,1),EarnListItem,0))=FALSE,SUMPRODUCT((PayEmp=$C42)*(PayDate&lt;=$AC42)*(OFFSET($N$6,1,MATCH(AW$5,PayDedList,0)-1,PayCount,1)))/$AA42*12*AW$3,(MIN(SUMPRODUCT((PayEmp=$C42)*(PayDate&lt;=$AC42)*(ISERROR(SEARCH(PayEarnCode,AW$2)))*(PayEarnType="Monthly")*(PayEarnValues))/$AA42*12,IF(ISNUMBER(OFFSET($N$3,0,MATCH(AW$5,PayDedList,0)-1,1,1)),OFFSET($N$3,0,MATCH(AW$5,PayDedList,0)-1,1,1),IgnoreMin)))*IF(COUNTIFS(EmpNo,$C42,OFFSET(Emp!$R$4,1,MATCH(AW$5,DedListItem,0)-1,EmpCount,1),"&lt;&gt;")&gt;0,VLOOKUP($C42,EmpAll,COLUMN(Emp!$R$4)+MATCH(AW$5,DedListItem,0)-1,0),OFFSET(Setup!$E$73,MATCH(AW$5,DedListItem,0),0,1,1))*AW$3))),IF(ISNUMBER(AW$4),AW$4,IgnoreMin)))))</f>
        <v>0</v>
      </c>
      <c r="AX42" s="148">
        <f t="shared" ca="1" si="28"/>
        <v>120000</v>
      </c>
      <c r="AY42" s="148">
        <f t="shared" ca="1" si="29"/>
        <v>0</v>
      </c>
      <c r="AZ42" s="148">
        <f ca="1">IF(ISNUMBER($AL42),($AR42*$AL42)-$AI42-$AK42,MAX(0,IF($AL42="B",IF($AR42&lt;Setup!$C$32,($AR42*Setup!$D$32)-$AI42-$AK42,(($AR42-VLOOKUP($AR42,TaxAll2,1,1))*OFFSET(Setup!$D$32,MATCH($AR42,TaxBracket2,1),0,1,1))+OFFSET(Setup!$E$31,MATCH($AR42,TaxBracket2,1),0,1,1)-$AI42-$AK42),IF($AR42&lt;Setup!$C$21,($AR42*Setup!$D$21)-$AI42-$AK42,(($AR42-VLOOKUP($AR42,TaxAll1,1,1))*OFFSET(Setup!$D$21,MATCH($AR42,TaxBracket1,1),0,1,1))+OFFSET(Setup!$E$20,MATCH($AR42,TaxBracket1,1),0,1,1)-$AI42-$AK42))))</f>
        <v>0</v>
      </c>
      <c r="BA42" s="148">
        <f ca="1">IF(ISNUMBER($AL42),($AX42*$AL42)-$AI42-$AK42,MAX(0,IF($AL42="B",IF($AX42&lt;Setup!$C$32,($AX42*Setup!$D$32)-$AI42-$AK42,(($AX42-VLOOKUP($AX42,TaxAll2,1,1))*OFFSET(Setup!$D$32,MATCH($AX42,TaxBracket2,1),0,1,1))+OFFSET(Setup!$E$31,MATCH($AX42,TaxBracket2,1),0,1,1)-$AI42-$AK42),IF($AX42&lt;Setup!$C$21,($AX42*Setup!$D$21)-$AI42-$AK42,(($AX42-VLOOKUP($AX42,TaxAll1,1,1))*OFFSET(Setup!$D$21,MATCH($AX42,TaxBracket1,1),0,1,1))+OFFSET(Setup!$E$20,MATCH($AX42,TaxBracket1,1),0,1,1)-$AI42-$AK42))))</f>
        <v>0</v>
      </c>
      <c r="BB42" s="148">
        <f t="shared" ca="1" si="23"/>
        <v>0</v>
      </c>
      <c r="BC42" s="150">
        <f t="shared" ca="1" si="15"/>
        <v>1</v>
      </c>
      <c r="BD42" s="150">
        <f t="shared" ca="1" si="16"/>
        <v>0</v>
      </c>
      <c r="BE42" s="148">
        <f t="shared" ca="1" si="17"/>
        <v>120000</v>
      </c>
    </row>
    <row r="43" spans="1:57" ht="16.149999999999999" customHeight="1" x14ac:dyDescent="0.25">
      <c r="A43" s="10" t="str" cm="1">
        <f t="array" aca="1" ref="A43" ca="1">IF(ROW($A43)-ROW($A$6)&gt;EmpCount*12,"-",TEXT($B43,"yyyy")&amp;TEXT($B43,"mm")&amp;"-"&amp;$C43)</f>
        <v>202305-EXS007</v>
      </c>
      <c r="B43" s="137" cm="1">
        <f t="array" aca="1" ref="B43" ca="1">IF(ROW($A43)-ROW($A$6)&gt;EmpCount*12,Setup!$D$12,DATE(YEAR(Setup!$F$12),MONTH(Setup!$F$12)+ROUNDDOWN((ROW($A43)-ROW($A$6)-1)/EmpCount,0),IF(Setup!$C$14&gt;DAY(DATE(YEAR(Setup!$F$12),MONTH(Setup!$F$12)+ROUNDDOWN((ROW($A43)-ROW($A$6)-1)/EmpCount,0)+1,0)),DAY(DATE(YEAR(Setup!$F$12),MONTH(Setup!$F$12)+ROUNDDOWN((ROW($A43)-ROW($A$6)-1)/EmpCount,0)+1,0)),Setup!$C$14)))</f>
        <v>45071</v>
      </c>
      <c r="C43" s="101" t="str" cm="1">
        <f t="array" aca="1" ref="C43" ca="1">IF(ROW($A43)-ROW($A$6)&gt;EmpCount*12,"-",OFFSET(Emp!$A$4,ROW($A43)-ROW($A$6)-IF(ROW($A43)-ROW($A$6)&gt;EmpCount,ROUNDDOWN((ROW($A43)-ROW($A$6)-1)/EmpCount,0)*EmpCount,0),0,1,1))</f>
        <v>EXS007</v>
      </c>
      <c r="D43" s="10" t="str">
        <f ca="1">IF(ISNA(VLOOKUP($C43,EmpAll,COLUMN(Emp!$B$4),0)),"-",VLOOKUP($C43,EmpAll,COLUMN(Emp!$B$4),0))</f>
        <v>Phillips KE</v>
      </c>
      <c r="E43" s="145" t="str">
        <f ca="1">IF(ISNA(VLOOKUP($C43,EmpAll,COLUMN(Emp!$C$4),0)),"-",VLOOKUP($C43,EmpAll,COLUMN(Emp!$C$4),0))</f>
        <v>A</v>
      </c>
      <c r="F43" s="101" t="str">
        <f ca="1">IF(ISNA(VLOOKUP($C43,EmpAll,COLUMN(Emp!$A$4),0)),"-",IF(AND(VLOOKUP($C43,EmpAll,COLUMN(Emp!$E$4),0)&lt;&gt;0,VLOOKUP($C43,EmpAll,COLUMN(Emp!$E$4),0)&gt;=DATE(YEAR($AC43),MONTH($AC43)+1,0)),"Inactive",IF(AND(VLOOKUP($C43,EmpAll,COLUMN(Emp!$F$4),0)&lt;&gt;0,VLOOKUP($C43,EmpAll,COLUMN(Emp!$F$4),0)&lt;=DATE(YEAR($AC43),MONTH($AC43),0)),"Terminated","Active")))</f>
        <v>Active</v>
      </c>
      <c r="G43" s="133" cm="1">
        <f t="array" aca="1" ref="G43" ca="1">IF($F43&lt;&gt;"Active",0,IF(COUNTIFS(OverEmp,$C43,OverEarn,G$2,OverDate,"&lt;"&amp;DATE(YEAR($AC43),MONTH($AC43)+1,1),OverEnd,"&gt;="&amp;DATE(YEAR($AC43),MONTH($AC43),1))&gt;0,SUMIFS(OverValue,OverEmp,$C43,OverEarn,G$2,OverDate,"&lt;"&amp;DATE(YEAR($AC43),MONTH($AC43)+1,1),OverEnd,"&gt;="&amp;DATE(YEAR($AC43),MONTH($AC43),1)),IF(AND($AC43&gt;=Setup!$E$10,SUMIFS(EmpIncrease,EmpCode,$C43)&gt;0),SUMIFS(EmpIncrease,EmpCode,$C43),SUMIFS(EmpSalary,EmpCode,$C43))))</f>
        <v>25000</v>
      </c>
      <c r="H43" s="133" cm="1">
        <f t="array" aca="1" ref="H43" ca="1">IF($F43&lt;&gt;"Active",0,IF(COUNTIFS(OverEmp,$C43,OverEarn,H$2,OverDate,"&lt;"&amp;DATE(YEAR($AC43),MONTH($AC43)+1,1),OverEnd,"&gt;="&amp;DATE(YEAR($AC43),MONTH($AC43),1))&gt;0,SUMIFS(OverValue,OverEmp,$C43,OverEarn,H$2,OverDate,"&lt;"&amp;DATE(YEAR($AC43),MONTH($AC43)+1,1),OverEnd,"&gt;="&amp;DATE(YEAR($AC43),MONTH($AC43),1)),0))</f>
        <v>0</v>
      </c>
      <c r="I43" s="133" cm="1">
        <f t="array" aca="1" ref="I43" ca="1">IF($F43&lt;&gt;"Active",0,IF(COUNTIFS(OverEmp,$C43,OverEarn,I$2,OverDate,"&lt;"&amp;DATE(YEAR($AC43),MONTH($AC43)+1,1),OverEnd,"&gt;="&amp;DATE(YEAR($AC43),MONTH($AC43),1))&gt;0,SUMIFS(OverValue,OverEmp,$C43,OverEarn,I$2,OverDate,"&lt;"&amp;DATE(YEAR($AC43),MONTH($AC43)+1,1),OverEnd,"&gt;="&amp;DATE(YEAR($AC43),MONTH($AC43),1)),IF(MONTH(B43)=Setup!$C$15,SUMIFS(EmpBonus,EmpCode,$C43),0)))</f>
        <v>0</v>
      </c>
      <c r="J43" s="133" cm="1">
        <f t="array" aca="1" ref="J43" ca="1">IF($F43&lt;&gt;"Active",0,IF(COUNTIFS(OverEmp,$C43,OverEarn,J$2,OverDate,"&lt;"&amp;DATE(YEAR($AC43),MONTH($AC43)+1,1),OverEnd,"&gt;="&amp;DATE(YEAR($AC43),MONTH($AC43),1))&gt;0,SUMIFS(OverValue,OverEmp,$C43,OverEarn,J$2,OverDate,"&lt;"&amp;DATE(YEAR($AC43),MONTH($AC43)+1,1),OverEnd,"&gt;="&amp;DATE(YEAR($AC43),MONTH($AC43),1)),0))</f>
        <v>0</v>
      </c>
      <c r="K43" s="133" cm="1">
        <f t="array" aca="1" ref="K43" ca="1">IF($F43&lt;&gt;"Active",0,IF(COUNTIFS(OverEmp,$C43,OverEarn,K$2,OverDate,"&lt;"&amp;DATE(YEAR($AC43),MONTH($AC43)+1,1),OverEnd,"&gt;="&amp;DATE(YEAR($AC43),MONTH($AC43),1))&gt;0,SUMIFS(OverValue,OverEmp,$C43,OverEarn,K$2,OverDate,"&lt;"&amp;DATE(YEAR($AC43),MONTH($AC43)+1,1),OverEnd,"&gt;="&amp;DATE(YEAR($AC43),MONTH($AC43),1)),0))</f>
        <v>0</v>
      </c>
      <c r="L43" s="185">
        <f t="shared" ca="1" si="24"/>
        <v>25000</v>
      </c>
      <c r="M43" s="182" cm="1">
        <f t="array" aca="1" ref="M43" ca="1">IF(COUNTIFS(OverEmp,$C43,OverTax,M$5,OverDate,"&lt;"&amp;DATE(YEAR($AC43),MONTH($AC43)+1,1),OverEnd,"&gt;="&amp;DATE(YEAR($AC43),MONTH($AC43),1))&gt;0,SUMIFS(OverValue,OverEmp,$C43,OverTax,M$5,OverDate,"&lt;"&amp;DATE(YEAR($AC43),MONTH($AC43)+1,1),OverEnd,"&gt;="&amp;DATE(YEAR($AC43),MONTH($AC43),1)),(($BA43/12*$AA43)+(BB43*IF(1-$BC43=0,0,BD43/(1-$BC43))))-IF($F43="Terminated",0,SUMIFS(PayTaxDeduct,PayDate,"&lt;"&amp;$AC43,PayEmp,$C43)))</f>
        <v>3483.083333333333</v>
      </c>
      <c r="N43" s="133" cm="1">
        <f t="array" aca="1" ref="N43" ca="1">IF($F43="Terminated",0,IF($AA43=0,0,IF(ISNA(MATCH(N$5,DedListItem,0)),0,IF(COUNTIFS(OverEmp,$C43,OverDeduct,N$5,OverDate,"&lt;"&amp;DATE(YEAR($AC43),MONTH($AC43)+1,1),OverEnd,"&gt;="&amp;DATE(YEAR($AC43),MONTH($AC43),1))&gt;0,SUMIFS(OverValue,OverEmp,$C43,OverDeduct,N$5,OverDate,"&lt;"&amp;DATE(YEAR($AC43),MONTH($AC43)+1,1),OverEnd,"&gt;="&amp;DATE(YEAR($AC43),MONTH($AC43),1)),IF(OR(N$2="Fixed",N$2="Not Used"),(IF(COUNTIFS(EmpNo,$C43,OFFSET(Emp!$R$4,1,MATCH(N$5,DedListItem,0)-1,EmpCount,1),"&lt;&gt;")&gt;0,VLOOKUP($C43,EmpAll,COLUMN(Emp!$R$4)+MATCH(N$5,DedListItem,0)-1,0),OFFSET(Setup!$E$73,MATCH(N$5,DedListItem,0),0,1,1))*$AA43)-SUMIFS(OFFSET(N$6,1,0,PayCount,1),PayDate,"&lt;"&amp;$AC43,PayEmp,$C43),IF(ISNA(MATCH(N$2,EarnListItem,0))=FALSE,IF(OFFSET(Setup!$G$73,MATCH(N$5,DedListItem,0),0,1,1)="Taxable",SUMPRODUCT((PayEmp=$C43)*(PayDate&lt;=$AC43)*(PayEarnCode=N$2)*(PayEarnTax)*(PayEarnValues)),SUMPRODUCT((PayEmp=$C43)*(PayDate&lt;=$AC43)*(PayEarnCode=N$2)*(PayEarnValues)))*IF(COUNTIFS(EmpNo,$C43,OFFSET(Emp!$R$4,1,MATCH(N$5,DedListItem,0)-1,EmpCount,1),"&lt;&gt;")&gt;0,VLOOKUP($C43,EmpAll,COLUMN(Emp!$R$4)+MATCH(N$5,DedListItem,0)-1,0),OFFSET(Setup!$E$73,MATCH(N$5,DedListItem,0),0,1,1)),(MIN(IF(OFFSET(Setup!$G$73,MATCH(N$5,DedListItem,0),0,1,1)="Taxable",SUMPRODUCT((PayEmp=$C43)*(PayDate&lt;=$AC43)*(ISERROR(SEARCH(PayEarnCode,N$4)))*(PayEarnTax)*(PayEarnValues)),SUMPRODUCT((PayEmp=$C43)*(PayDate&lt;=$AC43)*(ISERROR(SEARCH(PayEarnCode,N$4)))*(PayEarnValues))),IF(ISNUMBER(N$3),N$3/12*$AA43,IgnoreMin)))*IF(COUNTIFS(EmpNo,$C43,OFFSET(Emp!$R$4,1,MATCH(N$5,DedListItem,0)-1,EmpCount,1),"&lt;&gt;")&gt;0,VLOOKUP($C43,EmpAll,COLUMN(Emp!$R$4)+MATCH(N$5,DedListItem,0)-1,0),OFFSET(Setup!$E$73,MATCH(N$5,DedListItem,0),0,1,1)))-SUMIFS(OFFSET(N$6,1,0,PayCount,1),PayDate,"&lt;"&amp;$AC43,PayEmp,$C43))))))</f>
        <v>177.12</v>
      </c>
      <c r="O43" s="133" cm="1">
        <f t="array" aca="1" ref="O43" ca="1">IF($F43="Terminated",0,IF($AA43=0,0,IF(ISNA(MATCH(O$5,DedListItem,0)),0,IF(COUNTIFS(OverEmp,$C43,OverDeduct,O$5,OverDate,"&lt;"&amp;DATE(YEAR($AC43),MONTH($AC43)+1,1),OverEnd,"&gt;="&amp;DATE(YEAR($AC43),MONTH($AC43),1))&gt;0,SUMIFS(OverValue,OverEmp,$C43,OverDeduct,O$5,OverDate,"&lt;"&amp;DATE(YEAR($AC43),MONTH($AC43)+1,1),OverEnd,"&gt;="&amp;DATE(YEAR($AC43),MONTH($AC43),1)),IF(OR(O$2="Fixed",O$2="Not Used"),(IF(COUNTIFS(EmpNo,$C43,OFFSET(Emp!$R$4,1,MATCH(O$5,DedListItem,0)-1,EmpCount,1),"&lt;&gt;")&gt;0,VLOOKUP($C43,EmpAll,COLUMN(Emp!$R$4)+MATCH(O$5,DedListItem,0)-1,0),OFFSET(Setup!$E$73,MATCH(O$5,DedListItem,0),0,1,1))*$AA43)-SUMIFS(OFFSET(O$6,1,0,PayCount,1),PayDate,"&lt;"&amp;$AC43,PayEmp,$C43),IF(ISNA(MATCH(O$2,EarnListItem,0))=FALSE,IF(OFFSET(Setup!$G$73,MATCH(O$5,DedListItem,0),0,1,1)="Taxable",SUMPRODUCT((PayEmp=$C43)*(PayDate&lt;=$AC43)*(PayEarnCode=O$2)*(PayEarnTax)*(PayEarnValues)),SUMPRODUCT((PayEmp=$C43)*(PayDate&lt;=$AC43)*(PayEarnCode=O$2)*(PayEarnValues)))*IF(COUNTIFS(EmpNo,$C43,OFFSET(Emp!$R$4,1,MATCH(O$5,DedListItem,0)-1,EmpCount,1),"&lt;&gt;")&gt;0,VLOOKUP($C43,EmpAll,COLUMN(Emp!$R$4)+MATCH(O$5,DedListItem,0)-1,0),OFFSET(Setup!$E$73,MATCH(O$5,DedListItem,0),0,1,1)),(MIN(IF(OFFSET(Setup!$G$73,MATCH(O$5,DedListItem,0),0,1,1)="Taxable",SUMPRODUCT((PayEmp=$C43)*(PayDate&lt;=$AC43)*(ISERROR(SEARCH(PayEarnCode,O$4)))*(PayEarnTax)*(PayEarnValues)),SUMPRODUCT((PayEmp=$C43)*(PayDate&lt;=$AC43)*(ISERROR(SEARCH(PayEarnCode,O$4)))*(PayEarnValues))),IF(ISNUMBER(O$3),O$3/12*$AA43,IgnoreMin)))*IF(COUNTIFS(EmpNo,$C43,OFFSET(Emp!$R$4,1,MATCH(O$5,DedListItem,0)-1,EmpCount,1),"&lt;&gt;")&gt;0,VLOOKUP($C43,EmpAll,COLUMN(Emp!$R$4)+MATCH(O$5,DedListItem,0)-1,0),OFFSET(Setup!$E$73,MATCH(O$5,DedListItem,0),0,1,1)))-SUMIFS(OFFSET(O$6,1,0,PayCount,1),PayDate,"&lt;"&amp;$AC43,PayEmp,$C43))))))</f>
        <v>0</v>
      </c>
      <c r="P43" s="133" cm="1">
        <f t="array" aca="1" ref="P43" ca="1">IF($F43="Terminated",0,IF($AA43=0,0,IF(ISNA(MATCH(P$5,DedListItem,0)),0,IF(COUNTIFS(OverEmp,$C43,OverDeduct,P$5,OverDate,"&lt;"&amp;DATE(YEAR($AC43),MONTH($AC43)+1,1),OverEnd,"&gt;="&amp;DATE(YEAR($AC43),MONTH($AC43),1))&gt;0,SUMIFS(OverValue,OverEmp,$C43,OverDeduct,P$5,OverDate,"&lt;"&amp;DATE(YEAR($AC43),MONTH($AC43)+1,1),OverEnd,"&gt;="&amp;DATE(YEAR($AC43),MONTH($AC43),1)),IF(OR(P$2="Fixed",P$2="Not Used"),(IF(COUNTIFS(EmpNo,$C43,OFFSET(Emp!$R$4,1,MATCH(P$5,DedListItem,0)-1,EmpCount,1),"&lt;&gt;")&gt;0,VLOOKUP($C43,EmpAll,COLUMN(Emp!$R$4)+MATCH(P$5,DedListItem,0)-1,0),OFFSET(Setup!$E$73,MATCH(P$5,DedListItem,0),0,1,1))*$AA43)-SUMIFS(OFFSET(P$6,1,0,PayCount,1),PayDate,"&lt;"&amp;$AC43,PayEmp,$C43),IF(ISNA(MATCH(P$2,EarnListItem,0))=FALSE,IF(OFFSET(Setup!$G$73,MATCH(P$5,DedListItem,0),0,1,1)="Taxable",SUMPRODUCT((PayEmp=$C43)*(PayDate&lt;=$AC43)*(PayEarnCode=P$2)*(PayEarnTax)*(PayEarnValues)),SUMPRODUCT((PayEmp=$C43)*(PayDate&lt;=$AC43)*(PayEarnCode=P$2)*(PayEarnValues)))*IF(COUNTIFS(EmpNo,$C43,OFFSET(Emp!$R$4,1,MATCH(P$5,DedListItem,0)-1,EmpCount,1),"&lt;&gt;")&gt;0,VLOOKUP($C43,EmpAll,COLUMN(Emp!$R$4)+MATCH(P$5,DedListItem,0)-1,0),OFFSET(Setup!$E$73,MATCH(P$5,DedListItem,0),0,1,1)),(MIN(IF(OFFSET(Setup!$G$73,MATCH(P$5,DedListItem,0),0,1,1)="Taxable",SUMPRODUCT((PayEmp=$C43)*(PayDate&lt;=$AC43)*(ISERROR(SEARCH(PayEarnCode,P$4)))*(PayEarnTax)*(PayEarnValues)),SUMPRODUCT((PayEmp=$C43)*(PayDate&lt;=$AC43)*(ISERROR(SEARCH(PayEarnCode,P$4)))*(PayEarnValues))),IF(ISNUMBER(P$3),P$3/12*$AA43,IgnoreMin)))*IF(COUNTIFS(EmpNo,$C43,OFFSET(Emp!$R$4,1,MATCH(P$5,DedListItem,0)-1,EmpCount,1),"&lt;&gt;")&gt;0,VLOOKUP($C43,EmpAll,COLUMN(Emp!$R$4)+MATCH(P$5,DedListItem,0)-1,0),OFFSET(Setup!$E$73,MATCH(P$5,DedListItem,0),0,1,1)))-SUMIFS(OFFSET(P$6,1,0,PayCount,1),PayDate,"&lt;"&amp;$AC43,PayEmp,$C43))))))</f>
        <v>0</v>
      </c>
      <c r="Q43" s="133" cm="1">
        <f t="array" aca="1" ref="Q43" ca="1">IF($F43="Terminated",0,IF($AA43=0,0,IF(ISNA(MATCH(Q$5,DedListItem,0)),0,IF(COUNTIFS(OverEmp,$C43,OverDeduct,Q$5,OverDate,"&lt;"&amp;DATE(YEAR($AC43),MONTH($AC43)+1,1),OverEnd,"&gt;="&amp;DATE(YEAR($AC43),MONTH($AC43),1))&gt;0,SUMIFS(OverValue,OverEmp,$C43,OverDeduct,Q$5,OverDate,"&lt;"&amp;DATE(YEAR($AC43),MONTH($AC43)+1,1),OverEnd,"&gt;="&amp;DATE(YEAR($AC43),MONTH($AC43),1)),IF(OR(Q$2="Fixed",Q$2="Not Used"),(IF(COUNTIFS(EmpNo,$C43,OFFSET(Emp!$R$4,1,MATCH(Q$5,DedListItem,0)-1,EmpCount,1),"&lt;&gt;")&gt;0,VLOOKUP($C43,EmpAll,COLUMN(Emp!$R$4)+MATCH(Q$5,DedListItem,0)-1,0),OFFSET(Setup!$E$73,MATCH(Q$5,DedListItem,0),0,1,1))*$AA43)-SUMIFS(OFFSET(Q$6,1,0,PayCount,1),PayDate,"&lt;"&amp;$AC43,PayEmp,$C43),IF(ISNA(MATCH(Q$2,EarnListItem,0))=FALSE,IF(OFFSET(Setup!$G$73,MATCH(Q$5,DedListItem,0),0,1,1)="Taxable",SUMPRODUCT((PayEmp=$C43)*(PayDate&lt;=$AC43)*(PayEarnCode=Q$2)*(PayEarnTax)*(PayEarnValues)),SUMPRODUCT((PayEmp=$C43)*(PayDate&lt;=$AC43)*(PayEarnCode=Q$2)*(PayEarnValues)))*IF(COUNTIFS(EmpNo,$C43,OFFSET(Emp!$R$4,1,MATCH(Q$5,DedListItem,0)-1,EmpCount,1),"&lt;&gt;")&gt;0,VLOOKUP($C43,EmpAll,COLUMN(Emp!$R$4)+MATCH(Q$5,DedListItem,0)-1,0),OFFSET(Setup!$E$73,MATCH(Q$5,DedListItem,0),0,1,1)),(MIN(IF(OFFSET(Setup!$G$73,MATCH(Q$5,DedListItem,0),0,1,1)="Taxable",SUMPRODUCT((PayEmp=$C43)*(PayDate&lt;=$AC43)*(ISERROR(SEARCH(PayEarnCode,Q$4)))*(PayEarnTax)*(PayEarnValues)),SUMPRODUCT((PayEmp=$C43)*(PayDate&lt;=$AC43)*(ISERROR(SEARCH(PayEarnCode,Q$4)))*(PayEarnValues))),IF(ISNUMBER(Q$3),Q$3/12*$AA43,IgnoreMin)))*IF(COUNTIFS(EmpNo,$C43,OFFSET(Emp!$R$4,1,MATCH(Q$5,DedListItem,0)-1,EmpCount,1),"&lt;&gt;")&gt;0,VLOOKUP($C43,EmpAll,COLUMN(Emp!$R$4)+MATCH(Q$5,DedListItem,0)-1,0),OFFSET(Setup!$E$73,MATCH(Q$5,DedListItem,0),0,1,1)))-SUMIFS(OFFSET(Q$6,1,0,PayCount,1),PayDate,"&lt;"&amp;$AC43,PayEmp,$C43))))))</f>
        <v>0</v>
      </c>
      <c r="R43" s="185">
        <f t="shared" ca="1" si="25"/>
        <v>3660.2033333333329</v>
      </c>
      <c r="S43" s="139">
        <f t="shared" ca="1" si="26"/>
        <v>21339.8</v>
      </c>
      <c r="T43" s="133" cm="1">
        <f t="array" aca="1" ref="T43" ca="1">IF($F43="Terminated",0,IF($AA43=0,0,IF(ISNA(MATCH(T$5,CompListItem,0)),0,IF(COUNTIFS(OverEmp,$C43,OverComp,T$5,OverDate,"&lt;"&amp;DATE(YEAR($AC43),MONTH($AC43)+1,1),OverEnd,"&gt;="&amp;DATE(YEAR($AC43),MONTH($AC43),1))&gt;0,SUMIFS(OverValue,OverEmp,$C43,OverComp,T$5,OverDate,"&lt;"&amp;DATE(YEAR($AC43),MONTH($AC43)+1,1),OverEnd,"&gt;="&amp;DATE(YEAR($AC43),MONTH($AC43),1)),IF(OR(T$2="Fixed",T$2="Not Used"),(OFFSET(Setup!$E$81,MATCH(T$5,CompListItem,0),0,1,1)*$AA43)-SUMIFS(OFFSET(T$6,1,0,PayCount,1),PayDate,"&lt;"&amp;$AC43,PayEmp,$C43),IF(ISNA(MATCH(T$2,DedListItem,0))=FALSE,(SUMPRODUCT((PayEmp=$C43)*(PayDate&lt;=$AC43)*(PayDedList=T$2)*(PayDedValues))*OFFSET(Setup!$E$81,MATCH(T$5,CompListItem,0),0,1,1))-SUMIFS(OFFSET(T$6,1,0,PayCount,1),PayDate,"&lt;"&amp;$AC43,PayEmp,$C43),(MIN(IF(OFFSET(Setup!$G$81,MATCH(T$5,CompListItem,0),0,1,1)="Taxable",SUMPRODUCT((PayEmp=$C43)*(PayDate&lt;=$AC43)*(ISERROR(SEARCH(PayEarnCode,T$4)))*(PayEarnTax)*(PayEarnValues)),SUMPRODUCT((PayEmp=$C43)*(PayDate&lt;=$AC43)*(ISERROR(SEARCH(PayEarnCode,T$4)))*(PayEarnValues))),IF(ISNUMBER(T$3),T$3/12*$AA43,IgnoreMin)))*OFFSET(Setup!$E$81,MATCH(T$5,CompListItem,0),0,1,1)-SUMIFS(OFFSET(T$6,1,0,PayCount,1),PayDate,"&lt;"&amp;$AC43,PayEmp,$C43)))))))</f>
        <v>177.12</v>
      </c>
      <c r="U43" s="133" cm="1">
        <f t="array" aca="1" ref="U43" ca="1">IF($F43="Terminated",0,IF($AA43=0,0,IF(ISNA(MATCH(U$5,CompListItem,0)),0,IF(COUNTIFS(OverEmp,$C43,OverComp,U$5,OverDate,"&lt;"&amp;DATE(YEAR($AC43),MONTH($AC43)+1,1),OverEnd,"&gt;="&amp;DATE(YEAR($AC43),MONTH($AC43),1))&gt;0,SUMIFS(OverValue,OverEmp,$C43,OverComp,U$5,OverDate,"&lt;"&amp;DATE(YEAR($AC43),MONTH($AC43)+1,1),OverEnd,"&gt;="&amp;DATE(YEAR($AC43),MONTH($AC43),1)),IF(OR(U$2="Fixed",U$2="Not Used"),(OFFSET(Setup!$E$81,MATCH(U$5,CompListItem,0),0,1,1)*$AA43)-SUMIFS(OFFSET(U$6,1,0,PayCount,1),PayDate,"&lt;"&amp;$AC43,PayEmp,$C43),IF(ISNA(MATCH(U$2,DedListItem,0))=FALSE,(SUMPRODUCT((PayEmp=$C43)*(PayDate&lt;=$AC43)*(PayDedList=U$2)*(PayDedValues))*OFFSET(Setup!$E$81,MATCH(U$5,CompListItem,0),0,1,1))-SUMIFS(OFFSET(U$6,1,0,PayCount,1),PayDate,"&lt;"&amp;$AC43,PayEmp,$C43),(MIN(IF(OFFSET(Setup!$G$81,MATCH(U$5,CompListItem,0),0,1,1)="Taxable",SUMPRODUCT((PayEmp=$C43)*(PayDate&lt;=$AC43)*(ISERROR(SEARCH(PayEarnCode,U$4)))*(PayEarnTax)*(PayEarnValues)),SUMPRODUCT((PayEmp=$C43)*(PayDate&lt;=$AC43)*(ISERROR(SEARCH(PayEarnCode,U$4)))*(PayEarnValues))),IF(ISNUMBER(U$3),U$3/12*$AA43,IgnoreMin)))*OFFSET(Setup!$E$81,MATCH(U$5,CompListItem,0),0,1,1)-SUMIFS(OFFSET(U$6,1,0,PayCount,1),PayDate,"&lt;"&amp;$AC43,PayEmp,$C43)))))))</f>
        <v>250</v>
      </c>
      <c r="V43" s="133" cm="1">
        <f t="array" aca="1" ref="V43" ca="1">IF($F43="Terminated",0,IF($AA43=0,0,IF(ISNA(MATCH(V$5,CompListItem,0)),0,IF(COUNTIFS(OverEmp,$C43,OverComp,V$5,OverDate,"&lt;"&amp;DATE(YEAR($AC43),MONTH($AC43)+1,1),OverEnd,"&gt;="&amp;DATE(YEAR($AC43),MONTH($AC43),1))&gt;0,SUMIFS(OverValue,OverEmp,$C43,OverComp,V$5,OverDate,"&lt;"&amp;DATE(YEAR($AC43),MONTH($AC43)+1,1),OverEnd,"&gt;="&amp;DATE(YEAR($AC43),MONTH($AC43),1)),IF(OR(V$2="Fixed",V$2="Not Used"),(OFFSET(Setup!$E$81,MATCH(V$5,CompListItem,0),0,1,1)*$AA43)-SUMIFS(OFFSET(V$6,1,0,PayCount,1),PayDate,"&lt;"&amp;$AC43,PayEmp,$C43),IF(ISNA(MATCH(V$2,DedListItem,0))=FALSE,(SUMPRODUCT((PayEmp=$C43)*(PayDate&lt;=$AC43)*(PayDedList=V$2)*(PayDedValues))*OFFSET(Setup!$E$81,MATCH(V$5,CompListItem,0),0,1,1))-SUMIFS(OFFSET(V$6,1,0,PayCount,1),PayDate,"&lt;"&amp;$AC43,PayEmp,$C43),(MIN(IF(OFFSET(Setup!$G$81,MATCH(V$5,CompListItem,0),0,1,1)="Taxable",SUMPRODUCT((PayEmp=$C43)*(PayDate&lt;=$AC43)*(ISERROR(SEARCH(PayEarnCode,V$4)))*(PayEarnTax)*(PayEarnValues)),SUMPRODUCT((PayEmp=$C43)*(PayDate&lt;=$AC43)*(ISERROR(SEARCH(PayEarnCode,V$4)))*(PayEarnValues))),IF(ISNUMBER(V$3),V$3/12*$AA43,IgnoreMin)))*OFFSET(Setup!$E$81,MATCH(V$5,CompListItem,0),0,1,1)-SUMIFS(OFFSET(V$6,1,0,PayCount,1),PayDate,"&lt;"&amp;$AC43,PayEmp,$C43)))))))</f>
        <v>0</v>
      </c>
      <c r="W43" s="133" cm="1">
        <f t="array" aca="1" ref="W43" ca="1">IF($F43="Terminated",0,IF($AA43=0,0,IF(ISNA(MATCH(W$5,CompListItem,0)),0,IF(COUNTIFS(OverEmp,$C43,OverComp,W$5,OverDate,"&lt;"&amp;DATE(YEAR($AC43),MONTH($AC43)+1,1),OverEnd,"&gt;="&amp;DATE(YEAR($AC43),MONTH($AC43),1))&gt;0,SUMIFS(OverValue,OverEmp,$C43,OverComp,W$5,OverDate,"&lt;"&amp;DATE(YEAR($AC43),MONTH($AC43)+1,1),OverEnd,"&gt;="&amp;DATE(YEAR($AC43),MONTH($AC43),1)),IF(OR(W$2="Fixed",W$2="Not Used"),(OFFSET(Setup!$E$81,MATCH(W$5,CompListItem,0),0,1,1)*$AA43)-SUMIFS(OFFSET(W$6,1,0,PayCount,1),PayDate,"&lt;"&amp;$AC43,PayEmp,$C43),IF(ISNA(MATCH(W$2,DedListItem,0))=FALSE,(SUMPRODUCT((PayEmp=$C43)*(PayDate&lt;=$AC43)*(PayDedList=W$2)*(PayDedValues))*OFFSET(Setup!$E$81,MATCH(W$5,CompListItem,0),0,1,1))-SUMIFS(OFFSET(W$6,1,0,PayCount,1),PayDate,"&lt;"&amp;$AC43,PayEmp,$C43),(MIN(IF(OFFSET(Setup!$G$81,MATCH(W$5,CompListItem,0),0,1,1)="Taxable",SUMPRODUCT((PayEmp=$C43)*(PayDate&lt;=$AC43)*(ISERROR(SEARCH(PayEarnCode,W$4)))*(PayEarnTax)*(PayEarnValues)),SUMPRODUCT((PayEmp=$C43)*(PayDate&lt;=$AC43)*(ISERROR(SEARCH(PayEarnCode,W$4)))*(PayEarnValues))),IF(ISNUMBER(W$3),W$3/12*$AA43,IgnoreMin)))*OFFSET(Setup!$E$81,MATCH(W$5,CompListItem,0),0,1,1)-SUMIFS(OFFSET(W$6,1,0,PayCount,1),PayDate,"&lt;"&amp;$AC43,PayEmp,$C43)))))))</f>
        <v>0</v>
      </c>
      <c r="X43" s="185">
        <f t="shared" ca="1" si="18"/>
        <v>427.12</v>
      </c>
      <c r="Y43" s="139">
        <f t="shared" ca="1" si="27"/>
        <v>25427.119999999999</v>
      </c>
      <c r="Z43" s="139">
        <f t="shared" ca="1" si="19"/>
        <v>4087.32</v>
      </c>
      <c r="AA43" s="146">
        <f ca="1">IF(OR($B43&lt;=Setup!$E$12,$B43&gt;=Setup!$D$12+1),0,IF($F43&lt;&gt;"Active",0,IF($AE43="Yes",$AB43,((YEAR($AC43)*12)+MONTH($AC43))-((YEAR($AD43)*12)+MONTH($AD43)-1))))</f>
        <v>3</v>
      </c>
      <c r="AB43" s="146">
        <f ca="1">IF(OR($B43&lt;=Setup!$E$12,$B43&gt;=Setup!$D$12+1),0,((YEAR($AC43)*12)+MONTH($AC43))-((YEAR(Setup!$E$12)*12)+MONTH(Setup!$E$12)))</f>
        <v>3</v>
      </c>
      <c r="AC43" s="186">
        <f t="shared" ca="1" si="20"/>
        <v>45071</v>
      </c>
      <c r="AD43" s="144">
        <f ca="1">IF(ISNA(VLOOKUP($C43,EmpAll,COLUMN(Emp!$E$4),0)),$AC43,IF(VLOOKUP($C43,EmpAll,COLUMN(Emp!$E$4),0)&lt;=Setup!$E$12,DATE(YEAR(Setup!$E$12),MONTH(Setup!$E$12)+1,1),VLOOKUP($C43,EmpAll,COLUMN(Emp!$E$4),0)))</f>
        <v>44986</v>
      </c>
      <c r="AE43" s="144" t="str">
        <f ca="1">IF(ISNA(VLOOKUP($C43,EmpAll,COLUMN(Emp!$G$1),0)),"-",IF(VLOOKUP($C43,EmpAll,COLUMN(Emp!$G$1),0)=0,"-",VLOOKUP($C43,EmpAll,COLUMN(Emp!$G$1),0)))</f>
        <v>-</v>
      </c>
      <c r="AF43" s="145">
        <f ca="1">IF(A43=PaySlip!$G$3,1,0)</f>
        <v>0</v>
      </c>
      <c r="AG43" s="130" cm="1">
        <f t="array" aca="1" ref="AG43" ca="1">IF(COUNTIFS(OverEmp,$C43,OverMed,"MED",OverDate,"&lt;"&amp;DATE(YEAR($AC43),MONTH($AC43)+1,1),OverEnd,"&gt;="&amp;DATE(YEAR($AC43),MONTH($AC43),1))&gt;0,SUMIFS(OverValue,OverEmp,$C43,OverMed,"MED",OverDate,"&lt;"&amp;DATE(YEAR($AC43),MONTH($AC43)+1,1),OverEnd,"&gt;="&amp;DATE(YEAR($AC43),MONTH($AC43),1)),IF(ISNA(VLOOKUP($C43,EmpAll,COLUMN(Emp!$N$4),0)),0,VLOOKUP($C43,EmpAll,COLUMN(Emp!$N$4),0)))</f>
        <v>0</v>
      </c>
      <c r="AH43" s="146">
        <f ca="1">VLOOKUP($AG43,MedList,COLUMN(Setup!$C$49),1)</f>
        <v>0</v>
      </c>
      <c r="AI43" s="146">
        <f t="shared" ca="1" si="7"/>
        <v>0</v>
      </c>
      <c r="AJ43" s="101" t="str">
        <f ca="1">IF(ISNA(VLOOKUP($C43,EmpAll,COLUMN(Emp!$L$4),0)),"None!",VLOOKUP($C43,EmpAll,COLUMN(Emp!$L$4),0))</f>
        <v>A</v>
      </c>
      <c r="AK43" s="147">
        <f t="shared" ca="1" si="21"/>
        <v>17235</v>
      </c>
      <c r="AL43" s="101" t="str">
        <f ca="1">IF(ISNA(VLOOKUP($C43,Employees[],COLUMN(Emp!$M$4),0))=TRUE,"Error!",IF(VLOOKUP($C43,Employees[],COLUMN(Emp!$M$4),0)=0,"Yes",VLOOKUP($C43,Employees[],COLUMN(Emp!$M$4),0)))</f>
        <v>A</v>
      </c>
      <c r="AM43" s="148">
        <f t="shared" ca="1" si="9"/>
        <v>300000</v>
      </c>
      <c r="AN43" s="148" cm="1">
        <f t="array" aca="1" ref="AN43" ca="1">-IF($F43="Terminated",0,IF($AA43=0,0,IF(ISNA(MATCH(AN$5,PayDedList,0)),0,MIN(IF(COUNTIFS(OverEmp,$C43,OverDeduct,AN$5,OverDate,"&lt;"&amp;DATE(YEAR($AC43),MONTH($AC43)+1,1),OverEnd,"&gt;="&amp;DATE(YEAR($AC43),MONTH($AC43),1))&gt;0,SUMPRODUCT((PayEmp=$C43)*(PayDate&lt;=$AC43)*(OFFSET($N$6,1,MATCH(AN$5,PayDedList,0)-1,PayCount,1)))/$AA43*12*AN$3,IF(OR(AN$1="Fixed",AN$1="Not Used"),SUMPRODUCT((PayEmp=$C43)*(PayDate&lt;=$AC43)*(OFFSET($N$6,1,MATCH(AN$5,PayDedList,0)-1,PayCount,1)))/$AA43*12*AN$3,IF(ISNA(MATCH(AN$1,EarnListItem,0))=FALSE,SUMPRODUCT((PayEmp=$C43)*(PayDate&lt;=$AC43)*(OFFSET($N$6,1,MATCH(AN$5,PayDedList,0)-1,PayCount,1)))/$AA43*12*AN$3,(MIN(((SUMPRODUCT((PayEmp=$C43)*(PayDate&lt;=$AC43)*(ISERROR(SEARCH(PayEarnCode,AN$2)))*(PayEarnType="Monthly")*(PayEarnValues))/$AA43*12)+(SUMPRODUCT((PayEmp=$C43)*(PayDate&lt;=$AC43)*(ISERROR(SEARCH(PayEarnCode,AN$2)))*(PayEarnType="Quarterly")*(PayEarnValues))/MAX(1,ROUNDDOWN($AB43/3,0))*4)+(SUMPRODUCT((PayEmp=$C43)*(PayDate&lt;=$AC43)*(ISERROR(SEARCH(PayEarnCode,AN$2)))*(PayEarnType="Bi-Annual")*(PayEarnValues))/MAX(1,ROUNDDOWN($AB43/6,0))*2)+(SUMPRODUCT((PayEmp=$C43)*(PayDate&lt;=$AC43)*(ISERROR(SEARCH(PayEarnCode,AN$2)))*(PayEarnType="Annual")*(PayEarnValues)))),IF(ISNUMBER(OFFSET($N$3,0,MATCH(AN$5,PayDedList,0)-1,1,1)),OFFSET($N$3,0,MATCH(AN$5,PayDedList,0)-1,1,1),IgnoreMin)))*IF(COUNTIFS(EmpNo,$C43,OFFSET(Emp!$R$4,1,MATCH(AN$5,DedListItem,0)-1,EmpCount,1),"&lt;&gt;")&gt;0,VLOOKUP($C43,EmpAll,COLUMN(Emp!$R$4)+MATCH(AN$5,DedListItem,0)-1,0),OFFSET(Setup!$E$73,MATCH(AN$5,DedListItem,0),0,1,1))*AN$3))),IF(ISNUMBER(AN$4),AN$4,IgnoreMin)))))</f>
        <v>0</v>
      </c>
      <c r="AO43" s="148" cm="1">
        <f t="array" aca="1" ref="AO43" ca="1">-IF($F43="Terminated",0,IF($AA43=0,0,IF(ISNA(MATCH(AO$5,PayDedList,0)),0,MIN(IF(COUNTIFS(OverEmp,$C43,OverDeduct,AO$5,OverDate,"&lt;"&amp;DATE(YEAR($AC43),MONTH($AC43)+1,1),OverEnd,"&gt;="&amp;DATE(YEAR($AC43),MONTH($AC43),1))&gt;0,SUMPRODUCT((PayEmp=$C43)*(PayDate&lt;=$AC43)*(OFFSET($N$6,1,MATCH(AO$5,PayDedList,0)-1,PayCount,1)))/$AA43*12*AO$3,IF(OR(AO$1="Fixed",AO$1="Not Used"),SUMPRODUCT((PayEmp=$C43)*(PayDate&lt;=$AC43)*(OFFSET($N$6,1,MATCH(AO$5,PayDedList,0)-1,PayCount,1)))/$AA43*12*AO$3,IF(ISNA(MATCH(AO$1,EarnListItem,0))=FALSE,SUMPRODUCT((PayEmp=$C43)*(PayDate&lt;=$AC43)*(OFFSET($N$6,1,MATCH(AO$5,PayDedList,0)-1,PayCount,1)))/$AA43*12*AO$3,(MIN(((SUMPRODUCT((PayEmp=$C43)*(PayDate&lt;=$AC43)*(ISERROR(SEARCH(PayEarnCode,AO$2)))*(PayEarnType="Monthly")*(PayEarnValues))/$AA43*12)+(SUMPRODUCT((PayEmp=$C43)*(PayDate&lt;=$AC43)*(ISERROR(SEARCH(PayEarnCode,AO$2)))*(PayEarnType="Quarterly")*(PayEarnValues))/MAX(1,ROUNDDOWN($AB43/3,0))*4)+(SUMPRODUCT((PayEmp=$C43)*(PayDate&lt;=$AC43)*(ISERROR(SEARCH(PayEarnCode,AO$2)))*(PayEarnType="Bi-Annual")*(PayEarnValues))/MAX(1,ROUNDDOWN($AB43/6,0))*2)+(SUMPRODUCT((PayEmp=$C43)*(PayDate&lt;=$AC43)*(ISERROR(SEARCH(PayEarnCode,AO$2)))*(PayEarnType="Annual")*(PayEarnValues)))),IF(ISNUMBER(OFFSET($N$3,0,MATCH(AO$5,PayDedList,0)-1,1,1)),OFFSET($N$3,0,MATCH(AO$5,PayDedList,0)-1,1,1),IgnoreMin)))*IF(COUNTIFS(EmpNo,$C43,OFFSET(Emp!$R$4,1,MATCH(AO$5,DedListItem,0)-1,EmpCount,1),"&lt;&gt;")&gt;0,VLOOKUP($C43,EmpAll,COLUMN(Emp!$R$4)+MATCH(AO$5,DedListItem,0)-1,0),OFFSET(Setup!$E$73,MATCH(AO$5,DedListItem,0),0,1,1))*AO$3))),IF(ISNUMBER(AO$4),AO$4,IgnoreMin)))))</f>
        <v>0</v>
      </c>
      <c r="AP43" s="148" cm="1">
        <f t="array" aca="1" ref="AP43" ca="1">-IF($F43="Terminated",0,IF($AA43=0,0,IF(ISNA(MATCH(AP$5,PayDedList,0)),0,MIN(IF(COUNTIFS(OverEmp,$C43,OverDeduct,AP$5,OverDate,"&lt;"&amp;DATE(YEAR($AC43),MONTH($AC43)+1,1),OverEnd,"&gt;="&amp;DATE(YEAR($AC43),MONTH($AC43),1))&gt;0,SUMPRODUCT((PayEmp=$C43)*(PayDate&lt;=$AC43)*(OFFSET($N$6,1,MATCH(AP$5,PayDedList,0)-1,PayCount,1)))/$AA43*12*AP$3,IF(OR(AP$1="Fixed",AP$1="Not Used"),SUMPRODUCT((PayEmp=$C43)*(PayDate&lt;=$AC43)*(OFFSET($N$6,1,MATCH(AP$5,PayDedList,0)-1,PayCount,1)))/$AA43*12*AP$3,IF(ISNA(MATCH(AP$1,EarnListItem,0))=FALSE,SUMPRODUCT((PayEmp=$C43)*(PayDate&lt;=$AC43)*(OFFSET($N$6,1,MATCH(AP$5,PayDedList,0)-1,PayCount,1)))/$AA43*12*AP$3,(MIN(((SUMPRODUCT((PayEmp=$C43)*(PayDate&lt;=$AC43)*(ISERROR(SEARCH(PayEarnCode,AP$2)))*(PayEarnType="Monthly")*(PayEarnValues))/$AA43*12)+(SUMPRODUCT((PayEmp=$C43)*(PayDate&lt;=$AC43)*(ISERROR(SEARCH(PayEarnCode,AP$2)))*(PayEarnType="Quarterly")*(PayEarnValues))/MAX(1,ROUNDDOWN($AB43/3,0))*4)+(SUMPRODUCT((PayEmp=$C43)*(PayDate&lt;=$AC43)*(ISERROR(SEARCH(PayEarnCode,AP$2)))*(PayEarnType="Bi-Annual")*(PayEarnValues))/MAX(1,ROUNDDOWN($AB43/6,0))*2)+(SUMPRODUCT((PayEmp=$C43)*(PayDate&lt;=$AC43)*(ISERROR(SEARCH(PayEarnCode,AP$2)))*(PayEarnType="Annual")*(PayEarnValues)))),IF(ISNUMBER(OFFSET($N$3,0,MATCH(AP$5,PayDedList,0)-1,1,1)),OFFSET($N$3,0,MATCH(AP$5,PayDedList,0)-1,1,1),IgnoreMin)))*IF(COUNTIFS(EmpNo,$C43,OFFSET(Emp!$R$4,1,MATCH(AP$5,DedListItem,0)-1,EmpCount,1),"&lt;&gt;")&gt;0,VLOOKUP($C43,EmpAll,COLUMN(Emp!$R$4)+MATCH(AP$5,DedListItem,0)-1,0),OFFSET(Setup!$E$73,MATCH(AP$5,DedListItem,0),0,1,1))*AP$3))),IF(ISNUMBER(AP$4),AP$4,IgnoreMin)))))</f>
        <v>0</v>
      </c>
      <c r="AQ43" s="148" cm="1">
        <f t="array" aca="1" ref="AQ43" ca="1">-IF($F43="Terminated",0,IF($AA43=0,0,IF(ISNA(MATCH(AQ$5,PayDedList,0)),0,MIN(IF(COUNTIFS(OverEmp,$C43,OverDeduct,AQ$5,OverDate,"&lt;"&amp;DATE(YEAR($AC43),MONTH($AC43)+1,1),OverEnd,"&gt;="&amp;DATE(YEAR($AC43),MONTH($AC43),1))&gt;0,SUMPRODUCT((PayEmp=$C43)*(PayDate&lt;=$AC43)*(OFFSET($N$6,1,MATCH(AQ$5,PayDedList,0)-1,PayCount,1)))/$AA43*12*AQ$3,IF(OR(AQ$1="Fixed",AQ$1="Not Used"),SUMPRODUCT((PayEmp=$C43)*(PayDate&lt;=$AC43)*(OFFSET($N$6,1,MATCH(AQ$5,PayDedList,0)-1,PayCount,1)))/$AA43*12*AQ$3,IF(ISNA(MATCH(AQ$1,EarnListItem,0))=FALSE,SUMPRODUCT((PayEmp=$C43)*(PayDate&lt;=$AC43)*(OFFSET($N$6,1,MATCH(AQ$5,PayDedList,0)-1,PayCount,1)))/$AA43*12*AQ$3,(MIN(((SUMPRODUCT((PayEmp=$C43)*(PayDate&lt;=$AC43)*(ISERROR(SEARCH(PayEarnCode,AQ$2)))*(PayEarnType="Monthly")*(PayEarnValues))/$AA43*12)+(SUMPRODUCT((PayEmp=$C43)*(PayDate&lt;=$AC43)*(ISERROR(SEARCH(PayEarnCode,AQ$2)))*(PayEarnType="Quarterly")*(PayEarnValues))/MAX(1,ROUNDDOWN($AB43/3,0))*4)+(SUMPRODUCT((PayEmp=$C43)*(PayDate&lt;=$AC43)*(ISERROR(SEARCH(PayEarnCode,AQ$2)))*(PayEarnType="Bi-Annual")*(PayEarnValues))/MAX(1,ROUNDDOWN($AB43/6,0))*2)+(SUMPRODUCT((PayEmp=$C43)*(PayDate&lt;=$AC43)*(ISERROR(SEARCH(PayEarnCode,AQ$2)))*(PayEarnType="Annual")*(PayEarnValues)))),IF(ISNUMBER(OFFSET($N$3,0,MATCH(AQ$5,PayDedList,0)-1,1,1)),OFFSET($N$3,0,MATCH(AQ$5,PayDedList,0)-1,1,1),IgnoreMin)))*IF(COUNTIFS(EmpNo,$C43,OFFSET(Emp!$R$4,1,MATCH(AQ$5,DedListItem,0)-1,EmpCount,1),"&lt;&gt;")&gt;0,VLOOKUP($C43,EmpAll,COLUMN(Emp!$R$4)+MATCH(AQ$5,DedListItem,0)-1,0),OFFSET(Setup!$E$73,MATCH(AQ$5,DedListItem,0),0,1,1))*AQ$3))),IF(ISNUMBER(AQ$4),AQ$4,IgnoreMin)))))</f>
        <v>0</v>
      </c>
      <c r="AR43" s="148">
        <f t="shared" ca="1" si="22"/>
        <v>300000</v>
      </c>
      <c r="AS43" s="148">
        <f t="shared" ca="1" si="11"/>
        <v>300000</v>
      </c>
      <c r="AT43" s="148" cm="1">
        <f t="array" aca="1" ref="AT43" ca="1">-IF($F43="Terminated",0,IF($AA43=0,0,IF(ISNA(MATCH(AT$5,PayDedList,0)),0,MIN(IF(COUNTIFS(OverEmp,$C43,OverDeduct,AT$5,OverDate,"&lt;"&amp;DATE(YEAR($AC43),MONTH($AC43)+1,1),OverEnd,"&gt;="&amp;DATE(YEAR($AC43),MONTH($AC43),1))&gt;0,SUMPRODUCT((PayEmp=$C43)*(PayDate&lt;=$AC43)*(OFFSET($N$6,1,MATCH(AT$5,PayDedList,0)-1,PayCount,1)))/$AA43*12*AT$3,IF(OR(AT$1="Fixed",AT$1="Not Used"),SUMPRODUCT((PayEmp=$C43)*(PayDate&lt;=$AC43)*(OFFSET($N$6,1,MATCH(AT$5,PayDedList,0)-1,PayCount,1)))/$AA43*12*AT$3,IF(ISNA(MATCH(OFFSET($N$2,0,MATCH(AT$5,PayDedList,0)-1,1,1),EarnListItem,0))=FALSE,SUMPRODUCT((PayEmp=$C43)*(PayDate&lt;=$AC43)*(OFFSET($N$6,1,MATCH(AT$5,PayDedList,0)-1,PayCount,1)))/$AA43*12*AT$3,(MIN(SUMPRODUCT((PayEmp=$C43)*(PayDate&lt;=$AC43)*(ISERROR(SEARCH(PayEarnCode,AT$2)))*(PayEarnType="Monthly")*(PayEarnValues))/$AA43*12,IF(ISNUMBER(OFFSET($N$3,0,MATCH(AT$5,PayDedList,0)-1,1,1)),OFFSET($N$3,0,MATCH(AT$5,PayDedList,0)-1,1,1),IgnoreMin)))*IF(COUNTIFS(EmpNo,$C43,OFFSET(Emp!$R$4,1,MATCH(AT$5,DedListItem,0)-1,EmpCount,1),"&lt;&gt;")&gt;0,VLOOKUP($C43,EmpAll,COLUMN(Emp!$R$4)+MATCH(AT$5,DedListItem,0)-1,0),OFFSET(Setup!$E$73,MATCH(AT$5,DedListItem,0),0,1,1))*AT$3))),IF(ISNUMBER(AT$4),AT$4,IgnoreMin)))))</f>
        <v>0</v>
      </c>
      <c r="AU43" s="148" cm="1">
        <f t="array" aca="1" ref="AU43" ca="1">-IF($F43="Terminated",0,IF($AA43=0,0,IF(ISNA(MATCH(AU$5,PayDedList,0)),0,MIN(IF(COUNTIFS(OverEmp,$C43,OverDeduct,AU$5,OverDate,"&lt;"&amp;DATE(YEAR($AC43),MONTH($AC43)+1,1),OverEnd,"&gt;="&amp;DATE(YEAR($AC43),MONTH($AC43),1))&gt;0,SUMPRODUCT((PayEmp=$C43)*(PayDate&lt;=$AC43)*(OFFSET($N$6,1,MATCH(AU$5,PayDedList,0)-1,PayCount,1)))/$AA43*12*AU$3,IF(OR(AU$1="Fixed",AU$1="Not Used"),SUMPRODUCT((PayEmp=$C43)*(PayDate&lt;=$AC43)*(OFFSET($N$6,1,MATCH(AU$5,PayDedList,0)-1,PayCount,1)))/$AA43*12*AU$3,IF(ISNA(MATCH(OFFSET($N$2,0,MATCH(AU$5,PayDedList,0)-1,1,1),EarnListItem,0))=FALSE,SUMPRODUCT((PayEmp=$C43)*(PayDate&lt;=$AC43)*(OFFSET($N$6,1,MATCH(AU$5,PayDedList,0)-1,PayCount,1)))/$AA43*12*AU$3,(MIN(SUMPRODUCT((PayEmp=$C43)*(PayDate&lt;=$AC43)*(ISERROR(SEARCH(PayEarnCode,AU$2)))*(PayEarnType="Monthly")*(PayEarnValues))/$AA43*12,IF(ISNUMBER(OFFSET($N$3,0,MATCH(AU$5,PayDedList,0)-1,1,1)),OFFSET($N$3,0,MATCH(AU$5,PayDedList,0)-1,1,1),IgnoreMin)))*IF(COUNTIFS(EmpNo,$C43,OFFSET(Emp!$R$4,1,MATCH(AU$5,DedListItem,0)-1,EmpCount,1),"&lt;&gt;")&gt;0,VLOOKUP($C43,EmpAll,COLUMN(Emp!$R$4)+MATCH(AU$5,DedListItem,0)-1,0),OFFSET(Setup!$E$73,MATCH(AU$5,DedListItem,0),0,1,1))*AU$3))),IF(ISNUMBER(AU$4),AU$4,IgnoreMin)))))</f>
        <v>0</v>
      </c>
      <c r="AV43" s="148" cm="1">
        <f t="array" aca="1" ref="AV43" ca="1">-IF($F43="Terminated",0,IF($AA43=0,0,IF(ISNA(MATCH(AV$5,PayDedList,0)),0,MIN(IF(COUNTIFS(OverEmp,$C43,OverDeduct,AV$5,OverDate,"&lt;"&amp;DATE(YEAR($AC43),MONTH($AC43)+1,1),OverEnd,"&gt;="&amp;DATE(YEAR($AC43),MONTH($AC43),1))&gt;0,SUMPRODUCT((PayEmp=$C43)*(PayDate&lt;=$AC43)*(OFFSET($N$6,1,MATCH(AV$5,PayDedList,0)-1,PayCount,1)))/$AA43*12*AV$3,IF(OR(AV$1="Fixed",AV$1="Not Used"),SUMPRODUCT((PayEmp=$C43)*(PayDate&lt;=$AC43)*(OFFSET($N$6,1,MATCH(AV$5,PayDedList,0)-1,PayCount,1)))/$AA43*12*AV$3,IF(ISNA(MATCH(OFFSET($N$2,0,MATCH(AV$5,PayDedList,0)-1,1,1),EarnListItem,0))=FALSE,SUMPRODUCT((PayEmp=$C43)*(PayDate&lt;=$AC43)*(OFFSET($N$6,1,MATCH(AV$5,PayDedList,0)-1,PayCount,1)))/$AA43*12*AV$3,(MIN(SUMPRODUCT((PayEmp=$C43)*(PayDate&lt;=$AC43)*(ISERROR(SEARCH(PayEarnCode,AV$2)))*(PayEarnType="Monthly")*(PayEarnValues))/$AA43*12,IF(ISNUMBER(OFFSET($N$3,0,MATCH(AV$5,PayDedList,0)-1,1,1)),OFFSET($N$3,0,MATCH(AV$5,PayDedList,0)-1,1,1),IgnoreMin)))*IF(COUNTIFS(EmpNo,$C43,OFFSET(Emp!$R$4,1,MATCH(AV$5,DedListItem,0)-1,EmpCount,1),"&lt;&gt;")&gt;0,VLOOKUP($C43,EmpAll,COLUMN(Emp!$R$4)+MATCH(AV$5,DedListItem,0)-1,0),OFFSET(Setup!$E$73,MATCH(AV$5,DedListItem,0),0,1,1))*AV$3))),IF(ISNUMBER(AV$4),AV$4,IgnoreMin)))))</f>
        <v>0</v>
      </c>
      <c r="AW43" s="148" cm="1">
        <f t="array" aca="1" ref="AW43" ca="1">-IF($F43="Terminated",0,IF($AA43=0,0,IF(ISNA(MATCH(AW$5,PayDedList,0)),0,MIN(IF(COUNTIFS(OverEmp,$C43,OverDeduct,AW$5,OverDate,"&lt;"&amp;DATE(YEAR($AC43),MONTH($AC43)+1,1),OverEnd,"&gt;="&amp;DATE(YEAR($AC43),MONTH($AC43),1))&gt;0,SUMPRODUCT((PayEmp=$C43)*(PayDate&lt;=$AC43)*(OFFSET($N$6,1,MATCH(AW$5,PayDedList,0)-1,PayCount,1)))/$AA43*12*AW$3,IF(OR(AW$1="Fixed",AW$1="Not Used"),SUMPRODUCT((PayEmp=$C43)*(PayDate&lt;=$AC43)*(OFFSET($N$6,1,MATCH(AW$5,PayDedList,0)-1,PayCount,1)))/$AA43*12*AW$3,IF(ISNA(MATCH(OFFSET($N$2,0,MATCH(AW$5,PayDedList,0)-1,1,1),EarnListItem,0))=FALSE,SUMPRODUCT((PayEmp=$C43)*(PayDate&lt;=$AC43)*(OFFSET($N$6,1,MATCH(AW$5,PayDedList,0)-1,PayCount,1)))/$AA43*12*AW$3,(MIN(SUMPRODUCT((PayEmp=$C43)*(PayDate&lt;=$AC43)*(ISERROR(SEARCH(PayEarnCode,AW$2)))*(PayEarnType="Monthly")*(PayEarnValues))/$AA43*12,IF(ISNUMBER(OFFSET($N$3,0,MATCH(AW$5,PayDedList,0)-1,1,1)),OFFSET($N$3,0,MATCH(AW$5,PayDedList,0)-1,1,1),IgnoreMin)))*IF(COUNTIFS(EmpNo,$C43,OFFSET(Emp!$R$4,1,MATCH(AW$5,DedListItem,0)-1,EmpCount,1),"&lt;&gt;")&gt;0,VLOOKUP($C43,EmpAll,COLUMN(Emp!$R$4)+MATCH(AW$5,DedListItem,0)-1,0),OFFSET(Setup!$E$73,MATCH(AW$5,DedListItem,0),0,1,1))*AW$3))),IF(ISNUMBER(AW$4),AW$4,IgnoreMin)))))</f>
        <v>0</v>
      </c>
      <c r="AX43" s="148">
        <f t="shared" ca="1" si="28"/>
        <v>300000</v>
      </c>
      <c r="AY43" s="148">
        <f t="shared" ca="1" si="29"/>
        <v>0</v>
      </c>
      <c r="AZ43" s="148">
        <f ca="1">IF(ISNUMBER($AL43),($AR43*$AL43)-$AI43-$AK43,MAX(0,IF($AL43="B",IF($AR43&lt;Setup!$C$32,($AR43*Setup!$D$32)-$AI43-$AK43,(($AR43-VLOOKUP($AR43,TaxAll2,1,1))*OFFSET(Setup!$D$32,MATCH($AR43,TaxBracket2,1),0,1,1))+OFFSET(Setup!$E$31,MATCH($AR43,TaxBracket2,1),0,1,1)-$AI43-$AK43),IF($AR43&lt;Setup!$C$21,($AR43*Setup!$D$21)-$AI43-$AK43,(($AR43-VLOOKUP($AR43,TaxAll1,1,1))*OFFSET(Setup!$D$21,MATCH($AR43,TaxBracket1,1),0,1,1))+OFFSET(Setup!$E$20,MATCH($AR43,TaxBracket1,1),0,1,1)-$AI43-$AK43))))</f>
        <v>41797</v>
      </c>
      <c r="BA43" s="148">
        <f ca="1">IF(ISNUMBER($AL43),($AX43*$AL43)-$AI43-$AK43,MAX(0,IF($AL43="B",IF($AX43&lt;Setup!$C$32,($AX43*Setup!$D$32)-$AI43-$AK43,(($AX43-VLOOKUP($AX43,TaxAll2,1,1))*OFFSET(Setup!$D$32,MATCH($AX43,TaxBracket2,1),0,1,1))+OFFSET(Setup!$E$31,MATCH($AX43,TaxBracket2,1),0,1,1)-$AI43-$AK43),IF($AX43&lt;Setup!$C$21,($AX43*Setup!$D$21)-$AI43-$AK43,(($AX43-VLOOKUP($AX43,TaxAll1,1,1))*OFFSET(Setup!$D$21,MATCH($AX43,TaxBracket1,1),0,1,1))+OFFSET(Setup!$E$20,MATCH($AX43,TaxBracket1,1),0,1,1)-$AI43-$AK43))))</f>
        <v>41797</v>
      </c>
      <c r="BB43" s="148">
        <f t="shared" ca="1" si="23"/>
        <v>0</v>
      </c>
      <c r="BC43" s="150">
        <f t="shared" ca="1" si="15"/>
        <v>1</v>
      </c>
      <c r="BD43" s="150">
        <f t="shared" ca="1" si="16"/>
        <v>0</v>
      </c>
      <c r="BE43" s="148">
        <f t="shared" ca="1" si="17"/>
        <v>300000</v>
      </c>
    </row>
    <row r="44" spans="1:57" ht="16.149999999999999" customHeight="1" x14ac:dyDescent="0.25">
      <c r="A44" s="10" t="str" cm="1">
        <f t="array" aca="1" ref="A44" ca="1">IF(ROW($A44)-ROW($A$6)&gt;EmpCount*12,"-",TEXT($B44,"yyyy")&amp;TEXT($B44,"mm")&amp;"-"&amp;$C44)</f>
        <v>202305-EXS008</v>
      </c>
      <c r="B44" s="137" cm="1">
        <f t="array" aca="1" ref="B44" ca="1">IF(ROW($A44)-ROW($A$6)&gt;EmpCount*12,Setup!$D$12,DATE(YEAR(Setup!$F$12),MONTH(Setup!$F$12)+ROUNDDOWN((ROW($A44)-ROW($A$6)-1)/EmpCount,0),IF(Setup!$C$14&gt;DAY(DATE(YEAR(Setup!$F$12),MONTH(Setup!$F$12)+ROUNDDOWN((ROW($A44)-ROW($A$6)-1)/EmpCount,0)+1,0)),DAY(DATE(YEAR(Setup!$F$12),MONTH(Setup!$F$12)+ROUNDDOWN((ROW($A44)-ROW($A$6)-1)/EmpCount,0)+1,0)),Setup!$C$14)))</f>
        <v>45071</v>
      </c>
      <c r="C44" s="101" t="str" cm="1">
        <f t="array" aca="1" ref="C44" ca="1">IF(ROW($A44)-ROW($A$6)&gt;EmpCount*12,"-",OFFSET(Emp!$A$4,ROW($A44)-ROW($A$6)-IF(ROW($A44)-ROW($A$6)&gt;EmpCount,ROUNDDOWN((ROW($A44)-ROW($A$6)-1)/EmpCount,0)*EmpCount,0),0,1,1))</f>
        <v>EXS008</v>
      </c>
      <c r="D44" s="10" t="str">
        <f ca="1">IF(ISNA(VLOOKUP($C44,EmpAll,COLUMN(Emp!$B$4),0)),"-",VLOOKUP($C44,EmpAll,COLUMN(Emp!$B$4),0))</f>
        <v>Matthews B</v>
      </c>
      <c r="E44" s="145" t="str">
        <f ca="1">IF(ISNA(VLOOKUP($C44,EmpAll,COLUMN(Emp!$C$4),0)),"-",VLOOKUP($C44,EmpAll,COLUMN(Emp!$C$4),0))</f>
        <v>A</v>
      </c>
      <c r="F44" s="101" t="str">
        <f ca="1">IF(ISNA(VLOOKUP($C44,EmpAll,COLUMN(Emp!$A$4),0)),"-",IF(AND(VLOOKUP($C44,EmpAll,COLUMN(Emp!$E$4),0)&lt;&gt;0,VLOOKUP($C44,EmpAll,COLUMN(Emp!$E$4),0)&gt;=DATE(YEAR($AC44),MONTH($AC44)+1,0)),"Inactive",IF(AND(VLOOKUP($C44,EmpAll,COLUMN(Emp!$F$4),0)&lt;&gt;0,VLOOKUP($C44,EmpAll,COLUMN(Emp!$F$4),0)&lt;=DATE(YEAR($AC44),MONTH($AC44),0)),"Terminated","Active")))</f>
        <v>Active</v>
      </c>
      <c r="G44" s="133" cm="1">
        <f t="array" aca="1" ref="G44" ca="1">IF($F44&lt;&gt;"Active",0,IF(COUNTIFS(OverEmp,$C44,OverEarn,G$2,OverDate,"&lt;"&amp;DATE(YEAR($AC44),MONTH($AC44)+1,1),OverEnd,"&gt;="&amp;DATE(YEAR($AC44),MONTH($AC44),1))&gt;0,SUMIFS(OverValue,OverEmp,$C44,OverEarn,G$2,OverDate,"&lt;"&amp;DATE(YEAR($AC44),MONTH($AC44)+1,1),OverEnd,"&gt;="&amp;DATE(YEAR($AC44),MONTH($AC44),1)),IF(AND($AC44&gt;=Setup!$E$10,SUMIFS(EmpIncrease,EmpCode,$C44)&gt;0),SUMIFS(EmpIncrease,EmpCode,$C44),SUMIFS(EmpSalary,EmpCode,$C44))))</f>
        <v>9000</v>
      </c>
      <c r="H44" s="133" cm="1">
        <f t="array" aca="1" ref="H44" ca="1">IF($F44&lt;&gt;"Active",0,IF(COUNTIFS(OverEmp,$C44,OverEarn,H$2,OverDate,"&lt;"&amp;DATE(YEAR($AC44),MONTH($AC44)+1,1),OverEnd,"&gt;="&amp;DATE(YEAR($AC44),MONTH($AC44),1))&gt;0,SUMIFS(OverValue,OverEmp,$C44,OverEarn,H$2,OverDate,"&lt;"&amp;DATE(YEAR($AC44),MONTH($AC44)+1,1),OverEnd,"&gt;="&amp;DATE(YEAR($AC44),MONTH($AC44),1)),0))</f>
        <v>0</v>
      </c>
      <c r="I44" s="133" cm="1">
        <f t="array" aca="1" ref="I44" ca="1">IF($F44&lt;&gt;"Active",0,IF(COUNTIFS(OverEmp,$C44,OverEarn,I$2,OverDate,"&lt;"&amp;DATE(YEAR($AC44),MONTH($AC44)+1,1),OverEnd,"&gt;="&amp;DATE(YEAR($AC44),MONTH($AC44),1))&gt;0,SUMIFS(OverValue,OverEmp,$C44,OverEarn,I$2,OverDate,"&lt;"&amp;DATE(YEAR($AC44),MONTH($AC44)+1,1),OverEnd,"&gt;="&amp;DATE(YEAR($AC44),MONTH($AC44),1)),IF(MONTH(B44)=Setup!$C$15,SUMIFS(EmpBonus,EmpCode,$C44),0)))</f>
        <v>0</v>
      </c>
      <c r="J44" s="133" cm="1">
        <f t="array" aca="1" ref="J44" ca="1">IF($F44&lt;&gt;"Active",0,IF(COUNTIFS(OverEmp,$C44,OverEarn,J$2,OverDate,"&lt;"&amp;DATE(YEAR($AC44),MONTH($AC44)+1,1),OverEnd,"&gt;="&amp;DATE(YEAR($AC44),MONTH($AC44),1))&gt;0,SUMIFS(OverValue,OverEmp,$C44,OverEarn,J$2,OverDate,"&lt;"&amp;DATE(YEAR($AC44),MONTH($AC44)+1,1),OverEnd,"&gt;="&amp;DATE(YEAR($AC44),MONTH($AC44),1)),0))</f>
        <v>0</v>
      </c>
      <c r="K44" s="133" cm="1">
        <f t="array" aca="1" ref="K44" ca="1">IF($F44&lt;&gt;"Active",0,IF(COUNTIFS(OverEmp,$C44,OverEarn,K$2,OverDate,"&lt;"&amp;DATE(YEAR($AC44),MONTH($AC44)+1,1),OverEnd,"&gt;="&amp;DATE(YEAR($AC44),MONTH($AC44),1))&gt;0,SUMIFS(OverValue,OverEmp,$C44,OverEarn,K$2,OverDate,"&lt;"&amp;DATE(YEAR($AC44),MONTH($AC44)+1,1),OverEnd,"&gt;="&amp;DATE(YEAR($AC44),MONTH($AC44),1)),0))</f>
        <v>0</v>
      </c>
      <c r="L44" s="185">
        <f t="shared" ca="1" si="24"/>
        <v>9000</v>
      </c>
      <c r="M44" s="182" cm="1">
        <f t="array" aca="1" ref="M44" ca="1">IF(COUNTIFS(OverEmp,$C44,OverTax,M$5,OverDate,"&lt;"&amp;DATE(YEAR($AC44),MONTH($AC44)+1,1),OverEnd,"&gt;="&amp;DATE(YEAR($AC44),MONTH($AC44),1))&gt;0,SUMIFS(OverValue,OverEmp,$C44,OverTax,M$5,OverDate,"&lt;"&amp;DATE(YEAR($AC44),MONTH($AC44)+1,1),OverEnd,"&gt;="&amp;DATE(YEAR($AC44),MONTH($AC44),1)),(($BA44/12*$AA44)+(BB44*IF(1-$BC44=0,0,BD44/(1-$BC44))))-IF($F44="Terminated",0,SUMIFS(PayTaxDeduct,PayDate,"&lt;"&amp;$AC44,PayEmp,$C44)))</f>
        <v>183.75</v>
      </c>
      <c r="N44" s="133" cm="1">
        <f t="array" aca="1" ref="N44" ca="1">IF($F44="Terminated",0,IF($AA44=0,0,IF(ISNA(MATCH(N$5,DedListItem,0)),0,IF(COUNTIFS(OverEmp,$C44,OverDeduct,N$5,OverDate,"&lt;"&amp;DATE(YEAR($AC44),MONTH($AC44)+1,1),OverEnd,"&gt;="&amp;DATE(YEAR($AC44),MONTH($AC44),1))&gt;0,SUMIFS(OverValue,OverEmp,$C44,OverDeduct,N$5,OverDate,"&lt;"&amp;DATE(YEAR($AC44),MONTH($AC44)+1,1),OverEnd,"&gt;="&amp;DATE(YEAR($AC44),MONTH($AC44),1)),IF(OR(N$2="Fixed",N$2="Not Used"),(IF(COUNTIFS(EmpNo,$C44,OFFSET(Emp!$R$4,1,MATCH(N$5,DedListItem,0)-1,EmpCount,1),"&lt;&gt;")&gt;0,VLOOKUP($C44,EmpAll,COLUMN(Emp!$R$4)+MATCH(N$5,DedListItem,0)-1,0),OFFSET(Setup!$E$73,MATCH(N$5,DedListItem,0),0,1,1))*$AA44)-SUMIFS(OFFSET(N$6,1,0,PayCount,1),PayDate,"&lt;"&amp;$AC44,PayEmp,$C44),IF(ISNA(MATCH(N$2,EarnListItem,0))=FALSE,IF(OFFSET(Setup!$G$73,MATCH(N$5,DedListItem,0),0,1,1)="Taxable",SUMPRODUCT((PayEmp=$C44)*(PayDate&lt;=$AC44)*(PayEarnCode=N$2)*(PayEarnTax)*(PayEarnValues)),SUMPRODUCT((PayEmp=$C44)*(PayDate&lt;=$AC44)*(PayEarnCode=N$2)*(PayEarnValues)))*IF(COUNTIFS(EmpNo,$C44,OFFSET(Emp!$R$4,1,MATCH(N$5,DedListItem,0)-1,EmpCount,1),"&lt;&gt;")&gt;0,VLOOKUP($C44,EmpAll,COLUMN(Emp!$R$4)+MATCH(N$5,DedListItem,0)-1,0),OFFSET(Setup!$E$73,MATCH(N$5,DedListItem,0),0,1,1)),(MIN(IF(OFFSET(Setup!$G$73,MATCH(N$5,DedListItem,0),0,1,1)="Taxable",SUMPRODUCT((PayEmp=$C44)*(PayDate&lt;=$AC44)*(ISERROR(SEARCH(PayEarnCode,N$4)))*(PayEarnTax)*(PayEarnValues)),SUMPRODUCT((PayEmp=$C44)*(PayDate&lt;=$AC44)*(ISERROR(SEARCH(PayEarnCode,N$4)))*(PayEarnValues))),IF(ISNUMBER(N$3),N$3/12*$AA44,IgnoreMin)))*IF(COUNTIFS(EmpNo,$C44,OFFSET(Emp!$R$4,1,MATCH(N$5,DedListItem,0)-1,EmpCount,1),"&lt;&gt;")&gt;0,VLOOKUP($C44,EmpAll,COLUMN(Emp!$R$4)+MATCH(N$5,DedListItem,0)-1,0),OFFSET(Setup!$E$73,MATCH(N$5,DedListItem,0),0,1,1)))-SUMIFS(OFFSET(N$6,1,0,PayCount,1),PayDate,"&lt;"&amp;$AC44,PayEmp,$C44))))))</f>
        <v>90</v>
      </c>
      <c r="O44" s="133" cm="1">
        <f t="array" aca="1" ref="O44" ca="1">IF($F44="Terminated",0,IF($AA44=0,0,IF(ISNA(MATCH(O$5,DedListItem,0)),0,IF(COUNTIFS(OverEmp,$C44,OverDeduct,O$5,OverDate,"&lt;"&amp;DATE(YEAR($AC44),MONTH($AC44)+1,1),OverEnd,"&gt;="&amp;DATE(YEAR($AC44),MONTH($AC44),1))&gt;0,SUMIFS(OverValue,OverEmp,$C44,OverDeduct,O$5,OverDate,"&lt;"&amp;DATE(YEAR($AC44),MONTH($AC44)+1,1),OverEnd,"&gt;="&amp;DATE(YEAR($AC44),MONTH($AC44),1)),IF(OR(O$2="Fixed",O$2="Not Used"),(IF(COUNTIFS(EmpNo,$C44,OFFSET(Emp!$R$4,1,MATCH(O$5,DedListItem,0)-1,EmpCount,1),"&lt;&gt;")&gt;0,VLOOKUP($C44,EmpAll,COLUMN(Emp!$R$4)+MATCH(O$5,DedListItem,0)-1,0),OFFSET(Setup!$E$73,MATCH(O$5,DedListItem,0),0,1,1))*$AA44)-SUMIFS(OFFSET(O$6,1,0,PayCount,1),PayDate,"&lt;"&amp;$AC44,PayEmp,$C44),IF(ISNA(MATCH(O$2,EarnListItem,0))=FALSE,IF(OFFSET(Setup!$G$73,MATCH(O$5,DedListItem,0),0,1,1)="Taxable",SUMPRODUCT((PayEmp=$C44)*(PayDate&lt;=$AC44)*(PayEarnCode=O$2)*(PayEarnTax)*(PayEarnValues)),SUMPRODUCT((PayEmp=$C44)*(PayDate&lt;=$AC44)*(PayEarnCode=O$2)*(PayEarnValues)))*IF(COUNTIFS(EmpNo,$C44,OFFSET(Emp!$R$4,1,MATCH(O$5,DedListItem,0)-1,EmpCount,1),"&lt;&gt;")&gt;0,VLOOKUP($C44,EmpAll,COLUMN(Emp!$R$4)+MATCH(O$5,DedListItem,0)-1,0),OFFSET(Setup!$E$73,MATCH(O$5,DedListItem,0),0,1,1)),(MIN(IF(OFFSET(Setup!$G$73,MATCH(O$5,DedListItem,0),0,1,1)="Taxable",SUMPRODUCT((PayEmp=$C44)*(PayDate&lt;=$AC44)*(ISERROR(SEARCH(PayEarnCode,O$4)))*(PayEarnTax)*(PayEarnValues)),SUMPRODUCT((PayEmp=$C44)*(PayDate&lt;=$AC44)*(ISERROR(SEARCH(PayEarnCode,O$4)))*(PayEarnValues))),IF(ISNUMBER(O$3),O$3/12*$AA44,IgnoreMin)))*IF(COUNTIFS(EmpNo,$C44,OFFSET(Emp!$R$4,1,MATCH(O$5,DedListItem,0)-1,EmpCount,1),"&lt;&gt;")&gt;0,VLOOKUP($C44,EmpAll,COLUMN(Emp!$R$4)+MATCH(O$5,DedListItem,0)-1,0),OFFSET(Setup!$E$73,MATCH(O$5,DedListItem,0),0,1,1)))-SUMIFS(OFFSET(O$6,1,0,PayCount,1),PayDate,"&lt;"&amp;$AC44,PayEmp,$C44))))))</f>
        <v>0</v>
      </c>
      <c r="P44" s="133" cm="1">
        <f t="array" aca="1" ref="P44" ca="1">IF($F44="Terminated",0,IF($AA44=0,0,IF(ISNA(MATCH(P$5,DedListItem,0)),0,IF(COUNTIFS(OverEmp,$C44,OverDeduct,P$5,OverDate,"&lt;"&amp;DATE(YEAR($AC44),MONTH($AC44)+1,1),OverEnd,"&gt;="&amp;DATE(YEAR($AC44),MONTH($AC44),1))&gt;0,SUMIFS(OverValue,OverEmp,$C44,OverDeduct,P$5,OverDate,"&lt;"&amp;DATE(YEAR($AC44),MONTH($AC44)+1,1),OverEnd,"&gt;="&amp;DATE(YEAR($AC44),MONTH($AC44),1)),IF(OR(P$2="Fixed",P$2="Not Used"),(IF(COUNTIFS(EmpNo,$C44,OFFSET(Emp!$R$4,1,MATCH(P$5,DedListItem,0)-1,EmpCount,1),"&lt;&gt;")&gt;0,VLOOKUP($C44,EmpAll,COLUMN(Emp!$R$4)+MATCH(P$5,DedListItem,0)-1,0),OFFSET(Setup!$E$73,MATCH(P$5,DedListItem,0),0,1,1))*$AA44)-SUMIFS(OFFSET(P$6,1,0,PayCount,1),PayDate,"&lt;"&amp;$AC44,PayEmp,$C44),IF(ISNA(MATCH(P$2,EarnListItem,0))=FALSE,IF(OFFSET(Setup!$G$73,MATCH(P$5,DedListItem,0),0,1,1)="Taxable",SUMPRODUCT((PayEmp=$C44)*(PayDate&lt;=$AC44)*(PayEarnCode=P$2)*(PayEarnTax)*(PayEarnValues)),SUMPRODUCT((PayEmp=$C44)*(PayDate&lt;=$AC44)*(PayEarnCode=P$2)*(PayEarnValues)))*IF(COUNTIFS(EmpNo,$C44,OFFSET(Emp!$R$4,1,MATCH(P$5,DedListItem,0)-1,EmpCount,1),"&lt;&gt;")&gt;0,VLOOKUP($C44,EmpAll,COLUMN(Emp!$R$4)+MATCH(P$5,DedListItem,0)-1,0),OFFSET(Setup!$E$73,MATCH(P$5,DedListItem,0),0,1,1)),(MIN(IF(OFFSET(Setup!$G$73,MATCH(P$5,DedListItem,0),0,1,1)="Taxable",SUMPRODUCT((PayEmp=$C44)*(PayDate&lt;=$AC44)*(ISERROR(SEARCH(PayEarnCode,P$4)))*(PayEarnTax)*(PayEarnValues)),SUMPRODUCT((PayEmp=$C44)*(PayDate&lt;=$AC44)*(ISERROR(SEARCH(PayEarnCode,P$4)))*(PayEarnValues))),IF(ISNUMBER(P$3),P$3/12*$AA44,IgnoreMin)))*IF(COUNTIFS(EmpNo,$C44,OFFSET(Emp!$R$4,1,MATCH(P$5,DedListItem,0)-1,EmpCount,1),"&lt;&gt;")&gt;0,VLOOKUP($C44,EmpAll,COLUMN(Emp!$R$4)+MATCH(P$5,DedListItem,0)-1,0),OFFSET(Setup!$E$73,MATCH(P$5,DedListItem,0),0,1,1)))-SUMIFS(OFFSET(P$6,1,0,PayCount,1),PayDate,"&lt;"&amp;$AC44,PayEmp,$C44))))))</f>
        <v>0</v>
      </c>
      <c r="Q44" s="133" cm="1">
        <f t="array" aca="1" ref="Q44" ca="1">IF($F44="Terminated",0,IF($AA44=0,0,IF(ISNA(MATCH(Q$5,DedListItem,0)),0,IF(COUNTIFS(OverEmp,$C44,OverDeduct,Q$5,OverDate,"&lt;"&amp;DATE(YEAR($AC44),MONTH($AC44)+1,1),OverEnd,"&gt;="&amp;DATE(YEAR($AC44),MONTH($AC44),1))&gt;0,SUMIFS(OverValue,OverEmp,$C44,OverDeduct,Q$5,OverDate,"&lt;"&amp;DATE(YEAR($AC44),MONTH($AC44)+1,1),OverEnd,"&gt;="&amp;DATE(YEAR($AC44),MONTH($AC44),1)),IF(OR(Q$2="Fixed",Q$2="Not Used"),(IF(COUNTIFS(EmpNo,$C44,OFFSET(Emp!$R$4,1,MATCH(Q$5,DedListItem,0)-1,EmpCount,1),"&lt;&gt;")&gt;0,VLOOKUP($C44,EmpAll,COLUMN(Emp!$R$4)+MATCH(Q$5,DedListItem,0)-1,0),OFFSET(Setup!$E$73,MATCH(Q$5,DedListItem,0),0,1,1))*$AA44)-SUMIFS(OFFSET(Q$6,1,0,PayCount,1),PayDate,"&lt;"&amp;$AC44,PayEmp,$C44),IF(ISNA(MATCH(Q$2,EarnListItem,0))=FALSE,IF(OFFSET(Setup!$G$73,MATCH(Q$5,DedListItem,0),0,1,1)="Taxable",SUMPRODUCT((PayEmp=$C44)*(PayDate&lt;=$AC44)*(PayEarnCode=Q$2)*(PayEarnTax)*(PayEarnValues)),SUMPRODUCT((PayEmp=$C44)*(PayDate&lt;=$AC44)*(PayEarnCode=Q$2)*(PayEarnValues)))*IF(COUNTIFS(EmpNo,$C44,OFFSET(Emp!$R$4,1,MATCH(Q$5,DedListItem,0)-1,EmpCount,1),"&lt;&gt;")&gt;0,VLOOKUP($C44,EmpAll,COLUMN(Emp!$R$4)+MATCH(Q$5,DedListItem,0)-1,0),OFFSET(Setup!$E$73,MATCH(Q$5,DedListItem,0),0,1,1)),(MIN(IF(OFFSET(Setup!$G$73,MATCH(Q$5,DedListItem,0),0,1,1)="Taxable",SUMPRODUCT((PayEmp=$C44)*(PayDate&lt;=$AC44)*(ISERROR(SEARCH(PayEarnCode,Q$4)))*(PayEarnTax)*(PayEarnValues)),SUMPRODUCT((PayEmp=$C44)*(PayDate&lt;=$AC44)*(ISERROR(SEARCH(PayEarnCode,Q$4)))*(PayEarnValues))),IF(ISNUMBER(Q$3),Q$3/12*$AA44,IgnoreMin)))*IF(COUNTIFS(EmpNo,$C44,OFFSET(Emp!$R$4,1,MATCH(Q$5,DedListItem,0)-1,EmpCount,1),"&lt;&gt;")&gt;0,VLOOKUP($C44,EmpAll,COLUMN(Emp!$R$4)+MATCH(Q$5,DedListItem,0)-1,0),OFFSET(Setup!$E$73,MATCH(Q$5,DedListItem,0),0,1,1)))-SUMIFS(OFFSET(Q$6,1,0,PayCount,1),PayDate,"&lt;"&amp;$AC44,PayEmp,$C44))))))</f>
        <v>0</v>
      </c>
      <c r="R44" s="185">
        <f t="shared" ca="1" si="25"/>
        <v>273.75</v>
      </c>
      <c r="S44" s="139">
        <f t="shared" ca="1" si="26"/>
        <v>8726.25</v>
      </c>
      <c r="T44" s="133" cm="1">
        <f t="array" aca="1" ref="T44" ca="1">IF($F44="Terminated",0,IF($AA44=0,0,IF(ISNA(MATCH(T$5,CompListItem,0)),0,IF(COUNTIFS(OverEmp,$C44,OverComp,T$5,OverDate,"&lt;"&amp;DATE(YEAR($AC44),MONTH($AC44)+1,1),OverEnd,"&gt;="&amp;DATE(YEAR($AC44),MONTH($AC44),1))&gt;0,SUMIFS(OverValue,OverEmp,$C44,OverComp,T$5,OverDate,"&lt;"&amp;DATE(YEAR($AC44),MONTH($AC44)+1,1),OverEnd,"&gt;="&amp;DATE(YEAR($AC44),MONTH($AC44),1)),IF(OR(T$2="Fixed",T$2="Not Used"),(OFFSET(Setup!$E$81,MATCH(T$5,CompListItem,0),0,1,1)*$AA44)-SUMIFS(OFFSET(T$6,1,0,PayCount,1),PayDate,"&lt;"&amp;$AC44,PayEmp,$C44),IF(ISNA(MATCH(T$2,DedListItem,0))=FALSE,(SUMPRODUCT((PayEmp=$C44)*(PayDate&lt;=$AC44)*(PayDedList=T$2)*(PayDedValues))*OFFSET(Setup!$E$81,MATCH(T$5,CompListItem,0),0,1,1))-SUMIFS(OFFSET(T$6,1,0,PayCount,1),PayDate,"&lt;"&amp;$AC44,PayEmp,$C44),(MIN(IF(OFFSET(Setup!$G$81,MATCH(T$5,CompListItem,0),0,1,1)="Taxable",SUMPRODUCT((PayEmp=$C44)*(PayDate&lt;=$AC44)*(ISERROR(SEARCH(PayEarnCode,T$4)))*(PayEarnTax)*(PayEarnValues)),SUMPRODUCT((PayEmp=$C44)*(PayDate&lt;=$AC44)*(ISERROR(SEARCH(PayEarnCode,T$4)))*(PayEarnValues))),IF(ISNUMBER(T$3),T$3/12*$AA44,IgnoreMin)))*OFFSET(Setup!$E$81,MATCH(T$5,CompListItem,0),0,1,1)-SUMIFS(OFFSET(T$6,1,0,PayCount,1),PayDate,"&lt;"&amp;$AC44,PayEmp,$C44)))))))</f>
        <v>90</v>
      </c>
      <c r="U44" s="133" cm="1">
        <f t="array" aca="1" ref="U44" ca="1">IF($F44="Terminated",0,IF($AA44=0,0,IF(ISNA(MATCH(U$5,CompListItem,0)),0,IF(COUNTIFS(OverEmp,$C44,OverComp,U$5,OverDate,"&lt;"&amp;DATE(YEAR($AC44),MONTH($AC44)+1,1),OverEnd,"&gt;="&amp;DATE(YEAR($AC44),MONTH($AC44),1))&gt;0,SUMIFS(OverValue,OverEmp,$C44,OverComp,U$5,OverDate,"&lt;"&amp;DATE(YEAR($AC44),MONTH($AC44)+1,1),OverEnd,"&gt;="&amp;DATE(YEAR($AC44),MONTH($AC44),1)),IF(OR(U$2="Fixed",U$2="Not Used"),(OFFSET(Setup!$E$81,MATCH(U$5,CompListItem,0),0,1,1)*$AA44)-SUMIFS(OFFSET(U$6,1,0,PayCount,1),PayDate,"&lt;"&amp;$AC44,PayEmp,$C44),IF(ISNA(MATCH(U$2,DedListItem,0))=FALSE,(SUMPRODUCT((PayEmp=$C44)*(PayDate&lt;=$AC44)*(PayDedList=U$2)*(PayDedValues))*OFFSET(Setup!$E$81,MATCH(U$5,CompListItem,0),0,1,1))-SUMIFS(OFFSET(U$6,1,0,PayCount,1),PayDate,"&lt;"&amp;$AC44,PayEmp,$C44),(MIN(IF(OFFSET(Setup!$G$81,MATCH(U$5,CompListItem,0),0,1,1)="Taxable",SUMPRODUCT((PayEmp=$C44)*(PayDate&lt;=$AC44)*(ISERROR(SEARCH(PayEarnCode,U$4)))*(PayEarnTax)*(PayEarnValues)),SUMPRODUCT((PayEmp=$C44)*(PayDate&lt;=$AC44)*(ISERROR(SEARCH(PayEarnCode,U$4)))*(PayEarnValues))),IF(ISNUMBER(U$3),U$3/12*$AA44,IgnoreMin)))*OFFSET(Setup!$E$81,MATCH(U$5,CompListItem,0),0,1,1)-SUMIFS(OFFSET(U$6,1,0,PayCount,1),PayDate,"&lt;"&amp;$AC44,PayEmp,$C44)))))))</f>
        <v>90</v>
      </c>
      <c r="V44" s="133" cm="1">
        <f t="array" aca="1" ref="V44" ca="1">IF($F44="Terminated",0,IF($AA44=0,0,IF(ISNA(MATCH(V$5,CompListItem,0)),0,IF(COUNTIFS(OverEmp,$C44,OverComp,V$5,OverDate,"&lt;"&amp;DATE(YEAR($AC44),MONTH($AC44)+1,1),OverEnd,"&gt;="&amp;DATE(YEAR($AC44),MONTH($AC44),1))&gt;0,SUMIFS(OverValue,OverEmp,$C44,OverComp,V$5,OverDate,"&lt;"&amp;DATE(YEAR($AC44),MONTH($AC44)+1,1),OverEnd,"&gt;="&amp;DATE(YEAR($AC44),MONTH($AC44),1)),IF(OR(V$2="Fixed",V$2="Not Used"),(OFFSET(Setup!$E$81,MATCH(V$5,CompListItem,0),0,1,1)*$AA44)-SUMIFS(OFFSET(V$6,1,0,PayCount,1),PayDate,"&lt;"&amp;$AC44,PayEmp,$C44),IF(ISNA(MATCH(V$2,DedListItem,0))=FALSE,(SUMPRODUCT((PayEmp=$C44)*(PayDate&lt;=$AC44)*(PayDedList=V$2)*(PayDedValues))*OFFSET(Setup!$E$81,MATCH(V$5,CompListItem,0),0,1,1))-SUMIFS(OFFSET(V$6,1,0,PayCount,1),PayDate,"&lt;"&amp;$AC44,PayEmp,$C44),(MIN(IF(OFFSET(Setup!$G$81,MATCH(V$5,CompListItem,0),0,1,1)="Taxable",SUMPRODUCT((PayEmp=$C44)*(PayDate&lt;=$AC44)*(ISERROR(SEARCH(PayEarnCode,V$4)))*(PayEarnTax)*(PayEarnValues)),SUMPRODUCT((PayEmp=$C44)*(PayDate&lt;=$AC44)*(ISERROR(SEARCH(PayEarnCode,V$4)))*(PayEarnValues))),IF(ISNUMBER(V$3),V$3/12*$AA44,IgnoreMin)))*OFFSET(Setup!$E$81,MATCH(V$5,CompListItem,0),0,1,1)-SUMIFS(OFFSET(V$6,1,0,PayCount,1),PayDate,"&lt;"&amp;$AC44,PayEmp,$C44)))))))</f>
        <v>0</v>
      </c>
      <c r="W44" s="133" cm="1">
        <f t="array" aca="1" ref="W44" ca="1">IF($F44="Terminated",0,IF($AA44=0,0,IF(ISNA(MATCH(W$5,CompListItem,0)),0,IF(COUNTIFS(OverEmp,$C44,OverComp,W$5,OverDate,"&lt;"&amp;DATE(YEAR($AC44),MONTH($AC44)+1,1),OverEnd,"&gt;="&amp;DATE(YEAR($AC44),MONTH($AC44),1))&gt;0,SUMIFS(OverValue,OverEmp,$C44,OverComp,W$5,OverDate,"&lt;"&amp;DATE(YEAR($AC44),MONTH($AC44)+1,1),OverEnd,"&gt;="&amp;DATE(YEAR($AC44),MONTH($AC44),1)),IF(OR(W$2="Fixed",W$2="Not Used"),(OFFSET(Setup!$E$81,MATCH(W$5,CompListItem,0),0,1,1)*$AA44)-SUMIFS(OFFSET(W$6,1,0,PayCount,1),PayDate,"&lt;"&amp;$AC44,PayEmp,$C44),IF(ISNA(MATCH(W$2,DedListItem,0))=FALSE,(SUMPRODUCT((PayEmp=$C44)*(PayDate&lt;=$AC44)*(PayDedList=W$2)*(PayDedValues))*OFFSET(Setup!$E$81,MATCH(W$5,CompListItem,0),0,1,1))-SUMIFS(OFFSET(W$6,1,0,PayCount,1),PayDate,"&lt;"&amp;$AC44,PayEmp,$C44),(MIN(IF(OFFSET(Setup!$G$81,MATCH(W$5,CompListItem,0),0,1,1)="Taxable",SUMPRODUCT((PayEmp=$C44)*(PayDate&lt;=$AC44)*(ISERROR(SEARCH(PayEarnCode,W$4)))*(PayEarnTax)*(PayEarnValues)),SUMPRODUCT((PayEmp=$C44)*(PayDate&lt;=$AC44)*(ISERROR(SEARCH(PayEarnCode,W$4)))*(PayEarnValues))),IF(ISNUMBER(W$3),W$3/12*$AA44,IgnoreMin)))*OFFSET(Setup!$E$81,MATCH(W$5,CompListItem,0),0,1,1)-SUMIFS(OFFSET(W$6,1,0,PayCount,1),PayDate,"&lt;"&amp;$AC44,PayEmp,$C44)))))))</f>
        <v>0</v>
      </c>
      <c r="X44" s="185">
        <f t="shared" ca="1" si="18"/>
        <v>180</v>
      </c>
      <c r="Y44" s="139">
        <f t="shared" ca="1" si="27"/>
        <v>9180</v>
      </c>
      <c r="Z44" s="139">
        <f t="shared" ca="1" si="19"/>
        <v>453.75</v>
      </c>
      <c r="AA44" s="146">
        <f ca="1">IF(OR($B44&lt;=Setup!$E$12,$B44&gt;=Setup!$D$12+1),0,IF($F44&lt;&gt;"Active",0,IF($AE44="Yes",$AB44,((YEAR($AC44)*12)+MONTH($AC44))-((YEAR($AD44)*12)+MONTH($AD44)-1))))</f>
        <v>3</v>
      </c>
      <c r="AB44" s="146">
        <f ca="1">IF(OR($B44&lt;=Setup!$E$12,$B44&gt;=Setup!$D$12+1),0,((YEAR($AC44)*12)+MONTH($AC44))-((YEAR(Setup!$E$12)*12)+MONTH(Setup!$E$12)))</f>
        <v>3</v>
      </c>
      <c r="AC44" s="186">
        <f t="shared" ca="1" si="20"/>
        <v>45071</v>
      </c>
      <c r="AD44" s="144">
        <f ca="1">IF(ISNA(VLOOKUP($C44,EmpAll,COLUMN(Emp!$E$4),0)),$AC44,IF(VLOOKUP($C44,EmpAll,COLUMN(Emp!$E$4),0)&lt;=Setup!$E$12,DATE(YEAR(Setup!$E$12),MONTH(Setup!$E$12)+1,1),VLOOKUP($C44,EmpAll,COLUMN(Emp!$E$4),0)))</f>
        <v>44986</v>
      </c>
      <c r="AE44" s="144" t="str">
        <f ca="1">IF(ISNA(VLOOKUP($C44,EmpAll,COLUMN(Emp!$G$1),0)),"-",IF(VLOOKUP($C44,EmpAll,COLUMN(Emp!$G$1),0)=0,"-",VLOOKUP($C44,EmpAll,COLUMN(Emp!$G$1),0)))</f>
        <v>-</v>
      </c>
      <c r="AF44" s="145">
        <f ca="1">IF(A44=PaySlip!$G$3,1,0)</f>
        <v>0</v>
      </c>
      <c r="AG44" s="130" cm="1">
        <f t="array" aca="1" ref="AG44" ca="1">IF(COUNTIFS(OverEmp,$C44,OverMed,"MED",OverDate,"&lt;"&amp;DATE(YEAR($AC44),MONTH($AC44)+1,1),OverEnd,"&gt;="&amp;DATE(YEAR($AC44),MONTH($AC44),1))&gt;0,SUMIFS(OverValue,OverEmp,$C44,OverMed,"MED",OverDate,"&lt;"&amp;DATE(YEAR($AC44),MONTH($AC44)+1,1),OverEnd,"&gt;="&amp;DATE(YEAR($AC44),MONTH($AC44),1)),IF(ISNA(VLOOKUP($C44,EmpAll,COLUMN(Emp!$N$4),0)),0,VLOOKUP($C44,EmpAll,COLUMN(Emp!$N$4),0)))</f>
        <v>0</v>
      </c>
      <c r="AH44" s="146">
        <f ca="1">VLOOKUP($AG44,MedList,COLUMN(Setup!$C$49),1)</f>
        <v>0</v>
      </c>
      <c r="AI44" s="146">
        <f t="shared" ca="1" si="7"/>
        <v>0</v>
      </c>
      <c r="AJ44" s="101" t="str">
        <f ca="1">IF(ISNA(VLOOKUP($C44,EmpAll,COLUMN(Emp!$L$4),0)),"None!",VLOOKUP($C44,EmpAll,COLUMN(Emp!$L$4),0))</f>
        <v>A</v>
      </c>
      <c r="AK44" s="147">
        <f t="shared" ca="1" si="21"/>
        <v>17235</v>
      </c>
      <c r="AL44" s="101" t="str">
        <f ca="1">IF(ISNA(VLOOKUP($C44,Employees[],COLUMN(Emp!$M$4),0))=TRUE,"Error!",IF(VLOOKUP($C44,Employees[],COLUMN(Emp!$M$4),0)=0,"Yes",VLOOKUP($C44,Employees[],COLUMN(Emp!$M$4),0)))</f>
        <v>A</v>
      </c>
      <c r="AM44" s="148">
        <f t="shared" ca="1" si="9"/>
        <v>108000</v>
      </c>
      <c r="AN44" s="148" cm="1">
        <f t="array" aca="1" ref="AN44" ca="1">-IF($F44="Terminated",0,IF($AA44=0,0,IF(ISNA(MATCH(AN$5,PayDedList,0)),0,MIN(IF(COUNTIFS(OverEmp,$C44,OverDeduct,AN$5,OverDate,"&lt;"&amp;DATE(YEAR($AC44),MONTH($AC44)+1,1),OverEnd,"&gt;="&amp;DATE(YEAR($AC44),MONTH($AC44),1))&gt;0,SUMPRODUCT((PayEmp=$C44)*(PayDate&lt;=$AC44)*(OFFSET($N$6,1,MATCH(AN$5,PayDedList,0)-1,PayCount,1)))/$AA44*12*AN$3,IF(OR(AN$1="Fixed",AN$1="Not Used"),SUMPRODUCT((PayEmp=$C44)*(PayDate&lt;=$AC44)*(OFFSET($N$6,1,MATCH(AN$5,PayDedList,0)-1,PayCount,1)))/$AA44*12*AN$3,IF(ISNA(MATCH(AN$1,EarnListItem,0))=FALSE,SUMPRODUCT((PayEmp=$C44)*(PayDate&lt;=$AC44)*(OFFSET($N$6,1,MATCH(AN$5,PayDedList,0)-1,PayCount,1)))/$AA44*12*AN$3,(MIN(((SUMPRODUCT((PayEmp=$C44)*(PayDate&lt;=$AC44)*(ISERROR(SEARCH(PayEarnCode,AN$2)))*(PayEarnType="Monthly")*(PayEarnValues))/$AA44*12)+(SUMPRODUCT((PayEmp=$C44)*(PayDate&lt;=$AC44)*(ISERROR(SEARCH(PayEarnCode,AN$2)))*(PayEarnType="Quarterly")*(PayEarnValues))/MAX(1,ROUNDDOWN($AB44/3,0))*4)+(SUMPRODUCT((PayEmp=$C44)*(PayDate&lt;=$AC44)*(ISERROR(SEARCH(PayEarnCode,AN$2)))*(PayEarnType="Bi-Annual")*(PayEarnValues))/MAX(1,ROUNDDOWN($AB44/6,0))*2)+(SUMPRODUCT((PayEmp=$C44)*(PayDate&lt;=$AC44)*(ISERROR(SEARCH(PayEarnCode,AN$2)))*(PayEarnType="Annual")*(PayEarnValues)))),IF(ISNUMBER(OFFSET($N$3,0,MATCH(AN$5,PayDedList,0)-1,1,1)),OFFSET($N$3,0,MATCH(AN$5,PayDedList,0)-1,1,1),IgnoreMin)))*IF(COUNTIFS(EmpNo,$C44,OFFSET(Emp!$R$4,1,MATCH(AN$5,DedListItem,0)-1,EmpCount,1),"&lt;&gt;")&gt;0,VLOOKUP($C44,EmpAll,COLUMN(Emp!$R$4)+MATCH(AN$5,DedListItem,0)-1,0),OFFSET(Setup!$E$73,MATCH(AN$5,DedListItem,0),0,1,1))*AN$3))),IF(ISNUMBER(AN$4),AN$4,IgnoreMin)))))</f>
        <v>0</v>
      </c>
      <c r="AO44" s="148" cm="1">
        <f t="array" aca="1" ref="AO44" ca="1">-IF($F44="Terminated",0,IF($AA44=0,0,IF(ISNA(MATCH(AO$5,PayDedList,0)),0,MIN(IF(COUNTIFS(OverEmp,$C44,OverDeduct,AO$5,OverDate,"&lt;"&amp;DATE(YEAR($AC44),MONTH($AC44)+1,1),OverEnd,"&gt;="&amp;DATE(YEAR($AC44),MONTH($AC44),1))&gt;0,SUMPRODUCT((PayEmp=$C44)*(PayDate&lt;=$AC44)*(OFFSET($N$6,1,MATCH(AO$5,PayDedList,0)-1,PayCount,1)))/$AA44*12*AO$3,IF(OR(AO$1="Fixed",AO$1="Not Used"),SUMPRODUCT((PayEmp=$C44)*(PayDate&lt;=$AC44)*(OFFSET($N$6,1,MATCH(AO$5,PayDedList,0)-1,PayCount,1)))/$AA44*12*AO$3,IF(ISNA(MATCH(AO$1,EarnListItem,0))=FALSE,SUMPRODUCT((PayEmp=$C44)*(PayDate&lt;=$AC44)*(OFFSET($N$6,1,MATCH(AO$5,PayDedList,0)-1,PayCount,1)))/$AA44*12*AO$3,(MIN(((SUMPRODUCT((PayEmp=$C44)*(PayDate&lt;=$AC44)*(ISERROR(SEARCH(PayEarnCode,AO$2)))*(PayEarnType="Monthly")*(PayEarnValues))/$AA44*12)+(SUMPRODUCT((PayEmp=$C44)*(PayDate&lt;=$AC44)*(ISERROR(SEARCH(PayEarnCode,AO$2)))*(PayEarnType="Quarterly")*(PayEarnValues))/MAX(1,ROUNDDOWN($AB44/3,0))*4)+(SUMPRODUCT((PayEmp=$C44)*(PayDate&lt;=$AC44)*(ISERROR(SEARCH(PayEarnCode,AO$2)))*(PayEarnType="Bi-Annual")*(PayEarnValues))/MAX(1,ROUNDDOWN($AB44/6,0))*2)+(SUMPRODUCT((PayEmp=$C44)*(PayDate&lt;=$AC44)*(ISERROR(SEARCH(PayEarnCode,AO$2)))*(PayEarnType="Annual")*(PayEarnValues)))),IF(ISNUMBER(OFFSET($N$3,0,MATCH(AO$5,PayDedList,0)-1,1,1)),OFFSET($N$3,0,MATCH(AO$5,PayDedList,0)-1,1,1),IgnoreMin)))*IF(COUNTIFS(EmpNo,$C44,OFFSET(Emp!$R$4,1,MATCH(AO$5,DedListItem,0)-1,EmpCount,1),"&lt;&gt;")&gt;0,VLOOKUP($C44,EmpAll,COLUMN(Emp!$R$4)+MATCH(AO$5,DedListItem,0)-1,0),OFFSET(Setup!$E$73,MATCH(AO$5,DedListItem,0),0,1,1))*AO$3))),IF(ISNUMBER(AO$4),AO$4,IgnoreMin)))))</f>
        <v>0</v>
      </c>
      <c r="AP44" s="148" cm="1">
        <f t="array" aca="1" ref="AP44" ca="1">-IF($F44="Terminated",0,IF($AA44=0,0,IF(ISNA(MATCH(AP$5,PayDedList,0)),0,MIN(IF(COUNTIFS(OverEmp,$C44,OverDeduct,AP$5,OverDate,"&lt;"&amp;DATE(YEAR($AC44),MONTH($AC44)+1,1),OverEnd,"&gt;="&amp;DATE(YEAR($AC44),MONTH($AC44),1))&gt;0,SUMPRODUCT((PayEmp=$C44)*(PayDate&lt;=$AC44)*(OFFSET($N$6,1,MATCH(AP$5,PayDedList,0)-1,PayCount,1)))/$AA44*12*AP$3,IF(OR(AP$1="Fixed",AP$1="Not Used"),SUMPRODUCT((PayEmp=$C44)*(PayDate&lt;=$AC44)*(OFFSET($N$6,1,MATCH(AP$5,PayDedList,0)-1,PayCount,1)))/$AA44*12*AP$3,IF(ISNA(MATCH(AP$1,EarnListItem,0))=FALSE,SUMPRODUCT((PayEmp=$C44)*(PayDate&lt;=$AC44)*(OFFSET($N$6,1,MATCH(AP$5,PayDedList,0)-1,PayCount,1)))/$AA44*12*AP$3,(MIN(((SUMPRODUCT((PayEmp=$C44)*(PayDate&lt;=$AC44)*(ISERROR(SEARCH(PayEarnCode,AP$2)))*(PayEarnType="Monthly")*(PayEarnValues))/$AA44*12)+(SUMPRODUCT((PayEmp=$C44)*(PayDate&lt;=$AC44)*(ISERROR(SEARCH(PayEarnCode,AP$2)))*(PayEarnType="Quarterly")*(PayEarnValues))/MAX(1,ROUNDDOWN($AB44/3,0))*4)+(SUMPRODUCT((PayEmp=$C44)*(PayDate&lt;=$AC44)*(ISERROR(SEARCH(PayEarnCode,AP$2)))*(PayEarnType="Bi-Annual")*(PayEarnValues))/MAX(1,ROUNDDOWN($AB44/6,0))*2)+(SUMPRODUCT((PayEmp=$C44)*(PayDate&lt;=$AC44)*(ISERROR(SEARCH(PayEarnCode,AP$2)))*(PayEarnType="Annual")*(PayEarnValues)))),IF(ISNUMBER(OFFSET($N$3,0,MATCH(AP$5,PayDedList,0)-1,1,1)),OFFSET($N$3,0,MATCH(AP$5,PayDedList,0)-1,1,1),IgnoreMin)))*IF(COUNTIFS(EmpNo,$C44,OFFSET(Emp!$R$4,1,MATCH(AP$5,DedListItem,0)-1,EmpCount,1),"&lt;&gt;")&gt;0,VLOOKUP($C44,EmpAll,COLUMN(Emp!$R$4)+MATCH(AP$5,DedListItem,0)-1,0),OFFSET(Setup!$E$73,MATCH(AP$5,DedListItem,0),0,1,1))*AP$3))),IF(ISNUMBER(AP$4),AP$4,IgnoreMin)))))</f>
        <v>0</v>
      </c>
      <c r="AQ44" s="148" cm="1">
        <f t="array" aca="1" ref="AQ44" ca="1">-IF($F44="Terminated",0,IF($AA44=0,0,IF(ISNA(MATCH(AQ$5,PayDedList,0)),0,MIN(IF(COUNTIFS(OverEmp,$C44,OverDeduct,AQ$5,OverDate,"&lt;"&amp;DATE(YEAR($AC44),MONTH($AC44)+1,1),OverEnd,"&gt;="&amp;DATE(YEAR($AC44),MONTH($AC44),1))&gt;0,SUMPRODUCT((PayEmp=$C44)*(PayDate&lt;=$AC44)*(OFFSET($N$6,1,MATCH(AQ$5,PayDedList,0)-1,PayCount,1)))/$AA44*12*AQ$3,IF(OR(AQ$1="Fixed",AQ$1="Not Used"),SUMPRODUCT((PayEmp=$C44)*(PayDate&lt;=$AC44)*(OFFSET($N$6,1,MATCH(AQ$5,PayDedList,0)-1,PayCount,1)))/$AA44*12*AQ$3,IF(ISNA(MATCH(AQ$1,EarnListItem,0))=FALSE,SUMPRODUCT((PayEmp=$C44)*(PayDate&lt;=$AC44)*(OFFSET($N$6,1,MATCH(AQ$5,PayDedList,0)-1,PayCount,1)))/$AA44*12*AQ$3,(MIN(((SUMPRODUCT((PayEmp=$C44)*(PayDate&lt;=$AC44)*(ISERROR(SEARCH(PayEarnCode,AQ$2)))*(PayEarnType="Monthly")*(PayEarnValues))/$AA44*12)+(SUMPRODUCT((PayEmp=$C44)*(PayDate&lt;=$AC44)*(ISERROR(SEARCH(PayEarnCode,AQ$2)))*(PayEarnType="Quarterly")*(PayEarnValues))/MAX(1,ROUNDDOWN($AB44/3,0))*4)+(SUMPRODUCT((PayEmp=$C44)*(PayDate&lt;=$AC44)*(ISERROR(SEARCH(PayEarnCode,AQ$2)))*(PayEarnType="Bi-Annual")*(PayEarnValues))/MAX(1,ROUNDDOWN($AB44/6,0))*2)+(SUMPRODUCT((PayEmp=$C44)*(PayDate&lt;=$AC44)*(ISERROR(SEARCH(PayEarnCode,AQ$2)))*(PayEarnType="Annual")*(PayEarnValues)))),IF(ISNUMBER(OFFSET($N$3,0,MATCH(AQ$5,PayDedList,0)-1,1,1)),OFFSET($N$3,0,MATCH(AQ$5,PayDedList,0)-1,1,1),IgnoreMin)))*IF(COUNTIFS(EmpNo,$C44,OFFSET(Emp!$R$4,1,MATCH(AQ$5,DedListItem,0)-1,EmpCount,1),"&lt;&gt;")&gt;0,VLOOKUP($C44,EmpAll,COLUMN(Emp!$R$4)+MATCH(AQ$5,DedListItem,0)-1,0),OFFSET(Setup!$E$73,MATCH(AQ$5,DedListItem,0),0,1,1))*AQ$3))),IF(ISNUMBER(AQ$4),AQ$4,IgnoreMin)))))</f>
        <v>0</v>
      </c>
      <c r="AR44" s="148">
        <f t="shared" ca="1" si="22"/>
        <v>108000</v>
      </c>
      <c r="AS44" s="148">
        <f t="shared" ca="1" si="11"/>
        <v>108000</v>
      </c>
      <c r="AT44" s="148" cm="1">
        <f t="array" aca="1" ref="AT44" ca="1">-IF($F44="Terminated",0,IF($AA44=0,0,IF(ISNA(MATCH(AT$5,PayDedList,0)),0,MIN(IF(COUNTIFS(OverEmp,$C44,OverDeduct,AT$5,OverDate,"&lt;"&amp;DATE(YEAR($AC44),MONTH($AC44)+1,1),OverEnd,"&gt;="&amp;DATE(YEAR($AC44),MONTH($AC44),1))&gt;0,SUMPRODUCT((PayEmp=$C44)*(PayDate&lt;=$AC44)*(OFFSET($N$6,1,MATCH(AT$5,PayDedList,0)-1,PayCount,1)))/$AA44*12*AT$3,IF(OR(AT$1="Fixed",AT$1="Not Used"),SUMPRODUCT((PayEmp=$C44)*(PayDate&lt;=$AC44)*(OFFSET($N$6,1,MATCH(AT$5,PayDedList,0)-1,PayCount,1)))/$AA44*12*AT$3,IF(ISNA(MATCH(OFFSET($N$2,0,MATCH(AT$5,PayDedList,0)-1,1,1),EarnListItem,0))=FALSE,SUMPRODUCT((PayEmp=$C44)*(PayDate&lt;=$AC44)*(OFFSET($N$6,1,MATCH(AT$5,PayDedList,0)-1,PayCount,1)))/$AA44*12*AT$3,(MIN(SUMPRODUCT((PayEmp=$C44)*(PayDate&lt;=$AC44)*(ISERROR(SEARCH(PayEarnCode,AT$2)))*(PayEarnType="Monthly")*(PayEarnValues))/$AA44*12,IF(ISNUMBER(OFFSET($N$3,0,MATCH(AT$5,PayDedList,0)-1,1,1)),OFFSET($N$3,0,MATCH(AT$5,PayDedList,0)-1,1,1),IgnoreMin)))*IF(COUNTIFS(EmpNo,$C44,OFFSET(Emp!$R$4,1,MATCH(AT$5,DedListItem,0)-1,EmpCount,1),"&lt;&gt;")&gt;0,VLOOKUP($C44,EmpAll,COLUMN(Emp!$R$4)+MATCH(AT$5,DedListItem,0)-1,0),OFFSET(Setup!$E$73,MATCH(AT$5,DedListItem,0),0,1,1))*AT$3))),IF(ISNUMBER(AT$4),AT$4,IgnoreMin)))))</f>
        <v>0</v>
      </c>
      <c r="AU44" s="148" cm="1">
        <f t="array" aca="1" ref="AU44" ca="1">-IF($F44="Terminated",0,IF($AA44=0,0,IF(ISNA(MATCH(AU$5,PayDedList,0)),0,MIN(IF(COUNTIFS(OverEmp,$C44,OverDeduct,AU$5,OverDate,"&lt;"&amp;DATE(YEAR($AC44),MONTH($AC44)+1,1),OverEnd,"&gt;="&amp;DATE(YEAR($AC44),MONTH($AC44),1))&gt;0,SUMPRODUCT((PayEmp=$C44)*(PayDate&lt;=$AC44)*(OFFSET($N$6,1,MATCH(AU$5,PayDedList,0)-1,PayCount,1)))/$AA44*12*AU$3,IF(OR(AU$1="Fixed",AU$1="Not Used"),SUMPRODUCT((PayEmp=$C44)*(PayDate&lt;=$AC44)*(OFFSET($N$6,1,MATCH(AU$5,PayDedList,0)-1,PayCount,1)))/$AA44*12*AU$3,IF(ISNA(MATCH(OFFSET($N$2,0,MATCH(AU$5,PayDedList,0)-1,1,1),EarnListItem,0))=FALSE,SUMPRODUCT((PayEmp=$C44)*(PayDate&lt;=$AC44)*(OFFSET($N$6,1,MATCH(AU$5,PayDedList,0)-1,PayCount,1)))/$AA44*12*AU$3,(MIN(SUMPRODUCT((PayEmp=$C44)*(PayDate&lt;=$AC44)*(ISERROR(SEARCH(PayEarnCode,AU$2)))*(PayEarnType="Monthly")*(PayEarnValues))/$AA44*12,IF(ISNUMBER(OFFSET($N$3,0,MATCH(AU$5,PayDedList,0)-1,1,1)),OFFSET($N$3,0,MATCH(AU$5,PayDedList,0)-1,1,1),IgnoreMin)))*IF(COUNTIFS(EmpNo,$C44,OFFSET(Emp!$R$4,1,MATCH(AU$5,DedListItem,0)-1,EmpCount,1),"&lt;&gt;")&gt;0,VLOOKUP($C44,EmpAll,COLUMN(Emp!$R$4)+MATCH(AU$5,DedListItem,0)-1,0),OFFSET(Setup!$E$73,MATCH(AU$5,DedListItem,0),0,1,1))*AU$3))),IF(ISNUMBER(AU$4),AU$4,IgnoreMin)))))</f>
        <v>0</v>
      </c>
      <c r="AV44" s="148" cm="1">
        <f t="array" aca="1" ref="AV44" ca="1">-IF($F44="Terminated",0,IF($AA44=0,0,IF(ISNA(MATCH(AV$5,PayDedList,0)),0,MIN(IF(COUNTIFS(OverEmp,$C44,OverDeduct,AV$5,OverDate,"&lt;"&amp;DATE(YEAR($AC44),MONTH($AC44)+1,1),OverEnd,"&gt;="&amp;DATE(YEAR($AC44),MONTH($AC44),1))&gt;0,SUMPRODUCT((PayEmp=$C44)*(PayDate&lt;=$AC44)*(OFFSET($N$6,1,MATCH(AV$5,PayDedList,0)-1,PayCount,1)))/$AA44*12*AV$3,IF(OR(AV$1="Fixed",AV$1="Not Used"),SUMPRODUCT((PayEmp=$C44)*(PayDate&lt;=$AC44)*(OFFSET($N$6,1,MATCH(AV$5,PayDedList,0)-1,PayCount,1)))/$AA44*12*AV$3,IF(ISNA(MATCH(OFFSET($N$2,0,MATCH(AV$5,PayDedList,0)-1,1,1),EarnListItem,0))=FALSE,SUMPRODUCT((PayEmp=$C44)*(PayDate&lt;=$AC44)*(OFFSET($N$6,1,MATCH(AV$5,PayDedList,0)-1,PayCount,1)))/$AA44*12*AV$3,(MIN(SUMPRODUCT((PayEmp=$C44)*(PayDate&lt;=$AC44)*(ISERROR(SEARCH(PayEarnCode,AV$2)))*(PayEarnType="Monthly")*(PayEarnValues))/$AA44*12,IF(ISNUMBER(OFFSET($N$3,0,MATCH(AV$5,PayDedList,0)-1,1,1)),OFFSET($N$3,0,MATCH(AV$5,PayDedList,0)-1,1,1),IgnoreMin)))*IF(COUNTIFS(EmpNo,$C44,OFFSET(Emp!$R$4,1,MATCH(AV$5,DedListItem,0)-1,EmpCount,1),"&lt;&gt;")&gt;0,VLOOKUP($C44,EmpAll,COLUMN(Emp!$R$4)+MATCH(AV$5,DedListItem,0)-1,0),OFFSET(Setup!$E$73,MATCH(AV$5,DedListItem,0),0,1,1))*AV$3))),IF(ISNUMBER(AV$4),AV$4,IgnoreMin)))))</f>
        <v>0</v>
      </c>
      <c r="AW44" s="148" cm="1">
        <f t="array" aca="1" ref="AW44" ca="1">-IF($F44="Terminated",0,IF($AA44=0,0,IF(ISNA(MATCH(AW$5,PayDedList,0)),0,MIN(IF(COUNTIFS(OverEmp,$C44,OverDeduct,AW$5,OverDate,"&lt;"&amp;DATE(YEAR($AC44),MONTH($AC44)+1,1),OverEnd,"&gt;="&amp;DATE(YEAR($AC44),MONTH($AC44),1))&gt;0,SUMPRODUCT((PayEmp=$C44)*(PayDate&lt;=$AC44)*(OFFSET($N$6,1,MATCH(AW$5,PayDedList,0)-1,PayCount,1)))/$AA44*12*AW$3,IF(OR(AW$1="Fixed",AW$1="Not Used"),SUMPRODUCT((PayEmp=$C44)*(PayDate&lt;=$AC44)*(OFFSET($N$6,1,MATCH(AW$5,PayDedList,0)-1,PayCount,1)))/$AA44*12*AW$3,IF(ISNA(MATCH(OFFSET($N$2,0,MATCH(AW$5,PayDedList,0)-1,1,1),EarnListItem,0))=FALSE,SUMPRODUCT((PayEmp=$C44)*(PayDate&lt;=$AC44)*(OFFSET($N$6,1,MATCH(AW$5,PayDedList,0)-1,PayCount,1)))/$AA44*12*AW$3,(MIN(SUMPRODUCT((PayEmp=$C44)*(PayDate&lt;=$AC44)*(ISERROR(SEARCH(PayEarnCode,AW$2)))*(PayEarnType="Monthly")*(PayEarnValues))/$AA44*12,IF(ISNUMBER(OFFSET($N$3,0,MATCH(AW$5,PayDedList,0)-1,1,1)),OFFSET($N$3,0,MATCH(AW$5,PayDedList,0)-1,1,1),IgnoreMin)))*IF(COUNTIFS(EmpNo,$C44,OFFSET(Emp!$R$4,1,MATCH(AW$5,DedListItem,0)-1,EmpCount,1),"&lt;&gt;")&gt;0,VLOOKUP($C44,EmpAll,COLUMN(Emp!$R$4)+MATCH(AW$5,DedListItem,0)-1,0),OFFSET(Setup!$E$73,MATCH(AW$5,DedListItem,0),0,1,1))*AW$3))),IF(ISNUMBER(AW$4),AW$4,IgnoreMin)))))</f>
        <v>0</v>
      </c>
      <c r="AX44" s="148">
        <f t="shared" ca="1" si="28"/>
        <v>108000</v>
      </c>
      <c r="AY44" s="148">
        <f t="shared" ca="1" si="29"/>
        <v>0</v>
      </c>
      <c r="AZ44" s="148">
        <f ca="1">IF(ISNUMBER($AL44),($AR44*$AL44)-$AI44-$AK44,MAX(0,IF($AL44="B",IF($AR44&lt;Setup!$C$32,($AR44*Setup!$D$32)-$AI44-$AK44,(($AR44-VLOOKUP($AR44,TaxAll2,1,1))*OFFSET(Setup!$D$32,MATCH($AR44,TaxBracket2,1),0,1,1))+OFFSET(Setup!$E$31,MATCH($AR44,TaxBracket2,1),0,1,1)-$AI44-$AK44),IF($AR44&lt;Setup!$C$21,($AR44*Setup!$D$21)-$AI44-$AK44,(($AR44-VLOOKUP($AR44,TaxAll1,1,1))*OFFSET(Setup!$D$21,MATCH($AR44,TaxBracket1,1),0,1,1))+OFFSET(Setup!$E$20,MATCH($AR44,TaxBracket1,1),0,1,1)-$AI44-$AK44))))</f>
        <v>2205</v>
      </c>
      <c r="BA44" s="148">
        <f ca="1">IF(ISNUMBER($AL44),($AX44*$AL44)-$AI44-$AK44,MAX(0,IF($AL44="B",IF($AX44&lt;Setup!$C$32,($AX44*Setup!$D$32)-$AI44-$AK44,(($AX44-VLOOKUP($AX44,TaxAll2,1,1))*OFFSET(Setup!$D$32,MATCH($AX44,TaxBracket2,1),0,1,1))+OFFSET(Setup!$E$31,MATCH($AX44,TaxBracket2,1),0,1,1)-$AI44-$AK44),IF($AX44&lt;Setup!$C$21,($AX44*Setup!$D$21)-$AI44-$AK44,(($AX44-VLOOKUP($AX44,TaxAll1,1,1))*OFFSET(Setup!$D$21,MATCH($AX44,TaxBracket1,1),0,1,1))+OFFSET(Setup!$E$20,MATCH($AX44,TaxBracket1,1),0,1,1)-$AI44-$AK44))))</f>
        <v>2205</v>
      </c>
      <c r="BB44" s="148">
        <f t="shared" ca="1" si="23"/>
        <v>0</v>
      </c>
      <c r="BC44" s="150">
        <f t="shared" ca="1" si="15"/>
        <v>1</v>
      </c>
      <c r="BD44" s="150">
        <f t="shared" ca="1" si="16"/>
        <v>0</v>
      </c>
      <c r="BE44" s="148">
        <f t="shared" ca="1" si="17"/>
        <v>108000</v>
      </c>
    </row>
    <row r="45" spans="1:57" ht="16.149999999999999" customHeight="1" x14ac:dyDescent="0.25">
      <c r="A45" s="10" t="str" cm="1">
        <f t="array" aca="1" ref="A45" ca="1">IF(ROW($A45)-ROW($A$6)&gt;EmpCount*12,"-",TEXT($B45,"yyyy")&amp;TEXT($B45,"mm")&amp;"-"&amp;$C45)</f>
        <v>202305-EXS009</v>
      </c>
      <c r="B45" s="137" cm="1">
        <f t="array" aca="1" ref="B45" ca="1">IF(ROW($A45)-ROW($A$6)&gt;EmpCount*12,Setup!$D$12,DATE(YEAR(Setup!$F$12),MONTH(Setup!$F$12)+ROUNDDOWN((ROW($A45)-ROW($A$6)-1)/EmpCount,0),IF(Setup!$C$14&gt;DAY(DATE(YEAR(Setup!$F$12),MONTH(Setup!$F$12)+ROUNDDOWN((ROW($A45)-ROW($A$6)-1)/EmpCount,0)+1,0)),DAY(DATE(YEAR(Setup!$F$12),MONTH(Setup!$F$12)+ROUNDDOWN((ROW($A45)-ROW($A$6)-1)/EmpCount,0)+1,0)),Setup!$C$14)))</f>
        <v>45071</v>
      </c>
      <c r="C45" s="101" t="str" cm="1">
        <f t="array" aca="1" ref="C45" ca="1">IF(ROW($A45)-ROW($A$6)&gt;EmpCount*12,"-",OFFSET(Emp!$A$4,ROW($A45)-ROW($A$6)-IF(ROW($A45)-ROW($A$6)&gt;EmpCount,ROUNDDOWN((ROW($A45)-ROW($A$6)-1)/EmpCount,0)*EmpCount,0),0,1,1))</f>
        <v>EXS009</v>
      </c>
      <c r="D45" s="10" t="str">
        <f ca="1">IF(ISNA(VLOOKUP($C45,EmpAll,COLUMN(Emp!$B$4),0)),"-",VLOOKUP($C45,EmpAll,COLUMN(Emp!$B$4),0))</f>
        <v>Brown JT</v>
      </c>
      <c r="E45" s="145" t="str">
        <f ca="1">IF(ISNA(VLOOKUP($C45,EmpAll,COLUMN(Emp!$C$4),0)),"-",VLOOKUP($C45,EmpAll,COLUMN(Emp!$C$4),0))</f>
        <v>A</v>
      </c>
      <c r="F45" s="101" t="str">
        <f ca="1">IF(ISNA(VLOOKUP($C45,EmpAll,COLUMN(Emp!$A$4),0)),"-",IF(AND(VLOOKUP($C45,EmpAll,COLUMN(Emp!$E$4),0)&lt;&gt;0,VLOOKUP($C45,EmpAll,COLUMN(Emp!$E$4),0)&gt;=DATE(YEAR($AC45),MONTH($AC45)+1,0)),"Inactive",IF(AND(VLOOKUP($C45,EmpAll,COLUMN(Emp!$F$4),0)&lt;&gt;0,VLOOKUP($C45,EmpAll,COLUMN(Emp!$F$4),0)&lt;=DATE(YEAR($AC45),MONTH($AC45),0)),"Terminated","Active")))</f>
        <v>Active</v>
      </c>
      <c r="G45" s="133" cm="1">
        <f t="array" aca="1" ref="G45" ca="1">IF($F45&lt;&gt;"Active",0,IF(COUNTIFS(OverEmp,$C45,OverEarn,G$2,OverDate,"&lt;"&amp;DATE(YEAR($AC45),MONTH($AC45)+1,1),OverEnd,"&gt;="&amp;DATE(YEAR($AC45),MONTH($AC45),1))&gt;0,SUMIFS(OverValue,OverEmp,$C45,OverEarn,G$2,OverDate,"&lt;"&amp;DATE(YEAR($AC45),MONTH($AC45)+1,1),OverEnd,"&gt;="&amp;DATE(YEAR($AC45),MONTH($AC45),1)),IF(AND($AC45&gt;=Setup!$E$10,SUMIFS(EmpIncrease,EmpCode,$C45)&gt;0),SUMIFS(EmpIncrease,EmpCode,$C45),SUMIFS(EmpSalary,EmpCode,$C45))))</f>
        <v>9000</v>
      </c>
      <c r="H45" s="133" cm="1">
        <f t="array" aca="1" ref="H45" ca="1">IF($F45&lt;&gt;"Active",0,IF(COUNTIFS(OverEmp,$C45,OverEarn,H$2,OverDate,"&lt;"&amp;DATE(YEAR($AC45),MONTH($AC45)+1,1),OverEnd,"&gt;="&amp;DATE(YEAR($AC45),MONTH($AC45),1))&gt;0,SUMIFS(OverValue,OverEmp,$C45,OverEarn,H$2,OverDate,"&lt;"&amp;DATE(YEAR($AC45),MONTH($AC45)+1,1),OverEnd,"&gt;="&amp;DATE(YEAR($AC45),MONTH($AC45),1)),0))</f>
        <v>0</v>
      </c>
      <c r="I45" s="133" cm="1">
        <f t="array" aca="1" ref="I45" ca="1">IF($F45&lt;&gt;"Active",0,IF(COUNTIFS(OverEmp,$C45,OverEarn,I$2,OverDate,"&lt;"&amp;DATE(YEAR($AC45),MONTH($AC45)+1,1),OverEnd,"&gt;="&amp;DATE(YEAR($AC45),MONTH($AC45),1))&gt;0,SUMIFS(OverValue,OverEmp,$C45,OverEarn,I$2,OverDate,"&lt;"&amp;DATE(YEAR($AC45),MONTH($AC45)+1,1),OverEnd,"&gt;="&amp;DATE(YEAR($AC45),MONTH($AC45),1)),IF(MONTH(B45)=Setup!$C$15,SUMIFS(EmpBonus,EmpCode,$C45),0)))</f>
        <v>0</v>
      </c>
      <c r="J45" s="133" cm="1">
        <f t="array" aca="1" ref="J45" ca="1">IF($F45&lt;&gt;"Active",0,IF(COUNTIFS(OverEmp,$C45,OverEarn,J$2,OverDate,"&lt;"&amp;DATE(YEAR($AC45),MONTH($AC45)+1,1),OverEnd,"&gt;="&amp;DATE(YEAR($AC45),MONTH($AC45),1))&gt;0,SUMIFS(OverValue,OverEmp,$C45,OverEarn,J$2,OverDate,"&lt;"&amp;DATE(YEAR($AC45),MONTH($AC45)+1,1),OverEnd,"&gt;="&amp;DATE(YEAR($AC45),MONTH($AC45),1)),0))</f>
        <v>0</v>
      </c>
      <c r="K45" s="133" cm="1">
        <f t="array" aca="1" ref="K45" ca="1">IF($F45&lt;&gt;"Active",0,IF(COUNTIFS(OverEmp,$C45,OverEarn,K$2,OverDate,"&lt;"&amp;DATE(YEAR($AC45),MONTH($AC45)+1,1),OverEnd,"&gt;="&amp;DATE(YEAR($AC45),MONTH($AC45),1))&gt;0,SUMIFS(OverValue,OverEmp,$C45,OverEarn,K$2,OverDate,"&lt;"&amp;DATE(YEAR($AC45),MONTH($AC45)+1,1),OverEnd,"&gt;="&amp;DATE(YEAR($AC45),MONTH($AC45),1)),0))</f>
        <v>0</v>
      </c>
      <c r="L45" s="185">
        <f t="shared" ca="1" si="24"/>
        <v>9000</v>
      </c>
      <c r="M45" s="182" cm="1">
        <f t="array" aca="1" ref="M45" ca="1">IF(COUNTIFS(OverEmp,$C45,OverTax,M$5,OverDate,"&lt;"&amp;DATE(YEAR($AC45),MONTH($AC45)+1,1),OverEnd,"&gt;="&amp;DATE(YEAR($AC45),MONTH($AC45),1))&gt;0,SUMIFS(OverValue,OverEmp,$C45,OverTax,M$5,OverDate,"&lt;"&amp;DATE(YEAR($AC45),MONTH($AC45)+1,1),OverEnd,"&gt;="&amp;DATE(YEAR($AC45),MONTH($AC45),1)),(($BA45/12*$AA45)+(BB45*IF(1-$BC45=0,0,BD45/(1-$BC45))))-IF($F45="Terminated",0,SUMIFS(PayTaxDeduct,PayDate,"&lt;"&amp;$AC45,PayEmp,$C45)))</f>
        <v>183.75</v>
      </c>
      <c r="N45" s="133" cm="1">
        <f t="array" aca="1" ref="N45" ca="1">IF($F45="Terminated",0,IF($AA45=0,0,IF(ISNA(MATCH(N$5,DedListItem,0)),0,IF(COUNTIFS(OverEmp,$C45,OverDeduct,N$5,OverDate,"&lt;"&amp;DATE(YEAR($AC45),MONTH($AC45)+1,1),OverEnd,"&gt;="&amp;DATE(YEAR($AC45),MONTH($AC45),1))&gt;0,SUMIFS(OverValue,OverEmp,$C45,OverDeduct,N$5,OverDate,"&lt;"&amp;DATE(YEAR($AC45),MONTH($AC45)+1,1),OverEnd,"&gt;="&amp;DATE(YEAR($AC45),MONTH($AC45),1)),IF(OR(N$2="Fixed",N$2="Not Used"),(IF(COUNTIFS(EmpNo,$C45,OFFSET(Emp!$R$4,1,MATCH(N$5,DedListItem,0)-1,EmpCount,1),"&lt;&gt;")&gt;0,VLOOKUP($C45,EmpAll,COLUMN(Emp!$R$4)+MATCH(N$5,DedListItem,0)-1,0),OFFSET(Setup!$E$73,MATCH(N$5,DedListItem,0),0,1,1))*$AA45)-SUMIFS(OFFSET(N$6,1,0,PayCount,1),PayDate,"&lt;"&amp;$AC45,PayEmp,$C45),IF(ISNA(MATCH(N$2,EarnListItem,0))=FALSE,IF(OFFSET(Setup!$G$73,MATCH(N$5,DedListItem,0),0,1,1)="Taxable",SUMPRODUCT((PayEmp=$C45)*(PayDate&lt;=$AC45)*(PayEarnCode=N$2)*(PayEarnTax)*(PayEarnValues)),SUMPRODUCT((PayEmp=$C45)*(PayDate&lt;=$AC45)*(PayEarnCode=N$2)*(PayEarnValues)))*IF(COUNTIFS(EmpNo,$C45,OFFSET(Emp!$R$4,1,MATCH(N$5,DedListItem,0)-1,EmpCount,1),"&lt;&gt;")&gt;0,VLOOKUP($C45,EmpAll,COLUMN(Emp!$R$4)+MATCH(N$5,DedListItem,0)-1,0),OFFSET(Setup!$E$73,MATCH(N$5,DedListItem,0),0,1,1)),(MIN(IF(OFFSET(Setup!$G$73,MATCH(N$5,DedListItem,0),0,1,1)="Taxable",SUMPRODUCT((PayEmp=$C45)*(PayDate&lt;=$AC45)*(ISERROR(SEARCH(PayEarnCode,N$4)))*(PayEarnTax)*(PayEarnValues)),SUMPRODUCT((PayEmp=$C45)*(PayDate&lt;=$AC45)*(ISERROR(SEARCH(PayEarnCode,N$4)))*(PayEarnValues))),IF(ISNUMBER(N$3),N$3/12*$AA45,IgnoreMin)))*IF(COUNTIFS(EmpNo,$C45,OFFSET(Emp!$R$4,1,MATCH(N$5,DedListItem,0)-1,EmpCount,1),"&lt;&gt;")&gt;0,VLOOKUP($C45,EmpAll,COLUMN(Emp!$R$4)+MATCH(N$5,DedListItem,0)-1,0),OFFSET(Setup!$E$73,MATCH(N$5,DedListItem,0),0,1,1)))-SUMIFS(OFFSET(N$6,1,0,PayCount,1),PayDate,"&lt;"&amp;$AC45,PayEmp,$C45))))))</f>
        <v>90</v>
      </c>
      <c r="O45" s="133" cm="1">
        <f t="array" aca="1" ref="O45" ca="1">IF($F45="Terminated",0,IF($AA45=0,0,IF(ISNA(MATCH(O$5,DedListItem,0)),0,IF(COUNTIFS(OverEmp,$C45,OverDeduct,O$5,OverDate,"&lt;"&amp;DATE(YEAR($AC45),MONTH($AC45)+1,1),OverEnd,"&gt;="&amp;DATE(YEAR($AC45),MONTH($AC45),1))&gt;0,SUMIFS(OverValue,OverEmp,$C45,OverDeduct,O$5,OverDate,"&lt;"&amp;DATE(YEAR($AC45),MONTH($AC45)+1,1),OverEnd,"&gt;="&amp;DATE(YEAR($AC45),MONTH($AC45),1)),IF(OR(O$2="Fixed",O$2="Not Used"),(IF(COUNTIFS(EmpNo,$C45,OFFSET(Emp!$R$4,1,MATCH(O$5,DedListItem,0)-1,EmpCount,1),"&lt;&gt;")&gt;0,VLOOKUP($C45,EmpAll,COLUMN(Emp!$R$4)+MATCH(O$5,DedListItem,0)-1,0),OFFSET(Setup!$E$73,MATCH(O$5,DedListItem,0),0,1,1))*$AA45)-SUMIFS(OFFSET(O$6,1,0,PayCount,1),PayDate,"&lt;"&amp;$AC45,PayEmp,$C45),IF(ISNA(MATCH(O$2,EarnListItem,0))=FALSE,IF(OFFSET(Setup!$G$73,MATCH(O$5,DedListItem,0),0,1,1)="Taxable",SUMPRODUCT((PayEmp=$C45)*(PayDate&lt;=$AC45)*(PayEarnCode=O$2)*(PayEarnTax)*(PayEarnValues)),SUMPRODUCT((PayEmp=$C45)*(PayDate&lt;=$AC45)*(PayEarnCode=O$2)*(PayEarnValues)))*IF(COUNTIFS(EmpNo,$C45,OFFSET(Emp!$R$4,1,MATCH(O$5,DedListItem,0)-1,EmpCount,1),"&lt;&gt;")&gt;0,VLOOKUP($C45,EmpAll,COLUMN(Emp!$R$4)+MATCH(O$5,DedListItem,0)-1,0),OFFSET(Setup!$E$73,MATCH(O$5,DedListItem,0),0,1,1)),(MIN(IF(OFFSET(Setup!$G$73,MATCH(O$5,DedListItem,0),0,1,1)="Taxable",SUMPRODUCT((PayEmp=$C45)*(PayDate&lt;=$AC45)*(ISERROR(SEARCH(PayEarnCode,O$4)))*(PayEarnTax)*(PayEarnValues)),SUMPRODUCT((PayEmp=$C45)*(PayDate&lt;=$AC45)*(ISERROR(SEARCH(PayEarnCode,O$4)))*(PayEarnValues))),IF(ISNUMBER(O$3),O$3/12*$AA45,IgnoreMin)))*IF(COUNTIFS(EmpNo,$C45,OFFSET(Emp!$R$4,1,MATCH(O$5,DedListItem,0)-1,EmpCount,1),"&lt;&gt;")&gt;0,VLOOKUP($C45,EmpAll,COLUMN(Emp!$R$4)+MATCH(O$5,DedListItem,0)-1,0),OFFSET(Setup!$E$73,MATCH(O$5,DedListItem,0),0,1,1)))-SUMIFS(OFFSET(O$6,1,0,PayCount,1),PayDate,"&lt;"&amp;$AC45,PayEmp,$C45))))))</f>
        <v>0</v>
      </c>
      <c r="P45" s="133" cm="1">
        <f t="array" aca="1" ref="P45" ca="1">IF($F45="Terminated",0,IF($AA45=0,0,IF(ISNA(MATCH(P$5,DedListItem,0)),0,IF(COUNTIFS(OverEmp,$C45,OverDeduct,P$5,OverDate,"&lt;"&amp;DATE(YEAR($AC45),MONTH($AC45)+1,1),OverEnd,"&gt;="&amp;DATE(YEAR($AC45),MONTH($AC45),1))&gt;0,SUMIFS(OverValue,OverEmp,$C45,OverDeduct,P$5,OverDate,"&lt;"&amp;DATE(YEAR($AC45),MONTH($AC45)+1,1),OverEnd,"&gt;="&amp;DATE(YEAR($AC45),MONTH($AC45),1)),IF(OR(P$2="Fixed",P$2="Not Used"),(IF(COUNTIFS(EmpNo,$C45,OFFSET(Emp!$R$4,1,MATCH(P$5,DedListItem,0)-1,EmpCount,1),"&lt;&gt;")&gt;0,VLOOKUP($C45,EmpAll,COLUMN(Emp!$R$4)+MATCH(P$5,DedListItem,0)-1,0),OFFSET(Setup!$E$73,MATCH(P$5,DedListItem,0),0,1,1))*$AA45)-SUMIFS(OFFSET(P$6,1,0,PayCount,1),PayDate,"&lt;"&amp;$AC45,PayEmp,$C45),IF(ISNA(MATCH(P$2,EarnListItem,0))=FALSE,IF(OFFSET(Setup!$G$73,MATCH(P$5,DedListItem,0),0,1,1)="Taxable",SUMPRODUCT((PayEmp=$C45)*(PayDate&lt;=$AC45)*(PayEarnCode=P$2)*(PayEarnTax)*(PayEarnValues)),SUMPRODUCT((PayEmp=$C45)*(PayDate&lt;=$AC45)*(PayEarnCode=P$2)*(PayEarnValues)))*IF(COUNTIFS(EmpNo,$C45,OFFSET(Emp!$R$4,1,MATCH(P$5,DedListItem,0)-1,EmpCount,1),"&lt;&gt;")&gt;0,VLOOKUP($C45,EmpAll,COLUMN(Emp!$R$4)+MATCH(P$5,DedListItem,0)-1,0),OFFSET(Setup!$E$73,MATCH(P$5,DedListItem,0),0,1,1)),(MIN(IF(OFFSET(Setup!$G$73,MATCH(P$5,DedListItem,0),0,1,1)="Taxable",SUMPRODUCT((PayEmp=$C45)*(PayDate&lt;=$AC45)*(ISERROR(SEARCH(PayEarnCode,P$4)))*(PayEarnTax)*(PayEarnValues)),SUMPRODUCT((PayEmp=$C45)*(PayDate&lt;=$AC45)*(ISERROR(SEARCH(PayEarnCode,P$4)))*(PayEarnValues))),IF(ISNUMBER(P$3),P$3/12*$AA45,IgnoreMin)))*IF(COUNTIFS(EmpNo,$C45,OFFSET(Emp!$R$4,1,MATCH(P$5,DedListItem,0)-1,EmpCount,1),"&lt;&gt;")&gt;0,VLOOKUP($C45,EmpAll,COLUMN(Emp!$R$4)+MATCH(P$5,DedListItem,0)-1,0),OFFSET(Setup!$E$73,MATCH(P$5,DedListItem,0),0,1,1)))-SUMIFS(OFFSET(P$6,1,0,PayCount,1),PayDate,"&lt;"&amp;$AC45,PayEmp,$C45))))))</f>
        <v>0</v>
      </c>
      <c r="Q45" s="133" cm="1">
        <f t="array" aca="1" ref="Q45" ca="1">IF($F45="Terminated",0,IF($AA45=0,0,IF(ISNA(MATCH(Q$5,DedListItem,0)),0,IF(COUNTIFS(OverEmp,$C45,OverDeduct,Q$5,OverDate,"&lt;"&amp;DATE(YEAR($AC45),MONTH($AC45)+1,1),OverEnd,"&gt;="&amp;DATE(YEAR($AC45),MONTH($AC45),1))&gt;0,SUMIFS(OverValue,OverEmp,$C45,OverDeduct,Q$5,OverDate,"&lt;"&amp;DATE(YEAR($AC45),MONTH($AC45)+1,1),OverEnd,"&gt;="&amp;DATE(YEAR($AC45),MONTH($AC45),1)),IF(OR(Q$2="Fixed",Q$2="Not Used"),(IF(COUNTIFS(EmpNo,$C45,OFFSET(Emp!$R$4,1,MATCH(Q$5,DedListItem,0)-1,EmpCount,1),"&lt;&gt;")&gt;0,VLOOKUP($C45,EmpAll,COLUMN(Emp!$R$4)+MATCH(Q$5,DedListItem,0)-1,0),OFFSET(Setup!$E$73,MATCH(Q$5,DedListItem,0),0,1,1))*$AA45)-SUMIFS(OFFSET(Q$6,1,0,PayCount,1),PayDate,"&lt;"&amp;$AC45,PayEmp,$C45),IF(ISNA(MATCH(Q$2,EarnListItem,0))=FALSE,IF(OFFSET(Setup!$G$73,MATCH(Q$5,DedListItem,0),0,1,1)="Taxable",SUMPRODUCT((PayEmp=$C45)*(PayDate&lt;=$AC45)*(PayEarnCode=Q$2)*(PayEarnTax)*(PayEarnValues)),SUMPRODUCT((PayEmp=$C45)*(PayDate&lt;=$AC45)*(PayEarnCode=Q$2)*(PayEarnValues)))*IF(COUNTIFS(EmpNo,$C45,OFFSET(Emp!$R$4,1,MATCH(Q$5,DedListItem,0)-1,EmpCount,1),"&lt;&gt;")&gt;0,VLOOKUP($C45,EmpAll,COLUMN(Emp!$R$4)+MATCH(Q$5,DedListItem,0)-1,0),OFFSET(Setup!$E$73,MATCH(Q$5,DedListItem,0),0,1,1)),(MIN(IF(OFFSET(Setup!$G$73,MATCH(Q$5,DedListItem,0),0,1,1)="Taxable",SUMPRODUCT((PayEmp=$C45)*(PayDate&lt;=$AC45)*(ISERROR(SEARCH(PayEarnCode,Q$4)))*(PayEarnTax)*(PayEarnValues)),SUMPRODUCT((PayEmp=$C45)*(PayDate&lt;=$AC45)*(ISERROR(SEARCH(PayEarnCode,Q$4)))*(PayEarnValues))),IF(ISNUMBER(Q$3),Q$3/12*$AA45,IgnoreMin)))*IF(COUNTIFS(EmpNo,$C45,OFFSET(Emp!$R$4,1,MATCH(Q$5,DedListItem,0)-1,EmpCount,1),"&lt;&gt;")&gt;0,VLOOKUP($C45,EmpAll,COLUMN(Emp!$R$4)+MATCH(Q$5,DedListItem,0)-1,0),OFFSET(Setup!$E$73,MATCH(Q$5,DedListItem,0),0,1,1)))-SUMIFS(OFFSET(Q$6,1,0,PayCount,1),PayDate,"&lt;"&amp;$AC45,PayEmp,$C45))))))</f>
        <v>0</v>
      </c>
      <c r="R45" s="185">
        <f t="shared" ca="1" si="25"/>
        <v>273.75</v>
      </c>
      <c r="S45" s="139">
        <f t="shared" ca="1" si="26"/>
        <v>8726.25</v>
      </c>
      <c r="T45" s="133" cm="1">
        <f t="array" aca="1" ref="T45" ca="1">IF($F45="Terminated",0,IF($AA45=0,0,IF(ISNA(MATCH(T$5,CompListItem,0)),0,IF(COUNTIFS(OverEmp,$C45,OverComp,T$5,OverDate,"&lt;"&amp;DATE(YEAR($AC45),MONTH($AC45)+1,1),OverEnd,"&gt;="&amp;DATE(YEAR($AC45),MONTH($AC45),1))&gt;0,SUMIFS(OverValue,OverEmp,$C45,OverComp,T$5,OverDate,"&lt;"&amp;DATE(YEAR($AC45),MONTH($AC45)+1,1),OverEnd,"&gt;="&amp;DATE(YEAR($AC45),MONTH($AC45),1)),IF(OR(T$2="Fixed",T$2="Not Used"),(OFFSET(Setup!$E$81,MATCH(T$5,CompListItem,0),0,1,1)*$AA45)-SUMIFS(OFFSET(T$6,1,0,PayCount,1),PayDate,"&lt;"&amp;$AC45,PayEmp,$C45),IF(ISNA(MATCH(T$2,DedListItem,0))=FALSE,(SUMPRODUCT((PayEmp=$C45)*(PayDate&lt;=$AC45)*(PayDedList=T$2)*(PayDedValues))*OFFSET(Setup!$E$81,MATCH(T$5,CompListItem,0),0,1,1))-SUMIFS(OFFSET(T$6,1,0,PayCount,1),PayDate,"&lt;"&amp;$AC45,PayEmp,$C45),(MIN(IF(OFFSET(Setup!$G$81,MATCH(T$5,CompListItem,0),0,1,1)="Taxable",SUMPRODUCT((PayEmp=$C45)*(PayDate&lt;=$AC45)*(ISERROR(SEARCH(PayEarnCode,T$4)))*(PayEarnTax)*(PayEarnValues)),SUMPRODUCT((PayEmp=$C45)*(PayDate&lt;=$AC45)*(ISERROR(SEARCH(PayEarnCode,T$4)))*(PayEarnValues))),IF(ISNUMBER(T$3),T$3/12*$AA45,IgnoreMin)))*OFFSET(Setup!$E$81,MATCH(T$5,CompListItem,0),0,1,1)-SUMIFS(OFFSET(T$6,1,0,PayCount,1),PayDate,"&lt;"&amp;$AC45,PayEmp,$C45)))))))</f>
        <v>90</v>
      </c>
      <c r="U45" s="133" cm="1">
        <f t="array" aca="1" ref="U45" ca="1">IF($F45="Terminated",0,IF($AA45=0,0,IF(ISNA(MATCH(U$5,CompListItem,0)),0,IF(COUNTIFS(OverEmp,$C45,OverComp,U$5,OverDate,"&lt;"&amp;DATE(YEAR($AC45),MONTH($AC45)+1,1),OverEnd,"&gt;="&amp;DATE(YEAR($AC45),MONTH($AC45),1))&gt;0,SUMIFS(OverValue,OverEmp,$C45,OverComp,U$5,OverDate,"&lt;"&amp;DATE(YEAR($AC45),MONTH($AC45)+1,1),OverEnd,"&gt;="&amp;DATE(YEAR($AC45),MONTH($AC45),1)),IF(OR(U$2="Fixed",U$2="Not Used"),(OFFSET(Setup!$E$81,MATCH(U$5,CompListItem,0),0,1,1)*$AA45)-SUMIFS(OFFSET(U$6,1,0,PayCount,1),PayDate,"&lt;"&amp;$AC45,PayEmp,$C45),IF(ISNA(MATCH(U$2,DedListItem,0))=FALSE,(SUMPRODUCT((PayEmp=$C45)*(PayDate&lt;=$AC45)*(PayDedList=U$2)*(PayDedValues))*OFFSET(Setup!$E$81,MATCH(U$5,CompListItem,0),0,1,1))-SUMIFS(OFFSET(U$6,1,0,PayCount,1),PayDate,"&lt;"&amp;$AC45,PayEmp,$C45),(MIN(IF(OFFSET(Setup!$G$81,MATCH(U$5,CompListItem,0),0,1,1)="Taxable",SUMPRODUCT((PayEmp=$C45)*(PayDate&lt;=$AC45)*(ISERROR(SEARCH(PayEarnCode,U$4)))*(PayEarnTax)*(PayEarnValues)),SUMPRODUCT((PayEmp=$C45)*(PayDate&lt;=$AC45)*(ISERROR(SEARCH(PayEarnCode,U$4)))*(PayEarnValues))),IF(ISNUMBER(U$3),U$3/12*$AA45,IgnoreMin)))*OFFSET(Setup!$E$81,MATCH(U$5,CompListItem,0),0,1,1)-SUMIFS(OFFSET(U$6,1,0,PayCount,1),PayDate,"&lt;"&amp;$AC45,PayEmp,$C45)))))))</f>
        <v>90</v>
      </c>
      <c r="V45" s="133" cm="1">
        <f t="array" aca="1" ref="V45" ca="1">IF($F45="Terminated",0,IF($AA45=0,0,IF(ISNA(MATCH(V$5,CompListItem,0)),0,IF(COUNTIFS(OverEmp,$C45,OverComp,V$5,OverDate,"&lt;"&amp;DATE(YEAR($AC45),MONTH($AC45)+1,1),OverEnd,"&gt;="&amp;DATE(YEAR($AC45),MONTH($AC45),1))&gt;0,SUMIFS(OverValue,OverEmp,$C45,OverComp,V$5,OverDate,"&lt;"&amp;DATE(YEAR($AC45),MONTH($AC45)+1,1),OverEnd,"&gt;="&amp;DATE(YEAR($AC45),MONTH($AC45),1)),IF(OR(V$2="Fixed",V$2="Not Used"),(OFFSET(Setup!$E$81,MATCH(V$5,CompListItem,0),0,1,1)*$AA45)-SUMIFS(OFFSET(V$6,1,0,PayCount,1),PayDate,"&lt;"&amp;$AC45,PayEmp,$C45),IF(ISNA(MATCH(V$2,DedListItem,0))=FALSE,(SUMPRODUCT((PayEmp=$C45)*(PayDate&lt;=$AC45)*(PayDedList=V$2)*(PayDedValues))*OFFSET(Setup!$E$81,MATCH(V$5,CompListItem,0),0,1,1))-SUMIFS(OFFSET(V$6,1,0,PayCount,1),PayDate,"&lt;"&amp;$AC45,PayEmp,$C45),(MIN(IF(OFFSET(Setup!$G$81,MATCH(V$5,CompListItem,0),0,1,1)="Taxable",SUMPRODUCT((PayEmp=$C45)*(PayDate&lt;=$AC45)*(ISERROR(SEARCH(PayEarnCode,V$4)))*(PayEarnTax)*(PayEarnValues)),SUMPRODUCT((PayEmp=$C45)*(PayDate&lt;=$AC45)*(ISERROR(SEARCH(PayEarnCode,V$4)))*(PayEarnValues))),IF(ISNUMBER(V$3),V$3/12*$AA45,IgnoreMin)))*OFFSET(Setup!$E$81,MATCH(V$5,CompListItem,0),0,1,1)-SUMIFS(OFFSET(V$6,1,0,PayCount,1),PayDate,"&lt;"&amp;$AC45,PayEmp,$C45)))))))</f>
        <v>0</v>
      </c>
      <c r="W45" s="133" cm="1">
        <f t="array" aca="1" ref="W45" ca="1">IF($F45="Terminated",0,IF($AA45=0,0,IF(ISNA(MATCH(W$5,CompListItem,0)),0,IF(COUNTIFS(OverEmp,$C45,OverComp,W$5,OverDate,"&lt;"&amp;DATE(YEAR($AC45),MONTH($AC45)+1,1),OverEnd,"&gt;="&amp;DATE(YEAR($AC45),MONTH($AC45),1))&gt;0,SUMIFS(OverValue,OverEmp,$C45,OverComp,W$5,OverDate,"&lt;"&amp;DATE(YEAR($AC45),MONTH($AC45)+1,1),OverEnd,"&gt;="&amp;DATE(YEAR($AC45),MONTH($AC45),1)),IF(OR(W$2="Fixed",W$2="Not Used"),(OFFSET(Setup!$E$81,MATCH(W$5,CompListItem,0),0,1,1)*$AA45)-SUMIFS(OFFSET(W$6,1,0,PayCount,1),PayDate,"&lt;"&amp;$AC45,PayEmp,$C45),IF(ISNA(MATCH(W$2,DedListItem,0))=FALSE,(SUMPRODUCT((PayEmp=$C45)*(PayDate&lt;=$AC45)*(PayDedList=W$2)*(PayDedValues))*OFFSET(Setup!$E$81,MATCH(W$5,CompListItem,0),0,1,1))-SUMIFS(OFFSET(W$6,1,0,PayCount,1),PayDate,"&lt;"&amp;$AC45,PayEmp,$C45),(MIN(IF(OFFSET(Setup!$G$81,MATCH(W$5,CompListItem,0),0,1,1)="Taxable",SUMPRODUCT((PayEmp=$C45)*(PayDate&lt;=$AC45)*(ISERROR(SEARCH(PayEarnCode,W$4)))*(PayEarnTax)*(PayEarnValues)),SUMPRODUCT((PayEmp=$C45)*(PayDate&lt;=$AC45)*(ISERROR(SEARCH(PayEarnCode,W$4)))*(PayEarnValues))),IF(ISNUMBER(W$3),W$3/12*$AA45,IgnoreMin)))*OFFSET(Setup!$E$81,MATCH(W$5,CompListItem,0),0,1,1)-SUMIFS(OFFSET(W$6,1,0,PayCount,1),PayDate,"&lt;"&amp;$AC45,PayEmp,$C45)))))))</f>
        <v>0</v>
      </c>
      <c r="X45" s="185">
        <f t="shared" ca="1" si="18"/>
        <v>180</v>
      </c>
      <c r="Y45" s="139">
        <f t="shared" ca="1" si="27"/>
        <v>9180</v>
      </c>
      <c r="Z45" s="139">
        <f t="shared" ca="1" si="19"/>
        <v>453.75</v>
      </c>
      <c r="AA45" s="146">
        <f ca="1">IF(OR($B45&lt;=Setup!$E$12,$B45&gt;=Setup!$D$12+1),0,IF($F45&lt;&gt;"Active",0,IF($AE45="Yes",$AB45,((YEAR($AC45)*12)+MONTH($AC45))-((YEAR($AD45)*12)+MONTH($AD45)-1))))</f>
        <v>3</v>
      </c>
      <c r="AB45" s="146">
        <f ca="1">IF(OR($B45&lt;=Setup!$E$12,$B45&gt;=Setup!$D$12+1),0,((YEAR($AC45)*12)+MONTH($AC45))-((YEAR(Setup!$E$12)*12)+MONTH(Setup!$E$12)))</f>
        <v>3</v>
      </c>
      <c r="AC45" s="186">
        <f t="shared" ca="1" si="20"/>
        <v>45071</v>
      </c>
      <c r="AD45" s="144">
        <f ca="1">IF(ISNA(VLOOKUP($C45,EmpAll,COLUMN(Emp!$E$4),0)),$AC45,IF(VLOOKUP($C45,EmpAll,COLUMN(Emp!$E$4),0)&lt;=Setup!$E$12,DATE(YEAR(Setup!$E$12),MONTH(Setup!$E$12)+1,1),VLOOKUP($C45,EmpAll,COLUMN(Emp!$E$4),0)))</f>
        <v>44986</v>
      </c>
      <c r="AE45" s="144" t="str">
        <f ca="1">IF(ISNA(VLOOKUP($C45,EmpAll,COLUMN(Emp!$G$1),0)),"-",IF(VLOOKUP($C45,EmpAll,COLUMN(Emp!$G$1),0)=0,"-",VLOOKUP($C45,EmpAll,COLUMN(Emp!$G$1),0)))</f>
        <v>-</v>
      </c>
      <c r="AF45" s="145">
        <f ca="1">IF(A45=PaySlip!$G$3,1,0)</f>
        <v>0</v>
      </c>
      <c r="AG45" s="130" cm="1">
        <f t="array" aca="1" ref="AG45" ca="1">IF(COUNTIFS(OverEmp,$C45,OverMed,"MED",OverDate,"&lt;"&amp;DATE(YEAR($AC45),MONTH($AC45)+1,1),OverEnd,"&gt;="&amp;DATE(YEAR($AC45),MONTH($AC45),1))&gt;0,SUMIFS(OverValue,OverEmp,$C45,OverMed,"MED",OverDate,"&lt;"&amp;DATE(YEAR($AC45),MONTH($AC45)+1,1),OverEnd,"&gt;="&amp;DATE(YEAR($AC45),MONTH($AC45),1)),IF(ISNA(VLOOKUP($C45,EmpAll,COLUMN(Emp!$N$4),0)),0,VLOOKUP($C45,EmpAll,COLUMN(Emp!$N$4),0)))</f>
        <v>0</v>
      </c>
      <c r="AH45" s="146">
        <f ca="1">VLOOKUP($AG45,MedList,COLUMN(Setup!$C$49),1)</f>
        <v>0</v>
      </c>
      <c r="AI45" s="146">
        <f t="shared" ca="1" si="7"/>
        <v>0</v>
      </c>
      <c r="AJ45" s="101" t="str">
        <f ca="1">IF(ISNA(VLOOKUP($C45,EmpAll,COLUMN(Emp!$L$4),0)),"None!",VLOOKUP($C45,EmpAll,COLUMN(Emp!$L$4),0))</f>
        <v>A</v>
      </c>
      <c r="AK45" s="147">
        <f t="shared" ca="1" si="21"/>
        <v>17235</v>
      </c>
      <c r="AL45" s="101" t="str">
        <f ca="1">IF(ISNA(VLOOKUP($C45,Employees[],COLUMN(Emp!$M$4),0))=TRUE,"Error!",IF(VLOOKUP($C45,Employees[],COLUMN(Emp!$M$4),0)=0,"Yes",VLOOKUP($C45,Employees[],COLUMN(Emp!$M$4),0)))</f>
        <v>A</v>
      </c>
      <c r="AM45" s="148">
        <f t="shared" ca="1" si="9"/>
        <v>108000</v>
      </c>
      <c r="AN45" s="148" cm="1">
        <f t="array" aca="1" ref="AN45" ca="1">-IF($F45="Terminated",0,IF($AA45=0,0,IF(ISNA(MATCH(AN$5,PayDedList,0)),0,MIN(IF(COUNTIFS(OverEmp,$C45,OverDeduct,AN$5,OverDate,"&lt;"&amp;DATE(YEAR($AC45),MONTH($AC45)+1,1),OverEnd,"&gt;="&amp;DATE(YEAR($AC45),MONTH($AC45),1))&gt;0,SUMPRODUCT((PayEmp=$C45)*(PayDate&lt;=$AC45)*(OFFSET($N$6,1,MATCH(AN$5,PayDedList,0)-1,PayCount,1)))/$AA45*12*AN$3,IF(OR(AN$1="Fixed",AN$1="Not Used"),SUMPRODUCT((PayEmp=$C45)*(PayDate&lt;=$AC45)*(OFFSET($N$6,1,MATCH(AN$5,PayDedList,0)-1,PayCount,1)))/$AA45*12*AN$3,IF(ISNA(MATCH(AN$1,EarnListItem,0))=FALSE,SUMPRODUCT((PayEmp=$C45)*(PayDate&lt;=$AC45)*(OFFSET($N$6,1,MATCH(AN$5,PayDedList,0)-1,PayCount,1)))/$AA45*12*AN$3,(MIN(((SUMPRODUCT((PayEmp=$C45)*(PayDate&lt;=$AC45)*(ISERROR(SEARCH(PayEarnCode,AN$2)))*(PayEarnType="Monthly")*(PayEarnValues))/$AA45*12)+(SUMPRODUCT((PayEmp=$C45)*(PayDate&lt;=$AC45)*(ISERROR(SEARCH(PayEarnCode,AN$2)))*(PayEarnType="Quarterly")*(PayEarnValues))/MAX(1,ROUNDDOWN($AB45/3,0))*4)+(SUMPRODUCT((PayEmp=$C45)*(PayDate&lt;=$AC45)*(ISERROR(SEARCH(PayEarnCode,AN$2)))*(PayEarnType="Bi-Annual")*(PayEarnValues))/MAX(1,ROUNDDOWN($AB45/6,0))*2)+(SUMPRODUCT((PayEmp=$C45)*(PayDate&lt;=$AC45)*(ISERROR(SEARCH(PayEarnCode,AN$2)))*(PayEarnType="Annual")*(PayEarnValues)))),IF(ISNUMBER(OFFSET($N$3,0,MATCH(AN$5,PayDedList,0)-1,1,1)),OFFSET($N$3,0,MATCH(AN$5,PayDedList,0)-1,1,1),IgnoreMin)))*IF(COUNTIFS(EmpNo,$C45,OFFSET(Emp!$R$4,1,MATCH(AN$5,DedListItem,0)-1,EmpCount,1),"&lt;&gt;")&gt;0,VLOOKUP($C45,EmpAll,COLUMN(Emp!$R$4)+MATCH(AN$5,DedListItem,0)-1,0),OFFSET(Setup!$E$73,MATCH(AN$5,DedListItem,0),0,1,1))*AN$3))),IF(ISNUMBER(AN$4),AN$4,IgnoreMin)))))</f>
        <v>0</v>
      </c>
      <c r="AO45" s="148" cm="1">
        <f t="array" aca="1" ref="AO45" ca="1">-IF($F45="Terminated",0,IF($AA45=0,0,IF(ISNA(MATCH(AO$5,PayDedList,0)),0,MIN(IF(COUNTIFS(OverEmp,$C45,OverDeduct,AO$5,OverDate,"&lt;"&amp;DATE(YEAR($AC45),MONTH($AC45)+1,1),OverEnd,"&gt;="&amp;DATE(YEAR($AC45),MONTH($AC45),1))&gt;0,SUMPRODUCT((PayEmp=$C45)*(PayDate&lt;=$AC45)*(OFFSET($N$6,1,MATCH(AO$5,PayDedList,0)-1,PayCount,1)))/$AA45*12*AO$3,IF(OR(AO$1="Fixed",AO$1="Not Used"),SUMPRODUCT((PayEmp=$C45)*(PayDate&lt;=$AC45)*(OFFSET($N$6,1,MATCH(AO$5,PayDedList,0)-1,PayCount,1)))/$AA45*12*AO$3,IF(ISNA(MATCH(AO$1,EarnListItem,0))=FALSE,SUMPRODUCT((PayEmp=$C45)*(PayDate&lt;=$AC45)*(OFFSET($N$6,1,MATCH(AO$5,PayDedList,0)-1,PayCount,1)))/$AA45*12*AO$3,(MIN(((SUMPRODUCT((PayEmp=$C45)*(PayDate&lt;=$AC45)*(ISERROR(SEARCH(PayEarnCode,AO$2)))*(PayEarnType="Monthly")*(PayEarnValues))/$AA45*12)+(SUMPRODUCT((PayEmp=$C45)*(PayDate&lt;=$AC45)*(ISERROR(SEARCH(PayEarnCode,AO$2)))*(PayEarnType="Quarterly")*(PayEarnValues))/MAX(1,ROUNDDOWN($AB45/3,0))*4)+(SUMPRODUCT((PayEmp=$C45)*(PayDate&lt;=$AC45)*(ISERROR(SEARCH(PayEarnCode,AO$2)))*(PayEarnType="Bi-Annual")*(PayEarnValues))/MAX(1,ROUNDDOWN($AB45/6,0))*2)+(SUMPRODUCT((PayEmp=$C45)*(PayDate&lt;=$AC45)*(ISERROR(SEARCH(PayEarnCode,AO$2)))*(PayEarnType="Annual")*(PayEarnValues)))),IF(ISNUMBER(OFFSET($N$3,0,MATCH(AO$5,PayDedList,0)-1,1,1)),OFFSET($N$3,0,MATCH(AO$5,PayDedList,0)-1,1,1),IgnoreMin)))*IF(COUNTIFS(EmpNo,$C45,OFFSET(Emp!$R$4,1,MATCH(AO$5,DedListItem,0)-1,EmpCount,1),"&lt;&gt;")&gt;0,VLOOKUP($C45,EmpAll,COLUMN(Emp!$R$4)+MATCH(AO$5,DedListItem,0)-1,0),OFFSET(Setup!$E$73,MATCH(AO$5,DedListItem,0),0,1,1))*AO$3))),IF(ISNUMBER(AO$4),AO$4,IgnoreMin)))))</f>
        <v>0</v>
      </c>
      <c r="AP45" s="148" cm="1">
        <f t="array" aca="1" ref="AP45" ca="1">-IF($F45="Terminated",0,IF($AA45=0,0,IF(ISNA(MATCH(AP$5,PayDedList,0)),0,MIN(IF(COUNTIFS(OverEmp,$C45,OverDeduct,AP$5,OverDate,"&lt;"&amp;DATE(YEAR($AC45),MONTH($AC45)+1,1),OverEnd,"&gt;="&amp;DATE(YEAR($AC45),MONTH($AC45),1))&gt;0,SUMPRODUCT((PayEmp=$C45)*(PayDate&lt;=$AC45)*(OFFSET($N$6,1,MATCH(AP$5,PayDedList,0)-1,PayCount,1)))/$AA45*12*AP$3,IF(OR(AP$1="Fixed",AP$1="Not Used"),SUMPRODUCT((PayEmp=$C45)*(PayDate&lt;=$AC45)*(OFFSET($N$6,1,MATCH(AP$5,PayDedList,0)-1,PayCount,1)))/$AA45*12*AP$3,IF(ISNA(MATCH(AP$1,EarnListItem,0))=FALSE,SUMPRODUCT((PayEmp=$C45)*(PayDate&lt;=$AC45)*(OFFSET($N$6,1,MATCH(AP$5,PayDedList,0)-1,PayCount,1)))/$AA45*12*AP$3,(MIN(((SUMPRODUCT((PayEmp=$C45)*(PayDate&lt;=$AC45)*(ISERROR(SEARCH(PayEarnCode,AP$2)))*(PayEarnType="Monthly")*(PayEarnValues))/$AA45*12)+(SUMPRODUCT((PayEmp=$C45)*(PayDate&lt;=$AC45)*(ISERROR(SEARCH(PayEarnCode,AP$2)))*(PayEarnType="Quarterly")*(PayEarnValues))/MAX(1,ROUNDDOWN($AB45/3,0))*4)+(SUMPRODUCT((PayEmp=$C45)*(PayDate&lt;=$AC45)*(ISERROR(SEARCH(PayEarnCode,AP$2)))*(PayEarnType="Bi-Annual")*(PayEarnValues))/MAX(1,ROUNDDOWN($AB45/6,0))*2)+(SUMPRODUCT((PayEmp=$C45)*(PayDate&lt;=$AC45)*(ISERROR(SEARCH(PayEarnCode,AP$2)))*(PayEarnType="Annual")*(PayEarnValues)))),IF(ISNUMBER(OFFSET($N$3,0,MATCH(AP$5,PayDedList,0)-1,1,1)),OFFSET($N$3,0,MATCH(AP$5,PayDedList,0)-1,1,1),IgnoreMin)))*IF(COUNTIFS(EmpNo,$C45,OFFSET(Emp!$R$4,1,MATCH(AP$5,DedListItem,0)-1,EmpCount,1),"&lt;&gt;")&gt;0,VLOOKUP($C45,EmpAll,COLUMN(Emp!$R$4)+MATCH(AP$5,DedListItem,0)-1,0),OFFSET(Setup!$E$73,MATCH(AP$5,DedListItem,0),0,1,1))*AP$3))),IF(ISNUMBER(AP$4),AP$4,IgnoreMin)))))</f>
        <v>0</v>
      </c>
      <c r="AQ45" s="148" cm="1">
        <f t="array" aca="1" ref="AQ45" ca="1">-IF($F45="Terminated",0,IF($AA45=0,0,IF(ISNA(MATCH(AQ$5,PayDedList,0)),0,MIN(IF(COUNTIFS(OverEmp,$C45,OverDeduct,AQ$5,OverDate,"&lt;"&amp;DATE(YEAR($AC45),MONTH($AC45)+1,1),OverEnd,"&gt;="&amp;DATE(YEAR($AC45),MONTH($AC45),1))&gt;0,SUMPRODUCT((PayEmp=$C45)*(PayDate&lt;=$AC45)*(OFFSET($N$6,1,MATCH(AQ$5,PayDedList,0)-1,PayCount,1)))/$AA45*12*AQ$3,IF(OR(AQ$1="Fixed",AQ$1="Not Used"),SUMPRODUCT((PayEmp=$C45)*(PayDate&lt;=$AC45)*(OFFSET($N$6,1,MATCH(AQ$5,PayDedList,0)-1,PayCount,1)))/$AA45*12*AQ$3,IF(ISNA(MATCH(AQ$1,EarnListItem,0))=FALSE,SUMPRODUCT((PayEmp=$C45)*(PayDate&lt;=$AC45)*(OFFSET($N$6,1,MATCH(AQ$5,PayDedList,0)-1,PayCount,1)))/$AA45*12*AQ$3,(MIN(((SUMPRODUCT((PayEmp=$C45)*(PayDate&lt;=$AC45)*(ISERROR(SEARCH(PayEarnCode,AQ$2)))*(PayEarnType="Monthly")*(PayEarnValues))/$AA45*12)+(SUMPRODUCT((PayEmp=$C45)*(PayDate&lt;=$AC45)*(ISERROR(SEARCH(PayEarnCode,AQ$2)))*(PayEarnType="Quarterly")*(PayEarnValues))/MAX(1,ROUNDDOWN($AB45/3,0))*4)+(SUMPRODUCT((PayEmp=$C45)*(PayDate&lt;=$AC45)*(ISERROR(SEARCH(PayEarnCode,AQ$2)))*(PayEarnType="Bi-Annual")*(PayEarnValues))/MAX(1,ROUNDDOWN($AB45/6,0))*2)+(SUMPRODUCT((PayEmp=$C45)*(PayDate&lt;=$AC45)*(ISERROR(SEARCH(PayEarnCode,AQ$2)))*(PayEarnType="Annual")*(PayEarnValues)))),IF(ISNUMBER(OFFSET($N$3,0,MATCH(AQ$5,PayDedList,0)-1,1,1)),OFFSET($N$3,0,MATCH(AQ$5,PayDedList,0)-1,1,1),IgnoreMin)))*IF(COUNTIFS(EmpNo,$C45,OFFSET(Emp!$R$4,1,MATCH(AQ$5,DedListItem,0)-1,EmpCount,1),"&lt;&gt;")&gt;0,VLOOKUP($C45,EmpAll,COLUMN(Emp!$R$4)+MATCH(AQ$5,DedListItem,0)-1,0),OFFSET(Setup!$E$73,MATCH(AQ$5,DedListItem,0),0,1,1))*AQ$3))),IF(ISNUMBER(AQ$4),AQ$4,IgnoreMin)))))</f>
        <v>0</v>
      </c>
      <c r="AR45" s="148">
        <f t="shared" ca="1" si="22"/>
        <v>108000</v>
      </c>
      <c r="AS45" s="148">
        <f t="shared" ca="1" si="11"/>
        <v>108000</v>
      </c>
      <c r="AT45" s="148" cm="1">
        <f t="array" aca="1" ref="AT45" ca="1">-IF($F45="Terminated",0,IF($AA45=0,0,IF(ISNA(MATCH(AT$5,PayDedList,0)),0,MIN(IF(COUNTIFS(OverEmp,$C45,OverDeduct,AT$5,OverDate,"&lt;"&amp;DATE(YEAR($AC45),MONTH($AC45)+1,1),OverEnd,"&gt;="&amp;DATE(YEAR($AC45),MONTH($AC45),1))&gt;0,SUMPRODUCT((PayEmp=$C45)*(PayDate&lt;=$AC45)*(OFFSET($N$6,1,MATCH(AT$5,PayDedList,0)-1,PayCount,1)))/$AA45*12*AT$3,IF(OR(AT$1="Fixed",AT$1="Not Used"),SUMPRODUCT((PayEmp=$C45)*(PayDate&lt;=$AC45)*(OFFSET($N$6,1,MATCH(AT$5,PayDedList,0)-1,PayCount,1)))/$AA45*12*AT$3,IF(ISNA(MATCH(OFFSET($N$2,0,MATCH(AT$5,PayDedList,0)-1,1,1),EarnListItem,0))=FALSE,SUMPRODUCT((PayEmp=$C45)*(PayDate&lt;=$AC45)*(OFFSET($N$6,1,MATCH(AT$5,PayDedList,0)-1,PayCount,1)))/$AA45*12*AT$3,(MIN(SUMPRODUCT((PayEmp=$C45)*(PayDate&lt;=$AC45)*(ISERROR(SEARCH(PayEarnCode,AT$2)))*(PayEarnType="Monthly")*(PayEarnValues))/$AA45*12,IF(ISNUMBER(OFFSET($N$3,0,MATCH(AT$5,PayDedList,0)-1,1,1)),OFFSET($N$3,0,MATCH(AT$5,PayDedList,0)-1,1,1),IgnoreMin)))*IF(COUNTIFS(EmpNo,$C45,OFFSET(Emp!$R$4,1,MATCH(AT$5,DedListItem,0)-1,EmpCount,1),"&lt;&gt;")&gt;0,VLOOKUP($C45,EmpAll,COLUMN(Emp!$R$4)+MATCH(AT$5,DedListItem,0)-1,0),OFFSET(Setup!$E$73,MATCH(AT$5,DedListItem,0),0,1,1))*AT$3))),IF(ISNUMBER(AT$4),AT$4,IgnoreMin)))))</f>
        <v>0</v>
      </c>
      <c r="AU45" s="148" cm="1">
        <f t="array" aca="1" ref="AU45" ca="1">-IF($F45="Terminated",0,IF($AA45=0,0,IF(ISNA(MATCH(AU$5,PayDedList,0)),0,MIN(IF(COUNTIFS(OverEmp,$C45,OverDeduct,AU$5,OverDate,"&lt;"&amp;DATE(YEAR($AC45),MONTH($AC45)+1,1),OverEnd,"&gt;="&amp;DATE(YEAR($AC45),MONTH($AC45),1))&gt;0,SUMPRODUCT((PayEmp=$C45)*(PayDate&lt;=$AC45)*(OFFSET($N$6,1,MATCH(AU$5,PayDedList,0)-1,PayCount,1)))/$AA45*12*AU$3,IF(OR(AU$1="Fixed",AU$1="Not Used"),SUMPRODUCT((PayEmp=$C45)*(PayDate&lt;=$AC45)*(OFFSET($N$6,1,MATCH(AU$5,PayDedList,0)-1,PayCount,1)))/$AA45*12*AU$3,IF(ISNA(MATCH(OFFSET($N$2,0,MATCH(AU$5,PayDedList,0)-1,1,1),EarnListItem,0))=FALSE,SUMPRODUCT((PayEmp=$C45)*(PayDate&lt;=$AC45)*(OFFSET($N$6,1,MATCH(AU$5,PayDedList,0)-1,PayCount,1)))/$AA45*12*AU$3,(MIN(SUMPRODUCT((PayEmp=$C45)*(PayDate&lt;=$AC45)*(ISERROR(SEARCH(PayEarnCode,AU$2)))*(PayEarnType="Monthly")*(PayEarnValues))/$AA45*12,IF(ISNUMBER(OFFSET($N$3,0,MATCH(AU$5,PayDedList,0)-1,1,1)),OFFSET($N$3,0,MATCH(AU$5,PayDedList,0)-1,1,1),IgnoreMin)))*IF(COUNTIFS(EmpNo,$C45,OFFSET(Emp!$R$4,1,MATCH(AU$5,DedListItem,0)-1,EmpCount,1),"&lt;&gt;")&gt;0,VLOOKUP($C45,EmpAll,COLUMN(Emp!$R$4)+MATCH(AU$5,DedListItem,0)-1,0),OFFSET(Setup!$E$73,MATCH(AU$5,DedListItem,0),0,1,1))*AU$3))),IF(ISNUMBER(AU$4),AU$4,IgnoreMin)))))</f>
        <v>0</v>
      </c>
      <c r="AV45" s="148" cm="1">
        <f t="array" aca="1" ref="AV45" ca="1">-IF($F45="Terminated",0,IF($AA45=0,0,IF(ISNA(MATCH(AV$5,PayDedList,0)),0,MIN(IF(COUNTIFS(OverEmp,$C45,OverDeduct,AV$5,OverDate,"&lt;"&amp;DATE(YEAR($AC45),MONTH($AC45)+1,1),OverEnd,"&gt;="&amp;DATE(YEAR($AC45),MONTH($AC45),1))&gt;0,SUMPRODUCT((PayEmp=$C45)*(PayDate&lt;=$AC45)*(OFFSET($N$6,1,MATCH(AV$5,PayDedList,0)-1,PayCount,1)))/$AA45*12*AV$3,IF(OR(AV$1="Fixed",AV$1="Not Used"),SUMPRODUCT((PayEmp=$C45)*(PayDate&lt;=$AC45)*(OFFSET($N$6,1,MATCH(AV$5,PayDedList,0)-1,PayCount,1)))/$AA45*12*AV$3,IF(ISNA(MATCH(OFFSET($N$2,0,MATCH(AV$5,PayDedList,0)-1,1,1),EarnListItem,0))=FALSE,SUMPRODUCT((PayEmp=$C45)*(PayDate&lt;=$AC45)*(OFFSET($N$6,1,MATCH(AV$5,PayDedList,0)-1,PayCount,1)))/$AA45*12*AV$3,(MIN(SUMPRODUCT((PayEmp=$C45)*(PayDate&lt;=$AC45)*(ISERROR(SEARCH(PayEarnCode,AV$2)))*(PayEarnType="Monthly")*(PayEarnValues))/$AA45*12,IF(ISNUMBER(OFFSET($N$3,0,MATCH(AV$5,PayDedList,0)-1,1,1)),OFFSET($N$3,0,MATCH(AV$5,PayDedList,0)-1,1,1),IgnoreMin)))*IF(COUNTIFS(EmpNo,$C45,OFFSET(Emp!$R$4,1,MATCH(AV$5,DedListItem,0)-1,EmpCount,1),"&lt;&gt;")&gt;0,VLOOKUP($C45,EmpAll,COLUMN(Emp!$R$4)+MATCH(AV$5,DedListItem,0)-1,0),OFFSET(Setup!$E$73,MATCH(AV$5,DedListItem,0),0,1,1))*AV$3))),IF(ISNUMBER(AV$4),AV$4,IgnoreMin)))))</f>
        <v>0</v>
      </c>
      <c r="AW45" s="148" cm="1">
        <f t="array" aca="1" ref="AW45" ca="1">-IF($F45="Terminated",0,IF($AA45=0,0,IF(ISNA(MATCH(AW$5,PayDedList,0)),0,MIN(IF(COUNTIFS(OverEmp,$C45,OverDeduct,AW$5,OverDate,"&lt;"&amp;DATE(YEAR($AC45),MONTH($AC45)+1,1),OverEnd,"&gt;="&amp;DATE(YEAR($AC45),MONTH($AC45),1))&gt;0,SUMPRODUCT((PayEmp=$C45)*(PayDate&lt;=$AC45)*(OFFSET($N$6,1,MATCH(AW$5,PayDedList,0)-1,PayCount,1)))/$AA45*12*AW$3,IF(OR(AW$1="Fixed",AW$1="Not Used"),SUMPRODUCT((PayEmp=$C45)*(PayDate&lt;=$AC45)*(OFFSET($N$6,1,MATCH(AW$5,PayDedList,0)-1,PayCount,1)))/$AA45*12*AW$3,IF(ISNA(MATCH(OFFSET($N$2,0,MATCH(AW$5,PayDedList,0)-1,1,1),EarnListItem,0))=FALSE,SUMPRODUCT((PayEmp=$C45)*(PayDate&lt;=$AC45)*(OFFSET($N$6,1,MATCH(AW$5,PayDedList,0)-1,PayCount,1)))/$AA45*12*AW$3,(MIN(SUMPRODUCT((PayEmp=$C45)*(PayDate&lt;=$AC45)*(ISERROR(SEARCH(PayEarnCode,AW$2)))*(PayEarnType="Monthly")*(PayEarnValues))/$AA45*12,IF(ISNUMBER(OFFSET($N$3,0,MATCH(AW$5,PayDedList,0)-1,1,1)),OFFSET($N$3,0,MATCH(AW$5,PayDedList,0)-1,1,1),IgnoreMin)))*IF(COUNTIFS(EmpNo,$C45,OFFSET(Emp!$R$4,1,MATCH(AW$5,DedListItem,0)-1,EmpCount,1),"&lt;&gt;")&gt;0,VLOOKUP($C45,EmpAll,COLUMN(Emp!$R$4)+MATCH(AW$5,DedListItem,0)-1,0),OFFSET(Setup!$E$73,MATCH(AW$5,DedListItem,0),0,1,1))*AW$3))),IF(ISNUMBER(AW$4),AW$4,IgnoreMin)))))</f>
        <v>0</v>
      </c>
      <c r="AX45" s="148">
        <f t="shared" ca="1" si="28"/>
        <v>108000</v>
      </c>
      <c r="AY45" s="148">
        <f t="shared" ca="1" si="29"/>
        <v>0</v>
      </c>
      <c r="AZ45" s="148">
        <f ca="1">IF(ISNUMBER($AL45),($AR45*$AL45)-$AI45-$AK45,MAX(0,IF($AL45="B",IF($AR45&lt;Setup!$C$32,($AR45*Setup!$D$32)-$AI45-$AK45,(($AR45-VLOOKUP($AR45,TaxAll2,1,1))*OFFSET(Setup!$D$32,MATCH($AR45,TaxBracket2,1),0,1,1))+OFFSET(Setup!$E$31,MATCH($AR45,TaxBracket2,1),0,1,1)-$AI45-$AK45),IF($AR45&lt;Setup!$C$21,($AR45*Setup!$D$21)-$AI45-$AK45,(($AR45-VLOOKUP($AR45,TaxAll1,1,1))*OFFSET(Setup!$D$21,MATCH($AR45,TaxBracket1,1),0,1,1))+OFFSET(Setup!$E$20,MATCH($AR45,TaxBracket1,1),0,1,1)-$AI45-$AK45))))</f>
        <v>2205</v>
      </c>
      <c r="BA45" s="148">
        <f ca="1">IF(ISNUMBER($AL45),($AX45*$AL45)-$AI45-$AK45,MAX(0,IF($AL45="B",IF($AX45&lt;Setup!$C$32,($AX45*Setup!$D$32)-$AI45-$AK45,(($AX45-VLOOKUP($AX45,TaxAll2,1,1))*OFFSET(Setup!$D$32,MATCH($AX45,TaxBracket2,1),0,1,1))+OFFSET(Setup!$E$31,MATCH($AX45,TaxBracket2,1),0,1,1)-$AI45-$AK45),IF($AX45&lt;Setup!$C$21,($AX45*Setup!$D$21)-$AI45-$AK45,(($AX45-VLOOKUP($AX45,TaxAll1,1,1))*OFFSET(Setup!$D$21,MATCH($AX45,TaxBracket1,1),0,1,1))+OFFSET(Setup!$E$20,MATCH($AX45,TaxBracket1,1),0,1,1)-$AI45-$AK45))))</f>
        <v>2205</v>
      </c>
      <c r="BB45" s="148">
        <f t="shared" ca="1" si="23"/>
        <v>0</v>
      </c>
      <c r="BC45" s="150">
        <f t="shared" ca="1" si="15"/>
        <v>1</v>
      </c>
      <c r="BD45" s="150">
        <f t="shared" ca="1" si="16"/>
        <v>0</v>
      </c>
      <c r="BE45" s="148">
        <f t="shared" ca="1" si="17"/>
        <v>108000</v>
      </c>
    </row>
    <row r="46" spans="1:57" ht="16.149999999999999" customHeight="1" x14ac:dyDescent="0.25">
      <c r="A46" s="10" t="str" cm="1">
        <f t="array" aca="1" ref="A46" ca="1">IF(ROW($A46)-ROW($A$6)&gt;EmpCount*12,"-",TEXT($B46,"yyyy")&amp;TEXT($B46,"mm")&amp;"-"&amp;$C46)</f>
        <v>202305-EXS010</v>
      </c>
      <c r="B46" s="137" cm="1">
        <f t="array" aca="1" ref="B46" ca="1">IF(ROW($A46)-ROW($A$6)&gt;EmpCount*12,Setup!$D$12,DATE(YEAR(Setup!$F$12),MONTH(Setup!$F$12)+ROUNDDOWN((ROW($A46)-ROW($A$6)-1)/EmpCount,0),IF(Setup!$C$14&gt;DAY(DATE(YEAR(Setup!$F$12),MONTH(Setup!$F$12)+ROUNDDOWN((ROW($A46)-ROW($A$6)-1)/EmpCount,0)+1,0)),DAY(DATE(YEAR(Setup!$F$12),MONTH(Setup!$F$12)+ROUNDDOWN((ROW($A46)-ROW($A$6)-1)/EmpCount,0)+1,0)),Setup!$C$14)))</f>
        <v>45071</v>
      </c>
      <c r="C46" s="101" t="str" cm="1">
        <f t="array" aca="1" ref="C46" ca="1">IF(ROW($A46)-ROW($A$6)&gt;EmpCount*12,"-",OFFSET(Emp!$A$4,ROW($A46)-ROW($A$6)-IF(ROW($A46)-ROW($A$6)&gt;EmpCount,ROUNDDOWN((ROW($A46)-ROW($A$6)-1)/EmpCount,0)*EmpCount,0),0,1,1))</f>
        <v>EXS010</v>
      </c>
      <c r="D46" s="10" t="str">
        <f ca="1">IF(ISNA(VLOOKUP($C46,EmpAll,COLUMN(Emp!$B$4),0)),"-",VLOOKUP($C46,EmpAll,COLUMN(Emp!$B$4),0))</f>
        <v>Lewis I</v>
      </c>
      <c r="E46" s="145" t="str">
        <f ca="1">IF(ISNA(VLOOKUP($C46,EmpAll,COLUMN(Emp!$C$4),0)),"-",VLOOKUP($C46,EmpAll,COLUMN(Emp!$C$4),0))</f>
        <v>A</v>
      </c>
      <c r="F46" s="101" t="str">
        <f ca="1">IF(ISNA(VLOOKUP($C46,EmpAll,COLUMN(Emp!$A$4),0)),"-",IF(AND(VLOOKUP($C46,EmpAll,COLUMN(Emp!$E$4),0)&lt;&gt;0,VLOOKUP($C46,EmpAll,COLUMN(Emp!$E$4),0)&gt;=DATE(YEAR($AC46),MONTH($AC46)+1,0)),"Inactive",IF(AND(VLOOKUP($C46,EmpAll,COLUMN(Emp!$F$4),0)&lt;&gt;0,VLOOKUP($C46,EmpAll,COLUMN(Emp!$F$4),0)&lt;=DATE(YEAR($AC46),MONTH($AC46),0)),"Terminated","Active")))</f>
        <v>Active</v>
      </c>
      <c r="G46" s="133" cm="1">
        <f t="array" aca="1" ref="G46" ca="1">IF($F46&lt;&gt;"Active",0,IF(COUNTIFS(OverEmp,$C46,OverEarn,G$2,OverDate,"&lt;"&amp;DATE(YEAR($AC46),MONTH($AC46)+1,1),OverEnd,"&gt;="&amp;DATE(YEAR($AC46),MONTH($AC46),1))&gt;0,SUMIFS(OverValue,OverEmp,$C46,OverEarn,G$2,OverDate,"&lt;"&amp;DATE(YEAR($AC46),MONTH($AC46)+1,1),OverEnd,"&gt;="&amp;DATE(YEAR($AC46),MONTH($AC46),1)),IF(AND($AC46&gt;=Setup!$E$10,SUMIFS(EmpIncrease,EmpCode,$C46)&gt;0),SUMIFS(EmpIncrease,EmpCode,$C46),SUMIFS(EmpSalary,EmpCode,$C46))))</f>
        <v>9000</v>
      </c>
      <c r="H46" s="133" cm="1">
        <f t="array" aca="1" ref="H46" ca="1">IF($F46&lt;&gt;"Active",0,IF(COUNTIFS(OverEmp,$C46,OverEarn,H$2,OverDate,"&lt;"&amp;DATE(YEAR($AC46),MONTH($AC46)+1,1),OverEnd,"&gt;="&amp;DATE(YEAR($AC46),MONTH($AC46),1))&gt;0,SUMIFS(OverValue,OverEmp,$C46,OverEarn,H$2,OverDate,"&lt;"&amp;DATE(YEAR($AC46),MONTH($AC46)+1,1),OverEnd,"&gt;="&amp;DATE(YEAR($AC46),MONTH($AC46),1)),0))</f>
        <v>0</v>
      </c>
      <c r="I46" s="133" cm="1">
        <f t="array" aca="1" ref="I46" ca="1">IF($F46&lt;&gt;"Active",0,IF(COUNTIFS(OverEmp,$C46,OverEarn,I$2,OverDate,"&lt;"&amp;DATE(YEAR($AC46),MONTH($AC46)+1,1),OverEnd,"&gt;="&amp;DATE(YEAR($AC46),MONTH($AC46),1))&gt;0,SUMIFS(OverValue,OverEmp,$C46,OverEarn,I$2,OverDate,"&lt;"&amp;DATE(YEAR($AC46),MONTH($AC46)+1,1),OverEnd,"&gt;="&amp;DATE(YEAR($AC46),MONTH($AC46),1)),IF(MONTH(B46)=Setup!$C$15,SUMIFS(EmpBonus,EmpCode,$C46),0)))</f>
        <v>0</v>
      </c>
      <c r="J46" s="133" cm="1">
        <f t="array" aca="1" ref="J46" ca="1">IF($F46&lt;&gt;"Active",0,IF(COUNTIFS(OverEmp,$C46,OverEarn,J$2,OverDate,"&lt;"&amp;DATE(YEAR($AC46),MONTH($AC46)+1,1),OverEnd,"&gt;="&amp;DATE(YEAR($AC46),MONTH($AC46),1))&gt;0,SUMIFS(OverValue,OverEmp,$C46,OverEarn,J$2,OverDate,"&lt;"&amp;DATE(YEAR($AC46),MONTH($AC46)+1,1),OverEnd,"&gt;="&amp;DATE(YEAR($AC46),MONTH($AC46),1)),0))</f>
        <v>0</v>
      </c>
      <c r="K46" s="133" cm="1">
        <f t="array" aca="1" ref="K46" ca="1">IF($F46&lt;&gt;"Active",0,IF(COUNTIFS(OverEmp,$C46,OverEarn,K$2,OverDate,"&lt;"&amp;DATE(YEAR($AC46),MONTH($AC46)+1,1),OverEnd,"&gt;="&amp;DATE(YEAR($AC46),MONTH($AC46),1))&gt;0,SUMIFS(OverValue,OverEmp,$C46,OverEarn,K$2,OverDate,"&lt;"&amp;DATE(YEAR($AC46),MONTH($AC46)+1,1),OverEnd,"&gt;="&amp;DATE(YEAR($AC46),MONTH($AC46),1)),0))</f>
        <v>0</v>
      </c>
      <c r="L46" s="185">
        <f t="shared" ca="1" si="24"/>
        <v>9000</v>
      </c>
      <c r="M46" s="182" cm="1">
        <f t="array" aca="1" ref="M46" ca="1">IF(COUNTIFS(OverEmp,$C46,OverTax,M$5,OverDate,"&lt;"&amp;DATE(YEAR($AC46),MONTH($AC46)+1,1),OverEnd,"&gt;="&amp;DATE(YEAR($AC46),MONTH($AC46),1))&gt;0,SUMIFS(OverValue,OverEmp,$C46,OverTax,M$5,OverDate,"&lt;"&amp;DATE(YEAR($AC46),MONTH($AC46)+1,1),OverEnd,"&gt;="&amp;DATE(YEAR($AC46),MONTH($AC46),1)),(($BA46/12*$AA46)+(BB46*IF(1-$BC46=0,0,BD46/(1-$BC46))))-IF($F46="Terminated",0,SUMIFS(PayTaxDeduct,PayDate,"&lt;"&amp;$AC46,PayEmp,$C46)))</f>
        <v>183.75</v>
      </c>
      <c r="N46" s="133" cm="1">
        <f t="array" aca="1" ref="N46" ca="1">IF($F46="Terminated",0,IF($AA46=0,0,IF(ISNA(MATCH(N$5,DedListItem,0)),0,IF(COUNTIFS(OverEmp,$C46,OverDeduct,N$5,OverDate,"&lt;"&amp;DATE(YEAR($AC46),MONTH($AC46)+1,1),OverEnd,"&gt;="&amp;DATE(YEAR($AC46),MONTH($AC46),1))&gt;0,SUMIFS(OverValue,OverEmp,$C46,OverDeduct,N$5,OverDate,"&lt;"&amp;DATE(YEAR($AC46),MONTH($AC46)+1,1),OverEnd,"&gt;="&amp;DATE(YEAR($AC46),MONTH($AC46),1)),IF(OR(N$2="Fixed",N$2="Not Used"),(IF(COUNTIFS(EmpNo,$C46,OFFSET(Emp!$R$4,1,MATCH(N$5,DedListItem,0)-1,EmpCount,1),"&lt;&gt;")&gt;0,VLOOKUP($C46,EmpAll,COLUMN(Emp!$R$4)+MATCH(N$5,DedListItem,0)-1,0),OFFSET(Setup!$E$73,MATCH(N$5,DedListItem,0),0,1,1))*$AA46)-SUMIFS(OFFSET(N$6,1,0,PayCount,1),PayDate,"&lt;"&amp;$AC46,PayEmp,$C46),IF(ISNA(MATCH(N$2,EarnListItem,0))=FALSE,IF(OFFSET(Setup!$G$73,MATCH(N$5,DedListItem,0),0,1,1)="Taxable",SUMPRODUCT((PayEmp=$C46)*(PayDate&lt;=$AC46)*(PayEarnCode=N$2)*(PayEarnTax)*(PayEarnValues)),SUMPRODUCT((PayEmp=$C46)*(PayDate&lt;=$AC46)*(PayEarnCode=N$2)*(PayEarnValues)))*IF(COUNTIFS(EmpNo,$C46,OFFSET(Emp!$R$4,1,MATCH(N$5,DedListItem,0)-1,EmpCount,1),"&lt;&gt;")&gt;0,VLOOKUP($C46,EmpAll,COLUMN(Emp!$R$4)+MATCH(N$5,DedListItem,0)-1,0),OFFSET(Setup!$E$73,MATCH(N$5,DedListItem,0),0,1,1)),(MIN(IF(OFFSET(Setup!$G$73,MATCH(N$5,DedListItem,0),0,1,1)="Taxable",SUMPRODUCT((PayEmp=$C46)*(PayDate&lt;=$AC46)*(ISERROR(SEARCH(PayEarnCode,N$4)))*(PayEarnTax)*(PayEarnValues)),SUMPRODUCT((PayEmp=$C46)*(PayDate&lt;=$AC46)*(ISERROR(SEARCH(PayEarnCode,N$4)))*(PayEarnValues))),IF(ISNUMBER(N$3),N$3/12*$AA46,IgnoreMin)))*IF(COUNTIFS(EmpNo,$C46,OFFSET(Emp!$R$4,1,MATCH(N$5,DedListItem,0)-1,EmpCount,1),"&lt;&gt;")&gt;0,VLOOKUP($C46,EmpAll,COLUMN(Emp!$R$4)+MATCH(N$5,DedListItem,0)-1,0),OFFSET(Setup!$E$73,MATCH(N$5,DedListItem,0),0,1,1)))-SUMIFS(OFFSET(N$6,1,0,PayCount,1),PayDate,"&lt;"&amp;$AC46,PayEmp,$C46))))))</f>
        <v>90</v>
      </c>
      <c r="O46" s="133" cm="1">
        <f t="array" aca="1" ref="O46" ca="1">IF($F46="Terminated",0,IF($AA46=0,0,IF(ISNA(MATCH(O$5,DedListItem,0)),0,IF(COUNTIFS(OverEmp,$C46,OverDeduct,O$5,OverDate,"&lt;"&amp;DATE(YEAR($AC46),MONTH($AC46)+1,1),OverEnd,"&gt;="&amp;DATE(YEAR($AC46),MONTH($AC46),1))&gt;0,SUMIFS(OverValue,OverEmp,$C46,OverDeduct,O$5,OverDate,"&lt;"&amp;DATE(YEAR($AC46),MONTH($AC46)+1,1),OverEnd,"&gt;="&amp;DATE(YEAR($AC46),MONTH($AC46),1)),IF(OR(O$2="Fixed",O$2="Not Used"),(IF(COUNTIFS(EmpNo,$C46,OFFSET(Emp!$R$4,1,MATCH(O$5,DedListItem,0)-1,EmpCount,1),"&lt;&gt;")&gt;0,VLOOKUP($C46,EmpAll,COLUMN(Emp!$R$4)+MATCH(O$5,DedListItem,0)-1,0),OFFSET(Setup!$E$73,MATCH(O$5,DedListItem,0),0,1,1))*$AA46)-SUMIFS(OFFSET(O$6,1,0,PayCount,1),PayDate,"&lt;"&amp;$AC46,PayEmp,$C46),IF(ISNA(MATCH(O$2,EarnListItem,0))=FALSE,IF(OFFSET(Setup!$G$73,MATCH(O$5,DedListItem,0),0,1,1)="Taxable",SUMPRODUCT((PayEmp=$C46)*(PayDate&lt;=$AC46)*(PayEarnCode=O$2)*(PayEarnTax)*(PayEarnValues)),SUMPRODUCT((PayEmp=$C46)*(PayDate&lt;=$AC46)*(PayEarnCode=O$2)*(PayEarnValues)))*IF(COUNTIFS(EmpNo,$C46,OFFSET(Emp!$R$4,1,MATCH(O$5,DedListItem,0)-1,EmpCount,1),"&lt;&gt;")&gt;0,VLOOKUP($C46,EmpAll,COLUMN(Emp!$R$4)+MATCH(O$5,DedListItem,0)-1,0),OFFSET(Setup!$E$73,MATCH(O$5,DedListItem,0),0,1,1)),(MIN(IF(OFFSET(Setup!$G$73,MATCH(O$5,DedListItem,0),0,1,1)="Taxable",SUMPRODUCT((PayEmp=$C46)*(PayDate&lt;=$AC46)*(ISERROR(SEARCH(PayEarnCode,O$4)))*(PayEarnTax)*(PayEarnValues)),SUMPRODUCT((PayEmp=$C46)*(PayDate&lt;=$AC46)*(ISERROR(SEARCH(PayEarnCode,O$4)))*(PayEarnValues))),IF(ISNUMBER(O$3),O$3/12*$AA46,IgnoreMin)))*IF(COUNTIFS(EmpNo,$C46,OFFSET(Emp!$R$4,1,MATCH(O$5,DedListItem,0)-1,EmpCount,1),"&lt;&gt;")&gt;0,VLOOKUP($C46,EmpAll,COLUMN(Emp!$R$4)+MATCH(O$5,DedListItem,0)-1,0),OFFSET(Setup!$E$73,MATCH(O$5,DedListItem,0),0,1,1)))-SUMIFS(OFFSET(O$6,1,0,PayCount,1),PayDate,"&lt;"&amp;$AC46,PayEmp,$C46))))))</f>
        <v>0</v>
      </c>
      <c r="P46" s="133" cm="1">
        <f t="array" aca="1" ref="P46" ca="1">IF($F46="Terminated",0,IF($AA46=0,0,IF(ISNA(MATCH(P$5,DedListItem,0)),0,IF(COUNTIFS(OverEmp,$C46,OverDeduct,P$5,OverDate,"&lt;"&amp;DATE(YEAR($AC46),MONTH($AC46)+1,1),OverEnd,"&gt;="&amp;DATE(YEAR($AC46),MONTH($AC46),1))&gt;0,SUMIFS(OverValue,OverEmp,$C46,OverDeduct,P$5,OverDate,"&lt;"&amp;DATE(YEAR($AC46),MONTH($AC46)+1,1),OverEnd,"&gt;="&amp;DATE(YEAR($AC46),MONTH($AC46),1)),IF(OR(P$2="Fixed",P$2="Not Used"),(IF(COUNTIFS(EmpNo,$C46,OFFSET(Emp!$R$4,1,MATCH(P$5,DedListItem,0)-1,EmpCount,1),"&lt;&gt;")&gt;0,VLOOKUP($C46,EmpAll,COLUMN(Emp!$R$4)+MATCH(P$5,DedListItem,0)-1,0),OFFSET(Setup!$E$73,MATCH(P$5,DedListItem,0),0,1,1))*$AA46)-SUMIFS(OFFSET(P$6,1,0,PayCount,1),PayDate,"&lt;"&amp;$AC46,PayEmp,$C46),IF(ISNA(MATCH(P$2,EarnListItem,0))=FALSE,IF(OFFSET(Setup!$G$73,MATCH(P$5,DedListItem,0),0,1,1)="Taxable",SUMPRODUCT((PayEmp=$C46)*(PayDate&lt;=$AC46)*(PayEarnCode=P$2)*(PayEarnTax)*(PayEarnValues)),SUMPRODUCT((PayEmp=$C46)*(PayDate&lt;=$AC46)*(PayEarnCode=P$2)*(PayEarnValues)))*IF(COUNTIFS(EmpNo,$C46,OFFSET(Emp!$R$4,1,MATCH(P$5,DedListItem,0)-1,EmpCount,1),"&lt;&gt;")&gt;0,VLOOKUP($C46,EmpAll,COLUMN(Emp!$R$4)+MATCH(P$5,DedListItem,0)-1,0),OFFSET(Setup!$E$73,MATCH(P$5,DedListItem,0),0,1,1)),(MIN(IF(OFFSET(Setup!$G$73,MATCH(P$5,DedListItem,0),0,1,1)="Taxable",SUMPRODUCT((PayEmp=$C46)*(PayDate&lt;=$AC46)*(ISERROR(SEARCH(PayEarnCode,P$4)))*(PayEarnTax)*(PayEarnValues)),SUMPRODUCT((PayEmp=$C46)*(PayDate&lt;=$AC46)*(ISERROR(SEARCH(PayEarnCode,P$4)))*(PayEarnValues))),IF(ISNUMBER(P$3),P$3/12*$AA46,IgnoreMin)))*IF(COUNTIFS(EmpNo,$C46,OFFSET(Emp!$R$4,1,MATCH(P$5,DedListItem,0)-1,EmpCount,1),"&lt;&gt;")&gt;0,VLOOKUP($C46,EmpAll,COLUMN(Emp!$R$4)+MATCH(P$5,DedListItem,0)-1,0),OFFSET(Setup!$E$73,MATCH(P$5,DedListItem,0),0,1,1)))-SUMIFS(OFFSET(P$6,1,0,PayCount,1),PayDate,"&lt;"&amp;$AC46,PayEmp,$C46))))))</f>
        <v>0</v>
      </c>
      <c r="Q46" s="133" cm="1">
        <f t="array" aca="1" ref="Q46" ca="1">IF($F46="Terminated",0,IF($AA46=0,0,IF(ISNA(MATCH(Q$5,DedListItem,0)),0,IF(COUNTIFS(OverEmp,$C46,OverDeduct,Q$5,OverDate,"&lt;"&amp;DATE(YEAR($AC46),MONTH($AC46)+1,1),OverEnd,"&gt;="&amp;DATE(YEAR($AC46),MONTH($AC46),1))&gt;0,SUMIFS(OverValue,OverEmp,$C46,OverDeduct,Q$5,OverDate,"&lt;"&amp;DATE(YEAR($AC46),MONTH($AC46)+1,1),OverEnd,"&gt;="&amp;DATE(YEAR($AC46),MONTH($AC46),1)),IF(OR(Q$2="Fixed",Q$2="Not Used"),(IF(COUNTIFS(EmpNo,$C46,OFFSET(Emp!$R$4,1,MATCH(Q$5,DedListItem,0)-1,EmpCount,1),"&lt;&gt;")&gt;0,VLOOKUP($C46,EmpAll,COLUMN(Emp!$R$4)+MATCH(Q$5,DedListItem,0)-1,0),OFFSET(Setup!$E$73,MATCH(Q$5,DedListItem,0),0,1,1))*$AA46)-SUMIFS(OFFSET(Q$6,1,0,PayCount,1),PayDate,"&lt;"&amp;$AC46,PayEmp,$C46),IF(ISNA(MATCH(Q$2,EarnListItem,0))=FALSE,IF(OFFSET(Setup!$G$73,MATCH(Q$5,DedListItem,0),0,1,1)="Taxable",SUMPRODUCT((PayEmp=$C46)*(PayDate&lt;=$AC46)*(PayEarnCode=Q$2)*(PayEarnTax)*(PayEarnValues)),SUMPRODUCT((PayEmp=$C46)*(PayDate&lt;=$AC46)*(PayEarnCode=Q$2)*(PayEarnValues)))*IF(COUNTIFS(EmpNo,$C46,OFFSET(Emp!$R$4,1,MATCH(Q$5,DedListItem,0)-1,EmpCount,1),"&lt;&gt;")&gt;0,VLOOKUP($C46,EmpAll,COLUMN(Emp!$R$4)+MATCH(Q$5,DedListItem,0)-1,0),OFFSET(Setup!$E$73,MATCH(Q$5,DedListItem,0),0,1,1)),(MIN(IF(OFFSET(Setup!$G$73,MATCH(Q$5,DedListItem,0),0,1,1)="Taxable",SUMPRODUCT((PayEmp=$C46)*(PayDate&lt;=$AC46)*(ISERROR(SEARCH(PayEarnCode,Q$4)))*(PayEarnTax)*(PayEarnValues)),SUMPRODUCT((PayEmp=$C46)*(PayDate&lt;=$AC46)*(ISERROR(SEARCH(PayEarnCode,Q$4)))*(PayEarnValues))),IF(ISNUMBER(Q$3),Q$3/12*$AA46,IgnoreMin)))*IF(COUNTIFS(EmpNo,$C46,OFFSET(Emp!$R$4,1,MATCH(Q$5,DedListItem,0)-1,EmpCount,1),"&lt;&gt;")&gt;0,VLOOKUP($C46,EmpAll,COLUMN(Emp!$R$4)+MATCH(Q$5,DedListItem,0)-1,0),OFFSET(Setup!$E$73,MATCH(Q$5,DedListItem,0),0,1,1)))-SUMIFS(OFFSET(Q$6,1,0,PayCount,1),PayDate,"&lt;"&amp;$AC46,PayEmp,$C46))))))</f>
        <v>0</v>
      </c>
      <c r="R46" s="185">
        <f t="shared" ca="1" si="25"/>
        <v>273.75</v>
      </c>
      <c r="S46" s="139">
        <f t="shared" ca="1" si="26"/>
        <v>8726.25</v>
      </c>
      <c r="T46" s="133" cm="1">
        <f t="array" aca="1" ref="T46" ca="1">IF($F46="Terminated",0,IF($AA46=0,0,IF(ISNA(MATCH(T$5,CompListItem,0)),0,IF(COUNTIFS(OverEmp,$C46,OverComp,T$5,OverDate,"&lt;"&amp;DATE(YEAR($AC46),MONTH($AC46)+1,1),OverEnd,"&gt;="&amp;DATE(YEAR($AC46),MONTH($AC46),1))&gt;0,SUMIFS(OverValue,OverEmp,$C46,OverComp,T$5,OverDate,"&lt;"&amp;DATE(YEAR($AC46),MONTH($AC46)+1,1),OverEnd,"&gt;="&amp;DATE(YEAR($AC46),MONTH($AC46),1)),IF(OR(T$2="Fixed",T$2="Not Used"),(OFFSET(Setup!$E$81,MATCH(T$5,CompListItem,0),0,1,1)*$AA46)-SUMIFS(OFFSET(T$6,1,0,PayCount,1),PayDate,"&lt;"&amp;$AC46,PayEmp,$C46),IF(ISNA(MATCH(T$2,DedListItem,0))=FALSE,(SUMPRODUCT((PayEmp=$C46)*(PayDate&lt;=$AC46)*(PayDedList=T$2)*(PayDedValues))*OFFSET(Setup!$E$81,MATCH(T$5,CompListItem,0),0,1,1))-SUMIFS(OFFSET(T$6,1,0,PayCount,1),PayDate,"&lt;"&amp;$AC46,PayEmp,$C46),(MIN(IF(OFFSET(Setup!$G$81,MATCH(T$5,CompListItem,0),0,1,1)="Taxable",SUMPRODUCT((PayEmp=$C46)*(PayDate&lt;=$AC46)*(ISERROR(SEARCH(PayEarnCode,T$4)))*(PayEarnTax)*(PayEarnValues)),SUMPRODUCT((PayEmp=$C46)*(PayDate&lt;=$AC46)*(ISERROR(SEARCH(PayEarnCode,T$4)))*(PayEarnValues))),IF(ISNUMBER(T$3),T$3/12*$AA46,IgnoreMin)))*OFFSET(Setup!$E$81,MATCH(T$5,CompListItem,0),0,1,1)-SUMIFS(OFFSET(T$6,1,0,PayCount,1),PayDate,"&lt;"&amp;$AC46,PayEmp,$C46)))))))</f>
        <v>90</v>
      </c>
      <c r="U46" s="133" cm="1">
        <f t="array" aca="1" ref="U46" ca="1">IF($F46="Terminated",0,IF($AA46=0,0,IF(ISNA(MATCH(U$5,CompListItem,0)),0,IF(COUNTIFS(OverEmp,$C46,OverComp,U$5,OverDate,"&lt;"&amp;DATE(YEAR($AC46),MONTH($AC46)+1,1),OverEnd,"&gt;="&amp;DATE(YEAR($AC46),MONTH($AC46),1))&gt;0,SUMIFS(OverValue,OverEmp,$C46,OverComp,U$5,OverDate,"&lt;"&amp;DATE(YEAR($AC46),MONTH($AC46)+1,1),OverEnd,"&gt;="&amp;DATE(YEAR($AC46),MONTH($AC46),1)),IF(OR(U$2="Fixed",U$2="Not Used"),(OFFSET(Setup!$E$81,MATCH(U$5,CompListItem,0),0,1,1)*$AA46)-SUMIFS(OFFSET(U$6,1,0,PayCount,1),PayDate,"&lt;"&amp;$AC46,PayEmp,$C46),IF(ISNA(MATCH(U$2,DedListItem,0))=FALSE,(SUMPRODUCT((PayEmp=$C46)*(PayDate&lt;=$AC46)*(PayDedList=U$2)*(PayDedValues))*OFFSET(Setup!$E$81,MATCH(U$5,CompListItem,0),0,1,1))-SUMIFS(OFFSET(U$6,1,0,PayCount,1),PayDate,"&lt;"&amp;$AC46,PayEmp,$C46),(MIN(IF(OFFSET(Setup!$G$81,MATCH(U$5,CompListItem,0),0,1,1)="Taxable",SUMPRODUCT((PayEmp=$C46)*(PayDate&lt;=$AC46)*(ISERROR(SEARCH(PayEarnCode,U$4)))*(PayEarnTax)*(PayEarnValues)),SUMPRODUCT((PayEmp=$C46)*(PayDate&lt;=$AC46)*(ISERROR(SEARCH(PayEarnCode,U$4)))*(PayEarnValues))),IF(ISNUMBER(U$3),U$3/12*$AA46,IgnoreMin)))*OFFSET(Setup!$E$81,MATCH(U$5,CompListItem,0),0,1,1)-SUMIFS(OFFSET(U$6,1,0,PayCount,1),PayDate,"&lt;"&amp;$AC46,PayEmp,$C46)))))))</f>
        <v>90</v>
      </c>
      <c r="V46" s="133" cm="1">
        <f t="array" aca="1" ref="V46" ca="1">IF($F46="Terminated",0,IF($AA46=0,0,IF(ISNA(MATCH(V$5,CompListItem,0)),0,IF(COUNTIFS(OverEmp,$C46,OverComp,V$5,OverDate,"&lt;"&amp;DATE(YEAR($AC46),MONTH($AC46)+1,1),OverEnd,"&gt;="&amp;DATE(YEAR($AC46),MONTH($AC46),1))&gt;0,SUMIFS(OverValue,OverEmp,$C46,OverComp,V$5,OverDate,"&lt;"&amp;DATE(YEAR($AC46),MONTH($AC46)+1,1),OverEnd,"&gt;="&amp;DATE(YEAR($AC46),MONTH($AC46),1)),IF(OR(V$2="Fixed",V$2="Not Used"),(OFFSET(Setup!$E$81,MATCH(V$5,CompListItem,0),0,1,1)*$AA46)-SUMIFS(OFFSET(V$6,1,0,PayCount,1),PayDate,"&lt;"&amp;$AC46,PayEmp,$C46),IF(ISNA(MATCH(V$2,DedListItem,0))=FALSE,(SUMPRODUCT((PayEmp=$C46)*(PayDate&lt;=$AC46)*(PayDedList=V$2)*(PayDedValues))*OFFSET(Setup!$E$81,MATCH(V$5,CompListItem,0),0,1,1))-SUMIFS(OFFSET(V$6,1,0,PayCount,1),PayDate,"&lt;"&amp;$AC46,PayEmp,$C46),(MIN(IF(OFFSET(Setup!$G$81,MATCH(V$5,CompListItem,0),0,1,1)="Taxable",SUMPRODUCT((PayEmp=$C46)*(PayDate&lt;=$AC46)*(ISERROR(SEARCH(PayEarnCode,V$4)))*(PayEarnTax)*(PayEarnValues)),SUMPRODUCT((PayEmp=$C46)*(PayDate&lt;=$AC46)*(ISERROR(SEARCH(PayEarnCode,V$4)))*(PayEarnValues))),IF(ISNUMBER(V$3),V$3/12*$AA46,IgnoreMin)))*OFFSET(Setup!$E$81,MATCH(V$5,CompListItem,0),0,1,1)-SUMIFS(OFFSET(V$6,1,0,PayCount,1),PayDate,"&lt;"&amp;$AC46,PayEmp,$C46)))))))</f>
        <v>0</v>
      </c>
      <c r="W46" s="133" cm="1">
        <f t="array" aca="1" ref="W46" ca="1">IF($F46="Terminated",0,IF($AA46=0,0,IF(ISNA(MATCH(W$5,CompListItem,0)),0,IF(COUNTIFS(OverEmp,$C46,OverComp,W$5,OverDate,"&lt;"&amp;DATE(YEAR($AC46),MONTH($AC46)+1,1),OverEnd,"&gt;="&amp;DATE(YEAR($AC46),MONTH($AC46),1))&gt;0,SUMIFS(OverValue,OverEmp,$C46,OverComp,W$5,OverDate,"&lt;"&amp;DATE(YEAR($AC46),MONTH($AC46)+1,1),OverEnd,"&gt;="&amp;DATE(YEAR($AC46),MONTH($AC46),1)),IF(OR(W$2="Fixed",W$2="Not Used"),(OFFSET(Setup!$E$81,MATCH(W$5,CompListItem,0),0,1,1)*$AA46)-SUMIFS(OFFSET(W$6,1,0,PayCount,1),PayDate,"&lt;"&amp;$AC46,PayEmp,$C46),IF(ISNA(MATCH(W$2,DedListItem,0))=FALSE,(SUMPRODUCT((PayEmp=$C46)*(PayDate&lt;=$AC46)*(PayDedList=W$2)*(PayDedValues))*OFFSET(Setup!$E$81,MATCH(W$5,CompListItem,0),0,1,1))-SUMIFS(OFFSET(W$6,1,0,PayCount,1),PayDate,"&lt;"&amp;$AC46,PayEmp,$C46),(MIN(IF(OFFSET(Setup!$G$81,MATCH(W$5,CompListItem,0),0,1,1)="Taxable",SUMPRODUCT((PayEmp=$C46)*(PayDate&lt;=$AC46)*(ISERROR(SEARCH(PayEarnCode,W$4)))*(PayEarnTax)*(PayEarnValues)),SUMPRODUCT((PayEmp=$C46)*(PayDate&lt;=$AC46)*(ISERROR(SEARCH(PayEarnCode,W$4)))*(PayEarnValues))),IF(ISNUMBER(W$3),W$3/12*$AA46,IgnoreMin)))*OFFSET(Setup!$E$81,MATCH(W$5,CompListItem,0),0,1,1)-SUMIFS(OFFSET(W$6,1,0,PayCount,1),PayDate,"&lt;"&amp;$AC46,PayEmp,$C46)))))))</f>
        <v>0</v>
      </c>
      <c r="X46" s="185">
        <f t="shared" ca="1" si="18"/>
        <v>180</v>
      </c>
      <c r="Y46" s="139">
        <f t="shared" ca="1" si="27"/>
        <v>9180</v>
      </c>
      <c r="Z46" s="139">
        <f t="shared" ca="1" si="19"/>
        <v>453.75</v>
      </c>
      <c r="AA46" s="146">
        <f ca="1">IF(OR($B46&lt;=Setup!$E$12,$B46&gt;=Setup!$D$12+1),0,IF($F46&lt;&gt;"Active",0,IF($AE46="Yes",$AB46,((YEAR($AC46)*12)+MONTH($AC46))-((YEAR($AD46)*12)+MONTH($AD46)-1))))</f>
        <v>3</v>
      </c>
      <c r="AB46" s="146">
        <f ca="1">IF(OR($B46&lt;=Setup!$E$12,$B46&gt;=Setup!$D$12+1),0,((YEAR($AC46)*12)+MONTH($AC46))-((YEAR(Setup!$E$12)*12)+MONTH(Setup!$E$12)))</f>
        <v>3</v>
      </c>
      <c r="AC46" s="186">
        <f t="shared" ca="1" si="20"/>
        <v>45071</v>
      </c>
      <c r="AD46" s="144">
        <f ca="1">IF(ISNA(VLOOKUP($C46,EmpAll,COLUMN(Emp!$E$4),0)),$AC46,IF(VLOOKUP($C46,EmpAll,COLUMN(Emp!$E$4),0)&lt;=Setup!$E$12,DATE(YEAR(Setup!$E$12),MONTH(Setup!$E$12)+1,1),VLOOKUP($C46,EmpAll,COLUMN(Emp!$E$4),0)))</f>
        <v>44986</v>
      </c>
      <c r="AE46" s="144" t="str">
        <f ca="1">IF(ISNA(VLOOKUP($C46,EmpAll,COLUMN(Emp!$G$1),0)),"-",IF(VLOOKUP($C46,EmpAll,COLUMN(Emp!$G$1),0)=0,"-",VLOOKUP($C46,EmpAll,COLUMN(Emp!$G$1),0)))</f>
        <v>-</v>
      </c>
      <c r="AF46" s="145">
        <f ca="1">IF(A46=PaySlip!$G$3,1,0)</f>
        <v>0</v>
      </c>
      <c r="AG46" s="130" cm="1">
        <f t="array" aca="1" ref="AG46" ca="1">IF(COUNTIFS(OverEmp,$C46,OverMed,"MED",OverDate,"&lt;"&amp;DATE(YEAR($AC46),MONTH($AC46)+1,1),OverEnd,"&gt;="&amp;DATE(YEAR($AC46),MONTH($AC46),1))&gt;0,SUMIFS(OverValue,OverEmp,$C46,OverMed,"MED",OverDate,"&lt;"&amp;DATE(YEAR($AC46),MONTH($AC46)+1,1),OverEnd,"&gt;="&amp;DATE(YEAR($AC46),MONTH($AC46),1)),IF(ISNA(VLOOKUP($C46,EmpAll,COLUMN(Emp!$N$4),0)),0,VLOOKUP($C46,EmpAll,COLUMN(Emp!$N$4),0)))</f>
        <v>0</v>
      </c>
      <c r="AH46" s="146">
        <f ca="1">VLOOKUP($AG46,MedList,COLUMN(Setup!$C$49),1)</f>
        <v>0</v>
      </c>
      <c r="AI46" s="146">
        <f t="shared" ca="1" si="7"/>
        <v>0</v>
      </c>
      <c r="AJ46" s="101" t="str">
        <f ca="1">IF(ISNA(VLOOKUP($C46,EmpAll,COLUMN(Emp!$L$4),0)),"None!",VLOOKUP($C46,EmpAll,COLUMN(Emp!$L$4),0))</f>
        <v>A</v>
      </c>
      <c r="AK46" s="147">
        <f t="shared" ca="1" si="21"/>
        <v>17235</v>
      </c>
      <c r="AL46" s="101" t="str">
        <f ca="1">IF(ISNA(VLOOKUP($C46,Employees[],COLUMN(Emp!$M$4),0))=TRUE,"Error!",IF(VLOOKUP($C46,Employees[],COLUMN(Emp!$M$4),0)=0,"Yes",VLOOKUP($C46,Employees[],COLUMN(Emp!$M$4),0)))</f>
        <v>A</v>
      </c>
      <c r="AM46" s="148">
        <f t="shared" ca="1" si="9"/>
        <v>108000</v>
      </c>
      <c r="AN46" s="148" cm="1">
        <f t="array" aca="1" ref="AN46" ca="1">-IF($F46="Terminated",0,IF($AA46=0,0,IF(ISNA(MATCH(AN$5,PayDedList,0)),0,MIN(IF(COUNTIFS(OverEmp,$C46,OverDeduct,AN$5,OverDate,"&lt;"&amp;DATE(YEAR($AC46),MONTH($AC46)+1,1),OverEnd,"&gt;="&amp;DATE(YEAR($AC46),MONTH($AC46),1))&gt;0,SUMPRODUCT((PayEmp=$C46)*(PayDate&lt;=$AC46)*(OFFSET($N$6,1,MATCH(AN$5,PayDedList,0)-1,PayCount,1)))/$AA46*12*AN$3,IF(OR(AN$1="Fixed",AN$1="Not Used"),SUMPRODUCT((PayEmp=$C46)*(PayDate&lt;=$AC46)*(OFFSET($N$6,1,MATCH(AN$5,PayDedList,0)-1,PayCount,1)))/$AA46*12*AN$3,IF(ISNA(MATCH(AN$1,EarnListItem,0))=FALSE,SUMPRODUCT((PayEmp=$C46)*(PayDate&lt;=$AC46)*(OFFSET($N$6,1,MATCH(AN$5,PayDedList,0)-1,PayCount,1)))/$AA46*12*AN$3,(MIN(((SUMPRODUCT((PayEmp=$C46)*(PayDate&lt;=$AC46)*(ISERROR(SEARCH(PayEarnCode,AN$2)))*(PayEarnType="Monthly")*(PayEarnValues))/$AA46*12)+(SUMPRODUCT((PayEmp=$C46)*(PayDate&lt;=$AC46)*(ISERROR(SEARCH(PayEarnCode,AN$2)))*(PayEarnType="Quarterly")*(PayEarnValues))/MAX(1,ROUNDDOWN($AB46/3,0))*4)+(SUMPRODUCT((PayEmp=$C46)*(PayDate&lt;=$AC46)*(ISERROR(SEARCH(PayEarnCode,AN$2)))*(PayEarnType="Bi-Annual")*(PayEarnValues))/MAX(1,ROUNDDOWN($AB46/6,0))*2)+(SUMPRODUCT((PayEmp=$C46)*(PayDate&lt;=$AC46)*(ISERROR(SEARCH(PayEarnCode,AN$2)))*(PayEarnType="Annual")*(PayEarnValues)))),IF(ISNUMBER(OFFSET($N$3,0,MATCH(AN$5,PayDedList,0)-1,1,1)),OFFSET($N$3,0,MATCH(AN$5,PayDedList,0)-1,1,1),IgnoreMin)))*IF(COUNTIFS(EmpNo,$C46,OFFSET(Emp!$R$4,1,MATCH(AN$5,DedListItem,0)-1,EmpCount,1),"&lt;&gt;")&gt;0,VLOOKUP($C46,EmpAll,COLUMN(Emp!$R$4)+MATCH(AN$5,DedListItem,0)-1,0),OFFSET(Setup!$E$73,MATCH(AN$5,DedListItem,0),0,1,1))*AN$3))),IF(ISNUMBER(AN$4),AN$4,IgnoreMin)))))</f>
        <v>0</v>
      </c>
      <c r="AO46" s="148" cm="1">
        <f t="array" aca="1" ref="AO46" ca="1">-IF($F46="Terminated",0,IF($AA46=0,0,IF(ISNA(MATCH(AO$5,PayDedList,0)),0,MIN(IF(COUNTIFS(OverEmp,$C46,OverDeduct,AO$5,OverDate,"&lt;"&amp;DATE(YEAR($AC46),MONTH($AC46)+1,1),OverEnd,"&gt;="&amp;DATE(YEAR($AC46),MONTH($AC46),1))&gt;0,SUMPRODUCT((PayEmp=$C46)*(PayDate&lt;=$AC46)*(OFFSET($N$6,1,MATCH(AO$5,PayDedList,0)-1,PayCount,1)))/$AA46*12*AO$3,IF(OR(AO$1="Fixed",AO$1="Not Used"),SUMPRODUCT((PayEmp=$C46)*(PayDate&lt;=$AC46)*(OFFSET($N$6,1,MATCH(AO$5,PayDedList,0)-1,PayCount,1)))/$AA46*12*AO$3,IF(ISNA(MATCH(AO$1,EarnListItem,0))=FALSE,SUMPRODUCT((PayEmp=$C46)*(PayDate&lt;=$AC46)*(OFFSET($N$6,1,MATCH(AO$5,PayDedList,0)-1,PayCount,1)))/$AA46*12*AO$3,(MIN(((SUMPRODUCT((PayEmp=$C46)*(PayDate&lt;=$AC46)*(ISERROR(SEARCH(PayEarnCode,AO$2)))*(PayEarnType="Monthly")*(PayEarnValues))/$AA46*12)+(SUMPRODUCT((PayEmp=$C46)*(PayDate&lt;=$AC46)*(ISERROR(SEARCH(PayEarnCode,AO$2)))*(PayEarnType="Quarterly")*(PayEarnValues))/MAX(1,ROUNDDOWN($AB46/3,0))*4)+(SUMPRODUCT((PayEmp=$C46)*(PayDate&lt;=$AC46)*(ISERROR(SEARCH(PayEarnCode,AO$2)))*(PayEarnType="Bi-Annual")*(PayEarnValues))/MAX(1,ROUNDDOWN($AB46/6,0))*2)+(SUMPRODUCT((PayEmp=$C46)*(PayDate&lt;=$AC46)*(ISERROR(SEARCH(PayEarnCode,AO$2)))*(PayEarnType="Annual")*(PayEarnValues)))),IF(ISNUMBER(OFFSET($N$3,0,MATCH(AO$5,PayDedList,0)-1,1,1)),OFFSET($N$3,0,MATCH(AO$5,PayDedList,0)-1,1,1),IgnoreMin)))*IF(COUNTIFS(EmpNo,$C46,OFFSET(Emp!$R$4,1,MATCH(AO$5,DedListItem,0)-1,EmpCount,1),"&lt;&gt;")&gt;0,VLOOKUP($C46,EmpAll,COLUMN(Emp!$R$4)+MATCH(AO$5,DedListItem,0)-1,0),OFFSET(Setup!$E$73,MATCH(AO$5,DedListItem,0),0,1,1))*AO$3))),IF(ISNUMBER(AO$4),AO$4,IgnoreMin)))))</f>
        <v>0</v>
      </c>
      <c r="AP46" s="148" cm="1">
        <f t="array" aca="1" ref="AP46" ca="1">-IF($F46="Terminated",0,IF($AA46=0,0,IF(ISNA(MATCH(AP$5,PayDedList,0)),0,MIN(IF(COUNTIFS(OverEmp,$C46,OverDeduct,AP$5,OverDate,"&lt;"&amp;DATE(YEAR($AC46),MONTH($AC46)+1,1),OverEnd,"&gt;="&amp;DATE(YEAR($AC46),MONTH($AC46),1))&gt;0,SUMPRODUCT((PayEmp=$C46)*(PayDate&lt;=$AC46)*(OFFSET($N$6,1,MATCH(AP$5,PayDedList,0)-1,PayCount,1)))/$AA46*12*AP$3,IF(OR(AP$1="Fixed",AP$1="Not Used"),SUMPRODUCT((PayEmp=$C46)*(PayDate&lt;=$AC46)*(OFFSET($N$6,1,MATCH(AP$5,PayDedList,0)-1,PayCount,1)))/$AA46*12*AP$3,IF(ISNA(MATCH(AP$1,EarnListItem,0))=FALSE,SUMPRODUCT((PayEmp=$C46)*(PayDate&lt;=$AC46)*(OFFSET($N$6,1,MATCH(AP$5,PayDedList,0)-1,PayCount,1)))/$AA46*12*AP$3,(MIN(((SUMPRODUCT((PayEmp=$C46)*(PayDate&lt;=$AC46)*(ISERROR(SEARCH(PayEarnCode,AP$2)))*(PayEarnType="Monthly")*(PayEarnValues))/$AA46*12)+(SUMPRODUCT((PayEmp=$C46)*(PayDate&lt;=$AC46)*(ISERROR(SEARCH(PayEarnCode,AP$2)))*(PayEarnType="Quarterly")*(PayEarnValues))/MAX(1,ROUNDDOWN($AB46/3,0))*4)+(SUMPRODUCT((PayEmp=$C46)*(PayDate&lt;=$AC46)*(ISERROR(SEARCH(PayEarnCode,AP$2)))*(PayEarnType="Bi-Annual")*(PayEarnValues))/MAX(1,ROUNDDOWN($AB46/6,0))*2)+(SUMPRODUCT((PayEmp=$C46)*(PayDate&lt;=$AC46)*(ISERROR(SEARCH(PayEarnCode,AP$2)))*(PayEarnType="Annual")*(PayEarnValues)))),IF(ISNUMBER(OFFSET($N$3,0,MATCH(AP$5,PayDedList,0)-1,1,1)),OFFSET($N$3,0,MATCH(AP$5,PayDedList,0)-1,1,1),IgnoreMin)))*IF(COUNTIFS(EmpNo,$C46,OFFSET(Emp!$R$4,1,MATCH(AP$5,DedListItem,0)-1,EmpCount,1),"&lt;&gt;")&gt;0,VLOOKUP($C46,EmpAll,COLUMN(Emp!$R$4)+MATCH(AP$5,DedListItem,0)-1,0),OFFSET(Setup!$E$73,MATCH(AP$5,DedListItem,0),0,1,1))*AP$3))),IF(ISNUMBER(AP$4),AP$4,IgnoreMin)))))</f>
        <v>0</v>
      </c>
      <c r="AQ46" s="148" cm="1">
        <f t="array" aca="1" ref="AQ46" ca="1">-IF($F46="Terminated",0,IF($AA46=0,0,IF(ISNA(MATCH(AQ$5,PayDedList,0)),0,MIN(IF(COUNTIFS(OverEmp,$C46,OverDeduct,AQ$5,OverDate,"&lt;"&amp;DATE(YEAR($AC46),MONTH($AC46)+1,1),OverEnd,"&gt;="&amp;DATE(YEAR($AC46),MONTH($AC46),1))&gt;0,SUMPRODUCT((PayEmp=$C46)*(PayDate&lt;=$AC46)*(OFFSET($N$6,1,MATCH(AQ$5,PayDedList,0)-1,PayCount,1)))/$AA46*12*AQ$3,IF(OR(AQ$1="Fixed",AQ$1="Not Used"),SUMPRODUCT((PayEmp=$C46)*(PayDate&lt;=$AC46)*(OFFSET($N$6,1,MATCH(AQ$5,PayDedList,0)-1,PayCount,1)))/$AA46*12*AQ$3,IF(ISNA(MATCH(AQ$1,EarnListItem,0))=FALSE,SUMPRODUCT((PayEmp=$C46)*(PayDate&lt;=$AC46)*(OFFSET($N$6,1,MATCH(AQ$5,PayDedList,0)-1,PayCount,1)))/$AA46*12*AQ$3,(MIN(((SUMPRODUCT((PayEmp=$C46)*(PayDate&lt;=$AC46)*(ISERROR(SEARCH(PayEarnCode,AQ$2)))*(PayEarnType="Monthly")*(PayEarnValues))/$AA46*12)+(SUMPRODUCT((PayEmp=$C46)*(PayDate&lt;=$AC46)*(ISERROR(SEARCH(PayEarnCode,AQ$2)))*(PayEarnType="Quarterly")*(PayEarnValues))/MAX(1,ROUNDDOWN($AB46/3,0))*4)+(SUMPRODUCT((PayEmp=$C46)*(PayDate&lt;=$AC46)*(ISERROR(SEARCH(PayEarnCode,AQ$2)))*(PayEarnType="Bi-Annual")*(PayEarnValues))/MAX(1,ROUNDDOWN($AB46/6,0))*2)+(SUMPRODUCT((PayEmp=$C46)*(PayDate&lt;=$AC46)*(ISERROR(SEARCH(PayEarnCode,AQ$2)))*(PayEarnType="Annual")*(PayEarnValues)))),IF(ISNUMBER(OFFSET($N$3,0,MATCH(AQ$5,PayDedList,0)-1,1,1)),OFFSET($N$3,0,MATCH(AQ$5,PayDedList,0)-1,1,1),IgnoreMin)))*IF(COUNTIFS(EmpNo,$C46,OFFSET(Emp!$R$4,1,MATCH(AQ$5,DedListItem,0)-1,EmpCount,1),"&lt;&gt;")&gt;0,VLOOKUP($C46,EmpAll,COLUMN(Emp!$R$4)+MATCH(AQ$5,DedListItem,0)-1,0),OFFSET(Setup!$E$73,MATCH(AQ$5,DedListItem,0),0,1,1))*AQ$3))),IF(ISNUMBER(AQ$4),AQ$4,IgnoreMin)))))</f>
        <v>0</v>
      </c>
      <c r="AR46" s="148">
        <f t="shared" ca="1" si="22"/>
        <v>108000</v>
      </c>
      <c r="AS46" s="148">
        <f t="shared" ca="1" si="11"/>
        <v>108000</v>
      </c>
      <c r="AT46" s="148" cm="1">
        <f t="array" aca="1" ref="AT46" ca="1">-IF($F46="Terminated",0,IF($AA46=0,0,IF(ISNA(MATCH(AT$5,PayDedList,0)),0,MIN(IF(COUNTIFS(OverEmp,$C46,OverDeduct,AT$5,OverDate,"&lt;"&amp;DATE(YEAR($AC46),MONTH($AC46)+1,1),OverEnd,"&gt;="&amp;DATE(YEAR($AC46),MONTH($AC46),1))&gt;0,SUMPRODUCT((PayEmp=$C46)*(PayDate&lt;=$AC46)*(OFFSET($N$6,1,MATCH(AT$5,PayDedList,0)-1,PayCount,1)))/$AA46*12*AT$3,IF(OR(AT$1="Fixed",AT$1="Not Used"),SUMPRODUCT((PayEmp=$C46)*(PayDate&lt;=$AC46)*(OFFSET($N$6,1,MATCH(AT$5,PayDedList,0)-1,PayCount,1)))/$AA46*12*AT$3,IF(ISNA(MATCH(OFFSET($N$2,0,MATCH(AT$5,PayDedList,0)-1,1,1),EarnListItem,0))=FALSE,SUMPRODUCT((PayEmp=$C46)*(PayDate&lt;=$AC46)*(OFFSET($N$6,1,MATCH(AT$5,PayDedList,0)-1,PayCount,1)))/$AA46*12*AT$3,(MIN(SUMPRODUCT((PayEmp=$C46)*(PayDate&lt;=$AC46)*(ISERROR(SEARCH(PayEarnCode,AT$2)))*(PayEarnType="Monthly")*(PayEarnValues))/$AA46*12,IF(ISNUMBER(OFFSET($N$3,0,MATCH(AT$5,PayDedList,0)-1,1,1)),OFFSET($N$3,0,MATCH(AT$5,PayDedList,0)-1,1,1),IgnoreMin)))*IF(COUNTIFS(EmpNo,$C46,OFFSET(Emp!$R$4,1,MATCH(AT$5,DedListItem,0)-1,EmpCount,1),"&lt;&gt;")&gt;0,VLOOKUP($C46,EmpAll,COLUMN(Emp!$R$4)+MATCH(AT$5,DedListItem,0)-1,0),OFFSET(Setup!$E$73,MATCH(AT$5,DedListItem,0),0,1,1))*AT$3))),IF(ISNUMBER(AT$4),AT$4,IgnoreMin)))))</f>
        <v>0</v>
      </c>
      <c r="AU46" s="148" cm="1">
        <f t="array" aca="1" ref="AU46" ca="1">-IF($F46="Terminated",0,IF($AA46=0,0,IF(ISNA(MATCH(AU$5,PayDedList,0)),0,MIN(IF(COUNTIFS(OverEmp,$C46,OverDeduct,AU$5,OverDate,"&lt;"&amp;DATE(YEAR($AC46),MONTH($AC46)+1,1),OverEnd,"&gt;="&amp;DATE(YEAR($AC46),MONTH($AC46),1))&gt;0,SUMPRODUCT((PayEmp=$C46)*(PayDate&lt;=$AC46)*(OFFSET($N$6,1,MATCH(AU$5,PayDedList,0)-1,PayCount,1)))/$AA46*12*AU$3,IF(OR(AU$1="Fixed",AU$1="Not Used"),SUMPRODUCT((PayEmp=$C46)*(PayDate&lt;=$AC46)*(OFFSET($N$6,1,MATCH(AU$5,PayDedList,0)-1,PayCount,1)))/$AA46*12*AU$3,IF(ISNA(MATCH(OFFSET($N$2,0,MATCH(AU$5,PayDedList,0)-1,1,1),EarnListItem,0))=FALSE,SUMPRODUCT((PayEmp=$C46)*(PayDate&lt;=$AC46)*(OFFSET($N$6,1,MATCH(AU$5,PayDedList,0)-1,PayCount,1)))/$AA46*12*AU$3,(MIN(SUMPRODUCT((PayEmp=$C46)*(PayDate&lt;=$AC46)*(ISERROR(SEARCH(PayEarnCode,AU$2)))*(PayEarnType="Monthly")*(PayEarnValues))/$AA46*12,IF(ISNUMBER(OFFSET($N$3,0,MATCH(AU$5,PayDedList,0)-1,1,1)),OFFSET($N$3,0,MATCH(AU$5,PayDedList,0)-1,1,1),IgnoreMin)))*IF(COUNTIFS(EmpNo,$C46,OFFSET(Emp!$R$4,1,MATCH(AU$5,DedListItem,0)-1,EmpCount,1),"&lt;&gt;")&gt;0,VLOOKUP($C46,EmpAll,COLUMN(Emp!$R$4)+MATCH(AU$5,DedListItem,0)-1,0),OFFSET(Setup!$E$73,MATCH(AU$5,DedListItem,0),0,1,1))*AU$3))),IF(ISNUMBER(AU$4),AU$4,IgnoreMin)))))</f>
        <v>0</v>
      </c>
      <c r="AV46" s="148" cm="1">
        <f t="array" aca="1" ref="AV46" ca="1">-IF($F46="Terminated",0,IF($AA46=0,0,IF(ISNA(MATCH(AV$5,PayDedList,0)),0,MIN(IF(COUNTIFS(OverEmp,$C46,OverDeduct,AV$5,OverDate,"&lt;"&amp;DATE(YEAR($AC46),MONTH($AC46)+1,1),OverEnd,"&gt;="&amp;DATE(YEAR($AC46),MONTH($AC46),1))&gt;0,SUMPRODUCT((PayEmp=$C46)*(PayDate&lt;=$AC46)*(OFFSET($N$6,1,MATCH(AV$5,PayDedList,0)-1,PayCount,1)))/$AA46*12*AV$3,IF(OR(AV$1="Fixed",AV$1="Not Used"),SUMPRODUCT((PayEmp=$C46)*(PayDate&lt;=$AC46)*(OFFSET($N$6,1,MATCH(AV$5,PayDedList,0)-1,PayCount,1)))/$AA46*12*AV$3,IF(ISNA(MATCH(OFFSET($N$2,0,MATCH(AV$5,PayDedList,0)-1,1,1),EarnListItem,0))=FALSE,SUMPRODUCT((PayEmp=$C46)*(PayDate&lt;=$AC46)*(OFFSET($N$6,1,MATCH(AV$5,PayDedList,0)-1,PayCount,1)))/$AA46*12*AV$3,(MIN(SUMPRODUCT((PayEmp=$C46)*(PayDate&lt;=$AC46)*(ISERROR(SEARCH(PayEarnCode,AV$2)))*(PayEarnType="Monthly")*(PayEarnValues))/$AA46*12,IF(ISNUMBER(OFFSET($N$3,0,MATCH(AV$5,PayDedList,0)-1,1,1)),OFFSET($N$3,0,MATCH(AV$5,PayDedList,0)-1,1,1),IgnoreMin)))*IF(COUNTIFS(EmpNo,$C46,OFFSET(Emp!$R$4,1,MATCH(AV$5,DedListItem,0)-1,EmpCount,1),"&lt;&gt;")&gt;0,VLOOKUP($C46,EmpAll,COLUMN(Emp!$R$4)+MATCH(AV$5,DedListItem,0)-1,0),OFFSET(Setup!$E$73,MATCH(AV$5,DedListItem,0),0,1,1))*AV$3))),IF(ISNUMBER(AV$4),AV$4,IgnoreMin)))))</f>
        <v>0</v>
      </c>
      <c r="AW46" s="148" cm="1">
        <f t="array" aca="1" ref="AW46" ca="1">-IF($F46="Terminated",0,IF($AA46=0,0,IF(ISNA(MATCH(AW$5,PayDedList,0)),0,MIN(IF(COUNTIFS(OverEmp,$C46,OverDeduct,AW$5,OverDate,"&lt;"&amp;DATE(YEAR($AC46),MONTH($AC46)+1,1),OverEnd,"&gt;="&amp;DATE(YEAR($AC46),MONTH($AC46),1))&gt;0,SUMPRODUCT((PayEmp=$C46)*(PayDate&lt;=$AC46)*(OFFSET($N$6,1,MATCH(AW$5,PayDedList,0)-1,PayCount,1)))/$AA46*12*AW$3,IF(OR(AW$1="Fixed",AW$1="Not Used"),SUMPRODUCT((PayEmp=$C46)*(PayDate&lt;=$AC46)*(OFFSET($N$6,1,MATCH(AW$5,PayDedList,0)-1,PayCount,1)))/$AA46*12*AW$3,IF(ISNA(MATCH(OFFSET($N$2,0,MATCH(AW$5,PayDedList,0)-1,1,1),EarnListItem,0))=FALSE,SUMPRODUCT((PayEmp=$C46)*(PayDate&lt;=$AC46)*(OFFSET($N$6,1,MATCH(AW$5,PayDedList,0)-1,PayCount,1)))/$AA46*12*AW$3,(MIN(SUMPRODUCT((PayEmp=$C46)*(PayDate&lt;=$AC46)*(ISERROR(SEARCH(PayEarnCode,AW$2)))*(PayEarnType="Monthly")*(PayEarnValues))/$AA46*12,IF(ISNUMBER(OFFSET($N$3,0,MATCH(AW$5,PayDedList,0)-1,1,1)),OFFSET($N$3,0,MATCH(AW$5,PayDedList,0)-1,1,1),IgnoreMin)))*IF(COUNTIFS(EmpNo,$C46,OFFSET(Emp!$R$4,1,MATCH(AW$5,DedListItem,0)-1,EmpCount,1),"&lt;&gt;")&gt;0,VLOOKUP($C46,EmpAll,COLUMN(Emp!$R$4)+MATCH(AW$5,DedListItem,0)-1,0),OFFSET(Setup!$E$73,MATCH(AW$5,DedListItem,0),0,1,1))*AW$3))),IF(ISNUMBER(AW$4),AW$4,IgnoreMin)))))</f>
        <v>0</v>
      </c>
      <c r="AX46" s="148">
        <f t="shared" ca="1" si="28"/>
        <v>108000</v>
      </c>
      <c r="AY46" s="148">
        <f t="shared" ca="1" si="29"/>
        <v>0</v>
      </c>
      <c r="AZ46" s="148">
        <f ca="1">IF(ISNUMBER($AL46),($AR46*$AL46)-$AI46-$AK46,MAX(0,IF($AL46="B",IF($AR46&lt;Setup!$C$32,($AR46*Setup!$D$32)-$AI46-$AK46,(($AR46-VLOOKUP($AR46,TaxAll2,1,1))*OFFSET(Setup!$D$32,MATCH($AR46,TaxBracket2,1),0,1,1))+OFFSET(Setup!$E$31,MATCH($AR46,TaxBracket2,1),0,1,1)-$AI46-$AK46),IF($AR46&lt;Setup!$C$21,($AR46*Setup!$D$21)-$AI46-$AK46,(($AR46-VLOOKUP($AR46,TaxAll1,1,1))*OFFSET(Setup!$D$21,MATCH($AR46,TaxBracket1,1),0,1,1))+OFFSET(Setup!$E$20,MATCH($AR46,TaxBracket1,1),0,1,1)-$AI46-$AK46))))</f>
        <v>2205</v>
      </c>
      <c r="BA46" s="148">
        <f ca="1">IF(ISNUMBER($AL46),($AX46*$AL46)-$AI46-$AK46,MAX(0,IF($AL46="B",IF($AX46&lt;Setup!$C$32,($AX46*Setup!$D$32)-$AI46-$AK46,(($AX46-VLOOKUP($AX46,TaxAll2,1,1))*OFFSET(Setup!$D$32,MATCH($AX46,TaxBracket2,1),0,1,1))+OFFSET(Setup!$E$31,MATCH($AX46,TaxBracket2,1),0,1,1)-$AI46-$AK46),IF($AX46&lt;Setup!$C$21,($AX46*Setup!$D$21)-$AI46-$AK46,(($AX46-VLOOKUP($AX46,TaxAll1,1,1))*OFFSET(Setup!$D$21,MATCH($AX46,TaxBracket1,1),0,1,1))+OFFSET(Setup!$E$20,MATCH($AX46,TaxBracket1,1),0,1,1)-$AI46-$AK46))))</f>
        <v>2205</v>
      </c>
      <c r="BB46" s="148">
        <f t="shared" ca="1" si="23"/>
        <v>0</v>
      </c>
      <c r="BC46" s="150">
        <f t="shared" ca="1" si="15"/>
        <v>1</v>
      </c>
      <c r="BD46" s="150">
        <f t="shared" ca="1" si="16"/>
        <v>0</v>
      </c>
      <c r="BE46" s="148">
        <f t="shared" ca="1" si="17"/>
        <v>108000</v>
      </c>
    </row>
    <row r="47" spans="1:57" ht="16.149999999999999" customHeight="1" x14ac:dyDescent="0.25">
      <c r="A47" s="10" t="str" cm="1">
        <f t="array" aca="1" ref="A47" ca="1">IF(ROW($A47)-ROW($A$6)&gt;EmpCount*12,"-",TEXT($B47,"yyyy")&amp;TEXT($B47,"mm")&amp;"-"&amp;$C47)</f>
        <v>202305-EXS011</v>
      </c>
      <c r="B47" s="137" cm="1">
        <f t="array" aca="1" ref="B47" ca="1">IF(ROW($A47)-ROW($A$6)&gt;EmpCount*12,Setup!$D$12,DATE(YEAR(Setup!$F$12),MONTH(Setup!$F$12)+ROUNDDOWN((ROW($A47)-ROW($A$6)-1)/EmpCount,0),IF(Setup!$C$14&gt;DAY(DATE(YEAR(Setup!$F$12),MONTH(Setup!$F$12)+ROUNDDOWN((ROW($A47)-ROW($A$6)-1)/EmpCount,0)+1,0)),DAY(DATE(YEAR(Setup!$F$12),MONTH(Setup!$F$12)+ROUNDDOWN((ROW($A47)-ROW($A$6)-1)/EmpCount,0)+1,0)),Setup!$C$14)))</f>
        <v>45071</v>
      </c>
      <c r="C47" s="101" t="str" cm="1">
        <f t="array" aca="1" ref="C47" ca="1">IF(ROW($A47)-ROW($A$6)&gt;EmpCount*12,"-",OFFSET(Emp!$A$4,ROW($A47)-ROW($A$6)-IF(ROW($A47)-ROW($A$6)&gt;EmpCount,ROUNDDOWN((ROW($A47)-ROW($A$6)-1)/EmpCount,0)*EmpCount,0),0,1,1))</f>
        <v>EXS011</v>
      </c>
      <c r="D47" s="10" t="str">
        <f ca="1">IF(ISNA(VLOOKUP($C47,EmpAll,COLUMN(Emp!$B$4),0)),"-",VLOOKUP($C47,EmpAll,COLUMN(Emp!$B$4),0))</f>
        <v>Newport GD</v>
      </c>
      <c r="E47" s="145" t="str">
        <f ca="1">IF(ISNA(VLOOKUP($C47,EmpAll,COLUMN(Emp!$C$4),0)),"-",VLOOKUP($C47,EmpAll,COLUMN(Emp!$C$4),0))</f>
        <v>A</v>
      </c>
      <c r="F47" s="101" t="str">
        <f ca="1">IF(ISNA(VLOOKUP($C47,EmpAll,COLUMN(Emp!$A$4),0)),"-",IF(AND(VLOOKUP($C47,EmpAll,COLUMN(Emp!$E$4),0)&lt;&gt;0,VLOOKUP($C47,EmpAll,COLUMN(Emp!$E$4),0)&gt;=DATE(YEAR($AC47),MONTH($AC47)+1,0)),"Inactive",IF(AND(VLOOKUP($C47,EmpAll,COLUMN(Emp!$F$4),0)&lt;&gt;0,VLOOKUP($C47,EmpAll,COLUMN(Emp!$F$4),0)&lt;=DATE(YEAR($AC47),MONTH($AC47),0)),"Terminated","Active")))</f>
        <v>Active</v>
      </c>
      <c r="G47" s="133" cm="1">
        <f t="array" aca="1" ref="G47" ca="1">IF($F47&lt;&gt;"Active",0,IF(COUNTIFS(OverEmp,$C47,OverEarn,G$2,OverDate,"&lt;"&amp;DATE(YEAR($AC47),MONTH($AC47)+1,1),OverEnd,"&gt;="&amp;DATE(YEAR($AC47),MONTH($AC47),1))&gt;0,SUMIFS(OverValue,OverEmp,$C47,OverEarn,G$2,OverDate,"&lt;"&amp;DATE(YEAR($AC47),MONTH($AC47)+1,1),OverEnd,"&gt;="&amp;DATE(YEAR($AC47),MONTH($AC47),1)),IF(AND($AC47&gt;=Setup!$E$10,SUMIFS(EmpIncrease,EmpCode,$C47)&gt;0),SUMIFS(EmpIncrease,EmpCode,$C47),SUMIFS(EmpSalary,EmpCode,$C47))))</f>
        <v>5000</v>
      </c>
      <c r="H47" s="133" cm="1">
        <f t="array" aca="1" ref="H47" ca="1">IF($F47&lt;&gt;"Active",0,IF(COUNTIFS(OverEmp,$C47,OverEarn,H$2,OverDate,"&lt;"&amp;DATE(YEAR($AC47),MONTH($AC47)+1,1),OverEnd,"&gt;="&amp;DATE(YEAR($AC47),MONTH($AC47),1))&gt;0,SUMIFS(OverValue,OverEmp,$C47,OverEarn,H$2,OverDate,"&lt;"&amp;DATE(YEAR($AC47),MONTH($AC47)+1,1),OverEnd,"&gt;="&amp;DATE(YEAR($AC47),MONTH($AC47),1)),0))</f>
        <v>0</v>
      </c>
      <c r="I47" s="133" cm="1">
        <f t="array" aca="1" ref="I47" ca="1">IF($F47&lt;&gt;"Active",0,IF(COUNTIFS(OverEmp,$C47,OverEarn,I$2,OverDate,"&lt;"&amp;DATE(YEAR($AC47),MONTH($AC47)+1,1),OverEnd,"&gt;="&amp;DATE(YEAR($AC47),MONTH($AC47),1))&gt;0,SUMIFS(OverValue,OverEmp,$C47,OverEarn,I$2,OverDate,"&lt;"&amp;DATE(YEAR($AC47),MONTH($AC47)+1,1),OverEnd,"&gt;="&amp;DATE(YEAR($AC47),MONTH($AC47),1)),IF(MONTH(B47)=Setup!$C$15,SUMIFS(EmpBonus,EmpCode,$C47),0)))</f>
        <v>0</v>
      </c>
      <c r="J47" s="133" cm="1">
        <f t="array" aca="1" ref="J47" ca="1">IF($F47&lt;&gt;"Active",0,IF(COUNTIFS(OverEmp,$C47,OverEarn,J$2,OverDate,"&lt;"&amp;DATE(YEAR($AC47),MONTH($AC47)+1,1),OverEnd,"&gt;="&amp;DATE(YEAR($AC47),MONTH($AC47),1))&gt;0,SUMIFS(OverValue,OverEmp,$C47,OverEarn,J$2,OverDate,"&lt;"&amp;DATE(YEAR($AC47),MONTH($AC47)+1,1),OverEnd,"&gt;="&amp;DATE(YEAR($AC47),MONTH($AC47),1)),0))</f>
        <v>0</v>
      </c>
      <c r="K47" s="133" cm="1">
        <f t="array" aca="1" ref="K47" ca="1">IF($F47&lt;&gt;"Active",0,IF(COUNTIFS(OverEmp,$C47,OverEarn,K$2,OverDate,"&lt;"&amp;DATE(YEAR($AC47),MONTH($AC47)+1,1),OverEnd,"&gt;="&amp;DATE(YEAR($AC47),MONTH($AC47),1))&gt;0,SUMIFS(OverValue,OverEmp,$C47,OverEarn,K$2,OverDate,"&lt;"&amp;DATE(YEAR($AC47),MONTH($AC47)+1,1),OverEnd,"&gt;="&amp;DATE(YEAR($AC47),MONTH($AC47),1)),0))</f>
        <v>0</v>
      </c>
      <c r="L47" s="185">
        <f t="shared" ca="1" si="24"/>
        <v>5000</v>
      </c>
      <c r="M47" s="182" cm="1">
        <f t="array" aca="1" ref="M47" ca="1">IF(COUNTIFS(OverEmp,$C47,OverTax,M$5,OverDate,"&lt;"&amp;DATE(YEAR($AC47),MONTH($AC47)+1,1),OverEnd,"&gt;="&amp;DATE(YEAR($AC47),MONTH($AC47),1))&gt;0,SUMIFS(OverValue,OverEmp,$C47,OverTax,M$5,OverDate,"&lt;"&amp;DATE(YEAR($AC47),MONTH($AC47)+1,1),OverEnd,"&gt;="&amp;DATE(YEAR($AC47),MONTH($AC47),1)),(($BA47/12*$AA47)+(BB47*IF(1-$BC47=0,0,BD47/(1-$BC47))))-IF($F47="Terminated",0,SUMIFS(PayTaxDeduct,PayDate,"&lt;"&amp;$AC47,PayEmp,$C47)))</f>
        <v>0</v>
      </c>
      <c r="N47" s="133" cm="1">
        <f t="array" aca="1" ref="N47" ca="1">IF($F47="Terminated",0,IF($AA47=0,0,IF(ISNA(MATCH(N$5,DedListItem,0)),0,IF(COUNTIFS(OverEmp,$C47,OverDeduct,N$5,OverDate,"&lt;"&amp;DATE(YEAR($AC47),MONTH($AC47)+1,1),OverEnd,"&gt;="&amp;DATE(YEAR($AC47),MONTH($AC47),1))&gt;0,SUMIFS(OverValue,OverEmp,$C47,OverDeduct,N$5,OverDate,"&lt;"&amp;DATE(YEAR($AC47),MONTH($AC47)+1,1),OverEnd,"&gt;="&amp;DATE(YEAR($AC47),MONTH($AC47),1)),IF(OR(N$2="Fixed",N$2="Not Used"),(IF(COUNTIFS(EmpNo,$C47,OFFSET(Emp!$R$4,1,MATCH(N$5,DedListItem,0)-1,EmpCount,1),"&lt;&gt;")&gt;0,VLOOKUP($C47,EmpAll,COLUMN(Emp!$R$4)+MATCH(N$5,DedListItem,0)-1,0),OFFSET(Setup!$E$73,MATCH(N$5,DedListItem,0),0,1,1))*$AA47)-SUMIFS(OFFSET(N$6,1,0,PayCount,1),PayDate,"&lt;"&amp;$AC47,PayEmp,$C47),IF(ISNA(MATCH(N$2,EarnListItem,0))=FALSE,IF(OFFSET(Setup!$G$73,MATCH(N$5,DedListItem,0),0,1,1)="Taxable",SUMPRODUCT((PayEmp=$C47)*(PayDate&lt;=$AC47)*(PayEarnCode=N$2)*(PayEarnTax)*(PayEarnValues)),SUMPRODUCT((PayEmp=$C47)*(PayDate&lt;=$AC47)*(PayEarnCode=N$2)*(PayEarnValues)))*IF(COUNTIFS(EmpNo,$C47,OFFSET(Emp!$R$4,1,MATCH(N$5,DedListItem,0)-1,EmpCount,1),"&lt;&gt;")&gt;0,VLOOKUP($C47,EmpAll,COLUMN(Emp!$R$4)+MATCH(N$5,DedListItem,0)-1,0),OFFSET(Setup!$E$73,MATCH(N$5,DedListItem,0),0,1,1)),(MIN(IF(OFFSET(Setup!$G$73,MATCH(N$5,DedListItem,0),0,1,1)="Taxable",SUMPRODUCT((PayEmp=$C47)*(PayDate&lt;=$AC47)*(ISERROR(SEARCH(PayEarnCode,N$4)))*(PayEarnTax)*(PayEarnValues)),SUMPRODUCT((PayEmp=$C47)*(PayDate&lt;=$AC47)*(ISERROR(SEARCH(PayEarnCode,N$4)))*(PayEarnValues))),IF(ISNUMBER(N$3),N$3/12*$AA47,IgnoreMin)))*IF(COUNTIFS(EmpNo,$C47,OFFSET(Emp!$R$4,1,MATCH(N$5,DedListItem,0)-1,EmpCount,1),"&lt;&gt;")&gt;0,VLOOKUP($C47,EmpAll,COLUMN(Emp!$R$4)+MATCH(N$5,DedListItem,0)-1,0),OFFSET(Setup!$E$73,MATCH(N$5,DedListItem,0),0,1,1)))-SUMIFS(OFFSET(N$6,1,0,PayCount,1),PayDate,"&lt;"&amp;$AC47,PayEmp,$C47))))))</f>
        <v>50</v>
      </c>
      <c r="O47" s="133" cm="1">
        <f t="array" aca="1" ref="O47" ca="1">IF($F47="Terminated",0,IF($AA47=0,0,IF(ISNA(MATCH(O$5,DedListItem,0)),0,IF(COUNTIFS(OverEmp,$C47,OverDeduct,O$5,OverDate,"&lt;"&amp;DATE(YEAR($AC47),MONTH($AC47)+1,1),OverEnd,"&gt;="&amp;DATE(YEAR($AC47),MONTH($AC47),1))&gt;0,SUMIFS(OverValue,OverEmp,$C47,OverDeduct,O$5,OverDate,"&lt;"&amp;DATE(YEAR($AC47),MONTH($AC47)+1,1),OverEnd,"&gt;="&amp;DATE(YEAR($AC47),MONTH($AC47),1)),IF(OR(O$2="Fixed",O$2="Not Used"),(IF(COUNTIFS(EmpNo,$C47,OFFSET(Emp!$R$4,1,MATCH(O$5,DedListItem,0)-1,EmpCount,1),"&lt;&gt;")&gt;0,VLOOKUP($C47,EmpAll,COLUMN(Emp!$R$4)+MATCH(O$5,DedListItem,0)-1,0),OFFSET(Setup!$E$73,MATCH(O$5,DedListItem,0),0,1,1))*$AA47)-SUMIFS(OFFSET(O$6,1,0,PayCount,1),PayDate,"&lt;"&amp;$AC47,PayEmp,$C47),IF(ISNA(MATCH(O$2,EarnListItem,0))=FALSE,IF(OFFSET(Setup!$G$73,MATCH(O$5,DedListItem,0),0,1,1)="Taxable",SUMPRODUCT((PayEmp=$C47)*(PayDate&lt;=$AC47)*(PayEarnCode=O$2)*(PayEarnTax)*(PayEarnValues)),SUMPRODUCT((PayEmp=$C47)*(PayDate&lt;=$AC47)*(PayEarnCode=O$2)*(PayEarnValues)))*IF(COUNTIFS(EmpNo,$C47,OFFSET(Emp!$R$4,1,MATCH(O$5,DedListItem,0)-1,EmpCount,1),"&lt;&gt;")&gt;0,VLOOKUP($C47,EmpAll,COLUMN(Emp!$R$4)+MATCH(O$5,DedListItem,0)-1,0),OFFSET(Setup!$E$73,MATCH(O$5,DedListItem,0),0,1,1)),(MIN(IF(OFFSET(Setup!$G$73,MATCH(O$5,DedListItem,0),0,1,1)="Taxable",SUMPRODUCT((PayEmp=$C47)*(PayDate&lt;=$AC47)*(ISERROR(SEARCH(PayEarnCode,O$4)))*(PayEarnTax)*(PayEarnValues)),SUMPRODUCT((PayEmp=$C47)*(PayDate&lt;=$AC47)*(ISERROR(SEARCH(PayEarnCode,O$4)))*(PayEarnValues))),IF(ISNUMBER(O$3),O$3/12*$AA47,IgnoreMin)))*IF(COUNTIFS(EmpNo,$C47,OFFSET(Emp!$R$4,1,MATCH(O$5,DedListItem,0)-1,EmpCount,1),"&lt;&gt;")&gt;0,VLOOKUP($C47,EmpAll,COLUMN(Emp!$R$4)+MATCH(O$5,DedListItem,0)-1,0),OFFSET(Setup!$E$73,MATCH(O$5,DedListItem,0),0,1,1)))-SUMIFS(OFFSET(O$6,1,0,PayCount,1),PayDate,"&lt;"&amp;$AC47,PayEmp,$C47))))))</f>
        <v>0</v>
      </c>
      <c r="P47" s="133" cm="1">
        <f t="array" aca="1" ref="P47" ca="1">IF($F47="Terminated",0,IF($AA47=0,0,IF(ISNA(MATCH(P$5,DedListItem,0)),0,IF(COUNTIFS(OverEmp,$C47,OverDeduct,P$5,OverDate,"&lt;"&amp;DATE(YEAR($AC47),MONTH($AC47)+1,1),OverEnd,"&gt;="&amp;DATE(YEAR($AC47),MONTH($AC47),1))&gt;0,SUMIFS(OverValue,OverEmp,$C47,OverDeduct,P$5,OverDate,"&lt;"&amp;DATE(YEAR($AC47),MONTH($AC47)+1,1),OverEnd,"&gt;="&amp;DATE(YEAR($AC47),MONTH($AC47),1)),IF(OR(P$2="Fixed",P$2="Not Used"),(IF(COUNTIFS(EmpNo,$C47,OFFSET(Emp!$R$4,1,MATCH(P$5,DedListItem,0)-1,EmpCount,1),"&lt;&gt;")&gt;0,VLOOKUP($C47,EmpAll,COLUMN(Emp!$R$4)+MATCH(P$5,DedListItem,0)-1,0),OFFSET(Setup!$E$73,MATCH(P$5,DedListItem,0),0,1,1))*$AA47)-SUMIFS(OFFSET(P$6,1,0,PayCount,1),PayDate,"&lt;"&amp;$AC47,PayEmp,$C47),IF(ISNA(MATCH(P$2,EarnListItem,0))=FALSE,IF(OFFSET(Setup!$G$73,MATCH(P$5,DedListItem,0),0,1,1)="Taxable",SUMPRODUCT((PayEmp=$C47)*(PayDate&lt;=$AC47)*(PayEarnCode=P$2)*(PayEarnTax)*(PayEarnValues)),SUMPRODUCT((PayEmp=$C47)*(PayDate&lt;=$AC47)*(PayEarnCode=P$2)*(PayEarnValues)))*IF(COUNTIFS(EmpNo,$C47,OFFSET(Emp!$R$4,1,MATCH(P$5,DedListItem,0)-1,EmpCount,1),"&lt;&gt;")&gt;0,VLOOKUP($C47,EmpAll,COLUMN(Emp!$R$4)+MATCH(P$5,DedListItem,0)-1,0),OFFSET(Setup!$E$73,MATCH(P$5,DedListItem,0),0,1,1)),(MIN(IF(OFFSET(Setup!$G$73,MATCH(P$5,DedListItem,0),0,1,1)="Taxable",SUMPRODUCT((PayEmp=$C47)*(PayDate&lt;=$AC47)*(ISERROR(SEARCH(PayEarnCode,P$4)))*(PayEarnTax)*(PayEarnValues)),SUMPRODUCT((PayEmp=$C47)*(PayDate&lt;=$AC47)*(ISERROR(SEARCH(PayEarnCode,P$4)))*(PayEarnValues))),IF(ISNUMBER(P$3),P$3/12*$AA47,IgnoreMin)))*IF(COUNTIFS(EmpNo,$C47,OFFSET(Emp!$R$4,1,MATCH(P$5,DedListItem,0)-1,EmpCount,1),"&lt;&gt;")&gt;0,VLOOKUP($C47,EmpAll,COLUMN(Emp!$R$4)+MATCH(P$5,DedListItem,0)-1,0),OFFSET(Setup!$E$73,MATCH(P$5,DedListItem,0),0,1,1)))-SUMIFS(OFFSET(P$6,1,0,PayCount,1),PayDate,"&lt;"&amp;$AC47,PayEmp,$C47))))))</f>
        <v>0</v>
      </c>
      <c r="Q47" s="133" cm="1">
        <f t="array" aca="1" ref="Q47" ca="1">IF($F47="Terminated",0,IF($AA47=0,0,IF(ISNA(MATCH(Q$5,DedListItem,0)),0,IF(COUNTIFS(OverEmp,$C47,OverDeduct,Q$5,OverDate,"&lt;"&amp;DATE(YEAR($AC47),MONTH($AC47)+1,1),OverEnd,"&gt;="&amp;DATE(YEAR($AC47),MONTH($AC47),1))&gt;0,SUMIFS(OverValue,OverEmp,$C47,OverDeduct,Q$5,OverDate,"&lt;"&amp;DATE(YEAR($AC47),MONTH($AC47)+1,1),OverEnd,"&gt;="&amp;DATE(YEAR($AC47),MONTH($AC47),1)),IF(OR(Q$2="Fixed",Q$2="Not Used"),(IF(COUNTIFS(EmpNo,$C47,OFFSET(Emp!$R$4,1,MATCH(Q$5,DedListItem,0)-1,EmpCount,1),"&lt;&gt;")&gt;0,VLOOKUP($C47,EmpAll,COLUMN(Emp!$R$4)+MATCH(Q$5,DedListItem,0)-1,0),OFFSET(Setup!$E$73,MATCH(Q$5,DedListItem,0),0,1,1))*$AA47)-SUMIFS(OFFSET(Q$6,1,0,PayCount,1),PayDate,"&lt;"&amp;$AC47,PayEmp,$C47),IF(ISNA(MATCH(Q$2,EarnListItem,0))=FALSE,IF(OFFSET(Setup!$G$73,MATCH(Q$5,DedListItem,0),0,1,1)="Taxable",SUMPRODUCT((PayEmp=$C47)*(PayDate&lt;=$AC47)*(PayEarnCode=Q$2)*(PayEarnTax)*(PayEarnValues)),SUMPRODUCT((PayEmp=$C47)*(PayDate&lt;=$AC47)*(PayEarnCode=Q$2)*(PayEarnValues)))*IF(COUNTIFS(EmpNo,$C47,OFFSET(Emp!$R$4,1,MATCH(Q$5,DedListItem,0)-1,EmpCount,1),"&lt;&gt;")&gt;0,VLOOKUP($C47,EmpAll,COLUMN(Emp!$R$4)+MATCH(Q$5,DedListItem,0)-1,0),OFFSET(Setup!$E$73,MATCH(Q$5,DedListItem,0),0,1,1)),(MIN(IF(OFFSET(Setup!$G$73,MATCH(Q$5,DedListItem,0),0,1,1)="Taxable",SUMPRODUCT((PayEmp=$C47)*(PayDate&lt;=$AC47)*(ISERROR(SEARCH(PayEarnCode,Q$4)))*(PayEarnTax)*(PayEarnValues)),SUMPRODUCT((PayEmp=$C47)*(PayDate&lt;=$AC47)*(ISERROR(SEARCH(PayEarnCode,Q$4)))*(PayEarnValues))),IF(ISNUMBER(Q$3),Q$3/12*$AA47,IgnoreMin)))*IF(COUNTIFS(EmpNo,$C47,OFFSET(Emp!$R$4,1,MATCH(Q$5,DedListItem,0)-1,EmpCount,1),"&lt;&gt;")&gt;0,VLOOKUP($C47,EmpAll,COLUMN(Emp!$R$4)+MATCH(Q$5,DedListItem,0)-1,0),OFFSET(Setup!$E$73,MATCH(Q$5,DedListItem,0),0,1,1)))-SUMIFS(OFFSET(Q$6,1,0,PayCount,1),PayDate,"&lt;"&amp;$AC47,PayEmp,$C47))))))</f>
        <v>0</v>
      </c>
      <c r="R47" s="185">
        <f t="shared" ca="1" si="25"/>
        <v>50</v>
      </c>
      <c r="S47" s="139">
        <f t="shared" ca="1" si="26"/>
        <v>4950</v>
      </c>
      <c r="T47" s="133" cm="1">
        <f t="array" aca="1" ref="T47" ca="1">IF($F47="Terminated",0,IF($AA47=0,0,IF(ISNA(MATCH(T$5,CompListItem,0)),0,IF(COUNTIFS(OverEmp,$C47,OverComp,T$5,OverDate,"&lt;"&amp;DATE(YEAR($AC47),MONTH($AC47)+1,1),OverEnd,"&gt;="&amp;DATE(YEAR($AC47),MONTH($AC47),1))&gt;0,SUMIFS(OverValue,OverEmp,$C47,OverComp,T$5,OverDate,"&lt;"&amp;DATE(YEAR($AC47),MONTH($AC47)+1,1),OverEnd,"&gt;="&amp;DATE(YEAR($AC47),MONTH($AC47),1)),IF(OR(T$2="Fixed",T$2="Not Used"),(OFFSET(Setup!$E$81,MATCH(T$5,CompListItem,0),0,1,1)*$AA47)-SUMIFS(OFFSET(T$6,1,0,PayCount,1),PayDate,"&lt;"&amp;$AC47,PayEmp,$C47),IF(ISNA(MATCH(T$2,DedListItem,0))=FALSE,(SUMPRODUCT((PayEmp=$C47)*(PayDate&lt;=$AC47)*(PayDedList=T$2)*(PayDedValues))*OFFSET(Setup!$E$81,MATCH(T$5,CompListItem,0),0,1,1))-SUMIFS(OFFSET(T$6,1,0,PayCount,1),PayDate,"&lt;"&amp;$AC47,PayEmp,$C47),(MIN(IF(OFFSET(Setup!$G$81,MATCH(T$5,CompListItem,0),0,1,1)="Taxable",SUMPRODUCT((PayEmp=$C47)*(PayDate&lt;=$AC47)*(ISERROR(SEARCH(PayEarnCode,T$4)))*(PayEarnTax)*(PayEarnValues)),SUMPRODUCT((PayEmp=$C47)*(PayDate&lt;=$AC47)*(ISERROR(SEARCH(PayEarnCode,T$4)))*(PayEarnValues))),IF(ISNUMBER(T$3),T$3/12*$AA47,IgnoreMin)))*OFFSET(Setup!$E$81,MATCH(T$5,CompListItem,0),0,1,1)-SUMIFS(OFFSET(T$6,1,0,PayCount,1),PayDate,"&lt;"&amp;$AC47,PayEmp,$C47)))))))</f>
        <v>50</v>
      </c>
      <c r="U47" s="133" cm="1">
        <f t="array" aca="1" ref="U47" ca="1">IF($F47="Terminated",0,IF($AA47=0,0,IF(ISNA(MATCH(U$5,CompListItem,0)),0,IF(COUNTIFS(OverEmp,$C47,OverComp,U$5,OverDate,"&lt;"&amp;DATE(YEAR($AC47),MONTH($AC47)+1,1),OverEnd,"&gt;="&amp;DATE(YEAR($AC47),MONTH($AC47),1))&gt;0,SUMIFS(OverValue,OverEmp,$C47,OverComp,U$5,OverDate,"&lt;"&amp;DATE(YEAR($AC47),MONTH($AC47)+1,1),OverEnd,"&gt;="&amp;DATE(YEAR($AC47),MONTH($AC47),1)),IF(OR(U$2="Fixed",U$2="Not Used"),(OFFSET(Setup!$E$81,MATCH(U$5,CompListItem,0),0,1,1)*$AA47)-SUMIFS(OFFSET(U$6,1,0,PayCount,1),PayDate,"&lt;"&amp;$AC47,PayEmp,$C47),IF(ISNA(MATCH(U$2,DedListItem,0))=FALSE,(SUMPRODUCT((PayEmp=$C47)*(PayDate&lt;=$AC47)*(PayDedList=U$2)*(PayDedValues))*OFFSET(Setup!$E$81,MATCH(U$5,CompListItem,0),0,1,1))-SUMIFS(OFFSET(U$6,1,0,PayCount,1),PayDate,"&lt;"&amp;$AC47,PayEmp,$C47),(MIN(IF(OFFSET(Setup!$G$81,MATCH(U$5,CompListItem,0),0,1,1)="Taxable",SUMPRODUCT((PayEmp=$C47)*(PayDate&lt;=$AC47)*(ISERROR(SEARCH(PayEarnCode,U$4)))*(PayEarnTax)*(PayEarnValues)),SUMPRODUCT((PayEmp=$C47)*(PayDate&lt;=$AC47)*(ISERROR(SEARCH(PayEarnCode,U$4)))*(PayEarnValues))),IF(ISNUMBER(U$3),U$3/12*$AA47,IgnoreMin)))*OFFSET(Setup!$E$81,MATCH(U$5,CompListItem,0),0,1,1)-SUMIFS(OFFSET(U$6,1,0,PayCount,1),PayDate,"&lt;"&amp;$AC47,PayEmp,$C47)))))))</f>
        <v>50</v>
      </c>
      <c r="V47" s="133" cm="1">
        <f t="array" aca="1" ref="V47" ca="1">IF($F47="Terminated",0,IF($AA47=0,0,IF(ISNA(MATCH(V$5,CompListItem,0)),0,IF(COUNTIFS(OverEmp,$C47,OverComp,V$5,OverDate,"&lt;"&amp;DATE(YEAR($AC47),MONTH($AC47)+1,1),OverEnd,"&gt;="&amp;DATE(YEAR($AC47),MONTH($AC47),1))&gt;0,SUMIFS(OverValue,OverEmp,$C47,OverComp,V$5,OverDate,"&lt;"&amp;DATE(YEAR($AC47),MONTH($AC47)+1,1),OverEnd,"&gt;="&amp;DATE(YEAR($AC47),MONTH($AC47),1)),IF(OR(V$2="Fixed",V$2="Not Used"),(OFFSET(Setup!$E$81,MATCH(V$5,CompListItem,0),0,1,1)*$AA47)-SUMIFS(OFFSET(V$6,1,0,PayCount,1),PayDate,"&lt;"&amp;$AC47,PayEmp,$C47),IF(ISNA(MATCH(V$2,DedListItem,0))=FALSE,(SUMPRODUCT((PayEmp=$C47)*(PayDate&lt;=$AC47)*(PayDedList=V$2)*(PayDedValues))*OFFSET(Setup!$E$81,MATCH(V$5,CompListItem,0),0,1,1))-SUMIFS(OFFSET(V$6,1,0,PayCount,1),PayDate,"&lt;"&amp;$AC47,PayEmp,$C47),(MIN(IF(OFFSET(Setup!$G$81,MATCH(V$5,CompListItem,0),0,1,1)="Taxable",SUMPRODUCT((PayEmp=$C47)*(PayDate&lt;=$AC47)*(ISERROR(SEARCH(PayEarnCode,V$4)))*(PayEarnTax)*(PayEarnValues)),SUMPRODUCT((PayEmp=$C47)*(PayDate&lt;=$AC47)*(ISERROR(SEARCH(PayEarnCode,V$4)))*(PayEarnValues))),IF(ISNUMBER(V$3),V$3/12*$AA47,IgnoreMin)))*OFFSET(Setup!$E$81,MATCH(V$5,CompListItem,0),0,1,1)-SUMIFS(OFFSET(V$6,1,0,PayCount,1),PayDate,"&lt;"&amp;$AC47,PayEmp,$C47)))))))</f>
        <v>0</v>
      </c>
      <c r="W47" s="133" cm="1">
        <f t="array" aca="1" ref="W47" ca="1">IF($F47="Terminated",0,IF($AA47=0,0,IF(ISNA(MATCH(W$5,CompListItem,0)),0,IF(COUNTIFS(OverEmp,$C47,OverComp,W$5,OverDate,"&lt;"&amp;DATE(YEAR($AC47),MONTH($AC47)+1,1),OverEnd,"&gt;="&amp;DATE(YEAR($AC47),MONTH($AC47),1))&gt;0,SUMIFS(OverValue,OverEmp,$C47,OverComp,W$5,OverDate,"&lt;"&amp;DATE(YEAR($AC47),MONTH($AC47)+1,1),OverEnd,"&gt;="&amp;DATE(YEAR($AC47),MONTH($AC47),1)),IF(OR(W$2="Fixed",W$2="Not Used"),(OFFSET(Setup!$E$81,MATCH(W$5,CompListItem,0),0,1,1)*$AA47)-SUMIFS(OFFSET(W$6,1,0,PayCount,1),PayDate,"&lt;"&amp;$AC47,PayEmp,$C47),IF(ISNA(MATCH(W$2,DedListItem,0))=FALSE,(SUMPRODUCT((PayEmp=$C47)*(PayDate&lt;=$AC47)*(PayDedList=W$2)*(PayDedValues))*OFFSET(Setup!$E$81,MATCH(W$5,CompListItem,0),0,1,1))-SUMIFS(OFFSET(W$6,1,0,PayCount,1),PayDate,"&lt;"&amp;$AC47,PayEmp,$C47),(MIN(IF(OFFSET(Setup!$G$81,MATCH(W$5,CompListItem,0),0,1,1)="Taxable",SUMPRODUCT((PayEmp=$C47)*(PayDate&lt;=$AC47)*(ISERROR(SEARCH(PayEarnCode,W$4)))*(PayEarnTax)*(PayEarnValues)),SUMPRODUCT((PayEmp=$C47)*(PayDate&lt;=$AC47)*(ISERROR(SEARCH(PayEarnCode,W$4)))*(PayEarnValues))),IF(ISNUMBER(W$3),W$3/12*$AA47,IgnoreMin)))*OFFSET(Setup!$E$81,MATCH(W$5,CompListItem,0),0,1,1)-SUMIFS(OFFSET(W$6,1,0,PayCount,1),PayDate,"&lt;"&amp;$AC47,PayEmp,$C47)))))))</f>
        <v>0</v>
      </c>
      <c r="X47" s="185">
        <f t="shared" ca="1" si="18"/>
        <v>100</v>
      </c>
      <c r="Y47" s="139">
        <f t="shared" ca="1" si="27"/>
        <v>5100</v>
      </c>
      <c r="Z47" s="139">
        <f t="shared" ca="1" si="19"/>
        <v>150</v>
      </c>
      <c r="AA47" s="146">
        <f ca="1">IF(OR($B47&lt;=Setup!$E$12,$B47&gt;=Setup!$D$12+1),0,IF($F47&lt;&gt;"Active",0,IF($AE47="Yes",$AB47,((YEAR($AC47)*12)+MONTH($AC47))-((YEAR($AD47)*12)+MONTH($AD47)-1))))</f>
        <v>3</v>
      </c>
      <c r="AB47" s="146">
        <f ca="1">IF(OR($B47&lt;=Setup!$E$12,$B47&gt;=Setup!$D$12+1),0,((YEAR($AC47)*12)+MONTH($AC47))-((YEAR(Setup!$E$12)*12)+MONTH(Setup!$E$12)))</f>
        <v>3</v>
      </c>
      <c r="AC47" s="186">
        <f t="shared" ca="1" si="20"/>
        <v>45071</v>
      </c>
      <c r="AD47" s="144">
        <f ca="1">IF(ISNA(VLOOKUP($C47,EmpAll,COLUMN(Emp!$E$4),0)),$AC47,IF(VLOOKUP($C47,EmpAll,COLUMN(Emp!$E$4),0)&lt;=Setup!$E$12,DATE(YEAR(Setup!$E$12),MONTH(Setup!$E$12)+1,1),VLOOKUP($C47,EmpAll,COLUMN(Emp!$E$4),0)))</f>
        <v>44986</v>
      </c>
      <c r="AE47" s="144" t="str">
        <f ca="1">IF(ISNA(VLOOKUP($C47,EmpAll,COLUMN(Emp!$G$1),0)),"-",IF(VLOOKUP($C47,EmpAll,COLUMN(Emp!$G$1),0)=0,"-",VLOOKUP($C47,EmpAll,COLUMN(Emp!$G$1),0)))</f>
        <v>-</v>
      </c>
      <c r="AF47" s="145">
        <f ca="1">IF(A47=PaySlip!$G$3,1,0)</f>
        <v>0</v>
      </c>
      <c r="AG47" s="130" cm="1">
        <f t="array" aca="1" ref="AG47" ca="1">IF(COUNTIFS(OverEmp,$C47,OverMed,"MED",OverDate,"&lt;"&amp;DATE(YEAR($AC47),MONTH($AC47)+1,1),OverEnd,"&gt;="&amp;DATE(YEAR($AC47),MONTH($AC47),1))&gt;0,SUMIFS(OverValue,OverEmp,$C47,OverMed,"MED",OverDate,"&lt;"&amp;DATE(YEAR($AC47),MONTH($AC47)+1,1),OverEnd,"&gt;="&amp;DATE(YEAR($AC47),MONTH($AC47),1)),IF(ISNA(VLOOKUP($C47,EmpAll,COLUMN(Emp!$N$4),0)),0,VLOOKUP($C47,EmpAll,COLUMN(Emp!$N$4),0)))</f>
        <v>0</v>
      </c>
      <c r="AH47" s="146">
        <f ca="1">VLOOKUP($AG47,MedList,COLUMN(Setup!$C$49),1)</f>
        <v>0</v>
      </c>
      <c r="AI47" s="146">
        <f t="shared" ca="1" si="7"/>
        <v>0</v>
      </c>
      <c r="AJ47" s="101" t="str">
        <f ca="1">IF(ISNA(VLOOKUP($C47,EmpAll,COLUMN(Emp!$L$4),0)),"None!",VLOOKUP($C47,EmpAll,COLUMN(Emp!$L$4),0))</f>
        <v>A</v>
      </c>
      <c r="AK47" s="147">
        <f t="shared" ca="1" si="21"/>
        <v>17235</v>
      </c>
      <c r="AL47" s="101" t="str">
        <f ca="1">IF(ISNA(VLOOKUP($C47,Employees[],COLUMN(Emp!$M$4),0))=TRUE,"Error!",IF(VLOOKUP($C47,Employees[],COLUMN(Emp!$M$4),0)=0,"Yes",VLOOKUP($C47,Employees[],COLUMN(Emp!$M$4),0)))</f>
        <v>A</v>
      </c>
      <c r="AM47" s="148">
        <f t="shared" ca="1" si="9"/>
        <v>60000</v>
      </c>
      <c r="AN47" s="148" cm="1">
        <f t="array" aca="1" ref="AN47" ca="1">-IF($F47="Terminated",0,IF($AA47=0,0,IF(ISNA(MATCH(AN$5,PayDedList,0)),0,MIN(IF(COUNTIFS(OverEmp,$C47,OverDeduct,AN$5,OverDate,"&lt;"&amp;DATE(YEAR($AC47),MONTH($AC47)+1,1),OverEnd,"&gt;="&amp;DATE(YEAR($AC47),MONTH($AC47),1))&gt;0,SUMPRODUCT((PayEmp=$C47)*(PayDate&lt;=$AC47)*(OFFSET($N$6,1,MATCH(AN$5,PayDedList,0)-1,PayCount,1)))/$AA47*12*AN$3,IF(OR(AN$1="Fixed",AN$1="Not Used"),SUMPRODUCT((PayEmp=$C47)*(PayDate&lt;=$AC47)*(OFFSET($N$6,1,MATCH(AN$5,PayDedList,0)-1,PayCount,1)))/$AA47*12*AN$3,IF(ISNA(MATCH(AN$1,EarnListItem,0))=FALSE,SUMPRODUCT((PayEmp=$C47)*(PayDate&lt;=$AC47)*(OFFSET($N$6,1,MATCH(AN$5,PayDedList,0)-1,PayCount,1)))/$AA47*12*AN$3,(MIN(((SUMPRODUCT((PayEmp=$C47)*(PayDate&lt;=$AC47)*(ISERROR(SEARCH(PayEarnCode,AN$2)))*(PayEarnType="Monthly")*(PayEarnValues))/$AA47*12)+(SUMPRODUCT((PayEmp=$C47)*(PayDate&lt;=$AC47)*(ISERROR(SEARCH(PayEarnCode,AN$2)))*(PayEarnType="Quarterly")*(PayEarnValues))/MAX(1,ROUNDDOWN($AB47/3,0))*4)+(SUMPRODUCT((PayEmp=$C47)*(PayDate&lt;=$AC47)*(ISERROR(SEARCH(PayEarnCode,AN$2)))*(PayEarnType="Bi-Annual")*(PayEarnValues))/MAX(1,ROUNDDOWN($AB47/6,0))*2)+(SUMPRODUCT((PayEmp=$C47)*(PayDate&lt;=$AC47)*(ISERROR(SEARCH(PayEarnCode,AN$2)))*(PayEarnType="Annual")*(PayEarnValues)))),IF(ISNUMBER(OFFSET($N$3,0,MATCH(AN$5,PayDedList,0)-1,1,1)),OFFSET($N$3,0,MATCH(AN$5,PayDedList,0)-1,1,1),IgnoreMin)))*IF(COUNTIFS(EmpNo,$C47,OFFSET(Emp!$R$4,1,MATCH(AN$5,DedListItem,0)-1,EmpCount,1),"&lt;&gt;")&gt;0,VLOOKUP($C47,EmpAll,COLUMN(Emp!$R$4)+MATCH(AN$5,DedListItem,0)-1,0),OFFSET(Setup!$E$73,MATCH(AN$5,DedListItem,0),0,1,1))*AN$3))),IF(ISNUMBER(AN$4),AN$4,IgnoreMin)))))</f>
        <v>0</v>
      </c>
      <c r="AO47" s="148" cm="1">
        <f t="array" aca="1" ref="AO47" ca="1">-IF($F47="Terminated",0,IF($AA47=0,0,IF(ISNA(MATCH(AO$5,PayDedList,0)),0,MIN(IF(COUNTIFS(OverEmp,$C47,OverDeduct,AO$5,OverDate,"&lt;"&amp;DATE(YEAR($AC47),MONTH($AC47)+1,1),OverEnd,"&gt;="&amp;DATE(YEAR($AC47),MONTH($AC47),1))&gt;0,SUMPRODUCT((PayEmp=$C47)*(PayDate&lt;=$AC47)*(OFFSET($N$6,1,MATCH(AO$5,PayDedList,0)-1,PayCount,1)))/$AA47*12*AO$3,IF(OR(AO$1="Fixed",AO$1="Not Used"),SUMPRODUCT((PayEmp=$C47)*(PayDate&lt;=$AC47)*(OFFSET($N$6,1,MATCH(AO$5,PayDedList,0)-1,PayCount,1)))/$AA47*12*AO$3,IF(ISNA(MATCH(AO$1,EarnListItem,0))=FALSE,SUMPRODUCT((PayEmp=$C47)*(PayDate&lt;=$AC47)*(OFFSET($N$6,1,MATCH(AO$5,PayDedList,0)-1,PayCount,1)))/$AA47*12*AO$3,(MIN(((SUMPRODUCT((PayEmp=$C47)*(PayDate&lt;=$AC47)*(ISERROR(SEARCH(PayEarnCode,AO$2)))*(PayEarnType="Monthly")*(PayEarnValues))/$AA47*12)+(SUMPRODUCT((PayEmp=$C47)*(PayDate&lt;=$AC47)*(ISERROR(SEARCH(PayEarnCode,AO$2)))*(PayEarnType="Quarterly")*(PayEarnValues))/MAX(1,ROUNDDOWN($AB47/3,0))*4)+(SUMPRODUCT((PayEmp=$C47)*(PayDate&lt;=$AC47)*(ISERROR(SEARCH(PayEarnCode,AO$2)))*(PayEarnType="Bi-Annual")*(PayEarnValues))/MAX(1,ROUNDDOWN($AB47/6,0))*2)+(SUMPRODUCT((PayEmp=$C47)*(PayDate&lt;=$AC47)*(ISERROR(SEARCH(PayEarnCode,AO$2)))*(PayEarnType="Annual")*(PayEarnValues)))),IF(ISNUMBER(OFFSET($N$3,0,MATCH(AO$5,PayDedList,0)-1,1,1)),OFFSET($N$3,0,MATCH(AO$5,PayDedList,0)-1,1,1),IgnoreMin)))*IF(COUNTIFS(EmpNo,$C47,OFFSET(Emp!$R$4,1,MATCH(AO$5,DedListItem,0)-1,EmpCount,1),"&lt;&gt;")&gt;0,VLOOKUP($C47,EmpAll,COLUMN(Emp!$R$4)+MATCH(AO$5,DedListItem,0)-1,0),OFFSET(Setup!$E$73,MATCH(AO$5,DedListItem,0),0,1,1))*AO$3))),IF(ISNUMBER(AO$4),AO$4,IgnoreMin)))))</f>
        <v>0</v>
      </c>
      <c r="AP47" s="148" cm="1">
        <f t="array" aca="1" ref="AP47" ca="1">-IF($F47="Terminated",0,IF($AA47=0,0,IF(ISNA(MATCH(AP$5,PayDedList,0)),0,MIN(IF(COUNTIFS(OverEmp,$C47,OverDeduct,AP$5,OverDate,"&lt;"&amp;DATE(YEAR($AC47),MONTH($AC47)+1,1),OverEnd,"&gt;="&amp;DATE(YEAR($AC47),MONTH($AC47),1))&gt;0,SUMPRODUCT((PayEmp=$C47)*(PayDate&lt;=$AC47)*(OFFSET($N$6,1,MATCH(AP$5,PayDedList,0)-1,PayCount,1)))/$AA47*12*AP$3,IF(OR(AP$1="Fixed",AP$1="Not Used"),SUMPRODUCT((PayEmp=$C47)*(PayDate&lt;=$AC47)*(OFFSET($N$6,1,MATCH(AP$5,PayDedList,0)-1,PayCount,1)))/$AA47*12*AP$3,IF(ISNA(MATCH(AP$1,EarnListItem,0))=FALSE,SUMPRODUCT((PayEmp=$C47)*(PayDate&lt;=$AC47)*(OFFSET($N$6,1,MATCH(AP$5,PayDedList,0)-1,PayCount,1)))/$AA47*12*AP$3,(MIN(((SUMPRODUCT((PayEmp=$C47)*(PayDate&lt;=$AC47)*(ISERROR(SEARCH(PayEarnCode,AP$2)))*(PayEarnType="Monthly")*(PayEarnValues))/$AA47*12)+(SUMPRODUCT((PayEmp=$C47)*(PayDate&lt;=$AC47)*(ISERROR(SEARCH(PayEarnCode,AP$2)))*(PayEarnType="Quarterly")*(PayEarnValues))/MAX(1,ROUNDDOWN($AB47/3,0))*4)+(SUMPRODUCT((PayEmp=$C47)*(PayDate&lt;=$AC47)*(ISERROR(SEARCH(PayEarnCode,AP$2)))*(PayEarnType="Bi-Annual")*(PayEarnValues))/MAX(1,ROUNDDOWN($AB47/6,0))*2)+(SUMPRODUCT((PayEmp=$C47)*(PayDate&lt;=$AC47)*(ISERROR(SEARCH(PayEarnCode,AP$2)))*(PayEarnType="Annual")*(PayEarnValues)))),IF(ISNUMBER(OFFSET($N$3,0,MATCH(AP$5,PayDedList,0)-1,1,1)),OFFSET($N$3,0,MATCH(AP$5,PayDedList,0)-1,1,1),IgnoreMin)))*IF(COUNTIFS(EmpNo,$C47,OFFSET(Emp!$R$4,1,MATCH(AP$5,DedListItem,0)-1,EmpCount,1),"&lt;&gt;")&gt;0,VLOOKUP($C47,EmpAll,COLUMN(Emp!$R$4)+MATCH(AP$5,DedListItem,0)-1,0),OFFSET(Setup!$E$73,MATCH(AP$5,DedListItem,0),0,1,1))*AP$3))),IF(ISNUMBER(AP$4),AP$4,IgnoreMin)))))</f>
        <v>0</v>
      </c>
      <c r="AQ47" s="148" cm="1">
        <f t="array" aca="1" ref="AQ47" ca="1">-IF($F47="Terminated",0,IF($AA47=0,0,IF(ISNA(MATCH(AQ$5,PayDedList,0)),0,MIN(IF(COUNTIFS(OverEmp,$C47,OverDeduct,AQ$5,OverDate,"&lt;"&amp;DATE(YEAR($AC47),MONTH($AC47)+1,1),OverEnd,"&gt;="&amp;DATE(YEAR($AC47),MONTH($AC47),1))&gt;0,SUMPRODUCT((PayEmp=$C47)*(PayDate&lt;=$AC47)*(OFFSET($N$6,1,MATCH(AQ$5,PayDedList,0)-1,PayCount,1)))/$AA47*12*AQ$3,IF(OR(AQ$1="Fixed",AQ$1="Not Used"),SUMPRODUCT((PayEmp=$C47)*(PayDate&lt;=$AC47)*(OFFSET($N$6,1,MATCH(AQ$5,PayDedList,0)-1,PayCount,1)))/$AA47*12*AQ$3,IF(ISNA(MATCH(AQ$1,EarnListItem,0))=FALSE,SUMPRODUCT((PayEmp=$C47)*(PayDate&lt;=$AC47)*(OFFSET($N$6,1,MATCH(AQ$5,PayDedList,0)-1,PayCount,1)))/$AA47*12*AQ$3,(MIN(((SUMPRODUCT((PayEmp=$C47)*(PayDate&lt;=$AC47)*(ISERROR(SEARCH(PayEarnCode,AQ$2)))*(PayEarnType="Monthly")*(PayEarnValues))/$AA47*12)+(SUMPRODUCT((PayEmp=$C47)*(PayDate&lt;=$AC47)*(ISERROR(SEARCH(PayEarnCode,AQ$2)))*(PayEarnType="Quarterly")*(PayEarnValues))/MAX(1,ROUNDDOWN($AB47/3,0))*4)+(SUMPRODUCT((PayEmp=$C47)*(PayDate&lt;=$AC47)*(ISERROR(SEARCH(PayEarnCode,AQ$2)))*(PayEarnType="Bi-Annual")*(PayEarnValues))/MAX(1,ROUNDDOWN($AB47/6,0))*2)+(SUMPRODUCT((PayEmp=$C47)*(PayDate&lt;=$AC47)*(ISERROR(SEARCH(PayEarnCode,AQ$2)))*(PayEarnType="Annual")*(PayEarnValues)))),IF(ISNUMBER(OFFSET($N$3,0,MATCH(AQ$5,PayDedList,0)-1,1,1)),OFFSET($N$3,0,MATCH(AQ$5,PayDedList,0)-1,1,1),IgnoreMin)))*IF(COUNTIFS(EmpNo,$C47,OFFSET(Emp!$R$4,1,MATCH(AQ$5,DedListItem,0)-1,EmpCount,1),"&lt;&gt;")&gt;0,VLOOKUP($C47,EmpAll,COLUMN(Emp!$R$4)+MATCH(AQ$5,DedListItem,0)-1,0),OFFSET(Setup!$E$73,MATCH(AQ$5,DedListItem,0),0,1,1))*AQ$3))),IF(ISNUMBER(AQ$4),AQ$4,IgnoreMin)))))</f>
        <v>0</v>
      </c>
      <c r="AR47" s="148">
        <f t="shared" ca="1" si="22"/>
        <v>60000</v>
      </c>
      <c r="AS47" s="148">
        <f t="shared" ca="1" si="11"/>
        <v>60000</v>
      </c>
      <c r="AT47" s="148" cm="1">
        <f t="array" aca="1" ref="AT47" ca="1">-IF($F47="Terminated",0,IF($AA47=0,0,IF(ISNA(MATCH(AT$5,PayDedList,0)),0,MIN(IF(COUNTIFS(OverEmp,$C47,OverDeduct,AT$5,OverDate,"&lt;"&amp;DATE(YEAR($AC47),MONTH($AC47)+1,1),OverEnd,"&gt;="&amp;DATE(YEAR($AC47),MONTH($AC47),1))&gt;0,SUMPRODUCT((PayEmp=$C47)*(PayDate&lt;=$AC47)*(OFFSET($N$6,1,MATCH(AT$5,PayDedList,0)-1,PayCount,1)))/$AA47*12*AT$3,IF(OR(AT$1="Fixed",AT$1="Not Used"),SUMPRODUCT((PayEmp=$C47)*(PayDate&lt;=$AC47)*(OFFSET($N$6,1,MATCH(AT$5,PayDedList,0)-1,PayCount,1)))/$AA47*12*AT$3,IF(ISNA(MATCH(OFFSET($N$2,0,MATCH(AT$5,PayDedList,0)-1,1,1),EarnListItem,0))=FALSE,SUMPRODUCT((PayEmp=$C47)*(PayDate&lt;=$AC47)*(OFFSET($N$6,1,MATCH(AT$5,PayDedList,0)-1,PayCount,1)))/$AA47*12*AT$3,(MIN(SUMPRODUCT((PayEmp=$C47)*(PayDate&lt;=$AC47)*(ISERROR(SEARCH(PayEarnCode,AT$2)))*(PayEarnType="Monthly")*(PayEarnValues))/$AA47*12,IF(ISNUMBER(OFFSET($N$3,0,MATCH(AT$5,PayDedList,0)-1,1,1)),OFFSET($N$3,0,MATCH(AT$5,PayDedList,0)-1,1,1),IgnoreMin)))*IF(COUNTIFS(EmpNo,$C47,OFFSET(Emp!$R$4,1,MATCH(AT$5,DedListItem,0)-1,EmpCount,1),"&lt;&gt;")&gt;0,VLOOKUP($C47,EmpAll,COLUMN(Emp!$R$4)+MATCH(AT$5,DedListItem,0)-1,0),OFFSET(Setup!$E$73,MATCH(AT$5,DedListItem,0),0,1,1))*AT$3))),IF(ISNUMBER(AT$4),AT$4,IgnoreMin)))))</f>
        <v>0</v>
      </c>
      <c r="AU47" s="148" cm="1">
        <f t="array" aca="1" ref="AU47" ca="1">-IF($F47="Terminated",0,IF($AA47=0,0,IF(ISNA(MATCH(AU$5,PayDedList,0)),0,MIN(IF(COUNTIFS(OverEmp,$C47,OverDeduct,AU$5,OverDate,"&lt;"&amp;DATE(YEAR($AC47),MONTH($AC47)+1,1),OverEnd,"&gt;="&amp;DATE(YEAR($AC47),MONTH($AC47),1))&gt;0,SUMPRODUCT((PayEmp=$C47)*(PayDate&lt;=$AC47)*(OFFSET($N$6,1,MATCH(AU$5,PayDedList,0)-1,PayCount,1)))/$AA47*12*AU$3,IF(OR(AU$1="Fixed",AU$1="Not Used"),SUMPRODUCT((PayEmp=$C47)*(PayDate&lt;=$AC47)*(OFFSET($N$6,1,MATCH(AU$5,PayDedList,0)-1,PayCount,1)))/$AA47*12*AU$3,IF(ISNA(MATCH(OFFSET($N$2,0,MATCH(AU$5,PayDedList,0)-1,1,1),EarnListItem,0))=FALSE,SUMPRODUCT((PayEmp=$C47)*(PayDate&lt;=$AC47)*(OFFSET($N$6,1,MATCH(AU$5,PayDedList,0)-1,PayCount,1)))/$AA47*12*AU$3,(MIN(SUMPRODUCT((PayEmp=$C47)*(PayDate&lt;=$AC47)*(ISERROR(SEARCH(PayEarnCode,AU$2)))*(PayEarnType="Monthly")*(PayEarnValues))/$AA47*12,IF(ISNUMBER(OFFSET($N$3,0,MATCH(AU$5,PayDedList,0)-1,1,1)),OFFSET($N$3,0,MATCH(AU$5,PayDedList,0)-1,1,1),IgnoreMin)))*IF(COUNTIFS(EmpNo,$C47,OFFSET(Emp!$R$4,1,MATCH(AU$5,DedListItem,0)-1,EmpCount,1),"&lt;&gt;")&gt;0,VLOOKUP($C47,EmpAll,COLUMN(Emp!$R$4)+MATCH(AU$5,DedListItem,0)-1,0),OFFSET(Setup!$E$73,MATCH(AU$5,DedListItem,0),0,1,1))*AU$3))),IF(ISNUMBER(AU$4),AU$4,IgnoreMin)))))</f>
        <v>0</v>
      </c>
      <c r="AV47" s="148" cm="1">
        <f t="array" aca="1" ref="AV47" ca="1">-IF($F47="Terminated",0,IF($AA47=0,0,IF(ISNA(MATCH(AV$5,PayDedList,0)),0,MIN(IF(COUNTIFS(OverEmp,$C47,OverDeduct,AV$5,OverDate,"&lt;"&amp;DATE(YEAR($AC47),MONTH($AC47)+1,1),OverEnd,"&gt;="&amp;DATE(YEAR($AC47),MONTH($AC47),1))&gt;0,SUMPRODUCT((PayEmp=$C47)*(PayDate&lt;=$AC47)*(OFFSET($N$6,1,MATCH(AV$5,PayDedList,0)-1,PayCount,1)))/$AA47*12*AV$3,IF(OR(AV$1="Fixed",AV$1="Not Used"),SUMPRODUCT((PayEmp=$C47)*(PayDate&lt;=$AC47)*(OFFSET($N$6,1,MATCH(AV$5,PayDedList,0)-1,PayCount,1)))/$AA47*12*AV$3,IF(ISNA(MATCH(OFFSET($N$2,0,MATCH(AV$5,PayDedList,0)-1,1,1),EarnListItem,0))=FALSE,SUMPRODUCT((PayEmp=$C47)*(PayDate&lt;=$AC47)*(OFFSET($N$6,1,MATCH(AV$5,PayDedList,0)-1,PayCount,1)))/$AA47*12*AV$3,(MIN(SUMPRODUCT((PayEmp=$C47)*(PayDate&lt;=$AC47)*(ISERROR(SEARCH(PayEarnCode,AV$2)))*(PayEarnType="Monthly")*(PayEarnValues))/$AA47*12,IF(ISNUMBER(OFFSET($N$3,0,MATCH(AV$5,PayDedList,0)-1,1,1)),OFFSET($N$3,0,MATCH(AV$5,PayDedList,0)-1,1,1),IgnoreMin)))*IF(COUNTIFS(EmpNo,$C47,OFFSET(Emp!$R$4,1,MATCH(AV$5,DedListItem,0)-1,EmpCount,1),"&lt;&gt;")&gt;0,VLOOKUP($C47,EmpAll,COLUMN(Emp!$R$4)+MATCH(AV$5,DedListItem,0)-1,0),OFFSET(Setup!$E$73,MATCH(AV$5,DedListItem,0),0,1,1))*AV$3))),IF(ISNUMBER(AV$4),AV$4,IgnoreMin)))))</f>
        <v>0</v>
      </c>
      <c r="AW47" s="148" cm="1">
        <f t="array" aca="1" ref="AW47" ca="1">-IF($F47="Terminated",0,IF($AA47=0,0,IF(ISNA(MATCH(AW$5,PayDedList,0)),0,MIN(IF(COUNTIFS(OverEmp,$C47,OverDeduct,AW$5,OverDate,"&lt;"&amp;DATE(YEAR($AC47),MONTH($AC47)+1,1),OverEnd,"&gt;="&amp;DATE(YEAR($AC47),MONTH($AC47),1))&gt;0,SUMPRODUCT((PayEmp=$C47)*(PayDate&lt;=$AC47)*(OFFSET($N$6,1,MATCH(AW$5,PayDedList,0)-1,PayCount,1)))/$AA47*12*AW$3,IF(OR(AW$1="Fixed",AW$1="Not Used"),SUMPRODUCT((PayEmp=$C47)*(PayDate&lt;=$AC47)*(OFFSET($N$6,1,MATCH(AW$5,PayDedList,0)-1,PayCount,1)))/$AA47*12*AW$3,IF(ISNA(MATCH(OFFSET($N$2,0,MATCH(AW$5,PayDedList,0)-1,1,1),EarnListItem,0))=FALSE,SUMPRODUCT((PayEmp=$C47)*(PayDate&lt;=$AC47)*(OFFSET($N$6,1,MATCH(AW$5,PayDedList,0)-1,PayCount,1)))/$AA47*12*AW$3,(MIN(SUMPRODUCT((PayEmp=$C47)*(PayDate&lt;=$AC47)*(ISERROR(SEARCH(PayEarnCode,AW$2)))*(PayEarnType="Monthly")*(PayEarnValues))/$AA47*12,IF(ISNUMBER(OFFSET($N$3,0,MATCH(AW$5,PayDedList,0)-1,1,1)),OFFSET($N$3,0,MATCH(AW$5,PayDedList,0)-1,1,1),IgnoreMin)))*IF(COUNTIFS(EmpNo,$C47,OFFSET(Emp!$R$4,1,MATCH(AW$5,DedListItem,0)-1,EmpCount,1),"&lt;&gt;")&gt;0,VLOOKUP($C47,EmpAll,COLUMN(Emp!$R$4)+MATCH(AW$5,DedListItem,0)-1,0),OFFSET(Setup!$E$73,MATCH(AW$5,DedListItem,0),0,1,1))*AW$3))),IF(ISNUMBER(AW$4),AW$4,IgnoreMin)))))</f>
        <v>0</v>
      </c>
      <c r="AX47" s="148">
        <f t="shared" ca="1" si="28"/>
        <v>60000</v>
      </c>
      <c r="AY47" s="148">
        <f t="shared" ca="1" si="29"/>
        <v>0</v>
      </c>
      <c r="AZ47" s="148">
        <f ca="1">IF(ISNUMBER($AL47),($AR47*$AL47)-$AI47-$AK47,MAX(0,IF($AL47="B",IF($AR47&lt;Setup!$C$32,($AR47*Setup!$D$32)-$AI47-$AK47,(($AR47-VLOOKUP($AR47,TaxAll2,1,1))*OFFSET(Setup!$D$32,MATCH($AR47,TaxBracket2,1),0,1,1))+OFFSET(Setup!$E$31,MATCH($AR47,TaxBracket2,1),0,1,1)-$AI47-$AK47),IF($AR47&lt;Setup!$C$21,($AR47*Setup!$D$21)-$AI47-$AK47,(($AR47-VLOOKUP($AR47,TaxAll1,1,1))*OFFSET(Setup!$D$21,MATCH($AR47,TaxBracket1,1),0,1,1))+OFFSET(Setup!$E$20,MATCH($AR47,TaxBracket1,1),0,1,1)-$AI47-$AK47))))</f>
        <v>0</v>
      </c>
      <c r="BA47" s="148">
        <f ca="1">IF(ISNUMBER($AL47),($AX47*$AL47)-$AI47-$AK47,MAX(0,IF($AL47="B",IF($AX47&lt;Setup!$C$32,($AX47*Setup!$D$32)-$AI47-$AK47,(($AX47-VLOOKUP($AX47,TaxAll2,1,1))*OFFSET(Setup!$D$32,MATCH($AX47,TaxBracket2,1),0,1,1))+OFFSET(Setup!$E$31,MATCH($AX47,TaxBracket2,1),0,1,1)-$AI47-$AK47),IF($AX47&lt;Setup!$C$21,($AX47*Setup!$D$21)-$AI47-$AK47,(($AX47-VLOOKUP($AX47,TaxAll1,1,1))*OFFSET(Setup!$D$21,MATCH($AX47,TaxBracket1,1),0,1,1))+OFFSET(Setup!$E$20,MATCH($AX47,TaxBracket1,1),0,1,1)-$AI47-$AK47))))</f>
        <v>0</v>
      </c>
      <c r="BB47" s="148">
        <f t="shared" ca="1" si="23"/>
        <v>0</v>
      </c>
      <c r="BC47" s="150">
        <f t="shared" ca="1" si="15"/>
        <v>1</v>
      </c>
      <c r="BD47" s="150">
        <f t="shared" ca="1" si="16"/>
        <v>0</v>
      </c>
      <c r="BE47" s="148">
        <f t="shared" ca="1" si="17"/>
        <v>60000</v>
      </c>
    </row>
    <row r="48" spans="1:57" ht="16.149999999999999" customHeight="1" x14ac:dyDescent="0.25">
      <c r="A48" s="10" t="str" cm="1">
        <f t="array" aca="1" ref="A48" ca="1">IF(ROW($A48)-ROW($A$6)&gt;EmpCount*12,"-",TEXT($B48,"yyyy")&amp;TEXT($B48,"mm")&amp;"-"&amp;$C48)</f>
        <v>202305-EXS012</v>
      </c>
      <c r="B48" s="137" cm="1">
        <f t="array" aca="1" ref="B48" ca="1">IF(ROW($A48)-ROW($A$6)&gt;EmpCount*12,Setup!$D$12,DATE(YEAR(Setup!$F$12),MONTH(Setup!$F$12)+ROUNDDOWN((ROW($A48)-ROW($A$6)-1)/EmpCount,0),IF(Setup!$C$14&gt;DAY(DATE(YEAR(Setup!$F$12),MONTH(Setup!$F$12)+ROUNDDOWN((ROW($A48)-ROW($A$6)-1)/EmpCount,0)+1,0)),DAY(DATE(YEAR(Setup!$F$12),MONTH(Setup!$F$12)+ROUNDDOWN((ROW($A48)-ROW($A$6)-1)/EmpCount,0)+1,0)),Setup!$C$14)))</f>
        <v>45071</v>
      </c>
      <c r="C48" s="101" t="str" cm="1">
        <f t="array" aca="1" ref="C48" ca="1">IF(ROW($A48)-ROW($A$6)&gt;EmpCount*12,"-",OFFSET(Emp!$A$4,ROW($A48)-ROW($A$6)-IF(ROW($A48)-ROW($A$6)&gt;EmpCount,ROUNDDOWN((ROW($A48)-ROW($A$6)-1)/EmpCount,0)*EmpCount,0),0,1,1))</f>
        <v>EXS012</v>
      </c>
      <c r="D48" s="10" t="str">
        <f ca="1">IF(ISNA(VLOOKUP($C48,EmpAll,COLUMN(Emp!$B$4),0)),"-",VLOOKUP($C48,EmpAll,COLUMN(Emp!$B$4),0))</f>
        <v>Williams VS</v>
      </c>
      <c r="E48" s="145" t="str">
        <f ca="1">IF(ISNA(VLOOKUP($C48,EmpAll,COLUMN(Emp!$C$4),0)),"-",VLOOKUP($C48,EmpAll,COLUMN(Emp!$C$4),0))</f>
        <v>A</v>
      </c>
      <c r="F48" s="101" t="str">
        <f ca="1">IF(ISNA(VLOOKUP($C48,EmpAll,COLUMN(Emp!$A$4),0)),"-",IF(AND(VLOOKUP($C48,EmpAll,COLUMN(Emp!$E$4),0)&lt;&gt;0,VLOOKUP($C48,EmpAll,COLUMN(Emp!$E$4),0)&gt;=DATE(YEAR($AC48),MONTH($AC48)+1,0)),"Inactive",IF(AND(VLOOKUP($C48,EmpAll,COLUMN(Emp!$F$4),0)&lt;&gt;0,VLOOKUP($C48,EmpAll,COLUMN(Emp!$F$4),0)&lt;=DATE(YEAR($AC48),MONTH($AC48),0)),"Terminated","Active")))</f>
        <v>Active</v>
      </c>
      <c r="G48" s="133" cm="1">
        <f t="array" aca="1" ref="G48" ca="1">IF($F48&lt;&gt;"Active",0,IF(COUNTIFS(OverEmp,$C48,OverEarn,G$2,OverDate,"&lt;"&amp;DATE(YEAR($AC48),MONTH($AC48)+1,1),OverEnd,"&gt;="&amp;DATE(YEAR($AC48),MONTH($AC48),1))&gt;0,SUMIFS(OverValue,OverEmp,$C48,OverEarn,G$2,OverDate,"&lt;"&amp;DATE(YEAR($AC48),MONTH($AC48)+1,1),OverEnd,"&gt;="&amp;DATE(YEAR($AC48),MONTH($AC48),1)),IF(AND($AC48&gt;=Setup!$E$10,SUMIFS(EmpIncrease,EmpCode,$C48)&gt;0),SUMIFS(EmpIncrease,EmpCode,$C48),SUMIFS(EmpSalary,EmpCode,$C48))))</f>
        <v>5000</v>
      </c>
      <c r="H48" s="133" cm="1">
        <f t="array" aca="1" ref="H48" ca="1">IF($F48&lt;&gt;"Active",0,IF(COUNTIFS(OverEmp,$C48,OverEarn,H$2,OverDate,"&lt;"&amp;DATE(YEAR($AC48),MONTH($AC48)+1,1),OverEnd,"&gt;="&amp;DATE(YEAR($AC48),MONTH($AC48),1))&gt;0,SUMIFS(OverValue,OverEmp,$C48,OverEarn,H$2,OverDate,"&lt;"&amp;DATE(YEAR($AC48),MONTH($AC48)+1,1),OverEnd,"&gt;="&amp;DATE(YEAR($AC48),MONTH($AC48),1)),0))</f>
        <v>0</v>
      </c>
      <c r="I48" s="133" cm="1">
        <f t="array" aca="1" ref="I48" ca="1">IF($F48&lt;&gt;"Active",0,IF(COUNTIFS(OverEmp,$C48,OverEarn,I$2,OverDate,"&lt;"&amp;DATE(YEAR($AC48),MONTH($AC48)+1,1),OverEnd,"&gt;="&amp;DATE(YEAR($AC48),MONTH($AC48),1))&gt;0,SUMIFS(OverValue,OverEmp,$C48,OverEarn,I$2,OverDate,"&lt;"&amp;DATE(YEAR($AC48),MONTH($AC48)+1,1),OverEnd,"&gt;="&amp;DATE(YEAR($AC48),MONTH($AC48),1)),IF(MONTH(B48)=Setup!$C$15,SUMIFS(EmpBonus,EmpCode,$C48),0)))</f>
        <v>0</v>
      </c>
      <c r="J48" s="133" cm="1">
        <f t="array" aca="1" ref="J48" ca="1">IF($F48&lt;&gt;"Active",0,IF(COUNTIFS(OverEmp,$C48,OverEarn,J$2,OverDate,"&lt;"&amp;DATE(YEAR($AC48),MONTH($AC48)+1,1),OverEnd,"&gt;="&amp;DATE(YEAR($AC48),MONTH($AC48),1))&gt;0,SUMIFS(OverValue,OverEmp,$C48,OverEarn,J$2,OverDate,"&lt;"&amp;DATE(YEAR($AC48),MONTH($AC48)+1,1),OverEnd,"&gt;="&amp;DATE(YEAR($AC48),MONTH($AC48),1)),0))</f>
        <v>0</v>
      </c>
      <c r="K48" s="133" cm="1">
        <f t="array" aca="1" ref="K48" ca="1">IF($F48&lt;&gt;"Active",0,IF(COUNTIFS(OverEmp,$C48,OverEarn,K$2,OverDate,"&lt;"&amp;DATE(YEAR($AC48),MONTH($AC48)+1,1),OverEnd,"&gt;="&amp;DATE(YEAR($AC48),MONTH($AC48),1))&gt;0,SUMIFS(OverValue,OverEmp,$C48,OverEarn,K$2,OverDate,"&lt;"&amp;DATE(YEAR($AC48),MONTH($AC48)+1,1),OverEnd,"&gt;="&amp;DATE(YEAR($AC48),MONTH($AC48),1)),0))</f>
        <v>0</v>
      </c>
      <c r="L48" s="185">
        <f t="shared" ca="1" si="24"/>
        <v>5000</v>
      </c>
      <c r="M48" s="182" cm="1">
        <f t="array" aca="1" ref="M48" ca="1">IF(COUNTIFS(OverEmp,$C48,OverTax,M$5,OverDate,"&lt;"&amp;DATE(YEAR($AC48),MONTH($AC48)+1,1),OverEnd,"&gt;="&amp;DATE(YEAR($AC48),MONTH($AC48),1))&gt;0,SUMIFS(OverValue,OverEmp,$C48,OverTax,M$5,OverDate,"&lt;"&amp;DATE(YEAR($AC48),MONTH($AC48)+1,1),OverEnd,"&gt;="&amp;DATE(YEAR($AC48),MONTH($AC48),1)),(($BA48/12*$AA48)+(BB48*IF(1-$BC48=0,0,BD48/(1-$BC48))))-IF($F48="Terminated",0,SUMIFS(PayTaxDeduct,PayDate,"&lt;"&amp;$AC48,PayEmp,$C48)))</f>
        <v>0</v>
      </c>
      <c r="N48" s="133" cm="1">
        <f t="array" aca="1" ref="N48" ca="1">IF($F48="Terminated",0,IF($AA48=0,0,IF(ISNA(MATCH(N$5,DedListItem,0)),0,IF(COUNTIFS(OverEmp,$C48,OverDeduct,N$5,OverDate,"&lt;"&amp;DATE(YEAR($AC48),MONTH($AC48)+1,1),OverEnd,"&gt;="&amp;DATE(YEAR($AC48),MONTH($AC48),1))&gt;0,SUMIFS(OverValue,OverEmp,$C48,OverDeduct,N$5,OverDate,"&lt;"&amp;DATE(YEAR($AC48),MONTH($AC48)+1,1),OverEnd,"&gt;="&amp;DATE(YEAR($AC48),MONTH($AC48),1)),IF(OR(N$2="Fixed",N$2="Not Used"),(IF(COUNTIFS(EmpNo,$C48,OFFSET(Emp!$R$4,1,MATCH(N$5,DedListItem,0)-1,EmpCount,1),"&lt;&gt;")&gt;0,VLOOKUP($C48,EmpAll,COLUMN(Emp!$R$4)+MATCH(N$5,DedListItem,0)-1,0),OFFSET(Setup!$E$73,MATCH(N$5,DedListItem,0),0,1,1))*$AA48)-SUMIFS(OFFSET(N$6,1,0,PayCount,1),PayDate,"&lt;"&amp;$AC48,PayEmp,$C48),IF(ISNA(MATCH(N$2,EarnListItem,0))=FALSE,IF(OFFSET(Setup!$G$73,MATCH(N$5,DedListItem,0),0,1,1)="Taxable",SUMPRODUCT((PayEmp=$C48)*(PayDate&lt;=$AC48)*(PayEarnCode=N$2)*(PayEarnTax)*(PayEarnValues)),SUMPRODUCT((PayEmp=$C48)*(PayDate&lt;=$AC48)*(PayEarnCode=N$2)*(PayEarnValues)))*IF(COUNTIFS(EmpNo,$C48,OFFSET(Emp!$R$4,1,MATCH(N$5,DedListItem,0)-1,EmpCount,1),"&lt;&gt;")&gt;0,VLOOKUP($C48,EmpAll,COLUMN(Emp!$R$4)+MATCH(N$5,DedListItem,0)-1,0),OFFSET(Setup!$E$73,MATCH(N$5,DedListItem,0),0,1,1)),(MIN(IF(OFFSET(Setup!$G$73,MATCH(N$5,DedListItem,0),0,1,1)="Taxable",SUMPRODUCT((PayEmp=$C48)*(PayDate&lt;=$AC48)*(ISERROR(SEARCH(PayEarnCode,N$4)))*(PayEarnTax)*(PayEarnValues)),SUMPRODUCT((PayEmp=$C48)*(PayDate&lt;=$AC48)*(ISERROR(SEARCH(PayEarnCode,N$4)))*(PayEarnValues))),IF(ISNUMBER(N$3),N$3/12*$AA48,IgnoreMin)))*IF(COUNTIFS(EmpNo,$C48,OFFSET(Emp!$R$4,1,MATCH(N$5,DedListItem,0)-1,EmpCount,1),"&lt;&gt;")&gt;0,VLOOKUP($C48,EmpAll,COLUMN(Emp!$R$4)+MATCH(N$5,DedListItem,0)-1,0),OFFSET(Setup!$E$73,MATCH(N$5,DedListItem,0),0,1,1)))-SUMIFS(OFFSET(N$6,1,0,PayCount,1),PayDate,"&lt;"&amp;$AC48,PayEmp,$C48))))))</f>
        <v>50</v>
      </c>
      <c r="O48" s="133" cm="1">
        <f t="array" aca="1" ref="O48" ca="1">IF($F48="Terminated",0,IF($AA48=0,0,IF(ISNA(MATCH(O$5,DedListItem,0)),0,IF(COUNTIFS(OverEmp,$C48,OverDeduct,O$5,OverDate,"&lt;"&amp;DATE(YEAR($AC48),MONTH($AC48)+1,1),OverEnd,"&gt;="&amp;DATE(YEAR($AC48),MONTH($AC48),1))&gt;0,SUMIFS(OverValue,OverEmp,$C48,OverDeduct,O$5,OverDate,"&lt;"&amp;DATE(YEAR($AC48),MONTH($AC48)+1,1),OverEnd,"&gt;="&amp;DATE(YEAR($AC48),MONTH($AC48),1)),IF(OR(O$2="Fixed",O$2="Not Used"),(IF(COUNTIFS(EmpNo,$C48,OFFSET(Emp!$R$4,1,MATCH(O$5,DedListItem,0)-1,EmpCount,1),"&lt;&gt;")&gt;0,VLOOKUP($C48,EmpAll,COLUMN(Emp!$R$4)+MATCH(O$5,DedListItem,0)-1,0),OFFSET(Setup!$E$73,MATCH(O$5,DedListItem,0),0,1,1))*$AA48)-SUMIFS(OFFSET(O$6,1,0,PayCount,1),PayDate,"&lt;"&amp;$AC48,PayEmp,$C48),IF(ISNA(MATCH(O$2,EarnListItem,0))=FALSE,IF(OFFSET(Setup!$G$73,MATCH(O$5,DedListItem,0),0,1,1)="Taxable",SUMPRODUCT((PayEmp=$C48)*(PayDate&lt;=$AC48)*(PayEarnCode=O$2)*(PayEarnTax)*(PayEarnValues)),SUMPRODUCT((PayEmp=$C48)*(PayDate&lt;=$AC48)*(PayEarnCode=O$2)*(PayEarnValues)))*IF(COUNTIFS(EmpNo,$C48,OFFSET(Emp!$R$4,1,MATCH(O$5,DedListItem,0)-1,EmpCount,1),"&lt;&gt;")&gt;0,VLOOKUP($C48,EmpAll,COLUMN(Emp!$R$4)+MATCH(O$5,DedListItem,0)-1,0),OFFSET(Setup!$E$73,MATCH(O$5,DedListItem,0),0,1,1)),(MIN(IF(OFFSET(Setup!$G$73,MATCH(O$5,DedListItem,0),0,1,1)="Taxable",SUMPRODUCT((PayEmp=$C48)*(PayDate&lt;=$AC48)*(ISERROR(SEARCH(PayEarnCode,O$4)))*(PayEarnTax)*(PayEarnValues)),SUMPRODUCT((PayEmp=$C48)*(PayDate&lt;=$AC48)*(ISERROR(SEARCH(PayEarnCode,O$4)))*(PayEarnValues))),IF(ISNUMBER(O$3),O$3/12*$AA48,IgnoreMin)))*IF(COUNTIFS(EmpNo,$C48,OFFSET(Emp!$R$4,1,MATCH(O$5,DedListItem,0)-1,EmpCount,1),"&lt;&gt;")&gt;0,VLOOKUP($C48,EmpAll,COLUMN(Emp!$R$4)+MATCH(O$5,DedListItem,0)-1,0),OFFSET(Setup!$E$73,MATCH(O$5,DedListItem,0),0,1,1)))-SUMIFS(OFFSET(O$6,1,0,PayCount,1),PayDate,"&lt;"&amp;$AC48,PayEmp,$C48))))))</f>
        <v>0</v>
      </c>
      <c r="P48" s="133" cm="1">
        <f t="array" aca="1" ref="P48" ca="1">IF($F48="Terminated",0,IF($AA48=0,0,IF(ISNA(MATCH(P$5,DedListItem,0)),0,IF(COUNTIFS(OverEmp,$C48,OverDeduct,P$5,OverDate,"&lt;"&amp;DATE(YEAR($AC48),MONTH($AC48)+1,1),OverEnd,"&gt;="&amp;DATE(YEAR($AC48),MONTH($AC48),1))&gt;0,SUMIFS(OverValue,OverEmp,$C48,OverDeduct,P$5,OverDate,"&lt;"&amp;DATE(YEAR($AC48),MONTH($AC48)+1,1),OverEnd,"&gt;="&amp;DATE(YEAR($AC48),MONTH($AC48),1)),IF(OR(P$2="Fixed",P$2="Not Used"),(IF(COUNTIFS(EmpNo,$C48,OFFSET(Emp!$R$4,1,MATCH(P$5,DedListItem,0)-1,EmpCount,1),"&lt;&gt;")&gt;0,VLOOKUP($C48,EmpAll,COLUMN(Emp!$R$4)+MATCH(P$5,DedListItem,0)-1,0),OFFSET(Setup!$E$73,MATCH(P$5,DedListItem,0),0,1,1))*$AA48)-SUMIFS(OFFSET(P$6,1,0,PayCount,1),PayDate,"&lt;"&amp;$AC48,PayEmp,$C48),IF(ISNA(MATCH(P$2,EarnListItem,0))=FALSE,IF(OFFSET(Setup!$G$73,MATCH(P$5,DedListItem,0),0,1,1)="Taxable",SUMPRODUCT((PayEmp=$C48)*(PayDate&lt;=$AC48)*(PayEarnCode=P$2)*(PayEarnTax)*(PayEarnValues)),SUMPRODUCT((PayEmp=$C48)*(PayDate&lt;=$AC48)*(PayEarnCode=P$2)*(PayEarnValues)))*IF(COUNTIFS(EmpNo,$C48,OFFSET(Emp!$R$4,1,MATCH(P$5,DedListItem,0)-1,EmpCount,1),"&lt;&gt;")&gt;0,VLOOKUP($C48,EmpAll,COLUMN(Emp!$R$4)+MATCH(P$5,DedListItem,0)-1,0),OFFSET(Setup!$E$73,MATCH(P$5,DedListItem,0),0,1,1)),(MIN(IF(OFFSET(Setup!$G$73,MATCH(P$5,DedListItem,0),0,1,1)="Taxable",SUMPRODUCT((PayEmp=$C48)*(PayDate&lt;=$AC48)*(ISERROR(SEARCH(PayEarnCode,P$4)))*(PayEarnTax)*(PayEarnValues)),SUMPRODUCT((PayEmp=$C48)*(PayDate&lt;=$AC48)*(ISERROR(SEARCH(PayEarnCode,P$4)))*(PayEarnValues))),IF(ISNUMBER(P$3),P$3/12*$AA48,IgnoreMin)))*IF(COUNTIFS(EmpNo,$C48,OFFSET(Emp!$R$4,1,MATCH(P$5,DedListItem,0)-1,EmpCount,1),"&lt;&gt;")&gt;0,VLOOKUP($C48,EmpAll,COLUMN(Emp!$R$4)+MATCH(P$5,DedListItem,0)-1,0),OFFSET(Setup!$E$73,MATCH(P$5,DedListItem,0),0,1,1)))-SUMIFS(OFFSET(P$6,1,0,PayCount,1),PayDate,"&lt;"&amp;$AC48,PayEmp,$C48))))))</f>
        <v>0</v>
      </c>
      <c r="Q48" s="133" cm="1">
        <f t="array" aca="1" ref="Q48" ca="1">IF($F48="Terminated",0,IF($AA48=0,0,IF(ISNA(MATCH(Q$5,DedListItem,0)),0,IF(COUNTIFS(OverEmp,$C48,OverDeduct,Q$5,OverDate,"&lt;"&amp;DATE(YEAR($AC48),MONTH($AC48)+1,1),OverEnd,"&gt;="&amp;DATE(YEAR($AC48),MONTH($AC48),1))&gt;0,SUMIFS(OverValue,OverEmp,$C48,OverDeduct,Q$5,OverDate,"&lt;"&amp;DATE(YEAR($AC48),MONTH($AC48)+1,1),OverEnd,"&gt;="&amp;DATE(YEAR($AC48),MONTH($AC48),1)),IF(OR(Q$2="Fixed",Q$2="Not Used"),(IF(COUNTIFS(EmpNo,$C48,OFFSET(Emp!$R$4,1,MATCH(Q$5,DedListItem,0)-1,EmpCount,1),"&lt;&gt;")&gt;0,VLOOKUP($C48,EmpAll,COLUMN(Emp!$R$4)+MATCH(Q$5,DedListItem,0)-1,0),OFFSET(Setup!$E$73,MATCH(Q$5,DedListItem,0),0,1,1))*$AA48)-SUMIFS(OFFSET(Q$6,1,0,PayCount,1),PayDate,"&lt;"&amp;$AC48,PayEmp,$C48),IF(ISNA(MATCH(Q$2,EarnListItem,0))=FALSE,IF(OFFSET(Setup!$G$73,MATCH(Q$5,DedListItem,0),0,1,1)="Taxable",SUMPRODUCT((PayEmp=$C48)*(PayDate&lt;=$AC48)*(PayEarnCode=Q$2)*(PayEarnTax)*(PayEarnValues)),SUMPRODUCT((PayEmp=$C48)*(PayDate&lt;=$AC48)*(PayEarnCode=Q$2)*(PayEarnValues)))*IF(COUNTIFS(EmpNo,$C48,OFFSET(Emp!$R$4,1,MATCH(Q$5,DedListItem,0)-1,EmpCount,1),"&lt;&gt;")&gt;0,VLOOKUP($C48,EmpAll,COLUMN(Emp!$R$4)+MATCH(Q$5,DedListItem,0)-1,0),OFFSET(Setup!$E$73,MATCH(Q$5,DedListItem,0),0,1,1)),(MIN(IF(OFFSET(Setup!$G$73,MATCH(Q$5,DedListItem,0),0,1,1)="Taxable",SUMPRODUCT((PayEmp=$C48)*(PayDate&lt;=$AC48)*(ISERROR(SEARCH(PayEarnCode,Q$4)))*(PayEarnTax)*(PayEarnValues)),SUMPRODUCT((PayEmp=$C48)*(PayDate&lt;=$AC48)*(ISERROR(SEARCH(PayEarnCode,Q$4)))*(PayEarnValues))),IF(ISNUMBER(Q$3),Q$3/12*$AA48,IgnoreMin)))*IF(COUNTIFS(EmpNo,$C48,OFFSET(Emp!$R$4,1,MATCH(Q$5,DedListItem,0)-1,EmpCount,1),"&lt;&gt;")&gt;0,VLOOKUP($C48,EmpAll,COLUMN(Emp!$R$4)+MATCH(Q$5,DedListItem,0)-1,0),OFFSET(Setup!$E$73,MATCH(Q$5,DedListItem,0),0,1,1)))-SUMIFS(OFFSET(Q$6,1,0,PayCount,1),PayDate,"&lt;"&amp;$AC48,PayEmp,$C48))))))</f>
        <v>0</v>
      </c>
      <c r="R48" s="185">
        <f t="shared" ca="1" si="25"/>
        <v>50</v>
      </c>
      <c r="S48" s="139">
        <f t="shared" ca="1" si="26"/>
        <v>4950</v>
      </c>
      <c r="T48" s="133" cm="1">
        <f t="array" aca="1" ref="T48" ca="1">IF($F48="Terminated",0,IF($AA48=0,0,IF(ISNA(MATCH(T$5,CompListItem,0)),0,IF(COUNTIFS(OverEmp,$C48,OverComp,T$5,OverDate,"&lt;"&amp;DATE(YEAR($AC48),MONTH($AC48)+1,1),OverEnd,"&gt;="&amp;DATE(YEAR($AC48),MONTH($AC48),1))&gt;0,SUMIFS(OverValue,OverEmp,$C48,OverComp,T$5,OverDate,"&lt;"&amp;DATE(YEAR($AC48),MONTH($AC48)+1,1),OverEnd,"&gt;="&amp;DATE(YEAR($AC48),MONTH($AC48),1)),IF(OR(T$2="Fixed",T$2="Not Used"),(OFFSET(Setup!$E$81,MATCH(T$5,CompListItem,0),0,1,1)*$AA48)-SUMIFS(OFFSET(T$6,1,0,PayCount,1),PayDate,"&lt;"&amp;$AC48,PayEmp,$C48),IF(ISNA(MATCH(T$2,DedListItem,0))=FALSE,(SUMPRODUCT((PayEmp=$C48)*(PayDate&lt;=$AC48)*(PayDedList=T$2)*(PayDedValues))*OFFSET(Setup!$E$81,MATCH(T$5,CompListItem,0),0,1,1))-SUMIFS(OFFSET(T$6,1,0,PayCount,1),PayDate,"&lt;"&amp;$AC48,PayEmp,$C48),(MIN(IF(OFFSET(Setup!$G$81,MATCH(T$5,CompListItem,0),0,1,1)="Taxable",SUMPRODUCT((PayEmp=$C48)*(PayDate&lt;=$AC48)*(ISERROR(SEARCH(PayEarnCode,T$4)))*(PayEarnTax)*(PayEarnValues)),SUMPRODUCT((PayEmp=$C48)*(PayDate&lt;=$AC48)*(ISERROR(SEARCH(PayEarnCode,T$4)))*(PayEarnValues))),IF(ISNUMBER(T$3),T$3/12*$AA48,IgnoreMin)))*OFFSET(Setup!$E$81,MATCH(T$5,CompListItem,0),0,1,1)-SUMIFS(OFFSET(T$6,1,0,PayCount,1),PayDate,"&lt;"&amp;$AC48,PayEmp,$C48)))))))</f>
        <v>50</v>
      </c>
      <c r="U48" s="133" cm="1">
        <f t="array" aca="1" ref="U48" ca="1">IF($F48="Terminated",0,IF($AA48=0,0,IF(ISNA(MATCH(U$5,CompListItem,0)),0,IF(COUNTIFS(OverEmp,$C48,OverComp,U$5,OverDate,"&lt;"&amp;DATE(YEAR($AC48),MONTH($AC48)+1,1),OverEnd,"&gt;="&amp;DATE(YEAR($AC48),MONTH($AC48),1))&gt;0,SUMIFS(OverValue,OverEmp,$C48,OverComp,U$5,OverDate,"&lt;"&amp;DATE(YEAR($AC48),MONTH($AC48)+1,1),OverEnd,"&gt;="&amp;DATE(YEAR($AC48),MONTH($AC48),1)),IF(OR(U$2="Fixed",U$2="Not Used"),(OFFSET(Setup!$E$81,MATCH(U$5,CompListItem,0),0,1,1)*$AA48)-SUMIFS(OFFSET(U$6,1,0,PayCount,1),PayDate,"&lt;"&amp;$AC48,PayEmp,$C48),IF(ISNA(MATCH(U$2,DedListItem,0))=FALSE,(SUMPRODUCT((PayEmp=$C48)*(PayDate&lt;=$AC48)*(PayDedList=U$2)*(PayDedValues))*OFFSET(Setup!$E$81,MATCH(U$5,CompListItem,0),0,1,1))-SUMIFS(OFFSET(U$6,1,0,PayCount,1),PayDate,"&lt;"&amp;$AC48,PayEmp,$C48),(MIN(IF(OFFSET(Setup!$G$81,MATCH(U$5,CompListItem,0),0,1,1)="Taxable",SUMPRODUCT((PayEmp=$C48)*(PayDate&lt;=$AC48)*(ISERROR(SEARCH(PayEarnCode,U$4)))*(PayEarnTax)*(PayEarnValues)),SUMPRODUCT((PayEmp=$C48)*(PayDate&lt;=$AC48)*(ISERROR(SEARCH(PayEarnCode,U$4)))*(PayEarnValues))),IF(ISNUMBER(U$3),U$3/12*$AA48,IgnoreMin)))*OFFSET(Setup!$E$81,MATCH(U$5,CompListItem,0),0,1,1)-SUMIFS(OFFSET(U$6,1,0,PayCount,1),PayDate,"&lt;"&amp;$AC48,PayEmp,$C48)))))))</f>
        <v>50</v>
      </c>
      <c r="V48" s="133" cm="1">
        <f t="array" aca="1" ref="V48" ca="1">IF($F48="Terminated",0,IF($AA48=0,0,IF(ISNA(MATCH(V$5,CompListItem,0)),0,IF(COUNTIFS(OverEmp,$C48,OverComp,V$5,OverDate,"&lt;"&amp;DATE(YEAR($AC48),MONTH($AC48)+1,1),OverEnd,"&gt;="&amp;DATE(YEAR($AC48),MONTH($AC48),1))&gt;0,SUMIFS(OverValue,OverEmp,$C48,OverComp,V$5,OverDate,"&lt;"&amp;DATE(YEAR($AC48),MONTH($AC48)+1,1),OverEnd,"&gt;="&amp;DATE(YEAR($AC48),MONTH($AC48),1)),IF(OR(V$2="Fixed",V$2="Not Used"),(OFFSET(Setup!$E$81,MATCH(V$5,CompListItem,0),0,1,1)*$AA48)-SUMIFS(OFFSET(V$6,1,0,PayCount,1),PayDate,"&lt;"&amp;$AC48,PayEmp,$C48),IF(ISNA(MATCH(V$2,DedListItem,0))=FALSE,(SUMPRODUCT((PayEmp=$C48)*(PayDate&lt;=$AC48)*(PayDedList=V$2)*(PayDedValues))*OFFSET(Setup!$E$81,MATCH(V$5,CompListItem,0),0,1,1))-SUMIFS(OFFSET(V$6,1,0,PayCount,1),PayDate,"&lt;"&amp;$AC48,PayEmp,$C48),(MIN(IF(OFFSET(Setup!$G$81,MATCH(V$5,CompListItem,0),0,1,1)="Taxable",SUMPRODUCT((PayEmp=$C48)*(PayDate&lt;=$AC48)*(ISERROR(SEARCH(PayEarnCode,V$4)))*(PayEarnTax)*(PayEarnValues)),SUMPRODUCT((PayEmp=$C48)*(PayDate&lt;=$AC48)*(ISERROR(SEARCH(PayEarnCode,V$4)))*(PayEarnValues))),IF(ISNUMBER(V$3),V$3/12*$AA48,IgnoreMin)))*OFFSET(Setup!$E$81,MATCH(V$5,CompListItem,0),0,1,1)-SUMIFS(OFFSET(V$6,1,0,PayCount,1),PayDate,"&lt;"&amp;$AC48,PayEmp,$C48)))))))</f>
        <v>0</v>
      </c>
      <c r="W48" s="133" cm="1">
        <f t="array" aca="1" ref="W48" ca="1">IF($F48="Terminated",0,IF($AA48=0,0,IF(ISNA(MATCH(W$5,CompListItem,0)),0,IF(COUNTIFS(OverEmp,$C48,OverComp,W$5,OverDate,"&lt;"&amp;DATE(YEAR($AC48),MONTH($AC48)+1,1),OverEnd,"&gt;="&amp;DATE(YEAR($AC48),MONTH($AC48),1))&gt;0,SUMIFS(OverValue,OverEmp,$C48,OverComp,W$5,OverDate,"&lt;"&amp;DATE(YEAR($AC48),MONTH($AC48)+1,1),OverEnd,"&gt;="&amp;DATE(YEAR($AC48),MONTH($AC48),1)),IF(OR(W$2="Fixed",W$2="Not Used"),(OFFSET(Setup!$E$81,MATCH(W$5,CompListItem,0),0,1,1)*$AA48)-SUMIFS(OFFSET(W$6,1,0,PayCount,1),PayDate,"&lt;"&amp;$AC48,PayEmp,$C48),IF(ISNA(MATCH(W$2,DedListItem,0))=FALSE,(SUMPRODUCT((PayEmp=$C48)*(PayDate&lt;=$AC48)*(PayDedList=W$2)*(PayDedValues))*OFFSET(Setup!$E$81,MATCH(W$5,CompListItem,0),0,1,1))-SUMIFS(OFFSET(W$6,1,0,PayCount,1),PayDate,"&lt;"&amp;$AC48,PayEmp,$C48),(MIN(IF(OFFSET(Setup!$G$81,MATCH(W$5,CompListItem,0),0,1,1)="Taxable",SUMPRODUCT((PayEmp=$C48)*(PayDate&lt;=$AC48)*(ISERROR(SEARCH(PayEarnCode,W$4)))*(PayEarnTax)*(PayEarnValues)),SUMPRODUCT((PayEmp=$C48)*(PayDate&lt;=$AC48)*(ISERROR(SEARCH(PayEarnCode,W$4)))*(PayEarnValues))),IF(ISNUMBER(W$3),W$3/12*$AA48,IgnoreMin)))*OFFSET(Setup!$E$81,MATCH(W$5,CompListItem,0),0,1,1)-SUMIFS(OFFSET(W$6,1,0,PayCount,1),PayDate,"&lt;"&amp;$AC48,PayEmp,$C48)))))))</f>
        <v>0</v>
      </c>
      <c r="X48" s="185">
        <f t="shared" ca="1" si="18"/>
        <v>100</v>
      </c>
      <c r="Y48" s="139">
        <f t="shared" ca="1" si="27"/>
        <v>5100</v>
      </c>
      <c r="Z48" s="139">
        <f t="shared" ca="1" si="19"/>
        <v>150</v>
      </c>
      <c r="AA48" s="146">
        <f ca="1">IF(OR($B48&lt;=Setup!$E$12,$B48&gt;=Setup!$D$12+1),0,IF($F48&lt;&gt;"Active",0,IF($AE48="Yes",$AB48,((YEAR($AC48)*12)+MONTH($AC48))-((YEAR($AD48)*12)+MONTH($AD48)-1))))</f>
        <v>3</v>
      </c>
      <c r="AB48" s="146">
        <f ca="1">IF(OR($B48&lt;=Setup!$E$12,$B48&gt;=Setup!$D$12+1),0,((YEAR($AC48)*12)+MONTH($AC48))-((YEAR(Setup!$E$12)*12)+MONTH(Setup!$E$12)))</f>
        <v>3</v>
      </c>
      <c r="AC48" s="186">
        <f t="shared" ca="1" si="20"/>
        <v>45071</v>
      </c>
      <c r="AD48" s="144">
        <f ca="1">IF(ISNA(VLOOKUP($C48,EmpAll,COLUMN(Emp!$E$4),0)),$AC48,IF(VLOOKUP($C48,EmpAll,COLUMN(Emp!$E$4),0)&lt;=Setup!$E$12,DATE(YEAR(Setup!$E$12),MONTH(Setup!$E$12)+1,1),VLOOKUP($C48,EmpAll,COLUMN(Emp!$E$4),0)))</f>
        <v>44986</v>
      </c>
      <c r="AE48" s="144" t="str">
        <f ca="1">IF(ISNA(VLOOKUP($C48,EmpAll,COLUMN(Emp!$G$1),0)),"-",IF(VLOOKUP($C48,EmpAll,COLUMN(Emp!$G$1),0)=0,"-",VLOOKUP($C48,EmpAll,COLUMN(Emp!$G$1),0)))</f>
        <v>-</v>
      </c>
      <c r="AF48" s="145">
        <f ca="1">IF(A48=PaySlip!$G$3,1,0)</f>
        <v>0</v>
      </c>
      <c r="AG48" s="130" cm="1">
        <f t="array" aca="1" ref="AG48" ca="1">IF(COUNTIFS(OverEmp,$C48,OverMed,"MED",OverDate,"&lt;"&amp;DATE(YEAR($AC48),MONTH($AC48)+1,1),OverEnd,"&gt;="&amp;DATE(YEAR($AC48),MONTH($AC48),1))&gt;0,SUMIFS(OverValue,OverEmp,$C48,OverMed,"MED",OverDate,"&lt;"&amp;DATE(YEAR($AC48),MONTH($AC48)+1,1),OverEnd,"&gt;="&amp;DATE(YEAR($AC48),MONTH($AC48),1)),IF(ISNA(VLOOKUP($C48,EmpAll,COLUMN(Emp!$N$4),0)),0,VLOOKUP($C48,EmpAll,COLUMN(Emp!$N$4),0)))</f>
        <v>0</v>
      </c>
      <c r="AH48" s="146">
        <f ca="1">VLOOKUP($AG48,MedList,COLUMN(Setup!$C$49),1)</f>
        <v>0</v>
      </c>
      <c r="AI48" s="146">
        <f t="shared" ca="1" si="7"/>
        <v>0</v>
      </c>
      <c r="AJ48" s="101" t="str">
        <f ca="1">IF(ISNA(VLOOKUP($C48,EmpAll,COLUMN(Emp!$L$4),0)),"None!",VLOOKUP($C48,EmpAll,COLUMN(Emp!$L$4),0))</f>
        <v>A</v>
      </c>
      <c r="AK48" s="147">
        <f t="shared" ca="1" si="21"/>
        <v>17235</v>
      </c>
      <c r="AL48" s="101" t="str">
        <f ca="1">IF(ISNA(VLOOKUP($C48,Employees[],COLUMN(Emp!$M$4),0))=TRUE,"Error!",IF(VLOOKUP($C48,Employees[],COLUMN(Emp!$M$4),0)=0,"Yes",VLOOKUP($C48,Employees[],COLUMN(Emp!$M$4),0)))</f>
        <v>A</v>
      </c>
      <c r="AM48" s="148">
        <f t="shared" ca="1" si="9"/>
        <v>60000</v>
      </c>
      <c r="AN48" s="148" cm="1">
        <f t="array" aca="1" ref="AN48" ca="1">-IF($F48="Terminated",0,IF($AA48=0,0,IF(ISNA(MATCH(AN$5,PayDedList,0)),0,MIN(IF(COUNTIFS(OverEmp,$C48,OverDeduct,AN$5,OverDate,"&lt;"&amp;DATE(YEAR($AC48),MONTH($AC48)+1,1),OverEnd,"&gt;="&amp;DATE(YEAR($AC48),MONTH($AC48),1))&gt;0,SUMPRODUCT((PayEmp=$C48)*(PayDate&lt;=$AC48)*(OFFSET($N$6,1,MATCH(AN$5,PayDedList,0)-1,PayCount,1)))/$AA48*12*AN$3,IF(OR(AN$1="Fixed",AN$1="Not Used"),SUMPRODUCT((PayEmp=$C48)*(PayDate&lt;=$AC48)*(OFFSET($N$6,1,MATCH(AN$5,PayDedList,0)-1,PayCount,1)))/$AA48*12*AN$3,IF(ISNA(MATCH(AN$1,EarnListItem,0))=FALSE,SUMPRODUCT((PayEmp=$C48)*(PayDate&lt;=$AC48)*(OFFSET($N$6,1,MATCH(AN$5,PayDedList,0)-1,PayCount,1)))/$AA48*12*AN$3,(MIN(((SUMPRODUCT((PayEmp=$C48)*(PayDate&lt;=$AC48)*(ISERROR(SEARCH(PayEarnCode,AN$2)))*(PayEarnType="Monthly")*(PayEarnValues))/$AA48*12)+(SUMPRODUCT((PayEmp=$C48)*(PayDate&lt;=$AC48)*(ISERROR(SEARCH(PayEarnCode,AN$2)))*(PayEarnType="Quarterly")*(PayEarnValues))/MAX(1,ROUNDDOWN($AB48/3,0))*4)+(SUMPRODUCT((PayEmp=$C48)*(PayDate&lt;=$AC48)*(ISERROR(SEARCH(PayEarnCode,AN$2)))*(PayEarnType="Bi-Annual")*(PayEarnValues))/MAX(1,ROUNDDOWN($AB48/6,0))*2)+(SUMPRODUCT((PayEmp=$C48)*(PayDate&lt;=$AC48)*(ISERROR(SEARCH(PayEarnCode,AN$2)))*(PayEarnType="Annual")*(PayEarnValues)))),IF(ISNUMBER(OFFSET($N$3,0,MATCH(AN$5,PayDedList,0)-1,1,1)),OFFSET($N$3,0,MATCH(AN$5,PayDedList,0)-1,1,1),IgnoreMin)))*IF(COUNTIFS(EmpNo,$C48,OFFSET(Emp!$R$4,1,MATCH(AN$5,DedListItem,0)-1,EmpCount,1),"&lt;&gt;")&gt;0,VLOOKUP($C48,EmpAll,COLUMN(Emp!$R$4)+MATCH(AN$5,DedListItem,0)-1,0),OFFSET(Setup!$E$73,MATCH(AN$5,DedListItem,0),0,1,1))*AN$3))),IF(ISNUMBER(AN$4),AN$4,IgnoreMin)))))</f>
        <v>0</v>
      </c>
      <c r="AO48" s="148" cm="1">
        <f t="array" aca="1" ref="AO48" ca="1">-IF($F48="Terminated",0,IF($AA48=0,0,IF(ISNA(MATCH(AO$5,PayDedList,0)),0,MIN(IF(COUNTIFS(OverEmp,$C48,OverDeduct,AO$5,OverDate,"&lt;"&amp;DATE(YEAR($AC48),MONTH($AC48)+1,1),OverEnd,"&gt;="&amp;DATE(YEAR($AC48),MONTH($AC48),1))&gt;0,SUMPRODUCT((PayEmp=$C48)*(PayDate&lt;=$AC48)*(OFFSET($N$6,1,MATCH(AO$5,PayDedList,0)-1,PayCount,1)))/$AA48*12*AO$3,IF(OR(AO$1="Fixed",AO$1="Not Used"),SUMPRODUCT((PayEmp=$C48)*(PayDate&lt;=$AC48)*(OFFSET($N$6,1,MATCH(AO$5,PayDedList,0)-1,PayCount,1)))/$AA48*12*AO$3,IF(ISNA(MATCH(AO$1,EarnListItem,0))=FALSE,SUMPRODUCT((PayEmp=$C48)*(PayDate&lt;=$AC48)*(OFFSET($N$6,1,MATCH(AO$5,PayDedList,0)-1,PayCount,1)))/$AA48*12*AO$3,(MIN(((SUMPRODUCT((PayEmp=$C48)*(PayDate&lt;=$AC48)*(ISERROR(SEARCH(PayEarnCode,AO$2)))*(PayEarnType="Monthly")*(PayEarnValues))/$AA48*12)+(SUMPRODUCT((PayEmp=$C48)*(PayDate&lt;=$AC48)*(ISERROR(SEARCH(PayEarnCode,AO$2)))*(PayEarnType="Quarterly")*(PayEarnValues))/MAX(1,ROUNDDOWN($AB48/3,0))*4)+(SUMPRODUCT((PayEmp=$C48)*(PayDate&lt;=$AC48)*(ISERROR(SEARCH(PayEarnCode,AO$2)))*(PayEarnType="Bi-Annual")*(PayEarnValues))/MAX(1,ROUNDDOWN($AB48/6,0))*2)+(SUMPRODUCT((PayEmp=$C48)*(PayDate&lt;=$AC48)*(ISERROR(SEARCH(PayEarnCode,AO$2)))*(PayEarnType="Annual")*(PayEarnValues)))),IF(ISNUMBER(OFFSET($N$3,0,MATCH(AO$5,PayDedList,0)-1,1,1)),OFFSET($N$3,0,MATCH(AO$5,PayDedList,0)-1,1,1),IgnoreMin)))*IF(COUNTIFS(EmpNo,$C48,OFFSET(Emp!$R$4,1,MATCH(AO$5,DedListItem,0)-1,EmpCount,1),"&lt;&gt;")&gt;0,VLOOKUP($C48,EmpAll,COLUMN(Emp!$R$4)+MATCH(AO$5,DedListItem,0)-1,0),OFFSET(Setup!$E$73,MATCH(AO$5,DedListItem,0),0,1,1))*AO$3))),IF(ISNUMBER(AO$4),AO$4,IgnoreMin)))))</f>
        <v>0</v>
      </c>
      <c r="AP48" s="148" cm="1">
        <f t="array" aca="1" ref="AP48" ca="1">-IF($F48="Terminated",0,IF($AA48=0,0,IF(ISNA(MATCH(AP$5,PayDedList,0)),0,MIN(IF(COUNTIFS(OverEmp,$C48,OverDeduct,AP$5,OverDate,"&lt;"&amp;DATE(YEAR($AC48),MONTH($AC48)+1,1),OverEnd,"&gt;="&amp;DATE(YEAR($AC48),MONTH($AC48),1))&gt;0,SUMPRODUCT((PayEmp=$C48)*(PayDate&lt;=$AC48)*(OFFSET($N$6,1,MATCH(AP$5,PayDedList,0)-1,PayCount,1)))/$AA48*12*AP$3,IF(OR(AP$1="Fixed",AP$1="Not Used"),SUMPRODUCT((PayEmp=$C48)*(PayDate&lt;=$AC48)*(OFFSET($N$6,1,MATCH(AP$5,PayDedList,0)-1,PayCount,1)))/$AA48*12*AP$3,IF(ISNA(MATCH(AP$1,EarnListItem,0))=FALSE,SUMPRODUCT((PayEmp=$C48)*(PayDate&lt;=$AC48)*(OFFSET($N$6,1,MATCH(AP$5,PayDedList,0)-1,PayCount,1)))/$AA48*12*AP$3,(MIN(((SUMPRODUCT((PayEmp=$C48)*(PayDate&lt;=$AC48)*(ISERROR(SEARCH(PayEarnCode,AP$2)))*(PayEarnType="Monthly")*(PayEarnValues))/$AA48*12)+(SUMPRODUCT((PayEmp=$C48)*(PayDate&lt;=$AC48)*(ISERROR(SEARCH(PayEarnCode,AP$2)))*(PayEarnType="Quarterly")*(PayEarnValues))/MAX(1,ROUNDDOWN($AB48/3,0))*4)+(SUMPRODUCT((PayEmp=$C48)*(PayDate&lt;=$AC48)*(ISERROR(SEARCH(PayEarnCode,AP$2)))*(PayEarnType="Bi-Annual")*(PayEarnValues))/MAX(1,ROUNDDOWN($AB48/6,0))*2)+(SUMPRODUCT((PayEmp=$C48)*(PayDate&lt;=$AC48)*(ISERROR(SEARCH(PayEarnCode,AP$2)))*(PayEarnType="Annual")*(PayEarnValues)))),IF(ISNUMBER(OFFSET($N$3,0,MATCH(AP$5,PayDedList,0)-1,1,1)),OFFSET($N$3,0,MATCH(AP$5,PayDedList,0)-1,1,1),IgnoreMin)))*IF(COUNTIFS(EmpNo,$C48,OFFSET(Emp!$R$4,1,MATCH(AP$5,DedListItem,0)-1,EmpCount,1),"&lt;&gt;")&gt;0,VLOOKUP($C48,EmpAll,COLUMN(Emp!$R$4)+MATCH(AP$5,DedListItem,0)-1,0),OFFSET(Setup!$E$73,MATCH(AP$5,DedListItem,0),0,1,1))*AP$3))),IF(ISNUMBER(AP$4),AP$4,IgnoreMin)))))</f>
        <v>0</v>
      </c>
      <c r="AQ48" s="148" cm="1">
        <f t="array" aca="1" ref="AQ48" ca="1">-IF($F48="Terminated",0,IF($AA48=0,0,IF(ISNA(MATCH(AQ$5,PayDedList,0)),0,MIN(IF(COUNTIFS(OverEmp,$C48,OverDeduct,AQ$5,OverDate,"&lt;"&amp;DATE(YEAR($AC48),MONTH($AC48)+1,1),OverEnd,"&gt;="&amp;DATE(YEAR($AC48),MONTH($AC48),1))&gt;0,SUMPRODUCT((PayEmp=$C48)*(PayDate&lt;=$AC48)*(OFFSET($N$6,1,MATCH(AQ$5,PayDedList,0)-1,PayCount,1)))/$AA48*12*AQ$3,IF(OR(AQ$1="Fixed",AQ$1="Not Used"),SUMPRODUCT((PayEmp=$C48)*(PayDate&lt;=$AC48)*(OFFSET($N$6,1,MATCH(AQ$5,PayDedList,0)-1,PayCount,1)))/$AA48*12*AQ$3,IF(ISNA(MATCH(AQ$1,EarnListItem,0))=FALSE,SUMPRODUCT((PayEmp=$C48)*(PayDate&lt;=$AC48)*(OFFSET($N$6,1,MATCH(AQ$5,PayDedList,0)-1,PayCount,1)))/$AA48*12*AQ$3,(MIN(((SUMPRODUCT((PayEmp=$C48)*(PayDate&lt;=$AC48)*(ISERROR(SEARCH(PayEarnCode,AQ$2)))*(PayEarnType="Monthly")*(PayEarnValues))/$AA48*12)+(SUMPRODUCT((PayEmp=$C48)*(PayDate&lt;=$AC48)*(ISERROR(SEARCH(PayEarnCode,AQ$2)))*(PayEarnType="Quarterly")*(PayEarnValues))/MAX(1,ROUNDDOWN($AB48/3,0))*4)+(SUMPRODUCT((PayEmp=$C48)*(PayDate&lt;=$AC48)*(ISERROR(SEARCH(PayEarnCode,AQ$2)))*(PayEarnType="Bi-Annual")*(PayEarnValues))/MAX(1,ROUNDDOWN($AB48/6,0))*2)+(SUMPRODUCT((PayEmp=$C48)*(PayDate&lt;=$AC48)*(ISERROR(SEARCH(PayEarnCode,AQ$2)))*(PayEarnType="Annual")*(PayEarnValues)))),IF(ISNUMBER(OFFSET($N$3,0,MATCH(AQ$5,PayDedList,0)-1,1,1)),OFFSET($N$3,0,MATCH(AQ$5,PayDedList,0)-1,1,1),IgnoreMin)))*IF(COUNTIFS(EmpNo,$C48,OFFSET(Emp!$R$4,1,MATCH(AQ$5,DedListItem,0)-1,EmpCount,1),"&lt;&gt;")&gt;0,VLOOKUP($C48,EmpAll,COLUMN(Emp!$R$4)+MATCH(AQ$5,DedListItem,0)-1,0),OFFSET(Setup!$E$73,MATCH(AQ$5,DedListItem,0),0,1,1))*AQ$3))),IF(ISNUMBER(AQ$4),AQ$4,IgnoreMin)))))</f>
        <v>0</v>
      </c>
      <c r="AR48" s="148">
        <f t="shared" ca="1" si="22"/>
        <v>60000</v>
      </c>
      <c r="AS48" s="148">
        <f t="shared" ca="1" si="11"/>
        <v>60000</v>
      </c>
      <c r="AT48" s="148" cm="1">
        <f t="array" aca="1" ref="AT48" ca="1">-IF($F48="Terminated",0,IF($AA48=0,0,IF(ISNA(MATCH(AT$5,PayDedList,0)),0,MIN(IF(COUNTIFS(OverEmp,$C48,OverDeduct,AT$5,OverDate,"&lt;"&amp;DATE(YEAR($AC48),MONTH($AC48)+1,1),OverEnd,"&gt;="&amp;DATE(YEAR($AC48),MONTH($AC48),1))&gt;0,SUMPRODUCT((PayEmp=$C48)*(PayDate&lt;=$AC48)*(OFFSET($N$6,1,MATCH(AT$5,PayDedList,0)-1,PayCount,1)))/$AA48*12*AT$3,IF(OR(AT$1="Fixed",AT$1="Not Used"),SUMPRODUCT((PayEmp=$C48)*(PayDate&lt;=$AC48)*(OFFSET($N$6,1,MATCH(AT$5,PayDedList,0)-1,PayCount,1)))/$AA48*12*AT$3,IF(ISNA(MATCH(OFFSET($N$2,0,MATCH(AT$5,PayDedList,0)-1,1,1),EarnListItem,0))=FALSE,SUMPRODUCT((PayEmp=$C48)*(PayDate&lt;=$AC48)*(OFFSET($N$6,1,MATCH(AT$5,PayDedList,0)-1,PayCount,1)))/$AA48*12*AT$3,(MIN(SUMPRODUCT((PayEmp=$C48)*(PayDate&lt;=$AC48)*(ISERROR(SEARCH(PayEarnCode,AT$2)))*(PayEarnType="Monthly")*(PayEarnValues))/$AA48*12,IF(ISNUMBER(OFFSET($N$3,0,MATCH(AT$5,PayDedList,0)-1,1,1)),OFFSET($N$3,0,MATCH(AT$5,PayDedList,0)-1,1,1),IgnoreMin)))*IF(COUNTIFS(EmpNo,$C48,OFFSET(Emp!$R$4,1,MATCH(AT$5,DedListItem,0)-1,EmpCount,1),"&lt;&gt;")&gt;0,VLOOKUP($C48,EmpAll,COLUMN(Emp!$R$4)+MATCH(AT$5,DedListItem,0)-1,0),OFFSET(Setup!$E$73,MATCH(AT$5,DedListItem,0),0,1,1))*AT$3))),IF(ISNUMBER(AT$4),AT$4,IgnoreMin)))))</f>
        <v>0</v>
      </c>
      <c r="AU48" s="148" cm="1">
        <f t="array" aca="1" ref="AU48" ca="1">-IF($F48="Terminated",0,IF($AA48=0,0,IF(ISNA(MATCH(AU$5,PayDedList,0)),0,MIN(IF(COUNTIFS(OverEmp,$C48,OverDeduct,AU$5,OverDate,"&lt;"&amp;DATE(YEAR($AC48),MONTH($AC48)+1,1),OverEnd,"&gt;="&amp;DATE(YEAR($AC48),MONTH($AC48),1))&gt;0,SUMPRODUCT((PayEmp=$C48)*(PayDate&lt;=$AC48)*(OFFSET($N$6,1,MATCH(AU$5,PayDedList,0)-1,PayCount,1)))/$AA48*12*AU$3,IF(OR(AU$1="Fixed",AU$1="Not Used"),SUMPRODUCT((PayEmp=$C48)*(PayDate&lt;=$AC48)*(OFFSET($N$6,1,MATCH(AU$5,PayDedList,0)-1,PayCount,1)))/$AA48*12*AU$3,IF(ISNA(MATCH(OFFSET($N$2,0,MATCH(AU$5,PayDedList,0)-1,1,1),EarnListItem,0))=FALSE,SUMPRODUCT((PayEmp=$C48)*(PayDate&lt;=$AC48)*(OFFSET($N$6,1,MATCH(AU$5,PayDedList,0)-1,PayCount,1)))/$AA48*12*AU$3,(MIN(SUMPRODUCT((PayEmp=$C48)*(PayDate&lt;=$AC48)*(ISERROR(SEARCH(PayEarnCode,AU$2)))*(PayEarnType="Monthly")*(PayEarnValues))/$AA48*12,IF(ISNUMBER(OFFSET($N$3,0,MATCH(AU$5,PayDedList,0)-1,1,1)),OFFSET($N$3,0,MATCH(AU$5,PayDedList,0)-1,1,1),IgnoreMin)))*IF(COUNTIFS(EmpNo,$C48,OFFSET(Emp!$R$4,1,MATCH(AU$5,DedListItem,0)-1,EmpCount,1),"&lt;&gt;")&gt;0,VLOOKUP($C48,EmpAll,COLUMN(Emp!$R$4)+MATCH(AU$5,DedListItem,0)-1,0),OFFSET(Setup!$E$73,MATCH(AU$5,DedListItem,0),0,1,1))*AU$3))),IF(ISNUMBER(AU$4),AU$4,IgnoreMin)))))</f>
        <v>0</v>
      </c>
      <c r="AV48" s="148" cm="1">
        <f t="array" aca="1" ref="AV48" ca="1">-IF($F48="Terminated",0,IF($AA48=0,0,IF(ISNA(MATCH(AV$5,PayDedList,0)),0,MIN(IF(COUNTIFS(OverEmp,$C48,OverDeduct,AV$5,OverDate,"&lt;"&amp;DATE(YEAR($AC48),MONTH($AC48)+1,1),OverEnd,"&gt;="&amp;DATE(YEAR($AC48),MONTH($AC48),1))&gt;0,SUMPRODUCT((PayEmp=$C48)*(PayDate&lt;=$AC48)*(OFFSET($N$6,1,MATCH(AV$5,PayDedList,0)-1,PayCount,1)))/$AA48*12*AV$3,IF(OR(AV$1="Fixed",AV$1="Not Used"),SUMPRODUCT((PayEmp=$C48)*(PayDate&lt;=$AC48)*(OFFSET($N$6,1,MATCH(AV$5,PayDedList,0)-1,PayCount,1)))/$AA48*12*AV$3,IF(ISNA(MATCH(OFFSET($N$2,0,MATCH(AV$5,PayDedList,0)-1,1,1),EarnListItem,0))=FALSE,SUMPRODUCT((PayEmp=$C48)*(PayDate&lt;=$AC48)*(OFFSET($N$6,1,MATCH(AV$5,PayDedList,0)-1,PayCount,1)))/$AA48*12*AV$3,(MIN(SUMPRODUCT((PayEmp=$C48)*(PayDate&lt;=$AC48)*(ISERROR(SEARCH(PayEarnCode,AV$2)))*(PayEarnType="Monthly")*(PayEarnValues))/$AA48*12,IF(ISNUMBER(OFFSET($N$3,0,MATCH(AV$5,PayDedList,0)-1,1,1)),OFFSET($N$3,0,MATCH(AV$5,PayDedList,0)-1,1,1),IgnoreMin)))*IF(COUNTIFS(EmpNo,$C48,OFFSET(Emp!$R$4,1,MATCH(AV$5,DedListItem,0)-1,EmpCount,1),"&lt;&gt;")&gt;0,VLOOKUP($C48,EmpAll,COLUMN(Emp!$R$4)+MATCH(AV$5,DedListItem,0)-1,0),OFFSET(Setup!$E$73,MATCH(AV$5,DedListItem,0),0,1,1))*AV$3))),IF(ISNUMBER(AV$4),AV$4,IgnoreMin)))))</f>
        <v>0</v>
      </c>
      <c r="AW48" s="148" cm="1">
        <f t="array" aca="1" ref="AW48" ca="1">-IF($F48="Terminated",0,IF($AA48=0,0,IF(ISNA(MATCH(AW$5,PayDedList,0)),0,MIN(IF(COUNTIFS(OverEmp,$C48,OverDeduct,AW$5,OverDate,"&lt;"&amp;DATE(YEAR($AC48),MONTH($AC48)+1,1),OverEnd,"&gt;="&amp;DATE(YEAR($AC48),MONTH($AC48),1))&gt;0,SUMPRODUCT((PayEmp=$C48)*(PayDate&lt;=$AC48)*(OFFSET($N$6,1,MATCH(AW$5,PayDedList,0)-1,PayCount,1)))/$AA48*12*AW$3,IF(OR(AW$1="Fixed",AW$1="Not Used"),SUMPRODUCT((PayEmp=$C48)*(PayDate&lt;=$AC48)*(OFFSET($N$6,1,MATCH(AW$5,PayDedList,0)-1,PayCount,1)))/$AA48*12*AW$3,IF(ISNA(MATCH(OFFSET($N$2,0,MATCH(AW$5,PayDedList,0)-1,1,1),EarnListItem,0))=FALSE,SUMPRODUCT((PayEmp=$C48)*(PayDate&lt;=$AC48)*(OFFSET($N$6,1,MATCH(AW$5,PayDedList,0)-1,PayCount,1)))/$AA48*12*AW$3,(MIN(SUMPRODUCT((PayEmp=$C48)*(PayDate&lt;=$AC48)*(ISERROR(SEARCH(PayEarnCode,AW$2)))*(PayEarnType="Monthly")*(PayEarnValues))/$AA48*12,IF(ISNUMBER(OFFSET($N$3,0,MATCH(AW$5,PayDedList,0)-1,1,1)),OFFSET($N$3,0,MATCH(AW$5,PayDedList,0)-1,1,1),IgnoreMin)))*IF(COUNTIFS(EmpNo,$C48,OFFSET(Emp!$R$4,1,MATCH(AW$5,DedListItem,0)-1,EmpCount,1),"&lt;&gt;")&gt;0,VLOOKUP($C48,EmpAll,COLUMN(Emp!$R$4)+MATCH(AW$5,DedListItem,0)-1,0),OFFSET(Setup!$E$73,MATCH(AW$5,DedListItem,0),0,1,1))*AW$3))),IF(ISNUMBER(AW$4),AW$4,IgnoreMin)))))</f>
        <v>0</v>
      </c>
      <c r="AX48" s="148">
        <f t="shared" ca="1" si="28"/>
        <v>60000</v>
      </c>
      <c r="AY48" s="148">
        <f t="shared" ca="1" si="29"/>
        <v>0</v>
      </c>
      <c r="AZ48" s="148">
        <f ca="1">IF(ISNUMBER($AL48),($AR48*$AL48)-$AI48-$AK48,MAX(0,IF($AL48="B",IF($AR48&lt;Setup!$C$32,($AR48*Setup!$D$32)-$AI48-$AK48,(($AR48-VLOOKUP($AR48,TaxAll2,1,1))*OFFSET(Setup!$D$32,MATCH($AR48,TaxBracket2,1),0,1,1))+OFFSET(Setup!$E$31,MATCH($AR48,TaxBracket2,1),0,1,1)-$AI48-$AK48),IF($AR48&lt;Setup!$C$21,($AR48*Setup!$D$21)-$AI48-$AK48,(($AR48-VLOOKUP($AR48,TaxAll1,1,1))*OFFSET(Setup!$D$21,MATCH($AR48,TaxBracket1,1),0,1,1))+OFFSET(Setup!$E$20,MATCH($AR48,TaxBracket1,1),0,1,1)-$AI48-$AK48))))</f>
        <v>0</v>
      </c>
      <c r="BA48" s="148">
        <f ca="1">IF(ISNUMBER($AL48),($AX48*$AL48)-$AI48-$AK48,MAX(0,IF($AL48="B",IF($AX48&lt;Setup!$C$32,($AX48*Setup!$D$32)-$AI48-$AK48,(($AX48-VLOOKUP($AX48,TaxAll2,1,1))*OFFSET(Setup!$D$32,MATCH($AX48,TaxBracket2,1),0,1,1))+OFFSET(Setup!$E$31,MATCH($AX48,TaxBracket2,1),0,1,1)-$AI48-$AK48),IF($AX48&lt;Setup!$C$21,($AX48*Setup!$D$21)-$AI48-$AK48,(($AX48-VLOOKUP($AX48,TaxAll1,1,1))*OFFSET(Setup!$D$21,MATCH($AX48,TaxBracket1,1),0,1,1))+OFFSET(Setup!$E$20,MATCH($AX48,TaxBracket1,1),0,1,1)-$AI48-$AK48))))</f>
        <v>0</v>
      </c>
      <c r="BB48" s="148">
        <f t="shared" ca="1" si="23"/>
        <v>0</v>
      </c>
      <c r="BC48" s="150">
        <f t="shared" ca="1" si="15"/>
        <v>1</v>
      </c>
      <c r="BD48" s="150">
        <f t="shared" ca="1" si="16"/>
        <v>0</v>
      </c>
      <c r="BE48" s="148">
        <f t="shared" ca="1" si="17"/>
        <v>60000</v>
      </c>
    </row>
    <row r="49" spans="1:57" ht="16.149999999999999" customHeight="1" x14ac:dyDescent="0.25">
      <c r="A49" s="10" t="str" cm="1">
        <f t="array" aca="1" ref="A49" ca="1">IF(ROW($A49)-ROW($A$6)&gt;EmpCount*12,"-",TEXT($B49,"yyyy")&amp;TEXT($B49,"mm")&amp;"-"&amp;$C49)</f>
        <v>202305-EXS013</v>
      </c>
      <c r="B49" s="137" cm="1">
        <f t="array" aca="1" ref="B49" ca="1">IF(ROW($A49)-ROW($A$6)&gt;EmpCount*12,Setup!$D$12,DATE(YEAR(Setup!$F$12),MONTH(Setup!$F$12)+ROUNDDOWN((ROW($A49)-ROW($A$6)-1)/EmpCount,0),IF(Setup!$C$14&gt;DAY(DATE(YEAR(Setup!$F$12),MONTH(Setup!$F$12)+ROUNDDOWN((ROW($A49)-ROW($A$6)-1)/EmpCount,0)+1,0)),DAY(DATE(YEAR(Setup!$F$12),MONTH(Setup!$F$12)+ROUNDDOWN((ROW($A49)-ROW($A$6)-1)/EmpCount,0)+1,0)),Setup!$C$14)))</f>
        <v>45071</v>
      </c>
      <c r="C49" s="101" t="str" cm="1">
        <f t="array" aca="1" ref="C49" ca="1">IF(ROW($A49)-ROW($A$6)&gt;EmpCount*12,"-",OFFSET(Emp!$A$4,ROW($A49)-ROW($A$6)-IF(ROW($A49)-ROW($A$6)&gt;EmpCount,ROUNDDOWN((ROW($A49)-ROW($A$6)-1)/EmpCount,0)*EmpCount,0),0,1,1))</f>
        <v>EXS013</v>
      </c>
      <c r="D49" s="10" t="str">
        <f ca="1">IF(ISNA(VLOOKUP($C49,EmpAll,COLUMN(Emp!$B$4),0)),"-",VLOOKUP($C49,EmpAll,COLUMN(Emp!$B$4),0))</f>
        <v>East WD</v>
      </c>
      <c r="E49" s="145" t="str">
        <f ca="1">IF(ISNA(VLOOKUP($C49,EmpAll,COLUMN(Emp!$C$4),0)),"-",VLOOKUP($C49,EmpAll,COLUMN(Emp!$C$4),0))</f>
        <v>A</v>
      </c>
      <c r="F49" s="101" t="str">
        <f ca="1">IF(ISNA(VLOOKUP($C49,EmpAll,COLUMN(Emp!$A$4),0)),"-",IF(AND(VLOOKUP($C49,EmpAll,COLUMN(Emp!$E$4),0)&lt;&gt;0,VLOOKUP($C49,EmpAll,COLUMN(Emp!$E$4),0)&gt;=DATE(YEAR($AC49),MONTH($AC49)+1,0)),"Inactive",IF(AND(VLOOKUP($C49,EmpAll,COLUMN(Emp!$F$4),0)&lt;&gt;0,VLOOKUP($C49,EmpAll,COLUMN(Emp!$F$4),0)&lt;=DATE(YEAR($AC49),MONTH($AC49),0)),"Terminated","Active")))</f>
        <v>Active</v>
      </c>
      <c r="G49" s="133" cm="1">
        <f t="array" aca="1" ref="G49" ca="1">IF($F49&lt;&gt;"Active",0,IF(COUNTIFS(OverEmp,$C49,OverEarn,G$2,OverDate,"&lt;"&amp;DATE(YEAR($AC49),MONTH($AC49)+1,1),OverEnd,"&gt;="&amp;DATE(YEAR($AC49),MONTH($AC49),1))&gt;0,SUMIFS(OverValue,OverEmp,$C49,OverEarn,G$2,OverDate,"&lt;"&amp;DATE(YEAR($AC49),MONTH($AC49)+1,1),OverEnd,"&gt;="&amp;DATE(YEAR($AC49),MONTH($AC49),1)),IF(AND($AC49&gt;=Setup!$E$10,SUMIFS(EmpIncrease,EmpCode,$C49)&gt;0),SUMIFS(EmpIncrease,EmpCode,$C49),SUMIFS(EmpSalary,EmpCode,$C49))))</f>
        <v>5000</v>
      </c>
      <c r="H49" s="133" cm="1">
        <f t="array" aca="1" ref="H49" ca="1">IF($F49&lt;&gt;"Active",0,IF(COUNTIFS(OverEmp,$C49,OverEarn,H$2,OverDate,"&lt;"&amp;DATE(YEAR($AC49),MONTH($AC49)+1,1),OverEnd,"&gt;="&amp;DATE(YEAR($AC49),MONTH($AC49),1))&gt;0,SUMIFS(OverValue,OverEmp,$C49,OverEarn,H$2,OverDate,"&lt;"&amp;DATE(YEAR($AC49),MONTH($AC49)+1,1),OverEnd,"&gt;="&amp;DATE(YEAR($AC49),MONTH($AC49),1)),0))</f>
        <v>0</v>
      </c>
      <c r="I49" s="133" cm="1">
        <f t="array" aca="1" ref="I49" ca="1">IF($F49&lt;&gt;"Active",0,IF(COUNTIFS(OverEmp,$C49,OverEarn,I$2,OverDate,"&lt;"&amp;DATE(YEAR($AC49),MONTH($AC49)+1,1),OverEnd,"&gt;="&amp;DATE(YEAR($AC49),MONTH($AC49),1))&gt;0,SUMIFS(OverValue,OverEmp,$C49,OverEarn,I$2,OverDate,"&lt;"&amp;DATE(YEAR($AC49),MONTH($AC49)+1,1),OverEnd,"&gt;="&amp;DATE(YEAR($AC49),MONTH($AC49),1)),IF(MONTH(B49)=Setup!$C$15,SUMIFS(EmpBonus,EmpCode,$C49),0)))</f>
        <v>0</v>
      </c>
      <c r="J49" s="133" cm="1">
        <f t="array" aca="1" ref="J49" ca="1">IF($F49&lt;&gt;"Active",0,IF(COUNTIFS(OverEmp,$C49,OverEarn,J$2,OverDate,"&lt;"&amp;DATE(YEAR($AC49),MONTH($AC49)+1,1),OverEnd,"&gt;="&amp;DATE(YEAR($AC49),MONTH($AC49),1))&gt;0,SUMIFS(OverValue,OverEmp,$C49,OverEarn,J$2,OverDate,"&lt;"&amp;DATE(YEAR($AC49),MONTH($AC49)+1,1),OverEnd,"&gt;="&amp;DATE(YEAR($AC49),MONTH($AC49),1)),0))</f>
        <v>0</v>
      </c>
      <c r="K49" s="133" cm="1">
        <f t="array" aca="1" ref="K49" ca="1">IF($F49&lt;&gt;"Active",0,IF(COUNTIFS(OverEmp,$C49,OverEarn,K$2,OverDate,"&lt;"&amp;DATE(YEAR($AC49),MONTH($AC49)+1,1),OverEnd,"&gt;="&amp;DATE(YEAR($AC49),MONTH($AC49),1))&gt;0,SUMIFS(OverValue,OverEmp,$C49,OverEarn,K$2,OverDate,"&lt;"&amp;DATE(YEAR($AC49),MONTH($AC49)+1,1),OverEnd,"&gt;="&amp;DATE(YEAR($AC49),MONTH($AC49),1)),0))</f>
        <v>0</v>
      </c>
      <c r="L49" s="185">
        <f t="shared" ca="1" si="24"/>
        <v>5000</v>
      </c>
      <c r="M49" s="182" cm="1">
        <f t="array" aca="1" ref="M49" ca="1">IF(COUNTIFS(OverEmp,$C49,OverTax,M$5,OverDate,"&lt;"&amp;DATE(YEAR($AC49),MONTH($AC49)+1,1),OverEnd,"&gt;="&amp;DATE(YEAR($AC49),MONTH($AC49),1))&gt;0,SUMIFS(OverValue,OverEmp,$C49,OverTax,M$5,OverDate,"&lt;"&amp;DATE(YEAR($AC49),MONTH($AC49)+1,1),OverEnd,"&gt;="&amp;DATE(YEAR($AC49),MONTH($AC49),1)),(($BA49/12*$AA49)+(BB49*IF(1-$BC49=0,0,BD49/(1-$BC49))))-IF($F49="Terminated",0,SUMIFS(PayTaxDeduct,PayDate,"&lt;"&amp;$AC49,PayEmp,$C49)))</f>
        <v>0</v>
      </c>
      <c r="N49" s="133" cm="1">
        <f t="array" aca="1" ref="N49" ca="1">IF($F49="Terminated",0,IF($AA49=0,0,IF(ISNA(MATCH(N$5,DedListItem,0)),0,IF(COUNTIFS(OverEmp,$C49,OverDeduct,N$5,OverDate,"&lt;"&amp;DATE(YEAR($AC49),MONTH($AC49)+1,1),OverEnd,"&gt;="&amp;DATE(YEAR($AC49),MONTH($AC49),1))&gt;0,SUMIFS(OverValue,OverEmp,$C49,OverDeduct,N$5,OverDate,"&lt;"&amp;DATE(YEAR($AC49),MONTH($AC49)+1,1),OverEnd,"&gt;="&amp;DATE(YEAR($AC49),MONTH($AC49),1)),IF(OR(N$2="Fixed",N$2="Not Used"),(IF(COUNTIFS(EmpNo,$C49,OFFSET(Emp!$R$4,1,MATCH(N$5,DedListItem,0)-1,EmpCount,1),"&lt;&gt;")&gt;0,VLOOKUP($C49,EmpAll,COLUMN(Emp!$R$4)+MATCH(N$5,DedListItem,0)-1,0),OFFSET(Setup!$E$73,MATCH(N$5,DedListItem,0),0,1,1))*$AA49)-SUMIFS(OFFSET(N$6,1,0,PayCount,1),PayDate,"&lt;"&amp;$AC49,PayEmp,$C49),IF(ISNA(MATCH(N$2,EarnListItem,0))=FALSE,IF(OFFSET(Setup!$G$73,MATCH(N$5,DedListItem,0),0,1,1)="Taxable",SUMPRODUCT((PayEmp=$C49)*(PayDate&lt;=$AC49)*(PayEarnCode=N$2)*(PayEarnTax)*(PayEarnValues)),SUMPRODUCT((PayEmp=$C49)*(PayDate&lt;=$AC49)*(PayEarnCode=N$2)*(PayEarnValues)))*IF(COUNTIFS(EmpNo,$C49,OFFSET(Emp!$R$4,1,MATCH(N$5,DedListItem,0)-1,EmpCount,1),"&lt;&gt;")&gt;0,VLOOKUP($C49,EmpAll,COLUMN(Emp!$R$4)+MATCH(N$5,DedListItem,0)-1,0),OFFSET(Setup!$E$73,MATCH(N$5,DedListItem,0),0,1,1)),(MIN(IF(OFFSET(Setup!$G$73,MATCH(N$5,DedListItem,0),0,1,1)="Taxable",SUMPRODUCT((PayEmp=$C49)*(PayDate&lt;=$AC49)*(ISERROR(SEARCH(PayEarnCode,N$4)))*(PayEarnTax)*(PayEarnValues)),SUMPRODUCT((PayEmp=$C49)*(PayDate&lt;=$AC49)*(ISERROR(SEARCH(PayEarnCode,N$4)))*(PayEarnValues))),IF(ISNUMBER(N$3),N$3/12*$AA49,IgnoreMin)))*IF(COUNTIFS(EmpNo,$C49,OFFSET(Emp!$R$4,1,MATCH(N$5,DedListItem,0)-1,EmpCount,1),"&lt;&gt;")&gt;0,VLOOKUP($C49,EmpAll,COLUMN(Emp!$R$4)+MATCH(N$5,DedListItem,0)-1,0),OFFSET(Setup!$E$73,MATCH(N$5,DedListItem,0),0,1,1)))-SUMIFS(OFFSET(N$6,1,0,PayCount,1),PayDate,"&lt;"&amp;$AC49,PayEmp,$C49))))))</f>
        <v>50</v>
      </c>
      <c r="O49" s="133" cm="1">
        <f t="array" aca="1" ref="O49" ca="1">IF($F49="Terminated",0,IF($AA49=0,0,IF(ISNA(MATCH(O$5,DedListItem,0)),0,IF(COUNTIFS(OverEmp,$C49,OverDeduct,O$5,OverDate,"&lt;"&amp;DATE(YEAR($AC49),MONTH($AC49)+1,1),OverEnd,"&gt;="&amp;DATE(YEAR($AC49),MONTH($AC49),1))&gt;0,SUMIFS(OverValue,OverEmp,$C49,OverDeduct,O$5,OverDate,"&lt;"&amp;DATE(YEAR($AC49),MONTH($AC49)+1,1),OverEnd,"&gt;="&amp;DATE(YEAR($AC49),MONTH($AC49),1)),IF(OR(O$2="Fixed",O$2="Not Used"),(IF(COUNTIFS(EmpNo,$C49,OFFSET(Emp!$R$4,1,MATCH(O$5,DedListItem,0)-1,EmpCount,1),"&lt;&gt;")&gt;0,VLOOKUP($C49,EmpAll,COLUMN(Emp!$R$4)+MATCH(O$5,DedListItem,0)-1,0),OFFSET(Setup!$E$73,MATCH(O$5,DedListItem,0),0,1,1))*$AA49)-SUMIFS(OFFSET(O$6,1,0,PayCount,1),PayDate,"&lt;"&amp;$AC49,PayEmp,$C49),IF(ISNA(MATCH(O$2,EarnListItem,0))=FALSE,IF(OFFSET(Setup!$G$73,MATCH(O$5,DedListItem,0),0,1,1)="Taxable",SUMPRODUCT((PayEmp=$C49)*(PayDate&lt;=$AC49)*(PayEarnCode=O$2)*(PayEarnTax)*(PayEarnValues)),SUMPRODUCT((PayEmp=$C49)*(PayDate&lt;=$AC49)*(PayEarnCode=O$2)*(PayEarnValues)))*IF(COUNTIFS(EmpNo,$C49,OFFSET(Emp!$R$4,1,MATCH(O$5,DedListItem,0)-1,EmpCount,1),"&lt;&gt;")&gt;0,VLOOKUP($C49,EmpAll,COLUMN(Emp!$R$4)+MATCH(O$5,DedListItem,0)-1,0),OFFSET(Setup!$E$73,MATCH(O$5,DedListItem,0),0,1,1)),(MIN(IF(OFFSET(Setup!$G$73,MATCH(O$5,DedListItem,0),0,1,1)="Taxable",SUMPRODUCT((PayEmp=$C49)*(PayDate&lt;=$AC49)*(ISERROR(SEARCH(PayEarnCode,O$4)))*(PayEarnTax)*(PayEarnValues)),SUMPRODUCT((PayEmp=$C49)*(PayDate&lt;=$AC49)*(ISERROR(SEARCH(PayEarnCode,O$4)))*(PayEarnValues))),IF(ISNUMBER(O$3),O$3/12*$AA49,IgnoreMin)))*IF(COUNTIFS(EmpNo,$C49,OFFSET(Emp!$R$4,1,MATCH(O$5,DedListItem,0)-1,EmpCount,1),"&lt;&gt;")&gt;0,VLOOKUP($C49,EmpAll,COLUMN(Emp!$R$4)+MATCH(O$5,DedListItem,0)-1,0),OFFSET(Setup!$E$73,MATCH(O$5,DedListItem,0),0,1,1)))-SUMIFS(OFFSET(O$6,1,0,PayCount,1),PayDate,"&lt;"&amp;$AC49,PayEmp,$C49))))))</f>
        <v>0</v>
      </c>
      <c r="P49" s="133" cm="1">
        <f t="array" aca="1" ref="P49" ca="1">IF($F49="Terminated",0,IF($AA49=0,0,IF(ISNA(MATCH(P$5,DedListItem,0)),0,IF(COUNTIFS(OverEmp,$C49,OverDeduct,P$5,OverDate,"&lt;"&amp;DATE(YEAR($AC49),MONTH($AC49)+1,1),OverEnd,"&gt;="&amp;DATE(YEAR($AC49),MONTH($AC49),1))&gt;0,SUMIFS(OverValue,OverEmp,$C49,OverDeduct,P$5,OverDate,"&lt;"&amp;DATE(YEAR($AC49),MONTH($AC49)+1,1),OverEnd,"&gt;="&amp;DATE(YEAR($AC49),MONTH($AC49),1)),IF(OR(P$2="Fixed",P$2="Not Used"),(IF(COUNTIFS(EmpNo,$C49,OFFSET(Emp!$R$4,1,MATCH(P$5,DedListItem,0)-1,EmpCount,1),"&lt;&gt;")&gt;0,VLOOKUP($C49,EmpAll,COLUMN(Emp!$R$4)+MATCH(P$5,DedListItem,0)-1,0),OFFSET(Setup!$E$73,MATCH(P$5,DedListItem,0),0,1,1))*$AA49)-SUMIFS(OFFSET(P$6,1,0,PayCount,1),PayDate,"&lt;"&amp;$AC49,PayEmp,$C49),IF(ISNA(MATCH(P$2,EarnListItem,0))=FALSE,IF(OFFSET(Setup!$G$73,MATCH(P$5,DedListItem,0),0,1,1)="Taxable",SUMPRODUCT((PayEmp=$C49)*(PayDate&lt;=$AC49)*(PayEarnCode=P$2)*(PayEarnTax)*(PayEarnValues)),SUMPRODUCT((PayEmp=$C49)*(PayDate&lt;=$AC49)*(PayEarnCode=P$2)*(PayEarnValues)))*IF(COUNTIFS(EmpNo,$C49,OFFSET(Emp!$R$4,1,MATCH(P$5,DedListItem,0)-1,EmpCount,1),"&lt;&gt;")&gt;0,VLOOKUP($C49,EmpAll,COLUMN(Emp!$R$4)+MATCH(P$5,DedListItem,0)-1,0),OFFSET(Setup!$E$73,MATCH(P$5,DedListItem,0),0,1,1)),(MIN(IF(OFFSET(Setup!$G$73,MATCH(P$5,DedListItem,0),0,1,1)="Taxable",SUMPRODUCT((PayEmp=$C49)*(PayDate&lt;=$AC49)*(ISERROR(SEARCH(PayEarnCode,P$4)))*(PayEarnTax)*(PayEarnValues)),SUMPRODUCT((PayEmp=$C49)*(PayDate&lt;=$AC49)*(ISERROR(SEARCH(PayEarnCode,P$4)))*(PayEarnValues))),IF(ISNUMBER(P$3),P$3/12*$AA49,IgnoreMin)))*IF(COUNTIFS(EmpNo,$C49,OFFSET(Emp!$R$4,1,MATCH(P$5,DedListItem,0)-1,EmpCount,1),"&lt;&gt;")&gt;0,VLOOKUP($C49,EmpAll,COLUMN(Emp!$R$4)+MATCH(P$5,DedListItem,0)-1,0),OFFSET(Setup!$E$73,MATCH(P$5,DedListItem,0),0,1,1)))-SUMIFS(OFFSET(P$6,1,0,PayCount,1),PayDate,"&lt;"&amp;$AC49,PayEmp,$C49))))))</f>
        <v>0</v>
      </c>
      <c r="Q49" s="133" cm="1">
        <f t="array" aca="1" ref="Q49" ca="1">IF($F49="Terminated",0,IF($AA49=0,0,IF(ISNA(MATCH(Q$5,DedListItem,0)),0,IF(COUNTIFS(OverEmp,$C49,OverDeduct,Q$5,OverDate,"&lt;"&amp;DATE(YEAR($AC49),MONTH($AC49)+1,1),OverEnd,"&gt;="&amp;DATE(YEAR($AC49),MONTH($AC49),1))&gt;0,SUMIFS(OverValue,OverEmp,$C49,OverDeduct,Q$5,OverDate,"&lt;"&amp;DATE(YEAR($AC49),MONTH($AC49)+1,1),OverEnd,"&gt;="&amp;DATE(YEAR($AC49),MONTH($AC49),1)),IF(OR(Q$2="Fixed",Q$2="Not Used"),(IF(COUNTIFS(EmpNo,$C49,OFFSET(Emp!$R$4,1,MATCH(Q$5,DedListItem,0)-1,EmpCount,1),"&lt;&gt;")&gt;0,VLOOKUP($C49,EmpAll,COLUMN(Emp!$R$4)+MATCH(Q$5,DedListItem,0)-1,0),OFFSET(Setup!$E$73,MATCH(Q$5,DedListItem,0),0,1,1))*$AA49)-SUMIFS(OFFSET(Q$6,1,0,PayCount,1),PayDate,"&lt;"&amp;$AC49,PayEmp,$C49),IF(ISNA(MATCH(Q$2,EarnListItem,0))=FALSE,IF(OFFSET(Setup!$G$73,MATCH(Q$5,DedListItem,0),0,1,1)="Taxable",SUMPRODUCT((PayEmp=$C49)*(PayDate&lt;=$AC49)*(PayEarnCode=Q$2)*(PayEarnTax)*(PayEarnValues)),SUMPRODUCT((PayEmp=$C49)*(PayDate&lt;=$AC49)*(PayEarnCode=Q$2)*(PayEarnValues)))*IF(COUNTIFS(EmpNo,$C49,OFFSET(Emp!$R$4,1,MATCH(Q$5,DedListItem,0)-1,EmpCount,1),"&lt;&gt;")&gt;0,VLOOKUP($C49,EmpAll,COLUMN(Emp!$R$4)+MATCH(Q$5,DedListItem,0)-1,0),OFFSET(Setup!$E$73,MATCH(Q$5,DedListItem,0),0,1,1)),(MIN(IF(OFFSET(Setup!$G$73,MATCH(Q$5,DedListItem,0),0,1,1)="Taxable",SUMPRODUCT((PayEmp=$C49)*(PayDate&lt;=$AC49)*(ISERROR(SEARCH(PayEarnCode,Q$4)))*(PayEarnTax)*(PayEarnValues)),SUMPRODUCT((PayEmp=$C49)*(PayDate&lt;=$AC49)*(ISERROR(SEARCH(PayEarnCode,Q$4)))*(PayEarnValues))),IF(ISNUMBER(Q$3),Q$3/12*$AA49,IgnoreMin)))*IF(COUNTIFS(EmpNo,$C49,OFFSET(Emp!$R$4,1,MATCH(Q$5,DedListItem,0)-1,EmpCount,1),"&lt;&gt;")&gt;0,VLOOKUP($C49,EmpAll,COLUMN(Emp!$R$4)+MATCH(Q$5,DedListItem,0)-1,0),OFFSET(Setup!$E$73,MATCH(Q$5,DedListItem,0),0,1,1)))-SUMIFS(OFFSET(Q$6,1,0,PayCount,1),PayDate,"&lt;"&amp;$AC49,PayEmp,$C49))))))</f>
        <v>0</v>
      </c>
      <c r="R49" s="185">
        <f t="shared" ca="1" si="25"/>
        <v>50</v>
      </c>
      <c r="S49" s="139">
        <f t="shared" ca="1" si="26"/>
        <v>4950</v>
      </c>
      <c r="T49" s="133" cm="1">
        <f t="array" aca="1" ref="T49" ca="1">IF($F49="Terminated",0,IF($AA49=0,0,IF(ISNA(MATCH(T$5,CompListItem,0)),0,IF(COUNTIFS(OverEmp,$C49,OverComp,T$5,OverDate,"&lt;"&amp;DATE(YEAR($AC49),MONTH($AC49)+1,1),OverEnd,"&gt;="&amp;DATE(YEAR($AC49),MONTH($AC49),1))&gt;0,SUMIFS(OverValue,OverEmp,$C49,OverComp,T$5,OverDate,"&lt;"&amp;DATE(YEAR($AC49),MONTH($AC49)+1,1),OverEnd,"&gt;="&amp;DATE(YEAR($AC49),MONTH($AC49),1)),IF(OR(T$2="Fixed",T$2="Not Used"),(OFFSET(Setup!$E$81,MATCH(T$5,CompListItem,0),0,1,1)*$AA49)-SUMIFS(OFFSET(T$6,1,0,PayCount,1),PayDate,"&lt;"&amp;$AC49,PayEmp,$C49),IF(ISNA(MATCH(T$2,DedListItem,0))=FALSE,(SUMPRODUCT((PayEmp=$C49)*(PayDate&lt;=$AC49)*(PayDedList=T$2)*(PayDedValues))*OFFSET(Setup!$E$81,MATCH(T$5,CompListItem,0),0,1,1))-SUMIFS(OFFSET(T$6,1,0,PayCount,1),PayDate,"&lt;"&amp;$AC49,PayEmp,$C49),(MIN(IF(OFFSET(Setup!$G$81,MATCH(T$5,CompListItem,0),0,1,1)="Taxable",SUMPRODUCT((PayEmp=$C49)*(PayDate&lt;=$AC49)*(ISERROR(SEARCH(PayEarnCode,T$4)))*(PayEarnTax)*(PayEarnValues)),SUMPRODUCT((PayEmp=$C49)*(PayDate&lt;=$AC49)*(ISERROR(SEARCH(PayEarnCode,T$4)))*(PayEarnValues))),IF(ISNUMBER(T$3),T$3/12*$AA49,IgnoreMin)))*OFFSET(Setup!$E$81,MATCH(T$5,CompListItem,0),0,1,1)-SUMIFS(OFFSET(T$6,1,0,PayCount,1),PayDate,"&lt;"&amp;$AC49,PayEmp,$C49)))))))</f>
        <v>50</v>
      </c>
      <c r="U49" s="133" cm="1">
        <f t="array" aca="1" ref="U49" ca="1">IF($F49="Terminated",0,IF($AA49=0,0,IF(ISNA(MATCH(U$5,CompListItem,0)),0,IF(COUNTIFS(OverEmp,$C49,OverComp,U$5,OverDate,"&lt;"&amp;DATE(YEAR($AC49),MONTH($AC49)+1,1),OverEnd,"&gt;="&amp;DATE(YEAR($AC49),MONTH($AC49),1))&gt;0,SUMIFS(OverValue,OverEmp,$C49,OverComp,U$5,OverDate,"&lt;"&amp;DATE(YEAR($AC49),MONTH($AC49)+1,1),OverEnd,"&gt;="&amp;DATE(YEAR($AC49),MONTH($AC49),1)),IF(OR(U$2="Fixed",U$2="Not Used"),(OFFSET(Setup!$E$81,MATCH(U$5,CompListItem,0),0,1,1)*$AA49)-SUMIFS(OFFSET(U$6,1,0,PayCount,1),PayDate,"&lt;"&amp;$AC49,PayEmp,$C49),IF(ISNA(MATCH(U$2,DedListItem,0))=FALSE,(SUMPRODUCT((PayEmp=$C49)*(PayDate&lt;=$AC49)*(PayDedList=U$2)*(PayDedValues))*OFFSET(Setup!$E$81,MATCH(U$5,CompListItem,0),0,1,1))-SUMIFS(OFFSET(U$6,1,0,PayCount,1),PayDate,"&lt;"&amp;$AC49,PayEmp,$C49),(MIN(IF(OFFSET(Setup!$G$81,MATCH(U$5,CompListItem,0),0,1,1)="Taxable",SUMPRODUCT((PayEmp=$C49)*(PayDate&lt;=$AC49)*(ISERROR(SEARCH(PayEarnCode,U$4)))*(PayEarnTax)*(PayEarnValues)),SUMPRODUCT((PayEmp=$C49)*(PayDate&lt;=$AC49)*(ISERROR(SEARCH(PayEarnCode,U$4)))*(PayEarnValues))),IF(ISNUMBER(U$3),U$3/12*$AA49,IgnoreMin)))*OFFSET(Setup!$E$81,MATCH(U$5,CompListItem,0),0,1,1)-SUMIFS(OFFSET(U$6,1,0,PayCount,1),PayDate,"&lt;"&amp;$AC49,PayEmp,$C49)))))))</f>
        <v>50</v>
      </c>
      <c r="V49" s="133" cm="1">
        <f t="array" aca="1" ref="V49" ca="1">IF($F49="Terminated",0,IF($AA49=0,0,IF(ISNA(MATCH(V$5,CompListItem,0)),0,IF(COUNTIFS(OverEmp,$C49,OverComp,V$5,OverDate,"&lt;"&amp;DATE(YEAR($AC49),MONTH($AC49)+1,1),OverEnd,"&gt;="&amp;DATE(YEAR($AC49),MONTH($AC49),1))&gt;0,SUMIFS(OverValue,OverEmp,$C49,OverComp,V$5,OverDate,"&lt;"&amp;DATE(YEAR($AC49),MONTH($AC49)+1,1),OverEnd,"&gt;="&amp;DATE(YEAR($AC49),MONTH($AC49),1)),IF(OR(V$2="Fixed",V$2="Not Used"),(OFFSET(Setup!$E$81,MATCH(V$5,CompListItem,0),0,1,1)*$AA49)-SUMIFS(OFFSET(V$6,1,0,PayCount,1),PayDate,"&lt;"&amp;$AC49,PayEmp,$C49),IF(ISNA(MATCH(V$2,DedListItem,0))=FALSE,(SUMPRODUCT((PayEmp=$C49)*(PayDate&lt;=$AC49)*(PayDedList=V$2)*(PayDedValues))*OFFSET(Setup!$E$81,MATCH(V$5,CompListItem,0),0,1,1))-SUMIFS(OFFSET(V$6,1,0,PayCount,1),PayDate,"&lt;"&amp;$AC49,PayEmp,$C49),(MIN(IF(OFFSET(Setup!$G$81,MATCH(V$5,CompListItem,0),0,1,1)="Taxable",SUMPRODUCT((PayEmp=$C49)*(PayDate&lt;=$AC49)*(ISERROR(SEARCH(PayEarnCode,V$4)))*(PayEarnTax)*(PayEarnValues)),SUMPRODUCT((PayEmp=$C49)*(PayDate&lt;=$AC49)*(ISERROR(SEARCH(PayEarnCode,V$4)))*(PayEarnValues))),IF(ISNUMBER(V$3),V$3/12*$AA49,IgnoreMin)))*OFFSET(Setup!$E$81,MATCH(V$5,CompListItem,0),0,1,1)-SUMIFS(OFFSET(V$6,1,0,PayCount,1),PayDate,"&lt;"&amp;$AC49,PayEmp,$C49)))))))</f>
        <v>0</v>
      </c>
      <c r="W49" s="133" cm="1">
        <f t="array" aca="1" ref="W49" ca="1">IF($F49="Terminated",0,IF($AA49=0,0,IF(ISNA(MATCH(W$5,CompListItem,0)),0,IF(COUNTIFS(OverEmp,$C49,OverComp,W$5,OverDate,"&lt;"&amp;DATE(YEAR($AC49),MONTH($AC49)+1,1),OverEnd,"&gt;="&amp;DATE(YEAR($AC49),MONTH($AC49),1))&gt;0,SUMIFS(OverValue,OverEmp,$C49,OverComp,W$5,OverDate,"&lt;"&amp;DATE(YEAR($AC49),MONTH($AC49)+1,1),OverEnd,"&gt;="&amp;DATE(YEAR($AC49),MONTH($AC49),1)),IF(OR(W$2="Fixed",W$2="Not Used"),(OFFSET(Setup!$E$81,MATCH(W$5,CompListItem,0),0,1,1)*$AA49)-SUMIFS(OFFSET(W$6,1,0,PayCount,1),PayDate,"&lt;"&amp;$AC49,PayEmp,$C49),IF(ISNA(MATCH(W$2,DedListItem,0))=FALSE,(SUMPRODUCT((PayEmp=$C49)*(PayDate&lt;=$AC49)*(PayDedList=W$2)*(PayDedValues))*OFFSET(Setup!$E$81,MATCH(W$5,CompListItem,0),0,1,1))-SUMIFS(OFFSET(W$6,1,0,PayCount,1),PayDate,"&lt;"&amp;$AC49,PayEmp,$C49),(MIN(IF(OFFSET(Setup!$G$81,MATCH(W$5,CompListItem,0),0,1,1)="Taxable",SUMPRODUCT((PayEmp=$C49)*(PayDate&lt;=$AC49)*(ISERROR(SEARCH(PayEarnCode,W$4)))*(PayEarnTax)*(PayEarnValues)),SUMPRODUCT((PayEmp=$C49)*(PayDate&lt;=$AC49)*(ISERROR(SEARCH(PayEarnCode,W$4)))*(PayEarnValues))),IF(ISNUMBER(W$3),W$3/12*$AA49,IgnoreMin)))*OFFSET(Setup!$E$81,MATCH(W$5,CompListItem,0),0,1,1)-SUMIFS(OFFSET(W$6,1,0,PayCount,1),PayDate,"&lt;"&amp;$AC49,PayEmp,$C49)))))))</f>
        <v>0</v>
      </c>
      <c r="X49" s="185">
        <f t="shared" ca="1" si="18"/>
        <v>100</v>
      </c>
      <c r="Y49" s="139">
        <f t="shared" ca="1" si="27"/>
        <v>5100</v>
      </c>
      <c r="Z49" s="139">
        <f t="shared" ca="1" si="19"/>
        <v>150</v>
      </c>
      <c r="AA49" s="146">
        <f ca="1">IF(OR($B49&lt;=Setup!$E$12,$B49&gt;=Setup!$D$12+1),0,IF($F49&lt;&gt;"Active",0,IF($AE49="Yes",$AB49,((YEAR($AC49)*12)+MONTH($AC49))-((YEAR($AD49)*12)+MONTH($AD49)-1))))</f>
        <v>3</v>
      </c>
      <c r="AB49" s="146">
        <f ca="1">IF(OR($B49&lt;=Setup!$E$12,$B49&gt;=Setup!$D$12+1),0,((YEAR($AC49)*12)+MONTH($AC49))-((YEAR(Setup!$E$12)*12)+MONTH(Setup!$E$12)))</f>
        <v>3</v>
      </c>
      <c r="AC49" s="186">
        <f t="shared" ca="1" si="20"/>
        <v>45071</v>
      </c>
      <c r="AD49" s="144">
        <f ca="1">IF(ISNA(VLOOKUP($C49,EmpAll,COLUMN(Emp!$E$4),0)),$AC49,IF(VLOOKUP($C49,EmpAll,COLUMN(Emp!$E$4),0)&lt;=Setup!$E$12,DATE(YEAR(Setup!$E$12),MONTH(Setup!$E$12)+1,1),VLOOKUP($C49,EmpAll,COLUMN(Emp!$E$4),0)))</f>
        <v>44986</v>
      </c>
      <c r="AE49" s="144" t="str">
        <f ca="1">IF(ISNA(VLOOKUP($C49,EmpAll,COLUMN(Emp!$G$1),0)),"-",IF(VLOOKUP($C49,EmpAll,COLUMN(Emp!$G$1),0)=0,"-",VLOOKUP($C49,EmpAll,COLUMN(Emp!$G$1),0)))</f>
        <v>-</v>
      </c>
      <c r="AF49" s="145">
        <f ca="1">IF(A49=PaySlip!$G$3,1,0)</f>
        <v>0</v>
      </c>
      <c r="AG49" s="130" cm="1">
        <f t="array" aca="1" ref="AG49" ca="1">IF(COUNTIFS(OverEmp,$C49,OverMed,"MED",OverDate,"&lt;"&amp;DATE(YEAR($AC49),MONTH($AC49)+1,1),OverEnd,"&gt;="&amp;DATE(YEAR($AC49),MONTH($AC49),1))&gt;0,SUMIFS(OverValue,OverEmp,$C49,OverMed,"MED",OverDate,"&lt;"&amp;DATE(YEAR($AC49),MONTH($AC49)+1,1),OverEnd,"&gt;="&amp;DATE(YEAR($AC49),MONTH($AC49),1)),IF(ISNA(VLOOKUP($C49,EmpAll,COLUMN(Emp!$N$4),0)),0,VLOOKUP($C49,EmpAll,COLUMN(Emp!$N$4),0)))</f>
        <v>0</v>
      </c>
      <c r="AH49" s="146">
        <f ca="1">VLOOKUP($AG49,MedList,COLUMN(Setup!$C$49),1)</f>
        <v>0</v>
      </c>
      <c r="AI49" s="146">
        <f t="shared" ca="1" si="7"/>
        <v>0</v>
      </c>
      <c r="AJ49" s="101" t="str">
        <f ca="1">IF(ISNA(VLOOKUP($C49,EmpAll,COLUMN(Emp!$L$4),0)),"None!",VLOOKUP($C49,EmpAll,COLUMN(Emp!$L$4),0))</f>
        <v>A</v>
      </c>
      <c r="AK49" s="147">
        <f t="shared" ca="1" si="21"/>
        <v>17235</v>
      </c>
      <c r="AL49" s="101" t="str">
        <f ca="1">IF(ISNA(VLOOKUP($C49,Employees[],COLUMN(Emp!$M$4),0))=TRUE,"Error!",IF(VLOOKUP($C49,Employees[],COLUMN(Emp!$M$4),0)=0,"Yes",VLOOKUP($C49,Employees[],COLUMN(Emp!$M$4),0)))</f>
        <v>A</v>
      </c>
      <c r="AM49" s="148">
        <f t="shared" ca="1" si="9"/>
        <v>60000</v>
      </c>
      <c r="AN49" s="148" cm="1">
        <f t="array" aca="1" ref="AN49" ca="1">-IF($F49="Terminated",0,IF($AA49=0,0,IF(ISNA(MATCH(AN$5,PayDedList,0)),0,MIN(IF(COUNTIFS(OverEmp,$C49,OverDeduct,AN$5,OverDate,"&lt;"&amp;DATE(YEAR($AC49),MONTH($AC49)+1,1),OverEnd,"&gt;="&amp;DATE(YEAR($AC49),MONTH($AC49),1))&gt;0,SUMPRODUCT((PayEmp=$C49)*(PayDate&lt;=$AC49)*(OFFSET($N$6,1,MATCH(AN$5,PayDedList,0)-1,PayCount,1)))/$AA49*12*AN$3,IF(OR(AN$1="Fixed",AN$1="Not Used"),SUMPRODUCT((PayEmp=$C49)*(PayDate&lt;=$AC49)*(OFFSET($N$6,1,MATCH(AN$5,PayDedList,0)-1,PayCount,1)))/$AA49*12*AN$3,IF(ISNA(MATCH(AN$1,EarnListItem,0))=FALSE,SUMPRODUCT((PayEmp=$C49)*(PayDate&lt;=$AC49)*(OFFSET($N$6,1,MATCH(AN$5,PayDedList,0)-1,PayCount,1)))/$AA49*12*AN$3,(MIN(((SUMPRODUCT((PayEmp=$C49)*(PayDate&lt;=$AC49)*(ISERROR(SEARCH(PayEarnCode,AN$2)))*(PayEarnType="Monthly")*(PayEarnValues))/$AA49*12)+(SUMPRODUCT((PayEmp=$C49)*(PayDate&lt;=$AC49)*(ISERROR(SEARCH(PayEarnCode,AN$2)))*(PayEarnType="Quarterly")*(PayEarnValues))/MAX(1,ROUNDDOWN($AB49/3,0))*4)+(SUMPRODUCT((PayEmp=$C49)*(PayDate&lt;=$AC49)*(ISERROR(SEARCH(PayEarnCode,AN$2)))*(PayEarnType="Bi-Annual")*(PayEarnValues))/MAX(1,ROUNDDOWN($AB49/6,0))*2)+(SUMPRODUCT((PayEmp=$C49)*(PayDate&lt;=$AC49)*(ISERROR(SEARCH(PayEarnCode,AN$2)))*(PayEarnType="Annual")*(PayEarnValues)))),IF(ISNUMBER(OFFSET($N$3,0,MATCH(AN$5,PayDedList,0)-1,1,1)),OFFSET($N$3,0,MATCH(AN$5,PayDedList,0)-1,1,1),IgnoreMin)))*IF(COUNTIFS(EmpNo,$C49,OFFSET(Emp!$R$4,1,MATCH(AN$5,DedListItem,0)-1,EmpCount,1),"&lt;&gt;")&gt;0,VLOOKUP($C49,EmpAll,COLUMN(Emp!$R$4)+MATCH(AN$5,DedListItem,0)-1,0),OFFSET(Setup!$E$73,MATCH(AN$5,DedListItem,0),0,1,1))*AN$3))),IF(ISNUMBER(AN$4),AN$4,IgnoreMin)))))</f>
        <v>0</v>
      </c>
      <c r="AO49" s="148" cm="1">
        <f t="array" aca="1" ref="AO49" ca="1">-IF($F49="Terminated",0,IF($AA49=0,0,IF(ISNA(MATCH(AO$5,PayDedList,0)),0,MIN(IF(COUNTIFS(OverEmp,$C49,OverDeduct,AO$5,OverDate,"&lt;"&amp;DATE(YEAR($AC49),MONTH($AC49)+1,1),OverEnd,"&gt;="&amp;DATE(YEAR($AC49),MONTH($AC49),1))&gt;0,SUMPRODUCT((PayEmp=$C49)*(PayDate&lt;=$AC49)*(OFFSET($N$6,1,MATCH(AO$5,PayDedList,0)-1,PayCount,1)))/$AA49*12*AO$3,IF(OR(AO$1="Fixed",AO$1="Not Used"),SUMPRODUCT((PayEmp=$C49)*(PayDate&lt;=$AC49)*(OFFSET($N$6,1,MATCH(AO$5,PayDedList,0)-1,PayCount,1)))/$AA49*12*AO$3,IF(ISNA(MATCH(AO$1,EarnListItem,0))=FALSE,SUMPRODUCT((PayEmp=$C49)*(PayDate&lt;=$AC49)*(OFFSET($N$6,1,MATCH(AO$5,PayDedList,0)-1,PayCount,1)))/$AA49*12*AO$3,(MIN(((SUMPRODUCT((PayEmp=$C49)*(PayDate&lt;=$AC49)*(ISERROR(SEARCH(PayEarnCode,AO$2)))*(PayEarnType="Monthly")*(PayEarnValues))/$AA49*12)+(SUMPRODUCT((PayEmp=$C49)*(PayDate&lt;=$AC49)*(ISERROR(SEARCH(PayEarnCode,AO$2)))*(PayEarnType="Quarterly")*(PayEarnValues))/MAX(1,ROUNDDOWN($AB49/3,0))*4)+(SUMPRODUCT((PayEmp=$C49)*(PayDate&lt;=$AC49)*(ISERROR(SEARCH(PayEarnCode,AO$2)))*(PayEarnType="Bi-Annual")*(PayEarnValues))/MAX(1,ROUNDDOWN($AB49/6,0))*2)+(SUMPRODUCT((PayEmp=$C49)*(PayDate&lt;=$AC49)*(ISERROR(SEARCH(PayEarnCode,AO$2)))*(PayEarnType="Annual")*(PayEarnValues)))),IF(ISNUMBER(OFFSET($N$3,0,MATCH(AO$5,PayDedList,0)-1,1,1)),OFFSET($N$3,0,MATCH(AO$5,PayDedList,0)-1,1,1),IgnoreMin)))*IF(COUNTIFS(EmpNo,$C49,OFFSET(Emp!$R$4,1,MATCH(AO$5,DedListItem,0)-1,EmpCount,1),"&lt;&gt;")&gt;0,VLOOKUP($C49,EmpAll,COLUMN(Emp!$R$4)+MATCH(AO$5,DedListItem,0)-1,0),OFFSET(Setup!$E$73,MATCH(AO$5,DedListItem,0),0,1,1))*AO$3))),IF(ISNUMBER(AO$4),AO$4,IgnoreMin)))))</f>
        <v>0</v>
      </c>
      <c r="AP49" s="148" cm="1">
        <f t="array" aca="1" ref="AP49" ca="1">-IF($F49="Terminated",0,IF($AA49=0,0,IF(ISNA(MATCH(AP$5,PayDedList,0)),0,MIN(IF(COUNTIFS(OverEmp,$C49,OverDeduct,AP$5,OverDate,"&lt;"&amp;DATE(YEAR($AC49),MONTH($AC49)+1,1),OverEnd,"&gt;="&amp;DATE(YEAR($AC49),MONTH($AC49),1))&gt;0,SUMPRODUCT((PayEmp=$C49)*(PayDate&lt;=$AC49)*(OFFSET($N$6,1,MATCH(AP$5,PayDedList,0)-1,PayCount,1)))/$AA49*12*AP$3,IF(OR(AP$1="Fixed",AP$1="Not Used"),SUMPRODUCT((PayEmp=$C49)*(PayDate&lt;=$AC49)*(OFFSET($N$6,1,MATCH(AP$5,PayDedList,0)-1,PayCount,1)))/$AA49*12*AP$3,IF(ISNA(MATCH(AP$1,EarnListItem,0))=FALSE,SUMPRODUCT((PayEmp=$C49)*(PayDate&lt;=$AC49)*(OFFSET($N$6,1,MATCH(AP$5,PayDedList,0)-1,PayCount,1)))/$AA49*12*AP$3,(MIN(((SUMPRODUCT((PayEmp=$C49)*(PayDate&lt;=$AC49)*(ISERROR(SEARCH(PayEarnCode,AP$2)))*(PayEarnType="Monthly")*(PayEarnValues))/$AA49*12)+(SUMPRODUCT((PayEmp=$C49)*(PayDate&lt;=$AC49)*(ISERROR(SEARCH(PayEarnCode,AP$2)))*(PayEarnType="Quarterly")*(PayEarnValues))/MAX(1,ROUNDDOWN($AB49/3,0))*4)+(SUMPRODUCT((PayEmp=$C49)*(PayDate&lt;=$AC49)*(ISERROR(SEARCH(PayEarnCode,AP$2)))*(PayEarnType="Bi-Annual")*(PayEarnValues))/MAX(1,ROUNDDOWN($AB49/6,0))*2)+(SUMPRODUCT((PayEmp=$C49)*(PayDate&lt;=$AC49)*(ISERROR(SEARCH(PayEarnCode,AP$2)))*(PayEarnType="Annual")*(PayEarnValues)))),IF(ISNUMBER(OFFSET($N$3,0,MATCH(AP$5,PayDedList,0)-1,1,1)),OFFSET($N$3,0,MATCH(AP$5,PayDedList,0)-1,1,1),IgnoreMin)))*IF(COUNTIFS(EmpNo,$C49,OFFSET(Emp!$R$4,1,MATCH(AP$5,DedListItem,0)-1,EmpCount,1),"&lt;&gt;")&gt;0,VLOOKUP($C49,EmpAll,COLUMN(Emp!$R$4)+MATCH(AP$5,DedListItem,0)-1,0),OFFSET(Setup!$E$73,MATCH(AP$5,DedListItem,0),0,1,1))*AP$3))),IF(ISNUMBER(AP$4),AP$4,IgnoreMin)))))</f>
        <v>0</v>
      </c>
      <c r="AQ49" s="148" cm="1">
        <f t="array" aca="1" ref="AQ49" ca="1">-IF($F49="Terminated",0,IF($AA49=0,0,IF(ISNA(MATCH(AQ$5,PayDedList,0)),0,MIN(IF(COUNTIFS(OverEmp,$C49,OverDeduct,AQ$5,OverDate,"&lt;"&amp;DATE(YEAR($AC49),MONTH($AC49)+1,1),OverEnd,"&gt;="&amp;DATE(YEAR($AC49),MONTH($AC49),1))&gt;0,SUMPRODUCT((PayEmp=$C49)*(PayDate&lt;=$AC49)*(OFFSET($N$6,1,MATCH(AQ$5,PayDedList,0)-1,PayCount,1)))/$AA49*12*AQ$3,IF(OR(AQ$1="Fixed",AQ$1="Not Used"),SUMPRODUCT((PayEmp=$C49)*(PayDate&lt;=$AC49)*(OFFSET($N$6,1,MATCH(AQ$5,PayDedList,0)-1,PayCount,1)))/$AA49*12*AQ$3,IF(ISNA(MATCH(AQ$1,EarnListItem,0))=FALSE,SUMPRODUCT((PayEmp=$C49)*(PayDate&lt;=$AC49)*(OFFSET($N$6,1,MATCH(AQ$5,PayDedList,0)-1,PayCount,1)))/$AA49*12*AQ$3,(MIN(((SUMPRODUCT((PayEmp=$C49)*(PayDate&lt;=$AC49)*(ISERROR(SEARCH(PayEarnCode,AQ$2)))*(PayEarnType="Monthly")*(PayEarnValues))/$AA49*12)+(SUMPRODUCT((PayEmp=$C49)*(PayDate&lt;=$AC49)*(ISERROR(SEARCH(PayEarnCode,AQ$2)))*(PayEarnType="Quarterly")*(PayEarnValues))/MAX(1,ROUNDDOWN($AB49/3,0))*4)+(SUMPRODUCT((PayEmp=$C49)*(PayDate&lt;=$AC49)*(ISERROR(SEARCH(PayEarnCode,AQ$2)))*(PayEarnType="Bi-Annual")*(PayEarnValues))/MAX(1,ROUNDDOWN($AB49/6,0))*2)+(SUMPRODUCT((PayEmp=$C49)*(PayDate&lt;=$AC49)*(ISERROR(SEARCH(PayEarnCode,AQ$2)))*(PayEarnType="Annual")*(PayEarnValues)))),IF(ISNUMBER(OFFSET($N$3,0,MATCH(AQ$5,PayDedList,0)-1,1,1)),OFFSET($N$3,0,MATCH(AQ$5,PayDedList,0)-1,1,1),IgnoreMin)))*IF(COUNTIFS(EmpNo,$C49,OFFSET(Emp!$R$4,1,MATCH(AQ$5,DedListItem,0)-1,EmpCount,1),"&lt;&gt;")&gt;0,VLOOKUP($C49,EmpAll,COLUMN(Emp!$R$4)+MATCH(AQ$5,DedListItem,0)-1,0),OFFSET(Setup!$E$73,MATCH(AQ$5,DedListItem,0),0,1,1))*AQ$3))),IF(ISNUMBER(AQ$4),AQ$4,IgnoreMin)))))</f>
        <v>0</v>
      </c>
      <c r="AR49" s="148">
        <f t="shared" ca="1" si="22"/>
        <v>60000</v>
      </c>
      <c r="AS49" s="148">
        <f t="shared" ca="1" si="11"/>
        <v>60000</v>
      </c>
      <c r="AT49" s="148" cm="1">
        <f t="array" aca="1" ref="AT49" ca="1">-IF($F49="Terminated",0,IF($AA49=0,0,IF(ISNA(MATCH(AT$5,PayDedList,0)),0,MIN(IF(COUNTIFS(OverEmp,$C49,OverDeduct,AT$5,OverDate,"&lt;"&amp;DATE(YEAR($AC49),MONTH($AC49)+1,1),OverEnd,"&gt;="&amp;DATE(YEAR($AC49),MONTH($AC49),1))&gt;0,SUMPRODUCT((PayEmp=$C49)*(PayDate&lt;=$AC49)*(OFFSET($N$6,1,MATCH(AT$5,PayDedList,0)-1,PayCount,1)))/$AA49*12*AT$3,IF(OR(AT$1="Fixed",AT$1="Not Used"),SUMPRODUCT((PayEmp=$C49)*(PayDate&lt;=$AC49)*(OFFSET($N$6,1,MATCH(AT$5,PayDedList,0)-1,PayCount,1)))/$AA49*12*AT$3,IF(ISNA(MATCH(OFFSET($N$2,0,MATCH(AT$5,PayDedList,0)-1,1,1),EarnListItem,0))=FALSE,SUMPRODUCT((PayEmp=$C49)*(PayDate&lt;=$AC49)*(OFFSET($N$6,1,MATCH(AT$5,PayDedList,0)-1,PayCount,1)))/$AA49*12*AT$3,(MIN(SUMPRODUCT((PayEmp=$C49)*(PayDate&lt;=$AC49)*(ISERROR(SEARCH(PayEarnCode,AT$2)))*(PayEarnType="Monthly")*(PayEarnValues))/$AA49*12,IF(ISNUMBER(OFFSET($N$3,0,MATCH(AT$5,PayDedList,0)-1,1,1)),OFFSET($N$3,0,MATCH(AT$5,PayDedList,0)-1,1,1),IgnoreMin)))*IF(COUNTIFS(EmpNo,$C49,OFFSET(Emp!$R$4,1,MATCH(AT$5,DedListItem,0)-1,EmpCount,1),"&lt;&gt;")&gt;0,VLOOKUP($C49,EmpAll,COLUMN(Emp!$R$4)+MATCH(AT$5,DedListItem,0)-1,0),OFFSET(Setup!$E$73,MATCH(AT$5,DedListItem,0),0,1,1))*AT$3))),IF(ISNUMBER(AT$4),AT$4,IgnoreMin)))))</f>
        <v>0</v>
      </c>
      <c r="AU49" s="148" cm="1">
        <f t="array" aca="1" ref="AU49" ca="1">-IF($F49="Terminated",0,IF($AA49=0,0,IF(ISNA(MATCH(AU$5,PayDedList,0)),0,MIN(IF(COUNTIFS(OverEmp,$C49,OverDeduct,AU$5,OverDate,"&lt;"&amp;DATE(YEAR($AC49),MONTH($AC49)+1,1),OverEnd,"&gt;="&amp;DATE(YEAR($AC49),MONTH($AC49),1))&gt;0,SUMPRODUCT((PayEmp=$C49)*(PayDate&lt;=$AC49)*(OFFSET($N$6,1,MATCH(AU$5,PayDedList,0)-1,PayCount,1)))/$AA49*12*AU$3,IF(OR(AU$1="Fixed",AU$1="Not Used"),SUMPRODUCT((PayEmp=$C49)*(PayDate&lt;=$AC49)*(OFFSET($N$6,1,MATCH(AU$5,PayDedList,0)-1,PayCount,1)))/$AA49*12*AU$3,IF(ISNA(MATCH(OFFSET($N$2,0,MATCH(AU$5,PayDedList,0)-1,1,1),EarnListItem,0))=FALSE,SUMPRODUCT((PayEmp=$C49)*(PayDate&lt;=$AC49)*(OFFSET($N$6,1,MATCH(AU$5,PayDedList,0)-1,PayCount,1)))/$AA49*12*AU$3,(MIN(SUMPRODUCT((PayEmp=$C49)*(PayDate&lt;=$AC49)*(ISERROR(SEARCH(PayEarnCode,AU$2)))*(PayEarnType="Monthly")*(PayEarnValues))/$AA49*12,IF(ISNUMBER(OFFSET($N$3,0,MATCH(AU$5,PayDedList,0)-1,1,1)),OFFSET($N$3,0,MATCH(AU$5,PayDedList,0)-1,1,1),IgnoreMin)))*IF(COUNTIFS(EmpNo,$C49,OFFSET(Emp!$R$4,1,MATCH(AU$5,DedListItem,0)-1,EmpCount,1),"&lt;&gt;")&gt;0,VLOOKUP($C49,EmpAll,COLUMN(Emp!$R$4)+MATCH(AU$5,DedListItem,0)-1,0),OFFSET(Setup!$E$73,MATCH(AU$5,DedListItem,0),0,1,1))*AU$3))),IF(ISNUMBER(AU$4),AU$4,IgnoreMin)))))</f>
        <v>0</v>
      </c>
      <c r="AV49" s="148" cm="1">
        <f t="array" aca="1" ref="AV49" ca="1">-IF($F49="Terminated",0,IF($AA49=0,0,IF(ISNA(MATCH(AV$5,PayDedList,0)),0,MIN(IF(COUNTIFS(OverEmp,$C49,OverDeduct,AV$5,OverDate,"&lt;"&amp;DATE(YEAR($AC49),MONTH($AC49)+1,1),OverEnd,"&gt;="&amp;DATE(YEAR($AC49),MONTH($AC49),1))&gt;0,SUMPRODUCT((PayEmp=$C49)*(PayDate&lt;=$AC49)*(OFFSET($N$6,1,MATCH(AV$5,PayDedList,0)-1,PayCount,1)))/$AA49*12*AV$3,IF(OR(AV$1="Fixed",AV$1="Not Used"),SUMPRODUCT((PayEmp=$C49)*(PayDate&lt;=$AC49)*(OFFSET($N$6,1,MATCH(AV$5,PayDedList,0)-1,PayCount,1)))/$AA49*12*AV$3,IF(ISNA(MATCH(OFFSET($N$2,0,MATCH(AV$5,PayDedList,0)-1,1,1),EarnListItem,0))=FALSE,SUMPRODUCT((PayEmp=$C49)*(PayDate&lt;=$AC49)*(OFFSET($N$6,1,MATCH(AV$5,PayDedList,0)-1,PayCount,1)))/$AA49*12*AV$3,(MIN(SUMPRODUCT((PayEmp=$C49)*(PayDate&lt;=$AC49)*(ISERROR(SEARCH(PayEarnCode,AV$2)))*(PayEarnType="Monthly")*(PayEarnValues))/$AA49*12,IF(ISNUMBER(OFFSET($N$3,0,MATCH(AV$5,PayDedList,0)-1,1,1)),OFFSET($N$3,0,MATCH(AV$5,PayDedList,0)-1,1,1),IgnoreMin)))*IF(COUNTIFS(EmpNo,$C49,OFFSET(Emp!$R$4,1,MATCH(AV$5,DedListItem,0)-1,EmpCount,1),"&lt;&gt;")&gt;0,VLOOKUP($C49,EmpAll,COLUMN(Emp!$R$4)+MATCH(AV$5,DedListItem,0)-1,0),OFFSET(Setup!$E$73,MATCH(AV$5,DedListItem,0),0,1,1))*AV$3))),IF(ISNUMBER(AV$4),AV$4,IgnoreMin)))))</f>
        <v>0</v>
      </c>
      <c r="AW49" s="148" cm="1">
        <f t="array" aca="1" ref="AW49" ca="1">-IF($F49="Terminated",0,IF($AA49=0,0,IF(ISNA(MATCH(AW$5,PayDedList,0)),0,MIN(IF(COUNTIFS(OverEmp,$C49,OverDeduct,AW$5,OverDate,"&lt;"&amp;DATE(YEAR($AC49),MONTH($AC49)+1,1),OverEnd,"&gt;="&amp;DATE(YEAR($AC49),MONTH($AC49),1))&gt;0,SUMPRODUCT((PayEmp=$C49)*(PayDate&lt;=$AC49)*(OFFSET($N$6,1,MATCH(AW$5,PayDedList,0)-1,PayCount,1)))/$AA49*12*AW$3,IF(OR(AW$1="Fixed",AW$1="Not Used"),SUMPRODUCT((PayEmp=$C49)*(PayDate&lt;=$AC49)*(OFFSET($N$6,1,MATCH(AW$5,PayDedList,0)-1,PayCount,1)))/$AA49*12*AW$3,IF(ISNA(MATCH(OFFSET($N$2,0,MATCH(AW$5,PayDedList,0)-1,1,1),EarnListItem,0))=FALSE,SUMPRODUCT((PayEmp=$C49)*(PayDate&lt;=$AC49)*(OFFSET($N$6,1,MATCH(AW$5,PayDedList,0)-1,PayCount,1)))/$AA49*12*AW$3,(MIN(SUMPRODUCT((PayEmp=$C49)*(PayDate&lt;=$AC49)*(ISERROR(SEARCH(PayEarnCode,AW$2)))*(PayEarnType="Monthly")*(PayEarnValues))/$AA49*12,IF(ISNUMBER(OFFSET($N$3,0,MATCH(AW$5,PayDedList,0)-1,1,1)),OFFSET($N$3,0,MATCH(AW$5,PayDedList,0)-1,1,1),IgnoreMin)))*IF(COUNTIFS(EmpNo,$C49,OFFSET(Emp!$R$4,1,MATCH(AW$5,DedListItem,0)-1,EmpCount,1),"&lt;&gt;")&gt;0,VLOOKUP($C49,EmpAll,COLUMN(Emp!$R$4)+MATCH(AW$5,DedListItem,0)-1,0),OFFSET(Setup!$E$73,MATCH(AW$5,DedListItem,0),0,1,1))*AW$3))),IF(ISNUMBER(AW$4),AW$4,IgnoreMin)))))</f>
        <v>0</v>
      </c>
      <c r="AX49" s="148">
        <f t="shared" ca="1" si="28"/>
        <v>60000</v>
      </c>
      <c r="AY49" s="148">
        <f t="shared" ca="1" si="29"/>
        <v>0</v>
      </c>
      <c r="AZ49" s="148">
        <f ca="1">IF(ISNUMBER($AL49),($AR49*$AL49)-$AI49-$AK49,MAX(0,IF($AL49="B",IF($AR49&lt;Setup!$C$32,($AR49*Setup!$D$32)-$AI49-$AK49,(($AR49-VLOOKUP($AR49,TaxAll2,1,1))*OFFSET(Setup!$D$32,MATCH($AR49,TaxBracket2,1),0,1,1))+OFFSET(Setup!$E$31,MATCH($AR49,TaxBracket2,1),0,1,1)-$AI49-$AK49),IF($AR49&lt;Setup!$C$21,($AR49*Setup!$D$21)-$AI49-$AK49,(($AR49-VLOOKUP($AR49,TaxAll1,1,1))*OFFSET(Setup!$D$21,MATCH($AR49,TaxBracket1,1),0,1,1))+OFFSET(Setup!$E$20,MATCH($AR49,TaxBracket1,1),0,1,1)-$AI49-$AK49))))</f>
        <v>0</v>
      </c>
      <c r="BA49" s="148">
        <f ca="1">IF(ISNUMBER($AL49),($AX49*$AL49)-$AI49-$AK49,MAX(0,IF($AL49="B",IF($AX49&lt;Setup!$C$32,($AX49*Setup!$D$32)-$AI49-$AK49,(($AX49-VLOOKUP($AX49,TaxAll2,1,1))*OFFSET(Setup!$D$32,MATCH($AX49,TaxBracket2,1),0,1,1))+OFFSET(Setup!$E$31,MATCH($AX49,TaxBracket2,1),0,1,1)-$AI49-$AK49),IF($AX49&lt;Setup!$C$21,($AX49*Setup!$D$21)-$AI49-$AK49,(($AX49-VLOOKUP($AX49,TaxAll1,1,1))*OFFSET(Setup!$D$21,MATCH($AX49,TaxBracket1,1),0,1,1))+OFFSET(Setup!$E$20,MATCH($AX49,TaxBracket1,1),0,1,1)-$AI49-$AK49))))</f>
        <v>0</v>
      </c>
      <c r="BB49" s="148">
        <f t="shared" ca="1" si="23"/>
        <v>0</v>
      </c>
      <c r="BC49" s="150">
        <f t="shared" ca="1" si="15"/>
        <v>1</v>
      </c>
      <c r="BD49" s="150">
        <f t="shared" ca="1" si="16"/>
        <v>0</v>
      </c>
      <c r="BE49" s="148">
        <f t="shared" ca="1" si="17"/>
        <v>60000</v>
      </c>
    </row>
    <row r="50" spans="1:57" ht="16.149999999999999" customHeight="1" x14ac:dyDescent="0.25">
      <c r="A50" s="10" t="str" cm="1">
        <f t="array" aca="1" ref="A50" ca="1">IF(ROW($A50)-ROW($A$6)&gt;EmpCount*12,"-",TEXT($B50,"yyyy")&amp;TEXT($B50,"mm")&amp;"-"&amp;$C50)</f>
        <v>202305-EXS014</v>
      </c>
      <c r="B50" s="137" cm="1">
        <f t="array" aca="1" ref="B50" ca="1">IF(ROW($A50)-ROW($A$6)&gt;EmpCount*12,Setup!$D$12,DATE(YEAR(Setup!$F$12),MONTH(Setup!$F$12)+ROUNDDOWN((ROW($A50)-ROW($A$6)-1)/EmpCount,0),IF(Setup!$C$14&gt;DAY(DATE(YEAR(Setup!$F$12),MONTH(Setup!$F$12)+ROUNDDOWN((ROW($A50)-ROW($A$6)-1)/EmpCount,0)+1,0)),DAY(DATE(YEAR(Setup!$F$12),MONTH(Setup!$F$12)+ROUNDDOWN((ROW($A50)-ROW($A$6)-1)/EmpCount,0)+1,0)),Setup!$C$14)))</f>
        <v>45071</v>
      </c>
      <c r="C50" s="101" t="str" cm="1">
        <f t="array" aca="1" ref="C50" ca="1">IF(ROW($A50)-ROW($A$6)&gt;EmpCount*12,"-",OFFSET(Emp!$A$4,ROW($A50)-ROW($A$6)-IF(ROW($A50)-ROW($A$6)&gt;EmpCount,ROUNDDOWN((ROW($A50)-ROW($A$6)-1)/EmpCount,0)*EmpCount,0),0,1,1))</f>
        <v>EXS014</v>
      </c>
      <c r="D50" s="10" t="str">
        <f ca="1">IF(ISNA(VLOOKUP($C50,EmpAll,COLUMN(Emp!$B$4),0)),"-",VLOOKUP($C50,EmpAll,COLUMN(Emp!$B$4),0))</f>
        <v>Ross Q</v>
      </c>
      <c r="E50" s="145" t="str">
        <f ca="1">IF(ISNA(VLOOKUP($C50,EmpAll,COLUMN(Emp!$C$4),0)),"-",VLOOKUP($C50,EmpAll,COLUMN(Emp!$C$4),0))</f>
        <v>A</v>
      </c>
      <c r="F50" s="101" t="str">
        <f ca="1">IF(ISNA(VLOOKUP($C50,EmpAll,COLUMN(Emp!$A$4),0)),"-",IF(AND(VLOOKUP($C50,EmpAll,COLUMN(Emp!$E$4),0)&lt;&gt;0,VLOOKUP($C50,EmpAll,COLUMN(Emp!$E$4),0)&gt;=DATE(YEAR($AC50),MONTH($AC50)+1,0)),"Inactive",IF(AND(VLOOKUP($C50,EmpAll,COLUMN(Emp!$F$4),0)&lt;&gt;0,VLOOKUP($C50,EmpAll,COLUMN(Emp!$F$4),0)&lt;=DATE(YEAR($AC50),MONTH($AC50),0)),"Terminated","Active")))</f>
        <v>Inactive</v>
      </c>
      <c r="G50" s="133" cm="1">
        <f t="array" aca="1" ref="G50" ca="1">IF($F50&lt;&gt;"Active",0,IF(COUNTIFS(OverEmp,$C50,OverEarn,G$2,OverDate,"&lt;"&amp;DATE(YEAR($AC50),MONTH($AC50)+1,1),OverEnd,"&gt;="&amp;DATE(YEAR($AC50),MONTH($AC50),1))&gt;0,SUMIFS(OverValue,OverEmp,$C50,OverEarn,G$2,OverDate,"&lt;"&amp;DATE(YEAR($AC50),MONTH($AC50)+1,1),OverEnd,"&gt;="&amp;DATE(YEAR($AC50),MONTH($AC50),1)),IF(AND($AC50&gt;=Setup!$E$10,SUMIFS(EmpIncrease,EmpCode,$C50)&gt;0),SUMIFS(EmpIncrease,EmpCode,$C50),SUMIFS(EmpSalary,EmpCode,$C50))))</f>
        <v>0</v>
      </c>
      <c r="H50" s="133" cm="1">
        <f t="array" aca="1" ref="H50" ca="1">IF($F50&lt;&gt;"Active",0,IF(COUNTIFS(OverEmp,$C50,OverEarn,H$2,OverDate,"&lt;"&amp;DATE(YEAR($AC50),MONTH($AC50)+1,1),OverEnd,"&gt;="&amp;DATE(YEAR($AC50),MONTH($AC50),1))&gt;0,SUMIFS(OverValue,OverEmp,$C50,OverEarn,H$2,OverDate,"&lt;"&amp;DATE(YEAR($AC50),MONTH($AC50)+1,1),OverEnd,"&gt;="&amp;DATE(YEAR($AC50),MONTH($AC50),1)),0))</f>
        <v>0</v>
      </c>
      <c r="I50" s="133" cm="1">
        <f t="array" aca="1" ref="I50" ca="1">IF($F50&lt;&gt;"Active",0,IF(COUNTIFS(OverEmp,$C50,OverEarn,I$2,OverDate,"&lt;"&amp;DATE(YEAR($AC50),MONTH($AC50)+1,1),OverEnd,"&gt;="&amp;DATE(YEAR($AC50),MONTH($AC50),1))&gt;0,SUMIFS(OverValue,OverEmp,$C50,OverEarn,I$2,OverDate,"&lt;"&amp;DATE(YEAR($AC50),MONTH($AC50)+1,1),OverEnd,"&gt;="&amp;DATE(YEAR($AC50),MONTH($AC50),1)),IF(MONTH(B50)=Setup!$C$15,SUMIFS(EmpBonus,EmpCode,$C50),0)))</f>
        <v>0</v>
      </c>
      <c r="J50" s="133" cm="1">
        <f t="array" aca="1" ref="J50" ca="1">IF($F50&lt;&gt;"Active",0,IF(COUNTIFS(OverEmp,$C50,OverEarn,J$2,OverDate,"&lt;"&amp;DATE(YEAR($AC50),MONTH($AC50)+1,1),OverEnd,"&gt;="&amp;DATE(YEAR($AC50),MONTH($AC50),1))&gt;0,SUMIFS(OverValue,OverEmp,$C50,OverEarn,J$2,OverDate,"&lt;"&amp;DATE(YEAR($AC50),MONTH($AC50)+1,1),OverEnd,"&gt;="&amp;DATE(YEAR($AC50),MONTH($AC50),1)),0))</f>
        <v>0</v>
      </c>
      <c r="K50" s="133" cm="1">
        <f t="array" aca="1" ref="K50" ca="1">IF($F50&lt;&gt;"Active",0,IF(COUNTIFS(OverEmp,$C50,OverEarn,K$2,OverDate,"&lt;"&amp;DATE(YEAR($AC50),MONTH($AC50)+1,1),OverEnd,"&gt;="&amp;DATE(YEAR($AC50),MONTH($AC50),1))&gt;0,SUMIFS(OverValue,OverEmp,$C50,OverEarn,K$2,OverDate,"&lt;"&amp;DATE(YEAR($AC50),MONTH($AC50)+1,1),OverEnd,"&gt;="&amp;DATE(YEAR($AC50),MONTH($AC50),1)),0))</f>
        <v>0</v>
      </c>
      <c r="L50" s="185">
        <f t="shared" ca="1" si="24"/>
        <v>0</v>
      </c>
      <c r="M50" s="182" cm="1">
        <f t="array" aca="1" ref="M50" ca="1">IF(COUNTIFS(OverEmp,$C50,OverTax,M$5,OverDate,"&lt;"&amp;DATE(YEAR($AC50),MONTH($AC50)+1,1),OverEnd,"&gt;="&amp;DATE(YEAR($AC50),MONTH($AC50),1))&gt;0,SUMIFS(OverValue,OverEmp,$C50,OverTax,M$5,OverDate,"&lt;"&amp;DATE(YEAR($AC50),MONTH($AC50)+1,1),OverEnd,"&gt;="&amp;DATE(YEAR($AC50),MONTH($AC50),1)),(($BA50/12*$AA50)+(BB50*IF(1-$BC50=0,0,BD50/(1-$BC50))))-IF($F50="Terminated",0,SUMIFS(PayTaxDeduct,PayDate,"&lt;"&amp;$AC50,PayEmp,$C50)))</f>
        <v>0</v>
      </c>
      <c r="N50" s="133" cm="1">
        <f t="array" aca="1" ref="N50" ca="1">IF($F50="Terminated",0,IF($AA50=0,0,IF(ISNA(MATCH(N$5,DedListItem,0)),0,IF(COUNTIFS(OverEmp,$C50,OverDeduct,N$5,OverDate,"&lt;"&amp;DATE(YEAR($AC50),MONTH($AC50)+1,1),OverEnd,"&gt;="&amp;DATE(YEAR($AC50),MONTH($AC50),1))&gt;0,SUMIFS(OverValue,OverEmp,$C50,OverDeduct,N$5,OverDate,"&lt;"&amp;DATE(YEAR($AC50),MONTH($AC50)+1,1),OverEnd,"&gt;="&amp;DATE(YEAR($AC50),MONTH($AC50),1)),IF(OR(N$2="Fixed",N$2="Not Used"),(IF(COUNTIFS(EmpNo,$C50,OFFSET(Emp!$R$4,1,MATCH(N$5,DedListItem,0)-1,EmpCount,1),"&lt;&gt;")&gt;0,VLOOKUP($C50,EmpAll,COLUMN(Emp!$R$4)+MATCH(N$5,DedListItem,0)-1,0),OFFSET(Setup!$E$73,MATCH(N$5,DedListItem,0),0,1,1))*$AA50)-SUMIFS(OFFSET(N$6,1,0,PayCount,1),PayDate,"&lt;"&amp;$AC50,PayEmp,$C50),IF(ISNA(MATCH(N$2,EarnListItem,0))=FALSE,IF(OFFSET(Setup!$G$73,MATCH(N$5,DedListItem,0),0,1,1)="Taxable",SUMPRODUCT((PayEmp=$C50)*(PayDate&lt;=$AC50)*(PayEarnCode=N$2)*(PayEarnTax)*(PayEarnValues)),SUMPRODUCT((PayEmp=$C50)*(PayDate&lt;=$AC50)*(PayEarnCode=N$2)*(PayEarnValues)))*IF(COUNTIFS(EmpNo,$C50,OFFSET(Emp!$R$4,1,MATCH(N$5,DedListItem,0)-1,EmpCount,1),"&lt;&gt;")&gt;0,VLOOKUP($C50,EmpAll,COLUMN(Emp!$R$4)+MATCH(N$5,DedListItem,0)-1,0),OFFSET(Setup!$E$73,MATCH(N$5,DedListItem,0),0,1,1)),(MIN(IF(OFFSET(Setup!$G$73,MATCH(N$5,DedListItem,0),0,1,1)="Taxable",SUMPRODUCT((PayEmp=$C50)*(PayDate&lt;=$AC50)*(ISERROR(SEARCH(PayEarnCode,N$4)))*(PayEarnTax)*(PayEarnValues)),SUMPRODUCT((PayEmp=$C50)*(PayDate&lt;=$AC50)*(ISERROR(SEARCH(PayEarnCode,N$4)))*(PayEarnValues))),IF(ISNUMBER(N$3),N$3/12*$AA50,IgnoreMin)))*IF(COUNTIFS(EmpNo,$C50,OFFSET(Emp!$R$4,1,MATCH(N$5,DedListItem,0)-1,EmpCount,1),"&lt;&gt;")&gt;0,VLOOKUP($C50,EmpAll,COLUMN(Emp!$R$4)+MATCH(N$5,DedListItem,0)-1,0),OFFSET(Setup!$E$73,MATCH(N$5,DedListItem,0),0,1,1)))-SUMIFS(OFFSET(N$6,1,0,PayCount,1),PayDate,"&lt;"&amp;$AC50,PayEmp,$C50))))))</f>
        <v>0</v>
      </c>
      <c r="O50" s="133" cm="1">
        <f t="array" aca="1" ref="O50" ca="1">IF($F50="Terminated",0,IF($AA50=0,0,IF(ISNA(MATCH(O$5,DedListItem,0)),0,IF(COUNTIFS(OverEmp,$C50,OverDeduct,O$5,OverDate,"&lt;"&amp;DATE(YEAR($AC50),MONTH($AC50)+1,1),OverEnd,"&gt;="&amp;DATE(YEAR($AC50),MONTH($AC50),1))&gt;0,SUMIFS(OverValue,OverEmp,$C50,OverDeduct,O$5,OverDate,"&lt;"&amp;DATE(YEAR($AC50),MONTH($AC50)+1,1),OverEnd,"&gt;="&amp;DATE(YEAR($AC50),MONTH($AC50),1)),IF(OR(O$2="Fixed",O$2="Not Used"),(IF(COUNTIFS(EmpNo,$C50,OFFSET(Emp!$R$4,1,MATCH(O$5,DedListItem,0)-1,EmpCount,1),"&lt;&gt;")&gt;0,VLOOKUP($C50,EmpAll,COLUMN(Emp!$R$4)+MATCH(O$5,DedListItem,0)-1,0),OFFSET(Setup!$E$73,MATCH(O$5,DedListItem,0),0,1,1))*$AA50)-SUMIFS(OFFSET(O$6,1,0,PayCount,1),PayDate,"&lt;"&amp;$AC50,PayEmp,$C50),IF(ISNA(MATCH(O$2,EarnListItem,0))=FALSE,IF(OFFSET(Setup!$G$73,MATCH(O$5,DedListItem,0),0,1,1)="Taxable",SUMPRODUCT((PayEmp=$C50)*(PayDate&lt;=$AC50)*(PayEarnCode=O$2)*(PayEarnTax)*(PayEarnValues)),SUMPRODUCT((PayEmp=$C50)*(PayDate&lt;=$AC50)*(PayEarnCode=O$2)*(PayEarnValues)))*IF(COUNTIFS(EmpNo,$C50,OFFSET(Emp!$R$4,1,MATCH(O$5,DedListItem,0)-1,EmpCount,1),"&lt;&gt;")&gt;0,VLOOKUP($C50,EmpAll,COLUMN(Emp!$R$4)+MATCH(O$5,DedListItem,0)-1,0),OFFSET(Setup!$E$73,MATCH(O$5,DedListItem,0),0,1,1)),(MIN(IF(OFFSET(Setup!$G$73,MATCH(O$5,DedListItem,0),0,1,1)="Taxable",SUMPRODUCT((PayEmp=$C50)*(PayDate&lt;=$AC50)*(ISERROR(SEARCH(PayEarnCode,O$4)))*(PayEarnTax)*(PayEarnValues)),SUMPRODUCT((PayEmp=$C50)*(PayDate&lt;=$AC50)*(ISERROR(SEARCH(PayEarnCode,O$4)))*(PayEarnValues))),IF(ISNUMBER(O$3),O$3/12*$AA50,IgnoreMin)))*IF(COUNTIFS(EmpNo,$C50,OFFSET(Emp!$R$4,1,MATCH(O$5,DedListItem,0)-1,EmpCount,1),"&lt;&gt;")&gt;0,VLOOKUP($C50,EmpAll,COLUMN(Emp!$R$4)+MATCH(O$5,DedListItem,0)-1,0),OFFSET(Setup!$E$73,MATCH(O$5,DedListItem,0),0,1,1)))-SUMIFS(OFFSET(O$6,1,0,PayCount,1),PayDate,"&lt;"&amp;$AC50,PayEmp,$C50))))))</f>
        <v>0</v>
      </c>
      <c r="P50" s="133" cm="1">
        <f t="array" aca="1" ref="P50" ca="1">IF($F50="Terminated",0,IF($AA50=0,0,IF(ISNA(MATCH(P$5,DedListItem,0)),0,IF(COUNTIFS(OverEmp,$C50,OverDeduct,P$5,OverDate,"&lt;"&amp;DATE(YEAR($AC50),MONTH($AC50)+1,1),OverEnd,"&gt;="&amp;DATE(YEAR($AC50),MONTH($AC50),1))&gt;0,SUMIFS(OverValue,OverEmp,$C50,OverDeduct,P$5,OverDate,"&lt;"&amp;DATE(YEAR($AC50),MONTH($AC50)+1,1),OverEnd,"&gt;="&amp;DATE(YEAR($AC50),MONTH($AC50),1)),IF(OR(P$2="Fixed",P$2="Not Used"),(IF(COUNTIFS(EmpNo,$C50,OFFSET(Emp!$R$4,1,MATCH(P$5,DedListItem,0)-1,EmpCount,1),"&lt;&gt;")&gt;0,VLOOKUP($C50,EmpAll,COLUMN(Emp!$R$4)+MATCH(P$5,DedListItem,0)-1,0),OFFSET(Setup!$E$73,MATCH(P$5,DedListItem,0),0,1,1))*$AA50)-SUMIFS(OFFSET(P$6,1,0,PayCount,1),PayDate,"&lt;"&amp;$AC50,PayEmp,$C50),IF(ISNA(MATCH(P$2,EarnListItem,0))=FALSE,IF(OFFSET(Setup!$G$73,MATCH(P$5,DedListItem,0),0,1,1)="Taxable",SUMPRODUCT((PayEmp=$C50)*(PayDate&lt;=$AC50)*(PayEarnCode=P$2)*(PayEarnTax)*(PayEarnValues)),SUMPRODUCT((PayEmp=$C50)*(PayDate&lt;=$AC50)*(PayEarnCode=P$2)*(PayEarnValues)))*IF(COUNTIFS(EmpNo,$C50,OFFSET(Emp!$R$4,1,MATCH(P$5,DedListItem,0)-1,EmpCount,1),"&lt;&gt;")&gt;0,VLOOKUP($C50,EmpAll,COLUMN(Emp!$R$4)+MATCH(P$5,DedListItem,0)-1,0),OFFSET(Setup!$E$73,MATCH(P$5,DedListItem,0),0,1,1)),(MIN(IF(OFFSET(Setup!$G$73,MATCH(P$5,DedListItem,0),0,1,1)="Taxable",SUMPRODUCT((PayEmp=$C50)*(PayDate&lt;=$AC50)*(ISERROR(SEARCH(PayEarnCode,P$4)))*(PayEarnTax)*(PayEarnValues)),SUMPRODUCT((PayEmp=$C50)*(PayDate&lt;=$AC50)*(ISERROR(SEARCH(PayEarnCode,P$4)))*(PayEarnValues))),IF(ISNUMBER(P$3),P$3/12*$AA50,IgnoreMin)))*IF(COUNTIFS(EmpNo,$C50,OFFSET(Emp!$R$4,1,MATCH(P$5,DedListItem,0)-1,EmpCount,1),"&lt;&gt;")&gt;0,VLOOKUP($C50,EmpAll,COLUMN(Emp!$R$4)+MATCH(P$5,DedListItem,0)-1,0),OFFSET(Setup!$E$73,MATCH(P$5,DedListItem,0),0,1,1)))-SUMIFS(OFFSET(P$6,1,0,PayCount,1),PayDate,"&lt;"&amp;$AC50,PayEmp,$C50))))))</f>
        <v>0</v>
      </c>
      <c r="Q50" s="133" cm="1">
        <f t="array" aca="1" ref="Q50" ca="1">IF($F50="Terminated",0,IF($AA50=0,0,IF(ISNA(MATCH(Q$5,DedListItem,0)),0,IF(COUNTIFS(OverEmp,$C50,OverDeduct,Q$5,OverDate,"&lt;"&amp;DATE(YEAR($AC50),MONTH($AC50)+1,1),OverEnd,"&gt;="&amp;DATE(YEAR($AC50),MONTH($AC50),1))&gt;0,SUMIFS(OverValue,OverEmp,$C50,OverDeduct,Q$5,OverDate,"&lt;"&amp;DATE(YEAR($AC50),MONTH($AC50)+1,1),OverEnd,"&gt;="&amp;DATE(YEAR($AC50),MONTH($AC50),1)),IF(OR(Q$2="Fixed",Q$2="Not Used"),(IF(COUNTIFS(EmpNo,$C50,OFFSET(Emp!$R$4,1,MATCH(Q$5,DedListItem,0)-1,EmpCount,1),"&lt;&gt;")&gt;0,VLOOKUP($C50,EmpAll,COLUMN(Emp!$R$4)+MATCH(Q$5,DedListItem,0)-1,0),OFFSET(Setup!$E$73,MATCH(Q$5,DedListItem,0),0,1,1))*$AA50)-SUMIFS(OFFSET(Q$6,1,0,PayCount,1),PayDate,"&lt;"&amp;$AC50,PayEmp,$C50),IF(ISNA(MATCH(Q$2,EarnListItem,0))=FALSE,IF(OFFSET(Setup!$G$73,MATCH(Q$5,DedListItem,0),0,1,1)="Taxable",SUMPRODUCT((PayEmp=$C50)*(PayDate&lt;=$AC50)*(PayEarnCode=Q$2)*(PayEarnTax)*(PayEarnValues)),SUMPRODUCT((PayEmp=$C50)*(PayDate&lt;=$AC50)*(PayEarnCode=Q$2)*(PayEarnValues)))*IF(COUNTIFS(EmpNo,$C50,OFFSET(Emp!$R$4,1,MATCH(Q$5,DedListItem,0)-1,EmpCount,1),"&lt;&gt;")&gt;0,VLOOKUP($C50,EmpAll,COLUMN(Emp!$R$4)+MATCH(Q$5,DedListItem,0)-1,0),OFFSET(Setup!$E$73,MATCH(Q$5,DedListItem,0),0,1,1)),(MIN(IF(OFFSET(Setup!$G$73,MATCH(Q$5,DedListItem,0),0,1,1)="Taxable",SUMPRODUCT((PayEmp=$C50)*(PayDate&lt;=$AC50)*(ISERROR(SEARCH(PayEarnCode,Q$4)))*(PayEarnTax)*(PayEarnValues)),SUMPRODUCT((PayEmp=$C50)*(PayDate&lt;=$AC50)*(ISERROR(SEARCH(PayEarnCode,Q$4)))*(PayEarnValues))),IF(ISNUMBER(Q$3),Q$3/12*$AA50,IgnoreMin)))*IF(COUNTIFS(EmpNo,$C50,OFFSET(Emp!$R$4,1,MATCH(Q$5,DedListItem,0)-1,EmpCount,1),"&lt;&gt;")&gt;0,VLOOKUP($C50,EmpAll,COLUMN(Emp!$R$4)+MATCH(Q$5,DedListItem,0)-1,0),OFFSET(Setup!$E$73,MATCH(Q$5,DedListItem,0),0,1,1)))-SUMIFS(OFFSET(Q$6,1,0,PayCount,1),PayDate,"&lt;"&amp;$AC50,PayEmp,$C50))))))</f>
        <v>0</v>
      </c>
      <c r="R50" s="185">
        <f t="shared" ca="1" si="25"/>
        <v>0</v>
      </c>
      <c r="S50" s="139">
        <f t="shared" ca="1" si="26"/>
        <v>0</v>
      </c>
      <c r="T50" s="133" cm="1">
        <f t="array" aca="1" ref="T50" ca="1">IF($F50="Terminated",0,IF($AA50=0,0,IF(ISNA(MATCH(T$5,CompListItem,0)),0,IF(COUNTIFS(OverEmp,$C50,OverComp,T$5,OverDate,"&lt;"&amp;DATE(YEAR($AC50),MONTH($AC50)+1,1),OverEnd,"&gt;="&amp;DATE(YEAR($AC50),MONTH($AC50),1))&gt;0,SUMIFS(OverValue,OverEmp,$C50,OverComp,T$5,OverDate,"&lt;"&amp;DATE(YEAR($AC50),MONTH($AC50)+1,1),OverEnd,"&gt;="&amp;DATE(YEAR($AC50),MONTH($AC50),1)),IF(OR(T$2="Fixed",T$2="Not Used"),(OFFSET(Setup!$E$81,MATCH(T$5,CompListItem,0),0,1,1)*$AA50)-SUMIFS(OFFSET(T$6,1,0,PayCount,1),PayDate,"&lt;"&amp;$AC50,PayEmp,$C50),IF(ISNA(MATCH(T$2,DedListItem,0))=FALSE,(SUMPRODUCT((PayEmp=$C50)*(PayDate&lt;=$AC50)*(PayDedList=T$2)*(PayDedValues))*OFFSET(Setup!$E$81,MATCH(T$5,CompListItem,0),0,1,1))-SUMIFS(OFFSET(T$6,1,0,PayCount,1),PayDate,"&lt;"&amp;$AC50,PayEmp,$C50),(MIN(IF(OFFSET(Setup!$G$81,MATCH(T$5,CompListItem,0),0,1,1)="Taxable",SUMPRODUCT((PayEmp=$C50)*(PayDate&lt;=$AC50)*(ISERROR(SEARCH(PayEarnCode,T$4)))*(PayEarnTax)*(PayEarnValues)),SUMPRODUCT((PayEmp=$C50)*(PayDate&lt;=$AC50)*(ISERROR(SEARCH(PayEarnCode,T$4)))*(PayEarnValues))),IF(ISNUMBER(T$3),T$3/12*$AA50,IgnoreMin)))*OFFSET(Setup!$E$81,MATCH(T$5,CompListItem,0),0,1,1)-SUMIFS(OFFSET(T$6,1,0,PayCount,1),PayDate,"&lt;"&amp;$AC50,PayEmp,$C50)))))))</f>
        <v>0</v>
      </c>
      <c r="U50" s="133" cm="1">
        <f t="array" aca="1" ref="U50" ca="1">IF($F50="Terminated",0,IF($AA50=0,0,IF(ISNA(MATCH(U$5,CompListItem,0)),0,IF(COUNTIFS(OverEmp,$C50,OverComp,U$5,OverDate,"&lt;"&amp;DATE(YEAR($AC50),MONTH($AC50)+1,1),OverEnd,"&gt;="&amp;DATE(YEAR($AC50),MONTH($AC50),1))&gt;0,SUMIFS(OverValue,OverEmp,$C50,OverComp,U$5,OverDate,"&lt;"&amp;DATE(YEAR($AC50),MONTH($AC50)+1,1),OverEnd,"&gt;="&amp;DATE(YEAR($AC50),MONTH($AC50),1)),IF(OR(U$2="Fixed",U$2="Not Used"),(OFFSET(Setup!$E$81,MATCH(U$5,CompListItem,0),0,1,1)*$AA50)-SUMIFS(OFFSET(U$6,1,0,PayCount,1),PayDate,"&lt;"&amp;$AC50,PayEmp,$C50),IF(ISNA(MATCH(U$2,DedListItem,0))=FALSE,(SUMPRODUCT((PayEmp=$C50)*(PayDate&lt;=$AC50)*(PayDedList=U$2)*(PayDedValues))*OFFSET(Setup!$E$81,MATCH(U$5,CompListItem,0),0,1,1))-SUMIFS(OFFSET(U$6,1,0,PayCount,1),PayDate,"&lt;"&amp;$AC50,PayEmp,$C50),(MIN(IF(OFFSET(Setup!$G$81,MATCH(U$5,CompListItem,0),0,1,1)="Taxable",SUMPRODUCT((PayEmp=$C50)*(PayDate&lt;=$AC50)*(ISERROR(SEARCH(PayEarnCode,U$4)))*(PayEarnTax)*(PayEarnValues)),SUMPRODUCT((PayEmp=$C50)*(PayDate&lt;=$AC50)*(ISERROR(SEARCH(PayEarnCode,U$4)))*(PayEarnValues))),IF(ISNUMBER(U$3),U$3/12*$AA50,IgnoreMin)))*OFFSET(Setup!$E$81,MATCH(U$5,CompListItem,0),0,1,1)-SUMIFS(OFFSET(U$6,1,0,PayCount,1),PayDate,"&lt;"&amp;$AC50,PayEmp,$C50)))))))</f>
        <v>0</v>
      </c>
      <c r="V50" s="133" cm="1">
        <f t="array" aca="1" ref="V50" ca="1">IF($F50="Terminated",0,IF($AA50=0,0,IF(ISNA(MATCH(V$5,CompListItem,0)),0,IF(COUNTIFS(OverEmp,$C50,OverComp,V$5,OverDate,"&lt;"&amp;DATE(YEAR($AC50),MONTH($AC50)+1,1),OverEnd,"&gt;="&amp;DATE(YEAR($AC50),MONTH($AC50),1))&gt;0,SUMIFS(OverValue,OverEmp,$C50,OverComp,V$5,OverDate,"&lt;"&amp;DATE(YEAR($AC50),MONTH($AC50)+1,1),OverEnd,"&gt;="&amp;DATE(YEAR($AC50),MONTH($AC50),1)),IF(OR(V$2="Fixed",V$2="Not Used"),(OFFSET(Setup!$E$81,MATCH(V$5,CompListItem,0),0,1,1)*$AA50)-SUMIFS(OFFSET(V$6,1,0,PayCount,1),PayDate,"&lt;"&amp;$AC50,PayEmp,$C50),IF(ISNA(MATCH(V$2,DedListItem,0))=FALSE,(SUMPRODUCT((PayEmp=$C50)*(PayDate&lt;=$AC50)*(PayDedList=V$2)*(PayDedValues))*OFFSET(Setup!$E$81,MATCH(V$5,CompListItem,0),0,1,1))-SUMIFS(OFFSET(V$6,1,0,PayCount,1),PayDate,"&lt;"&amp;$AC50,PayEmp,$C50),(MIN(IF(OFFSET(Setup!$G$81,MATCH(V$5,CompListItem,0),0,1,1)="Taxable",SUMPRODUCT((PayEmp=$C50)*(PayDate&lt;=$AC50)*(ISERROR(SEARCH(PayEarnCode,V$4)))*(PayEarnTax)*(PayEarnValues)),SUMPRODUCT((PayEmp=$C50)*(PayDate&lt;=$AC50)*(ISERROR(SEARCH(PayEarnCode,V$4)))*(PayEarnValues))),IF(ISNUMBER(V$3),V$3/12*$AA50,IgnoreMin)))*OFFSET(Setup!$E$81,MATCH(V$5,CompListItem,0),0,1,1)-SUMIFS(OFFSET(V$6,1,0,PayCount,1),PayDate,"&lt;"&amp;$AC50,PayEmp,$C50)))))))</f>
        <v>0</v>
      </c>
      <c r="W50" s="133" cm="1">
        <f t="array" aca="1" ref="W50" ca="1">IF($F50="Terminated",0,IF($AA50=0,0,IF(ISNA(MATCH(W$5,CompListItem,0)),0,IF(COUNTIFS(OverEmp,$C50,OverComp,W$5,OverDate,"&lt;"&amp;DATE(YEAR($AC50),MONTH($AC50)+1,1),OverEnd,"&gt;="&amp;DATE(YEAR($AC50),MONTH($AC50),1))&gt;0,SUMIFS(OverValue,OverEmp,$C50,OverComp,W$5,OverDate,"&lt;"&amp;DATE(YEAR($AC50),MONTH($AC50)+1,1),OverEnd,"&gt;="&amp;DATE(YEAR($AC50),MONTH($AC50),1)),IF(OR(W$2="Fixed",W$2="Not Used"),(OFFSET(Setup!$E$81,MATCH(W$5,CompListItem,0),0,1,1)*$AA50)-SUMIFS(OFFSET(W$6,1,0,PayCount,1),PayDate,"&lt;"&amp;$AC50,PayEmp,$C50),IF(ISNA(MATCH(W$2,DedListItem,0))=FALSE,(SUMPRODUCT((PayEmp=$C50)*(PayDate&lt;=$AC50)*(PayDedList=W$2)*(PayDedValues))*OFFSET(Setup!$E$81,MATCH(W$5,CompListItem,0),0,1,1))-SUMIFS(OFFSET(W$6,1,0,PayCount,1),PayDate,"&lt;"&amp;$AC50,PayEmp,$C50),(MIN(IF(OFFSET(Setup!$G$81,MATCH(W$5,CompListItem,0),0,1,1)="Taxable",SUMPRODUCT((PayEmp=$C50)*(PayDate&lt;=$AC50)*(ISERROR(SEARCH(PayEarnCode,W$4)))*(PayEarnTax)*(PayEarnValues)),SUMPRODUCT((PayEmp=$C50)*(PayDate&lt;=$AC50)*(ISERROR(SEARCH(PayEarnCode,W$4)))*(PayEarnValues))),IF(ISNUMBER(W$3),W$3/12*$AA50,IgnoreMin)))*OFFSET(Setup!$E$81,MATCH(W$5,CompListItem,0),0,1,1)-SUMIFS(OFFSET(W$6,1,0,PayCount,1),PayDate,"&lt;"&amp;$AC50,PayEmp,$C50)))))))</f>
        <v>0</v>
      </c>
      <c r="X50" s="185">
        <f t="shared" ca="1" si="18"/>
        <v>0</v>
      </c>
      <c r="Y50" s="139">
        <f t="shared" ca="1" si="27"/>
        <v>0</v>
      </c>
      <c r="Z50" s="139">
        <f t="shared" ca="1" si="19"/>
        <v>0</v>
      </c>
      <c r="AA50" s="146">
        <f ca="1">IF(OR($B50&lt;=Setup!$E$12,$B50&gt;=Setup!$D$12+1),0,IF($F50&lt;&gt;"Active",0,IF($AE50="Yes",$AB50,((YEAR($AC50)*12)+MONTH($AC50))-((YEAR($AD50)*12)+MONTH($AD50)-1))))</f>
        <v>0</v>
      </c>
      <c r="AB50" s="146">
        <f ca="1">IF(OR($B50&lt;=Setup!$E$12,$B50&gt;=Setup!$D$12+1),0,((YEAR($AC50)*12)+MONTH($AC50))-((YEAR(Setup!$E$12)*12)+MONTH(Setup!$E$12)))</f>
        <v>3</v>
      </c>
      <c r="AC50" s="186">
        <f t="shared" ca="1" si="20"/>
        <v>45071</v>
      </c>
      <c r="AD50" s="144">
        <f ca="1">IF(ISNA(VLOOKUP($C50,EmpAll,COLUMN(Emp!$E$4),0)),$AC50,IF(VLOOKUP($C50,EmpAll,COLUMN(Emp!$E$4),0)&lt;=Setup!$E$12,DATE(YEAR(Setup!$E$12),MONTH(Setup!$E$12)+1,1),VLOOKUP($C50,EmpAll,COLUMN(Emp!$E$4),0)))</f>
        <v>45102</v>
      </c>
      <c r="AE50" s="144" t="str">
        <f ca="1">IF(ISNA(VLOOKUP($C50,EmpAll,COLUMN(Emp!$G$1),0)),"-",IF(VLOOKUP($C50,EmpAll,COLUMN(Emp!$G$1),0)=0,"-",VLOOKUP($C50,EmpAll,COLUMN(Emp!$G$1),0)))</f>
        <v>-</v>
      </c>
      <c r="AF50" s="145">
        <f ca="1">IF(A50=PaySlip!$G$3,1,0)</f>
        <v>0</v>
      </c>
      <c r="AG50" s="130" cm="1">
        <f t="array" aca="1" ref="AG50" ca="1">IF(COUNTIFS(OverEmp,$C50,OverMed,"MED",OverDate,"&lt;"&amp;DATE(YEAR($AC50),MONTH($AC50)+1,1),OverEnd,"&gt;="&amp;DATE(YEAR($AC50),MONTH($AC50),1))&gt;0,SUMIFS(OverValue,OverEmp,$C50,OverMed,"MED",OverDate,"&lt;"&amp;DATE(YEAR($AC50),MONTH($AC50)+1,1),OverEnd,"&gt;="&amp;DATE(YEAR($AC50),MONTH($AC50),1)),IF(ISNA(VLOOKUP($C50,EmpAll,COLUMN(Emp!$N$4),0)),0,VLOOKUP($C50,EmpAll,COLUMN(Emp!$N$4),0)))</f>
        <v>0</v>
      </c>
      <c r="AH50" s="146">
        <f ca="1">VLOOKUP($AG50,MedList,COLUMN(Setup!$C$49),1)</f>
        <v>0</v>
      </c>
      <c r="AI50" s="146">
        <f t="shared" ca="1" si="7"/>
        <v>0</v>
      </c>
      <c r="AJ50" s="101" t="str">
        <f ca="1">IF(ISNA(VLOOKUP($C50,EmpAll,COLUMN(Emp!$L$4),0)),"None!",VLOOKUP($C50,EmpAll,COLUMN(Emp!$L$4),0))</f>
        <v>A</v>
      </c>
      <c r="AK50" s="147">
        <f t="shared" ca="1" si="21"/>
        <v>17235</v>
      </c>
      <c r="AL50" s="101" t="str">
        <f ca="1">IF(ISNA(VLOOKUP($C50,Employees[],COLUMN(Emp!$M$4),0))=TRUE,"Error!",IF(VLOOKUP($C50,Employees[],COLUMN(Emp!$M$4),0)=0,"Yes",VLOOKUP($C50,Employees[],COLUMN(Emp!$M$4),0)))</f>
        <v>A</v>
      </c>
      <c r="AM50" s="148">
        <f t="shared" ca="1" si="9"/>
        <v>0</v>
      </c>
      <c r="AN50" s="148" cm="1">
        <f t="array" aca="1" ref="AN50" ca="1">-IF($F50="Terminated",0,IF($AA50=0,0,IF(ISNA(MATCH(AN$5,PayDedList,0)),0,MIN(IF(COUNTIFS(OverEmp,$C50,OverDeduct,AN$5,OverDate,"&lt;"&amp;DATE(YEAR($AC50),MONTH($AC50)+1,1),OverEnd,"&gt;="&amp;DATE(YEAR($AC50),MONTH($AC50),1))&gt;0,SUMPRODUCT((PayEmp=$C50)*(PayDate&lt;=$AC50)*(OFFSET($N$6,1,MATCH(AN$5,PayDedList,0)-1,PayCount,1)))/$AA50*12*AN$3,IF(OR(AN$1="Fixed",AN$1="Not Used"),SUMPRODUCT((PayEmp=$C50)*(PayDate&lt;=$AC50)*(OFFSET($N$6,1,MATCH(AN$5,PayDedList,0)-1,PayCount,1)))/$AA50*12*AN$3,IF(ISNA(MATCH(AN$1,EarnListItem,0))=FALSE,SUMPRODUCT((PayEmp=$C50)*(PayDate&lt;=$AC50)*(OFFSET($N$6,1,MATCH(AN$5,PayDedList,0)-1,PayCount,1)))/$AA50*12*AN$3,(MIN(((SUMPRODUCT((PayEmp=$C50)*(PayDate&lt;=$AC50)*(ISERROR(SEARCH(PayEarnCode,AN$2)))*(PayEarnType="Monthly")*(PayEarnValues))/$AA50*12)+(SUMPRODUCT((PayEmp=$C50)*(PayDate&lt;=$AC50)*(ISERROR(SEARCH(PayEarnCode,AN$2)))*(PayEarnType="Quarterly")*(PayEarnValues))/MAX(1,ROUNDDOWN($AB50/3,0))*4)+(SUMPRODUCT((PayEmp=$C50)*(PayDate&lt;=$AC50)*(ISERROR(SEARCH(PayEarnCode,AN$2)))*(PayEarnType="Bi-Annual")*(PayEarnValues))/MAX(1,ROUNDDOWN($AB50/6,0))*2)+(SUMPRODUCT((PayEmp=$C50)*(PayDate&lt;=$AC50)*(ISERROR(SEARCH(PayEarnCode,AN$2)))*(PayEarnType="Annual")*(PayEarnValues)))),IF(ISNUMBER(OFFSET($N$3,0,MATCH(AN$5,PayDedList,0)-1,1,1)),OFFSET($N$3,0,MATCH(AN$5,PayDedList,0)-1,1,1),IgnoreMin)))*IF(COUNTIFS(EmpNo,$C50,OFFSET(Emp!$R$4,1,MATCH(AN$5,DedListItem,0)-1,EmpCount,1),"&lt;&gt;")&gt;0,VLOOKUP($C50,EmpAll,COLUMN(Emp!$R$4)+MATCH(AN$5,DedListItem,0)-1,0),OFFSET(Setup!$E$73,MATCH(AN$5,DedListItem,0),0,1,1))*AN$3))),IF(ISNUMBER(AN$4),AN$4,IgnoreMin)))))</f>
        <v>0</v>
      </c>
      <c r="AO50" s="148" cm="1">
        <f t="array" aca="1" ref="AO50" ca="1">-IF($F50="Terminated",0,IF($AA50=0,0,IF(ISNA(MATCH(AO$5,PayDedList,0)),0,MIN(IF(COUNTIFS(OverEmp,$C50,OverDeduct,AO$5,OverDate,"&lt;"&amp;DATE(YEAR($AC50),MONTH($AC50)+1,1),OverEnd,"&gt;="&amp;DATE(YEAR($AC50),MONTH($AC50),1))&gt;0,SUMPRODUCT((PayEmp=$C50)*(PayDate&lt;=$AC50)*(OFFSET($N$6,1,MATCH(AO$5,PayDedList,0)-1,PayCount,1)))/$AA50*12*AO$3,IF(OR(AO$1="Fixed",AO$1="Not Used"),SUMPRODUCT((PayEmp=$C50)*(PayDate&lt;=$AC50)*(OFFSET($N$6,1,MATCH(AO$5,PayDedList,0)-1,PayCount,1)))/$AA50*12*AO$3,IF(ISNA(MATCH(AO$1,EarnListItem,0))=FALSE,SUMPRODUCT((PayEmp=$C50)*(PayDate&lt;=$AC50)*(OFFSET($N$6,1,MATCH(AO$5,PayDedList,0)-1,PayCount,1)))/$AA50*12*AO$3,(MIN(((SUMPRODUCT((PayEmp=$C50)*(PayDate&lt;=$AC50)*(ISERROR(SEARCH(PayEarnCode,AO$2)))*(PayEarnType="Monthly")*(PayEarnValues))/$AA50*12)+(SUMPRODUCT((PayEmp=$C50)*(PayDate&lt;=$AC50)*(ISERROR(SEARCH(PayEarnCode,AO$2)))*(PayEarnType="Quarterly")*(PayEarnValues))/MAX(1,ROUNDDOWN($AB50/3,0))*4)+(SUMPRODUCT((PayEmp=$C50)*(PayDate&lt;=$AC50)*(ISERROR(SEARCH(PayEarnCode,AO$2)))*(PayEarnType="Bi-Annual")*(PayEarnValues))/MAX(1,ROUNDDOWN($AB50/6,0))*2)+(SUMPRODUCT((PayEmp=$C50)*(PayDate&lt;=$AC50)*(ISERROR(SEARCH(PayEarnCode,AO$2)))*(PayEarnType="Annual")*(PayEarnValues)))),IF(ISNUMBER(OFFSET($N$3,0,MATCH(AO$5,PayDedList,0)-1,1,1)),OFFSET($N$3,0,MATCH(AO$5,PayDedList,0)-1,1,1),IgnoreMin)))*IF(COUNTIFS(EmpNo,$C50,OFFSET(Emp!$R$4,1,MATCH(AO$5,DedListItem,0)-1,EmpCount,1),"&lt;&gt;")&gt;0,VLOOKUP($C50,EmpAll,COLUMN(Emp!$R$4)+MATCH(AO$5,DedListItem,0)-1,0),OFFSET(Setup!$E$73,MATCH(AO$5,DedListItem,0),0,1,1))*AO$3))),IF(ISNUMBER(AO$4),AO$4,IgnoreMin)))))</f>
        <v>0</v>
      </c>
      <c r="AP50" s="148" cm="1">
        <f t="array" aca="1" ref="AP50" ca="1">-IF($F50="Terminated",0,IF($AA50=0,0,IF(ISNA(MATCH(AP$5,PayDedList,0)),0,MIN(IF(COUNTIFS(OverEmp,$C50,OverDeduct,AP$5,OverDate,"&lt;"&amp;DATE(YEAR($AC50),MONTH($AC50)+1,1),OverEnd,"&gt;="&amp;DATE(YEAR($AC50),MONTH($AC50),1))&gt;0,SUMPRODUCT((PayEmp=$C50)*(PayDate&lt;=$AC50)*(OFFSET($N$6,1,MATCH(AP$5,PayDedList,0)-1,PayCount,1)))/$AA50*12*AP$3,IF(OR(AP$1="Fixed",AP$1="Not Used"),SUMPRODUCT((PayEmp=$C50)*(PayDate&lt;=$AC50)*(OFFSET($N$6,1,MATCH(AP$5,PayDedList,0)-1,PayCount,1)))/$AA50*12*AP$3,IF(ISNA(MATCH(AP$1,EarnListItem,0))=FALSE,SUMPRODUCT((PayEmp=$C50)*(PayDate&lt;=$AC50)*(OFFSET($N$6,1,MATCH(AP$5,PayDedList,0)-1,PayCount,1)))/$AA50*12*AP$3,(MIN(((SUMPRODUCT((PayEmp=$C50)*(PayDate&lt;=$AC50)*(ISERROR(SEARCH(PayEarnCode,AP$2)))*(PayEarnType="Monthly")*(PayEarnValues))/$AA50*12)+(SUMPRODUCT((PayEmp=$C50)*(PayDate&lt;=$AC50)*(ISERROR(SEARCH(PayEarnCode,AP$2)))*(PayEarnType="Quarterly")*(PayEarnValues))/MAX(1,ROUNDDOWN($AB50/3,0))*4)+(SUMPRODUCT((PayEmp=$C50)*(PayDate&lt;=$AC50)*(ISERROR(SEARCH(PayEarnCode,AP$2)))*(PayEarnType="Bi-Annual")*(PayEarnValues))/MAX(1,ROUNDDOWN($AB50/6,0))*2)+(SUMPRODUCT((PayEmp=$C50)*(PayDate&lt;=$AC50)*(ISERROR(SEARCH(PayEarnCode,AP$2)))*(PayEarnType="Annual")*(PayEarnValues)))),IF(ISNUMBER(OFFSET($N$3,0,MATCH(AP$5,PayDedList,0)-1,1,1)),OFFSET($N$3,0,MATCH(AP$5,PayDedList,0)-1,1,1),IgnoreMin)))*IF(COUNTIFS(EmpNo,$C50,OFFSET(Emp!$R$4,1,MATCH(AP$5,DedListItem,0)-1,EmpCount,1),"&lt;&gt;")&gt;0,VLOOKUP($C50,EmpAll,COLUMN(Emp!$R$4)+MATCH(AP$5,DedListItem,0)-1,0),OFFSET(Setup!$E$73,MATCH(AP$5,DedListItem,0),0,1,1))*AP$3))),IF(ISNUMBER(AP$4),AP$4,IgnoreMin)))))</f>
        <v>0</v>
      </c>
      <c r="AQ50" s="148" cm="1">
        <f t="array" aca="1" ref="AQ50" ca="1">-IF($F50="Terminated",0,IF($AA50=0,0,IF(ISNA(MATCH(AQ$5,PayDedList,0)),0,MIN(IF(COUNTIFS(OverEmp,$C50,OverDeduct,AQ$5,OverDate,"&lt;"&amp;DATE(YEAR($AC50),MONTH($AC50)+1,1),OverEnd,"&gt;="&amp;DATE(YEAR($AC50),MONTH($AC50),1))&gt;0,SUMPRODUCT((PayEmp=$C50)*(PayDate&lt;=$AC50)*(OFFSET($N$6,1,MATCH(AQ$5,PayDedList,0)-1,PayCount,1)))/$AA50*12*AQ$3,IF(OR(AQ$1="Fixed",AQ$1="Not Used"),SUMPRODUCT((PayEmp=$C50)*(PayDate&lt;=$AC50)*(OFFSET($N$6,1,MATCH(AQ$5,PayDedList,0)-1,PayCount,1)))/$AA50*12*AQ$3,IF(ISNA(MATCH(AQ$1,EarnListItem,0))=FALSE,SUMPRODUCT((PayEmp=$C50)*(PayDate&lt;=$AC50)*(OFFSET($N$6,1,MATCH(AQ$5,PayDedList,0)-1,PayCount,1)))/$AA50*12*AQ$3,(MIN(((SUMPRODUCT((PayEmp=$C50)*(PayDate&lt;=$AC50)*(ISERROR(SEARCH(PayEarnCode,AQ$2)))*(PayEarnType="Monthly")*(PayEarnValues))/$AA50*12)+(SUMPRODUCT((PayEmp=$C50)*(PayDate&lt;=$AC50)*(ISERROR(SEARCH(PayEarnCode,AQ$2)))*(PayEarnType="Quarterly")*(PayEarnValues))/MAX(1,ROUNDDOWN($AB50/3,0))*4)+(SUMPRODUCT((PayEmp=$C50)*(PayDate&lt;=$AC50)*(ISERROR(SEARCH(PayEarnCode,AQ$2)))*(PayEarnType="Bi-Annual")*(PayEarnValues))/MAX(1,ROUNDDOWN($AB50/6,0))*2)+(SUMPRODUCT((PayEmp=$C50)*(PayDate&lt;=$AC50)*(ISERROR(SEARCH(PayEarnCode,AQ$2)))*(PayEarnType="Annual")*(PayEarnValues)))),IF(ISNUMBER(OFFSET($N$3,0,MATCH(AQ$5,PayDedList,0)-1,1,1)),OFFSET($N$3,0,MATCH(AQ$5,PayDedList,0)-1,1,1),IgnoreMin)))*IF(COUNTIFS(EmpNo,$C50,OFFSET(Emp!$R$4,1,MATCH(AQ$5,DedListItem,0)-1,EmpCount,1),"&lt;&gt;")&gt;0,VLOOKUP($C50,EmpAll,COLUMN(Emp!$R$4)+MATCH(AQ$5,DedListItem,0)-1,0),OFFSET(Setup!$E$73,MATCH(AQ$5,DedListItem,0),0,1,1))*AQ$3))),IF(ISNUMBER(AQ$4),AQ$4,IgnoreMin)))))</f>
        <v>0</v>
      </c>
      <c r="AR50" s="148">
        <f t="shared" ca="1" si="22"/>
        <v>0</v>
      </c>
      <c r="AS50" s="148">
        <f t="shared" ca="1" si="11"/>
        <v>0</v>
      </c>
      <c r="AT50" s="148" cm="1">
        <f t="array" aca="1" ref="AT50" ca="1">-IF($F50="Terminated",0,IF($AA50=0,0,IF(ISNA(MATCH(AT$5,PayDedList,0)),0,MIN(IF(COUNTIFS(OverEmp,$C50,OverDeduct,AT$5,OverDate,"&lt;"&amp;DATE(YEAR($AC50),MONTH($AC50)+1,1),OverEnd,"&gt;="&amp;DATE(YEAR($AC50),MONTH($AC50),1))&gt;0,SUMPRODUCT((PayEmp=$C50)*(PayDate&lt;=$AC50)*(OFFSET($N$6,1,MATCH(AT$5,PayDedList,0)-1,PayCount,1)))/$AA50*12*AT$3,IF(OR(AT$1="Fixed",AT$1="Not Used"),SUMPRODUCT((PayEmp=$C50)*(PayDate&lt;=$AC50)*(OFFSET($N$6,1,MATCH(AT$5,PayDedList,0)-1,PayCount,1)))/$AA50*12*AT$3,IF(ISNA(MATCH(OFFSET($N$2,0,MATCH(AT$5,PayDedList,0)-1,1,1),EarnListItem,0))=FALSE,SUMPRODUCT((PayEmp=$C50)*(PayDate&lt;=$AC50)*(OFFSET($N$6,1,MATCH(AT$5,PayDedList,0)-1,PayCount,1)))/$AA50*12*AT$3,(MIN(SUMPRODUCT((PayEmp=$C50)*(PayDate&lt;=$AC50)*(ISERROR(SEARCH(PayEarnCode,AT$2)))*(PayEarnType="Monthly")*(PayEarnValues))/$AA50*12,IF(ISNUMBER(OFFSET($N$3,0,MATCH(AT$5,PayDedList,0)-1,1,1)),OFFSET($N$3,0,MATCH(AT$5,PayDedList,0)-1,1,1),IgnoreMin)))*IF(COUNTIFS(EmpNo,$C50,OFFSET(Emp!$R$4,1,MATCH(AT$5,DedListItem,0)-1,EmpCount,1),"&lt;&gt;")&gt;0,VLOOKUP($C50,EmpAll,COLUMN(Emp!$R$4)+MATCH(AT$5,DedListItem,0)-1,0),OFFSET(Setup!$E$73,MATCH(AT$5,DedListItem,0),0,1,1))*AT$3))),IF(ISNUMBER(AT$4),AT$4,IgnoreMin)))))</f>
        <v>0</v>
      </c>
      <c r="AU50" s="148" cm="1">
        <f t="array" aca="1" ref="AU50" ca="1">-IF($F50="Terminated",0,IF($AA50=0,0,IF(ISNA(MATCH(AU$5,PayDedList,0)),0,MIN(IF(COUNTIFS(OverEmp,$C50,OverDeduct,AU$5,OverDate,"&lt;"&amp;DATE(YEAR($AC50),MONTH($AC50)+1,1),OverEnd,"&gt;="&amp;DATE(YEAR($AC50),MONTH($AC50),1))&gt;0,SUMPRODUCT((PayEmp=$C50)*(PayDate&lt;=$AC50)*(OFFSET($N$6,1,MATCH(AU$5,PayDedList,0)-1,PayCount,1)))/$AA50*12*AU$3,IF(OR(AU$1="Fixed",AU$1="Not Used"),SUMPRODUCT((PayEmp=$C50)*(PayDate&lt;=$AC50)*(OFFSET($N$6,1,MATCH(AU$5,PayDedList,0)-1,PayCount,1)))/$AA50*12*AU$3,IF(ISNA(MATCH(OFFSET($N$2,0,MATCH(AU$5,PayDedList,0)-1,1,1),EarnListItem,0))=FALSE,SUMPRODUCT((PayEmp=$C50)*(PayDate&lt;=$AC50)*(OFFSET($N$6,1,MATCH(AU$5,PayDedList,0)-1,PayCount,1)))/$AA50*12*AU$3,(MIN(SUMPRODUCT((PayEmp=$C50)*(PayDate&lt;=$AC50)*(ISERROR(SEARCH(PayEarnCode,AU$2)))*(PayEarnType="Monthly")*(PayEarnValues))/$AA50*12,IF(ISNUMBER(OFFSET($N$3,0,MATCH(AU$5,PayDedList,0)-1,1,1)),OFFSET($N$3,0,MATCH(AU$5,PayDedList,0)-1,1,1),IgnoreMin)))*IF(COUNTIFS(EmpNo,$C50,OFFSET(Emp!$R$4,1,MATCH(AU$5,DedListItem,0)-1,EmpCount,1),"&lt;&gt;")&gt;0,VLOOKUP($C50,EmpAll,COLUMN(Emp!$R$4)+MATCH(AU$5,DedListItem,0)-1,0),OFFSET(Setup!$E$73,MATCH(AU$5,DedListItem,0),0,1,1))*AU$3))),IF(ISNUMBER(AU$4),AU$4,IgnoreMin)))))</f>
        <v>0</v>
      </c>
      <c r="AV50" s="148" cm="1">
        <f t="array" aca="1" ref="AV50" ca="1">-IF($F50="Terminated",0,IF($AA50=0,0,IF(ISNA(MATCH(AV$5,PayDedList,0)),0,MIN(IF(COUNTIFS(OverEmp,$C50,OverDeduct,AV$5,OverDate,"&lt;"&amp;DATE(YEAR($AC50),MONTH($AC50)+1,1),OverEnd,"&gt;="&amp;DATE(YEAR($AC50),MONTH($AC50),1))&gt;0,SUMPRODUCT((PayEmp=$C50)*(PayDate&lt;=$AC50)*(OFFSET($N$6,1,MATCH(AV$5,PayDedList,0)-1,PayCount,1)))/$AA50*12*AV$3,IF(OR(AV$1="Fixed",AV$1="Not Used"),SUMPRODUCT((PayEmp=$C50)*(PayDate&lt;=$AC50)*(OFFSET($N$6,1,MATCH(AV$5,PayDedList,0)-1,PayCount,1)))/$AA50*12*AV$3,IF(ISNA(MATCH(OFFSET($N$2,0,MATCH(AV$5,PayDedList,0)-1,1,1),EarnListItem,0))=FALSE,SUMPRODUCT((PayEmp=$C50)*(PayDate&lt;=$AC50)*(OFFSET($N$6,1,MATCH(AV$5,PayDedList,0)-1,PayCount,1)))/$AA50*12*AV$3,(MIN(SUMPRODUCT((PayEmp=$C50)*(PayDate&lt;=$AC50)*(ISERROR(SEARCH(PayEarnCode,AV$2)))*(PayEarnType="Monthly")*(PayEarnValues))/$AA50*12,IF(ISNUMBER(OFFSET($N$3,0,MATCH(AV$5,PayDedList,0)-1,1,1)),OFFSET($N$3,0,MATCH(AV$5,PayDedList,0)-1,1,1),IgnoreMin)))*IF(COUNTIFS(EmpNo,$C50,OFFSET(Emp!$R$4,1,MATCH(AV$5,DedListItem,0)-1,EmpCount,1),"&lt;&gt;")&gt;0,VLOOKUP($C50,EmpAll,COLUMN(Emp!$R$4)+MATCH(AV$5,DedListItem,0)-1,0),OFFSET(Setup!$E$73,MATCH(AV$5,DedListItem,0),0,1,1))*AV$3))),IF(ISNUMBER(AV$4),AV$4,IgnoreMin)))))</f>
        <v>0</v>
      </c>
      <c r="AW50" s="148" cm="1">
        <f t="array" aca="1" ref="AW50" ca="1">-IF($F50="Terminated",0,IF($AA50=0,0,IF(ISNA(MATCH(AW$5,PayDedList,0)),0,MIN(IF(COUNTIFS(OverEmp,$C50,OverDeduct,AW$5,OverDate,"&lt;"&amp;DATE(YEAR($AC50),MONTH($AC50)+1,1),OverEnd,"&gt;="&amp;DATE(YEAR($AC50),MONTH($AC50),1))&gt;0,SUMPRODUCT((PayEmp=$C50)*(PayDate&lt;=$AC50)*(OFFSET($N$6,1,MATCH(AW$5,PayDedList,0)-1,PayCount,1)))/$AA50*12*AW$3,IF(OR(AW$1="Fixed",AW$1="Not Used"),SUMPRODUCT((PayEmp=$C50)*(PayDate&lt;=$AC50)*(OFFSET($N$6,1,MATCH(AW$5,PayDedList,0)-1,PayCount,1)))/$AA50*12*AW$3,IF(ISNA(MATCH(OFFSET($N$2,0,MATCH(AW$5,PayDedList,0)-1,1,1),EarnListItem,0))=FALSE,SUMPRODUCT((PayEmp=$C50)*(PayDate&lt;=$AC50)*(OFFSET($N$6,1,MATCH(AW$5,PayDedList,0)-1,PayCount,1)))/$AA50*12*AW$3,(MIN(SUMPRODUCT((PayEmp=$C50)*(PayDate&lt;=$AC50)*(ISERROR(SEARCH(PayEarnCode,AW$2)))*(PayEarnType="Monthly")*(PayEarnValues))/$AA50*12,IF(ISNUMBER(OFFSET($N$3,0,MATCH(AW$5,PayDedList,0)-1,1,1)),OFFSET($N$3,0,MATCH(AW$5,PayDedList,0)-1,1,1),IgnoreMin)))*IF(COUNTIFS(EmpNo,$C50,OFFSET(Emp!$R$4,1,MATCH(AW$5,DedListItem,0)-1,EmpCount,1),"&lt;&gt;")&gt;0,VLOOKUP($C50,EmpAll,COLUMN(Emp!$R$4)+MATCH(AW$5,DedListItem,0)-1,0),OFFSET(Setup!$E$73,MATCH(AW$5,DedListItem,0),0,1,1))*AW$3))),IF(ISNUMBER(AW$4),AW$4,IgnoreMin)))))</f>
        <v>0</v>
      </c>
      <c r="AX50" s="148">
        <f t="shared" ca="1" si="28"/>
        <v>0</v>
      </c>
      <c r="AY50" s="148">
        <f t="shared" ca="1" si="29"/>
        <v>0</v>
      </c>
      <c r="AZ50" s="148">
        <f ca="1">IF(ISNUMBER($AL50),($AR50*$AL50)-$AI50-$AK50,MAX(0,IF($AL50="B",IF($AR50&lt;Setup!$C$32,($AR50*Setup!$D$32)-$AI50-$AK50,(($AR50-VLOOKUP($AR50,TaxAll2,1,1))*OFFSET(Setup!$D$32,MATCH($AR50,TaxBracket2,1),0,1,1))+OFFSET(Setup!$E$31,MATCH($AR50,TaxBracket2,1),0,1,1)-$AI50-$AK50),IF($AR50&lt;Setup!$C$21,($AR50*Setup!$D$21)-$AI50-$AK50,(($AR50-VLOOKUP($AR50,TaxAll1,1,1))*OFFSET(Setup!$D$21,MATCH($AR50,TaxBracket1,1),0,1,1))+OFFSET(Setup!$E$20,MATCH($AR50,TaxBracket1,1),0,1,1)-$AI50-$AK50))))</f>
        <v>0</v>
      </c>
      <c r="BA50" s="148">
        <f ca="1">IF(ISNUMBER($AL50),($AX50*$AL50)-$AI50-$AK50,MAX(0,IF($AL50="B",IF($AX50&lt;Setup!$C$32,($AX50*Setup!$D$32)-$AI50-$AK50,(($AX50-VLOOKUP($AX50,TaxAll2,1,1))*OFFSET(Setup!$D$32,MATCH($AX50,TaxBracket2,1),0,1,1))+OFFSET(Setup!$E$31,MATCH($AX50,TaxBracket2,1),0,1,1)-$AI50-$AK50),IF($AX50&lt;Setup!$C$21,($AX50*Setup!$D$21)-$AI50-$AK50,(($AX50-VLOOKUP($AX50,TaxAll1,1,1))*OFFSET(Setup!$D$21,MATCH($AX50,TaxBracket1,1),0,1,1))+OFFSET(Setup!$E$20,MATCH($AX50,TaxBracket1,1),0,1,1)-$AI50-$AK50))))</f>
        <v>0</v>
      </c>
      <c r="BB50" s="148">
        <f t="shared" ca="1" si="23"/>
        <v>0</v>
      </c>
      <c r="BC50" s="150">
        <f t="shared" ca="1" si="15"/>
        <v>0</v>
      </c>
      <c r="BD50" s="150">
        <f t="shared" ca="1" si="16"/>
        <v>0</v>
      </c>
      <c r="BE50" s="148">
        <f t="shared" ca="1" si="17"/>
        <v>0</v>
      </c>
    </row>
    <row r="51" spans="1:57" ht="16.149999999999999" customHeight="1" x14ac:dyDescent="0.25">
      <c r="A51" s="10" t="str" cm="1">
        <f t="array" aca="1" ref="A51" ca="1">IF(ROW($A51)-ROW($A$6)&gt;EmpCount*12,"-",TEXT($B51,"yyyy")&amp;TEXT($B51,"mm")&amp;"-"&amp;$C51)</f>
        <v>202305-EXS015</v>
      </c>
      <c r="B51" s="137" cm="1">
        <f t="array" aca="1" ref="B51" ca="1">IF(ROW($A51)-ROW($A$6)&gt;EmpCount*12,Setup!$D$12,DATE(YEAR(Setup!$F$12),MONTH(Setup!$F$12)+ROUNDDOWN((ROW($A51)-ROW($A$6)-1)/EmpCount,0),IF(Setup!$C$14&gt;DAY(DATE(YEAR(Setup!$F$12),MONTH(Setup!$F$12)+ROUNDDOWN((ROW($A51)-ROW($A$6)-1)/EmpCount,0)+1,0)),DAY(DATE(YEAR(Setup!$F$12),MONTH(Setup!$F$12)+ROUNDDOWN((ROW($A51)-ROW($A$6)-1)/EmpCount,0)+1,0)),Setup!$C$14)))</f>
        <v>45071</v>
      </c>
      <c r="C51" s="101" t="str" cm="1">
        <f t="array" aca="1" ref="C51" ca="1">IF(ROW($A51)-ROW($A$6)&gt;EmpCount*12,"-",OFFSET(Emp!$A$4,ROW($A51)-ROW($A$6)-IF(ROW($A51)-ROW($A$6)&gt;EmpCount,ROUNDDOWN((ROW($A51)-ROW($A$6)-1)/EmpCount,0)*EmpCount,0),0,1,1))</f>
        <v>EXS015</v>
      </c>
      <c r="D51" s="10" t="str">
        <f ca="1">IF(ISNA(VLOOKUP($C51,EmpAll,COLUMN(Emp!$B$4),0)),"-",VLOOKUP($C51,EmpAll,COLUMN(Emp!$B$4),0))</f>
        <v>Graham L</v>
      </c>
      <c r="E51" s="145" t="str">
        <f ca="1">IF(ISNA(VLOOKUP($C51,EmpAll,COLUMN(Emp!$C$4),0)),"-",VLOOKUP($C51,EmpAll,COLUMN(Emp!$C$4),0))</f>
        <v>S</v>
      </c>
      <c r="F51" s="101" t="str">
        <f ca="1">IF(ISNA(VLOOKUP($C51,EmpAll,COLUMN(Emp!$A$4),0)),"-",IF(AND(VLOOKUP($C51,EmpAll,COLUMN(Emp!$E$4),0)&lt;&gt;0,VLOOKUP($C51,EmpAll,COLUMN(Emp!$E$4),0)&gt;=DATE(YEAR($AC51),MONTH($AC51)+1,0)),"Inactive",IF(AND(VLOOKUP($C51,EmpAll,COLUMN(Emp!$F$4),0)&lt;&gt;0,VLOOKUP($C51,EmpAll,COLUMN(Emp!$F$4),0)&lt;=DATE(YEAR($AC51),MONTH($AC51),0)),"Terminated","Active")))</f>
        <v>Inactive</v>
      </c>
      <c r="G51" s="133" cm="1">
        <f t="array" aca="1" ref="G51" ca="1">IF($F51&lt;&gt;"Active",0,IF(COUNTIFS(OverEmp,$C51,OverEarn,G$2,OverDate,"&lt;"&amp;DATE(YEAR($AC51),MONTH($AC51)+1,1),OverEnd,"&gt;="&amp;DATE(YEAR($AC51),MONTH($AC51),1))&gt;0,SUMIFS(OverValue,OverEmp,$C51,OverEarn,G$2,OverDate,"&lt;"&amp;DATE(YEAR($AC51),MONTH($AC51)+1,1),OverEnd,"&gt;="&amp;DATE(YEAR($AC51),MONTH($AC51),1)),IF(AND($AC51&gt;=Setup!$E$10,SUMIFS(EmpIncrease,EmpCode,$C51)&gt;0),SUMIFS(EmpIncrease,EmpCode,$C51),SUMIFS(EmpSalary,EmpCode,$C51))))</f>
        <v>0</v>
      </c>
      <c r="H51" s="133" cm="1">
        <f t="array" aca="1" ref="H51" ca="1">IF($F51&lt;&gt;"Active",0,IF(COUNTIFS(OverEmp,$C51,OverEarn,H$2,OverDate,"&lt;"&amp;DATE(YEAR($AC51),MONTH($AC51)+1,1),OverEnd,"&gt;="&amp;DATE(YEAR($AC51),MONTH($AC51),1))&gt;0,SUMIFS(OverValue,OverEmp,$C51,OverEarn,H$2,OverDate,"&lt;"&amp;DATE(YEAR($AC51),MONTH($AC51)+1,1),OverEnd,"&gt;="&amp;DATE(YEAR($AC51),MONTH($AC51),1)),0))</f>
        <v>0</v>
      </c>
      <c r="I51" s="133" cm="1">
        <f t="array" aca="1" ref="I51" ca="1">IF($F51&lt;&gt;"Active",0,IF(COUNTIFS(OverEmp,$C51,OverEarn,I$2,OverDate,"&lt;"&amp;DATE(YEAR($AC51),MONTH($AC51)+1,1),OverEnd,"&gt;="&amp;DATE(YEAR($AC51),MONTH($AC51),1))&gt;0,SUMIFS(OverValue,OverEmp,$C51,OverEarn,I$2,OverDate,"&lt;"&amp;DATE(YEAR($AC51),MONTH($AC51)+1,1),OverEnd,"&gt;="&amp;DATE(YEAR($AC51),MONTH($AC51),1)),IF(MONTH(B51)=Setup!$C$15,SUMIFS(EmpBonus,EmpCode,$C51),0)))</f>
        <v>0</v>
      </c>
      <c r="J51" s="133" cm="1">
        <f t="array" aca="1" ref="J51" ca="1">IF($F51&lt;&gt;"Active",0,IF(COUNTIFS(OverEmp,$C51,OverEarn,J$2,OverDate,"&lt;"&amp;DATE(YEAR($AC51),MONTH($AC51)+1,1),OverEnd,"&gt;="&amp;DATE(YEAR($AC51),MONTH($AC51),1))&gt;0,SUMIFS(OverValue,OverEmp,$C51,OverEarn,J$2,OverDate,"&lt;"&amp;DATE(YEAR($AC51),MONTH($AC51)+1,1),OverEnd,"&gt;="&amp;DATE(YEAR($AC51),MONTH($AC51),1)),0))</f>
        <v>0</v>
      </c>
      <c r="K51" s="133" cm="1">
        <f t="array" aca="1" ref="K51" ca="1">IF($F51&lt;&gt;"Active",0,IF(COUNTIFS(OverEmp,$C51,OverEarn,K$2,OverDate,"&lt;"&amp;DATE(YEAR($AC51),MONTH($AC51)+1,1),OverEnd,"&gt;="&amp;DATE(YEAR($AC51),MONTH($AC51),1))&gt;0,SUMIFS(OverValue,OverEmp,$C51,OverEarn,K$2,OverDate,"&lt;"&amp;DATE(YEAR($AC51),MONTH($AC51)+1,1),OverEnd,"&gt;="&amp;DATE(YEAR($AC51),MONTH($AC51),1)),0))</f>
        <v>0</v>
      </c>
      <c r="L51" s="185">
        <f t="shared" ca="1" si="24"/>
        <v>0</v>
      </c>
      <c r="M51" s="182" cm="1">
        <f t="array" aca="1" ref="M51" ca="1">IF(COUNTIFS(OverEmp,$C51,OverTax,M$5,OverDate,"&lt;"&amp;DATE(YEAR($AC51),MONTH($AC51)+1,1),OverEnd,"&gt;="&amp;DATE(YEAR($AC51),MONTH($AC51),1))&gt;0,SUMIFS(OverValue,OverEmp,$C51,OverTax,M$5,OverDate,"&lt;"&amp;DATE(YEAR($AC51),MONTH($AC51)+1,1),OverEnd,"&gt;="&amp;DATE(YEAR($AC51),MONTH($AC51),1)),(($BA51/12*$AA51)+(BB51*IF(1-$BC51=0,0,BD51/(1-$BC51))))-IF($F51="Terminated",0,SUMIFS(PayTaxDeduct,PayDate,"&lt;"&amp;$AC51,PayEmp,$C51)))</f>
        <v>0</v>
      </c>
      <c r="N51" s="133" cm="1">
        <f t="array" aca="1" ref="N51" ca="1">IF($F51="Terminated",0,IF($AA51=0,0,IF(ISNA(MATCH(N$5,DedListItem,0)),0,IF(COUNTIFS(OverEmp,$C51,OverDeduct,N$5,OverDate,"&lt;"&amp;DATE(YEAR($AC51),MONTH($AC51)+1,1),OverEnd,"&gt;="&amp;DATE(YEAR($AC51),MONTH($AC51),1))&gt;0,SUMIFS(OverValue,OverEmp,$C51,OverDeduct,N$5,OverDate,"&lt;"&amp;DATE(YEAR($AC51),MONTH($AC51)+1,1),OverEnd,"&gt;="&amp;DATE(YEAR($AC51),MONTH($AC51),1)),IF(OR(N$2="Fixed",N$2="Not Used"),(IF(COUNTIFS(EmpNo,$C51,OFFSET(Emp!$R$4,1,MATCH(N$5,DedListItem,0)-1,EmpCount,1),"&lt;&gt;")&gt;0,VLOOKUP($C51,EmpAll,COLUMN(Emp!$R$4)+MATCH(N$5,DedListItem,0)-1,0),OFFSET(Setup!$E$73,MATCH(N$5,DedListItem,0),0,1,1))*$AA51)-SUMIFS(OFFSET(N$6,1,0,PayCount,1),PayDate,"&lt;"&amp;$AC51,PayEmp,$C51),IF(ISNA(MATCH(N$2,EarnListItem,0))=FALSE,IF(OFFSET(Setup!$G$73,MATCH(N$5,DedListItem,0),0,1,1)="Taxable",SUMPRODUCT((PayEmp=$C51)*(PayDate&lt;=$AC51)*(PayEarnCode=N$2)*(PayEarnTax)*(PayEarnValues)),SUMPRODUCT((PayEmp=$C51)*(PayDate&lt;=$AC51)*(PayEarnCode=N$2)*(PayEarnValues)))*IF(COUNTIFS(EmpNo,$C51,OFFSET(Emp!$R$4,1,MATCH(N$5,DedListItem,0)-1,EmpCount,1),"&lt;&gt;")&gt;0,VLOOKUP($C51,EmpAll,COLUMN(Emp!$R$4)+MATCH(N$5,DedListItem,0)-1,0),OFFSET(Setup!$E$73,MATCH(N$5,DedListItem,0),0,1,1)),(MIN(IF(OFFSET(Setup!$G$73,MATCH(N$5,DedListItem,0),0,1,1)="Taxable",SUMPRODUCT((PayEmp=$C51)*(PayDate&lt;=$AC51)*(ISERROR(SEARCH(PayEarnCode,N$4)))*(PayEarnTax)*(PayEarnValues)),SUMPRODUCT((PayEmp=$C51)*(PayDate&lt;=$AC51)*(ISERROR(SEARCH(PayEarnCode,N$4)))*(PayEarnValues))),IF(ISNUMBER(N$3),N$3/12*$AA51,IgnoreMin)))*IF(COUNTIFS(EmpNo,$C51,OFFSET(Emp!$R$4,1,MATCH(N$5,DedListItem,0)-1,EmpCount,1),"&lt;&gt;")&gt;0,VLOOKUP($C51,EmpAll,COLUMN(Emp!$R$4)+MATCH(N$5,DedListItem,0)-1,0),OFFSET(Setup!$E$73,MATCH(N$5,DedListItem,0),0,1,1)))-SUMIFS(OFFSET(N$6,1,0,PayCount,1),PayDate,"&lt;"&amp;$AC51,PayEmp,$C51))))))</f>
        <v>0</v>
      </c>
      <c r="O51" s="133" cm="1">
        <f t="array" aca="1" ref="O51" ca="1">IF($F51="Terminated",0,IF($AA51=0,0,IF(ISNA(MATCH(O$5,DedListItem,0)),0,IF(COUNTIFS(OverEmp,$C51,OverDeduct,O$5,OverDate,"&lt;"&amp;DATE(YEAR($AC51),MONTH($AC51)+1,1),OverEnd,"&gt;="&amp;DATE(YEAR($AC51),MONTH($AC51),1))&gt;0,SUMIFS(OverValue,OverEmp,$C51,OverDeduct,O$5,OverDate,"&lt;"&amp;DATE(YEAR($AC51),MONTH($AC51)+1,1),OverEnd,"&gt;="&amp;DATE(YEAR($AC51),MONTH($AC51),1)),IF(OR(O$2="Fixed",O$2="Not Used"),(IF(COUNTIFS(EmpNo,$C51,OFFSET(Emp!$R$4,1,MATCH(O$5,DedListItem,0)-1,EmpCount,1),"&lt;&gt;")&gt;0,VLOOKUP($C51,EmpAll,COLUMN(Emp!$R$4)+MATCH(O$5,DedListItem,0)-1,0),OFFSET(Setup!$E$73,MATCH(O$5,DedListItem,0),0,1,1))*$AA51)-SUMIFS(OFFSET(O$6,1,0,PayCount,1),PayDate,"&lt;"&amp;$AC51,PayEmp,$C51),IF(ISNA(MATCH(O$2,EarnListItem,0))=FALSE,IF(OFFSET(Setup!$G$73,MATCH(O$5,DedListItem,0),0,1,1)="Taxable",SUMPRODUCT((PayEmp=$C51)*(PayDate&lt;=$AC51)*(PayEarnCode=O$2)*(PayEarnTax)*(PayEarnValues)),SUMPRODUCT((PayEmp=$C51)*(PayDate&lt;=$AC51)*(PayEarnCode=O$2)*(PayEarnValues)))*IF(COUNTIFS(EmpNo,$C51,OFFSET(Emp!$R$4,1,MATCH(O$5,DedListItem,0)-1,EmpCount,1),"&lt;&gt;")&gt;0,VLOOKUP($C51,EmpAll,COLUMN(Emp!$R$4)+MATCH(O$5,DedListItem,0)-1,0),OFFSET(Setup!$E$73,MATCH(O$5,DedListItem,0),0,1,1)),(MIN(IF(OFFSET(Setup!$G$73,MATCH(O$5,DedListItem,0),0,1,1)="Taxable",SUMPRODUCT((PayEmp=$C51)*(PayDate&lt;=$AC51)*(ISERROR(SEARCH(PayEarnCode,O$4)))*(PayEarnTax)*(PayEarnValues)),SUMPRODUCT((PayEmp=$C51)*(PayDate&lt;=$AC51)*(ISERROR(SEARCH(PayEarnCode,O$4)))*(PayEarnValues))),IF(ISNUMBER(O$3),O$3/12*$AA51,IgnoreMin)))*IF(COUNTIFS(EmpNo,$C51,OFFSET(Emp!$R$4,1,MATCH(O$5,DedListItem,0)-1,EmpCount,1),"&lt;&gt;")&gt;0,VLOOKUP($C51,EmpAll,COLUMN(Emp!$R$4)+MATCH(O$5,DedListItem,0)-1,0),OFFSET(Setup!$E$73,MATCH(O$5,DedListItem,0),0,1,1)))-SUMIFS(OFFSET(O$6,1,0,PayCount,1),PayDate,"&lt;"&amp;$AC51,PayEmp,$C51))))))</f>
        <v>0</v>
      </c>
      <c r="P51" s="133" cm="1">
        <f t="array" aca="1" ref="P51" ca="1">IF($F51="Terminated",0,IF($AA51=0,0,IF(ISNA(MATCH(P$5,DedListItem,0)),0,IF(COUNTIFS(OverEmp,$C51,OverDeduct,P$5,OverDate,"&lt;"&amp;DATE(YEAR($AC51),MONTH($AC51)+1,1),OverEnd,"&gt;="&amp;DATE(YEAR($AC51),MONTH($AC51),1))&gt;0,SUMIFS(OverValue,OverEmp,$C51,OverDeduct,P$5,OverDate,"&lt;"&amp;DATE(YEAR($AC51),MONTH($AC51)+1,1),OverEnd,"&gt;="&amp;DATE(YEAR($AC51),MONTH($AC51),1)),IF(OR(P$2="Fixed",P$2="Not Used"),(IF(COUNTIFS(EmpNo,$C51,OFFSET(Emp!$R$4,1,MATCH(P$5,DedListItem,0)-1,EmpCount,1),"&lt;&gt;")&gt;0,VLOOKUP($C51,EmpAll,COLUMN(Emp!$R$4)+MATCH(P$5,DedListItem,0)-1,0),OFFSET(Setup!$E$73,MATCH(P$5,DedListItem,0),0,1,1))*$AA51)-SUMIFS(OFFSET(P$6,1,0,PayCount,1),PayDate,"&lt;"&amp;$AC51,PayEmp,$C51),IF(ISNA(MATCH(P$2,EarnListItem,0))=FALSE,IF(OFFSET(Setup!$G$73,MATCH(P$5,DedListItem,0),0,1,1)="Taxable",SUMPRODUCT((PayEmp=$C51)*(PayDate&lt;=$AC51)*(PayEarnCode=P$2)*(PayEarnTax)*(PayEarnValues)),SUMPRODUCT((PayEmp=$C51)*(PayDate&lt;=$AC51)*(PayEarnCode=P$2)*(PayEarnValues)))*IF(COUNTIFS(EmpNo,$C51,OFFSET(Emp!$R$4,1,MATCH(P$5,DedListItem,0)-1,EmpCount,1),"&lt;&gt;")&gt;0,VLOOKUP($C51,EmpAll,COLUMN(Emp!$R$4)+MATCH(P$5,DedListItem,0)-1,0),OFFSET(Setup!$E$73,MATCH(P$5,DedListItem,0),0,1,1)),(MIN(IF(OFFSET(Setup!$G$73,MATCH(P$5,DedListItem,0),0,1,1)="Taxable",SUMPRODUCT((PayEmp=$C51)*(PayDate&lt;=$AC51)*(ISERROR(SEARCH(PayEarnCode,P$4)))*(PayEarnTax)*(PayEarnValues)),SUMPRODUCT((PayEmp=$C51)*(PayDate&lt;=$AC51)*(ISERROR(SEARCH(PayEarnCode,P$4)))*(PayEarnValues))),IF(ISNUMBER(P$3),P$3/12*$AA51,IgnoreMin)))*IF(COUNTIFS(EmpNo,$C51,OFFSET(Emp!$R$4,1,MATCH(P$5,DedListItem,0)-1,EmpCount,1),"&lt;&gt;")&gt;0,VLOOKUP($C51,EmpAll,COLUMN(Emp!$R$4)+MATCH(P$5,DedListItem,0)-1,0),OFFSET(Setup!$E$73,MATCH(P$5,DedListItem,0),0,1,1)))-SUMIFS(OFFSET(P$6,1,0,PayCount,1),PayDate,"&lt;"&amp;$AC51,PayEmp,$C51))))))</f>
        <v>0</v>
      </c>
      <c r="Q51" s="133" cm="1">
        <f t="array" aca="1" ref="Q51" ca="1">IF($F51="Terminated",0,IF($AA51=0,0,IF(ISNA(MATCH(Q$5,DedListItem,0)),0,IF(COUNTIFS(OverEmp,$C51,OverDeduct,Q$5,OverDate,"&lt;"&amp;DATE(YEAR($AC51),MONTH($AC51)+1,1),OverEnd,"&gt;="&amp;DATE(YEAR($AC51),MONTH($AC51),1))&gt;0,SUMIFS(OverValue,OverEmp,$C51,OverDeduct,Q$5,OverDate,"&lt;"&amp;DATE(YEAR($AC51),MONTH($AC51)+1,1),OverEnd,"&gt;="&amp;DATE(YEAR($AC51),MONTH($AC51),1)),IF(OR(Q$2="Fixed",Q$2="Not Used"),(IF(COUNTIFS(EmpNo,$C51,OFFSET(Emp!$R$4,1,MATCH(Q$5,DedListItem,0)-1,EmpCount,1),"&lt;&gt;")&gt;0,VLOOKUP($C51,EmpAll,COLUMN(Emp!$R$4)+MATCH(Q$5,DedListItem,0)-1,0),OFFSET(Setup!$E$73,MATCH(Q$5,DedListItem,0),0,1,1))*$AA51)-SUMIFS(OFFSET(Q$6,1,0,PayCount,1),PayDate,"&lt;"&amp;$AC51,PayEmp,$C51),IF(ISNA(MATCH(Q$2,EarnListItem,0))=FALSE,IF(OFFSET(Setup!$G$73,MATCH(Q$5,DedListItem,0),0,1,1)="Taxable",SUMPRODUCT((PayEmp=$C51)*(PayDate&lt;=$AC51)*(PayEarnCode=Q$2)*(PayEarnTax)*(PayEarnValues)),SUMPRODUCT((PayEmp=$C51)*(PayDate&lt;=$AC51)*(PayEarnCode=Q$2)*(PayEarnValues)))*IF(COUNTIFS(EmpNo,$C51,OFFSET(Emp!$R$4,1,MATCH(Q$5,DedListItem,0)-1,EmpCount,1),"&lt;&gt;")&gt;0,VLOOKUP($C51,EmpAll,COLUMN(Emp!$R$4)+MATCH(Q$5,DedListItem,0)-1,0),OFFSET(Setup!$E$73,MATCH(Q$5,DedListItem,0),0,1,1)),(MIN(IF(OFFSET(Setup!$G$73,MATCH(Q$5,DedListItem,0),0,1,1)="Taxable",SUMPRODUCT((PayEmp=$C51)*(PayDate&lt;=$AC51)*(ISERROR(SEARCH(PayEarnCode,Q$4)))*(PayEarnTax)*(PayEarnValues)),SUMPRODUCT((PayEmp=$C51)*(PayDate&lt;=$AC51)*(ISERROR(SEARCH(PayEarnCode,Q$4)))*(PayEarnValues))),IF(ISNUMBER(Q$3),Q$3/12*$AA51,IgnoreMin)))*IF(COUNTIFS(EmpNo,$C51,OFFSET(Emp!$R$4,1,MATCH(Q$5,DedListItem,0)-1,EmpCount,1),"&lt;&gt;")&gt;0,VLOOKUP($C51,EmpAll,COLUMN(Emp!$R$4)+MATCH(Q$5,DedListItem,0)-1,0),OFFSET(Setup!$E$73,MATCH(Q$5,DedListItem,0),0,1,1)))-SUMIFS(OFFSET(Q$6,1,0,PayCount,1),PayDate,"&lt;"&amp;$AC51,PayEmp,$C51))))))</f>
        <v>0</v>
      </c>
      <c r="R51" s="185">
        <f t="shared" ca="1" si="25"/>
        <v>0</v>
      </c>
      <c r="S51" s="139">
        <f t="shared" ca="1" si="26"/>
        <v>0</v>
      </c>
      <c r="T51" s="133" cm="1">
        <f t="array" aca="1" ref="T51" ca="1">IF($F51="Terminated",0,IF($AA51=0,0,IF(ISNA(MATCH(T$5,CompListItem,0)),0,IF(COUNTIFS(OverEmp,$C51,OverComp,T$5,OverDate,"&lt;"&amp;DATE(YEAR($AC51),MONTH($AC51)+1,1),OverEnd,"&gt;="&amp;DATE(YEAR($AC51),MONTH($AC51),1))&gt;0,SUMIFS(OverValue,OverEmp,$C51,OverComp,T$5,OverDate,"&lt;"&amp;DATE(YEAR($AC51),MONTH($AC51)+1,1),OverEnd,"&gt;="&amp;DATE(YEAR($AC51),MONTH($AC51),1)),IF(OR(T$2="Fixed",T$2="Not Used"),(OFFSET(Setup!$E$81,MATCH(T$5,CompListItem,0),0,1,1)*$AA51)-SUMIFS(OFFSET(T$6,1,0,PayCount,1),PayDate,"&lt;"&amp;$AC51,PayEmp,$C51),IF(ISNA(MATCH(T$2,DedListItem,0))=FALSE,(SUMPRODUCT((PayEmp=$C51)*(PayDate&lt;=$AC51)*(PayDedList=T$2)*(PayDedValues))*OFFSET(Setup!$E$81,MATCH(T$5,CompListItem,0),0,1,1))-SUMIFS(OFFSET(T$6,1,0,PayCount,1),PayDate,"&lt;"&amp;$AC51,PayEmp,$C51),(MIN(IF(OFFSET(Setup!$G$81,MATCH(T$5,CompListItem,0),0,1,1)="Taxable",SUMPRODUCT((PayEmp=$C51)*(PayDate&lt;=$AC51)*(ISERROR(SEARCH(PayEarnCode,T$4)))*(PayEarnTax)*(PayEarnValues)),SUMPRODUCT((PayEmp=$C51)*(PayDate&lt;=$AC51)*(ISERROR(SEARCH(PayEarnCode,T$4)))*(PayEarnValues))),IF(ISNUMBER(T$3),T$3/12*$AA51,IgnoreMin)))*OFFSET(Setup!$E$81,MATCH(T$5,CompListItem,0),0,1,1)-SUMIFS(OFFSET(T$6,1,0,PayCount,1),PayDate,"&lt;"&amp;$AC51,PayEmp,$C51)))))))</f>
        <v>0</v>
      </c>
      <c r="U51" s="133" cm="1">
        <f t="array" aca="1" ref="U51" ca="1">IF($F51="Terminated",0,IF($AA51=0,0,IF(ISNA(MATCH(U$5,CompListItem,0)),0,IF(COUNTIFS(OverEmp,$C51,OverComp,U$5,OverDate,"&lt;"&amp;DATE(YEAR($AC51),MONTH($AC51)+1,1),OverEnd,"&gt;="&amp;DATE(YEAR($AC51),MONTH($AC51),1))&gt;0,SUMIFS(OverValue,OverEmp,$C51,OverComp,U$5,OverDate,"&lt;"&amp;DATE(YEAR($AC51),MONTH($AC51)+1,1),OverEnd,"&gt;="&amp;DATE(YEAR($AC51),MONTH($AC51),1)),IF(OR(U$2="Fixed",U$2="Not Used"),(OFFSET(Setup!$E$81,MATCH(U$5,CompListItem,0),0,1,1)*$AA51)-SUMIFS(OFFSET(U$6,1,0,PayCount,1),PayDate,"&lt;"&amp;$AC51,PayEmp,$C51),IF(ISNA(MATCH(U$2,DedListItem,0))=FALSE,(SUMPRODUCT((PayEmp=$C51)*(PayDate&lt;=$AC51)*(PayDedList=U$2)*(PayDedValues))*OFFSET(Setup!$E$81,MATCH(U$5,CompListItem,0),0,1,1))-SUMIFS(OFFSET(U$6,1,0,PayCount,1),PayDate,"&lt;"&amp;$AC51,PayEmp,$C51),(MIN(IF(OFFSET(Setup!$G$81,MATCH(U$5,CompListItem,0),0,1,1)="Taxable",SUMPRODUCT((PayEmp=$C51)*(PayDate&lt;=$AC51)*(ISERROR(SEARCH(PayEarnCode,U$4)))*(PayEarnTax)*(PayEarnValues)),SUMPRODUCT((PayEmp=$C51)*(PayDate&lt;=$AC51)*(ISERROR(SEARCH(PayEarnCode,U$4)))*(PayEarnValues))),IF(ISNUMBER(U$3),U$3/12*$AA51,IgnoreMin)))*OFFSET(Setup!$E$81,MATCH(U$5,CompListItem,0),0,1,1)-SUMIFS(OFFSET(U$6,1,0,PayCount,1),PayDate,"&lt;"&amp;$AC51,PayEmp,$C51)))))))</f>
        <v>0</v>
      </c>
      <c r="V51" s="133" cm="1">
        <f t="array" aca="1" ref="V51" ca="1">IF($F51="Terminated",0,IF($AA51=0,0,IF(ISNA(MATCH(V$5,CompListItem,0)),0,IF(COUNTIFS(OverEmp,$C51,OverComp,V$5,OverDate,"&lt;"&amp;DATE(YEAR($AC51),MONTH($AC51)+1,1),OverEnd,"&gt;="&amp;DATE(YEAR($AC51),MONTH($AC51),1))&gt;0,SUMIFS(OverValue,OverEmp,$C51,OverComp,V$5,OverDate,"&lt;"&amp;DATE(YEAR($AC51),MONTH($AC51)+1,1),OverEnd,"&gt;="&amp;DATE(YEAR($AC51),MONTH($AC51),1)),IF(OR(V$2="Fixed",V$2="Not Used"),(OFFSET(Setup!$E$81,MATCH(V$5,CompListItem,0),0,1,1)*$AA51)-SUMIFS(OFFSET(V$6,1,0,PayCount,1),PayDate,"&lt;"&amp;$AC51,PayEmp,$C51),IF(ISNA(MATCH(V$2,DedListItem,0))=FALSE,(SUMPRODUCT((PayEmp=$C51)*(PayDate&lt;=$AC51)*(PayDedList=V$2)*(PayDedValues))*OFFSET(Setup!$E$81,MATCH(V$5,CompListItem,0),0,1,1))-SUMIFS(OFFSET(V$6,1,0,PayCount,1),PayDate,"&lt;"&amp;$AC51,PayEmp,$C51),(MIN(IF(OFFSET(Setup!$G$81,MATCH(V$5,CompListItem,0),0,1,1)="Taxable",SUMPRODUCT((PayEmp=$C51)*(PayDate&lt;=$AC51)*(ISERROR(SEARCH(PayEarnCode,V$4)))*(PayEarnTax)*(PayEarnValues)),SUMPRODUCT((PayEmp=$C51)*(PayDate&lt;=$AC51)*(ISERROR(SEARCH(PayEarnCode,V$4)))*(PayEarnValues))),IF(ISNUMBER(V$3),V$3/12*$AA51,IgnoreMin)))*OFFSET(Setup!$E$81,MATCH(V$5,CompListItem,0),0,1,1)-SUMIFS(OFFSET(V$6,1,0,PayCount,1),PayDate,"&lt;"&amp;$AC51,PayEmp,$C51)))))))</f>
        <v>0</v>
      </c>
      <c r="W51" s="133" cm="1">
        <f t="array" aca="1" ref="W51" ca="1">IF($F51="Terminated",0,IF($AA51=0,0,IF(ISNA(MATCH(W$5,CompListItem,0)),0,IF(COUNTIFS(OverEmp,$C51,OverComp,W$5,OverDate,"&lt;"&amp;DATE(YEAR($AC51),MONTH($AC51)+1,1),OverEnd,"&gt;="&amp;DATE(YEAR($AC51),MONTH($AC51),1))&gt;0,SUMIFS(OverValue,OverEmp,$C51,OverComp,W$5,OverDate,"&lt;"&amp;DATE(YEAR($AC51),MONTH($AC51)+1,1),OverEnd,"&gt;="&amp;DATE(YEAR($AC51),MONTH($AC51),1)),IF(OR(W$2="Fixed",W$2="Not Used"),(OFFSET(Setup!$E$81,MATCH(W$5,CompListItem,0),0,1,1)*$AA51)-SUMIFS(OFFSET(W$6,1,0,PayCount,1),PayDate,"&lt;"&amp;$AC51,PayEmp,$C51),IF(ISNA(MATCH(W$2,DedListItem,0))=FALSE,(SUMPRODUCT((PayEmp=$C51)*(PayDate&lt;=$AC51)*(PayDedList=W$2)*(PayDedValues))*OFFSET(Setup!$E$81,MATCH(W$5,CompListItem,0),0,1,1))-SUMIFS(OFFSET(W$6,1,0,PayCount,1),PayDate,"&lt;"&amp;$AC51,PayEmp,$C51),(MIN(IF(OFFSET(Setup!$G$81,MATCH(W$5,CompListItem,0),0,1,1)="Taxable",SUMPRODUCT((PayEmp=$C51)*(PayDate&lt;=$AC51)*(ISERROR(SEARCH(PayEarnCode,W$4)))*(PayEarnTax)*(PayEarnValues)),SUMPRODUCT((PayEmp=$C51)*(PayDate&lt;=$AC51)*(ISERROR(SEARCH(PayEarnCode,W$4)))*(PayEarnValues))),IF(ISNUMBER(W$3),W$3/12*$AA51,IgnoreMin)))*OFFSET(Setup!$E$81,MATCH(W$5,CompListItem,0),0,1,1)-SUMIFS(OFFSET(W$6,1,0,PayCount,1),PayDate,"&lt;"&amp;$AC51,PayEmp,$C51)))))))</f>
        <v>0</v>
      </c>
      <c r="X51" s="185">
        <f t="shared" ca="1" si="18"/>
        <v>0</v>
      </c>
      <c r="Y51" s="139">
        <f t="shared" ca="1" si="27"/>
        <v>0</v>
      </c>
      <c r="Z51" s="139">
        <f t="shared" ca="1" si="19"/>
        <v>0</v>
      </c>
      <c r="AA51" s="146">
        <f ca="1">IF(OR($B51&lt;=Setup!$E$12,$B51&gt;=Setup!$D$12+1),0,IF($F51&lt;&gt;"Active",0,IF($AE51="Yes",$AB51,((YEAR($AC51)*12)+MONTH($AC51))-((YEAR($AD51)*12)+MONTH($AD51)-1))))</f>
        <v>0</v>
      </c>
      <c r="AB51" s="146">
        <f ca="1">IF(OR($B51&lt;=Setup!$E$12,$B51&gt;=Setup!$D$12+1),0,((YEAR($AC51)*12)+MONTH($AC51))-((YEAR(Setup!$E$12)*12)+MONTH(Setup!$E$12)))</f>
        <v>3</v>
      </c>
      <c r="AC51" s="186">
        <f t="shared" ca="1" si="20"/>
        <v>45071</v>
      </c>
      <c r="AD51" s="144">
        <f ca="1">IF(ISNA(VLOOKUP($C51,EmpAll,COLUMN(Emp!$E$4),0)),$AC51,IF(VLOOKUP($C51,EmpAll,COLUMN(Emp!$E$4),0)&lt;=Setup!$E$12,DATE(YEAR(Setup!$E$12),MONTH(Setup!$E$12)+1,1),VLOOKUP($C51,EmpAll,COLUMN(Emp!$E$4),0)))</f>
        <v>45316</v>
      </c>
      <c r="AE51" s="144" t="str">
        <f ca="1">IF(ISNA(VLOOKUP($C51,EmpAll,COLUMN(Emp!$G$1),0)),"-",IF(VLOOKUP($C51,EmpAll,COLUMN(Emp!$G$1),0)=0,"-",VLOOKUP($C51,EmpAll,COLUMN(Emp!$G$1),0)))</f>
        <v>-</v>
      </c>
      <c r="AF51" s="145">
        <f ca="1">IF(A51=PaySlip!$G$3,1,0)</f>
        <v>0</v>
      </c>
      <c r="AG51" s="130" cm="1">
        <f t="array" aca="1" ref="AG51" ca="1">IF(COUNTIFS(OverEmp,$C51,OverMed,"MED",OverDate,"&lt;"&amp;DATE(YEAR($AC51),MONTH($AC51)+1,1),OverEnd,"&gt;="&amp;DATE(YEAR($AC51),MONTH($AC51),1))&gt;0,SUMIFS(OverValue,OverEmp,$C51,OverMed,"MED",OverDate,"&lt;"&amp;DATE(YEAR($AC51),MONTH($AC51)+1,1),OverEnd,"&gt;="&amp;DATE(YEAR($AC51),MONTH($AC51),1)),IF(ISNA(VLOOKUP($C51,EmpAll,COLUMN(Emp!$N$4),0)),0,VLOOKUP($C51,EmpAll,COLUMN(Emp!$N$4),0)))</f>
        <v>1</v>
      </c>
      <c r="AH51" s="146">
        <f ca="1">VLOOKUP($AG51,MedList,COLUMN(Setup!$C$49),1)</f>
        <v>364</v>
      </c>
      <c r="AI51" s="146">
        <f t="shared" ca="1" si="7"/>
        <v>5460</v>
      </c>
      <c r="AJ51" s="101" t="str">
        <f ca="1">IF(ISNA(VLOOKUP($C51,EmpAll,COLUMN(Emp!$L$4),0)),"None!",VLOOKUP($C51,EmpAll,COLUMN(Emp!$L$4),0))</f>
        <v>A</v>
      </c>
      <c r="AK51" s="147">
        <f t="shared" ca="1" si="21"/>
        <v>17235</v>
      </c>
      <c r="AL51" s="101" t="str">
        <f ca="1">IF(ISNA(VLOOKUP($C51,Employees[],COLUMN(Emp!$M$4),0))=TRUE,"Error!",IF(VLOOKUP($C51,Employees[],COLUMN(Emp!$M$4),0)=0,"Yes",VLOOKUP($C51,Employees[],COLUMN(Emp!$M$4),0)))</f>
        <v>A</v>
      </c>
      <c r="AM51" s="148">
        <f t="shared" ca="1" si="9"/>
        <v>0</v>
      </c>
      <c r="AN51" s="148" cm="1">
        <f t="array" aca="1" ref="AN51" ca="1">-IF($F51="Terminated",0,IF($AA51=0,0,IF(ISNA(MATCH(AN$5,PayDedList,0)),0,MIN(IF(COUNTIFS(OverEmp,$C51,OverDeduct,AN$5,OverDate,"&lt;"&amp;DATE(YEAR($AC51),MONTH($AC51)+1,1),OverEnd,"&gt;="&amp;DATE(YEAR($AC51),MONTH($AC51),1))&gt;0,SUMPRODUCT((PayEmp=$C51)*(PayDate&lt;=$AC51)*(OFFSET($N$6,1,MATCH(AN$5,PayDedList,0)-1,PayCount,1)))/$AA51*12*AN$3,IF(OR(AN$1="Fixed",AN$1="Not Used"),SUMPRODUCT((PayEmp=$C51)*(PayDate&lt;=$AC51)*(OFFSET($N$6,1,MATCH(AN$5,PayDedList,0)-1,PayCount,1)))/$AA51*12*AN$3,IF(ISNA(MATCH(AN$1,EarnListItem,0))=FALSE,SUMPRODUCT((PayEmp=$C51)*(PayDate&lt;=$AC51)*(OFFSET($N$6,1,MATCH(AN$5,PayDedList,0)-1,PayCount,1)))/$AA51*12*AN$3,(MIN(((SUMPRODUCT((PayEmp=$C51)*(PayDate&lt;=$AC51)*(ISERROR(SEARCH(PayEarnCode,AN$2)))*(PayEarnType="Monthly")*(PayEarnValues))/$AA51*12)+(SUMPRODUCT((PayEmp=$C51)*(PayDate&lt;=$AC51)*(ISERROR(SEARCH(PayEarnCode,AN$2)))*(PayEarnType="Quarterly")*(PayEarnValues))/MAX(1,ROUNDDOWN($AB51/3,0))*4)+(SUMPRODUCT((PayEmp=$C51)*(PayDate&lt;=$AC51)*(ISERROR(SEARCH(PayEarnCode,AN$2)))*(PayEarnType="Bi-Annual")*(PayEarnValues))/MAX(1,ROUNDDOWN($AB51/6,0))*2)+(SUMPRODUCT((PayEmp=$C51)*(PayDate&lt;=$AC51)*(ISERROR(SEARCH(PayEarnCode,AN$2)))*(PayEarnType="Annual")*(PayEarnValues)))),IF(ISNUMBER(OFFSET($N$3,0,MATCH(AN$5,PayDedList,0)-1,1,1)),OFFSET($N$3,0,MATCH(AN$5,PayDedList,0)-1,1,1),IgnoreMin)))*IF(COUNTIFS(EmpNo,$C51,OFFSET(Emp!$R$4,1,MATCH(AN$5,DedListItem,0)-1,EmpCount,1),"&lt;&gt;")&gt;0,VLOOKUP($C51,EmpAll,COLUMN(Emp!$R$4)+MATCH(AN$5,DedListItem,0)-1,0),OFFSET(Setup!$E$73,MATCH(AN$5,DedListItem,0),0,1,1))*AN$3))),IF(ISNUMBER(AN$4),AN$4,IgnoreMin)))))</f>
        <v>0</v>
      </c>
      <c r="AO51" s="148" cm="1">
        <f t="array" aca="1" ref="AO51" ca="1">-IF($F51="Terminated",0,IF($AA51=0,0,IF(ISNA(MATCH(AO$5,PayDedList,0)),0,MIN(IF(COUNTIFS(OverEmp,$C51,OverDeduct,AO$5,OverDate,"&lt;"&amp;DATE(YEAR($AC51),MONTH($AC51)+1,1),OverEnd,"&gt;="&amp;DATE(YEAR($AC51),MONTH($AC51),1))&gt;0,SUMPRODUCT((PayEmp=$C51)*(PayDate&lt;=$AC51)*(OFFSET($N$6,1,MATCH(AO$5,PayDedList,0)-1,PayCount,1)))/$AA51*12*AO$3,IF(OR(AO$1="Fixed",AO$1="Not Used"),SUMPRODUCT((PayEmp=$C51)*(PayDate&lt;=$AC51)*(OFFSET($N$6,1,MATCH(AO$5,PayDedList,0)-1,PayCount,1)))/$AA51*12*AO$3,IF(ISNA(MATCH(AO$1,EarnListItem,0))=FALSE,SUMPRODUCT((PayEmp=$C51)*(PayDate&lt;=$AC51)*(OFFSET($N$6,1,MATCH(AO$5,PayDedList,0)-1,PayCount,1)))/$AA51*12*AO$3,(MIN(((SUMPRODUCT((PayEmp=$C51)*(PayDate&lt;=$AC51)*(ISERROR(SEARCH(PayEarnCode,AO$2)))*(PayEarnType="Monthly")*(PayEarnValues))/$AA51*12)+(SUMPRODUCT((PayEmp=$C51)*(PayDate&lt;=$AC51)*(ISERROR(SEARCH(PayEarnCode,AO$2)))*(PayEarnType="Quarterly")*(PayEarnValues))/MAX(1,ROUNDDOWN($AB51/3,0))*4)+(SUMPRODUCT((PayEmp=$C51)*(PayDate&lt;=$AC51)*(ISERROR(SEARCH(PayEarnCode,AO$2)))*(PayEarnType="Bi-Annual")*(PayEarnValues))/MAX(1,ROUNDDOWN($AB51/6,0))*2)+(SUMPRODUCT((PayEmp=$C51)*(PayDate&lt;=$AC51)*(ISERROR(SEARCH(PayEarnCode,AO$2)))*(PayEarnType="Annual")*(PayEarnValues)))),IF(ISNUMBER(OFFSET($N$3,0,MATCH(AO$5,PayDedList,0)-1,1,1)),OFFSET($N$3,0,MATCH(AO$5,PayDedList,0)-1,1,1),IgnoreMin)))*IF(COUNTIFS(EmpNo,$C51,OFFSET(Emp!$R$4,1,MATCH(AO$5,DedListItem,0)-1,EmpCount,1),"&lt;&gt;")&gt;0,VLOOKUP($C51,EmpAll,COLUMN(Emp!$R$4)+MATCH(AO$5,DedListItem,0)-1,0),OFFSET(Setup!$E$73,MATCH(AO$5,DedListItem,0),0,1,1))*AO$3))),IF(ISNUMBER(AO$4),AO$4,IgnoreMin)))))</f>
        <v>0</v>
      </c>
      <c r="AP51" s="148" cm="1">
        <f t="array" aca="1" ref="AP51" ca="1">-IF($F51="Terminated",0,IF($AA51=0,0,IF(ISNA(MATCH(AP$5,PayDedList,0)),0,MIN(IF(COUNTIFS(OverEmp,$C51,OverDeduct,AP$5,OverDate,"&lt;"&amp;DATE(YEAR($AC51),MONTH($AC51)+1,1),OverEnd,"&gt;="&amp;DATE(YEAR($AC51),MONTH($AC51),1))&gt;0,SUMPRODUCT((PayEmp=$C51)*(PayDate&lt;=$AC51)*(OFFSET($N$6,1,MATCH(AP$5,PayDedList,0)-1,PayCount,1)))/$AA51*12*AP$3,IF(OR(AP$1="Fixed",AP$1="Not Used"),SUMPRODUCT((PayEmp=$C51)*(PayDate&lt;=$AC51)*(OFFSET($N$6,1,MATCH(AP$5,PayDedList,0)-1,PayCount,1)))/$AA51*12*AP$3,IF(ISNA(MATCH(AP$1,EarnListItem,0))=FALSE,SUMPRODUCT((PayEmp=$C51)*(PayDate&lt;=$AC51)*(OFFSET($N$6,1,MATCH(AP$5,PayDedList,0)-1,PayCount,1)))/$AA51*12*AP$3,(MIN(((SUMPRODUCT((PayEmp=$C51)*(PayDate&lt;=$AC51)*(ISERROR(SEARCH(PayEarnCode,AP$2)))*(PayEarnType="Monthly")*(PayEarnValues))/$AA51*12)+(SUMPRODUCT((PayEmp=$C51)*(PayDate&lt;=$AC51)*(ISERROR(SEARCH(PayEarnCode,AP$2)))*(PayEarnType="Quarterly")*(PayEarnValues))/MAX(1,ROUNDDOWN($AB51/3,0))*4)+(SUMPRODUCT((PayEmp=$C51)*(PayDate&lt;=$AC51)*(ISERROR(SEARCH(PayEarnCode,AP$2)))*(PayEarnType="Bi-Annual")*(PayEarnValues))/MAX(1,ROUNDDOWN($AB51/6,0))*2)+(SUMPRODUCT((PayEmp=$C51)*(PayDate&lt;=$AC51)*(ISERROR(SEARCH(PayEarnCode,AP$2)))*(PayEarnType="Annual")*(PayEarnValues)))),IF(ISNUMBER(OFFSET($N$3,0,MATCH(AP$5,PayDedList,0)-1,1,1)),OFFSET($N$3,0,MATCH(AP$5,PayDedList,0)-1,1,1),IgnoreMin)))*IF(COUNTIFS(EmpNo,$C51,OFFSET(Emp!$R$4,1,MATCH(AP$5,DedListItem,0)-1,EmpCount,1),"&lt;&gt;")&gt;0,VLOOKUP($C51,EmpAll,COLUMN(Emp!$R$4)+MATCH(AP$5,DedListItem,0)-1,0),OFFSET(Setup!$E$73,MATCH(AP$5,DedListItem,0),0,1,1))*AP$3))),IF(ISNUMBER(AP$4),AP$4,IgnoreMin)))))</f>
        <v>0</v>
      </c>
      <c r="AQ51" s="148" cm="1">
        <f t="array" aca="1" ref="AQ51" ca="1">-IF($F51="Terminated",0,IF($AA51=0,0,IF(ISNA(MATCH(AQ$5,PayDedList,0)),0,MIN(IF(COUNTIFS(OverEmp,$C51,OverDeduct,AQ$5,OverDate,"&lt;"&amp;DATE(YEAR($AC51),MONTH($AC51)+1,1),OverEnd,"&gt;="&amp;DATE(YEAR($AC51),MONTH($AC51),1))&gt;0,SUMPRODUCT((PayEmp=$C51)*(PayDate&lt;=$AC51)*(OFFSET($N$6,1,MATCH(AQ$5,PayDedList,0)-1,PayCount,1)))/$AA51*12*AQ$3,IF(OR(AQ$1="Fixed",AQ$1="Not Used"),SUMPRODUCT((PayEmp=$C51)*(PayDate&lt;=$AC51)*(OFFSET($N$6,1,MATCH(AQ$5,PayDedList,0)-1,PayCount,1)))/$AA51*12*AQ$3,IF(ISNA(MATCH(AQ$1,EarnListItem,0))=FALSE,SUMPRODUCT((PayEmp=$C51)*(PayDate&lt;=$AC51)*(OFFSET($N$6,1,MATCH(AQ$5,PayDedList,0)-1,PayCount,1)))/$AA51*12*AQ$3,(MIN(((SUMPRODUCT((PayEmp=$C51)*(PayDate&lt;=$AC51)*(ISERROR(SEARCH(PayEarnCode,AQ$2)))*(PayEarnType="Monthly")*(PayEarnValues))/$AA51*12)+(SUMPRODUCT((PayEmp=$C51)*(PayDate&lt;=$AC51)*(ISERROR(SEARCH(PayEarnCode,AQ$2)))*(PayEarnType="Quarterly")*(PayEarnValues))/MAX(1,ROUNDDOWN($AB51/3,0))*4)+(SUMPRODUCT((PayEmp=$C51)*(PayDate&lt;=$AC51)*(ISERROR(SEARCH(PayEarnCode,AQ$2)))*(PayEarnType="Bi-Annual")*(PayEarnValues))/MAX(1,ROUNDDOWN($AB51/6,0))*2)+(SUMPRODUCT((PayEmp=$C51)*(PayDate&lt;=$AC51)*(ISERROR(SEARCH(PayEarnCode,AQ$2)))*(PayEarnType="Annual")*(PayEarnValues)))),IF(ISNUMBER(OFFSET($N$3,0,MATCH(AQ$5,PayDedList,0)-1,1,1)),OFFSET($N$3,0,MATCH(AQ$5,PayDedList,0)-1,1,1),IgnoreMin)))*IF(COUNTIFS(EmpNo,$C51,OFFSET(Emp!$R$4,1,MATCH(AQ$5,DedListItem,0)-1,EmpCount,1),"&lt;&gt;")&gt;0,VLOOKUP($C51,EmpAll,COLUMN(Emp!$R$4)+MATCH(AQ$5,DedListItem,0)-1,0),OFFSET(Setup!$E$73,MATCH(AQ$5,DedListItem,0),0,1,1))*AQ$3))),IF(ISNUMBER(AQ$4),AQ$4,IgnoreMin)))))</f>
        <v>0</v>
      </c>
      <c r="AR51" s="148">
        <f t="shared" ca="1" si="22"/>
        <v>0</v>
      </c>
      <c r="AS51" s="148">
        <f t="shared" ca="1" si="11"/>
        <v>0</v>
      </c>
      <c r="AT51" s="148" cm="1">
        <f t="array" aca="1" ref="AT51" ca="1">-IF($F51="Terminated",0,IF($AA51=0,0,IF(ISNA(MATCH(AT$5,PayDedList,0)),0,MIN(IF(COUNTIFS(OverEmp,$C51,OverDeduct,AT$5,OverDate,"&lt;"&amp;DATE(YEAR($AC51),MONTH($AC51)+1,1),OverEnd,"&gt;="&amp;DATE(YEAR($AC51),MONTH($AC51),1))&gt;0,SUMPRODUCT((PayEmp=$C51)*(PayDate&lt;=$AC51)*(OFFSET($N$6,1,MATCH(AT$5,PayDedList,0)-1,PayCount,1)))/$AA51*12*AT$3,IF(OR(AT$1="Fixed",AT$1="Not Used"),SUMPRODUCT((PayEmp=$C51)*(PayDate&lt;=$AC51)*(OFFSET($N$6,1,MATCH(AT$5,PayDedList,0)-1,PayCount,1)))/$AA51*12*AT$3,IF(ISNA(MATCH(OFFSET($N$2,0,MATCH(AT$5,PayDedList,0)-1,1,1),EarnListItem,0))=FALSE,SUMPRODUCT((PayEmp=$C51)*(PayDate&lt;=$AC51)*(OFFSET($N$6,1,MATCH(AT$5,PayDedList,0)-1,PayCount,1)))/$AA51*12*AT$3,(MIN(SUMPRODUCT((PayEmp=$C51)*(PayDate&lt;=$AC51)*(ISERROR(SEARCH(PayEarnCode,AT$2)))*(PayEarnType="Monthly")*(PayEarnValues))/$AA51*12,IF(ISNUMBER(OFFSET($N$3,0,MATCH(AT$5,PayDedList,0)-1,1,1)),OFFSET($N$3,0,MATCH(AT$5,PayDedList,0)-1,1,1),IgnoreMin)))*IF(COUNTIFS(EmpNo,$C51,OFFSET(Emp!$R$4,1,MATCH(AT$5,DedListItem,0)-1,EmpCount,1),"&lt;&gt;")&gt;0,VLOOKUP($C51,EmpAll,COLUMN(Emp!$R$4)+MATCH(AT$5,DedListItem,0)-1,0),OFFSET(Setup!$E$73,MATCH(AT$5,DedListItem,0),0,1,1))*AT$3))),IF(ISNUMBER(AT$4),AT$4,IgnoreMin)))))</f>
        <v>0</v>
      </c>
      <c r="AU51" s="148" cm="1">
        <f t="array" aca="1" ref="AU51" ca="1">-IF($F51="Terminated",0,IF($AA51=0,0,IF(ISNA(MATCH(AU$5,PayDedList,0)),0,MIN(IF(COUNTIFS(OverEmp,$C51,OverDeduct,AU$5,OverDate,"&lt;"&amp;DATE(YEAR($AC51),MONTH($AC51)+1,1),OverEnd,"&gt;="&amp;DATE(YEAR($AC51),MONTH($AC51),1))&gt;0,SUMPRODUCT((PayEmp=$C51)*(PayDate&lt;=$AC51)*(OFFSET($N$6,1,MATCH(AU$5,PayDedList,0)-1,PayCount,1)))/$AA51*12*AU$3,IF(OR(AU$1="Fixed",AU$1="Not Used"),SUMPRODUCT((PayEmp=$C51)*(PayDate&lt;=$AC51)*(OFFSET($N$6,1,MATCH(AU$5,PayDedList,0)-1,PayCount,1)))/$AA51*12*AU$3,IF(ISNA(MATCH(OFFSET($N$2,0,MATCH(AU$5,PayDedList,0)-1,1,1),EarnListItem,0))=FALSE,SUMPRODUCT((PayEmp=$C51)*(PayDate&lt;=$AC51)*(OFFSET($N$6,1,MATCH(AU$5,PayDedList,0)-1,PayCount,1)))/$AA51*12*AU$3,(MIN(SUMPRODUCT((PayEmp=$C51)*(PayDate&lt;=$AC51)*(ISERROR(SEARCH(PayEarnCode,AU$2)))*(PayEarnType="Monthly")*(PayEarnValues))/$AA51*12,IF(ISNUMBER(OFFSET($N$3,0,MATCH(AU$5,PayDedList,0)-1,1,1)),OFFSET($N$3,0,MATCH(AU$5,PayDedList,0)-1,1,1),IgnoreMin)))*IF(COUNTIFS(EmpNo,$C51,OFFSET(Emp!$R$4,1,MATCH(AU$5,DedListItem,0)-1,EmpCount,1),"&lt;&gt;")&gt;0,VLOOKUP($C51,EmpAll,COLUMN(Emp!$R$4)+MATCH(AU$5,DedListItem,0)-1,0),OFFSET(Setup!$E$73,MATCH(AU$5,DedListItem,0),0,1,1))*AU$3))),IF(ISNUMBER(AU$4),AU$4,IgnoreMin)))))</f>
        <v>0</v>
      </c>
      <c r="AV51" s="148" cm="1">
        <f t="array" aca="1" ref="AV51" ca="1">-IF($F51="Terminated",0,IF($AA51=0,0,IF(ISNA(MATCH(AV$5,PayDedList,0)),0,MIN(IF(COUNTIFS(OverEmp,$C51,OverDeduct,AV$5,OverDate,"&lt;"&amp;DATE(YEAR($AC51),MONTH($AC51)+1,1),OverEnd,"&gt;="&amp;DATE(YEAR($AC51),MONTH($AC51),1))&gt;0,SUMPRODUCT((PayEmp=$C51)*(PayDate&lt;=$AC51)*(OFFSET($N$6,1,MATCH(AV$5,PayDedList,0)-1,PayCount,1)))/$AA51*12*AV$3,IF(OR(AV$1="Fixed",AV$1="Not Used"),SUMPRODUCT((PayEmp=$C51)*(PayDate&lt;=$AC51)*(OFFSET($N$6,1,MATCH(AV$5,PayDedList,0)-1,PayCount,1)))/$AA51*12*AV$3,IF(ISNA(MATCH(OFFSET($N$2,0,MATCH(AV$5,PayDedList,0)-1,1,1),EarnListItem,0))=FALSE,SUMPRODUCT((PayEmp=$C51)*(PayDate&lt;=$AC51)*(OFFSET($N$6,1,MATCH(AV$5,PayDedList,0)-1,PayCount,1)))/$AA51*12*AV$3,(MIN(SUMPRODUCT((PayEmp=$C51)*(PayDate&lt;=$AC51)*(ISERROR(SEARCH(PayEarnCode,AV$2)))*(PayEarnType="Monthly")*(PayEarnValues))/$AA51*12,IF(ISNUMBER(OFFSET($N$3,0,MATCH(AV$5,PayDedList,0)-1,1,1)),OFFSET($N$3,0,MATCH(AV$5,PayDedList,0)-1,1,1),IgnoreMin)))*IF(COUNTIFS(EmpNo,$C51,OFFSET(Emp!$R$4,1,MATCH(AV$5,DedListItem,0)-1,EmpCount,1),"&lt;&gt;")&gt;0,VLOOKUP($C51,EmpAll,COLUMN(Emp!$R$4)+MATCH(AV$5,DedListItem,0)-1,0),OFFSET(Setup!$E$73,MATCH(AV$5,DedListItem,0),0,1,1))*AV$3))),IF(ISNUMBER(AV$4),AV$4,IgnoreMin)))))</f>
        <v>0</v>
      </c>
      <c r="AW51" s="148" cm="1">
        <f t="array" aca="1" ref="AW51" ca="1">-IF($F51="Terminated",0,IF($AA51=0,0,IF(ISNA(MATCH(AW$5,PayDedList,0)),0,MIN(IF(COUNTIFS(OverEmp,$C51,OverDeduct,AW$5,OverDate,"&lt;"&amp;DATE(YEAR($AC51),MONTH($AC51)+1,1),OverEnd,"&gt;="&amp;DATE(YEAR($AC51),MONTH($AC51),1))&gt;0,SUMPRODUCT((PayEmp=$C51)*(PayDate&lt;=$AC51)*(OFFSET($N$6,1,MATCH(AW$5,PayDedList,0)-1,PayCount,1)))/$AA51*12*AW$3,IF(OR(AW$1="Fixed",AW$1="Not Used"),SUMPRODUCT((PayEmp=$C51)*(PayDate&lt;=$AC51)*(OFFSET($N$6,1,MATCH(AW$5,PayDedList,0)-1,PayCount,1)))/$AA51*12*AW$3,IF(ISNA(MATCH(OFFSET($N$2,0,MATCH(AW$5,PayDedList,0)-1,1,1),EarnListItem,0))=FALSE,SUMPRODUCT((PayEmp=$C51)*(PayDate&lt;=$AC51)*(OFFSET($N$6,1,MATCH(AW$5,PayDedList,0)-1,PayCount,1)))/$AA51*12*AW$3,(MIN(SUMPRODUCT((PayEmp=$C51)*(PayDate&lt;=$AC51)*(ISERROR(SEARCH(PayEarnCode,AW$2)))*(PayEarnType="Monthly")*(PayEarnValues))/$AA51*12,IF(ISNUMBER(OFFSET($N$3,0,MATCH(AW$5,PayDedList,0)-1,1,1)),OFFSET($N$3,0,MATCH(AW$5,PayDedList,0)-1,1,1),IgnoreMin)))*IF(COUNTIFS(EmpNo,$C51,OFFSET(Emp!$R$4,1,MATCH(AW$5,DedListItem,0)-1,EmpCount,1),"&lt;&gt;")&gt;0,VLOOKUP($C51,EmpAll,COLUMN(Emp!$R$4)+MATCH(AW$5,DedListItem,0)-1,0),OFFSET(Setup!$E$73,MATCH(AW$5,DedListItem,0),0,1,1))*AW$3))),IF(ISNUMBER(AW$4),AW$4,IgnoreMin)))))</f>
        <v>0</v>
      </c>
      <c r="AX51" s="148">
        <f t="shared" ca="1" si="28"/>
        <v>0</v>
      </c>
      <c r="AY51" s="148">
        <f t="shared" ca="1" si="29"/>
        <v>0</v>
      </c>
      <c r="AZ51" s="148">
        <f ca="1">IF(ISNUMBER($AL51),($AR51*$AL51)-$AI51-$AK51,MAX(0,IF($AL51="B",IF($AR51&lt;Setup!$C$32,($AR51*Setup!$D$32)-$AI51-$AK51,(($AR51-VLOOKUP($AR51,TaxAll2,1,1))*OFFSET(Setup!$D$32,MATCH($AR51,TaxBracket2,1),0,1,1))+OFFSET(Setup!$E$31,MATCH($AR51,TaxBracket2,1),0,1,1)-$AI51-$AK51),IF($AR51&lt;Setup!$C$21,($AR51*Setup!$D$21)-$AI51-$AK51,(($AR51-VLOOKUP($AR51,TaxAll1,1,1))*OFFSET(Setup!$D$21,MATCH($AR51,TaxBracket1,1),0,1,1))+OFFSET(Setup!$E$20,MATCH($AR51,TaxBracket1,1),0,1,1)-$AI51-$AK51))))</f>
        <v>0</v>
      </c>
      <c r="BA51" s="148">
        <f ca="1">IF(ISNUMBER($AL51),($AX51*$AL51)-$AI51-$AK51,MAX(0,IF($AL51="B",IF($AX51&lt;Setup!$C$32,($AX51*Setup!$D$32)-$AI51-$AK51,(($AX51-VLOOKUP($AX51,TaxAll2,1,1))*OFFSET(Setup!$D$32,MATCH($AX51,TaxBracket2,1),0,1,1))+OFFSET(Setup!$E$31,MATCH($AX51,TaxBracket2,1),0,1,1)-$AI51-$AK51),IF($AX51&lt;Setup!$C$21,($AX51*Setup!$D$21)-$AI51-$AK51,(($AX51-VLOOKUP($AX51,TaxAll1,1,1))*OFFSET(Setup!$D$21,MATCH($AX51,TaxBracket1,1),0,1,1))+OFFSET(Setup!$E$20,MATCH($AX51,TaxBracket1,1),0,1,1)-$AI51-$AK51))))</f>
        <v>0</v>
      </c>
      <c r="BB51" s="148">
        <f t="shared" ca="1" si="23"/>
        <v>0</v>
      </c>
      <c r="BC51" s="150">
        <f t="shared" ca="1" si="15"/>
        <v>0</v>
      </c>
      <c r="BD51" s="150">
        <f t="shared" ca="1" si="16"/>
        <v>0</v>
      </c>
      <c r="BE51" s="148">
        <f t="shared" ca="1" si="17"/>
        <v>0</v>
      </c>
    </row>
    <row r="52" spans="1:57" ht="16.149999999999999" customHeight="1" x14ac:dyDescent="0.25">
      <c r="A52" s="10" t="str" cm="1">
        <f t="array" aca="1" ref="A52" ca="1">IF(ROW($A52)-ROW($A$6)&gt;EmpCount*12,"-",TEXT($B52,"yyyy")&amp;TEXT($B52,"mm")&amp;"-"&amp;$C52)</f>
        <v>202306-EXS001</v>
      </c>
      <c r="B52" s="137" cm="1">
        <f t="array" aca="1" ref="B52" ca="1">IF(ROW($A52)-ROW($A$6)&gt;EmpCount*12,Setup!$D$12,DATE(YEAR(Setup!$F$12),MONTH(Setup!$F$12)+ROUNDDOWN((ROW($A52)-ROW($A$6)-1)/EmpCount,0),IF(Setup!$C$14&gt;DAY(DATE(YEAR(Setup!$F$12),MONTH(Setup!$F$12)+ROUNDDOWN((ROW($A52)-ROW($A$6)-1)/EmpCount,0)+1,0)),DAY(DATE(YEAR(Setup!$F$12),MONTH(Setup!$F$12)+ROUNDDOWN((ROW($A52)-ROW($A$6)-1)/EmpCount,0)+1,0)),Setup!$C$14)))</f>
        <v>45102</v>
      </c>
      <c r="C52" s="101" t="str" cm="1">
        <f t="array" aca="1" ref="C52" ca="1">IF(ROW($A52)-ROW($A$6)&gt;EmpCount*12,"-",OFFSET(Emp!$A$4,ROW($A52)-ROW($A$6)-IF(ROW($A52)-ROW($A$6)&gt;EmpCount,ROUNDDOWN((ROW($A52)-ROW($A$6)-1)/EmpCount,0)*EmpCount,0),0,1,1))</f>
        <v>EXS001</v>
      </c>
      <c r="D52" s="10" t="str">
        <f ca="1">IF(ISNA(VLOOKUP($C52,EmpAll,COLUMN(Emp!$B$4),0)),"-",VLOOKUP($C52,EmpAll,COLUMN(Emp!$B$4),0))</f>
        <v>Taylor AE</v>
      </c>
      <c r="E52" s="145" t="str">
        <f ca="1">IF(ISNA(VLOOKUP($C52,EmpAll,COLUMN(Emp!$C$4),0)),"-",VLOOKUP($C52,EmpAll,COLUMN(Emp!$C$4),0))</f>
        <v>M</v>
      </c>
      <c r="F52" s="101" t="str">
        <f ca="1">IF(ISNA(VLOOKUP($C52,EmpAll,COLUMN(Emp!$A$4),0)),"-",IF(AND(VLOOKUP($C52,EmpAll,COLUMN(Emp!$E$4),0)&lt;&gt;0,VLOOKUP($C52,EmpAll,COLUMN(Emp!$E$4),0)&gt;=DATE(YEAR($AC52),MONTH($AC52)+1,0)),"Inactive",IF(AND(VLOOKUP($C52,EmpAll,COLUMN(Emp!$F$4),0)&lt;&gt;0,VLOOKUP($C52,EmpAll,COLUMN(Emp!$F$4),0)&lt;=DATE(YEAR($AC52),MONTH($AC52),0)),"Terminated","Active")))</f>
        <v>Active</v>
      </c>
      <c r="G52" s="133" cm="1">
        <f t="array" aca="1" ref="G52" ca="1">IF($F52&lt;&gt;"Active",0,IF(COUNTIFS(OverEmp,$C52,OverEarn,G$2,OverDate,"&lt;"&amp;DATE(YEAR($AC52),MONTH($AC52)+1,1),OverEnd,"&gt;="&amp;DATE(YEAR($AC52),MONTH($AC52),1))&gt;0,SUMIFS(OverValue,OverEmp,$C52,OverEarn,G$2,OverDate,"&lt;"&amp;DATE(YEAR($AC52),MONTH($AC52)+1,1),OverEnd,"&gt;="&amp;DATE(YEAR($AC52),MONTH($AC52),1)),IF(AND($AC52&gt;=Setup!$E$10,SUMIFS(EmpIncrease,EmpCode,$C52)&gt;0),SUMIFS(EmpIncrease,EmpCode,$C52),SUMIFS(EmpSalary,EmpCode,$C52))))</f>
        <v>150000</v>
      </c>
      <c r="H52" s="133" cm="1">
        <f t="array" aca="1" ref="H52" ca="1">IF($F52&lt;&gt;"Active",0,IF(COUNTIFS(OverEmp,$C52,OverEarn,H$2,OverDate,"&lt;"&amp;DATE(YEAR($AC52),MONTH($AC52)+1,1),OverEnd,"&gt;="&amp;DATE(YEAR($AC52),MONTH($AC52),1))&gt;0,SUMIFS(OverValue,OverEmp,$C52,OverEarn,H$2,OverDate,"&lt;"&amp;DATE(YEAR($AC52),MONTH($AC52)+1,1),OverEnd,"&gt;="&amp;DATE(YEAR($AC52),MONTH($AC52),1)),0))</f>
        <v>0</v>
      </c>
      <c r="I52" s="133" cm="1">
        <f t="array" aca="1" ref="I52" ca="1">IF($F52&lt;&gt;"Active",0,IF(COUNTIFS(OverEmp,$C52,OverEarn,I$2,OverDate,"&lt;"&amp;DATE(YEAR($AC52),MONTH($AC52)+1,1),OverEnd,"&gt;="&amp;DATE(YEAR($AC52),MONTH($AC52),1))&gt;0,SUMIFS(OverValue,OverEmp,$C52,OverEarn,I$2,OverDate,"&lt;"&amp;DATE(YEAR($AC52),MONTH($AC52)+1,1),OverEnd,"&gt;="&amp;DATE(YEAR($AC52),MONTH($AC52),1)),IF(MONTH(B52)=Setup!$C$15,SUMIFS(EmpBonus,EmpCode,$C52),0)))</f>
        <v>0</v>
      </c>
      <c r="J52" s="133" cm="1">
        <f t="array" aca="1" ref="J52" ca="1">IF($F52&lt;&gt;"Active",0,IF(COUNTIFS(OverEmp,$C52,OverEarn,J$2,OverDate,"&lt;"&amp;DATE(YEAR($AC52),MONTH($AC52)+1,1),OverEnd,"&gt;="&amp;DATE(YEAR($AC52),MONTH($AC52),1))&gt;0,SUMIFS(OverValue,OverEmp,$C52,OverEarn,J$2,OverDate,"&lt;"&amp;DATE(YEAR($AC52),MONTH($AC52)+1,1),OverEnd,"&gt;="&amp;DATE(YEAR($AC52),MONTH($AC52),1)),0))</f>
        <v>0</v>
      </c>
      <c r="K52" s="133" cm="1">
        <f t="array" aca="1" ref="K52" ca="1">IF($F52&lt;&gt;"Active",0,IF(COUNTIFS(OverEmp,$C52,OverEarn,K$2,OverDate,"&lt;"&amp;DATE(YEAR($AC52),MONTH($AC52)+1,1),OverEnd,"&gt;="&amp;DATE(YEAR($AC52),MONTH($AC52),1))&gt;0,SUMIFS(OverValue,OverEmp,$C52,OverEarn,K$2,OverDate,"&lt;"&amp;DATE(YEAR($AC52),MONTH($AC52)+1,1),OverEnd,"&gt;="&amp;DATE(YEAR($AC52),MONTH($AC52),1)),0))</f>
        <v>0</v>
      </c>
      <c r="L52" s="185">
        <f t="shared" ca="1" si="24"/>
        <v>150000</v>
      </c>
      <c r="M52" s="182" cm="1">
        <f t="array" aca="1" ref="M52" ca="1">IF(COUNTIFS(OverEmp,$C52,OverTax,M$5,OverDate,"&lt;"&amp;DATE(YEAR($AC52),MONTH($AC52)+1,1),OverEnd,"&gt;="&amp;DATE(YEAR($AC52),MONTH($AC52),1))&gt;0,SUMIFS(OverValue,OverEmp,$C52,OverTax,M$5,OverDate,"&lt;"&amp;DATE(YEAR($AC52),MONTH($AC52)+1,1),OverEnd,"&gt;="&amp;DATE(YEAR($AC52),MONTH($AC52),1)),(($BA52/12*$AA52)+(BB52*IF(1-$BC52=0,0,BD52/(1-$BC52))))-IF($F52="Terminated",0,SUMIFS(PayTaxDeduct,PayDate,"&lt;"&amp;$AC52,PayEmp,$C52)))</f>
        <v>45611.833333333343</v>
      </c>
      <c r="N52" s="133" cm="1">
        <f t="array" aca="1" ref="N52" ca="1">IF($F52="Terminated",0,IF($AA52=0,0,IF(ISNA(MATCH(N$5,DedListItem,0)),0,IF(COUNTIFS(OverEmp,$C52,OverDeduct,N$5,OverDate,"&lt;"&amp;DATE(YEAR($AC52),MONTH($AC52)+1,1),OverEnd,"&gt;="&amp;DATE(YEAR($AC52),MONTH($AC52),1))&gt;0,SUMIFS(OverValue,OverEmp,$C52,OverDeduct,N$5,OverDate,"&lt;"&amp;DATE(YEAR($AC52),MONTH($AC52)+1,1),OverEnd,"&gt;="&amp;DATE(YEAR($AC52),MONTH($AC52),1)),IF(OR(N$2="Fixed",N$2="Not Used"),(IF(COUNTIFS(EmpNo,$C52,OFFSET(Emp!$R$4,1,MATCH(N$5,DedListItem,0)-1,EmpCount,1),"&lt;&gt;")&gt;0,VLOOKUP($C52,EmpAll,COLUMN(Emp!$R$4)+MATCH(N$5,DedListItem,0)-1,0),OFFSET(Setup!$E$73,MATCH(N$5,DedListItem,0),0,1,1))*$AA52)-SUMIFS(OFFSET(N$6,1,0,PayCount,1),PayDate,"&lt;"&amp;$AC52,PayEmp,$C52),IF(ISNA(MATCH(N$2,EarnListItem,0))=FALSE,IF(OFFSET(Setup!$G$73,MATCH(N$5,DedListItem,0),0,1,1)="Taxable",SUMPRODUCT((PayEmp=$C52)*(PayDate&lt;=$AC52)*(PayEarnCode=N$2)*(PayEarnTax)*(PayEarnValues)),SUMPRODUCT((PayEmp=$C52)*(PayDate&lt;=$AC52)*(PayEarnCode=N$2)*(PayEarnValues)))*IF(COUNTIFS(EmpNo,$C52,OFFSET(Emp!$R$4,1,MATCH(N$5,DedListItem,0)-1,EmpCount,1),"&lt;&gt;")&gt;0,VLOOKUP($C52,EmpAll,COLUMN(Emp!$R$4)+MATCH(N$5,DedListItem,0)-1,0),OFFSET(Setup!$E$73,MATCH(N$5,DedListItem,0),0,1,1)),(MIN(IF(OFFSET(Setup!$G$73,MATCH(N$5,DedListItem,0),0,1,1)="Taxable",SUMPRODUCT((PayEmp=$C52)*(PayDate&lt;=$AC52)*(ISERROR(SEARCH(PayEarnCode,N$4)))*(PayEarnTax)*(PayEarnValues)),SUMPRODUCT((PayEmp=$C52)*(PayDate&lt;=$AC52)*(ISERROR(SEARCH(PayEarnCode,N$4)))*(PayEarnValues))),IF(ISNUMBER(N$3),N$3/12*$AA52,IgnoreMin)))*IF(COUNTIFS(EmpNo,$C52,OFFSET(Emp!$R$4,1,MATCH(N$5,DedListItem,0)-1,EmpCount,1),"&lt;&gt;")&gt;0,VLOOKUP($C52,EmpAll,COLUMN(Emp!$R$4)+MATCH(N$5,DedListItem,0)-1,0),OFFSET(Setup!$E$73,MATCH(N$5,DedListItem,0),0,1,1)))-SUMIFS(OFFSET(N$6,1,0,PayCount,1),PayDate,"&lt;"&amp;$AC52,PayEmp,$C52))))))</f>
        <v>177.12</v>
      </c>
      <c r="O52" s="133" cm="1">
        <f t="array" aca="1" ref="O52" ca="1">IF($F52="Terminated",0,IF($AA52=0,0,IF(ISNA(MATCH(O$5,DedListItem,0)),0,IF(COUNTIFS(OverEmp,$C52,OverDeduct,O$5,OverDate,"&lt;"&amp;DATE(YEAR($AC52),MONTH($AC52)+1,1),OverEnd,"&gt;="&amp;DATE(YEAR($AC52),MONTH($AC52),1))&gt;0,SUMIFS(OverValue,OverEmp,$C52,OverDeduct,O$5,OverDate,"&lt;"&amp;DATE(YEAR($AC52),MONTH($AC52)+1,1),OverEnd,"&gt;="&amp;DATE(YEAR($AC52),MONTH($AC52),1)),IF(OR(O$2="Fixed",O$2="Not Used"),(IF(COUNTIFS(EmpNo,$C52,OFFSET(Emp!$R$4,1,MATCH(O$5,DedListItem,0)-1,EmpCount,1),"&lt;&gt;")&gt;0,VLOOKUP($C52,EmpAll,COLUMN(Emp!$R$4)+MATCH(O$5,DedListItem,0)-1,0),OFFSET(Setup!$E$73,MATCH(O$5,DedListItem,0),0,1,1))*$AA52)-SUMIFS(OFFSET(O$6,1,0,PayCount,1),PayDate,"&lt;"&amp;$AC52,PayEmp,$C52),IF(ISNA(MATCH(O$2,EarnListItem,0))=FALSE,IF(OFFSET(Setup!$G$73,MATCH(O$5,DedListItem,0),0,1,1)="Taxable",SUMPRODUCT((PayEmp=$C52)*(PayDate&lt;=$AC52)*(PayEarnCode=O$2)*(PayEarnTax)*(PayEarnValues)),SUMPRODUCT((PayEmp=$C52)*(PayDate&lt;=$AC52)*(PayEarnCode=O$2)*(PayEarnValues)))*IF(COUNTIFS(EmpNo,$C52,OFFSET(Emp!$R$4,1,MATCH(O$5,DedListItem,0)-1,EmpCount,1),"&lt;&gt;")&gt;0,VLOOKUP($C52,EmpAll,COLUMN(Emp!$R$4)+MATCH(O$5,DedListItem,0)-1,0),OFFSET(Setup!$E$73,MATCH(O$5,DedListItem,0),0,1,1)),(MIN(IF(OFFSET(Setup!$G$73,MATCH(O$5,DedListItem,0),0,1,1)="Taxable",SUMPRODUCT((PayEmp=$C52)*(PayDate&lt;=$AC52)*(ISERROR(SEARCH(PayEarnCode,O$4)))*(PayEarnTax)*(PayEarnValues)),SUMPRODUCT((PayEmp=$C52)*(PayDate&lt;=$AC52)*(ISERROR(SEARCH(PayEarnCode,O$4)))*(PayEarnValues))),IF(ISNUMBER(O$3),O$3/12*$AA52,IgnoreMin)))*IF(COUNTIFS(EmpNo,$C52,OFFSET(Emp!$R$4,1,MATCH(O$5,DedListItem,0)-1,EmpCount,1),"&lt;&gt;")&gt;0,VLOOKUP($C52,EmpAll,COLUMN(Emp!$R$4)+MATCH(O$5,DedListItem,0)-1,0),OFFSET(Setup!$E$73,MATCH(O$5,DedListItem,0),0,1,1)))-SUMIFS(OFFSET(O$6,1,0,PayCount,1),PayDate,"&lt;"&amp;$AC52,PayEmp,$C52))))))</f>
        <v>11250</v>
      </c>
      <c r="P52" s="133" cm="1">
        <f t="array" aca="1" ref="P52" ca="1">IF($F52="Terminated",0,IF($AA52=0,0,IF(ISNA(MATCH(P$5,DedListItem,0)),0,IF(COUNTIFS(OverEmp,$C52,OverDeduct,P$5,OverDate,"&lt;"&amp;DATE(YEAR($AC52),MONTH($AC52)+1,1),OverEnd,"&gt;="&amp;DATE(YEAR($AC52),MONTH($AC52),1))&gt;0,SUMIFS(OverValue,OverEmp,$C52,OverDeduct,P$5,OverDate,"&lt;"&amp;DATE(YEAR($AC52),MONTH($AC52)+1,1),OverEnd,"&gt;="&amp;DATE(YEAR($AC52),MONTH($AC52),1)),IF(OR(P$2="Fixed",P$2="Not Used"),(IF(COUNTIFS(EmpNo,$C52,OFFSET(Emp!$R$4,1,MATCH(P$5,DedListItem,0)-1,EmpCount,1),"&lt;&gt;")&gt;0,VLOOKUP($C52,EmpAll,COLUMN(Emp!$R$4)+MATCH(P$5,DedListItem,0)-1,0),OFFSET(Setup!$E$73,MATCH(P$5,DedListItem,0),0,1,1))*$AA52)-SUMIFS(OFFSET(P$6,1,0,PayCount,1),PayDate,"&lt;"&amp;$AC52,PayEmp,$C52),IF(ISNA(MATCH(P$2,EarnListItem,0))=FALSE,IF(OFFSET(Setup!$G$73,MATCH(P$5,DedListItem,0),0,1,1)="Taxable",SUMPRODUCT((PayEmp=$C52)*(PayDate&lt;=$AC52)*(PayEarnCode=P$2)*(PayEarnTax)*(PayEarnValues)),SUMPRODUCT((PayEmp=$C52)*(PayDate&lt;=$AC52)*(PayEarnCode=P$2)*(PayEarnValues)))*IF(COUNTIFS(EmpNo,$C52,OFFSET(Emp!$R$4,1,MATCH(P$5,DedListItem,0)-1,EmpCount,1),"&lt;&gt;")&gt;0,VLOOKUP($C52,EmpAll,COLUMN(Emp!$R$4)+MATCH(P$5,DedListItem,0)-1,0),OFFSET(Setup!$E$73,MATCH(P$5,DedListItem,0),0,1,1)),(MIN(IF(OFFSET(Setup!$G$73,MATCH(P$5,DedListItem,0),0,1,1)="Taxable",SUMPRODUCT((PayEmp=$C52)*(PayDate&lt;=$AC52)*(ISERROR(SEARCH(PayEarnCode,P$4)))*(PayEarnTax)*(PayEarnValues)),SUMPRODUCT((PayEmp=$C52)*(PayDate&lt;=$AC52)*(ISERROR(SEARCH(PayEarnCode,P$4)))*(PayEarnValues))),IF(ISNUMBER(P$3),P$3/12*$AA52,IgnoreMin)))*IF(COUNTIFS(EmpNo,$C52,OFFSET(Emp!$R$4,1,MATCH(P$5,DedListItem,0)-1,EmpCount,1),"&lt;&gt;")&gt;0,VLOOKUP($C52,EmpAll,COLUMN(Emp!$R$4)+MATCH(P$5,DedListItem,0)-1,0),OFFSET(Setup!$E$73,MATCH(P$5,DedListItem,0),0,1,1)))-SUMIFS(OFFSET(P$6,1,0,PayCount,1),PayDate,"&lt;"&amp;$AC52,PayEmp,$C52))))))</f>
        <v>0</v>
      </c>
      <c r="Q52" s="133" cm="1">
        <f t="array" aca="1" ref="Q52" ca="1">IF($F52="Terminated",0,IF($AA52=0,0,IF(ISNA(MATCH(Q$5,DedListItem,0)),0,IF(COUNTIFS(OverEmp,$C52,OverDeduct,Q$5,OverDate,"&lt;"&amp;DATE(YEAR($AC52),MONTH($AC52)+1,1),OverEnd,"&gt;="&amp;DATE(YEAR($AC52),MONTH($AC52),1))&gt;0,SUMIFS(OverValue,OverEmp,$C52,OverDeduct,Q$5,OverDate,"&lt;"&amp;DATE(YEAR($AC52),MONTH($AC52)+1,1),OverEnd,"&gt;="&amp;DATE(YEAR($AC52),MONTH($AC52),1)),IF(OR(Q$2="Fixed",Q$2="Not Used"),(IF(COUNTIFS(EmpNo,$C52,OFFSET(Emp!$R$4,1,MATCH(Q$5,DedListItem,0)-1,EmpCount,1),"&lt;&gt;")&gt;0,VLOOKUP($C52,EmpAll,COLUMN(Emp!$R$4)+MATCH(Q$5,DedListItem,0)-1,0),OFFSET(Setup!$E$73,MATCH(Q$5,DedListItem,0),0,1,1))*$AA52)-SUMIFS(OFFSET(Q$6,1,0,PayCount,1),PayDate,"&lt;"&amp;$AC52,PayEmp,$C52),IF(ISNA(MATCH(Q$2,EarnListItem,0))=FALSE,IF(OFFSET(Setup!$G$73,MATCH(Q$5,DedListItem,0),0,1,1)="Taxable",SUMPRODUCT((PayEmp=$C52)*(PayDate&lt;=$AC52)*(PayEarnCode=Q$2)*(PayEarnTax)*(PayEarnValues)),SUMPRODUCT((PayEmp=$C52)*(PayDate&lt;=$AC52)*(PayEarnCode=Q$2)*(PayEarnValues)))*IF(COUNTIFS(EmpNo,$C52,OFFSET(Emp!$R$4,1,MATCH(Q$5,DedListItem,0)-1,EmpCount,1),"&lt;&gt;")&gt;0,VLOOKUP($C52,EmpAll,COLUMN(Emp!$R$4)+MATCH(Q$5,DedListItem,0)-1,0),OFFSET(Setup!$E$73,MATCH(Q$5,DedListItem,0),0,1,1)),(MIN(IF(OFFSET(Setup!$G$73,MATCH(Q$5,DedListItem,0),0,1,1)="Taxable",SUMPRODUCT((PayEmp=$C52)*(PayDate&lt;=$AC52)*(ISERROR(SEARCH(PayEarnCode,Q$4)))*(PayEarnTax)*(PayEarnValues)),SUMPRODUCT((PayEmp=$C52)*(PayDate&lt;=$AC52)*(ISERROR(SEARCH(PayEarnCode,Q$4)))*(PayEarnValues))),IF(ISNUMBER(Q$3),Q$3/12*$AA52,IgnoreMin)))*IF(COUNTIFS(EmpNo,$C52,OFFSET(Emp!$R$4,1,MATCH(Q$5,DedListItem,0)-1,EmpCount,1),"&lt;&gt;")&gt;0,VLOOKUP($C52,EmpAll,COLUMN(Emp!$R$4)+MATCH(Q$5,DedListItem,0)-1,0),OFFSET(Setup!$E$73,MATCH(Q$5,DedListItem,0),0,1,1)))-SUMIFS(OFFSET(Q$6,1,0,PayCount,1),PayDate,"&lt;"&amp;$AC52,PayEmp,$C52))))))</f>
        <v>0</v>
      </c>
      <c r="R52" s="185">
        <f t="shared" ca="1" si="25"/>
        <v>57038.953333333346</v>
      </c>
      <c r="S52" s="139">
        <f t="shared" ca="1" si="26"/>
        <v>92961.05</v>
      </c>
      <c r="T52" s="133" cm="1">
        <f t="array" aca="1" ref="T52" ca="1">IF($F52="Terminated",0,IF($AA52=0,0,IF(ISNA(MATCH(T$5,CompListItem,0)),0,IF(COUNTIFS(OverEmp,$C52,OverComp,T$5,OverDate,"&lt;"&amp;DATE(YEAR($AC52),MONTH($AC52)+1,1),OverEnd,"&gt;="&amp;DATE(YEAR($AC52),MONTH($AC52),1))&gt;0,SUMIFS(OverValue,OverEmp,$C52,OverComp,T$5,OverDate,"&lt;"&amp;DATE(YEAR($AC52),MONTH($AC52)+1,1),OverEnd,"&gt;="&amp;DATE(YEAR($AC52),MONTH($AC52),1)),IF(OR(T$2="Fixed",T$2="Not Used"),(OFFSET(Setup!$E$81,MATCH(T$5,CompListItem,0),0,1,1)*$AA52)-SUMIFS(OFFSET(T$6,1,0,PayCount,1),PayDate,"&lt;"&amp;$AC52,PayEmp,$C52),IF(ISNA(MATCH(T$2,DedListItem,0))=FALSE,(SUMPRODUCT((PayEmp=$C52)*(PayDate&lt;=$AC52)*(PayDedList=T$2)*(PayDedValues))*OFFSET(Setup!$E$81,MATCH(T$5,CompListItem,0),0,1,1))-SUMIFS(OFFSET(T$6,1,0,PayCount,1),PayDate,"&lt;"&amp;$AC52,PayEmp,$C52),(MIN(IF(OFFSET(Setup!$G$81,MATCH(T$5,CompListItem,0),0,1,1)="Taxable",SUMPRODUCT((PayEmp=$C52)*(PayDate&lt;=$AC52)*(ISERROR(SEARCH(PayEarnCode,T$4)))*(PayEarnTax)*(PayEarnValues)),SUMPRODUCT((PayEmp=$C52)*(PayDate&lt;=$AC52)*(ISERROR(SEARCH(PayEarnCode,T$4)))*(PayEarnValues))),IF(ISNUMBER(T$3),T$3/12*$AA52,IgnoreMin)))*OFFSET(Setup!$E$81,MATCH(T$5,CompListItem,0),0,1,1)-SUMIFS(OFFSET(T$6,1,0,PayCount,1),PayDate,"&lt;"&amp;$AC52,PayEmp,$C52)))))))</f>
        <v>177.12</v>
      </c>
      <c r="U52" s="133" cm="1">
        <f t="array" aca="1" ref="U52" ca="1">IF($F52="Terminated",0,IF($AA52=0,0,IF(ISNA(MATCH(U$5,CompListItem,0)),0,IF(COUNTIFS(OverEmp,$C52,OverComp,U$5,OverDate,"&lt;"&amp;DATE(YEAR($AC52),MONTH($AC52)+1,1),OverEnd,"&gt;="&amp;DATE(YEAR($AC52),MONTH($AC52),1))&gt;0,SUMIFS(OverValue,OverEmp,$C52,OverComp,U$5,OverDate,"&lt;"&amp;DATE(YEAR($AC52),MONTH($AC52)+1,1),OverEnd,"&gt;="&amp;DATE(YEAR($AC52),MONTH($AC52),1)),IF(OR(U$2="Fixed",U$2="Not Used"),(OFFSET(Setup!$E$81,MATCH(U$5,CompListItem,0),0,1,1)*$AA52)-SUMIFS(OFFSET(U$6,1,0,PayCount,1),PayDate,"&lt;"&amp;$AC52,PayEmp,$C52),IF(ISNA(MATCH(U$2,DedListItem,0))=FALSE,(SUMPRODUCT((PayEmp=$C52)*(PayDate&lt;=$AC52)*(PayDedList=U$2)*(PayDedValues))*OFFSET(Setup!$E$81,MATCH(U$5,CompListItem,0),0,1,1))-SUMIFS(OFFSET(U$6,1,0,PayCount,1),PayDate,"&lt;"&amp;$AC52,PayEmp,$C52),(MIN(IF(OFFSET(Setup!$G$81,MATCH(U$5,CompListItem,0),0,1,1)="Taxable",SUMPRODUCT((PayEmp=$C52)*(PayDate&lt;=$AC52)*(ISERROR(SEARCH(PayEarnCode,U$4)))*(PayEarnTax)*(PayEarnValues)),SUMPRODUCT((PayEmp=$C52)*(PayDate&lt;=$AC52)*(ISERROR(SEARCH(PayEarnCode,U$4)))*(PayEarnValues))),IF(ISNUMBER(U$3),U$3/12*$AA52,IgnoreMin)))*OFFSET(Setup!$E$81,MATCH(U$5,CompListItem,0),0,1,1)-SUMIFS(OFFSET(U$6,1,0,PayCount,1),PayDate,"&lt;"&amp;$AC52,PayEmp,$C52)))))))</f>
        <v>1500</v>
      </c>
      <c r="V52" s="133" cm="1">
        <f t="array" aca="1" ref="V52" ca="1">IF($F52="Terminated",0,IF($AA52=0,0,IF(ISNA(MATCH(V$5,CompListItem,0)),0,IF(COUNTIFS(OverEmp,$C52,OverComp,V$5,OverDate,"&lt;"&amp;DATE(YEAR($AC52),MONTH($AC52)+1,1),OverEnd,"&gt;="&amp;DATE(YEAR($AC52),MONTH($AC52),1))&gt;0,SUMIFS(OverValue,OverEmp,$C52,OverComp,V$5,OverDate,"&lt;"&amp;DATE(YEAR($AC52),MONTH($AC52)+1,1),OverEnd,"&gt;="&amp;DATE(YEAR($AC52),MONTH($AC52),1)),IF(OR(V$2="Fixed",V$2="Not Used"),(OFFSET(Setup!$E$81,MATCH(V$5,CompListItem,0),0,1,1)*$AA52)-SUMIFS(OFFSET(V$6,1,0,PayCount,1),PayDate,"&lt;"&amp;$AC52,PayEmp,$C52),IF(ISNA(MATCH(V$2,DedListItem,0))=FALSE,(SUMPRODUCT((PayEmp=$C52)*(PayDate&lt;=$AC52)*(PayDedList=V$2)*(PayDedValues))*OFFSET(Setup!$E$81,MATCH(V$5,CompListItem,0),0,1,1))-SUMIFS(OFFSET(V$6,1,0,PayCount,1),PayDate,"&lt;"&amp;$AC52,PayEmp,$C52),(MIN(IF(OFFSET(Setup!$G$81,MATCH(V$5,CompListItem,0),0,1,1)="Taxable",SUMPRODUCT((PayEmp=$C52)*(PayDate&lt;=$AC52)*(ISERROR(SEARCH(PayEarnCode,V$4)))*(PayEarnTax)*(PayEarnValues)),SUMPRODUCT((PayEmp=$C52)*(PayDate&lt;=$AC52)*(ISERROR(SEARCH(PayEarnCode,V$4)))*(PayEarnValues))),IF(ISNUMBER(V$3),V$3/12*$AA52,IgnoreMin)))*OFFSET(Setup!$E$81,MATCH(V$5,CompListItem,0),0,1,1)-SUMIFS(OFFSET(V$6,1,0,PayCount,1),PayDate,"&lt;"&amp;$AC52,PayEmp,$C52)))))))</f>
        <v>0</v>
      </c>
      <c r="W52" s="133" cm="1">
        <f t="array" aca="1" ref="W52" ca="1">IF($F52="Terminated",0,IF($AA52=0,0,IF(ISNA(MATCH(W$5,CompListItem,0)),0,IF(COUNTIFS(OverEmp,$C52,OverComp,W$5,OverDate,"&lt;"&amp;DATE(YEAR($AC52),MONTH($AC52)+1,1),OverEnd,"&gt;="&amp;DATE(YEAR($AC52),MONTH($AC52),1))&gt;0,SUMIFS(OverValue,OverEmp,$C52,OverComp,W$5,OverDate,"&lt;"&amp;DATE(YEAR($AC52),MONTH($AC52)+1,1),OverEnd,"&gt;="&amp;DATE(YEAR($AC52),MONTH($AC52),1)),IF(OR(W$2="Fixed",W$2="Not Used"),(OFFSET(Setup!$E$81,MATCH(W$5,CompListItem,0),0,1,1)*$AA52)-SUMIFS(OFFSET(W$6,1,0,PayCount,1),PayDate,"&lt;"&amp;$AC52,PayEmp,$C52),IF(ISNA(MATCH(W$2,DedListItem,0))=FALSE,(SUMPRODUCT((PayEmp=$C52)*(PayDate&lt;=$AC52)*(PayDedList=W$2)*(PayDedValues))*OFFSET(Setup!$E$81,MATCH(W$5,CompListItem,0),0,1,1))-SUMIFS(OFFSET(W$6,1,0,PayCount,1),PayDate,"&lt;"&amp;$AC52,PayEmp,$C52),(MIN(IF(OFFSET(Setup!$G$81,MATCH(W$5,CompListItem,0),0,1,1)="Taxable",SUMPRODUCT((PayEmp=$C52)*(PayDate&lt;=$AC52)*(ISERROR(SEARCH(PayEarnCode,W$4)))*(PayEarnTax)*(PayEarnValues)),SUMPRODUCT((PayEmp=$C52)*(PayDate&lt;=$AC52)*(ISERROR(SEARCH(PayEarnCode,W$4)))*(PayEarnValues))),IF(ISNUMBER(W$3),W$3/12*$AA52,IgnoreMin)))*OFFSET(Setup!$E$81,MATCH(W$5,CompListItem,0),0,1,1)-SUMIFS(OFFSET(W$6,1,0,PayCount,1),PayDate,"&lt;"&amp;$AC52,PayEmp,$C52)))))))</f>
        <v>0</v>
      </c>
      <c r="X52" s="185">
        <f t="shared" ca="1" si="18"/>
        <v>1677.12</v>
      </c>
      <c r="Y52" s="139">
        <f t="shared" ca="1" si="27"/>
        <v>151677.12</v>
      </c>
      <c r="Z52" s="139">
        <f t="shared" ca="1" si="19"/>
        <v>58716.07</v>
      </c>
      <c r="AA52" s="146">
        <f ca="1">IF(OR($B52&lt;=Setup!$E$12,$B52&gt;=Setup!$D$12+1),0,IF($F52&lt;&gt;"Active",0,IF($AE52="Yes",$AB52,((YEAR($AC52)*12)+MONTH($AC52))-((YEAR($AD52)*12)+MONTH($AD52)-1))))</f>
        <v>4</v>
      </c>
      <c r="AB52" s="146">
        <f ca="1">IF(OR($B52&lt;=Setup!$E$12,$B52&gt;=Setup!$D$12+1),0,((YEAR($AC52)*12)+MONTH($AC52))-((YEAR(Setup!$E$12)*12)+MONTH(Setup!$E$12)))</f>
        <v>4</v>
      </c>
      <c r="AC52" s="186">
        <f t="shared" ca="1" si="20"/>
        <v>45102</v>
      </c>
      <c r="AD52" s="144">
        <f ca="1">IF(ISNA(VLOOKUP($C52,EmpAll,COLUMN(Emp!$E$4),0)),$AC52,IF(VLOOKUP($C52,EmpAll,COLUMN(Emp!$E$4),0)&lt;=Setup!$E$12,DATE(YEAR(Setup!$E$12),MONTH(Setup!$E$12)+1,1),VLOOKUP($C52,EmpAll,COLUMN(Emp!$E$4),0)))</f>
        <v>44986</v>
      </c>
      <c r="AE52" s="144" t="str">
        <f ca="1">IF(ISNA(VLOOKUP($C52,EmpAll,COLUMN(Emp!$G$1),0)),"-",IF(VLOOKUP($C52,EmpAll,COLUMN(Emp!$G$1),0)=0,"-",VLOOKUP($C52,EmpAll,COLUMN(Emp!$G$1),0)))</f>
        <v>-</v>
      </c>
      <c r="AF52" s="145">
        <f ca="1">IF(A52=PaySlip!$G$3,1,0)</f>
        <v>0</v>
      </c>
      <c r="AG52" s="130" cm="1">
        <f t="array" aca="1" ref="AG52" ca="1">IF(COUNTIFS(OverEmp,$C52,OverMed,"MED",OverDate,"&lt;"&amp;DATE(YEAR($AC52),MONTH($AC52)+1,1),OverEnd,"&gt;="&amp;DATE(YEAR($AC52),MONTH($AC52),1))&gt;0,SUMIFS(OverValue,OverEmp,$C52,OverMed,"MED",OverDate,"&lt;"&amp;DATE(YEAR($AC52),MONTH($AC52)+1,1),OverEnd,"&gt;="&amp;DATE(YEAR($AC52),MONTH($AC52),1)),IF(ISNA(VLOOKUP($C52,EmpAll,COLUMN(Emp!$N$4),0)),0,VLOOKUP($C52,EmpAll,COLUMN(Emp!$N$4),0)))</f>
        <v>5</v>
      </c>
      <c r="AH52" s="146">
        <f ca="1">VLOOKUP($AG52,MedList,COLUMN(Setup!$C$49),1)</f>
        <v>1466</v>
      </c>
      <c r="AI52" s="146">
        <f t="shared" ca="1" si="7"/>
        <v>17592</v>
      </c>
      <c r="AJ52" s="101" t="str">
        <f ca="1">IF(ISNA(VLOOKUP($C52,EmpAll,COLUMN(Emp!$L$4),0)),"None!",VLOOKUP($C52,EmpAll,COLUMN(Emp!$L$4),0))</f>
        <v>A</v>
      </c>
      <c r="AK52" s="147">
        <f t="shared" ca="1" si="21"/>
        <v>17235</v>
      </c>
      <c r="AL52" s="101" t="str">
        <f ca="1">IF(ISNA(VLOOKUP($C52,Employees[],COLUMN(Emp!$M$4),0))=TRUE,"Error!",IF(VLOOKUP($C52,Employees[],COLUMN(Emp!$M$4),0)=0,"Yes",VLOOKUP($C52,Employees[],COLUMN(Emp!$M$4),0)))</f>
        <v>A</v>
      </c>
      <c r="AM52" s="148">
        <f t="shared" ca="1" si="9"/>
        <v>1800000</v>
      </c>
      <c r="AN52" s="148" cm="1">
        <f t="array" aca="1" ref="AN52" ca="1">-IF($F52="Terminated",0,IF($AA52=0,0,IF(ISNA(MATCH(AN$5,PayDedList,0)),0,MIN(IF(COUNTIFS(OverEmp,$C52,OverDeduct,AN$5,OverDate,"&lt;"&amp;DATE(YEAR($AC52),MONTH($AC52)+1,1),OverEnd,"&gt;="&amp;DATE(YEAR($AC52),MONTH($AC52),1))&gt;0,SUMPRODUCT((PayEmp=$C52)*(PayDate&lt;=$AC52)*(OFFSET($N$6,1,MATCH(AN$5,PayDedList,0)-1,PayCount,1)))/$AA52*12*AN$3,IF(OR(AN$1="Fixed",AN$1="Not Used"),SUMPRODUCT((PayEmp=$C52)*(PayDate&lt;=$AC52)*(OFFSET($N$6,1,MATCH(AN$5,PayDedList,0)-1,PayCount,1)))/$AA52*12*AN$3,IF(ISNA(MATCH(AN$1,EarnListItem,0))=FALSE,SUMPRODUCT((PayEmp=$C52)*(PayDate&lt;=$AC52)*(OFFSET($N$6,1,MATCH(AN$5,PayDedList,0)-1,PayCount,1)))/$AA52*12*AN$3,(MIN(((SUMPRODUCT((PayEmp=$C52)*(PayDate&lt;=$AC52)*(ISERROR(SEARCH(PayEarnCode,AN$2)))*(PayEarnType="Monthly")*(PayEarnValues))/$AA52*12)+(SUMPRODUCT((PayEmp=$C52)*(PayDate&lt;=$AC52)*(ISERROR(SEARCH(PayEarnCode,AN$2)))*(PayEarnType="Quarterly")*(PayEarnValues))/MAX(1,ROUNDDOWN($AB52/3,0))*4)+(SUMPRODUCT((PayEmp=$C52)*(PayDate&lt;=$AC52)*(ISERROR(SEARCH(PayEarnCode,AN$2)))*(PayEarnType="Bi-Annual")*(PayEarnValues))/MAX(1,ROUNDDOWN($AB52/6,0))*2)+(SUMPRODUCT((PayEmp=$C52)*(PayDate&lt;=$AC52)*(ISERROR(SEARCH(PayEarnCode,AN$2)))*(PayEarnType="Annual")*(PayEarnValues)))),IF(ISNUMBER(OFFSET($N$3,0,MATCH(AN$5,PayDedList,0)-1,1,1)),OFFSET($N$3,0,MATCH(AN$5,PayDedList,0)-1,1,1),IgnoreMin)))*IF(COUNTIFS(EmpNo,$C52,OFFSET(Emp!$R$4,1,MATCH(AN$5,DedListItem,0)-1,EmpCount,1),"&lt;&gt;")&gt;0,VLOOKUP($C52,EmpAll,COLUMN(Emp!$R$4)+MATCH(AN$5,DedListItem,0)-1,0),OFFSET(Setup!$E$73,MATCH(AN$5,DedListItem,0),0,1,1))*AN$3))),IF(ISNUMBER(AN$4),AN$4,IgnoreMin)))))</f>
        <v>0</v>
      </c>
      <c r="AO52" s="148" cm="1">
        <f t="array" aca="1" ref="AO52" ca="1">-IF($F52="Terminated",0,IF($AA52=0,0,IF(ISNA(MATCH(AO$5,PayDedList,0)),0,MIN(IF(COUNTIFS(OverEmp,$C52,OverDeduct,AO$5,OverDate,"&lt;"&amp;DATE(YEAR($AC52),MONTH($AC52)+1,1),OverEnd,"&gt;="&amp;DATE(YEAR($AC52),MONTH($AC52),1))&gt;0,SUMPRODUCT((PayEmp=$C52)*(PayDate&lt;=$AC52)*(OFFSET($N$6,1,MATCH(AO$5,PayDedList,0)-1,PayCount,1)))/$AA52*12*AO$3,IF(OR(AO$1="Fixed",AO$1="Not Used"),SUMPRODUCT((PayEmp=$C52)*(PayDate&lt;=$AC52)*(OFFSET($N$6,1,MATCH(AO$5,PayDedList,0)-1,PayCount,1)))/$AA52*12*AO$3,IF(ISNA(MATCH(AO$1,EarnListItem,0))=FALSE,SUMPRODUCT((PayEmp=$C52)*(PayDate&lt;=$AC52)*(OFFSET($N$6,1,MATCH(AO$5,PayDedList,0)-1,PayCount,1)))/$AA52*12*AO$3,(MIN(((SUMPRODUCT((PayEmp=$C52)*(PayDate&lt;=$AC52)*(ISERROR(SEARCH(PayEarnCode,AO$2)))*(PayEarnType="Monthly")*(PayEarnValues))/$AA52*12)+(SUMPRODUCT((PayEmp=$C52)*(PayDate&lt;=$AC52)*(ISERROR(SEARCH(PayEarnCode,AO$2)))*(PayEarnType="Quarterly")*(PayEarnValues))/MAX(1,ROUNDDOWN($AB52/3,0))*4)+(SUMPRODUCT((PayEmp=$C52)*(PayDate&lt;=$AC52)*(ISERROR(SEARCH(PayEarnCode,AO$2)))*(PayEarnType="Bi-Annual")*(PayEarnValues))/MAX(1,ROUNDDOWN($AB52/6,0))*2)+(SUMPRODUCT((PayEmp=$C52)*(PayDate&lt;=$AC52)*(ISERROR(SEARCH(PayEarnCode,AO$2)))*(PayEarnType="Annual")*(PayEarnValues)))),IF(ISNUMBER(OFFSET($N$3,0,MATCH(AO$5,PayDedList,0)-1,1,1)),OFFSET($N$3,0,MATCH(AO$5,PayDedList,0)-1,1,1),IgnoreMin)))*IF(COUNTIFS(EmpNo,$C52,OFFSET(Emp!$R$4,1,MATCH(AO$5,DedListItem,0)-1,EmpCount,1),"&lt;&gt;")&gt;0,VLOOKUP($C52,EmpAll,COLUMN(Emp!$R$4)+MATCH(AO$5,DedListItem,0)-1,0),OFFSET(Setup!$E$73,MATCH(AO$5,DedListItem,0),0,1,1))*AO$3))),IF(ISNUMBER(AO$4),AO$4,IgnoreMin)))))</f>
        <v>-135000</v>
      </c>
      <c r="AP52" s="148" cm="1">
        <f t="array" aca="1" ref="AP52" ca="1">-IF($F52="Terminated",0,IF($AA52=0,0,IF(ISNA(MATCH(AP$5,PayDedList,0)),0,MIN(IF(COUNTIFS(OverEmp,$C52,OverDeduct,AP$5,OverDate,"&lt;"&amp;DATE(YEAR($AC52),MONTH($AC52)+1,1),OverEnd,"&gt;="&amp;DATE(YEAR($AC52),MONTH($AC52),1))&gt;0,SUMPRODUCT((PayEmp=$C52)*(PayDate&lt;=$AC52)*(OFFSET($N$6,1,MATCH(AP$5,PayDedList,0)-1,PayCount,1)))/$AA52*12*AP$3,IF(OR(AP$1="Fixed",AP$1="Not Used"),SUMPRODUCT((PayEmp=$C52)*(PayDate&lt;=$AC52)*(OFFSET($N$6,1,MATCH(AP$5,PayDedList,0)-1,PayCount,1)))/$AA52*12*AP$3,IF(ISNA(MATCH(AP$1,EarnListItem,0))=FALSE,SUMPRODUCT((PayEmp=$C52)*(PayDate&lt;=$AC52)*(OFFSET($N$6,1,MATCH(AP$5,PayDedList,0)-1,PayCount,1)))/$AA52*12*AP$3,(MIN(((SUMPRODUCT((PayEmp=$C52)*(PayDate&lt;=$AC52)*(ISERROR(SEARCH(PayEarnCode,AP$2)))*(PayEarnType="Monthly")*(PayEarnValues))/$AA52*12)+(SUMPRODUCT((PayEmp=$C52)*(PayDate&lt;=$AC52)*(ISERROR(SEARCH(PayEarnCode,AP$2)))*(PayEarnType="Quarterly")*(PayEarnValues))/MAX(1,ROUNDDOWN($AB52/3,0))*4)+(SUMPRODUCT((PayEmp=$C52)*(PayDate&lt;=$AC52)*(ISERROR(SEARCH(PayEarnCode,AP$2)))*(PayEarnType="Bi-Annual")*(PayEarnValues))/MAX(1,ROUNDDOWN($AB52/6,0))*2)+(SUMPRODUCT((PayEmp=$C52)*(PayDate&lt;=$AC52)*(ISERROR(SEARCH(PayEarnCode,AP$2)))*(PayEarnType="Annual")*(PayEarnValues)))),IF(ISNUMBER(OFFSET($N$3,0,MATCH(AP$5,PayDedList,0)-1,1,1)),OFFSET($N$3,0,MATCH(AP$5,PayDedList,0)-1,1,1),IgnoreMin)))*IF(COUNTIFS(EmpNo,$C52,OFFSET(Emp!$R$4,1,MATCH(AP$5,DedListItem,0)-1,EmpCount,1),"&lt;&gt;")&gt;0,VLOOKUP($C52,EmpAll,COLUMN(Emp!$R$4)+MATCH(AP$5,DedListItem,0)-1,0),OFFSET(Setup!$E$73,MATCH(AP$5,DedListItem,0),0,1,1))*AP$3))),IF(ISNUMBER(AP$4),AP$4,IgnoreMin)))))</f>
        <v>0</v>
      </c>
      <c r="AQ52" s="148" cm="1">
        <f t="array" aca="1" ref="AQ52" ca="1">-IF($F52="Terminated",0,IF($AA52=0,0,IF(ISNA(MATCH(AQ$5,PayDedList,0)),0,MIN(IF(COUNTIFS(OverEmp,$C52,OverDeduct,AQ$5,OverDate,"&lt;"&amp;DATE(YEAR($AC52),MONTH($AC52)+1,1),OverEnd,"&gt;="&amp;DATE(YEAR($AC52),MONTH($AC52),1))&gt;0,SUMPRODUCT((PayEmp=$C52)*(PayDate&lt;=$AC52)*(OFFSET($N$6,1,MATCH(AQ$5,PayDedList,0)-1,PayCount,1)))/$AA52*12*AQ$3,IF(OR(AQ$1="Fixed",AQ$1="Not Used"),SUMPRODUCT((PayEmp=$C52)*(PayDate&lt;=$AC52)*(OFFSET($N$6,1,MATCH(AQ$5,PayDedList,0)-1,PayCount,1)))/$AA52*12*AQ$3,IF(ISNA(MATCH(AQ$1,EarnListItem,0))=FALSE,SUMPRODUCT((PayEmp=$C52)*(PayDate&lt;=$AC52)*(OFFSET($N$6,1,MATCH(AQ$5,PayDedList,0)-1,PayCount,1)))/$AA52*12*AQ$3,(MIN(((SUMPRODUCT((PayEmp=$C52)*(PayDate&lt;=$AC52)*(ISERROR(SEARCH(PayEarnCode,AQ$2)))*(PayEarnType="Monthly")*(PayEarnValues))/$AA52*12)+(SUMPRODUCT((PayEmp=$C52)*(PayDate&lt;=$AC52)*(ISERROR(SEARCH(PayEarnCode,AQ$2)))*(PayEarnType="Quarterly")*(PayEarnValues))/MAX(1,ROUNDDOWN($AB52/3,0))*4)+(SUMPRODUCT((PayEmp=$C52)*(PayDate&lt;=$AC52)*(ISERROR(SEARCH(PayEarnCode,AQ$2)))*(PayEarnType="Bi-Annual")*(PayEarnValues))/MAX(1,ROUNDDOWN($AB52/6,0))*2)+(SUMPRODUCT((PayEmp=$C52)*(PayDate&lt;=$AC52)*(ISERROR(SEARCH(PayEarnCode,AQ$2)))*(PayEarnType="Annual")*(PayEarnValues)))),IF(ISNUMBER(OFFSET($N$3,0,MATCH(AQ$5,PayDedList,0)-1,1,1)),OFFSET($N$3,0,MATCH(AQ$5,PayDedList,0)-1,1,1),IgnoreMin)))*IF(COUNTIFS(EmpNo,$C52,OFFSET(Emp!$R$4,1,MATCH(AQ$5,DedListItem,0)-1,EmpCount,1),"&lt;&gt;")&gt;0,VLOOKUP($C52,EmpAll,COLUMN(Emp!$R$4)+MATCH(AQ$5,DedListItem,0)-1,0),OFFSET(Setup!$E$73,MATCH(AQ$5,DedListItem,0),0,1,1))*AQ$3))),IF(ISNUMBER(AQ$4),AQ$4,IgnoreMin)))))</f>
        <v>0</v>
      </c>
      <c r="AR52" s="148">
        <f t="shared" ca="1" si="22"/>
        <v>1665000</v>
      </c>
      <c r="AS52" s="148">
        <f t="shared" ca="1" si="11"/>
        <v>1800000</v>
      </c>
      <c r="AT52" s="148" cm="1">
        <f t="array" aca="1" ref="AT52" ca="1">-IF($F52="Terminated",0,IF($AA52=0,0,IF(ISNA(MATCH(AT$5,PayDedList,0)),0,MIN(IF(COUNTIFS(OverEmp,$C52,OverDeduct,AT$5,OverDate,"&lt;"&amp;DATE(YEAR($AC52),MONTH($AC52)+1,1),OverEnd,"&gt;="&amp;DATE(YEAR($AC52),MONTH($AC52),1))&gt;0,SUMPRODUCT((PayEmp=$C52)*(PayDate&lt;=$AC52)*(OFFSET($N$6,1,MATCH(AT$5,PayDedList,0)-1,PayCount,1)))/$AA52*12*AT$3,IF(OR(AT$1="Fixed",AT$1="Not Used"),SUMPRODUCT((PayEmp=$C52)*(PayDate&lt;=$AC52)*(OFFSET($N$6,1,MATCH(AT$5,PayDedList,0)-1,PayCount,1)))/$AA52*12*AT$3,IF(ISNA(MATCH(OFFSET($N$2,0,MATCH(AT$5,PayDedList,0)-1,1,1),EarnListItem,0))=FALSE,SUMPRODUCT((PayEmp=$C52)*(PayDate&lt;=$AC52)*(OFFSET($N$6,1,MATCH(AT$5,PayDedList,0)-1,PayCount,1)))/$AA52*12*AT$3,(MIN(SUMPRODUCT((PayEmp=$C52)*(PayDate&lt;=$AC52)*(ISERROR(SEARCH(PayEarnCode,AT$2)))*(PayEarnType="Monthly")*(PayEarnValues))/$AA52*12,IF(ISNUMBER(OFFSET($N$3,0,MATCH(AT$5,PayDedList,0)-1,1,1)),OFFSET($N$3,0,MATCH(AT$5,PayDedList,0)-1,1,1),IgnoreMin)))*IF(COUNTIFS(EmpNo,$C52,OFFSET(Emp!$R$4,1,MATCH(AT$5,DedListItem,0)-1,EmpCount,1),"&lt;&gt;")&gt;0,VLOOKUP($C52,EmpAll,COLUMN(Emp!$R$4)+MATCH(AT$5,DedListItem,0)-1,0),OFFSET(Setup!$E$73,MATCH(AT$5,DedListItem,0),0,1,1))*AT$3))),IF(ISNUMBER(AT$4),AT$4,IgnoreMin)))))</f>
        <v>0</v>
      </c>
      <c r="AU52" s="148" cm="1">
        <f t="array" aca="1" ref="AU52" ca="1">-IF($F52="Terminated",0,IF($AA52=0,0,IF(ISNA(MATCH(AU$5,PayDedList,0)),0,MIN(IF(COUNTIFS(OverEmp,$C52,OverDeduct,AU$5,OverDate,"&lt;"&amp;DATE(YEAR($AC52),MONTH($AC52)+1,1),OverEnd,"&gt;="&amp;DATE(YEAR($AC52),MONTH($AC52),1))&gt;0,SUMPRODUCT((PayEmp=$C52)*(PayDate&lt;=$AC52)*(OFFSET($N$6,1,MATCH(AU$5,PayDedList,0)-1,PayCount,1)))/$AA52*12*AU$3,IF(OR(AU$1="Fixed",AU$1="Not Used"),SUMPRODUCT((PayEmp=$C52)*(PayDate&lt;=$AC52)*(OFFSET($N$6,1,MATCH(AU$5,PayDedList,0)-1,PayCount,1)))/$AA52*12*AU$3,IF(ISNA(MATCH(OFFSET($N$2,0,MATCH(AU$5,PayDedList,0)-1,1,1),EarnListItem,0))=FALSE,SUMPRODUCT((PayEmp=$C52)*(PayDate&lt;=$AC52)*(OFFSET($N$6,1,MATCH(AU$5,PayDedList,0)-1,PayCount,1)))/$AA52*12*AU$3,(MIN(SUMPRODUCT((PayEmp=$C52)*(PayDate&lt;=$AC52)*(ISERROR(SEARCH(PayEarnCode,AU$2)))*(PayEarnType="Monthly")*(PayEarnValues))/$AA52*12,IF(ISNUMBER(OFFSET($N$3,0,MATCH(AU$5,PayDedList,0)-1,1,1)),OFFSET($N$3,0,MATCH(AU$5,PayDedList,0)-1,1,1),IgnoreMin)))*IF(COUNTIFS(EmpNo,$C52,OFFSET(Emp!$R$4,1,MATCH(AU$5,DedListItem,0)-1,EmpCount,1),"&lt;&gt;")&gt;0,VLOOKUP($C52,EmpAll,COLUMN(Emp!$R$4)+MATCH(AU$5,DedListItem,0)-1,0),OFFSET(Setup!$E$73,MATCH(AU$5,DedListItem,0),0,1,1))*AU$3))),IF(ISNUMBER(AU$4),AU$4,IgnoreMin)))))</f>
        <v>-135000</v>
      </c>
      <c r="AV52" s="148" cm="1">
        <f t="array" aca="1" ref="AV52" ca="1">-IF($F52="Terminated",0,IF($AA52=0,0,IF(ISNA(MATCH(AV$5,PayDedList,0)),0,MIN(IF(COUNTIFS(OverEmp,$C52,OverDeduct,AV$5,OverDate,"&lt;"&amp;DATE(YEAR($AC52),MONTH($AC52)+1,1),OverEnd,"&gt;="&amp;DATE(YEAR($AC52),MONTH($AC52),1))&gt;0,SUMPRODUCT((PayEmp=$C52)*(PayDate&lt;=$AC52)*(OFFSET($N$6,1,MATCH(AV$5,PayDedList,0)-1,PayCount,1)))/$AA52*12*AV$3,IF(OR(AV$1="Fixed",AV$1="Not Used"),SUMPRODUCT((PayEmp=$C52)*(PayDate&lt;=$AC52)*(OFFSET($N$6,1,MATCH(AV$5,PayDedList,0)-1,PayCount,1)))/$AA52*12*AV$3,IF(ISNA(MATCH(OFFSET($N$2,0,MATCH(AV$5,PayDedList,0)-1,1,1),EarnListItem,0))=FALSE,SUMPRODUCT((PayEmp=$C52)*(PayDate&lt;=$AC52)*(OFFSET($N$6,1,MATCH(AV$5,PayDedList,0)-1,PayCount,1)))/$AA52*12*AV$3,(MIN(SUMPRODUCT((PayEmp=$C52)*(PayDate&lt;=$AC52)*(ISERROR(SEARCH(PayEarnCode,AV$2)))*(PayEarnType="Monthly")*(PayEarnValues))/$AA52*12,IF(ISNUMBER(OFFSET($N$3,0,MATCH(AV$5,PayDedList,0)-1,1,1)),OFFSET($N$3,0,MATCH(AV$5,PayDedList,0)-1,1,1),IgnoreMin)))*IF(COUNTIFS(EmpNo,$C52,OFFSET(Emp!$R$4,1,MATCH(AV$5,DedListItem,0)-1,EmpCount,1),"&lt;&gt;")&gt;0,VLOOKUP($C52,EmpAll,COLUMN(Emp!$R$4)+MATCH(AV$5,DedListItem,0)-1,0),OFFSET(Setup!$E$73,MATCH(AV$5,DedListItem,0),0,1,1))*AV$3))),IF(ISNUMBER(AV$4),AV$4,IgnoreMin)))))</f>
        <v>0</v>
      </c>
      <c r="AW52" s="148" cm="1">
        <f t="array" aca="1" ref="AW52" ca="1">-IF($F52="Terminated",0,IF($AA52=0,0,IF(ISNA(MATCH(AW$5,PayDedList,0)),0,MIN(IF(COUNTIFS(OverEmp,$C52,OverDeduct,AW$5,OverDate,"&lt;"&amp;DATE(YEAR($AC52),MONTH($AC52)+1,1),OverEnd,"&gt;="&amp;DATE(YEAR($AC52),MONTH($AC52),1))&gt;0,SUMPRODUCT((PayEmp=$C52)*(PayDate&lt;=$AC52)*(OFFSET($N$6,1,MATCH(AW$5,PayDedList,0)-1,PayCount,1)))/$AA52*12*AW$3,IF(OR(AW$1="Fixed",AW$1="Not Used"),SUMPRODUCT((PayEmp=$C52)*(PayDate&lt;=$AC52)*(OFFSET($N$6,1,MATCH(AW$5,PayDedList,0)-1,PayCount,1)))/$AA52*12*AW$3,IF(ISNA(MATCH(OFFSET($N$2,0,MATCH(AW$5,PayDedList,0)-1,1,1),EarnListItem,0))=FALSE,SUMPRODUCT((PayEmp=$C52)*(PayDate&lt;=$AC52)*(OFFSET($N$6,1,MATCH(AW$5,PayDedList,0)-1,PayCount,1)))/$AA52*12*AW$3,(MIN(SUMPRODUCT((PayEmp=$C52)*(PayDate&lt;=$AC52)*(ISERROR(SEARCH(PayEarnCode,AW$2)))*(PayEarnType="Monthly")*(PayEarnValues))/$AA52*12,IF(ISNUMBER(OFFSET($N$3,0,MATCH(AW$5,PayDedList,0)-1,1,1)),OFFSET($N$3,0,MATCH(AW$5,PayDedList,0)-1,1,1),IgnoreMin)))*IF(COUNTIFS(EmpNo,$C52,OFFSET(Emp!$R$4,1,MATCH(AW$5,DedListItem,0)-1,EmpCount,1),"&lt;&gt;")&gt;0,VLOOKUP($C52,EmpAll,COLUMN(Emp!$R$4)+MATCH(AW$5,DedListItem,0)-1,0),OFFSET(Setup!$E$73,MATCH(AW$5,DedListItem,0),0,1,1))*AW$3))),IF(ISNUMBER(AW$4),AW$4,IgnoreMin)))))</f>
        <v>0</v>
      </c>
      <c r="AX52" s="148">
        <f t="shared" ca="1" si="28"/>
        <v>1665000</v>
      </c>
      <c r="AY52" s="148">
        <f t="shared" ca="1" si="29"/>
        <v>0</v>
      </c>
      <c r="AZ52" s="148">
        <f ca="1">IF(ISNUMBER($AL52),($AR52*$AL52)-$AI52-$AK52,MAX(0,IF($AL52="B",IF($AR52&lt;Setup!$C$32,($AR52*Setup!$D$32)-$AI52-$AK52,(($AR52-VLOOKUP($AR52,TaxAll2,1,1))*OFFSET(Setup!$D$32,MATCH($AR52,TaxBracket2,1),0,1,1))+OFFSET(Setup!$E$31,MATCH($AR52,TaxBracket2,1),0,1,1)-$AI52-$AK52),IF($AR52&lt;Setup!$C$21,($AR52*Setup!$D$21)-$AI52-$AK52,(($AR52-VLOOKUP($AR52,TaxAll1,1,1))*OFFSET(Setup!$D$21,MATCH($AR52,TaxBracket1,1),0,1,1))+OFFSET(Setup!$E$20,MATCH($AR52,TaxBracket1,1),0,1,1)-$AI52-$AK52))))</f>
        <v>547342</v>
      </c>
      <c r="BA52" s="148">
        <f ca="1">IF(ISNUMBER($AL52),($AX52*$AL52)-$AI52-$AK52,MAX(0,IF($AL52="B",IF($AX52&lt;Setup!$C$32,($AX52*Setup!$D$32)-$AI52-$AK52,(($AX52-VLOOKUP($AX52,TaxAll2,1,1))*OFFSET(Setup!$D$32,MATCH($AX52,TaxBracket2,1),0,1,1))+OFFSET(Setup!$E$31,MATCH($AX52,TaxBracket2,1),0,1,1)-$AI52-$AK52),IF($AX52&lt;Setup!$C$21,($AX52*Setup!$D$21)-$AI52-$AK52,(($AX52-VLOOKUP($AX52,TaxAll1,1,1))*OFFSET(Setup!$D$21,MATCH($AX52,TaxBracket1,1),0,1,1))+OFFSET(Setup!$E$20,MATCH($AX52,TaxBracket1,1),0,1,1)-$AI52-$AK52))))</f>
        <v>547342</v>
      </c>
      <c r="BB52" s="148">
        <f t="shared" ca="1" si="23"/>
        <v>0</v>
      </c>
      <c r="BC52" s="150">
        <f t="shared" ca="1" si="15"/>
        <v>1</v>
      </c>
      <c r="BD52" s="150">
        <f t="shared" ca="1" si="16"/>
        <v>0</v>
      </c>
      <c r="BE52" s="148">
        <f t="shared" ca="1" si="17"/>
        <v>1800000</v>
      </c>
    </row>
    <row r="53" spans="1:57" ht="16.149999999999999" customHeight="1" x14ac:dyDescent="0.25">
      <c r="A53" s="10" t="str" cm="1">
        <f t="array" aca="1" ref="A53" ca="1">IF(ROW($A53)-ROW($A$6)&gt;EmpCount*12,"-",TEXT($B53,"yyyy")&amp;TEXT($B53,"mm")&amp;"-"&amp;$C53)</f>
        <v>202306-EXS002</v>
      </c>
      <c r="B53" s="137" cm="1">
        <f t="array" aca="1" ref="B53" ca="1">IF(ROW($A53)-ROW($A$6)&gt;EmpCount*12,Setup!$D$12,DATE(YEAR(Setup!$F$12),MONTH(Setup!$F$12)+ROUNDDOWN((ROW($A53)-ROW($A$6)-1)/EmpCount,0),IF(Setup!$C$14&gt;DAY(DATE(YEAR(Setup!$F$12),MONTH(Setup!$F$12)+ROUNDDOWN((ROW($A53)-ROW($A$6)-1)/EmpCount,0)+1,0)),DAY(DATE(YEAR(Setup!$F$12),MONTH(Setup!$F$12)+ROUNDDOWN((ROW($A53)-ROW($A$6)-1)/EmpCount,0)+1,0)),Setup!$C$14)))</f>
        <v>45102</v>
      </c>
      <c r="C53" s="101" t="str" cm="1">
        <f t="array" aca="1" ref="C53" ca="1">IF(ROW($A53)-ROW($A$6)&gt;EmpCount*12,"-",OFFSET(Emp!$A$4,ROW($A53)-ROW($A$6)-IF(ROW($A53)-ROW($A$6)&gt;EmpCount,ROUNDDOWN((ROW($A53)-ROW($A$6)-1)/EmpCount,0)*EmpCount,0),0,1,1))</f>
        <v>EXS002</v>
      </c>
      <c r="D53" s="10" t="str">
        <f ca="1">IF(ISNA(VLOOKUP($C53,EmpAll,COLUMN(Emp!$B$4),0)),"-",VLOOKUP($C53,EmpAll,COLUMN(Emp!$B$4),0))</f>
        <v>Smith F</v>
      </c>
      <c r="E53" s="145" t="str">
        <f ca="1">IF(ISNA(VLOOKUP($C53,EmpAll,COLUMN(Emp!$C$4),0)),"-",VLOOKUP($C53,EmpAll,COLUMN(Emp!$C$4),0))</f>
        <v>M</v>
      </c>
      <c r="F53" s="101" t="str">
        <f ca="1">IF(ISNA(VLOOKUP($C53,EmpAll,COLUMN(Emp!$A$4),0)),"-",IF(AND(VLOOKUP($C53,EmpAll,COLUMN(Emp!$E$4),0)&lt;&gt;0,VLOOKUP($C53,EmpAll,COLUMN(Emp!$E$4),0)&gt;=DATE(YEAR($AC53),MONTH($AC53)+1,0)),"Inactive",IF(AND(VLOOKUP($C53,EmpAll,COLUMN(Emp!$F$4),0)&lt;&gt;0,VLOOKUP($C53,EmpAll,COLUMN(Emp!$F$4),0)&lt;=DATE(YEAR($AC53),MONTH($AC53),0)),"Terminated","Active")))</f>
        <v>Active</v>
      </c>
      <c r="G53" s="133" cm="1">
        <f t="array" aca="1" ref="G53" ca="1">IF($F53&lt;&gt;"Active",0,IF(COUNTIFS(OverEmp,$C53,OverEarn,G$2,OverDate,"&lt;"&amp;DATE(YEAR($AC53),MONTH($AC53)+1,1),OverEnd,"&gt;="&amp;DATE(YEAR($AC53),MONTH($AC53),1))&gt;0,SUMIFS(OverValue,OverEmp,$C53,OverEarn,G$2,OverDate,"&lt;"&amp;DATE(YEAR($AC53),MONTH($AC53)+1,1),OverEnd,"&gt;="&amp;DATE(YEAR($AC53),MONTH($AC53),1)),IF(AND($AC53&gt;=Setup!$E$10,SUMIFS(EmpIncrease,EmpCode,$C53)&gt;0),SUMIFS(EmpIncrease,EmpCode,$C53),SUMIFS(EmpSalary,EmpCode,$C53))))</f>
        <v>120000</v>
      </c>
      <c r="H53" s="133" cm="1">
        <f t="array" aca="1" ref="H53" ca="1">IF($F53&lt;&gt;"Active",0,IF(COUNTIFS(OverEmp,$C53,OverEarn,H$2,OverDate,"&lt;"&amp;DATE(YEAR($AC53),MONTH($AC53)+1,1),OverEnd,"&gt;="&amp;DATE(YEAR($AC53),MONTH($AC53),1))&gt;0,SUMIFS(OverValue,OverEmp,$C53,OverEarn,H$2,OverDate,"&lt;"&amp;DATE(YEAR($AC53),MONTH($AC53)+1,1),OverEnd,"&gt;="&amp;DATE(YEAR($AC53),MONTH($AC53),1)),0))</f>
        <v>0</v>
      </c>
      <c r="I53" s="133" cm="1">
        <f t="array" aca="1" ref="I53" ca="1">IF($F53&lt;&gt;"Active",0,IF(COUNTIFS(OverEmp,$C53,OverEarn,I$2,OverDate,"&lt;"&amp;DATE(YEAR($AC53),MONTH($AC53)+1,1),OverEnd,"&gt;="&amp;DATE(YEAR($AC53),MONTH($AC53),1))&gt;0,SUMIFS(OverValue,OverEmp,$C53,OverEarn,I$2,OverDate,"&lt;"&amp;DATE(YEAR($AC53),MONTH($AC53)+1,1),OverEnd,"&gt;="&amp;DATE(YEAR($AC53),MONTH($AC53),1)),IF(MONTH(B53)=Setup!$C$15,SUMIFS(EmpBonus,EmpCode,$C53),0)))</f>
        <v>0</v>
      </c>
      <c r="J53" s="133" cm="1">
        <f t="array" aca="1" ref="J53" ca="1">IF($F53&lt;&gt;"Active",0,IF(COUNTIFS(OverEmp,$C53,OverEarn,J$2,OverDate,"&lt;"&amp;DATE(YEAR($AC53),MONTH($AC53)+1,1),OverEnd,"&gt;="&amp;DATE(YEAR($AC53),MONTH($AC53),1))&gt;0,SUMIFS(OverValue,OverEmp,$C53,OverEarn,J$2,OverDate,"&lt;"&amp;DATE(YEAR($AC53),MONTH($AC53)+1,1),OverEnd,"&gt;="&amp;DATE(YEAR($AC53),MONTH($AC53),1)),0))</f>
        <v>0</v>
      </c>
      <c r="K53" s="133" cm="1">
        <f t="array" aca="1" ref="K53" ca="1">IF($F53&lt;&gt;"Active",0,IF(COUNTIFS(OverEmp,$C53,OverEarn,K$2,OverDate,"&lt;"&amp;DATE(YEAR($AC53),MONTH($AC53)+1,1),OverEnd,"&gt;="&amp;DATE(YEAR($AC53),MONTH($AC53),1))&gt;0,SUMIFS(OverValue,OverEmp,$C53,OverEarn,K$2,OverDate,"&lt;"&amp;DATE(YEAR($AC53),MONTH($AC53)+1,1),OverEnd,"&gt;="&amp;DATE(YEAR($AC53),MONTH($AC53),1)),0))</f>
        <v>0</v>
      </c>
      <c r="L53" s="185">
        <f t="shared" ca="1" si="24"/>
        <v>120000</v>
      </c>
      <c r="M53" s="182" cm="1">
        <f t="array" aca="1" ref="M53" ca="1">IF(COUNTIFS(OverEmp,$C53,OverTax,M$5,OverDate,"&lt;"&amp;DATE(YEAR($AC53),MONTH($AC53)+1,1),OverEnd,"&gt;="&amp;DATE(YEAR($AC53),MONTH($AC53),1))&gt;0,SUMIFS(OverValue,OverEmp,$C53,OverTax,M$5,OverDate,"&lt;"&amp;DATE(YEAR($AC53),MONTH($AC53)+1,1),OverEnd,"&gt;="&amp;DATE(YEAR($AC53),MONTH($AC53),1)),(($BA53/12*$AA53)+(BB53*IF(1-$BC53=0,0,BD53/(1-$BC53))))-IF($F53="Terminated",0,SUMIFS(PayTaxDeduct,PayDate,"&lt;"&amp;$AC53,PayEmp,$C53)))</f>
        <v>38662.333333333343</v>
      </c>
      <c r="N53" s="133" cm="1">
        <f t="array" aca="1" ref="N53" ca="1">IF($F53="Terminated",0,IF($AA53=0,0,IF(ISNA(MATCH(N$5,DedListItem,0)),0,IF(COUNTIFS(OverEmp,$C53,OverDeduct,N$5,OverDate,"&lt;"&amp;DATE(YEAR($AC53),MONTH($AC53)+1,1),OverEnd,"&gt;="&amp;DATE(YEAR($AC53),MONTH($AC53),1))&gt;0,SUMIFS(OverValue,OverEmp,$C53,OverDeduct,N$5,OverDate,"&lt;"&amp;DATE(YEAR($AC53),MONTH($AC53)+1,1),OverEnd,"&gt;="&amp;DATE(YEAR($AC53),MONTH($AC53),1)),IF(OR(N$2="Fixed",N$2="Not Used"),(IF(COUNTIFS(EmpNo,$C53,OFFSET(Emp!$R$4,1,MATCH(N$5,DedListItem,0)-1,EmpCount,1),"&lt;&gt;")&gt;0,VLOOKUP($C53,EmpAll,COLUMN(Emp!$R$4)+MATCH(N$5,DedListItem,0)-1,0),OFFSET(Setup!$E$73,MATCH(N$5,DedListItem,0),0,1,1))*$AA53)-SUMIFS(OFFSET(N$6,1,0,PayCount,1),PayDate,"&lt;"&amp;$AC53,PayEmp,$C53),IF(ISNA(MATCH(N$2,EarnListItem,0))=FALSE,IF(OFFSET(Setup!$G$73,MATCH(N$5,DedListItem,0),0,1,1)="Taxable",SUMPRODUCT((PayEmp=$C53)*(PayDate&lt;=$AC53)*(PayEarnCode=N$2)*(PayEarnTax)*(PayEarnValues)),SUMPRODUCT((PayEmp=$C53)*(PayDate&lt;=$AC53)*(PayEarnCode=N$2)*(PayEarnValues)))*IF(COUNTIFS(EmpNo,$C53,OFFSET(Emp!$R$4,1,MATCH(N$5,DedListItem,0)-1,EmpCount,1),"&lt;&gt;")&gt;0,VLOOKUP($C53,EmpAll,COLUMN(Emp!$R$4)+MATCH(N$5,DedListItem,0)-1,0),OFFSET(Setup!$E$73,MATCH(N$5,DedListItem,0),0,1,1)),(MIN(IF(OFFSET(Setup!$G$73,MATCH(N$5,DedListItem,0),0,1,1)="Taxable",SUMPRODUCT((PayEmp=$C53)*(PayDate&lt;=$AC53)*(ISERROR(SEARCH(PayEarnCode,N$4)))*(PayEarnTax)*(PayEarnValues)),SUMPRODUCT((PayEmp=$C53)*(PayDate&lt;=$AC53)*(ISERROR(SEARCH(PayEarnCode,N$4)))*(PayEarnValues))),IF(ISNUMBER(N$3),N$3/12*$AA53,IgnoreMin)))*IF(COUNTIFS(EmpNo,$C53,OFFSET(Emp!$R$4,1,MATCH(N$5,DedListItem,0)-1,EmpCount,1),"&lt;&gt;")&gt;0,VLOOKUP($C53,EmpAll,COLUMN(Emp!$R$4)+MATCH(N$5,DedListItem,0)-1,0),OFFSET(Setup!$E$73,MATCH(N$5,DedListItem,0),0,1,1)))-SUMIFS(OFFSET(N$6,1,0,PayCount,1),PayDate,"&lt;"&amp;$AC53,PayEmp,$C53))))))</f>
        <v>177.12</v>
      </c>
      <c r="O53" s="133" cm="1">
        <f t="array" aca="1" ref="O53" ca="1">IF($F53="Terminated",0,IF($AA53=0,0,IF(ISNA(MATCH(O$5,DedListItem,0)),0,IF(COUNTIFS(OverEmp,$C53,OverDeduct,O$5,OverDate,"&lt;"&amp;DATE(YEAR($AC53),MONTH($AC53)+1,1),OverEnd,"&gt;="&amp;DATE(YEAR($AC53),MONTH($AC53),1))&gt;0,SUMIFS(OverValue,OverEmp,$C53,OverDeduct,O$5,OverDate,"&lt;"&amp;DATE(YEAR($AC53),MONTH($AC53)+1,1),OverEnd,"&gt;="&amp;DATE(YEAR($AC53),MONTH($AC53),1)),IF(OR(O$2="Fixed",O$2="Not Used"),(IF(COUNTIFS(EmpNo,$C53,OFFSET(Emp!$R$4,1,MATCH(O$5,DedListItem,0)-1,EmpCount,1),"&lt;&gt;")&gt;0,VLOOKUP($C53,EmpAll,COLUMN(Emp!$R$4)+MATCH(O$5,DedListItem,0)-1,0),OFFSET(Setup!$E$73,MATCH(O$5,DedListItem,0),0,1,1))*$AA53)-SUMIFS(OFFSET(O$6,1,0,PayCount,1),PayDate,"&lt;"&amp;$AC53,PayEmp,$C53),IF(ISNA(MATCH(O$2,EarnListItem,0))=FALSE,IF(OFFSET(Setup!$G$73,MATCH(O$5,DedListItem,0),0,1,1)="Taxable",SUMPRODUCT((PayEmp=$C53)*(PayDate&lt;=$AC53)*(PayEarnCode=O$2)*(PayEarnTax)*(PayEarnValues)),SUMPRODUCT((PayEmp=$C53)*(PayDate&lt;=$AC53)*(PayEarnCode=O$2)*(PayEarnValues)))*IF(COUNTIFS(EmpNo,$C53,OFFSET(Emp!$R$4,1,MATCH(O$5,DedListItem,0)-1,EmpCount,1),"&lt;&gt;")&gt;0,VLOOKUP($C53,EmpAll,COLUMN(Emp!$R$4)+MATCH(O$5,DedListItem,0)-1,0),OFFSET(Setup!$E$73,MATCH(O$5,DedListItem,0),0,1,1)),(MIN(IF(OFFSET(Setup!$G$73,MATCH(O$5,DedListItem,0),0,1,1)="Taxable",SUMPRODUCT((PayEmp=$C53)*(PayDate&lt;=$AC53)*(ISERROR(SEARCH(PayEarnCode,O$4)))*(PayEarnTax)*(PayEarnValues)),SUMPRODUCT((PayEmp=$C53)*(PayDate&lt;=$AC53)*(ISERROR(SEARCH(PayEarnCode,O$4)))*(PayEarnValues))),IF(ISNUMBER(O$3),O$3/12*$AA53,IgnoreMin)))*IF(COUNTIFS(EmpNo,$C53,OFFSET(Emp!$R$4,1,MATCH(O$5,DedListItem,0)-1,EmpCount,1),"&lt;&gt;")&gt;0,VLOOKUP($C53,EmpAll,COLUMN(Emp!$R$4)+MATCH(O$5,DedListItem,0)-1,0),OFFSET(Setup!$E$73,MATCH(O$5,DedListItem,0),0,1,1)))-SUMIFS(OFFSET(O$6,1,0,PayCount,1),PayDate,"&lt;"&amp;$AC53,PayEmp,$C53))))))</f>
        <v>0</v>
      </c>
      <c r="P53" s="133" cm="1">
        <f t="array" aca="1" ref="P53" ca="1">IF($F53="Terminated",0,IF($AA53=0,0,IF(ISNA(MATCH(P$5,DedListItem,0)),0,IF(COUNTIFS(OverEmp,$C53,OverDeduct,P$5,OverDate,"&lt;"&amp;DATE(YEAR($AC53),MONTH($AC53)+1,1),OverEnd,"&gt;="&amp;DATE(YEAR($AC53),MONTH($AC53),1))&gt;0,SUMIFS(OverValue,OverEmp,$C53,OverDeduct,P$5,OverDate,"&lt;"&amp;DATE(YEAR($AC53),MONTH($AC53)+1,1),OverEnd,"&gt;="&amp;DATE(YEAR($AC53),MONTH($AC53),1)),IF(OR(P$2="Fixed",P$2="Not Used"),(IF(COUNTIFS(EmpNo,$C53,OFFSET(Emp!$R$4,1,MATCH(P$5,DedListItem,0)-1,EmpCount,1),"&lt;&gt;")&gt;0,VLOOKUP($C53,EmpAll,COLUMN(Emp!$R$4)+MATCH(P$5,DedListItem,0)-1,0),OFFSET(Setup!$E$73,MATCH(P$5,DedListItem,0),0,1,1))*$AA53)-SUMIFS(OFFSET(P$6,1,0,PayCount,1),PayDate,"&lt;"&amp;$AC53,PayEmp,$C53),IF(ISNA(MATCH(P$2,EarnListItem,0))=FALSE,IF(OFFSET(Setup!$G$73,MATCH(P$5,DedListItem,0),0,1,1)="Taxable",SUMPRODUCT((PayEmp=$C53)*(PayDate&lt;=$AC53)*(PayEarnCode=P$2)*(PayEarnTax)*(PayEarnValues)),SUMPRODUCT((PayEmp=$C53)*(PayDate&lt;=$AC53)*(PayEarnCode=P$2)*(PayEarnValues)))*IF(COUNTIFS(EmpNo,$C53,OFFSET(Emp!$R$4,1,MATCH(P$5,DedListItem,0)-1,EmpCount,1),"&lt;&gt;")&gt;0,VLOOKUP($C53,EmpAll,COLUMN(Emp!$R$4)+MATCH(P$5,DedListItem,0)-1,0),OFFSET(Setup!$E$73,MATCH(P$5,DedListItem,0),0,1,1)),(MIN(IF(OFFSET(Setup!$G$73,MATCH(P$5,DedListItem,0),0,1,1)="Taxable",SUMPRODUCT((PayEmp=$C53)*(PayDate&lt;=$AC53)*(ISERROR(SEARCH(PayEarnCode,P$4)))*(PayEarnTax)*(PayEarnValues)),SUMPRODUCT((PayEmp=$C53)*(PayDate&lt;=$AC53)*(ISERROR(SEARCH(PayEarnCode,P$4)))*(PayEarnValues))),IF(ISNUMBER(P$3),P$3/12*$AA53,IgnoreMin)))*IF(COUNTIFS(EmpNo,$C53,OFFSET(Emp!$R$4,1,MATCH(P$5,DedListItem,0)-1,EmpCount,1),"&lt;&gt;")&gt;0,VLOOKUP($C53,EmpAll,COLUMN(Emp!$R$4)+MATCH(P$5,DedListItem,0)-1,0),OFFSET(Setup!$E$73,MATCH(P$5,DedListItem,0),0,1,1)))-SUMIFS(OFFSET(P$6,1,0,PayCount,1),PayDate,"&lt;"&amp;$AC53,PayEmp,$C53))))))</f>
        <v>0</v>
      </c>
      <c r="Q53" s="133" cm="1">
        <f t="array" aca="1" ref="Q53" ca="1">IF($F53="Terminated",0,IF($AA53=0,0,IF(ISNA(MATCH(Q$5,DedListItem,0)),0,IF(COUNTIFS(OverEmp,$C53,OverDeduct,Q$5,OverDate,"&lt;"&amp;DATE(YEAR($AC53),MONTH($AC53)+1,1),OverEnd,"&gt;="&amp;DATE(YEAR($AC53),MONTH($AC53),1))&gt;0,SUMIFS(OverValue,OverEmp,$C53,OverDeduct,Q$5,OverDate,"&lt;"&amp;DATE(YEAR($AC53),MONTH($AC53)+1,1),OverEnd,"&gt;="&amp;DATE(YEAR($AC53),MONTH($AC53),1)),IF(OR(Q$2="Fixed",Q$2="Not Used"),(IF(COUNTIFS(EmpNo,$C53,OFFSET(Emp!$R$4,1,MATCH(Q$5,DedListItem,0)-1,EmpCount,1),"&lt;&gt;")&gt;0,VLOOKUP($C53,EmpAll,COLUMN(Emp!$R$4)+MATCH(Q$5,DedListItem,0)-1,0),OFFSET(Setup!$E$73,MATCH(Q$5,DedListItem,0),0,1,1))*$AA53)-SUMIFS(OFFSET(Q$6,1,0,PayCount,1),PayDate,"&lt;"&amp;$AC53,PayEmp,$C53),IF(ISNA(MATCH(Q$2,EarnListItem,0))=FALSE,IF(OFFSET(Setup!$G$73,MATCH(Q$5,DedListItem,0),0,1,1)="Taxable",SUMPRODUCT((PayEmp=$C53)*(PayDate&lt;=$AC53)*(PayEarnCode=Q$2)*(PayEarnTax)*(PayEarnValues)),SUMPRODUCT((PayEmp=$C53)*(PayDate&lt;=$AC53)*(PayEarnCode=Q$2)*(PayEarnValues)))*IF(COUNTIFS(EmpNo,$C53,OFFSET(Emp!$R$4,1,MATCH(Q$5,DedListItem,0)-1,EmpCount,1),"&lt;&gt;")&gt;0,VLOOKUP($C53,EmpAll,COLUMN(Emp!$R$4)+MATCH(Q$5,DedListItem,0)-1,0),OFFSET(Setup!$E$73,MATCH(Q$5,DedListItem,0),0,1,1)),(MIN(IF(OFFSET(Setup!$G$73,MATCH(Q$5,DedListItem,0),0,1,1)="Taxable",SUMPRODUCT((PayEmp=$C53)*(PayDate&lt;=$AC53)*(ISERROR(SEARCH(PayEarnCode,Q$4)))*(PayEarnTax)*(PayEarnValues)),SUMPRODUCT((PayEmp=$C53)*(PayDate&lt;=$AC53)*(ISERROR(SEARCH(PayEarnCode,Q$4)))*(PayEarnValues))),IF(ISNUMBER(Q$3),Q$3/12*$AA53,IgnoreMin)))*IF(COUNTIFS(EmpNo,$C53,OFFSET(Emp!$R$4,1,MATCH(Q$5,DedListItem,0)-1,EmpCount,1),"&lt;&gt;")&gt;0,VLOOKUP($C53,EmpAll,COLUMN(Emp!$R$4)+MATCH(Q$5,DedListItem,0)-1,0),OFFSET(Setup!$E$73,MATCH(Q$5,DedListItem,0),0,1,1)))-SUMIFS(OFFSET(Q$6,1,0,PayCount,1),PayDate,"&lt;"&amp;$AC53,PayEmp,$C53))))))</f>
        <v>0</v>
      </c>
      <c r="R53" s="185">
        <f t="shared" ca="1" si="25"/>
        <v>38839.453333333346</v>
      </c>
      <c r="S53" s="139">
        <f t="shared" ca="1" si="26"/>
        <v>81160.55</v>
      </c>
      <c r="T53" s="133" cm="1">
        <f t="array" aca="1" ref="T53" ca="1">IF($F53="Terminated",0,IF($AA53=0,0,IF(ISNA(MATCH(T$5,CompListItem,0)),0,IF(COUNTIFS(OverEmp,$C53,OverComp,T$5,OverDate,"&lt;"&amp;DATE(YEAR($AC53),MONTH($AC53)+1,1),OverEnd,"&gt;="&amp;DATE(YEAR($AC53),MONTH($AC53),1))&gt;0,SUMIFS(OverValue,OverEmp,$C53,OverComp,T$5,OverDate,"&lt;"&amp;DATE(YEAR($AC53),MONTH($AC53)+1,1),OverEnd,"&gt;="&amp;DATE(YEAR($AC53),MONTH($AC53),1)),IF(OR(T$2="Fixed",T$2="Not Used"),(OFFSET(Setup!$E$81,MATCH(T$5,CompListItem,0),0,1,1)*$AA53)-SUMIFS(OFFSET(T$6,1,0,PayCount,1),PayDate,"&lt;"&amp;$AC53,PayEmp,$C53),IF(ISNA(MATCH(T$2,DedListItem,0))=FALSE,(SUMPRODUCT((PayEmp=$C53)*(PayDate&lt;=$AC53)*(PayDedList=T$2)*(PayDedValues))*OFFSET(Setup!$E$81,MATCH(T$5,CompListItem,0),0,1,1))-SUMIFS(OFFSET(T$6,1,0,PayCount,1),PayDate,"&lt;"&amp;$AC53,PayEmp,$C53),(MIN(IF(OFFSET(Setup!$G$81,MATCH(T$5,CompListItem,0),0,1,1)="Taxable",SUMPRODUCT((PayEmp=$C53)*(PayDate&lt;=$AC53)*(ISERROR(SEARCH(PayEarnCode,T$4)))*(PayEarnTax)*(PayEarnValues)),SUMPRODUCT((PayEmp=$C53)*(PayDate&lt;=$AC53)*(ISERROR(SEARCH(PayEarnCode,T$4)))*(PayEarnValues))),IF(ISNUMBER(T$3),T$3/12*$AA53,IgnoreMin)))*OFFSET(Setup!$E$81,MATCH(T$5,CompListItem,0),0,1,1)-SUMIFS(OFFSET(T$6,1,0,PayCount,1),PayDate,"&lt;"&amp;$AC53,PayEmp,$C53)))))))</f>
        <v>177.12</v>
      </c>
      <c r="U53" s="133" cm="1">
        <f t="array" aca="1" ref="U53" ca="1">IF($F53="Terminated",0,IF($AA53=0,0,IF(ISNA(MATCH(U$5,CompListItem,0)),0,IF(COUNTIFS(OverEmp,$C53,OverComp,U$5,OverDate,"&lt;"&amp;DATE(YEAR($AC53),MONTH($AC53)+1,1),OverEnd,"&gt;="&amp;DATE(YEAR($AC53),MONTH($AC53),1))&gt;0,SUMIFS(OverValue,OverEmp,$C53,OverComp,U$5,OverDate,"&lt;"&amp;DATE(YEAR($AC53),MONTH($AC53)+1,1),OverEnd,"&gt;="&amp;DATE(YEAR($AC53),MONTH($AC53),1)),IF(OR(U$2="Fixed",U$2="Not Used"),(OFFSET(Setup!$E$81,MATCH(U$5,CompListItem,0),0,1,1)*$AA53)-SUMIFS(OFFSET(U$6,1,0,PayCount,1),PayDate,"&lt;"&amp;$AC53,PayEmp,$C53),IF(ISNA(MATCH(U$2,DedListItem,0))=FALSE,(SUMPRODUCT((PayEmp=$C53)*(PayDate&lt;=$AC53)*(PayDedList=U$2)*(PayDedValues))*OFFSET(Setup!$E$81,MATCH(U$5,CompListItem,0),0,1,1))-SUMIFS(OFFSET(U$6,1,0,PayCount,1),PayDate,"&lt;"&amp;$AC53,PayEmp,$C53),(MIN(IF(OFFSET(Setup!$G$81,MATCH(U$5,CompListItem,0),0,1,1)="Taxable",SUMPRODUCT((PayEmp=$C53)*(PayDate&lt;=$AC53)*(ISERROR(SEARCH(PayEarnCode,U$4)))*(PayEarnTax)*(PayEarnValues)),SUMPRODUCT((PayEmp=$C53)*(PayDate&lt;=$AC53)*(ISERROR(SEARCH(PayEarnCode,U$4)))*(PayEarnValues))),IF(ISNUMBER(U$3),U$3/12*$AA53,IgnoreMin)))*OFFSET(Setup!$E$81,MATCH(U$5,CompListItem,0),0,1,1)-SUMIFS(OFFSET(U$6,1,0,PayCount,1),PayDate,"&lt;"&amp;$AC53,PayEmp,$C53)))))))</f>
        <v>1200</v>
      </c>
      <c r="V53" s="133" cm="1">
        <f t="array" aca="1" ref="V53" ca="1">IF($F53="Terminated",0,IF($AA53=0,0,IF(ISNA(MATCH(V$5,CompListItem,0)),0,IF(COUNTIFS(OverEmp,$C53,OverComp,V$5,OverDate,"&lt;"&amp;DATE(YEAR($AC53),MONTH($AC53)+1,1),OverEnd,"&gt;="&amp;DATE(YEAR($AC53),MONTH($AC53),1))&gt;0,SUMIFS(OverValue,OverEmp,$C53,OverComp,V$5,OverDate,"&lt;"&amp;DATE(YEAR($AC53),MONTH($AC53)+1,1),OverEnd,"&gt;="&amp;DATE(YEAR($AC53),MONTH($AC53),1)),IF(OR(V$2="Fixed",V$2="Not Used"),(OFFSET(Setup!$E$81,MATCH(V$5,CompListItem,0),0,1,1)*$AA53)-SUMIFS(OFFSET(V$6,1,0,PayCount,1),PayDate,"&lt;"&amp;$AC53,PayEmp,$C53),IF(ISNA(MATCH(V$2,DedListItem,0))=FALSE,(SUMPRODUCT((PayEmp=$C53)*(PayDate&lt;=$AC53)*(PayDedList=V$2)*(PayDedValues))*OFFSET(Setup!$E$81,MATCH(V$5,CompListItem,0),0,1,1))-SUMIFS(OFFSET(V$6,1,0,PayCount,1),PayDate,"&lt;"&amp;$AC53,PayEmp,$C53),(MIN(IF(OFFSET(Setup!$G$81,MATCH(V$5,CompListItem,0),0,1,1)="Taxable",SUMPRODUCT((PayEmp=$C53)*(PayDate&lt;=$AC53)*(ISERROR(SEARCH(PayEarnCode,V$4)))*(PayEarnTax)*(PayEarnValues)),SUMPRODUCT((PayEmp=$C53)*(PayDate&lt;=$AC53)*(ISERROR(SEARCH(PayEarnCode,V$4)))*(PayEarnValues))),IF(ISNUMBER(V$3),V$3/12*$AA53,IgnoreMin)))*OFFSET(Setup!$E$81,MATCH(V$5,CompListItem,0),0,1,1)-SUMIFS(OFFSET(V$6,1,0,PayCount,1),PayDate,"&lt;"&amp;$AC53,PayEmp,$C53)))))))</f>
        <v>0</v>
      </c>
      <c r="W53" s="133" cm="1">
        <f t="array" aca="1" ref="W53" ca="1">IF($F53="Terminated",0,IF($AA53=0,0,IF(ISNA(MATCH(W$5,CompListItem,0)),0,IF(COUNTIFS(OverEmp,$C53,OverComp,W$5,OverDate,"&lt;"&amp;DATE(YEAR($AC53),MONTH($AC53)+1,1),OverEnd,"&gt;="&amp;DATE(YEAR($AC53),MONTH($AC53),1))&gt;0,SUMIFS(OverValue,OverEmp,$C53,OverComp,W$5,OverDate,"&lt;"&amp;DATE(YEAR($AC53),MONTH($AC53)+1,1),OverEnd,"&gt;="&amp;DATE(YEAR($AC53),MONTH($AC53),1)),IF(OR(W$2="Fixed",W$2="Not Used"),(OFFSET(Setup!$E$81,MATCH(W$5,CompListItem,0),0,1,1)*$AA53)-SUMIFS(OFFSET(W$6,1,0,PayCount,1),PayDate,"&lt;"&amp;$AC53,PayEmp,$C53),IF(ISNA(MATCH(W$2,DedListItem,0))=FALSE,(SUMPRODUCT((PayEmp=$C53)*(PayDate&lt;=$AC53)*(PayDedList=W$2)*(PayDedValues))*OFFSET(Setup!$E$81,MATCH(W$5,CompListItem,0),0,1,1))-SUMIFS(OFFSET(W$6,1,0,PayCount,1),PayDate,"&lt;"&amp;$AC53,PayEmp,$C53),(MIN(IF(OFFSET(Setup!$G$81,MATCH(W$5,CompListItem,0),0,1,1)="Taxable",SUMPRODUCT((PayEmp=$C53)*(PayDate&lt;=$AC53)*(ISERROR(SEARCH(PayEarnCode,W$4)))*(PayEarnTax)*(PayEarnValues)),SUMPRODUCT((PayEmp=$C53)*(PayDate&lt;=$AC53)*(ISERROR(SEARCH(PayEarnCode,W$4)))*(PayEarnValues))),IF(ISNUMBER(W$3),W$3/12*$AA53,IgnoreMin)))*OFFSET(Setup!$E$81,MATCH(W$5,CompListItem,0),0,1,1)-SUMIFS(OFFSET(W$6,1,0,PayCount,1),PayDate,"&lt;"&amp;$AC53,PayEmp,$C53)))))))</f>
        <v>0</v>
      </c>
      <c r="X53" s="185">
        <f t="shared" ca="1" si="18"/>
        <v>1377.12</v>
      </c>
      <c r="Y53" s="139">
        <f t="shared" ca="1" si="27"/>
        <v>121377.12</v>
      </c>
      <c r="Z53" s="139">
        <f t="shared" ca="1" si="19"/>
        <v>40216.57</v>
      </c>
      <c r="AA53" s="146">
        <f ca="1">IF(OR($B53&lt;=Setup!$E$12,$B53&gt;=Setup!$D$12+1),0,IF($F53&lt;&gt;"Active",0,IF($AE53="Yes",$AB53,((YEAR($AC53)*12)+MONTH($AC53))-((YEAR($AD53)*12)+MONTH($AD53)-1))))</f>
        <v>4</v>
      </c>
      <c r="AB53" s="146">
        <f ca="1">IF(OR($B53&lt;=Setup!$E$12,$B53&gt;=Setup!$D$12+1),0,((YEAR($AC53)*12)+MONTH($AC53))-((YEAR(Setup!$E$12)*12)+MONTH(Setup!$E$12)))</f>
        <v>4</v>
      </c>
      <c r="AC53" s="186">
        <f t="shared" ca="1" si="20"/>
        <v>45102</v>
      </c>
      <c r="AD53" s="144">
        <f ca="1">IF(ISNA(VLOOKUP($C53,EmpAll,COLUMN(Emp!$E$4),0)),$AC53,IF(VLOOKUP($C53,EmpAll,COLUMN(Emp!$E$4),0)&lt;=Setup!$E$12,DATE(YEAR(Setup!$E$12),MONTH(Setup!$E$12)+1,1),VLOOKUP($C53,EmpAll,COLUMN(Emp!$E$4),0)))</f>
        <v>44986</v>
      </c>
      <c r="AE53" s="144" t="str">
        <f ca="1">IF(ISNA(VLOOKUP($C53,EmpAll,COLUMN(Emp!$G$1),0)),"-",IF(VLOOKUP($C53,EmpAll,COLUMN(Emp!$G$1),0)=0,"-",VLOOKUP($C53,EmpAll,COLUMN(Emp!$G$1),0)))</f>
        <v>-</v>
      </c>
      <c r="AF53" s="145">
        <f ca="1">IF(A53=PaySlip!$G$3,1,0)</f>
        <v>0</v>
      </c>
      <c r="AG53" s="130" cm="1">
        <f t="array" aca="1" ref="AG53" ca="1">IF(COUNTIFS(OverEmp,$C53,OverMed,"MED",OverDate,"&lt;"&amp;DATE(YEAR($AC53),MONTH($AC53)+1,1),OverEnd,"&gt;="&amp;DATE(YEAR($AC53),MONTH($AC53),1))&gt;0,SUMIFS(OverValue,OverEmp,$C53,OverMed,"MED",OverDate,"&lt;"&amp;DATE(YEAR($AC53),MONTH($AC53)+1,1),OverEnd,"&gt;="&amp;DATE(YEAR($AC53),MONTH($AC53),1)),IF(ISNA(VLOOKUP($C53,EmpAll,COLUMN(Emp!$N$4),0)),0,VLOOKUP($C53,EmpAll,COLUMN(Emp!$N$4),0)))</f>
        <v>2</v>
      </c>
      <c r="AH53" s="146">
        <f ca="1">VLOOKUP($AG53,MedList,COLUMN(Setup!$C$49),1)</f>
        <v>728</v>
      </c>
      <c r="AI53" s="146">
        <f t="shared" ca="1" si="7"/>
        <v>8736</v>
      </c>
      <c r="AJ53" s="101" t="str">
        <f ca="1">IF(ISNA(VLOOKUP($C53,EmpAll,COLUMN(Emp!$L$4),0)),"None!",VLOOKUP($C53,EmpAll,COLUMN(Emp!$L$4),0))</f>
        <v>A</v>
      </c>
      <c r="AK53" s="147">
        <f t="shared" ca="1" si="21"/>
        <v>17235</v>
      </c>
      <c r="AL53" s="101" t="str">
        <f ca="1">IF(ISNA(VLOOKUP($C53,Employees[],COLUMN(Emp!$M$4),0))=TRUE,"Error!",IF(VLOOKUP($C53,Employees[],COLUMN(Emp!$M$4),0)=0,"Yes",VLOOKUP($C53,Employees[],COLUMN(Emp!$M$4),0)))</f>
        <v>A</v>
      </c>
      <c r="AM53" s="148">
        <f t="shared" ca="1" si="9"/>
        <v>1440000</v>
      </c>
      <c r="AN53" s="148" cm="1">
        <f t="array" aca="1" ref="AN53" ca="1">-IF($F53="Terminated",0,IF($AA53=0,0,IF(ISNA(MATCH(AN$5,PayDedList,0)),0,MIN(IF(COUNTIFS(OverEmp,$C53,OverDeduct,AN$5,OverDate,"&lt;"&amp;DATE(YEAR($AC53),MONTH($AC53)+1,1),OverEnd,"&gt;="&amp;DATE(YEAR($AC53),MONTH($AC53),1))&gt;0,SUMPRODUCT((PayEmp=$C53)*(PayDate&lt;=$AC53)*(OFFSET($N$6,1,MATCH(AN$5,PayDedList,0)-1,PayCount,1)))/$AA53*12*AN$3,IF(OR(AN$1="Fixed",AN$1="Not Used"),SUMPRODUCT((PayEmp=$C53)*(PayDate&lt;=$AC53)*(OFFSET($N$6,1,MATCH(AN$5,PayDedList,0)-1,PayCount,1)))/$AA53*12*AN$3,IF(ISNA(MATCH(AN$1,EarnListItem,0))=FALSE,SUMPRODUCT((PayEmp=$C53)*(PayDate&lt;=$AC53)*(OFFSET($N$6,1,MATCH(AN$5,PayDedList,0)-1,PayCount,1)))/$AA53*12*AN$3,(MIN(((SUMPRODUCT((PayEmp=$C53)*(PayDate&lt;=$AC53)*(ISERROR(SEARCH(PayEarnCode,AN$2)))*(PayEarnType="Monthly")*(PayEarnValues))/$AA53*12)+(SUMPRODUCT((PayEmp=$C53)*(PayDate&lt;=$AC53)*(ISERROR(SEARCH(PayEarnCode,AN$2)))*(PayEarnType="Quarterly")*(PayEarnValues))/MAX(1,ROUNDDOWN($AB53/3,0))*4)+(SUMPRODUCT((PayEmp=$C53)*(PayDate&lt;=$AC53)*(ISERROR(SEARCH(PayEarnCode,AN$2)))*(PayEarnType="Bi-Annual")*(PayEarnValues))/MAX(1,ROUNDDOWN($AB53/6,0))*2)+(SUMPRODUCT((PayEmp=$C53)*(PayDate&lt;=$AC53)*(ISERROR(SEARCH(PayEarnCode,AN$2)))*(PayEarnType="Annual")*(PayEarnValues)))),IF(ISNUMBER(OFFSET($N$3,0,MATCH(AN$5,PayDedList,0)-1,1,1)),OFFSET($N$3,0,MATCH(AN$5,PayDedList,0)-1,1,1),IgnoreMin)))*IF(COUNTIFS(EmpNo,$C53,OFFSET(Emp!$R$4,1,MATCH(AN$5,DedListItem,0)-1,EmpCount,1),"&lt;&gt;")&gt;0,VLOOKUP($C53,EmpAll,COLUMN(Emp!$R$4)+MATCH(AN$5,DedListItem,0)-1,0),OFFSET(Setup!$E$73,MATCH(AN$5,DedListItem,0),0,1,1))*AN$3))),IF(ISNUMBER(AN$4),AN$4,IgnoreMin)))))</f>
        <v>0</v>
      </c>
      <c r="AO53" s="148" cm="1">
        <f t="array" aca="1" ref="AO53" ca="1">-IF($F53="Terminated",0,IF($AA53=0,0,IF(ISNA(MATCH(AO$5,PayDedList,0)),0,MIN(IF(COUNTIFS(OverEmp,$C53,OverDeduct,AO$5,OverDate,"&lt;"&amp;DATE(YEAR($AC53),MONTH($AC53)+1,1),OverEnd,"&gt;="&amp;DATE(YEAR($AC53),MONTH($AC53),1))&gt;0,SUMPRODUCT((PayEmp=$C53)*(PayDate&lt;=$AC53)*(OFFSET($N$6,1,MATCH(AO$5,PayDedList,0)-1,PayCount,1)))/$AA53*12*AO$3,IF(OR(AO$1="Fixed",AO$1="Not Used"),SUMPRODUCT((PayEmp=$C53)*(PayDate&lt;=$AC53)*(OFFSET($N$6,1,MATCH(AO$5,PayDedList,0)-1,PayCount,1)))/$AA53*12*AO$3,IF(ISNA(MATCH(AO$1,EarnListItem,0))=FALSE,SUMPRODUCT((PayEmp=$C53)*(PayDate&lt;=$AC53)*(OFFSET($N$6,1,MATCH(AO$5,PayDedList,0)-1,PayCount,1)))/$AA53*12*AO$3,(MIN(((SUMPRODUCT((PayEmp=$C53)*(PayDate&lt;=$AC53)*(ISERROR(SEARCH(PayEarnCode,AO$2)))*(PayEarnType="Monthly")*(PayEarnValues))/$AA53*12)+(SUMPRODUCT((PayEmp=$C53)*(PayDate&lt;=$AC53)*(ISERROR(SEARCH(PayEarnCode,AO$2)))*(PayEarnType="Quarterly")*(PayEarnValues))/MAX(1,ROUNDDOWN($AB53/3,0))*4)+(SUMPRODUCT((PayEmp=$C53)*(PayDate&lt;=$AC53)*(ISERROR(SEARCH(PayEarnCode,AO$2)))*(PayEarnType="Bi-Annual")*(PayEarnValues))/MAX(1,ROUNDDOWN($AB53/6,0))*2)+(SUMPRODUCT((PayEmp=$C53)*(PayDate&lt;=$AC53)*(ISERROR(SEARCH(PayEarnCode,AO$2)))*(PayEarnType="Annual")*(PayEarnValues)))),IF(ISNUMBER(OFFSET($N$3,0,MATCH(AO$5,PayDedList,0)-1,1,1)),OFFSET($N$3,0,MATCH(AO$5,PayDedList,0)-1,1,1),IgnoreMin)))*IF(COUNTIFS(EmpNo,$C53,OFFSET(Emp!$R$4,1,MATCH(AO$5,DedListItem,0)-1,EmpCount,1),"&lt;&gt;")&gt;0,VLOOKUP($C53,EmpAll,COLUMN(Emp!$R$4)+MATCH(AO$5,DedListItem,0)-1,0),OFFSET(Setup!$E$73,MATCH(AO$5,DedListItem,0),0,1,1))*AO$3))),IF(ISNUMBER(AO$4),AO$4,IgnoreMin)))))</f>
        <v>0</v>
      </c>
      <c r="AP53" s="148" cm="1">
        <f t="array" aca="1" ref="AP53" ca="1">-IF($F53="Terminated",0,IF($AA53=0,0,IF(ISNA(MATCH(AP$5,PayDedList,0)),0,MIN(IF(COUNTIFS(OverEmp,$C53,OverDeduct,AP$5,OverDate,"&lt;"&amp;DATE(YEAR($AC53),MONTH($AC53)+1,1),OverEnd,"&gt;="&amp;DATE(YEAR($AC53),MONTH($AC53),1))&gt;0,SUMPRODUCT((PayEmp=$C53)*(PayDate&lt;=$AC53)*(OFFSET($N$6,1,MATCH(AP$5,PayDedList,0)-1,PayCount,1)))/$AA53*12*AP$3,IF(OR(AP$1="Fixed",AP$1="Not Used"),SUMPRODUCT((PayEmp=$C53)*(PayDate&lt;=$AC53)*(OFFSET($N$6,1,MATCH(AP$5,PayDedList,0)-1,PayCount,1)))/$AA53*12*AP$3,IF(ISNA(MATCH(AP$1,EarnListItem,0))=FALSE,SUMPRODUCT((PayEmp=$C53)*(PayDate&lt;=$AC53)*(OFFSET($N$6,1,MATCH(AP$5,PayDedList,0)-1,PayCount,1)))/$AA53*12*AP$3,(MIN(((SUMPRODUCT((PayEmp=$C53)*(PayDate&lt;=$AC53)*(ISERROR(SEARCH(PayEarnCode,AP$2)))*(PayEarnType="Monthly")*(PayEarnValues))/$AA53*12)+(SUMPRODUCT((PayEmp=$C53)*(PayDate&lt;=$AC53)*(ISERROR(SEARCH(PayEarnCode,AP$2)))*(PayEarnType="Quarterly")*(PayEarnValues))/MAX(1,ROUNDDOWN($AB53/3,0))*4)+(SUMPRODUCT((PayEmp=$C53)*(PayDate&lt;=$AC53)*(ISERROR(SEARCH(PayEarnCode,AP$2)))*(PayEarnType="Bi-Annual")*(PayEarnValues))/MAX(1,ROUNDDOWN($AB53/6,0))*2)+(SUMPRODUCT((PayEmp=$C53)*(PayDate&lt;=$AC53)*(ISERROR(SEARCH(PayEarnCode,AP$2)))*(PayEarnType="Annual")*(PayEarnValues)))),IF(ISNUMBER(OFFSET($N$3,0,MATCH(AP$5,PayDedList,0)-1,1,1)),OFFSET($N$3,0,MATCH(AP$5,PayDedList,0)-1,1,1),IgnoreMin)))*IF(COUNTIFS(EmpNo,$C53,OFFSET(Emp!$R$4,1,MATCH(AP$5,DedListItem,0)-1,EmpCount,1),"&lt;&gt;")&gt;0,VLOOKUP($C53,EmpAll,COLUMN(Emp!$R$4)+MATCH(AP$5,DedListItem,0)-1,0),OFFSET(Setup!$E$73,MATCH(AP$5,DedListItem,0),0,1,1))*AP$3))),IF(ISNUMBER(AP$4),AP$4,IgnoreMin)))))</f>
        <v>0</v>
      </c>
      <c r="AQ53" s="148" cm="1">
        <f t="array" aca="1" ref="AQ53" ca="1">-IF($F53="Terminated",0,IF($AA53=0,0,IF(ISNA(MATCH(AQ$5,PayDedList,0)),0,MIN(IF(COUNTIFS(OverEmp,$C53,OverDeduct,AQ$5,OverDate,"&lt;"&amp;DATE(YEAR($AC53),MONTH($AC53)+1,1),OverEnd,"&gt;="&amp;DATE(YEAR($AC53),MONTH($AC53),1))&gt;0,SUMPRODUCT((PayEmp=$C53)*(PayDate&lt;=$AC53)*(OFFSET($N$6,1,MATCH(AQ$5,PayDedList,0)-1,PayCount,1)))/$AA53*12*AQ$3,IF(OR(AQ$1="Fixed",AQ$1="Not Used"),SUMPRODUCT((PayEmp=$C53)*(PayDate&lt;=$AC53)*(OFFSET($N$6,1,MATCH(AQ$5,PayDedList,0)-1,PayCount,1)))/$AA53*12*AQ$3,IF(ISNA(MATCH(AQ$1,EarnListItem,0))=FALSE,SUMPRODUCT((PayEmp=$C53)*(PayDate&lt;=$AC53)*(OFFSET($N$6,1,MATCH(AQ$5,PayDedList,0)-1,PayCount,1)))/$AA53*12*AQ$3,(MIN(((SUMPRODUCT((PayEmp=$C53)*(PayDate&lt;=$AC53)*(ISERROR(SEARCH(PayEarnCode,AQ$2)))*(PayEarnType="Monthly")*(PayEarnValues))/$AA53*12)+(SUMPRODUCT((PayEmp=$C53)*(PayDate&lt;=$AC53)*(ISERROR(SEARCH(PayEarnCode,AQ$2)))*(PayEarnType="Quarterly")*(PayEarnValues))/MAX(1,ROUNDDOWN($AB53/3,0))*4)+(SUMPRODUCT((PayEmp=$C53)*(PayDate&lt;=$AC53)*(ISERROR(SEARCH(PayEarnCode,AQ$2)))*(PayEarnType="Bi-Annual")*(PayEarnValues))/MAX(1,ROUNDDOWN($AB53/6,0))*2)+(SUMPRODUCT((PayEmp=$C53)*(PayDate&lt;=$AC53)*(ISERROR(SEARCH(PayEarnCode,AQ$2)))*(PayEarnType="Annual")*(PayEarnValues)))),IF(ISNUMBER(OFFSET($N$3,0,MATCH(AQ$5,PayDedList,0)-1,1,1)),OFFSET($N$3,0,MATCH(AQ$5,PayDedList,0)-1,1,1),IgnoreMin)))*IF(COUNTIFS(EmpNo,$C53,OFFSET(Emp!$R$4,1,MATCH(AQ$5,DedListItem,0)-1,EmpCount,1),"&lt;&gt;")&gt;0,VLOOKUP($C53,EmpAll,COLUMN(Emp!$R$4)+MATCH(AQ$5,DedListItem,0)-1,0),OFFSET(Setup!$E$73,MATCH(AQ$5,DedListItem,0),0,1,1))*AQ$3))),IF(ISNUMBER(AQ$4),AQ$4,IgnoreMin)))))</f>
        <v>0</v>
      </c>
      <c r="AR53" s="148">
        <f t="shared" ca="1" si="22"/>
        <v>1440000</v>
      </c>
      <c r="AS53" s="148">
        <f t="shared" ca="1" si="11"/>
        <v>1440000</v>
      </c>
      <c r="AT53" s="148" cm="1">
        <f t="array" aca="1" ref="AT53" ca="1">-IF($F53="Terminated",0,IF($AA53=0,0,IF(ISNA(MATCH(AT$5,PayDedList,0)),0,MIN(IF(COUNTIFS(OverEmp,$C53,OverDeduct,AT$5,OverDate,"&lt;"&amp;DATE(YEAR($AC53),MONTH($AC53)+1,1),OverEnd,"&gt;="&amp;DATE(YEAR($AC53),MONTH($AC53),1))&gt;0,SUMPRODUCT((PayEmp=$C53)*(PayDate&lt;=$AC53)*(OFFSET($N$6,1,MATCH(AT$5,PayDedList,0)-1,PayCount,1)))/$AA53*12*AT$3,IF(OR(AT$1="Fixed",AT$1="Not Used"),SUMPRODUCT((PayEmp=$C53)*(PayDate&lt;=$AC53)*(OFFSET($N$6,1,MATCH(AT$5,PayDedList,0)-1,PayCount,1)))/$AA53*12*AT$3,IF(ISNA(MATCH(OFFSET($N$2,0,MATCH(AT$5,PayDedList,0)-1,1,1),EarnListItem,0))=FALSE,SUMPRODUCT((PayEmp=$C53)*(PayDate&lt;=$AC53)*(OFFSET($N$6,1,MATCH(AT$5,PayDedList,0)-1,PayCount,1)))/$AA53*12*AT$3,(MIN(SUMPRODUCT((PayEmp=$C53)*(PayDate&lt;=$AC53)*(ISERROR(SEARCH(PayEarnCode,AT$2)))*(PayEarnType="Monthly")*(PayEarnValues))/$AA53*12,IF(ISNUMBER(OFFSET($N$3,0,MATCH(AT$5,PayDedList,0)-1,1,1)),OFFSET($N$3,0,MATCH(AT$5,PayDedList,0)-1,1,1),IgnoreMin)))*IF(COUNTIFS(EmpNo,$C53,OFFSET(Emp!$R$4,1,MATCH(AT$5,DedListItem,0)-1,EmpCount,1),"&lt;&gt;")&gt;0,VLOOKUP($C53,EmpAll,COLUMN(Emp!$R$4)+MATCH(AT$5,DedListItem,0)-1,0),OFFSET(Setup!$E$73,MATCH(AT$5,DedListItem,0),0,1,1))*AT$3))),IF(ISNUMBER(AT$4),AT$4,IgnoreMin)))))</f>
        <v>0</v>
      </c>
      <c r="AU53" s="148" cm="1">
        <f t="array" aca="1" ref="AU53" ca="1">-IF($F53="Terminated",0,IF($AA53=0,0,IF(ISNA(MATCH(AU$5,PayDedList,0)),0,MIN(IF(COUNTIFS(OverEmp,$C53,OverDeduct,AU$5,OverDate,"&lt;"&amp;DATE(YEAR($AC53),MONTH($AC53)+1,1),OverEnd,"&gt;="&amp;DATE(YEAR($AC53),MONTH($AC53),1))&gt;0,SUMPRODUCT((PayEmp=$C53)*(PayDate&lt;=$AC53)*(OFFSET($N$6,1,MATCH(AU$5,PayDedList,0)-1,PayCount,1)))/$AA53*12*AU$3,IF(OR(AU$1="Fixed",AU$1="Not Used"),SUMPRODUCT((PayEmp=$C53)*(PayDate&lt;=$AC53)*(OFFSET($N$6,1,MATCH(AU$5,PayDedList,0)-1,PayCount,1)))/$AA53*12*AU$3,IF(ISNA(MATCH(OFFSET($N$2,0,MATCH(AU$5,PayDedList,0)-1,1,1),EarnListItem,0))=FALSE,SUMPRODUCT((PayEmp=$C53)*(PayDate&lt;=$AC53)*(OFFSET($N$6,1,MATCH(AU$5,PayDedList,0)-1,PayCount,1)))/$AA53*12*AU$3,(MIN(SUMPRODUCT((PayEmp=$C53)*(PayDate&lt;=$AC53)*(ISERROR(SEARCH(PayEarnCode,AU$2)))*(PayEarnType="Monthly")*(PayEarnValues))/$AA53*12,IF(ISNUMBER(OFFSET($N$3,0,MATCH(AU$5,PayDedList,0)-1,1,1)),OFFSET($N$3,0,MATCH(AU$5,PayDedList,0)-1,1,1),IgnoreMin)))*IF(COUNTIFS(EmpNo,$C53,OFFSET(Emp!$R$4,1,MATCH(AU$5,DedListItem,0)-1,EmpCount,1),"&lt;&gt;")&gt;0,VLOOKUP($C53,EmpAll,COLUMN(Emp!$R$4)+MATCH(AU$5,DedListItem,0)-1,0),OFFSET(Setup!$E$73,MATCH(AU$5,DedListItem,0),0,1,1))*AU$3))),IF(ISNUMBER(AU$4),AU$4,IgnoreMin)))))</f>
        <v>0</v>
      </c>
      <c r="AV53" s="148" cm="1">
        <f t="array" aca="1" ref="AV53" ca="1">-IF($F53="Terminated",0,IF($AA53=0,0,IF(ISNA(MATCH(AV$5,PayDedList,0)),0,MIN(IF(COUNTIFS(OverEmp,$C53,OverDeduct,AV$5,OverDate,"&lt;"&amp;DATE(YEAR($AC53),MONTH($AC53)+1,1),OverEnd,"&gt;="&amp;DATE(YEAR($AC53),MONTH($AC53),1))&gt;0,SUMPRODUCT((PayEmp=$C53)*(PayDate&lt;=$AC53)*(OFFSET($N$6,1,MATCH(AV$5,PayDedList,0)-1,PayCount,1)))/$AA53*12*AV$3,IF(OR(AV$1="Fixed",AV$1="Not Used"),SUMPRODUCT((PayEmp=$C53)*(PayDate&lt;=$AC53)*(OFFSET($N$6,1,MATCH(AV$5,PayDedList,0)-1,PayCount,1)))/$AA53*12*AV$3,IF(ISNA(MATCH(OFFSET($N$2,0,MATCH(AV$5,PayDedList,0)-1,1,1),EarnListItem,0))=FALSE,SUMPRODUCT((PayEmp=$C53)*(PayDate&lt;=$AC53)*(OFFSET($N$6,1,MATCH(AV$5,PayDedList,0)-1,PayCount,1)))/$AA53*12*AV$3,(MIN(SUMPRODUCT((PayEmp=$C53)*(PayDate&lt;=$AC53)*(ISERROR(SEARCH(PayEarnCode,AV$2)))*(PayEarnType="Monthly")*(PayEarnValues))/$AA53*12,IF(ISNUMBER(OFFSET($N$3,0,MATCH(AV$5,PayDedList,0)-1,1,1)),OFFSET($N$3,0,MATCH(AV$5,PayDedList,0)-1,1,1),IgnoreMin)))*IF(COUNTIFS(EmpNo,$C53,OFFSET(Emp!$R$4,1,MATCH(AV$5,DedListItem,0)-1,EmpCount,1),"&lt;&gt;")&gt;0,VLOOKUP($C53,EmpAll,COLUMN(Emp!$R$4)+MATCH(AV$5,DedListItem,0)-1,0),OFFSET(Setup!$E$73,MATCH(AV$5,DedListItem,0),0,1,1))*AV$3))),IF(ISNUMBER(AV$4),AV$4,IgnoreMin)))))</f>
        <v>0</v>
      </c>
      <c r="AW53" s="148" cm="1">
        <f t="array" aca="1" ref="AW53" ca="1">-IF($F53="Terminated",0,IF($AA53=0,0,IF(ISNA(MATCH(AW$5,PayDedList,0)),0,MIN(IF(COUNTIFS(OverEmp,$C53,OverDeduct,AW$5,OverDate,"&lt;"&amp;DATE(YEAR($AC53),MONTH($AC53)+1,1),OverEnd,"&gt;="&amp;DATE(YEAR($AC53),MONTH($AC53),1))&gt;0,SUMPRODUCT((PayEmp=$C53)*(PayDate&lt;=$AC53)*(OFFSET($N$6,1,MATCH(AW$5,PayDedList,0)-1,PayCount,1)))/$AA53*12*AW$3,IF(OR(AW$1="Fixed",AW$1="Not Used"),SUMPRODUCT((PayEmp=$C53)*(PayDate&lt;=$AC53)*(OFFSET($N$6,1,MATCH(AW$5,PayDedList,0)-1,PayCount,1)))/$AA53*12*AW$3,IF(ISNA(MATCH(OFFSET($N$2,0,MATCH(AW$5,PayDedList,0)-1,1,1),EarnListItem,0))=FALSE,SUMPRODUCT((PayEmp=$C53)*(PayDate&lt;=$AC53)*(OFFSET($N$6,1,MATCH(AW$5,PayDedList,0)-1,PayCount,1)))/$AA53*12*AW$3,(MIN(SUMPRODUCT((PayEmp=$C53)*(PayDate&lt;=$AC53)*(ISERROR(SEARCH(PayEarnCode,AW$2)))*(PayEarnType="Monthly")*(PayEarnValues))/$AA53*12,IF(ISNUMBER(OFFSET($N$3,0,MATCH(AW$5,PayDedList,0)-1,1,1)),OFFSET($N$3,0,MATCH(AW$5,PayDedList,0)-1,1,1),IgnoreMin)))*IF(COUNTIFS(EmpNo,$C53,OFFSET(Emp!$R$4,1,MATCH(AW$5,DedListItem,0)-1,EmpCount,1),"&lt;&gt;")&gt;0,VLOOKUP($C53,EmpAll,COLUMN(Emp!$R$4)+MATCH(AW$5,DedListItem,0)-1,0),OFFSET(Setup!$E$73,MATCH(AW$5,DedListItem,0),0,1,1))*AW$3))),IF(ISNUMBER(AW$4),AW$4,IgnoreMin)))))</f>
        <v>0</v>
      </c>
      <c r="AX53" s="148">
        <f t="shared" ca="1" si="28"/>
        <v>1440000</v>
      </c>
      <c r="AY53" s="148">
        <f t="shared" ca="1" si="29"/>
        <v>0</v>
      </c>
      <c r="AZ53" s="148">
        <f ca="1">IF(ISNUMBER($AL53),($AR53*$AL53)-$AI53-$AK53,MAX(0,IF($AL53="B",IF($AR53&lt;Setup!$C$32,($AR53*Setup!$D$32)-$AI53-$AK53,(($AR53-VLOOKUP($AR53,TaxAll2,1,1))*OFFSET(Setup!$D$32,MATCH($AR53,TaxBracket2,1),0,1,1))+OFFSET(Setup!$E$31,MATCH($AR53,TaxBracket2,1),0,1,1)-$AI53-$AK53),IF($AR53&lt;Setup!$C$21,($AR53*Setup!$D$21)-$AI53-$AK53,(($AR53-VLOOKUP($AR53,TaxAll1,1,1))*OFFSET(Setup!$D$21,MATCH($AR53,TaxBracket1,1),0,1,1))+OFFSET(Setup!$E$20,MATCH($AR53,TaxBracket1,1),0,1,1)-$AI53-$AK53))))</f>
        <v>463948</v>
      </c>
      <c r="BA53" s="148">
        <f ca="1">IF(ISNUMBER($AL53),($AX53*$AL53)-$AI53-$AK53,MAX(0,IF($AL53="B",IF($AX53&lt;Setup!$C$32,($AX53*Setup!$D$32)-$AI53-$AK53,(($AX53-VLOOKUP($AX53,TaxAll2,1,1))*OFFSET(Setup!$D$32,MATCH($AX53,TaxBracket2,1),0,1,1))+OFFSET(Setup!$E$31,MATCH($AX53,TaxBracket2,1),0,1,1)-$AI53-$AK53),IF($AX53&lt;Setup!$C$21,($AX53*Setup!$D$21)-$AI53-$AK53,(($AX53-VLOOKUP($AX53,TaxAll1,1,1))*OFFSET(Setup!$D$21,MATCH($AX53,TaxBracket1,1),0,1,1))+OFFSET(Setup!$E$20,MATCH($AX53,TaxBracket1,1),0,1,1)-$AI53-$AK53))))</f>
        <v>463948</v>
      </c>
      <c r="BB53" s="148">
        <f t="shared" ca="1" si="23"/>
        <v>0</v>
      </c>
      <c r="BC53" s="150">
        <f t="shared" ca="1" si="15"/>
        <v>1</v>
      </c>
      <c r="BD53" s="150">
        <f t="shared" ca="1" si="16"/>
        <v>0</v>
      </c>
      <c r="BE53" s="148">
        <f t="shared" ca="1" si="17"/>
        <v>1440000</v>
      </c>
    </row>
    <row r="54" spans="1:57" ht="16.149999999999999" customHeight="1" x14ac:dyDescent="0.25">
      <c r="A54" s="10" t="str" cm="1">
        <f t="array" aca="1" ref="A54" ca="1">IF(ROW($A54)-ROW($A$6)&gt;EmpCount*12,"-",TEXT($B54,"yyyy")&amp;TEXT($B54,"mm")&amp;"-"&amp;$C54)</f>
        <v>202306-EXS003</v>
      </c>
      <c r="B54" s="137" cm="1">
        <f t="array" aca="1" ref="B54" ca="1">IF(ROW($A54)-ROW($A$6)&gt;EmpCount*12,Setup!$D$12,DATE(YEAR(Setup!$F$12),MONTH(Setup!$F$12)+ROUNDDOWN((ROW($A54)-ROW($A$6)-1)/EmpCount,0),IF(Setup!$C$14&gt;DAY(DATE(YEAR(Setup!$F$12),MONTH(Setup!$F$12)+ROUNDDOWN((ROW($A54)-ROW($A$6)-1)/EmpCount,0)+1,0)),DAY(DATE(YEAR(Setup!$F$12),MONTH(Setup!$F$12)+ROUNDDOWN((ROW($A54)-ROW($A$6)-1)/EmpCount,0)+1,0)),Setup!$C$14)))</f>
        <v>45102</v>
      </c>
      <c r="C54" s="101" t="str" cm="1">
        <f t="array" aca="1" ref="C54" ca="1">IF(ROW($A54)-ROW($A$6)&gt;EmpCount*12,"-",OFFSET(Emp!$A$4,ROW($A54)-ROW($A$6)-IF(ROW($A54)-ROW($A$6)&gt;EmpCount,ROUNDDOWN((ROW($A54)-ROW($A$6)-1)/EmpCount,0)*EmpCount,0),0,1,1))</f>
        <v>EXS003</v>
      </c>
      <c r="D54" s="10" t="str">
        <f ca="1">IF(ISNA(VLOOKUP($C54,EmpAll,COLUMN(Emp!$B$4),0)),"-",VLOOKUP($C54,EmpAll,COLUMN(Emp!$B$4),0))</f>
        <v>Wilson PG</v>
      </c>
      <c r="E54" s="145" t="str">
        <f ca="1">IF(ISNA(VLOOKUP($C54,EmpAll,COLUMN(Emp!$C$4),0)),"-",VLOOKUP($C54,EmpAll,COLUMN(Emp!$C$4),0))</f>
        <v>S</v>
      </c>
      <c r="F54" s="101" t="str">
        <f ca="1">IF(ISNA(VLOOKUP($C54,EmpAll,COLUMN(Emp!$A$4),0)),"-",IF(AND(VLOOKUP($C54,EmpAll,COLUMN(Emp!$E$4),0)&lt;&gt;0,VLOOKUP($C54,EmpAll,COLUMN(Emp!$E$4),0)&gt;=DATE(YEAR($AC54),MONTH($AC54)+1,0)),"Inactive",IF(AND(VLOOKUP($C54,EmpAll,COLUMN(Emp!$F$4),0)&lt;&gt;0,VLOOKUP($C54,EmpAll,COLUMN(Emp!$F$4),0)&lt;=DATE(YEAR($AC54),MONTH($AC54),0)),"Terminated","Active")))</f>
        <v>Active</v>
      </c>
      <c r="G54" s="133" cm="1">
        <f t="array" aca="1" ref="G54" ca="1">IF($F54&lt;&gt;"Active",0,IF(COUNTIFS(OverEmp,$C54,OverEarn,G$2,OverDate,"&lt;"&amp;DATE(YEAR($AC54),MONTH($AC54)+1,1),OverEnd,"&gt;="&amp;DATE(YEAR($AC54),MONTH($AC54),1))&gt;0,SUMIFS(OverValue,OverEmp,$C54,OverEarn,G$2,OverDate,"&lt;"&amp;DATE(YEAR($AC54),MONTH($AC54)+1,1),OverEnd,"&gt;="&amp;DATE(YEAR($AC54),MONTH($AC54),1)),IF(AND($AC54&gt;=Setup!$E$10,SUMIFS(EmpIncrease,EmpCode,$C54)&gt;0),SUMIFS(EmpIncrease,EmpCode,$C54),SUMIFS(EmpSalary,EmpCode,$C54))))</f>
        <v>15000</v>
      </c>
      <c r="H54" s="133" cm="1">
        <f t="array" aca="1" ref="H54" ca="1">IF($F54&lt;&gt;"Active",0,IF(COUNTIFS(OverEmp,$C54,OverEarn,H$2,OverDate,"&lt;"&amp;DATE(YEAR($AC54),MONTH($AC54)+1,1),OverEnd,"&gt;="&amp;DATE(YEAR($AC54),MONTH($AC54),1))&gt;0,SUMIFS(OverValue,OverEmp,$C54,OverEarn,H$2,OverDate,"&lt;"&amp;DATE(YEAR($AC54),MONTH($AC54)+1,1),OverEnd,"&gt;="&amp;DATE(YEAR($AC54),MONTH($AC54),1)),0))</f>
        <v>0</v>
      </c>
      <c r="I54" s="133" cm="1">
        <f t="array" aca="1" ref="I54" ca="1">IF($F54&lt;&gt;"Active",0,IF(COUNTIFS(OverEmp,$C54,OverEarn,I$2,OverDate,"&lt;"&amp;DATE(YEAR($AC54),MONTH($AC54)+1,1),OverEnd,"&gt;="&amp;DATE(YEAR($AC54),MONTH($AC54),1))&gt;0,SUMIFS(OverValue,OverEmp,$C54,OverEarn,I$2,OverDate,"&lt;"&amp;DATE(YEAR($AC54),MONTH($AC54)+1,1),OverEnd,"&gt;="&amp;DATE(YEAR($AC54),MONTH($AC54),1)),IF(MONTH(B54)=Setup!$C$15,SUMIFS(EmpBonus,EmpCode,$C54),0)))</f>
        <v>0</v>
      </c>
      <c r="J54" s="133" cm="1">
        <f t="array" aca="1" ref="J54" ca="1">IF($F54&lt;&gt;"Active",0,IF(COUNTIFS(OverEmp,$C54,OverEarn,J$2,OverDate,"&lt;"&amp;DATE(YEAR($AC54),MONTH($AC54)+1,1),OverEnd,"&gt;="&amp;DATE(YEAR($AC54),MONTH($AC54),1))&gt;0,SUMIFS(OverValue,OverEmp,$C54,OverEarn,J$2,OverDate,"&lt;"&amp;DATE(YEAR($AC54),MONTH($AC54)+1,1),OverEnd,"&gt;="&amp;DATE(YEAR($AC54),MONTH($AC54),1)),0))</f>
        <v>0</v>
      </c>
      <c r="K54" s="133" cm="1">
        <f t="array" aca="1" ref="K54" ca="1">IF($F54&lt;&gt;"Active",0,IF(COUNTIFS(OverEmp,$C54,OverEarn,K$2,OverDate,"&lt;"&amp;DATE(YEAR($AC54),MONTH($AC54)+1,1),OverEnd,"&gt;="&amp;DATE(YEAR($AC54),MONTH($AC54),1))&gt;0,SUMIFS(OverValue,OverEmp,$C54,OverEarn,K$2,OverDate,"&lt;"&amp;DATE(YEAR($AC54),MONTH($AC54)+1,1),OverEnd,"&gt;="&amp;DATE(YEAR($AC54),MONTH($AC54),1)),0))</f>
        <v>0</v>
      </c>
      <c r="L54" s="185">
        <f t="shared" ca="1" si="24"/>
        <v>15000</v>
      </c>
      <c r="M54" s="182" cm="1">
        <f t="array" aca="1" ref="M54" ca="1">IF(COUNTIFS(OverEmp,$C54,OverTax,M$5,OverDate,"&lt;"&amp;DATE(YEAR($AC54),MONTH($AC54)+1,1),OverEnd,"&gt;="&amp;DATE(YEAR($AC54),MONTH($AC54),1))&gt;0,SUMIFS(OverValue,OverEmp,$C54,OverTax,M$5,OverDate,"&lt;"&amp;DATE(YEAR($AC54),MONTH($AC54)+1,1),OverEnd,"&gt;="&amp;DATE(YEAR($AC54),MONTH($AC54),1)),(($BA54/12*$AA54)+(BB54*IF(1-$BC54=0,0,BD54/(1-$BC54))))-IF($F54="Terminated",0,SUMIFS(PayTaxDeduct,PayDate,"&lt;"&amp;$AC54,PayEmp,$C54)))</f>
        <v>899.75</v>
      </c>
      <c r="N54" s="133" cm="1">
        <f t="array" aca="1" ref="N54" ca="1">IF($F54="Terminated",0,IF($AA54=0,0,IF(ISNA(MATCH(N$5,DedListItem,0)),0,IF(COUNTIFS(OverEmp,$C54,OverDeduct,N$5,OverDate,"&lt;"&amp;DATE(YEAR($AC54),MONTH($AC54)+1,1),OverEnd,"&gt;="&amp;DATE(YEAR($AC54),MONTH($AC54),1))&gt;0,SUMIFS(OverValue,OverEmp,$C54,OverDeduct,N$5,OverDate,"&lt;"&amp;DATE(YEAR($AC54),MONTH($AC54)+1,1),OverEnd,"&gt;="&amp;DATE(YEAR($AC54),MONTH($AC54),1)),IF(OR(N$2="Fixed",N$2="Not Used"),(IF(COUNTIFS(EmpNo,$C54,OFFSET(Emp!$R$4,1,MATCH(N$5,DedListItem,0)-1,EmpCount,1),"&lt;&gt;")&gt;0,VLOOKUP($C54,EmpAll,COLUMN(Emp!$R$4)+MATCH(N$5,DedListItem,0)-1,0),OFFSET(Setup!$E$73,MATCH(N$5,DedListItem,0),0,1,1))*$AA54)-SUMIFS(OFFSET(N$6,1,0,PayCount,1),PayDate,"&lt;"&amp;$AC54,PayEmp,$C54),IF(ISNA(MATCH(N$2,EarnListItem,0))=FALSE,IF(OFFSET(Setup!$G$73,MATCH(N$5,DedListItem,0),0,1,1)="Taxable",SUMPRODUCT((PayEmp=$C54)*(PayDate&lt;=$AC54)*(PayEarnCode=N$2)*(PayEarnTax)*(PayEarnValues)),SUMPRODUCT((PayEmp=$C54)*(PayDate&lt;=$AC54)*(PayEarnCode=N$2)*(PayEarnValues)))*IF(COUNTIFS(EmpNo,$C54,OFFSET(Emp!$R$4,1,MATCH(N$5,DedListItem,0)-1,EmpCount,1),"&lt;&gt;")&gt;0,VLOOKUP($C54,EmpAll,COLUMN(Emp!$R$4)+MATCH(N$5,DedListItem,0)-1,0),OFFSET(Setup!$E$73,MATCH(N$5,DedListItem,0),0,1,1)),(MIN(IF(OFFSET(Setup!$G$73,MATCH(N$5,DedListItem,0),0,1,1)="Taxable",SUMPRODUCT((PayEmp=$C54)*(PayDate&lt;=$AC54)*(ISERROR(SEARCH(PayEarnCode,N$4)))*(PayEarnTax)*(PayEarnValues)),SUMPRODUCT((PayEmp=$C54)*(PayDate&lt;=$AC54)*(ISERROR(SEARCH(PayEarnCode,N$4)))*(PayEarnValues))),IF(ISNUMBER(N$3),N$3/12*$AA54,IgnoreMin)))*IF(COUNTIFS(EmpNo,$C54,OFFSET(Emp!$R$4,1,MATCH(N$5,DedListItem,0)-1,EmpCount,1),"&lt;&gt;")&gt;0,VLOOKUP($C54,EmpAll,COLUMN(Emp!$R$4)+MATCH(N$5,DedListItem,0)-1,0),OFFSET(Setup!$E$73,MATCH(N$5,DedListItem,0),0,1,1)))-SUMIFS(OFFSET(N$6,1,0,PayCount,1),PayDate,"&lt;"&amp;$AC54,PayEmp,$C54))))))</f>
        <v>150</v>
      </c>
      <c r="O54" s="133" cm="1">
        <f t="array" aca="1" ref="O54" ca="1">IF($F54="Terminated",0,IF($AA54=0,0,IF(ISNA(MATCH(O$5,DedListItem,0)),0,IF(COUNTIFS(OverEmp,$C54,OverDeduct,O$5,OverDate,"&lt;"&amp;DATE(YEAR($AC54),MONTH($AC54)+1,1),OverEnd,"&gt;="&amp;DATE(YEAR($AC54),MONTH($AC54),1))&gt;0,SUMIFS(OverValue,OverEmp,$C54,OverDeduct,O$5,OverDate,"&lt;"&amp;DATE(YEAR($AC54),MONTH($AC54)+1,1),OverEnd,"&gt;="&amp;DATE(YEAR($AC54),MONTH($AC54),1)),IF(OR(O$2="Fixed",O$2="Not Used"),(IF(COUNTIFS(EmpNo,$C54,OFFSET(Emp!$R$4,1,MATCH(O$5,DedListItem,0)-1,EmpCount,1),"&lt;&gt;")&gt;0,VLOOKUP($C54,EmpAll,COLUMN(Emp!$R$4)+MATCH(O$5,DedListItem,0)-1,0),OFFSET(Setup!$E$73,MATCH(O$5,DedListItem,0),0,1,1))*$AA54)-SUMIFS(OFFSET(O$6,1,0,PayCount,1),PayDate,"&lt;"&amp;$AC54,PayEmp,$C54),IF(ISNA(MATCH(O$2,EarnListItem,0))=FALSE,IF(OFFSET(Setup!$G$73,MATCH(O$5,DedListItem,0),0,1,1)="Taxable",SUMPRODUCT((PayEmp=$C54)*(PayDate&lt;=$AC54)*(PayEarnCode=O$2)*(PayEarnTax)*(PayEarnValues)),SUMPRODUCT((PayEmp=$C54)*(PayDate&lt;=$AC54)*(PayEarnCode=O$2)*(PayEarnValues)))*IF(COUNTIFS(EmpNo,$C54,OFFSET(Emp!$R$4,1,MATCH(O$5,DedListItem,0)-1,EmpCount,1),"&lt;&gt;")&gt;0,VLOOKUP($C54,EmpAll,COLUMN(Emp!$R$4)+MATCH(O$5,DedListItem,0)-1,0),OFFSET(Setup!$E$73,MATCH(O$5,DedListItem,0),0,1,1)),(MIN(IF(OFFSET(Setup!$G$73,MATCH(O$5,DedListItem,0),0,1,1)="Taxable",SUMPRODUCT((PayEmp=$C54)*(PayDate&lt;=$AC54)*(ISERROR(SEARCH(PayEarnCode,O$4)))*(PayEarnTax)*(PayEarnValues)),SUMPRODUCT((PayEmp=$C54)*(PayDate&lt;=$AC54)*(ISERROR(SEARCH(PayEarnCode,O$4)))*(PayEarnValues))),IF(ISNUMBER(O$3),O$3/12*$AA54,IgnoreMin)))*IF(COUNTIFS(EmpNo,$C54,OFFSET(Emp!$R$4,1,MATCH(O$5,DedListItem,0)-1,EmpCount,1),"&lt;&gt;")&gt;0,VLOOKUP($C54,EmpAll,COLUMN(Emp!$R$4)+MATCH(O$5,DedListItem,0)-1,0),OFFSET(Setup!$E$73,MATCH(O$5,DedListItem,0),0,1,1)))-SUMIFS(OFFSET(O$6,1,0,PayCount,1),PayDate,"&lt;"&amp;$AC54,PayEmp,$C54))))))</f>
        <v>0</v>
      </c>
      <c r="P54" s="133" cm="1">
        <f t="array" aca="1" ref="P54" ca="1">IF($F54="Terminated",0,IF($AA54=0,0,IF(ISNA(MATCH(P$5,DedListItem,0)),0,IF(COUNTIFS(OverEmp,$C54,OverDeduct,P$5,OverDate,"&lt;"&amp;DATE(YEAR($AC54),MONTH($AC54)+1,1),OverEnd,"&gt;="&amp;DATE(YEAR($AC54),MONTH($AC54),1))&gt;0,SUMIFS(OverValue,OverEmp,$C54,OverDeduct,P$5,OverDate,"&lt;"&amp;DATE(YEAR($AC54),MONTH($AC54)+1,1),OverEnd,"&gt;="&amp;DATE(YEAR($AC54),MONTH($AC54),1)),IF(OR(P$2="Fixed",P$2="Not Used"),(IF(COUNTIFS(EmpNo,$C54,OFFSET(Emp!$R$4,1,MATCH(P$5,DedListItem,0)-1,EmpCount,1),"&lt;&gt;")&gt;0,VLOOKUP($C54,EmpAll,COLUMN(Emp!$R$4)+MATCH(P$5,DedListItem,0)-1,0),OFFSET(Setup!$E$73,MATCH(P$5,DedListItem,0),0,1,1))*$AA54)-SUMIFS(OFFSET(P$6,1,0,PayCount,1),PayDate,"&lt;"&amp;$AC54,PayEmp,$C54),IF(ISNA(MATCH(P$2,EarnListItem,0))=FALSE,IF(OFFSET(Setup!$G$73,MATCH(P$5,DedListItem,0),0,1,1)="Taxable",SUMPRODUCT((PayEmp=$C54)*(PayDate&lt;=$AC54)*(PayEarnCode=P$2)*(PayEarnTax)*(PayEarnValues)),SUMPRODUCT((PayEmp=$C54)*(PayDate&lt;=$AC54)*(PayEarnCode=P$2)*(PayEarnValues)))*IF(COUNTIFS(EmpNo,$C54,OFFSET(Emp!$R$4,1,MATCH(P$5,DedListItem,0)-1,EmpCount,1),"&lt;&gt;")&gt;0,VLOOKUP($C54,EmpAll,COLUMN(Emp!$R$4)+MATCH(P$5,DedListItem,0)-1,0),OFFSET(Setup!$E$73,MATCH(P$5,DedListItem,0),0,1,1)),(MIN(IF(OFFSET(Setup!$G$73,MATCH(P$5,DedListItem,0),0,1,1)="Taxable",SUMPRODUCT((PayEmp=$C54)*(PayDate&lt;=$AC54)*(ISERROR(SEARCH(PayEarnCode,P$4)))*(PayEarnTax)*(PayEarnValues)),SUMPRODUCT((PayEmp=$C54)*(PayDate&lt;=$AC54)*(ISERROR(SEARCH(PayEarnCode,P$4)))*(PayEarnValues))),IF(ISNUMBER(P$3),P$3/12*$AA54,IgnoreMin)))*IF(COUNTIFS(EmpNo,$C54,OFFSET(Emp!$R$4,1,MATCH(P$5,DedListItem,0)-1,EmpCount,1),"&lt;&gt;")&gt;0,VLOOKUP($C54,EmpAll,COLUMN(Emp!$R$4)+MATCH(P$5,DedListItem,0)-1,0),OFFSET(Setup!$E$73,MATCH(P$5,DedListItem,0),0,1,1)))-SUMIFS(OFFSET(P$6,1,0,PayCount,1),PayDate,"&lt;"&amp;$AC54,PayEmp,$C54))))))</f>
        <v>0</v>
      </c>
      <c r="Q54" s="133" cm="1">
        <f t="array" aca="1" ref="Q54" ca="1">IF($F54="Terminated",0,IF($AA54=0,0,IF(ISNA(MATCH(Q$5,DedListItem,0)),0,IF(COUNTIFS(OverEmp,$C54,OverDeduct,Q$5,OverDate,"&lt;"&amp;DATE(YEAR($AC54),MONTH($AC54)+1,1),OverEnd,"&gt;="&amp;DATE(YEAR($AC54),MONTH($AC54),1))&gt;0,SUMIFS(OverValue,OverEmp,$C54,OverDeduct,Q$5,OverDate,"&lt;"&amp;DATE(YEAR($AC54),MONTH($AC54)+1,1),OverEnd,"&gt;="&amp;DATE(YEAR($AC54),MONTH($AC54),1)),IF(OR(Q$2="Fixed",Q$2="Not Used"),(IF(COUNTIFS(EmpNo,$C54,OFFSET(Emp!$R$4,1,MATCH(Q$5,DedListItem,0)-1,EmpCount,1),"&lt;&gt;")&gt;0,VLOOKUP($C54,EmpAll,COLUMN(Emp!$R$4)+MATCH(Q$5,DedListItem,0)-1,0),OFFSET(Setup!$E$73,MATCH(Q$5,DedListItem,0),0,1,1))*$AA54)-SUMIFS(OFFSET(Q$6,1,0,PayCount,1),PayDate,"&lt;"&amp;$AC54,PayEmp,$C54),IF(ISNA(MATCH(Q$2,EarnListItem,0))=FALSE,IF(OFFSET(Setup!$G$73,MATCH(Q$5,DedListItem,0),0,1,1)="Taxable",SUMPRODUCT((PayEmp=$C54)*(PayDate&lt;=$AC54)*(PayEarnCode=Q$2)*(PayEarnTax)*(PayEarnValues)),SUMPRODUCT((PayEmp=$C54)*(PayDate&lt;=$AC54)*(PayEarnCode=Q$2)*(PayEarnValues)))*IF(COUNTIFS(EmpNo,$C54,OFFSET(Emp!$R$4,1,MATCH(Q$5,DedListItem,0)-1,EmpCount,1),"&lt;&gt;")&gt;0,VLOOKUP($C54,EmpAll,COLUMN(Emp!$R$4)+MATCH(Q$5,DedListItem,0)-1,0),OFFSET(Setup!$E$73,MATCH(Q$5,DedListItem,0),0,1,1)),(MIN(IF(OFFSET(Setup!$G$73,MATCH(Q$5,DedListItem,0),0,1,1)="Taxable",SUMPRODUCT((PayEmp=$C54)*(PayDate&lt;=$AC54)*(ISERROR(SEARCH(PayEarnCode,Q$4)))*(PayEarnTax)*(PayEarnValues)),SUMPRODUCT((PayEmp=$C54)*(PayDate&lt;=$AC54)*(ISERROR(SEARCH(PayEarnCode,Q$4)))*(PayEarnValues))),IF(ISNUMBER(Q$3),Q$3/12*$AA54,IgnoreMin)))*IF(COUNTIFS(EmpNo,$C54,OFFSET(Emp!$R$4,1,MATCH(Q$5,DedListItem,0)-1,EmpCount,1),"&lt;&gt;")&gt;0,VLOOKUP($C54,EmpAll,COLUMN(Emp!$R$4)+MATCH(Q$5,DedListItem,0)-1,0),OFFSET(Setup!$E$73,MATCH(Q$5,DedListItem,0),0,1,1)))-SUMIFS(OFFSET(Q$6,1,0,PayCount,1),PayDate,"&lt;"&amp;$AC54,PayEmp,$C54))))))</f>
        <v>0</v>
      </c>
      <c r="R54" s="185">
        <f t="shared" ca="1" si="25"/>
        <v>1049.75</v>
      </c>
      <c r="S54" s="139">
        <f t="shared" ca="1" si="26"/>
        <v>13950.25</v>
      </c>
      <c r="T54" s="133" cm="1">
        <f t="array" aca="1" ref="T54" ca="1">IF($F54="Terminated",0,IF($AA54=0,0,IF(ISNA(MATCH(T$5,CompListItem,0)),0,IF(COUNTIFS(OverEmp,$C54,OverComp,T$5,OverDate,"&lt;"&amp;DATE(YEAR($AC54),MONTH($AC54)+1,1),OverEnd,"&gt;="&amp;DATE(YEAR($AC54),MONTH($AC54),1))&gt;0,SUMIFS(OverValue,OverEmp,$C54,OverComp,T$5,OverDate,"&lt;"&amp;DATE(YEAR($AC54),MONTH($AC54)+1,1),OverEnd,"&gt;="&amp;DATE(YEAR($AC54),MONTH($AC54),1)),IF(OR(T$2="Fixed",T$2="Not Used"),(OFFSET(Setup!$E$81,MATCH(T$5,CompListItem,0),0,1,1)*$AA54)-SUMIFS(OFFSET(T$6,1,0,PayCount,1),PayDate,"&lt;"&amp;$AC54,PayEmp,$C54),IF(ISNA(MATCH(T$2,DedListItem,0))=FALSE,(SUMPRODUCT((PayEmp=$C54)*(PayDate&lt;=$AC54)*(PayDedList=T$2)*(PayDedValues))*OFFSET(Setup!$E$81,MATCH(T$5,CompListItem,0),0,1,1))-SUMIFS(OFFSET(T$6,1,0,PayCount,1),PayDate,"&lt;"&amp;$AC54,PayEmp,$C54),(MIN(IF(OFFSET(Setup!$G$81,MATCH(T$5,CompListItem,0),0,1,1)="Taxable",SUMPRODUCT((PayEmp=$C54)*(PayDate&lt;=$AC54)*(ISERROR(SEARCH(PayEarnCode,T$4)))*(PayEarnTax)*(PayEarnValues)),SUMPRODUCT((PayEmp=$C54)*(PayDate&lt;=$AC54)*(ISERROR(SEARCH(PayEarnCode,T$4)))*(PayEarnValues))),IF(ISNUMBER(T$3),T$3/12*$AA54,IgnoreMin)))*OFFSET(Setup!$E$81,MATCH(T$5,CompListItem,0),0,1,1)-SUMIFS(OFFSET(T$6,1,0,PayCount,1),PayDate,"&lt;"&amp;$AC54,PayEmp,$C54)))))))</f>
        <v>150</v>
      </c>
      <c r="U54" s="133" cm="1">
        <f t="array" aca="1" ref="U54" ca="1">IF($F54="Terminated",0,IF($AA54=0,0,IF(ISNA(MATCH(U$5,CompListItem,0)),0,IF(COUNTIFS(OverEmp,$C54,OverComp,U$5,OverDate,"&lt;"&amp;DATE(YEAR($AC54),MONTH($AC54)+1,1),OverEnd,"&gt;="&amp;DATE(YEAR($AC54),MONTH($AC54),1))&gt;0,SUMIFS(OverValue,OverEmp,$C54,OverComp,U$5,OverDate,"&lt;"&amp;DATE(YEAR($AC54),MONTH($AC54)+1,1),OverEnd,"&gt;="&amp;DATE(YEAR($AC54),MONTH($AC54),1)),IF(OR(U$2="Fixed",U$2="Not Used"),(OFFSET(Setup!$E$81,MATCH(U$5,CompListItem,0),0,1,1)*$AA54)-SUMIFS(OFFSET(U$6,1,0,PayCount,1),PayDate,"&lt;"&amp;$AC54,PayEmp,$C54),IF(ISNA(MATCH(U$2,DedListItem,0))=FALSE,(SUMPRODUCT((PayEmp=$C54)*(PayDate&lt;=$AC54)*(PayDedList=U$2)*(PayDedValues))*OFFSET(Setup!$E$81,MATCH(U$5,CompListItem,0),0,1,1))-SUMIFS(OFFSET(U$6,1,0,PayCount,1),PayDate,"&lt;"&amp;$AC54,PayEmp,$C54),(MIN(IF(OFFSET(Setup!$G$81,MATCH(U$5,CompListItem,0),0,1,1)="Taxable",SUMPRODUCT((PayEmp=$C54)*(PayDate&lt;=$AC54)*(ISERROR(SEARCH(PayEarnCode,U$4)))*(PayEarnTax)*(PayEarnValues)),SUMPRODUCT((PayEmp=$C54)*(PayDate&lt;=$AC54)*(ISERROR(SEARCH(PayEarnCode,U$4)))*(PayEarnValues))),IF(ISNUMBER(U$3),U$3/12*$AA54,IgnoreMin)))*OFFSET(Setup!$E$81,MATCH(U$5,CompListItem,0),0,1,1)-SUMIFS(OFFSET(U$6,1,0,PayCount,1),PayDate,"&lt;"&amp;$AC54,PayEmp,$C54)))))))</f>
        <v>150</v>
      </c>
      <c r="V54" s="133" cm="1">
        <f t="array" aca="1" ref="V54" ca="1">IF($F54="Terminated",0,IF($AA54=0,0,IF(ISNA(MATCH(V$5,CompListItem,0)),0,IF(COUNTIFS(OverEmp,$C54,OverComp,V$5,OverDate,"&lt;"&amp;DATE(YEAR($AC54),MONTH($AC54)+1,1),OverEnd,"&gt;="&amp;DATE(YEAR($AC54),MONTH($AC54),1))&gt;0,SUMIFS(OverValue,OverEmp,$C54,OverComp,V$5,OverDate,"&lt;"&amp;DATE(YEAR($AC54),MONTH($AC54)+1,1),OverEnd,"&gt;="&amp;DATE(YEAR($AC54),MONTH($AC54),1)),IF(OR(V$2="Fixed",V$2="Not Used"),(OFFSET(Setup!$E$81,MATCH(V$5,CompListItem,0),0,1,1)*$AA54)-SUMIFS(OFFSET(V$6,1,0,PayCount,1),PayDate,"&lt;"&amp;$AC54,PayEmp,$C54),IF(ISNA(MATCH(V$2,DedListItem,0))=FALSE,(SUMPRODUCT((PayEmp=$C54)*(PayDate&lt;=$AC54)*(PayDedList=V$2)*(PayDedValues))*OFFSET(Setup!$E$81,MATCH(V$5,CompListItem,0),0,1,1))-SUMIFS(OFFSET(V$6,1,0,PayCount,1),PayDate,"&lt;"&amp;$AC54,PayEmp,$C54),(MIN(IF(OFFSET(Setup!$G$81,MATCH(V$5,CompListItem,0),0,1,1)="Taxable",SUMPRODUCT((PayEmp=$C54)*(PayDate&lt;=$AC54)*(ISERROR(SEARCH(PayEarnCode,V$4)))*(PayEarnTax)*(PayEarnValues)),SUMPRODUCT((PayEmp=$C54)*(PayDate&lt;=$AC54)*(ISERROR(SEARCH(PayEarnCode,V$4)))*(PayEarnValues))),IF(ISNUMBER(V$3),V$3/12*$AA54,IgnoreMin)))*OFFSET(Setup!$E$81,MATCH(V$5,CompListItem,0),0,1,1)-SUMIFS(OFFSET(V$6,1,0,PayCount,1),PayDate,"&lt;"&amp;$AC54,PayEmp,$C54)))))))</f>
        <v>0</v>
      </c>
      <c r="W54" s="133" cm="1">
        <f t="array" aca="1" ref="W54" ca="1">IF($F54="Terminated",0,IF($AA54=0,0,IF(ISNA(MATCH(W$5,CompListItem,0)),0,IF(COUNTIFS(OverEmp,$C54,OverComp,W$5,OverDate,"&lt;"&amp;DATE(YEAR($AC54),MONTH($AC54)+1,1),OverEnd,"&gt;="&amp;DATE(YEAR($AC54),MONTH($AC54),1))&gt;0,SUMIFS(OverValue,OverEmp,$C54,OverComp,W$5,OverDate,"&lt;"&amp;DATE(YEAR($AC54),MONTH($AC54)+1,1),OverEnd,"&gt;="&amp;DATE(YEAR($AC54),MONTH($AC54),1)),IF(OR(W$2="Fixed",W$2="Not Used"),(OFFSET(Setup!$E$81,MATCH(W$5,CompListItem,0),0,1,1)*$AA54)-SUMIFS(OFFSET(W$6,1,0,PayCount,1),PayDate,"&lt;"&amp;$AC54,PayEmp,$C54),IF(ISNA(MATCH(W$2,DedListItem,0))=FALSE,(SUMPRODUCT((PayEmp=$C54)*(PayDate&lt;=$AC54)*(PayDedList=W$2)*(PayDedValues))*OFFSET(Setup!$E$81,MATCH(W$5,CompListItem,0),0,1,1))-SUMIFS(OFFSET(W$6,1,0,PayCount,1),PayDate,"&lt;"&amp;$AC54,PayEmp,$C54),(MIN(IF(OFFSET(Setup!$G$81,MATCH(W$5,CompListItem,0),0,1,1)="Taxable",SUMPRODUCT((PayEmp=$C54)*(PayDate&lt;=$AC54)*(ISERROR(SEARCH(PayEarnCode,W$4)))*(PayEarnTax)*(PayEarnValues)),SUMPRODUCT((PayEmp=$C54)*(PayDate&lt;=$AC54)*(ISERROR(SEARCH(PayEarnCode,W$4)))*(PayEarnValues))),IF(ISNUMBER(W$3),W$3/12*$AA54,IgnoreMin)))*OFFSET(Setup!$E$81,MATCH(W$5,CompListItem,0),0,1,1)-SUMIFS(OFFSET(W$6,1,0,PayCount,1),PayDate,"&lt;"&amp;$AC54,PayEmp,$C54)))))))</f>
        <v>0</v>
      </c>
      <c r="X54" s="185">
        <f t="shared" ca="1" si="18"/>
        <v>300</v>
      </c>
      <c r="Y54" s="139">
        <f t="shared" ca="1" si="27"/>
        <v>15300</v>
      </c>
      <c r="Z54" s="139">
        <f t="shared" ca="1" si="19"/>
        <v>1349.75</v>
      </c>
      <c r="AA54" s="146">
        <f ca="1">IF(OR($B54&lt;=Setup!$E$12,$B54&gt;=Setup!$D$12+1),0,IF($F54&lt;&gt;"Active",0,IF($AE54="Yes",$AB54,((YEAR($AC54)*12)+MONTH($AC54))-((YEAR($AD54)*12)+MONTH($AD54)-1))))</f>
        <v>4</v>
      </c>
      <c r="AB54" s="146">
        <f ca="1">IF(OR($B54&lt;=Setup!$E$12,$B54&gt;=Setup!$D$12+1),0,((YEAR($AC54)*12)+MONTH($AC54))-((YEAR(Setup!$E$12)*12)+MONTH(Setup!$E$12)))</f>
        <v>4</v>
      </c>
      <c r="AC54" s="186">
        <f t="shared" ca="1" si="20"/>
        <v>45102</v>
      </c>
      <c r="AD54" s="144">
        <f ca="1">IF(ISNA(VLOOKUP($C54,EmpAll,COLUMN(Emp!$E$4),0)),$AC54,IF(VLOOKUP($C54,EmpAll,COLUMN(Emp!$E$4),0)&lt;=Setup!$E$12,DATE(YEAR(Setup!$E$12),MONTH(Setup!$E$12)+1,1),VLOOKUP($C54,EmpAll,COLUMN(Emp!$E$4),0)))</f>
        <v>44986</v>
      </c>
      <c r="AE54" s="144" t="str">
        <f ca="1">IF(ISNA(VLOOKUP($C54,EmpAll,COLUMN(Emp!$G$1),0)),"-",IF(VLOOKUP($C54,EmpAll,COLUMN(Emp!$G$1),0)=0,"-",VLOOKUP($C54,EmpAll,COLUMN(Emp!$G$1),0)))</f>
        <v>-</v>
      </c>
      <c r="AF54" s="145">
        <f ca="1">IF(A54=PaySlip!$G$3,1,0)</f>
        <v>0</v>
      </c>
      <c r="AG54" s="130" cm="1">
        <f t="array" aca="1" ref="AG54" ca="1">IF(COUNTIFS(OverEmp,$C54,OverMed,"MED",OverDate,"&lt;"&amp;DATE(YEAR($AC54),MONTH($AC54)+1,1),OverEnd,"&gt;="&amp;DATE(YEAR($AC54),MONTH($AC54),1))&gt;0,SUMIFS(OverValue,OverEmp,$C54,OverMed,"MED",OverDate,"&lt;"&amp;DATE(YEAR($AC54),MONTH($AC54)+1,1),OverEnd,"&gt;="&amp;DATE(YEAR($AC54),MONTH($AC54),1)),IF(ISNA(VLOOKUP($C54,EmpAll,COLUMN(Emp!$N$4),0)),0,VLOOKUP($C54,EmpAll,COLUMN(Emp!$N$4),0)))</f>
        <v>1</v>
      </c>
      <c r="AH54" s="146">
        <f ca="1">VLOOKUP($AG54,MedList,COLUMN(Setup!$C$49),1)</f>
        <v>364</v>
      </c>
      <c r="AI54" s="146">
        <f t="shared" ca="1" si="7"/>
        <v>4368</v>
      </c>
      <c r="AJ54" s="101" t="str">
        <f ca="1">IF(ISNA(VLOOKUP($C54,EmpAll,COLUMN(Emp!$L$4),0)),"None!",VLOOKUP($C54,EmpAll,COLUMN(Emp!$L$4),0))</f>
        <v>A</v>
      </c>
      <c r="AK54" s="147">
        <f t="shared" ca="1" si="21"/>
        <v>17235</v>
      </c>
      <c r="AL54" s="101" t="str">
        <f ca="1">IF(ISNA(VLOOKUP($C54,Employees[],COLUMN(Emp!$M$4),0))=TRUE,"Error!",IF(VLOOKUP($C54,Employees[],COLUMN(Emp!$M$4),0)=0,"Yes",VLOOKUP($C54,Employees[],COLUMN(Emp!$M$4),0)))</f>
        <v>A</v>
      </c>
      <c r="AM54" s="148">
        <f t="shared" ca="1" si="9"/>
        <v>180000</v>
      </c>
      <c r="AN54" s="148" cm="1">
        <f t="array" aca="1" ref="AN54" ca="1">-IF($F54="Terminated",0,IF($AA54=0,0,IF(ISNA(MATCH(AN$5,PayDedList,0)),0,MIN(IF(COUNTIFS(OverEmp,$C54,OverDeduct,AN$5,OverDate,"&lt;"&amp;DATE(YEAR($AC54),MONTH($AC54)+1,1),OverEnd,"&gt;="&amp;DATE(YEAR($AC54),MONTH($AC54),1))&gt;0,SUMPRODUCT((PayEmp=$C54)*(PayDate&lt;=$AC54)*(OFFSET($N$6,1,MATCH(AN$5,PayDedList,0)-1,PayCount,1)))/$AA54*12*AN$3,IF(OR(AN$1="Fixed",AN$1="Not Used"),SUMPRODUCT((PayEmp=$C54)*(PayDate&lt;=$AC54)*(OFFSET($N$6,1,MATCH(AN$5,PayDedList,0)-1,PayCount,1)))/$AA54*12*AN$3,IF(ISNA(MATCH(AN$1,EarnListItem,0))=FALSE,SUMPRODUCT((PayEmp=$C54)*(PayDate&lt;=$AC54)*(OFFSET($N$6,1,MATCH(AN$5,PayDedList,0)-1,PayCount,1)))/$AA54*12*AN$3,(MIN(((SUMPRODUCT((PayEmp=$C54)*(PayDate&lt;=$AC54)*(ISERROR(SEARCH(PayEarnCode,AN$2)))*(PayEarnType="Monthly")*(PayEarnValues))/$AA54*12)+(SUMPRODUCT((PayEmp=$C54)*(PayDate&lt;=$AC54)*(ISERROR(SEARCH(PayEarnCode,AN$2)))*(PayEarnType="Quarterly")*(PayEarnValues))/MAX(1,ROUNDDOWN($AB54/3,0))*4)+(SUMPRODUCT((PayEmp=$C54)*(PayDate&lt;=$AC54)*(ISERROR(SEARCH(PayEarnCode,AN$2)))*(PayEarnType="Bi-Annual")*(PayEarnValues))/MAX(1,ROUNDDOWN($AB54/6,0))*2)+(SUMPRODUCT((PayEmp=$C54)*(PayDate&lt;=$AC54)*(ISERROR(SEARCH(PayEarnCode,AN$2)))*(PayEarnType="Annual")*(PayEarnValues)))),IF(ISNUMBER(OFFSET($N$3,0,MATCH(AN$5,PayDedList,0)-1,1,1)),OFFSET($N$3,0,MATCH(AN$5,PayDedList,0)-1,1,1),IgnoreMin)))*IF(COUNTIFS(EmpNo,$C54,OFFSET(Emp!$R$4,1,MATCH(AN$5,DedListItem,0)-1,EmpCount,1),"&lt;&gt;")&gt;0,VLOOKUP($C54,EmpAll,COLUMN(Emp!$R$4)+MATCH(AN$5,DedListItem,0)-1,0),OFFSET(Setup!$E$73,MATCH(AN$5,DedListItem,0),0,1,1))*AN$3))),IF(ISNUMBER(AN$4),AN$4,IgnoreMin)))))</f>
        <v>0</v>
      </c>
      <c r="AO54" s="148" cm="1">
        <f t="array" aca="1" ref="AO54" ca="1">-IF($F54="Terminated",0,IF($AA54=0,0,IF(ISNA(MATCH(AO$5,PayDedList,0)),0,MIN(IF(COUNTIFS(OverEmp,$C54,OverDeduct,AO$5,OverDate,"&lt;"&amp;DATE(YEAR($AC54),MONTH($AC54)+1,1),OverEnd,"&gt;="&amp;DATE(YEAR($AC54),MONTH($AC54),1))&gt;0,SUMPRODUCT((PayEmp=$C54)*(PayDate&lt;=$AC54)*(OFFSET($N$6,1,MATCH(AO$5,PayDedList,0)-1,PayCount,1)))/$AA54*12*AO$3,IF(OR(AO$1="Fixed",AO$1="Not Used"),SUMPRODUCT((PayEmp=$C54)*(PayDate&lt;=$AC54)*(OFFSET($N$6,1,MATCH(AO$5,PayDedList,0)-1,PayCount,1)))/$AA54*12*AO$3,IF(ISNA(MATCH(AO$1,EarnListItem,0))=FALSE,SUMPRODUCT((PayEmp=$C54)*(PayDate&lt;=$AC54)*(OFFSET($N$6,1,MATCH(AO$5,PayDedList,0)-1,PayCount,1)))/$AA54*12*AO$3,(MIN(((SUMPRODUCT((PayEmp=$C54)*(PayDate&lt;=$AC54)*(ISERROR(SEARCH(PayEarnCode,AO$2)))*(PayEarnType="Monthly")*(PayEarnValues))/$AA54*12)+(SUMPRODUCT((PayEmp=$C54)*(PayDate&lt;=$AC54)*(ISERROR(SEARCH(PayEarnCode,AO$2)))*(PayEarnType="Quarterly")*(PayEarnValues))/MAX(1,ROUNDDOWN($AB54/3,0))*4)+(SUMPRODUCT((PayEmp=$C54)*(PayDate&lt;=$AC54)*(ISERROR(SEARCH(PayEarnCode,AO$2)))*(PayEarnType="Bi-Annual")*(PayEarnValues))/MAX(1,ROUNDDOWN($AB54/6,0))*2)+(SUMPRODUCT((PayEmp=$C54)*(PayDate&lt;=$AC54)*(ISERROR(SEARCH(PayEarnCode,AO$2)))*(PayEarnType="Annual")*(PayEarnValues)))),IF(ISNUMBER(OFFSET($N$3,0,MATCH(AO$5,PayDedList,0)-1,1,1)),OFFSET($N$3,0,MATCH(AO$5,PayDedList,0)-1,1,1),IgnoreMin)))*IF(COUNTIFS(EmpNo,$C54,OFFSET(Emp!$R$4,1,MATCH(AO$5,DedListItem,0)-1,EmpCount,1),"&lt;&gt;")&gt;0,VLOOKUP($C54,EmpAll,COLUMN(Emp!$R$4)+MATCH(AO$5,DedListItem,0)-1,0),OFFSET(Setup!$E$73,MATCH(AO$5,DedListItem,0),0,1,1))*AO$3))),IF(ISNUMBER(AO$4),AO$4,IgnoreMin)))))</f>
        <v>0</v>
      </c>
      <c r="AP54" s="148" cm="1">
        <f t="array" aca="1" ref="AP54" ca="1">-IF($F54="Terminated",0,IF($AA54=0,0,IF(ISNA(MATCH(AP$5,PayDedList,0)),0,MIN(IF(COUNTIFS(OverEmp,$C54,OverDeduct,AP$5,OverDate,"&lt;"&amp;DATE(YEAR($AC54),MONTH($AC54)+1,1),OverEnd,"&gt;="&amp;DATE(YEAR($AC54),MONTH($AC54),1))&gt;0,SUMPRODUCT((PayEmp=$C54)*(PayDate&lt;=$AC54)*(OFFSET($N$6,1,MATCH(AP$5,PayDedList,0)-1,PayCount,1)))/$AA54*12*AP$3,IF(OR(AP$1="Fixed",AP$1="Not Used"),SUMPRODUCT((PayEmp=$C54)*(PayDate&lt;=$AC54)*(OFFSET($N$6,1,MATCH(AP$5,PayDedList,0)-1,PayCount,1)))/$AA54*12*AP$3,IF(ISNA(MATCH(AP$1,EarnListItem,0))=FALSE,SUMPRODUCT((PayEmp=$C54)*(PayDate&lt;=$AC54)*(OFFSET($N$6,1,MATCH(AP$5,PayDedList,0)-1,PayCount,1)))/$AA54*12*AP$3,(MIN(((SUMPRODUCT((PayEmp=$C54)*(PayDate&lt;=$AC54)*(ISERROR(SEARCH(PayEarnCode,AP$2)))*(PayEarnType="Monthly")*(PayEarnValues))/$AA54*12)+(SUMPRODUCT((PayEmp=$C54)*(PayDate&lt;=$AC54)*(ISERROR(SEARCH(PayEarnCode,AP$2)))*(PayEarnType="Quarterly")*(PayEarnValues))/MAX(1,ROUNDDOWN($AB54/3,0))*4)+(SUMPRODUCT((PayEmp=$C54)*(PayDate&lt;=$AC54)*(ISERROR(SEARCH(PayEarnCode,AP$2)))*(PayEarnType="Bi-Annual")*(PayEarnValues))/MAX(1,ROUNDDOWN($AB54/6,0))*2)+(SUMPRODUCT((PayEmp=$C54)*(PayDate&lt;=$AC54)*(ISERROR(SEARCH(PayEarnCode,AP$2)))*(PayEarnType="Annual")*(PayEarnValues)))),IF(ISNUMBER(OFFSET($N$3,0,MATCH(AP$5,PayDedList,0)-1,1,1)),OFFSET($N$3,0,MATCH(AP$5,PayDedList,0)-1,1,1),IgnoreMin)))*IF(COUNTIFS(EmpNo,$C54,OFFSET(Emp!$R$4,1,MATCH(AP$5,DedListItem,0)-1,EmpCount,1),"&lt;&gt;")&gt;0,VLOOKUP($C54,EmpAll,COLUMN(Emp!$R$4)+MATCH(AP$5,DedListItem,0)-1,0),OFFSET(Setup!$E$73,MATCH(AP$5,DedListItem,0),0,1,1))*AP$3))),IF(ISNUMBER(AP$4),AP$4,IgnoreMin)))))</f>
        <v>0</v>
      </c>
      <c r="AQ54" s="148" cm="1">
        <f t="array" aca="1" ref="AQ54" ca="1">-IF($F54="Terminated",0,IF($AA54=0,0,IF(ISNA(MATCH(AQ$5,PayDedList,0)),0,MIN(IF(COUNTIFS(OverEmp,$C54,OverDeduct,AQ$5,OverDate,"&lt;"&amp;DATE(YEAR($AC54),MONTH($AC54)+1,1),OverEnd,"&gt;="&amp;DATE(YEAR($AC54),MONTH($AC54),1))&gt;0,SUMPRODUCT((PayEmp=$C54)*(PayDate&lt;=$AC54)*(OFFSET($N$6,1,MATCH(AQ$5,PayDedList,0)-1,PayCount,1)))/$AA54*12*AQ$3,IF(OR(AQ$1="Fixed",AQ$1="Not Used"),SUMPRODUCT((PayEmp=$C54)*(PayDate&lt;=$AC54)*(OFFSET($N$6,1,MATCH(AQ$5,PayDedList,0)-1,PayCount,1)))/$AA54*12*AQ$3,IF(ISNA(MATCH(AQ$1,EarnListItem,0))=FALSE,SUMPRODUCT((PayEmp=$C54)*(PayDate&lt;=$AC54)*(OFFSET($N$6,1,MATCH(AQ$5,PayDedList,0)-1,PayCount,1)))/$AA54*12*AQ$3,(MIN(((SUMPRODUCT((PayEmp=$C54)*(PayDate&lt;=$AC54)*(ISERROR(SEARCH(PayEarnCode,AQ$2)))*(PayEarnType="Monthly")*(PayEarnValues))/$AA54*12)+(SUMPRODUCT((PayEmp=$C54)*(PayDate&lt;=$AC54)*(ISERROR(SEARCH(PayEarnCode,AQ$2)))*(PayEarnType="Quarterly")*(PayEarnValues))/MAX(1,ROUNDDOWN($AB54/3,0))*4)+(SUMPRODUCT((PayEmp=$C54)*(PayDate&lt;=$AC54)*(ISERROR(SEARCH(PayEarnCode,AQ$2)))*(PayEarnType="Bi-Annual")*(PayEarnValues))/MAX(1,ROUNDDOWN($AB54/6,0))*2)+(SUMPRODUCT((PayEmp=$C54)*(PayDate&lt;=$AC54)*(ISERROR(SEARCH(PayEarnCode,AQ$2)))*(PayEarnType="Annual")*(PayEarnValues)))),IF(ISNUMBER(OFFSET($N$3,0,MATCH(AQ$5,PayDedList,0)-1,1,1)),OFFSET($N$3,0,MATCH(AQ$5,PayDedList,0)-1,1,1),IgnoreMin)))*IF(COUNTIFS(EmpNo,$C54,OFFSET(Emp!$R$4,1,MATCH(AQ$5,DedListItem,0)-1,EmpCount,1),"&lt;&gt;")&gt;0,VLOOKUP($C54,EmpAll,COLUMN(Emp!$R$4)+MATCH(AQ$5,DedListItem,0)-1,0),OFFSET(Setup!$E$73,MATCH(AQ$5,DedListItem,0),0,1,1))*AQ$3))),IF(ISNUMBER(AQ$4),AQ$4,IgnoreMin)))))</f>
        <v>0</v>
      </c>
      <c r="AR54" s="148">
        <f t="shared" ca="1" si="22"/>
        <v>180000</v>
      </c>
      <c r="AS54" s="148">
        <f t="shared" ca="1" si="11"/>
        <v>180000</v>
      </c>
      <c r="AT54" s="148" cm="1">
        <f t="array" aca="1" ref="AT54" ca="1">-IF($F54="Terminated",0,IF($AA54=0,0,IF(ISNA(MATCH(AT$5,PayDedList,0)),0,MIN(IF(COUNTIFS(OverEmp,$C54,OverDeduct,AT$5,OverDate,"&lt;"&amp;DATE(YEAR($AC54),MONTH($AC54)+1,1),OverEnd,"&gt;="&amp;DATE(YEAR($AC54),MONTH($AC54),1))&gt;0,SUMPRODUCT((PayEmp=$C54)*(PayDate&lt;=$AC54)*(OFFSET($N$6,1,MATCH(AT$5,PayDedList,0)-1,PayCount,1)))/$AA54*12*AT$3,IF(OR(AT$1="Fixed",AT$1="Not Used"),SUMPRODUCT((PayEmp=$C54)*(PayDate&lt;=$AC54)*(OFFSET($N$6,1,MATCH(AT$5,PayDedList,0)-1,PayCount,1)))/$AA54*12*AT$3,IF(ISNA(MATCH(OFFSET($N$2,0,MATCH(AT$5,PayDedList,0)-1,1,1),EarnListItem,0))=FALSE,SUMPRODUCT((PayEmp=$C54)*(PayDate&lt;=$AC54)*(OFFSET($N$6,1,MATCH(AT$5,PayDedList,0)-1,PayCount,1)))/$AA54*12*AT$3,(MIN(SUMPRODUCT((PayEmp=$C54)*(PayDate&lt;=$AC54)*(ISERROR(SEARCH(PayEarnCode,AT$2)))*(PayEarnType="Monthly")*(PayEarnValues))/$AA54*12,IF(ISNUMBER(OFFSET($N$3,0,MATCH(AT$5,PayDedList,0)-1,1,1)),OFFSET($N$3,0,MATCH(AT$5,PayDedList,0)-1,1,1),IgnoreMin)))*IF(COUNTIFS(EmpNo,$C54,OFFSET(Emp!$R$4,1,MATCH(AT$5,DedListItem,0)-1,EmpCount,1),"&lt;&gt;")&gt;0,VLOOKUP($C54,EmpAll,COLUMN(Emp!$R$4)+MATCH(AT$5,DedListItem,0)-1,0),OFFSET(Setup!$E$73,MATCH(AT$5,DedListItem,0),0,1,1))*AT$3))),IF(ISNUMBER(AT$4),AT$4,IgnoreMin)))))</f>
        <v>0</v>
      </c>
      <c r="AU54" s="148" cm="1">
        <f t="array" aca="1" ref="AU54" ca="1">-IF($F54="Terminated",0,IF($AA54=0,0,IF(ISNA(MATCH(AU$5,PayDedList,0)),0,MIN(IF(COUNTIFS(OverEmp,$C54,OverDeduct,AU$5,OverDate,"&lt;"&amp;DATE(YEAR($AC54),MONTH($AC54)+1,1),OverEnd,"&gt;="&amp;DATE(YEAR($AC54),MONTH($AC54),1))&gt;0,SUMPRODUCT((PayEmp=$C54)*(PayDate&lt;=$AC54)*(OFFSET($N$6,1,MATCH(AU$5,PayDedList,0)-1,PayCount,1)))/$AA54*12*AU$3,IF(OR(AU$1="Fixed",AU$1="Not Used"),SUMPRODUCT((PayEmp=$C54)*(PayDate&lt;=$AC54)*(OFFSET($N$6,1,MATCH(AU$5,PayDedList,0)-1,PayCount,1)))/$AA54*12*AU$3,IF(ISNA(MATCH(OFFSET($N$2,0,MATCH(AU$5,PayDedList,0)-1,1,1),EarnListItem,0))=FALSE,SUMPRODUCT((PayEmp=$C54)*(PayDate&lt;=$AC54)*(OFFSET($N$6,1,MATCH(AU$5,PayDedList,0)-1,PayCount,1)))/$AA54*12*AU$3,(MIN(SUMPRODUCT((PayEmp=$C54)*(PayDate&lt;=$AC54)*(ISERROR(SEARCH(PayEarnCode,AU$2)))*(PayEarnType="Monthly")*(PayEarnValues))/$AA54*12,IF(ISNUMBER(OFFSET($N$3,0,MATCH(AU$5,PayDedList,0)-1,1,1)),OFFSET($N$3,0,MATCH(AU$5,PayDedList,0)-1,1,1),IgnoreMin)))*IF(COUNTIFS(EmpNo,$C54,OFFSET(Emp!$R$4,1,MATCH(AU$5,DedListItem,0)-1,EmpCount,1),"&lt;&gt;")&gt;0,VLOOKUP($C54,EmpAll,COLUMN(Emp!$R$4)+MATCH(AU$5,DedListItem,0)-1,0),OFFSET(Setup!$E$73,MATCH(AU$5,DedListItem,0),0,1,1))*AU$3))),IF(ISNUMBER(AU$4),AU$4,IgnoreMin)))))</f>
        <v>0</v>
      </c>
      <c r="AV54" s="148" cm="1">
        <f t="array" aca="1" ref="AV54" ca="1">-IF($F54="Terminated",0,IF($AA54=0,0,IF(ISNA(MATCH(AV$5,PayDedList,0)),0,MIN(IF(COUNTIFS(OverEmp,$C54,OverDeduct,AV$5,OverDate,"&lt;"&amp;DATE(YEAR($AC54),MONTH($AC54)+1,1),OverEnd,"&gt;="&amp;DATE(YEAR($AC54),MONTH($AC54),1))&gt;0,SUMPRODUCT((PayEmp=$C54)*(PayDate&lt;=$AC54)*(OFFSET($N$6,1,MATCH(AV$5,PayDedList,0)-1,PayCount,1)))/$AA54*12*AV$3,IF(OR(AV$1="Fixed",AV$1="Not Used"),SUMPRODUCT((PayEmp=$C54)*(PayDate&lt;=$AC54)*(OFFSET($N$6,1,MATCH(AV$5,PayDedList,0)-1,PayCount,1)))/$AA54*12*AV$3,IF(ISNA(MATCH(OFFSET($N$2,0,MATCH(AV$5,PayDedList,0)-1,1,1),EarnListItem,0))=FALSE,SUMPRODUCT((PayEmp=$C54)*(PayDate&lt;=$AC54)*(OFFSET($N$6,1,MATCH(AV$5,PayDedList,0)-1,PayCount,1)))/$AA54*12*AV$3,(MIN(SUMPRODUCT((PayEmp=$C54)*(PayDate&lt;=$AC54)*(ISERROR(SEARCH(PayEarnCode,AV$2)))*(PayEarnType="Monthly")*(PayEarnValues))/$AA54*12,IF(ISNUMBER(OFFSET($N$3,0,MATCH(AV$5,PayDedList,0)-1,1,1)),OFFSET($N$3,0,MATCH(AV$5,PayDedList,0)-1,1,1),IgnoreMin)))*IF(COUNTIFS(EmpNo,$C54,OFFSET(Emp!$R$4,1,MATCH(AV$5,DedListItem,0)-1,EmpCount,1),"&lt;&gt;")&gt;0,VLOOKUP($C54,EmpAll,COLUMN(Emp!$R$4)+MATCH(AV$5,DedListItem,0)-1,0),OFFSET(Setup!$E$73,MATCH(AV$5,DedListItem,0),0,1,1))*AV$3))),IF(ISNUMBER(AV$4),AV$4,IgnoreMin)))))</f>
        <v>0</v>
      </c>
      <c r="AW54" s="148" cm="1">
        <f t="array" aca="1" ref="AW54" ca="1">-IF($F54="Terminated",0,IF($AA54=0,0,IF(ISNA(MATCH(AW$5,PayDedList,0)),0,MIN(IF(COUNTIFS(OverEmp,$C54,OverDeduct,AW$5,OverDate,"&lt;"&amp;DATE(YEAR($AC54),MONTH($AC54)+1,1),OverEnd,"&gt;="&amp;DATE(YEAR($AC54),MONTH($AC54),1))&gt;0,SUMPRODUCT((PayEmp=$C54)*(PayDate&lt;=$AC54)*(OFFSET($N$6,1,MATCH(AW$5,PayDedList,0)-1,PayCount,1)))/$AA54*12*AW$3,IF(OR(AW$1="Fixed",AW$1="Not Used"),SUMPRODUCT((PayEmp=$C54)*(PayDate&lt;=$AC54)*(OFFSET($N$6,1,MATCH(AW$5,PayDedList,0)-1,PayCount,1)))/$AA54*12*AW$3,IF(ISNA(MATCH(OFFSET($N$2,0,MATCH(AW$5,PayDedList,0)-1,1,1),EarnListItem,0))=FALSE,SUMPRODUCT((PayEmp=$C54)*(PayDate&lt;=$AC54)*(OFFSET($N$6,1,MATCH(AW$5,PayDedList,0)-1,PayCount,1)))/$AA54*12*AW$3,(MIN(SUMPRODUCT((PayEmp=$C54)*(PayDate&lt;=$AC54)*(ISERROR(SEARCH(PayEarnCode,AW$2)))*(PayEarnType="Monthly")*(PayEarnValues))/$AA54*12,IF(ISNUMBER(OFFSET($N$3,0,MATCH(AW$5,PayDedList,0)-1,1,1)),OFFSET($N$3,0,MATCH(AW$5,PayDedList,0)-1,1,1),IgnoreMin)))*IF(COUNTIFS(EmpNo,$C54,OFFSET(Emp!$R$4,1,MATCH(AW$5,DedListItem,0)-1,EmpCount,1),"&lt;&gt;")&gt;0,VLOOKUP($C54,EmpAll,COLUMN(Emp!$R$4)+MATCH(AW$5,DedListItem,0)-1,0),OFFSET(Setup!$E$73,MATCH(AW$5,DedListItem,0),0,1,1))*AW$3))),IF(ISNUMBER(AW$4),AW$4,IgnoreMin)))))</f>
        <v>0</v>
      </c>
      <c r="AX54" s="148">
        <f t="shared" ca="1" si="28"/>
        <v>180000</v>
      </c>
      <c r="AY54" s="148">
        <f t="shared" ca="1" si="29"/>
        <v>0</v>
      </c>
      <c r="AZ54" s="148">
        <f ca="1">IF(ISNUMBER($AL54),($AR54*$AL54)-$AI54-$AK54,MAX(0,IF($AL54="B",IF($AR54&lt;Setup!$C$32,($AR54*Setup!$D$32)-$AI54-$AK54,(($AR54-VLOOKUP($AR54,TaxAll2,1,1))*OFFSET(Setup!$D$32,MATCH($AR54,TaxBracket2,1),0,1,1))+OFFSET(Setup!$E$31,MATCH($AR54,TaxBracket2,1),0,1,1)-$AI54-$AK54),IF($AR54&lt;Setup!$C$21,($AR54*Setup!$D$21)-$AI54-$AK54,(($AR54-VLOOKUP($AR54,TaxAll1,1,1))*OFFSET(Setup!$D$21,MATCH($AR54,TaxBracket1,1),0,1,1))+OFFSET(Setup!$E$20,MATCH($AR54,TaxBracket1,1),0,1,1)-$AI54-$AK54))))</f>
        <v>10797</v>
      </c>
      <c r="BA54" s="148">
        <f ca="1">IF(ISNUMBER($AL54),($AX54*$AL54)-$AI54-$AK54,MAX(0,IF($AL54="B",IF($AX54&lt;Setup!$C$32,($AX54*Setup!$D$32)-$AI54-$AK54,(($AX54-VLOOKUP($AX54,TaxAll2,1,1))*OFFSET(Setup!$D$32,MATCH($AX54,TaxBracket2,1),0,1,1))+OFFSET(Setup!$E$31,MATCH($AX54,TaxBracket2,1),0,1,1)-$AI54-$AK54),IF($AX54&lt;Setup!$C$21,($AX54*Setup!$D$21)-$AI54-$AK54,(($AX54-VLOOKUP($AX54,TaxAll1,1,1))*OFFSET(Setup!$D$21,MATCH($AX54,TaxBracket1,1),0,1,1))+OFFSET(Setup!$E$20,MATCH($AX54,TaxBracket1,1),0,1,1)-$AI54-$AK54))))</f>
        <v>10797</v>
      </c>
      <c r="BB54" s="148">
        <f t="shared" ca="1" si="23"/>
        <v>0</v>
      </c>
      <c r="BC54" s="150">
        <f t="shared" ca="1" si="15"/>
        <v>1</v>
      </c>
      <c r="BD54" s="150">
        <f t="shared" ca="1" si="16"/>
        <v>0</v>
      </c>
      <c r="BE54" s="148">
        <f t="shared" ca="1" si="17"/>
        <v>180000</v>
      </c>
    </row>
    <row r="55" spans="1:57" ht="16.149999999999999" customHeight="1" x14ac:dyDescent="0.25">
      <c r="A55" s="10" t="str" cm="1">
        <f t="array" aca="1" ref="A55" ca="1">IF(ROW($A55)-ROW($A$6)&gt;EmpCount*12,"-",TEXT($B55,"yyyy")&amp;TEXT($B55,"mm")&amp;"-"&amp;$C55)</f>
        <v>202306-EXS004</v>
      </c>
      <c r="B55" s="137" cm="1">
        <f t="array" aca="1" ref="B55" ca="1">IF(ROW($A55)-ROW($A$6)&gt;EmpCount*12,Setup!$D$12,DATE(YEAR(Setup!$F$12),MONTH(Setup!$F$12)+ROUNDDOWN((ROW($A55)-ROW($A$6)-1)/EmpCount,0),IF(Setup!$C$14&gt;DAY(DATE(YEAR(Setup!$F$12),MONTH(Setup!$F$12)+ROUNDDOWN((ROW($A55)-ROW($A$6)-1)/EmpCount,0)+1,0)),DAY(DATE(YEAR(Setup!$F$12),MONTH(Setup!$F$12)+ROUNDDOWN((ROW($A55)-ROW($A$6)-1)/EmpCount,0)+1,0)),Setup!$C$14)))</f>
        <v>45102</v>
      </c>
      <c r="C55" s="101" t="str" cm="1">
        <f t="array" aca="1" ref="C55" ca="1">IF(ROW($A55)-ROW($A$6)&gt;EmpCount*12,"-",OFFSET(Emp!$A$4,ROW($A55)-ROW($A$6)-IF(ROW($A55)-ROW($A$6)&gt;EmpCount,ROUNDDOWN((ROW($A55)-ROW($A$6)-1)/EmpCount,0)*EmpCount,0),0,1,1))</f>
        <v>EXS004</v>
      </c>
      <c r="D55" s="10" t="str">
        <f ca="1">IF(ISNA(VLOOKUP($C55,EmpAll,COLUMN(Emp!$B$4),0)),"-",VLOOKUP($C55,EmpAll,COLUMN(Emp!$B$4),0))</f>
        <v>Osborne S</v>
      </c>
      <c r="E55" s="145" t="str">
        <f ca="1">IF(ISNA(VLOOKUP($C55,EmpAll,COLUMN(Emp!$C$4),0)),"-",VLOOKUP($C55,EmpAll,COLUMN(Emp!$C$4),0))</f>
        <v>S</v>
      </c>
      <c r="F55" s="101" t="str">
        <f ca="1">IF(ISNA(VLOOKUP($C55,EmpAll,COLUMN(Emp!$A$4),0)),"-",IF(AND(VLOOKUP($C55,EmpAll,COLUMN(Emp!$E$4),0)&lt;&gt;0,VLOOKUP($C55,EmpAll,COLUMN(Emp!$E$4),0)&gt;=DATE(YEAR($AC55),MONTH($AC55)+1,0)),"Inactive",IF(AND(VLOOKUP($C55,EmpAll,COLUMN(Emp!$F$4),0)&lt;&gt;0,VLOOKUP($C55,EmpAll,COLUMN(Emp!$F$4),0)&lt;=DATE(YEAR($AC55),MONTH($AC55),0)),"Terminated","Active")))</f>
        <v>Active</v>
      </c>
      <c r="G55" s="133" cm="1">
        <f t="array" aca="1" ref="G55" ca="1">IF($F55&lt;&gt;"Active",0,IF(COUNTIFS(OverEmp,$C55,OverEarn,G$2,OverDate,"&lt;"&amp;DATE(YEAR($AC55),MONTH($AC55)+1,1),OverEnd,"&gt;="&amp;DATE(YEAR($AC55),MONTH($AC55),1))&gt;0,SUMIFS(OverValue,OverEmp,$C55,OverEarn,G$2,OverDate,"&lt;"&amp;DATE(YEAR($AC55),MONTH($AC55)+1,1),OverEnd,"&gt;="&amp;DATE(YEAR($AC55),MONTH($AC55),1)),IF(AND($AC55&gt;=Setup!$E$10,SUMIFS(EmpIncrease,EmpCode,$C55)&gt;0),SUMIFS(EmpIncrease,EmpCode,$C55),SUMIFS(EmpSalary,EmpCode,$C55))))</f>
        <v>15000</v>
      </c>
      <c r="H55" s="133" cm="1">
        <f t="array" aca="1" ref="H55" ca="1">IF($F55&lt;&gt;"Active",0,IF(COUNTIFS(OverEmp,$C55,OverEarn,H$2,OverDate,"&lt;"&amp;DATE(YEAR($AC55),MONTH($AC55)+1,1),OverEnd,"&gt;="&amp;DATE(YEAR($AC55),MONTH($AC55),1))&gt;0,SUMIFS(OverValue,OverEmp,$C55,OverEarn,H$2,OverDate,"&lt;"&amp;DATE(YEAR($AC55),MONTH($AC55)+1,1),OverEnd,"&gt;="&amp;DATE(YEAR($AC55),MONTH($AC55),1)),0))</f>
        <v>0</v>
      </c>
      <c r="I55" s="133" cm="1">
        <f t="array" aca="1" ref="I55" ca="1">IF($F55&lt;&gt;"Active",0,IF(COUNTIFS(OverEmp,$C55,OverEarn,I$2,OverDate,"&lt;"&amp;DATE(YEAR($AC55),MONTH($AC55)+1,1),OverEnd,"&gt;="&amp;DATE(YEAR($AC55),MONTH($AC55),1))&gt;0,SUMIFS(OverValue,OverEmp,$C55,OverEarn,I$2,OverDate,"&lt;"&amp;DATE(YEAR($AC55),MONTH($AC55)+1,1),OverEnd,"&gt;="&amp;DATE(YEAR($AC55),MONTH($AC55),1)),IF(MONTH(B55)=Setup!$C$15,SUMIFS(EmpBonus,EmpCode,$C55),0)))</f>
        <v>0</v>
      </c>
      <c r="J55" s="133" cm="1">
        <f t="array" aca="1" ref="J55" ca="1">IF($F55&lt;&gt;"Active",0,IF(COUNTIFS(OverEmp,$C55,OverEarn,J$2,OverDate,"&lt;"&amp;DATE(YEAR($AC55),MONTH($AC55)+1,1),OverEnd,"&gt;="&amp;DATE(YEAR($AC55),MONTH($AC55),1))&gt;0,SUMIFS(OverValue,OverEmp,$C55,OverEarn,J$2,OverDate,"&lt;"&amp;DATE(YEAR($AC55),MONTH($AC55)+1,1),OverEnd,"&gt;="&amp;DATE(YEAR($AC55),MONTH($AC55),1)),0))</f>
        <v>0</v>
      </c>
      <c r="K55" s="133" cm="1">
        <f t="array" aca="1" ref="K55" ca="1">IF($F55&lt;&gt;"Active",0,IF(COUNTIFS(OverEmp,$C55,OverEarn,K$2,OverDate,"&lt;"&amp;DATE(YEAR($AC55),MONTH($AC55)+1,1),OverEnd,"&gt;="&amp;DATE(YEAR($AC55),MONTH($AC55),1))&gt;0,SUMIFS(OverValue,OverEmp,$C55,OverEarn,K$2,OverDate,"&lt;"&amp;DATE(YEAR($AC55),MONTH($AC55)+1,1),OverEnd,"&gt;="&amp;DATE(YEAR($AC55),MONTH($AC55),1)),0))</f>
        <v>0</v>
      </c>
      <c r="L55" s="185">
        <f t="shared" ca="1" si="24"/>
        <v>15000</v>
      </c>
      <c r="M55" s="182" cm="1">
        <f t="array" aca="1" ref="M55" ca="1">IF(COUNTIFS(OverEmp,$C55,OverTax,M$5,OverDate,"&lt;"&amp;DATE(YEAR($AC55),MONTH($AC55)+1,1),OverEnd,"&gt;="&amp;DATE(YEAR($AC55),MONTH($AC55),1))&gt;0,SUMIFS(OverValue,OverEmp,$C55,OverTax,M$5,OverDate,"&lt;"&amp;DATE(YEAR($AC55),MONTH($AC55)+1,1),OverEnd,"&gt;="&amp;DATE(YEAR($AC55),MONTH($AC55),1)),(($BA55/12*$AA55)+(BB55*IF(1-$BC55=0,0,BD55/(1-$BC55))))-IF($F55="Terminated",0,SUMIFS(PayTaxDeduct,PayDate,"&lt;"&amp;$AC55,PayEmp,$C55)))</f>
        <v>899.74999999999955</v>
      </c>
      <c r="N55" s="133" cm="1">
        <f t="array" aca="1" ref="N55" ca="1">IF($F55="Terminated",0,IF($AA55=0,0,IF(ISNA(MATCH(N$5,DedListItem,0)),0,IF(COUNTIFS(OverEmp,$C55,OverDeduct,N$5,OverDate,"&lt;"&amp;DATE(YEAR($AC55),MONTH($AC55)+1,1),OverEnd,"&gt;="&amp;DATE(YEAR($AC55),MONTH($AC55),1))&gt;0,SUMIFS(OverValue,OverEmp,$C55,OverDeduct,N$5,OverDate,"&lt;"&amp;DATE(YEAR($AC55),MONTH($AC55)+1,1),OverEnd,"&gt;="&amp;DATE(YEAR($AC55),MONTH($AC55),1)),IF(OR(N$2="Fixed",N$2="Not Used"),(IF(COUNTIFS(EmpNo,$C55,OFFSET(Emp!$R$4,1,MATCH(N$5,DedListItem,0)-1,EmpCount,1),"&lt;&gt;")&gt;0,VLOOKUP($C55,EmpAll,COLUMN(Emp!$R$4)+MATCH(N$5,DedListItem,0)-1,0),OFFSET(Setup!$E$73,MATCH(N$5,DedListItem,0),0,1,1))*$AA55)-SUMIFS(OFFSET(N$6,1,0,PayCount,1),PayDate,"&lt;"&amp;$AC55,PayEmp,$C55),IF(ISNA(MATCH(N$2,EarnListItem,0))=FALSE,IF(OFFSET(Setup!$G$73,MATCH(N$5,DedListItem,0),0,1,1)="Taxable",SUMPRODUCT((PayEmp=$C55)*(PayDate&lt;=$AC55)*(PayEarnCode=N$2)*(PayEarnTax)*(PayEarnValues)),SUMPRODUCT((PayEmp=$C55)*(PayDate&lt;=$AC55)*(PayEarnCode=N$2)*(PayEarnValues)))*IF(COUNTIFS(EmpNo,$C55,OFFSET(Emp!$R$4,1,MATCH(N$5,DedListItem,0)-1,EmpCount,1),"&lt;&gt;")&gt;0,VLOOKUP($C55,EmpAll,COLUMN(Emp!$R$4)+MATCH(N$5,DedListItem,0)-1,0),OFFSET(Setup!$E$73,MATCH(N$5,DedListItem,0),0,1,1)),(MIN(IF(OFFSET(Setup!$G$73,MATCH(N$5,DedListItem,0),0,1,1)="Taxable",SUMPRODUCT((PayEmp=$C55)*(PayDate&lt;=$AC55)*(ISERROR(SEARCH(PayEarnCode,N$4)))*(PayEarnTax)*(PayEarnValues)),SUMPRODUCT((PayEmp=$C55)*(PayDate&lt;=$AC55)*(ISERROR(SEARCH(PayEarnCode,N$4)))*(PayEarnValues))),IF(ISNUMBER(N$3),N$3/12*$AA55,IgnoreMin)))*IF(COUNTIFS(EmpNo,$C55,OFFSET(Emp!$R$4,1,MATCH(N$5,DedListItem,0)-1,EmpCount,1),"&lt;&gt;")&gt;0,VLOOKUP($C55,EmpAll,COLUMN(Emp!$R$4)+MATCH(N$5,DedListItem,0)-1,0),OFFSET(Setup!$E$73,MATCH(N$5,DedListItem,0),0,1,1)))-SUMIFS(OFFSET(N$6,1,0,PayCount,1),PayDate,"&lt;"&amp;$AC55,PayEmp,$C55))))))</f>
        <v>150</v>
      </c>
      <c r="O55" s="133" cm="1">
        <f t="array" aca="1" ref="O55" ca="1">IF($F55="Terminated",0,IF($AA55=0,0,IF(ISNA(MATCH(O$5,DedListItem,0)),0,IF(COUNTIFS(OverEmp,$C55,OverDeduct,O$5,OverDate,"&lt;"&amp;DATE(YEAR($AC55),MONTH($AC55)+1,1),OverEnd,"&gt;="&amp;DATE(YEAR($AC55),MONTH($AC55),1))&gt;0,SUMIFS(OverValue,OverEmp,$C55,OverDeduct,O$5,OverDate,"&lt;"&amp;DATE(YEAR($AC55),MONTH($AC55)+1,1),OverEnd,"&gt;="&amp;DATE(YEAR($AC55),MONTH($AC55),1)),IF(OR(O$2="Fixed",O$2="Not Used"),(IF(COUNTIFS(EmpNo,$C55,OFFSET(Emp!$R$4,1,MATCH(O$5,DedListItem,0)-1,EmpCount,1),"&lt;&gt;")&gt;0,VLOOKUP($C55,EmpAll,COLUMN(Emp!$R$4)+MATCH(O$5,DedListItem,0)-1,0),OFFSET(Setup!$E$73,MATCH(O$5,DedListItem,0),0,1,1))*$AA55)-SUMIFS(OFFSET(O$6,1,0,PayCount,1),PayDate,"&lt;"&amp;$AC55,PayEmp,$C55),IF(ISNA(MATCH(O$2,EarnListItem,0))=FALSE,IF(OFFSET(Setup!$G$73,MATCH(O$5,DedListItem,0),0,1,1)="Taxable",SUMPRODUCT((PayEmp=$C55)*(PayDate&lt;=$AC55)*(PayEarnCode=O$2)*(PayEarnTax)*(PayEarnValues)),SUMPRODUCT((PayEmp=$C55)*(PayDate&lt;=$AC55)*(PayEarnCode=O$2)*(PayEarnValues)))*IF(COUNTIFS(EmpNo,$C55,OFFSET(Emp!$R$4,1,MATCH(O$5,DedListItem,0)-1,EmpCount,1),"&lt;&gt;")&gt;0,VLOOKUP($C55,EmpAll,COLUMN(Emp!$R$4)+MATCH(O$5,DedListItem,0)-1,0),OFFSET(Setup!$E$73,MATCH(O$5,DedListItem,0),0,1,1)),(MIN(IF(OFFSET(Setup!$G$73,MATCH(O$5,DedListItem,0),0,1,1)="Taxable",SUMPRODUCT((PayEmp=$C55)*(PayDate&lt;=$AC55)*(ISERROR(SEARCH(PayEarnCode,O$4)))*(PayEarnTax)*(PayEarnValues)),SUMPRODUCT((PayEmp=$C55)*(PayDate&lt;=$AC55)*(ISERROR(SEARCH(PayEarnCode,O$4)))*(PayEarnValues))),IF(ISNUMBER(O$3),O$3/12*$AA55,IgnoreMin)))*IF(COUNTIFS(EmpNo,$C55,OFFSET(Emp!$R$4,1,MATCH(O$5,DedListItem,0)-1,EmpCount,1),"&lt;&gt;")&gt;0,VLOOKUP($C55,EmpAll,COLUMN(Emp!$R$4)+MATCH(O$5,DedListItem,0)-1,0),OFFSET(Setup!$E$73,MATCH(O$5,DedListItem,0),0,1,1)))-SUMIFS(OFFSET(O$6,1,0,PayCount,1),PayDate,"&lt;"&amp;$AC55,PayEmp,$C55))))))</f>
        <v>0</v>
      </c>
      <c r="P55" s="133" cm="1">
        <f t="array" aca="1" ref="P55" ca="1">IF($F55="Terminated",0,IF($AA55=0,0,IF(ISNA(MATCH(P$5,DedListItem,0)),0,IF(COUNTIFS(OverEmp,$C55,OverDeduct,P$5,OverDate,"&lt;"&amp;DATE(YEAR($AC55),MONTH($AC55)+1,1),OverEnd,"&gt;="&amp;DATE(YEAR($AC55),MONTH($AC55),1))&gt;0,SUMIFS(OverValue,OverEmp,$C55,OverDeduct,P$5,OverDate,"&lt;"&amp;DATE(YEAR($AC55),MONTH($AC55)+1,1),OverEnd,"&gt;="&amp;DATE(YEAR($AC55),MONTH($AC55),1)),IF(OR(P$2="Fixed",P$2="Not Used"),(IF(COUNTIFS(EmpNo,$C55,OFFSET(Emp!$R$4,1,MATCH(P$5,DedListItem,0)-1,EmpCount,1),"&lt;&gt;")&gt;0,VLOOKUP($C55,EmpAll,COLUMN(Emp!$R$4)+MATCH(P$5,DedListItem,0)-1,0),OFFSET(Setup!$E$73,MATCH(P$5,DedListItem,0),0,1,1))*$AA55)-SUMIFS(OFFSET(P$6,1,0,PayCount,1),PayDate,"&lt;"&amp;$AC55,PayEmp,$C55),IF(ISNA(MATCH(P$2,EarnListItem,0))=FALSE,IF(OFFSET(Setup!$G$73,MATCH(P$5,DedListItem,0),0,1,1)="Taxable",SUMPRODUCT((PayEmp=$C55)*(PayDate&lt;=$AC55)*(PayEarnCode=P$2)*(PayEarnTax)*(PayEarnValues)),SUMPRODUCT((PayEmp=$C55)*(PayDate&lt;=$AC55)*(PayEarnCode=P$2)*(PayEarnValues)))*IF(COUNTIFS(EmpNo,$C55,OFFSET(Emp!$R$4,1,MATCH(P$5,DedListItem,0)-1,EmpCount,1),"&lt;&gt;")&gt;0,VLOOKUP($C55,EmpAll,COLUMN(Emp!$R$4)+MATCH(P$5,DedListItem,0)-1,0),OFFSET(Setup!$E$73,MATCH(P$5,DedListItem,0),0,1,1)),(MIN(IF(OFFSET(Setup!$G$73,MATCH(P$5,DedListItem,0),0,1,1)="Taxable",SUMPRODUCT((PayEmp=$C55)*(PayDate&lt;=$AC55)*(ISERROR(SEARCH(PayEarnCode,P$4)))*(PayEarnTax)*(PayEarnValues)),SUMPRODUCT((PayEmp=$C55)*(PayDate&lt;=$AC55)*(ISERROR(SEARCH(PayEarnCode,P$4)))*(PayEarnValues))),IF(ISNUMBER(P$3),P$3/12*$AA55,IgnoreMin)))*IF(COUNTIFS(EmpNo,$C55,OFFSET(Emp!$R$4,1,MATCH(P$5,DedListItem,0)-1,EmpCount,1),"&lt;&gt;")&gt;0,VLOOKUP($C55,EmpAll,COLUMN(Emp!$R$4)+MATCH(P$5,DedListItem,0)-1,0),OFFSET(Setup!$E$73,MATCH(P$5,DedListItem,0),0,1,1)))-SUMIFS(OFFSET(P$6,1,0,PayCount,1),PayDate,"&lt;"&amp;$AC55,PayEmp,$C55))))))</f>
        <v>500</v>
      </c>
      <c r="Q55" s="133" cm="1">
        <f t="array" aca="1" ref="Q55" ca="1">IF($F55="Terminated",0,IF($AA55=0,0,IF(ISNA(MATCH(Q$5,DedListItem,0)),0,IF(COUNTIFS(OverEmp,$C55,OverDeduct,Q$5,OverDate,"&lt;"&amp;DATE(YEAR($AC55),MONTH($AC55)+1,1),OverEnd,"&gt;="&amp;DATE(YEAR($AC55),MONTH($AC55),1))&gt;0,SUMIFS(OverValue,OverEmp,$C55,OverDeduct,Q$5,OverDate,"&lt;"&amp;DATE(YEAR($AC55),MONTH($AC55)+1,1),OverEnd,"&gt;="&amp;DATE(YEAR($AC55),MONTH($AC55),1)),IF(OR(Q$2="Fixed",Q$2="Not Used"),(IF(COUNTIFS(EmpNo,$C55,OFFSET(Emp!$R$4,1,MATCH(Q$5,DedListItem,0)-1,EmpCount,1),"&lt;&gt;")&gt;0,VLOOKUP($C55,EmpAll,COLUMN(Emp!$R$4)+MATCH(Q$5,DedListItem,0)-1,0),OFFSET(Setup!$E$73,MATCH(Q$5,DedListItem,0),0,1,1))*$AA55)-SUMIFS(OFFSET(Q$6,1,0,PayCount,1),PayDate,"&lt;"&amp;$AC55,PayEmp,$C55),IF(ISNA(MATCH(Q$2,EarnListItem,0))=FALSE,IF(OFFSET(Setup!$G$73,MATCH(Q$5,DedListItem,0),0,1,1)="Taxable",SUMPRODUCT((PayEmp=$C55)*(PayDate&lt;=$AC55)*(PayEarnCode=Q$2)*(PayEarnTax)*(PayEarnValues)),SUMPRODUCT((PayEmp=$C55)*(PayDate&lt;=$AC55)*(PayEarnCode=Q$2)*(PayEarnValues)))*IF(COUNTIFS(EmpNo,$C55,OFFSET(Emp!$R$4,1,MATCH(Q$5,DedListItem,0)-1,EmpCount,1),"&lt;&gt;")&gt;0,VLOOKUP($C55,EmpAll,COLUMN(Emp!$R$4)+MATCH(Q$5,DedListItem,0)-1,0),OFFSET(Setup!$E$73,MATCH(Q$5,DedListItem,0),0,1,1)),(MIN(IF(OFFSET(Setup!$G$73,MATCH(Q$5,DedListItem,0),0,1,1)="Taxable",SUMPRODUCT((PayEmp=$C55)*(PayDate&lt;=$AC55)*(ISERROR(SEARCH(PayEarnCode,Q$4)))*(PayEarnTax)*(PayEarnValues)),SUMPRODUCT((PayEmp=$C55)*(PayDate&lt;=$AC55)*(ISERROR(SEARCH(PayEarnCode,Q$4)))*(PayEarnValues))),IF(ISNUMBER(Q$3),Q$3/12*$AA55,IgnoreMin)))*IF(COUNTIFS(EmpNo,$C55,OFFSET(Emp!$R$4,1,MATCH(Q$5,DedListItem,0)-1,EmpCount,1),"&lt;&gt;")&gt;0,VLOOKUP($C55,EmpAll,COLUMN(Emp!$R$4)+MATCH(Q$5,DedListItem,0)-1,0),OFFSET(Setup!$E$73,MATCH(Q$5,DedListItem,0),0,1,1)))-SUMIFS(OFFSET(Q$6,1,0,PayCount,1),PayDate,"&lt;"&amp;$AC55,PayEmp,$C55))))))</f>
        <v>0</v>
      </c>
      <c r="R55" s="185">
        <f t="shared" ca="1" si="25"/>
        <v>1549.7499999999995</v>
      </c>
      <c r="S55" s="139">
        <f t="shared" ca="1" si="26"/>
        <v>13450.25</v>
      </c>
      <c r="T55" s="133" cm="1">
        <f t="array" aca="1" ref="T55" ca="1">IF($F55="Terminated",0,IF($AA55=0,0,IF(ISNA(MATCH(T$5,CompListItem,0)),0,IF(COUNTIFS(OverEmp,$C55,OverComp,T$5,OverDate,"&lt;"&amp;DATE(YEAR($AC55),MONTH($AC55)+1,1),OverEnd,"&gt;="&amp;DATE(YEAR($AC55),MONTH($AC55),1))&gt;0,SUMIFS(OverValue,OverEmp,$C55,OverComp,T$5,OverDate,"&lt;"&amp;DATE(YEAR($AC55),MONTH($AC55)+1,1),OverEnd,"&gt;="&amp;DATE(YEAR($AC55),MONTH($AC55),1)),IF(OR(T$2="Fixed",T$2="Not Used"),(OFFSET(Setup!$E$81,MATCH(T$5,CompListItem,0),0,1,1)*$AA55)-SUMIFS(OFFSET(T$6,1,0,PayCount,1),PayDate,"&lt;"&amp;$AC55,PayEmp,$C55),IF(ISNA(MATCH(T$2,DedListItem,0))=FALSE,(SUMPRODUCT((PayEmp=$C55)*(PayDate&lt;=$AC55)*(PayDedList=T$2)*(PayDedValues))*OFFSET(Setup!$E$81,MATCH(T$5,CompListItem,0),0,1,1))-SUMIFS(OFFSET(T$6,1,0,PayCount,1),PayDate,"&lt;"&amp;$AC55,PayEmp,$C55),(MIN(IF(OFFSET(Setup!$G$81,MATCH(T$5,CompListItem,0),0,1,1)="Taxable",SUMPRODUCT((PayEmp=$C55)*(PayDate&lt;=$AC55)*(ISERROR(SEARCH(PayEarnCode,T$4)))*(PayEarnTax)*(PayEarnValues)),SUMPRODUCT((PayEmp=$C55)*(PayDate&lt;=$AC55)*(ISERROR(SEARCH(PayEarnCode,T$4)))*(PayEarnValues))),IF(ISNUMBER(T$3),T$3/12*$AA55,IgnoreMin)))*OFFSET(Setup!$E$81,MATCH(T$5,CompListItem,0),0,1,1)-SUMIFS(OFFSET(T$6,1,0,PayCount,1),PayDate,"&lt;"&amp;$AC55,PayEmp,$C55)))))))</f>
        <v>150</v>
      </c>
      <c r="U55" s="133" cm="1">
        <f t="array" aca="1" ref="U55" ca="1">IF($F55="Terminated",0,IF($AA55=0,0,IF(ISNA(MATCH(U$5,CompListItem,0)),0,IF(COUNTIFS(OverEmp,$C55,OverComp,U$5,OverDate,"&lt;"&amp;DATE(YEAR($AC55),MONTH($AC55)+1,1),OverEnd,"&gt;="&amp;DATE(YEAR($AC55),MONTH($AC55),1))&gt;0,SUMIFS(OverValue,OverEmp,$C55,OverComp,U$5,OverDate,"&lt;"&amp;DATE(YEAR($AC55),MONTH($AC55)+1,1),OverEnd,"&gt;="&amp;DATE(YEAR($AC55),MONTH($AC55),1)),IF(OR(U$2="Fixed",U$2="Not Used"),(OFFSET(Setup!$E$81,MATCH(U$5,CompListItem,0),0,1,1)*$AA55)-SUMIFS(OFFSET(U$6,1,0,PayCount,1),PayDate,"&lt;"&amp;$AC55,PayEmp,$C55),IF(ISNA(MATCH(U$2,DedListItem,0))=FALSE,(SUMPRODUCT((PayEmp=$C55)*(PayDate&lt;=$AC55)*(PayDedList=U$2)*(PayDedValues))*OFFSET(Setup!$E$81,MATCH(U$5,CompListItem,0),0,1,1))-SUMIFS(OFFSET(U$6,1,0,PayCount,1),PayDate,"&lt;"&amp;$AC55,PayEmp,$C55),(MIN(IF(OFFSET(Setup!$G$81,MATCH(U$5,CompListItem,0),0,1,1)="Taxable",SUMPRODUCT((PayEmp=$C55)*(PayDate&lt;=$AC55)*(ISERROR(SEARCH(PayEarnCode,U$4)))*(PayEarnTax)*(PayEarnValues)),SUMPRODUCT((PayEmp=$C55)*(PayDate&lt;=$AC55)*(ISERROR(SEARCH(PayEarnCode,U$4)))*(PayEarnValues))),IF(ISNUMBER(U$3),U$3/12*$AA55,IgnoreMin)))*OFFSET(Setup!$E$81,MATCH(U$5,CompListItem,0),0,1,1)-SUMIFS(OFFSET(U$6,1,0,PayCount,1),PayDate,"&lt;"&amp;$AC55,PayEmp,$C55)))))))</f>
        <v>150</v>
      </c>
      <c r="V55" s="133" cm="1">
        <f t="array" aca="1" ref="V55" ca="1">IF($F55="Terminated",0,IF($AA55=0,0,IF(ISNA(MATCH(V$5,CompListItem,0)),0,IF(COUNTIFS(OverEmp,$C55,OverComp,V$5,OverDate,"&lt;"&amp;DATE(YEAR($AC55),MONTH($AC55)+1,1),OverEnd,"&gt;="&amp;DATE(YEAR($AC55),MONTH($AC55),1))&gt;0,SUMIFS(OverValue,OverEmp,$C55,OverComp,V$5,OverDate,"&lt;"&amp;DATE(YEAR($AC55),MONTH($AC55)+1,1),OverEnd,"&gt;="&amp;DATE(YEAR($AC55),MONTH($AC55),1)),IF(OR(V$2="Fixed",V$2="Not Used"),(OFFSET(Setup!$E$81,MATCH(V$5,CompListItem,0),0,1,1)*$AA55)-SUMIFS(OFFSET(V$6,1,0,PayCount,1),PayDate,"&lt;"&amp;$AC55,PayEmp,$C55),IF(ISNA(MATCH(V$2,DedListItem,0))=FALSE,(SUMPRODUCT((PayEmp=$C55)*(PayDate&lt;=$AC55)*(PayDedList=V$2)*(PayDedValues))*OFFSET(Setup!$E$81,MATCH(V$5,CompListItem,0),0,1,1))-SUMIFS(OFFSET(V$6,1,0,PayCount,1),PayDate,"&lt;"&amp;$AC55,PayEmp,$C55),(MIN(IF(OFFSET(Setup!$G$81,MATCH(V$5,CompListItem,0),0,1,1)="Taxable",SUMPRODUCT((PayEmp=$C55)*(PayDate&lt;=$AC55)*(ISERROR(SEARCH(PayEarnCode,V$4)))*(PayEarnTax)*(PayEarnValues)),SUMPRODUCT((PayEmp=$C55)*(PayDate&lt;=$AC55)*(ISERROR(SEARCH(PayEarnCode,V$4)))*(PayEarnValues))),IF(ISNUMBER(V$3),V$3/12*$AA55,IgnoreMin)))*OFFSET(Setup!$E$81,MATCH(V$5,CompListItem,0),0,1,1)-SUMIFS(OFFSET(V$6,1,0,PayCount,1),PayDate,"&lt;"&amp;$AC55,PayEmp,$C55)))))))</f>
        <v>0</v>
      </c>
      <c r="W55" s="133" cm="1">
        <f t="array" aca="1" ref="W55" ca="1">IF($F55="Terminated",0,IF($AA55=0,0,IF(ISNA(MATCH(W$5,CompListItem,0)),0,IF(COUNTIFS(OverEmp,$C55,OverComp,W$5,OverDate,"&lt;"&amp;DATE(YEAR($AC55),MONTH($AC55)+1,1),OverEnd,"&gt;="&amp;DATE(YEAR($AC55),MONTH($AC55),1))&gt;0,SUMIFS(OverValue,OverEmp,$C55,OverComp,W$5,OverDate,"&lt;"&amp;DATE(YEAR($AC55),MONTH($AC55)+1,1),OverEnd,"&gt;="&amp;DATE(YEAR($AC55),MONTH($AC55),1)),IF(OR(W$2="Fixed",W$2="Not Used"),(OFFSET(Setup!$E$81,MATCH(W$5,CompListItem,0),0,1,1)*$AA55)-SUMIFS(OFFSET(W$6,1,0,PayCount,1),PayDate,"&lt;"&amp;$AC55,PayEmp,$C55),IF(ISNA(MATCH(W$2,DedListItem,0))=FALSE,(SUMPRODUCT((PayEmp=$C55)*(PayDate&lt;=$AC55)*(PayDedList=W$2)*(PayDedValues))*OFFSET(Setup!$E$81,MATCH(W$5,CompListItem,0),0,1,1))-SUMIFS(OFFSET(W$6,1,0,PayCount,1),PayDate,"&lt;"&amp;$AC55,PayEmp,$C55),(MIN(IF(OFFSET(Setup!$G$81,MATCH(W$5,CompListItem,0),0,1,1)="Taxable",SUMPRODUCT((PayEmp=$C55)*(PayDate&lt;=$AC55)*(ISERROR(SEARCH(PayEarnCode,W$4)))*(PayEarnTax)*(PayEarnValues)),SUMPRODUCT((PayEmp=$C55)*(PayDate&lt;=$AC55)*(ISERROR(SEARCH(PayEarnCode,W$4)))*(PayEarnValues))),IF(ISNUMBER(W$3),W$3/12*$AA55,IgnoreMin)))*OFFSET(Setup!$E$81,MATCH(W$5,CompListItem,0),0,1,1)-SUMIFS(OFFSET(W$6,1,0,PayCount,1),PayDate,"&lt;"&amp;$AC55,PayEmp,$C55)))))))</f>
        <v>0</v>
      </c>
      <c r="X55" s="185">
        <f t="shared" ca="1" si="18"/>
        <v>300</v>
      </c>
      <c r="Y55" s="139">
        <f t="shared" ca="1" si="27"/>
        <v>15300</v>
      </c>
      <c r="Z55" s="139">
        <f t="shared" ca="1" si="19"/>
        <v>1849.75</v>
      </c>
      <c r="AA55" s="146">
        <f ca="1">IF(OR($B55&lt;=Setup!$E$12,$B55&gt;=Setup!$D$12+1),0,IF($F55&lt;&gt;"Active",0,IF($AE55="Yes",$AB55,((YEAR($AC55)*12)+MONTH($AC55))-((YEAR($AD55)*12)+MONTH($AD55)-1))))</f>
        <v>4</v>
      </c>
      <c r="AB55" s="146">
        <f ca="1">IF(OR($B55&lt;=Setup!$E$12,$B55&gt;=Setup!$D$12+1),0,((YEAR($AC55)*12)+MONTH($AC55))-((YEAR(Setup!$E$12)*12)+MONTH(Setup!$E$12)))</f>
        <v>4</v>
      </c>
      <c r="AC55" s="186">
        <f t="shared" ca="1" si="20"/>
        <v>45102</v>
      </c>
      <c r="AD55" s="144">
        <f ca="1">IF(ISNA(VLOOKUP($C55,EmpAll,COLUMN(Emp!$E$4),0)),$AC55,IF(VLOOKUP($C55,EmpAll,COLUMN(Emp!$E$4),0)&lt;=Setup!$E$12,DATE(YEAR(Setup!$E$12),MONTH(Setup!$E$12)+1,1),VLOOKUP($C55,EmpAll,COLUMN(Emp!$E$4),0)))</f>
        <v>44986</v>
      </c>
      <c r="AE55" s="144" t="str">
        <f ca="1">IF(ISNA(VLOOKUP($C55,EmpAll,COLUMN(Emp!$G$1),0)),"-",IF(VLOOKUP($C55,EmpAll,COLUMN(Emp!$G$1),0)=0,"-",VLOOKUP($C55,EmpAll,COLUMN(Emp!$G$1),0)))</f>
        <v>-</v>
      </c>
      <c r="AF55" s="145">
        <f ca="1">IF(A55=PaySlip!$G$3,1,0)</f>
        <v>0</v>
      </c>
      <c r="AG55" s="130" cm="1">
        <f t="array" aca="1" ref="AG55" ca="1">IF(COUNTIFS(OverEmp,$C55,OverMed,"MED",OverDate,"&lt;"&amp;DATE(YEAR($AC55),MONTH($AC55)+1,1),OverEnd,"&gt;="&amp;DATE(YEAR($AC55),MONTH($AC55),1))&gt;0,SUMIFS(OverValue,OverEmp,$C55,OverMed,"MED",OverDate,"&lt;"&amp;DATE(YEAR($AC55),MONTH($AC55)+1,1),OverEnd,"&gt;="&amp;DATE(YEAR($AC55),MONTH($AC55),1)),IF(ISNA(VLOOKUP($C55,EmpAll,COLUMN(Emp!$N$4),0)),0,VLOOKUP($C55,EmpAll,COLUMN(Emp!$N$4),0)))</f>
        <v>1</v>
      </c>
      <c r="AH55" s="146">
        <f ca="1">VLOOKUP($AG55,MedList,COLUMN(Setup!$C$49),1)</f>
        <v>364</v>
      </c>
      <c r="AI55" s="146">
        <f t="shared" ca="1" si="7"/>
        <v>4368</v>
      </c>
      <c r="AJ55" s="101" t="str">
        <f ca="1">IF(ISNA(VLOOKUP($C55,EmpAll,COLUMN(Emp!$L$4),0)),"None!",VLOOKUP($C55,EmpAll,COLUMN(Emp!$L$4),0))</f>
        <v>A</v>
      </c>
      <c r="AK55" s="147">
        <f t="shared" ca="1" si="21"/>
        <v>17235</v>
      </c>
      <c r="AL55" s="101" t="str">
        <f ca="1">IF(ISNA(VLOOKUP($C55,Employees[],COLUMN(Emp!$M$4),0))=TRUE,"Error!",IF(VLOOKUP($C55,Employees[],COLUMN(Emp!$M$4),0)=0,"Yes",VLOOKUP($C55,Employees[],COLUMN(Emp!$M$4),0)))</f>
        <v>A</v>
      </c>
      <c r="AM55" s="148">
        <f t="shared" ca="1" si="9"/>
        <v>183600</v>
      </c>
      <c r="AN55" s="148" cm="1">
        <f t="array" aca="1" ref="AN55" ca="1">-IF($F55="Terminated",0,IF($AA55=0,0,IF(ISNA(MATCH(AN$5,PayDedList,0)),0,MIN(IF(COUNTIFS(OverEmp,$C55,OverDeduct,AN$5,OverDate,"&lt;"&amp;DATE(YEAR($AC55),MONTH($AC55)+1,1),OverEnd,"&gt;="&amp;DATE(YEAR($AC55),MONTH($AC55),1))&gt;0,SUMPRODUCT((PayEmp=$C55)*(PayDate&lt;=$AC55)*(OFFSET($N$6,1,MATCH(AN$5,PayDedList,0)-1,PayCount,1)))/$AA55*12*AN$3,IF(OR(AN$1="Fixed",AN$1="Not Used"),SUMPRODUCT((PayEmp=$C55)*(PayDate&lt;=$AC55)*(OFFSET($N$6,1,MATCH(AN$5,PayDedList,0)-1,PayCount,1)))/$AA55*12*AN$3,IF(ISNA(MATCH(AN$1,EarnListItem,0))=FALSE,SUMPRODUCT((PayEmp=$C55)*(PayDate&lt;=$AC55)*(OFFSET($N$6,1,MATCH(AN$5,PayDedList,0)-1,PayCount,1)))/$AA55*12*AN$3,(MIN(((SUMPRODUCT((PayEmp=$C55)*(PayDate&lt;=$AC55)*(ISERROR(SEARCH(PayEarnCode,AN$2)))*(PayEarnType="Monthly")*(PayEarnValues))/$AA55*12)+(SUMPRODUCT((PayEmp=$C55)*(PayDate&lt;=$AC55)*(ISERROR(SEARCH(PayEarnCode,AN$2)))*(PayEarnType="Quarterly")*(PayEarnValues))/MAX(1,ROUNDDOWN($AB55/3,0))*4)+(SUMPRODUCT((PayEmp=$C55)*(PayDate&lt;=$AC55)*(ISERROR(SEARCH(PayEarnCode,AN$2)))*(PayEarnType="Bi-Annual")*(PayEarnValues))/MAX(1,ROUNDDOWN($AB55/6,0))*2)+(SUMPRODUCT((PayEmp=$C55)*(PayDate&lt;=$AC55)*(ISERROR(SEARCH(PayEarnCode,AN$2)))*(PayEarnType="Annual")*(PayEarnValues)))),IF(ISNUMBER(OFFSET($N$3,0,MATCH(AN$5,PayDedList,0)-1,1,1)),OFFSET($N$3,0,MATCH(AN$5,PayDedList,0)-1,1,1),IgnoreMin)))*IF(COUNTIFS(EmpNo,$C55,OFFSET(Emp!$R$4,1,MATCH(AN$5,DedListItem,0)-1,EmpCount,1),"&lt;&gt;")&gt;0,VLOOKUP($C55,EmpAll,COLUMN(Emp!$R$4)+MATCH(AN$5,DedListItem,0)-1,0),OFFSET(Setup!$E$73,MATCH(AN$5,DedListItem,0),0,1,1))*AN$3))),IF(ISNUMBER(AN$4),AN$4,IgnoreMin)))))</f>
        <v>0</v>
      </c>
      <c r="AO55" s="148" cm="1">
        <f t="array" aca="1" ref="AO55" ca="1">-IF($F55="Terminated",0,IF($AA55=0,0,IF(ISNA(MATCH(AO$5,PayDedList,0)),0,MIN(IF(COUNTIFS(OverEmp,$C55,OverDeduct,AO$5,OverDate,"&lt;"&amp;DATE(YEAR($AC55),MONTH($AC55)+1,1),OverEnd,"&gt;="&amp;DATE(YEAR($AC55),MONTH($AC55),1))&gt;0,SUMPRODUCT((PayEmp=$C55)*(PayDate&lt;=$AC55)*(OFFSET($N$6,1,MATCH(AO$5,PayDedList,0)-1,PayCount,1)))/$AA55*12*AO$3,IF(OR(AO$1="Fixed",AO$1="Not Used"),SUMPRODUCT((PayEmp=$C55)*(PayDate&lt;=$AC55)*(OFFSET($N$6,1,MATCH(AO$5,PayDedList,0)-1,PayCount,1)))/$AA55*12*AO$3,IF(ISNA(MATCH(AO$1,EarnListItem,0))=FALSE,SUMPRODUCT((PayEmp=$C55)*(PayDate&lt;=$AC55)*(OFFSET($N$6,1,MATCH(AO$5,PayDedList,0)-1,PayCount,1)))/$AA55*12*AO$3,(MIN(((SUMPRODUCT((PayEmp=$C55)*(PayDate&lt;=$AC55)*(ISERROR(SEARCH(PayEarnCode,AO$2)))*(PayEarnType="Monthly")*(PayEarnValues))/$AA55*12)+(SUMPRODUCT((PayEmp=$C55)*(PayDate&lt;=$AC55)*(ISERROR(SEARCH(PayEarnCode,AO$2)))*(PayEarnType="Quarterly")*(PayEarnValues))/MAX(1,ROUNDDOWN($AB55/3,0))*4)+(SUMPRODUCT((PayEmp=$C55)*(PayDate&lt;=$AC55)*(ISERROR(SEARCH(PayEarnCode,AO$2)))*(PayEarnType="Bi-Annual")*(PayEarnValues))/MAX(1,ROUNDDOWN($AB55/6,0))*2)+(SUMPRODUCT((PayEmp=$C55)*(PayDate&lt;=$AC55)*(ISERROR(SEARCH(PayEarnCode,AO$2)))*(PayEarnType="Annual")*(PayEarnValues)))),IF(ISNUMBER(OFFSET($N$3,0,MATCH(AO$5,PayDedList,0)-1,1,1)),OFFSET($N$3,0,MATCH(AO$5,PayDedList,0)-1,1,1),IgnoreMin)))*IF(COUNTIFS(EmpNo,$C55,OFFSET(Emp!$R$4,1,MATCH(AO$5,DedListItem,0)-1,EmpCount,1),"&lt;&gt;")&gt;0,VLOOKUP($C55,EmpAll,COLUMN(Emp!$R$4)+MATCH(AO$5,DedListItem,0)-1,0),OFFSET(Setup!$E$73,MATCH(AO$5,DedListItem,0),0,1,1))*AO$3))),IF(ISNUMBER(AO$4),AO$4,IgnoreMin)))))</f>
        <v>0</v>
      </c>
      <c r="AP55" s="148" cm="1">
        <f t="array" aca="1" ref="AP55" ca="1">-IF($F55="Terminated",0,IF($AA55=0,0,IF(ISNA(MATCH(AP$5,PayDedList,0)),0,MIN(IF(COUNTIFS(OverEmp,$C55,OverDeduct,AP$5,OverDate,"&lt;"&amp;DATE(YEAR($AC55),MONTH($AC55)+1,1),OverEnd,"&gt;="&amp;DATE(YEAR($AC55),MONTH($AC55),1))&gt;0,SUMPRODUCT((PayEmp=$C55)*(PayDate&lt;=$AC55)*(OFFSET($N$6,1,MATCH(AP$5,PayDedList,0)-1,PayCount,1)))/$AA55*12*AP$3,IF(OR(AP$1="Fixed",AP$1="Not Used"),SUMPRODUCT((PayEmp=$C55)*(PayDate&lt;=$AC55)*(OFFSET($N$6,1,MATCH(AP$5,PayDedList,0)-1,PayCount,1)))/$AA55*12*AP$3,IF(ISNA(MATCH(AP$1,EarnListItem,0))=FALSE,SUMPRODUCT((PayEmp=$C55)*(PayDate&lt;=$AC55)*(OFFSET($N$6,1,MATCH(AP$5,PayDedList,0)-1,PayCount,1)))/$AA55*12*AP$3,(MIN(((SUMPRODUCT((PayEmp=$C55)*(PayDate&lt;=$AC55)*(ISERROR(SEARCH(PayEarnCode,AP$2)))*(PayEarnType="Monthly")*(PayEarnValues))/$AA55*12)+(SUMPRODUCT((PayEmp=$C55)*(PayDate&lt;=$AC55)*(ISERROR(SEARCH(PayEarnCode,AP$2)))*(PayEarnType="Quarterly")*(PayEarnValues))/MAX(1,ROUNDDOWN($AB55/3,0))*4)+(SUMPRODUCT((PayEmp=$C55)*(PayDate&lt;=$AC55)*(ISERROR(SEARCH(PayEarnCode,AP$2)))*(PayEarnType="Bi-Annual")*(PayEarnValues))/MAX(1,ROUNDDOWN($AB55/6,0))*2)+(SUMPRODUCT((PayEmp=$C55)*(PayDate&lt;=$AC55)*(ISERROR(SEARCH(PayEarnCode,AP$2)))*(PayEarnType="Annual")*(PayEarnValues)))),IF(ISNUMBER(OFFSET($N$3,0,MATCH(AP$5,PayDedList,0)-1,1,1)),OFFSET($N$3,0,MATCH(AP$5,PayDedList,0)-1,1,1),IgnoreMin)))*IF(COUNTIFS(EmpNo,$C55,OFFSET(Emp!$R$4,1,MATCH(AP$5,DedListItem,0)-1,EmpCount,1),"&lt;&gt;")&gt;0,VLOOKUP($C55,EmpAll,COLUMN(Emp!$R$4)+MATCH(AP$5,DedListItem,0)-1,0),OFFSET(Setup!$E$73,MATCH(AP$5,DedListItem,0),0,1,1))*AP$3))),IF(ISNUMBER(AP$4),AP$4,IgnoreMin)))))</f>
        <v>0</v>
      </c>
      <c r="AQ55" s="148" cm="1">
        <f t="array" aca="1" ref="AQ55" ca="1">-IF($F55="Terminated",0,IF($AA55=0,0,IF(ISNA(MATCH(AQ$5,PayDedList,0)),0,MIN(IF(COUNTIFS(OverEmp,$C55,OverDeduct,AQ$5,OverDate,"&lt;"&amp;DATE(YEAR($AC55),MONTH($AC55)+1,1),OverEnd,"&gt;="&amp;DATE(YEAR($AC55),MONTH($AC55),1))&gt;0,SUMPRODUCT((PayEmp=$C55)*(PayDate&lt;=$AC55)*(OFFSET($N$6,1,MATCH(AQ$5,PayDedList,0)-1,PayCount,1)))/$AA55*12*AQ$3,IF(OR(AQ$1="Fixed",AQ$1="Not Used"),SUMPRODUCT((PayEmp=$C55)*(PayDate&lt;=$AC55)*(OFFSET($N$6,1,MATCH(AQ$5,PayDedList,0)-1,PayCount,1)))/$AA55*12*AQ$3,IF(ISNA(MATCH(AQ$1,EarnListItem,0))=FALSE,SUMPRODUCT((PayEmp=$C55)*(PayDate&lt;=$AC55)*(OFFSET($N$6,1,MATCH(AQ$5,PayDedList,0)-1,PayCount,1)))/$AA55*12*AQ$3,(MIN(((SUMPRODUCT((PayEmp=$C55)*(PayDate&lt;=$AC55)*(ISERROR(SEARCH(PayEarnCode,AQ$2)))*(PayEarnType="Monthly")*(PayEarnValues))/$AA55*12)+(SUMPRODUCT((PayEmp=$C55)*(PayDate&lt;=$AC55)*(ISERROR(SEARCH(PayEarnCode,AQ$2)))*(PayEarnType="Quarterly")*(PayEarnValues))/MAX(1,ROUNDDOWN($AB55/3,0))*4)+(SUMPRODUCT((PayEmp=$C55)*(PayDate&lt;=$AC55)*(ISERROR(SEARCH(PayEarnCode,AQ$2)))*(PayEarnType="Bi-Annual")*(PayEarnValues))/MAX(1,ROUNDDOWN($AB55/6,0))*2)+(SUMPRODUCT((PayEmp=$C55)*(PayDate&lt;=$AC55)*(ISERROR(SEARCH(PayEarnCode,AQ$2)))*(PayEarnType="Annual")*(PayEarnValues)))),IF(ISNUMBER(OFFSET($N$3,0,MATCH(AQ$5,PayDedList,0)-1,1,1)),OFFSET($N$3,0,MATCH(AQ$5,PayDedList,0)-1,1,1),IgnoreMin)))*IF(COUNTIFS(EmpNo,$C55,OFFSET(Emp!$R$4,1,MATCH(AQ$5,DedListItem,0)-1,EmpCount,1),"&lt;&gt;")&gt;0,VLOOKUP($C55,EmpAll,COLUMN(Emp!$R$4)+MATCH(AQ$5,DedListItem,0)-1,0),OFFSET(Setup!$E$73,MATCH(AQ$5,DedListItem,0),0,1,1))*AQ$3))),IF(ISNUMBER(AQ$4),AQ$4,IgnoreMin)))))</f>
        <v>0</v>
      </c>
      <c r="AR55" s="148">
        <f t="shared" ca="1" si="22"/>
        <v>183600</v>
      </c>
      <c r="AS55" s="148">
        <f t="shared" ca="1" si="11"/>
        <v>180000</v>
      </c>
      <c r="AT55" s="148" cm="1">
        <f t="array" aca="1" ref="AT55" ca="1">-IF($F55="Terminated",0,IF($AA55=0,0,IF(ISNA(MATCH(AT$5,PayDedList,0)),0,MIN(IF(COUNTIFS(OverEmp,$C55,OverDeduct,AT$5,OverDate,"&lt;"&amp;DATE(YEAR($AC55),MONTH($AC55)+1,1),OverEnd,"&gt;="&amp;DATE(YEAR($AC55),MONTH($AC55),1))&gt;0,SUMPRODUCT((PayEmp=$C55)*(PayDate&lt;=$AC55)*(OFFSET($N$6,1,MATCH(AT$5,PayDedList,0)-1,PayCount,1)))/$AA55*12*AT$3,IF(OR(AT$1="Fixed",AT$1="Not Used"),SUMPRODUCT((PayEmp=$C55)*(PayDate&lt;=$AC55)*(OFFSET($N$6,1,MATCH(AT$5,PayDedList,0)-1,PayCount,1)))/$AA55*12*AT$3,IF(ISNA(MATCH(OFFSET($N$2,0,MATCH(AT$5,PayDedList,0)-1,1,1),EarnListItem,0))=FALSE,SUMPRODUCT((PayEmp=$C55)*(PayDate&lt;=$AC55)*(OFFSET($N$6,1,MATCH(AT$5,PayDedList,0)-1,PayCount,1)))/$AA55*12*AT$3,(MIN(SUMPRODUCT((PayEmp=$C55)*(PayDate&lt;=$AC55)*(ISERROR(SEARCH(PayEarnCode,AT$2)))*(PayEarnType="Monthly")*(PayEarnValues))/$AA55*12,IF(ISNUMBER(OFFSET($N$3,0,MATCH(AT$5,PayDedList,0)-1,1,1)),OFFSET($N$3,0,MATCH(AT$5,PayDedList,0)-1,1,1),IgnoreMin)))*IF(COUNTIFS(EmpNo,$C55,OFFSET(Emp!$R$4,1,MATCH(AT$5,DedListItem,0)-1,EmpCount,1),"&lt;&gt;")&gt;0,VLOOKUP($C55,EmpAll,COLUMN(Emp!$R$4)+MATCH(AT$5,DedListItem,0)-1,0),OFFSET(Setup!$E$73,MATCH(AT$5,DedListItem,0),0,1,1))*AT$3))),IF(ISNUMBER(AT$4),AT$4,IgnoreMin)))))</f>
        <v>0</v>
      </c>
      <c r="AU55" s="148" cm="1">
        <f t="array" aca="1" ref="AU55" ca="1">-IF($F55="Terminated",0,IF($AA55=0,0,IF(ISNA(MATCH(AU$5,PayDedList,0)),0,MIN(IF(COUNTIFS(OverEmp,$C55,OverDeduct,AU$5,OverDate,"&lt;"&amp;DATE(YEAR($AC55),MONTH($AC55)+1,1),OverEnd,"&gt;="&amp;DATE(YEAR($AC55),MONTH($AC55),1))&gt;0,SUMPRODUCT((PayEmp=$C55)*(PayDate&lt;=$AC55)*(OFFSET($N$6,1,MATCH(AU$5,PayDedList,0)-1,PayCount,1)))/$AA55*12*AU$3,IF(OR(AU$1="Fixed",AU$1="Not Used"),SUMPRODUCT((PayEmp=$C55)*(PayDate&lt;=$AC55)*(OFFSET($N$6,1,MATCH(AU$5,PayDedList,0)-1,PayCount,1)))/$AA55*12*AU$3,IF(ISNA(MATCH(OFFSET($N$2,0,MATCH(AU$5,PayDedList,0)-1,1,1),EarnListItem,0))=FALSE,SUMPRODUCT((PayEmp=$C55)*(PayDate&lt;=$AC55)*(OFFSET($N$6,1,MATCH(AU$5,PayDedList,0)-1,PayCount,1)))/$AA55*12*AU$3,(MIN(SUMPRODUCT((PayEmp=$C55)*(PayDate&lt;=$AC55)*(ISERROR(SEARCH(PayEarnCode,AU$2)))*(PayEarnType="Monthly")*(PayEarnValues))/$AA55*12,IF(ISNUMBER(OFFSET($N$3,0,MATCH(AU$5,PayDedList,0)-1,1,1)),OFFSET($N$3,0,MATCH(AU$5,PayDedList,0)-1,1,1),IgnoreMin)))*IF(COUNTIFS(EmpNo,$C55,OFFSET(Emp!$R$4,1,MATCH(AU$5,DedListItem,0)-1,EmpCount,1),"&lt;&gt;")&gt;0,VLOOKUP($C55,EmpAll,COLUMN(Emp!$R$4)+MATCH(AU$5,DedListItem,0)-1,0),OFFSET(Setup!$E$73,MATCH(AU$5,DedListItem,0),0,1,1))*AU$3))),IF(ISNUMBER(AU$4),AU$4,IgnoreMin)))))</f>
        <v>0</v>
      </c>
      <c r="AV55" s="148" cm="1">
        <f t="array" aca="1" ref="AV55" ca="1">-IF($F55="Terminated",0,IF($AA55=0,0,IF(ISNA(MATCH(AV$5,PayDedList,0)),0,MIN(IF(COUNTIFS(OverEmp,$C55,OverDeduct,AV$5,OverDate,"&lt;"&amp;DATE(YEAR($AC55),MONTH($AC55)+1,1),OverEnd,"&gt;="&amp;DATE(YEAR($AC55),MONTH($AC55),1))&gt;0,SUMPRODUCT((PayEmp=$C55)*(PayDate&lt;=$AC55)*(OFFSET($N$6,1,MATCH(AV$5,PayDedList,0)-1,PayCount,1)))/$AA55*12*AV$3,IF(OR(AV$1="Fixed",AV$1="Not Used"),SUMPRODUCT((PayEmp=$C55)*(PayDate&lt;=$AC55)*(OFFSET($N$6,1,MATCH(AV$5,PayDedList,0)-1,PayCount,1)))/$AA55*12*AV$3,IF(ISNA(MATCH(OFFSET($N$2,0,MATCH(AV$5,PayDedList,0)-1,1,1),EarnListItem,0))=FALSE,SUMPRODUCT((PayEmp=$C55)*(PayDate&lt;=$AC55)*(OFFSET($N$6,1,MATCH(AV$5,PayDedList,0)-1,PayCount,1)))/$AA55*12*AV$3,(MIN(SUMPRODUCT((PayEmp=$C55)*(PayDate&lt;=$AC55)*(ISERROR(SEARCH(PayEarnCode,AV$2)))*(PayEarnType="Monthly")*(PayEarnValues))/$AA55*12,IF(ISNUMBER(OFFSET($N$3,0,MATCH(AV$5,PayDedList,0)-1,1,1)),OFFSET($N$3,0,MATCH(AV$5,PayDedList,0)-1,1,1),IgnoreMin)))*IF(COUNTIFS(EmpNo,$C55,OFFSET(Emp!$R$4,1,MATCH(AV$5,DedListItem,0)-1,EmpCount,1),"&lt;&gt;")&gt;0,VLOOKUP($C55,EmpAll,COLUMN(Emp!$R$4)+MATCH(AV$5,DedListItem,0)-1,0),OFFSET(Setup!$E$73,MATCH(AV$5,DedListItem,0),0,1,1))*AV$3))),IF(ISNUMBER(AV$4),AV$4,IgnoreMin)))))</f>
        <v>0</v>
      </c>
      <c r="AW55" s="148" cm="1">
        <f t="array" aca="1" ref="AW55" ca="1">-IF($F55="Terminated",0,IF($AA55=0,0,IF(ISNA(MATCH(AW$5,PayDedList,0)),0,MIN(IF(COUNTIFS(OverEmp,$C55,OverDeduct,AW$5,OverDate,"&lt;"&amp;DATE(YEAR($AC55),MONTH($AC55)+1,1),OverEnd,"&gt;="&amp;DATE(YEAR($AC55),MONTH($AC55),1))&gt;0,SUMPRODUCT((PayEmp=$C55)*(PayDate&lt;=$AC55)*(OFFSET($N$6,1,MATCH(AW$5,PayDedList,0)-1,PayCount,1)))/$AA55*12*AW$3,IF(OR(AW$1="Fixed",AW$1="Not Used"),SUMPRODUCT((PayEmp=$C55)*(PayDate&lt;=$AC55)*(OFFSET($N$6,1,MATCH(AW$5,PayDedList,0)-1,PayCount,1)))/$AA55*12*AW$3,IF(ISNA(MATCH(OFFSET($N$2,0,MATCH(AW$5,PayDedList,0)-1,1,1),EarnListItem,0))=FALSE,SUMPRODUCT((PayEmp=$C55)*(PayDate&lt;=$AC55)*(OFFSET($N$6,1,MATCH(AW$5,PayDedList,0)-1,PayCount,1)))/$AA55*12*AW$3,(MIN(SUMPRODUCT((PayEmp=$C55)*(PayDate&lt;=$AC55)*(ISERROR(SEARCH(PayEarnCode,AW$2)))*(PayEarnType="Monthly")*(PayEarnValues))/$AA55*12,IF(ISNUMBER(OFFSET($N$3,0,MATCH(AW$5,PayDedList,0)-1,1,1)),OFFSET($N$3,0,MATCH(AW$5,PayDedList,0)-1,1,1),IgnoreMin)))*IF(COUNTIFS(EmpNo,$C55,OFFSET(Emp!$R$4,1,MATCH(AW$5,DedListItem,0)-1,EmpCount,1),"&lt;&gt;")&gt;0,VLOOKUP($C55,EmpAll,COLUMN(Emp!$R$4)+MATCH(AW$5,DedListItem,0)-1,0),OFFSET(Setup!$E$73,MATCH(AW$5,DedListItem,0),0,1,1))*AW$3))),IF(ISNUMBER(AW$4),AW$4,IgnoreMin)))))</f>
        <v>0</v>
      </c>
      <c r="AX55" s="148">
        <f t="shared" ca="1" si="28"/>
        <v>180000</v>
      </c>
      <c r="AY55" s="148">
        <f t="shared" ca="1" si="29"/>
        <v>3600</v>
      </c>
      <c r="AZ55" s="148">
        <f ca="1">IF(ISNUMBER($AL55),($AR55*$AL55)-$AI55-$AK55,MAX(0,IF($AL55="B",IF($AR55&lt;Setup!$C$32,($AR55*Setup!$D$32)-$AI55-$AK55,(($AR55-VLOOKUP($AR55,TaxAll2,1,1))*OFFSET(Setup!$D$32,MATCH($AR55,TaxBracket2,1),0,1,1))+OFFSET(Setup!$E$31,MATCH($AR55,TaxBracket2,1),0,1,1)-$AI55-$AK55),IF($AR55&lt;Setup!$C$21,($AR55*Setup!$D$21)-$AI55-$AK55,(($AR55-VLOOKUP($AR55,TaxAll1,1,1))*OFFSET(Setup!$D$21,MATCH($AR55,TaxBracket1,1),0,1,1))+OFFSET(Setup!$E$20,MATCH($AR55,TaxBracket1,1),0,1,1)-$AI55-$AK55))))</f>
        <v>11445</v>
      </c>
      <c r="BA55" s="148">
        <f ca="1">IF(ISNUMBER($AL55),($AX55*$AL55)-$AI55-$AK55,MAX(0,IF($AL55="B",IF($AX55&lt;Setup!$C$32,($AX55*Setup!$D$32)-$AI55-$AK55,(($AX55-VLOOKUP($AX55,TaxAll2,1,1))*OFFSET(Setup!$D$32,MATCH($AX55,TaxBracket2,1),0,1,1))+OFFSET(Setup!$E$31,MATCH($AX55,TaxBracket2,1),0,1,1)-$AI55-$AK55),IF($AX55&lt;Setup!$C$21,($AX55*Setup!$D$21)-$AI55-$AK55,(($AX55-VLOOKUP($AX55,TaxAll1,1,1))*OFFSET(Setup!$D$21,MATCH($AX55,TaxBracket1,1),0,1,1))+OFFSET(Setup!$E$20,MATCH($AX55,TaxBracket1,1),0,1,1)-$AI55-$AK55))))</f>
        <v>10797</v>
      </c>
      <c r="BB55" s="148">
        <f t="shared" ca="1" si="23"/>
        <v>648</v>
      </c>
      <c r="BC55" s="150">
        <f t="shared" ca="1" si="15"/>
        <v>0.98039215686274506</v>
      </c>
      <c r="BD55" s="150">
        <f t="shared" ca="1" si="16"/>
        <v>1.9607843137254902E-2</v>
      </c>
      <c r="BE55" s="148">
        <f t="shared" ca="1" si="17"/>
        <v>183600</v>
      </c>
    </row>
    <row r="56" spans="1:57" ht="16.149999999999999" customHeight="1" x14ac:dyDescent="0.25">
      <c r="A56" s="10" t="str" cm="1">
        <f t="array" aca="1" ref="A56" ca="1">IF(ROW($A56)-ROW($A$6)&gt;EmpCount*12,"-",TEXT($B56,"yyyy")&amp;TEXT($B56,"mm")&amp;"-"&amp;$C56)</f>
        <v>202306-EXS005</v>
      </c>
      <c r="B56" s="137" cm="1">
        <f t="array" aca="1" ref="B56" ca="1">IF(ROW($A56)-ROW($A$6)&gt;EmpCount*12,Setup!$D$12,DATE(YEAR(Setup!$F$12),MONTH(Setup!$F$12)+ROUNDDOWN((ROW($A56)-ROW($A$6)-1)/EmpCount,0),IF(Setup!$C$14&gt;DAY(DATE(YEAR(Setup!$F$12),MONTH(Setup!$F$12)+ROUNDDOWN((ROW($A56)-ROW($A$6)-1)/EmpCount,0)+1,0)),DAY(DATE(YEAR(Setup!$F$12),MONTH(Setup!$F$12)+ROUNDDOWN((ROW($A56)-ROW($A$6)-1)/EmpCount,0)+1,0)),Setup!$C$14)))</f>
        <v>45102</v>
      </c>
      <c r="C56" s="101" t="str" cm="1">
        <f t="array" aca="1" ref="C56" ca="1">IF(ROW($A56)-ROW($A$6)&gt;EmpCount*12,"-",OFFSET(Emp!$A$4,ROW($A56)-ROW($A$6)-IF(ROW($A56)-ROW($A$6)&gt;EmpCount,ROUNDDOWN((ROW($A56)-ROW($A$6)-1)/EmpCount,0)*EmpCount,0),0,1,1))</f>
        <v>EXS005</v>
      </c>
      <c r="D56" s="10" t="str">
        <f ca="1">IF(ISNA(VLOOKUP($C56,EmpAll,COLUMN(Emp!$B$4),0)),"-",VLOOKUP($C56,EmpAll,COLUMN(Emp!$B$4),0))</f>
        <v>Miller R</v>
      </c>
      <c r="E56" s="145" t="str">
        <f ca="1">IF(ISNA(VLOOKUP($C56,EmpAll,COLUMN(Emp!$C$4),0)),"-",VLOOKUP($C56,EmpAll,COLUMN(Emp!$C$4),0))</f>
        <v>S</v>
      </c>
      <c r="F56" s="101" t="str">
        <f ca="1">IF(ISNA(VLOOKUP($C56,EmpAll,COLUMN(Emp!$A$4),0)),"-",IF(AND(VLOOKUP($C56,EmpAll,COLUMN(Emp!$E$4),0)&lt;&gt;0,VLOOKUP($C56,EmpAll,COLUMN(Emp!$E$4),0)&gt;=DATE(YEAR($AC56),MONTH($AC56)+1,0)),"Inactive",IF(AND(VLOOKUP($C56,EmpAll,COLUMN(Emp!$F$4),0)&lt;&gt;0,VLOOKUP($C56,EmpAll,COLUMN(Emp!$F$4),0)&lt;=DATE(YEAR($AC56),MONTH($AC56),0)),"Terminated","Active")))</f>
        <v>Active</v>
      </c>
      <c r="G56" s="133" cm="1">
        <f t="array" aca="1" ref="G56" ca="1">IF($F56&lt;&gt;"Active",0,IF(COUNTIFS(OverEmp,$C56,OverEarn,G$2,OverDate,"&lt;"&amp;DATE(YEAR($AC56),MONTH($AC56)+1,1),OverEnd,"&gt;="&amp;DATE(YEAR($AC56),MONTH($AC56),1))&gt;0,SUMIFS(OverValue,OverEmp,$C56,OverEarn,G$2,OverDate,"&lt;"&amp;DATE(YEAR($AC56),MONTH($AC56)+1,1),OverEnd,"&gt;="&amp;DATE(YEAR($AC56),MONTH($AC56),1)),IF(AND($AC56&gt;=Setup!$E$10,SUMIFS(EmpIncrease,EmpCode,$C56)&gt;0),SUMIFS(EmpIncrease,EmpCode,$C56),SUMIFS(EmpSalary,EmpCode,$C56))))</f>
        <v>10000</v>
      </c>
      <c r="H56" s="133" cm="1">
        <f t="array" aca="1" ref="H56" ca="1">IF($F56&lt;&gt;"Active",0,IF(COUNTIFS(OverEmp,$C56,OverEarn,H$2,OverDate,"&lt;"&amp;DATE(YEAR($AC56),MONTH($AC56)+1,1),OverEnd,"&gt;="&amp;DATE(YEAR($AC56),MONTH($AC56),1))&gt;0,SUMIFS(OverValue,OverEmp,$C56,OverEarn,H$2,OverDate,"&lt;"&amp;DATE(YEAR($AC56),MONTH($AC56)+1,1),OverEnd,"&gt;="&amp;DATE(YEAR($AC56),MONTH($AC56),1)),0))</f>
        <v>0</v>
      </c>
      <c r="I56" s="133" cm="1">
        <f t="array" aca="1" ref="I56" ca="1">IF($F56&lt;&gt;"Active",0,IF(COUNTIFS(OverEmp,$C56,OverEarn,I$2,OverDate,"&lt;"&amp;DATE(YEAR($AC56),MONTH($AC56)+1,1),OverEnd,"&gt;="&amp;DATE(YEAR($AC56),MONTH($AC56),1))&gt;0,SUMIFS(OverValue,OverEmp,$C56,OverEarn,I$2,OverDate,"&lt;"&amp;DATE(YEAR($AC56),MONTH($AC56)+1,1),OverEnd,"&gt;="&amp;DATE(YEAR($AC56),MONTH($AC56),1)),IF(MONTH(B56)=Setup!$C$15,SUMIFS(EmpBonus,EmpCode,$C56),0)))</f>
        <v>0</v>
      </c>
      <c r="J56" s="133" cm="1">
        <f t="array" aca="1" ref="J56" ca="1">IF($F56&lt;&gt;"Active",0,IF(COUNTIFS(OverEmp,$C56,OverEarn,J$2,OverDate,"&lt;"&amp;DATE(YEAR($AC56),MONTH($AC56)+1,1),OverEnd,"&gt;="&amp;DATE(YEAR($AC56),MONTH($AC56),1))&gt;0,SUMIFS(OverValue,OverEmp,$C56,OverEarn,J$2,OverDate,"&lt;"&amp;DATE(YEAR($AC56),MONTH($AC56)+1,1),OverEnd,"&gt;="&amp;DATE(YEAR($AC56),MONTH($AC56),1)),0))</f>
        <v>0</v>
      </c>
      <c r="K56" s="133" cm="1">
        <f t="array" aca="1" ref="K56" ca="1">IF($F56&lt;&gt;"Active",0,IF(COUNTIFS(OverEmp,$C56,OverEarn,K$2,OverDate,"&lt;"&amp;DATE(YEAR($AC56),MONTH($AC56)+1,1),OverEnd,"&gt;="&amp;DATE(YEAR($AC56),MONTH($AC56),1))&gt;0,SUMIFS(OverValue,OverEmp,$C56,OverEarn,K$2,OverDate,"&lt;"&amp;DATE(YEAR($AC56),MONTH($AC56)+1,1),OverEnd,"&gt;="&amp;DATE(YEAR($AC56),MONTH($AC56),1)),0))</f>
        <v>0</v>
      </c>
      <c r="L56" s="185">
        <f t="shared" ca="1" si="24"/>
        <v>10000</v>
      </c>
      <c r="M56" s="182" cm="1">
        <f t="array" aca="1" ref="M56" ca="1">IF(COUNTIFS(OverEmp,$C56,OverTax,M$5,OverDate,"&lt;"&amp;DATE(YEAR($AC56),MONTH($AC56)+1,1),OverEnd,"&gt;="&amp;DATE(YEAR($AC56),MONTH($AC56),1))&gt;0,SUMIFS(OverValue,OverEmp,$C56,OverTax,M$5,OverDate,"&lt;"&amp;DATE(YEAR($AC56),MONTH($AC56)+1,1),OverEnd,"&gt;="&amp;DATE(YEAR($AC56),MONTH($AC56),1)),(($BA56/12*$AA56)+(BB56*IF(1-$BC56=0,0,BD56/(1-$BC56))))-IF($F56="Terminated",0,SUMIFS(PayTaxDeduct,PayDate,"&lt;"&amp;$AC56,PayEmp,$C56)))</f>
        <v>0</v>
      </c>
      <c r="N56" s="133" cm="1">
        <f t="array" aca="1" ref="N56" ca="1">IF($F56="Terminated",0,IF($AA56=0,0,IF(ISNA(MATCH(N$5,DedListItem,0)),0,IF(COUNTIFS(OverEmp,$C56,OverDeduct,N$5,OverDate,"&lt;"&amp;DATE(YEAR($AC56),MONTH($AC56)+1,1),OverEnd,"&gt;="&amp;DATE(YEAR($AC56),MONTH($AC56),1))&gt;0,SUMIFS(OverValue,OverEmp,$C56,OverDeduct,N$5,OverDate,"&lt;"&amp;DATE(YEAR($AC56),MONTH($AC56)+1,1),OverEnd,"&gt;="&amp;DATE(YEAR($AC56),MONTH($AC56),1)),IF(OR(N$2="Fixed",N$2="Not Used"),(IF(COUNTIFS(EmpNo,$C56,OFFSET(Emp!$R$4,1,MATCH(N$5,DedListItem,0)-1,EmpCount,1),"&lt;&gt;")&gt;0,VLOOKUP($C56,EmpAll,COLUMN(Emp!$R$4)+MATCH(N$5,DedListItem,0)-1,0),OFFSET(Setup!$E$73,MATCH(N$5,DedListItem,0),0,1,1))*$AA56)-SUMIFS(OFFSET(N$6,1,0,PayCount,1),PayDate,"&lt;"&amp;$AC56,PayEmp,$C56),IF(ISNA(MATCH(N$2,EarnListItem,0))=FALSE,IF(OFFSET(Setup!$G$73,MATCH(N$5,DedListItem,0),0,1,1)="Taxable",SUMPRODUCT((PayEmp=$C56)*(PayDate&lt;=$AC56)*(PayEarnCode=N$2)*(PayEarnTax)*(PayEarnValues)),SUMPRODUCT((PayEmp=$C56)*(PayDate&lt;=$AC56)*(PayEarnCode=N$2)*(PayEarnValues)))*IF(COUNTIFS(EmpNo,$C56,OFFSET(Emp!$R$4,1,MATCH(N$5,DedListItem,0)-1,EmpCount,1),"&lt;&gt;")&gt;0,VLOOKUP($C56,EmpAll,COLUMN(Emp!$R$4)+MATCH(N$5,DedListItem,0)-1,0),OFFSET(Setup!$E$73,MATCH(N$5,DedListItem,0),0,1,1)),(MIN(IF(OFFSET(Setup!$G$73,MATCH(N$5,DedListItem,0),0,1,1)="Taxable",SUMPRODUCT((PayEmp=$C56)*(PayDate&lt;=$AC56)*(ISERROR(SEARCH(PayEarnCode,N$4)))*(PayEarnTax)*(PayEarnValues)),SUMPRODUCT((PayEmp=$C56)*(PayDate&lt;=$AC56)*(ISERROR(SEARCH(PayEarnCode,N$4)))*(PayEarnValues))),IF(ISNUMBER(N$3),N$3/12*$AA56,IgnoreMin)))*IF(COUNTIFS(EmpNo,$C56,OFFSET(Emp!$R$4,1,MATCH(N$5,DedListItem,0)-1,EmpCount,1),"&lt;&gt;")&gt;0,VLOOKUP($C56,EmpAll,COLUMN(Emp!$R$4)+MATCH(N$5,DedListItem,0)-1,0),OFFSET(Setup!$E$73,MATCH(N$5,DedListItem,0),0,1,1)))-SUMIFS(OFFSET(N$6,1,0,PayCount,1),PayDate,"&lt;"&amp;$AC56,PayEmp,$C56))))))</f>
        <v>100</v>
      </c>
      <c r="O56" s="133" cm="1">
        <f t="array" aca="1" ref="O56" ca="1">IF($F56="Terminated",0,IF($AA56=0,0,IF(ISNA(MATCH(O$5,DedListItem,0)),0,IF(COUNTIFS(OverEmp,$C56,OverDeduct,O$5,OverDate,"&lt;"&amp;DATE(YEAR($AC56),MONTH($AC56)+1,1),OverEnd,"&gt;="&amp;DATE(YEAR($AC56),MONTH($AC56),1))&gt;0,SUMIFS(OverValue,OverEmp,$C56,OverDeduct,O$5,OverDate,"&lt;"&amp;DATE(YEAR($AC56),MONTH($AC56)+1,1),OverEnd,"&gt;="&amp;DATE(YEAR($AC56),MONTH($AC56),1)),IF(OR(O$2="Fixed",O$2="Not Used"),(IF(COUNTIFS(EmpNo,$C56,OFFSET(Emp!$R$4,1,MATCH(O$5,DedListItem,0)-1,EmpCount,1),"&lt;&gt;")&gt;0,VLOOKUP($C56,EmpAll,COLUMN(Emp!$R$4)+MATCH(O$5,DedListItem,0)-1,0),OFFSET(Setup!$E$73,MATCH(O$5,DedListItem,0),0,1,1))*$AA56)-SUMIFS(OFFSET(O$6,1,0,PayCount,1),PayDate,"&lt;"&amp;$AC56,PayEmp,$C56),IF(ISNA(MATCH(O$2,EarnListItem,0))=FALSE,IF(OFFSET(Setup!$G$73,MATCH(O$5,DedListItem,0),0,1,1)="Taxable",SUMPRODUCT((PayEmp=$C56)*(PayDate&lt;=$AC56)*(PayEarnCode=O$2)*(PayEarnTax)*(PayEarnValues)),SUMPRODUCT((PayEmp=$C56)*(PayDate&lt;=$AC56)*(PayEarnCode=O$2)*(PayEarnValues)))*IF(COUNTIFS(EmpNo,$C56,OFFSET(Emp!$R$4,1,MATCH(O$5,DedListItem,0)-1,EmpCount,1),"&lt;&gt;")&gt;0,VLOOKUP($C56,EmpAll,COLUMN(Emp!$R$4)+MATCH(O$5,DedListItem,0)-1,0),OFFSET(Setup!$E$73,MATCH(O$5,DedListItem,0),0,1,1)),(MIN(IF(OFFSET(Setup!$G$73,MATCH(O$5,DedListItem,0),0,1,1)="Taxable",SUMPRODUCT((PayEmp=$C56)*(PayDate&lt;=$AC56)*(ISERROR(SEARCH(PayEarnCode,O$4)))*(PayEarnTax)*(PayEarnValues)),SUMPRODUCT((PayEmp=$C56)*(PayDate&lt;=$AC56)*(ISERROR(SEARCH(PayEarnCode,O$4)))*(PayEarnValues))),IF(ISNUMBER(O$3),O$3/12*$AA56,IgnoreMin)))*IF(COUNTIFS(EmpNo,$C56,OFFSET(Emp!$R$4,1,MATCH(O$5,DedListItem,0)-1,EmpCount,1),"&lt;&gt;")&gt;0,VLOOKUP($C56,EmpAll,COLUMN(Emp!$R$4)+MATCH(O$5,DedListItem,0)-1,0),OFFSET(Setup!$E$73,MATCH(O$5,DedListItem,0),0,1,1)))-SUMIFS(OFFSET(O$6,1,0,PayCount,1),PayDate,"&lt;"&amp;$AC56,PayEmp,$C56))))))</f>
        <v>0</v>
      </c>
      <c r="P56" s="133" cm="1">
        <f t="array" aca="1" ref="P56" ca="1">IF($F56="Terminated",0,IF($AA56=0,0,IF(ISNA(MATCH(P$5,DedListItem,0)),0,IF(COUNTIFS(OverEmp,$C56,OverDeduct,P$5,OverDate,"&lt;"&amp;DATE(YEAR($AC56),MONTH($AC56)+1,1),OverEnd,"&gt;="&amp;DATE(YEAR($AC56),MONTH($AC56),1))&gt;0,SUMIFS(OverValue,OverEmp,$C56,OverDeduct,P$5,OverDate,"&lt;"&amp;DATE(YEAR($AC56),MONTH($AC56)+1,1),OverEnd,"&gt;="&amp;DATE(YEAR($AC56),MONTH($AC56),1)),IF(OR(P$2="Fixed",P$2="Not Used"),(IF(COUNTIFS(EmpNo,$C56,OFFSET(Emp!$R$4,1,MATCH(P$5,DedListItem,0)-1,EmpCount,1),"&lt;&gt;")&gt;0,VLOOKUP($C56,EmpAll,COLUMN(Emp!$R$4)+MATCH(P$5,DedListItem,0)-1,0),OFFSET(Setup!$E$73,MATCH(P$5,DedListItem,0),0,1,1))*$AA56)-SUMIFS(OFFSET(P$6,1,0,PayCount,1),PayDate,"&lt;"&amp;$AC56,PayEmp,$C56),IF(ISNA(MATCH(P$2,EarnListItem,0))=FALSE,IF(OFFSET(Setup!$G$73,MATCH(P$5,DedListItem,0),0,1,1)="Taxable",SUMPRODUCT((PayEmp=$C56)*(PayDate&lt;=$AC56)*(PayEarnCode=P$2)*(PayEarnTax)*(PayEarnValues)),SUMPRODUCT((PayEmp=$C56)*(PayDate&lt;=$AC56)*(PayEarnCode=P$2)*(PayEarnValues)))*IF(COUNTIFS(EmpNo,$C56,OFFSET(Emp!$R$4,1,MATCH(P$5,DedListItem,0)-1,EmpCount,1),"&lt;&gt;")&gt;0,VLOOKUP($C56,EmpAll,COLUMN(Emp!$R$4)+MATCH(P$5,DedListItem,0)-1,0),OFFSET(Setup!$E$73,MATCH(P$5,DedListItem,0),0,1,1)),(MIN(IF(OFFSET(Setup!$G$73,MATCH(P$5,DedListItem,0),0,1,1)="Taxable",SUMPRODUCT((PayEmp=$C56)*(PayDate&lt;=$AC56)*(ISERROR(SEARCH(PayEarnCode,P$4)))*(PayEarnTax)*(PayEarnValues)),SUMPRODUCT((PayEmp=$C56)*(PayDate&lt;=$AC56)*(ISERROR(SEARCH(PayEarnCode,P$4)))*(PayEarnValues))),IF(ISNUMBER(P$3),P$3/12*$AA56,IgnoreMin)))*IF(COUNTIFS(EmpNo,$C56,OFFSET(Emp!$R$4,1,MATCH(P$5,DedListItem,0)-1,EmpCount,1),"&lt;&gt;")&gt;0,VLOOKUP($C56,EmpAll,COLUMN(Emp!$R$4)+MATCH(P$5,DedListItem,0)-1,0),OFFSET(Setup!$E$73,MATCH(P$5,DedListItem,0),0,1,1)))-SUMIFS(OFFSET(P$6,1,0,PayCount,1),PayDate,"&lt;"&amp;$AC56,PayEmp,$C56))))))</f>
        <v>0</v>
      </c>
      <c r="Q56" s="133" cm="1">
        <f t="array" aca="1" ref="Q56" ca="1">IF($F56="Terminated",0,IF($AA56=0,0,IF(ISNA(MATCH(Q$5,DedListItem,0)),0,IF(COUNTIFS(OverEmp,$C56,OverDeduct,Q$5,OverDate,"&lt;"&amp;DATE(YEAR($AC56),MONTH($AC56)+1,1),OverEnd,"&gt;="&amp;DATE(YEAR($AC56),MONTH($AC56),1))&gt;0,SUMIFS(OverValue,OverEmp,$C56,OverDeduct,Q$5,OverDate,"&lt;"&amp;DATE(YEAR($AC56),MONTH($AC56)+1,1),OverEnd,"&gt;="&amp;DATE(YEAR($AC56),MONTH($AC56),1)),IF(OR(Q$2="Fixed",Q$2="Not Used"),(IF(COUNTIFS(EmpNo,$C56,OFFSET(Emp!$R$4,1,MATCH(Q$5,DedListItem,0)-1,EmpCount,1),"&lt;&gt;")&gt;0,VLOOKUP($C56,EmpAll,COLUMN(Emp!$R$4)+MATCH(Q$5,DedListItem,0)-1,0),OFFSET(Setup!$E$73,MATCH(Q$5,DedListItem,0),0,1,1))*$AA56)-SUMIFS(OFFSET(Q$6,1,0,PayCount,1),PayDate,"&lt;"&amp;$AC56,PayEmp,$C56),IF(ISNA(MATCH(Q$2,EarnListItem,0))=FALSE,IF(OFFSET(Setup!$G$73,MATCH(Q$5,DedListItem,0),0,1,1)="Taxable",SUMPRODUCT((PayEmp=$C56)*(PayDate&lt;=$AC56)*(PayEarnCode=Q$2)*(PayEarnTax)*(PayEarnValues)),SUMPRODUCT((PayEmp=$C56)*(PayDate&lt;=$AC56)*(PayEarnCode=Q$2)*(PayEarnValues)))*IF(COUNTIFS(EmpNo,$C56,OFFSET(Emp!$R$4,1,MATCH(Q$5,DedListItem,0)-1,EmpCount,1),"&lt;&gt;")&gt;0,VLOOKUP($C56,EmpAll,COLUMN(Emp!$R$4)+MATCH(Q$5,DedListItem,0)-1,0),OFFSET(Setup!$E$73,MATCH(Q$5,DedListItem,0),0,1,1)),(MIN(IF(OFFSET(Setup!$G$73,MATCH(Q$5,DedListItem,0),0,1,1)="Taxable",SUMPRODUCT((PayEmp=$C56)*(PayDate&lt;=$AC56)*(ISERROR(SEARCH(PayEarnCode,Q$4)))*(PayEarnTax)*(PayEarnValues)),SUMPRODUCT((PayEmp=$C56)*(PayDate&lt;=$AC56)*(ISERROR(SEARCH(PayEarnCode,Q$4)))*(PayEarnValues))),IF(ISNUMBER(Q$3),Q$3/12*$AA56,IgnoreMin)))*IF(COUNTIFS(EmpNo,$C56,OFFSET(Emp!$R$4,1,MATCH(Q$5,DedListItem,0)-1,EmpCount,1),"&lt;&gt;")&gt;0,VLOOKUP($C56,EmpAll,COLUMN(Emp!$R$4)+MATCH(Q$5,DedListItem,0)-1,0),OFFSET(Setup!$E$73,MATCH(Q$5,DedListItem,0),0,1,1)))-SUMIFS(OFFSET(Q$6,1,0,PayCount,1),PayDate,"&lt;"&amp;$AC56,PayEmp,$C56))))))</f>
        <v>0</v>
      </c>
      <c r="R56" s="185">
        <f t="shared" ca="1" si="25"/>
        <v>100</v>
      </c>
      <c r="S56" s="139">
        <f t="shared" ca="1" si="26"/>
        <v>9900</v>
      </c>
      <c r="T56" s="133" cm="1">
        <f t="array" aca="1" ref="T56" ca="1">IF($F56="Terminated",0,IF($AA56=0,0,IF(ISNA(MATCH(T$5,CompListItem,0)),0,IF(COUNTIFS(OverEmp,$C56,OverComp,T$5,OverDate,"&lt;"&amp;DATE(YEAR($AC56),MONTH($AC56)+1,1),OverEnd,"&gt;="&amp;DATE(YEAR($AC56),MONTH($AC56),1))&gt;0,SUMIFS(OverValue,OverEmp,$C56,OverComp,T$5,OverDate,"&lt;"&amp;DATE(YEAR($AC56),MONTH($AC56)+1,1),OverEnd,"&gt;="&amp;DATE(YEAR($AC56),MONTH($AC56),1)),IF(OR(T$2="Fixed",T$2="Not Used"),(OFFSET(Setup!$E$81,MATCH(T$5,CompListItem,0),0,1,1)*$AA56)-SUMIFS(OFFSET(T$6,1,0,PayCount,1),PayDate,"&lt;"&amp;$AC56,PayEmp,$C56),IF(ISNA(MATCH(T$2,DedListItem,0))=FALSE,(SUMPRODUCT((PayEmp=$C56)*(PayDate&lt;=$AC56)*(PayDedList=T$2)*(PayDedValues))*OFFSET(Setup!$E$81,MATCH(T$5,CompListItem,0),0,1,1))-SUMIFS(OFFSET(T$6,1,0,PayCount,1),PayDate,"&lt;"&amp;$AC56,PayEmp,$C56),(MIN(IF(OFFSET(Setup!$G$81,MATCH(T$5,CompListItem,0),0,1,1)="Taxable",SUMPRODUCT((PayEmp=$C56)*(PayDate&lt;=$AC56)*(ISERROR(SEARCH(PayEarnCode,T$4)))*(PayEarnTax)*(PayEarnValues)),SUMPRODUCT((PayEmp=$C56)*(PayDate&lt;=$AC56)*(ISERROR(SEARCH(PayEarnCode,T$4)))*(PayEarnValues))),IF(ISNUMBER(T$3),T$3/12*$AA56,IgnoreMin)))*OFFSET(Setup!$E$81,MATCH(T$5,CompListItem,0),0,1,1)-SUMIFS(OFFSET(T$6,1,0,PayCount,1),PayDate,"&lt;"&amp;$AC56,PayEmp,$C56)))))))</f>
        <v>100</v>
      </c>
      <c r="U56" s="133" cm="1">
        <f t="array" aca="1" ref="U56" ca="1">IF($F56="Terminated",0,IF($AA56=0,0,IF(ISNA(MATCH(U$5,CompListItem,0)),0,IF(COUNTIFS(OverEmp,$C56,OverComp,U$5,OverDate,"&lt;"&amp;DATE(YEAR($AC56),MONTH($AC56)+1,1),OverEnd,"&gt;="&amp;DATE(YEAR($AC56),MONTH($AC56),1))&gt;0,SUMIFS(OverValue,OverEmp,$C56,OverComp,U$5,OverDate,"&lt;"&amp;DATE(YEAR($AC56),MONTH($AC56)+1,1),OverEnd,"&gt;="&amp;DATE(YEAR($AC56),MONTH($AC56),1)),IF(OR(U$2="Fixed",U$2="Not Used"),(OFFSET(Setup!$E$81,MATCH(U$5,CompListItem,0),0,1,1)*$AA56)-SUMIFS(OFFSET(U$6,1,0,PayCount,1),PayDate,"&lt;"&amp;$AC56,PayEmp,$C56),IF(ISNA(MATCH(U$2,DedListItem,0))=FALSE,(SUMPRODUCT((PayEmp=$C56)*(PayDate&lt;=$AC56)*(PayDedList=U$2)*(PayDedValues))*OFFSET(Setup!$E$81,MATCH(U$5,CompListItem,0),0,1,1))-SUMIFS(OFFSET(U$6,1,0,PayCount,1),PayDate,"&lt;"&amp;$AC56,PayEmp,$C56),(MIN(IF(OFFSET(Setup!$G$81,MATCH(U$5,CompListItem,0),0,1,1)="Taxable",SUMPRODUCT((PayEmp=$C56)*(PayDate&lt;=$AC56)*(ISERROR(SEARCH(PayEarnCode,U$4)))*(PayEarnTax)*(PayEarnValues)),SUMPRODUCT((PayEmp=$C56)*(PayDate&lt;=$AC56)*(ISERROR(SEARCH(PayEarnCode,U$4)))*(PayEarnValues))),IF(ISNUMBER(U$3),U$3/12*$AA56,IgnoreMin)))*OFFSET(Setup!$E$81,MATCH(U$5,CompListItem,0),0,1,1)-SUMIFS(OFFSET(U$6,1,0,PayCount,1),PayDate,"&lt;"&amp;$AC56,PayEmp,$C56)))))))</f>
        <v>100</v>
      </c>
      <c r="V56" s="133" cm="1">
        <f t="array" aca="1" ref="V56" ca="1">IF($F56="Terminated",0,IF($AA56=0,0,IF(ISNA(MATCH(V$5,CompListItem,0)),0,IF(COUNTIFS(OverEmp,$C56,OverComp,V$5,OverDate,"&lt;"&amp;DATE(YEAR($AC56),MONTH($AC56)+1,1),OverEnd,"&gt;="&amp;DATE(YEAR($AC56),MONTH($AC56),1))&gt;0,SUMIFS(OverValue,OverEmp,$C56,OverComp,V$5,OverDate,"&lt;"&amp;DATE(YEAR($AC56),MONTH($AC56)+1,1),OverEnd,"&gt;="&amp;DATE(YEAR($AC56),MONTH($AC56),1)),IF(OR(V$2="Fixed",V$2="Not Used"),(OFFSET(Setup!$E$81,MATCH(V$5,CompListItem,0),0,1,1)*$AA56)-SUMIFS(OFFSET(V$6,1,0,PayCount,1),PayDate,"&lt;"&amp;$AC56,PayEmp,$C56),IF(ISNA(MATCH(V$2,DedListItem,0))=FALSE,(SUMPRODUCT((PayEmp=$C56)*(PayDate&lt;=$AC56)*(PayDedList=V$2)*(PayDedValues))*OFFSET(Setup!$E$81,MATCH(V$5,CompListItem,0),0,1,1))-SUMIFS(OFFSET(V$6,1,0,PayCount,1),PayDate,"&lt;"&amp;$AC56,PayEmp,$C56),(MIN(IF(OFFSET(Setup!$G$81,MATCH(V$5,CompListItem,0),0,1,1)="Taxable",SUMPRODUCT((PayEmp=$C56)*(PayDate&lt;=$AC56)*(ISERROR(SEARCH(PayEarnCode,V$4)))*(PayEarnTax)*(PayEarnValues)),SUMPRODUCT((PayEmp=$C56)*(PayDate&lt;=$AC56)*(ISERROR(SEARCH(PayEarnCode,V$4)))*(PayEarnValues))),IF(ISNUMBER(V$3),V$3/12*$AA56,IgnoreMin)))*OFFSET(Setup!$E$81,MATCH(V$5,CompListItem,0),0,1,1)-SUMIFS(OFFSET(V$6,1,0,PayCount,1),PayDate,"&lt;"&amp;$AC56,PayEmp,$C56)))))))</f>
        <v>0</v>
      </c>
      <c r="W56" s="133" cm="1">
        <f t="array" aca="1" ref="W56" ca="1">IF($F56="Terminated",0,IF($AA56=0,0,IF(ISNA(MATCH(W$5,CompListItem,0)),0,IF(COUNTIFS(OverEmp,$C56,OverComp,W$5,OverDate,"&lt;"&amp;DATE(YEAR($AC56),MONTH($AC56)+1,1),OverEnd,"&gt;="&amp;DATE(YEAR($AC56),MONTH($AC56),1))&gt;0,SUMIFS(OverValue,OverEmp,$C56,OverComp,W$5,OverDate,"&lt;"&amp;DATE(YEAR($AC56),MONTH($AC56)+1,1),OverEnd,"&gt;="&amp;DATE(YEAR($AC56),MONTH($AC56),1)),IF(OR(W$2="Fixed",W$2="Not Used"),(OFFSET(Setup!$E$81,MATCH(W$5,CompListItem,0),0,1,1)*$AA56)-SUMIFS(OFFSET(W$6,1,0,PayCount,1),PayDate,"&lt;"&amp;$AC56,PayEmp,$C56),IF(ISNA(MATCH(W$2,DedListItem,0))=FALSE,(SUMPRODUCT((PayEmp=$C56)*(PayDate&lt;=$AC56)*(PayDedList=W$2)*(PayDedValues))*OFFSET(Setup!$E$81,MATCH(W$5,CompListItem,0),0,1,1))-SUMIFS(OFFSET(W$6,1,0,PayCount,1),PayDate,"&lt;"&amp;$AC56,PayEmp,$C56),(MIN(IF(OFFSET(Setup!$G$81,MATCH(W$5,CompListItem,0),0,1,1)="Taxable",SUMPRODUCT((PayEmp=$C56)*(PayDate&lt;=$AC56)*(ISERROR(SEARCH(PayEarnCode,W$4)))*(PayEarnTax)*(PayEarnValues)),SUMPRODUCT((PayEmp=$C56)*(PayDate&lt;=$AC56)*(ISERROR(SEARCH(PayEarnCode,W$4)))*(PayEarnValues))),IF(ISNUMBER(W$3),W$3/12*$AA56,IgnoreMin)))*OFFSET(Setup!$E$81,MATCH(W$5,CompListItem,0),0,1,1)-SUMIFS(OFFSET(W$6,1,0,PayCount,1),PayDate,"&lt;"&amp;$AC56,PayEmp,$C56)))))))</f>
        <v>0</v>
      </c>
      <c r="X56" s="185">
        <f t="shared" ca="1" si="18"/>
        <v>200</v>
      </c>
      <c r="Y56" s="139">
        <f t="shared" ca="1" si="27"/>
        <v>10200</v>
      </c>
      <c r="Z56" s="139">
        <f t="shared" ca="1" si="19"/>
        <v>300</v>
      </c>
      <c r="AA56" s="146">
        <f ca="1">IF(OR($B56&lt;=Setup!$E$12,$B56&gt;=Setup!$D$12+1),0,IF($F56&lt;&gt;"Active",0,IF($AE56="Yes",$AB56,((YEAR($AC56)*12)+MONTH($AC56))-((YEAR($AD56)*12)+MONTH($AD56)-1))))</f>
        <v>4</v>
      </c>
      <c r="AB56" s="146">
        <f ca="1">IF(OR($B56&lt;=Setup!$E$12,$B56&gt;=Setup!$D$12+1),0,((YEAR($AC56)*12)+MONTH($AC56))-((YEAR(Setup!$E$12)*12)+MONTH(Setup!$E$12)))</f>
        <v>4</v>
      </c>
      <c r="AC56" s="186">
        <f t="shared" ca="1" si="20"/>
        <v>45102</v>
      </c>
      <c r="AD56" s="144">
        <f ca="1">IF(ISNA(VLOOKUP($C56,EmpAll,COLUMN(Emp!$E$4),0)),$AC56,IF(VLOOKUP($C56,EmpAll,COLUMN(Emp!$E$4),0)&lt;=Setup!$E$12,DATE(YEAR(Setup!$E$12),MONTH(Setup!$E$12)+1,1),VLOOKUP($C56,EmpAll,COLUMN(Emp!$E$4),0)))</f>
        <v>44986</v>
      </c>
      <c r="AE56" s="144" t="str">
        <f ca="1">IF(ISNA(VLOOKUP($C56,EmpAll,COLUMN(Emp!$G$1),0)),"-",IF(VLOOKUP($C56,EmpAll,COLUMN(Emp!$G$1),0)=0,"-",VLOOKUP($C56,EmpAll,COLUMN(Emp!$G$1),0)))</f>
        <v>-</v>
      </c>
      <c r="AF56" s="145">
        <f ca="1">IF(A56=PaySlip!$G$3,1,0)</f>
        <v>0</v>
      </c>
      <c r="AG56" s="130" cm="1">
        <f t="array" aca="1" ref="AG56" ca="1">IF(COUNTIFS(OverEmp,$C56,OverMed,"MED",OverDate,"&lt;"&amp;DATE(YEAR($AC56),MONTH($AC56)+1,1),OverEnd,"&gt;="&amp;DATE(YEAR($AC56),MONTH($AC56),1))&gt;0,SUMIFS(OverValue,OverEmp,$C56,OverMed,"MED",OverDate,"&lt;"&amp;DATE(YEAR($AC56),MONTH($AC56)+1,1),OverEnd,"&gt;="&amp;DATE(YEAR($AC56),MONTH($AC56),1)),IF(ISNA(VLOOKUP($C56,EmpAll,COLUMN(Emp!$N$4),0)),0,VLOOKUP($C56,EmpAll,COLUMN(Emp!$N$4),0)))</f>
        <v>1</v>
      </c>
      <c r="AH56" s="146">
        <f ca="1">VLOOKUP($AG56,MedList,COLUMN(Setup!$C$49),1)</f>
        <v>364</v>
      </c>
      <c r="AI56" s="146">
        <f t="shared" ca="1" si="7"/>
        <v>4368</v>
      </c>
      <c r="AJ56" s="101" t="str">
        <f ca="1">IF(ISNA(VLOOKUP($C56,EmpAll,COLUMN(Emp!$L$4),0)),"None!",VLOOKUP($C56,EmpAll,COLUMN(Emp!$L$4),0))</f>
        <v>A</v>
      </c>
      <c r="AK56" s="147">
        <f t="shared" ca="1" si="21"/>
        <v>17235</v>
      </c>
      <c r="AL56" s="101" t="str">
        <f ca="1">IF(ISNA(VLOOKUP($C56,Employees[],COLUMN(Emp!$M$4),0))=TRUE,"Error!",IF(VLOOKUP($C56,Employees[],COLUMN(Emp!$M$4),0)=0,"Yes",VLOOKUP($C56,Employees[],COLUMN(Emp!$M$4),0)))</f>
        <v>A</v>
      </c>
      <c r="AM56" s="148">
        <f t="shared" ca="1" si="9"/>
        <v>120000</v>
      </c>
      <c r="AN56" s="148" cm="1">
        <f t="array" aca="1" ref="AN56" ca="1">-IF($F56="Terminated",0,IF($AA56=0,0,IF(ISNA(MATCH(AN$5,PayDedList,0)),0,MIN(IF(COUNTIFS(OverEmp,$C56,OverDeduct,AN$5,OverDate,"&lt;"&amp;DATE(YEAR($AC56),MONTH($AC56)+1,1),OverEnd,"&gt;="&amp;DATE(YEAR($AC56),MONTH($AC56),1))&gt;0,SUMPRODUCT((PayEmp=$C56)*(PayDate&lt;=$AC56)*(OFFSET($N$6,1,MATCH(AN$5,PayDedList,0)-1,PayCount,1)))/$AA56*12*AN$3,IF(OR(AN$1="Fixed",AN$1="Not Used"),SUMPRODUCT((PayEmp=$C56)*(PayDate&lt;=$AC56)*(OFFSET($N$6,1,MATCH(AN$5,PayDedList,0)-1,PayCount,1)))/$AA56*12*AN$3,IF(ISNA(MATCH(AN$1,EarnListItem,0))=FALSE,SUMPRODUCT((PayEmp=$C56)*(PayDate&lt;=$AC56)*(OFFSET($N$6,1,MATCH(AN$5,PayDedList,0)-1,PayCount,1)))/$AA56*12*AN$3,(MIN(((SUMPRODUCT((PayEmp=$C56)*(PayDate&lt;=$AC56)*(ISERROR(SEARCH(PayEarnCode,AN$2)))*(PayEarnType="Monthly")*(PayEarnValues))/$AA56*12)+(SUMPRODUCT((PayEmp=$C56)*(PayDate&lt;=$AC56)*(ISERROR(SEARCH(PayEarnCode,AN$2)))*(PayEarnType="Quarterly")*(PayEarnValues))/MAX(1,ROUNDDOWN($AB56/3,0))*4)+(SUMPRODUCT((PayEmp=$C56)*(PayDate&lt;=$AC56)*(ISERROR(SEARCH(PayEarnCode,AN$2)))*(PayEarnType="Bi-Annual")*(PayEarnValues))/MAX(1,ROUNDDOWN($AB56/6,0))*2)+(SUMPRODUCT((PayEmp=$C56)*(PayDate&lt;=$AC56)*(ISERROR(SEARCH(PayEarnCode,AN$2)))*(PayEarnType="Annual")*(PayEarnValues)))),IF(ISNUMBER(OFFSET($N$3,0,MATCH(AN$5,PayDedList,0)-1,1,1)),OFFSET($N$3,0,MATCH(AN$5,PayDedList,0)-1,1,1),IgnoreMin)))*IF(COUNTIFS(EmpNo,$C56,OFFSET(Emp!$R$4,1,MATCH(AN$5,DedListItem,0)-1,EmpCount,1),"&lt;&gt;")&gt;0,VLOOKUP($C56,EmpAll,COLUMN(Emp!$R$4)+MATCH(AN$5,DedListItem,0)-1,0),OFFSET(Setup!$E$73,MATCH(AN$5,DedListItem,0),0,1,1))*AN$3))),IF(ISNUMBER(AN$4),AN$4,IgnoreMin)))))</f>
        <v>0</v>
      </c>
      <c r="AO56" s="148" cm="1">
        <f t="array" aca="1" ref="AO56" ca="1">-IF($F56="Terminated",0,IF($AA56=0,0,IF(ISNA(MATCH(AO$5,PayDedList,0)),0,MIN(IF(COUNTIFS(OverEmp,$C56,OverDeduct,AO$5,OverDate,"&lt;"&amp;DATE(YEAR($AC56),MONTH($AC56)+1,1),OverEnd,"&gt;="&amp;DATE(YEAR($AC56),MONTH($AC56),1))&gt;0,SUMPRODUCT((PayEmp=$C56)*(PayDate&lt;=$AC56)*(OFFSET($N$6,1,MATCH(AO$5,PayDedList,0)-1,PayCount,1)))/$AA56*12*AO$3,IF(OR(AO$1="Fixed",AO$1="Not Used"),SUMPRODUCT((PayEmp=$C56)*(PayDate&lt;=$AC56)*(OFFSET($N$6,1,MATCH(AO$5,PayDedList,0)-1,PayCount,1)))/$AA56*12*AO$3,IF(ISNA(MATCH(AO$1,EarnListItem,0))=FALSE,SUMPRODUCT((PayEmp=$C56)*(PayDate&lt;=$AC56)*(OFFSET($N$6,1,MATCH(AO$5,PayDedList,0)-1,PayCount,1)))/$AA56*12*AO$3,(MIN(((SUMPRODUCT((PayEmp=$C56)*(PayDate&lt;=$AC56)*(ISERROR(SEARCH(PayEarnCode,AO$2)))*(PayEarnType="Monthly")*(PayEarnValues))/$AA56*12)+(SUMPRODUCT((PayEmp=$C56)*(PayDate&lt;=$AC56)*(ISERROR(SEARCH(PayEarnCode,AO$2)))*(PayEarnType="Quarterly")*(PayEarnValues))/MAX(1,ROUNDDOWN($AB56/3,0))*4)+(SUMPRODUCT((PayEmp=$C56)*(PayDate&lt;=$AC56)*(ISERROR(SEARCH(PayEarnCode,AO$2)))*(PayEarnType="Bi-Annual")*(PayEarnValues))/MAX(1,ROUNDDOWN($AB56/6,0))*2)+(SUMPRODUCT((PayEmp=$C56)*(PayDate&lt;=$AC56)*(ISERROR(SEARCH(PayEarnCode,AO$2)))*(PayEarnType="Annual")*(PayEarnValues)))),IF(ISNUMBER(OFFSET($N$3,0,MATCH(AO$5,PayDedList,0)-1,1,1)),OFFSET($N$3,0,MATCH(AO$5,PayDedList,0)-1,1,1),IgnoreMin)))*IF(COUNTIFS(EmpNo,$C56,OFFSET(Emp!$R$4,1,MATCH(AO$5,DedListItem,0)-1,EmpCount,1),"&lt;&gt;")&gt;0,VLOOKUP($C56,EmpAll,COLUMN(Emp!$R$4)+MATCH(AO$5,DedListItem,0)-1,0),OFFSET(Setup!$E$73,MATCH(AO$5,DedListItem,0),0,1,1))*AO$3))),IF(ISNUMBER(AO$4),AO$4,IgnoreMin)))))</f>
        <v>0</v>
      </c>
      <c r="AP56" s="148" cm="1">
        <f t="array" aca="1" ref="AP56" ca="1">-IF($F56="Terminated",0,IF($AA56=0,0,IF(ISNA(MATCH(AP$5,PayDedList,0)),0,MIN(IF(COUNTIFS(OverEmp,$C56,OverDeduct,AP$5,OverDate,"&lt;"&amp;DATE(YEAR($AC56),MONTH($AC56)+1,1),OverEnd,"&gt;="&amp;DATE(YEAR($AC56),MONTH($AC56),1))&gt;0,SUMPRODUCT((PayEmp=$C56)*(PayDate&lt;=$AC56)*(OFFSET($N$6,1,MATCH(AP$5,PayDedList,0)-1,PayCount,1)))/$AA56*12*AP$3,IF(OR(AP$1="Fixed",AP$1="Not Used"),SUMPRODUCT((PayEmp=$C56)*(PayDate&lt;=$AC56)*(OFFSET($N$6,1,MATCH(AP$5,PayDedList,0)-1,PayCount,1)))/$AA56*12*AP$3,IF(ISNA(MATCH(AP$1,EarnListItem,0))=FALSE,SUMPRODUCT((PayEmp=$C56)*(PayDate&lt;=$AC56)*(OFFSET($N$6,1,MATCH(AP$5,PayDedList,0)-1,PayCount,1)))/$AA56*12*AP$3,(MIN(((SUMPRODUCT((PayEmp=$C56)*(PayDate&lt;=$AC56)*(ISERROR(SEARCH(PayEarnCode,AP$2)))*(PayEarnType="Monthly")*(PayEarnValues))/$AA56*12)+(SUMPRODUCT((PayEmp=$C56)*(PayDate&lt;=$AC56)*(ISERROR(SEARCH(PayEarnCode,AP$2)))*(PayEarnType="Quarterly")*(PayEarnValues))/MAX(1,ROUNDDOWN($AB56/3,0))*4)+(SUMPRODUCT((PayEmp=$C56)*(PayDate&lt;=$AC56)*(ISERROR(SEARCH(PayEarnCode,AP$2)))*(PayEarnType="Bi-Annual")*(PayEarnValues))/MAX(1,ROUNDDOWN($AB56/6,0))*2)+(SUMPRODUCT((PayEmp=$C56)*(PayDate&lt;=$AC56)*(ISERROR(SEARCH(PayEarnCode,AP$2)))*(PayEarnType="Annual")*(PayEarnValues)))),IF(ISNUMBER(OFFSET($N$3,0,MATCH(AP$5,PayDedList,0)-1,1,1)),OFFSET($N$3,0,MATCH(AP$5,PayDedList,0)-1,1,1),IgnoreMin)))*IF(COUNTIFS(EmpNo,$C56,OFFSET(Emp!$R$4,1,MATCH(AP$5,DedListItem,0)-1,EmpCount,1),"&lt;&gt;")&gt;0,VLOOKUP($C56,EmpAll,COLUMN(Emp!$R$4)+MATCH(AP$5,DedListItem,0)-1,0),OFFSET(Setup!$E$73,MATCH(AP$5,DedListItem,0),0,1,1))*AP$3))),IF(ISNUMBER(AP$4),AP$4,IgnoreMin)))))</f>
        <v>0</v>
      </c>
      <c r="AQ56" s="148" cm="1">
        <f t="array" aca="1" ref="AQ56" ca="1">-IF($F56="Terminated",0,IF($AA56=0,0,IF(ISNA(MATCH(AQ$5,PayDedList,0)),0,MIN(IF(COUNTIFS(OverEmp,$C56,OverDeduct,AQ$5,OverDate,"&lt;"&amp;DATE(YEAR($AC56),MONTH($AC56)+1,1),OverEnd,"&gt;="&amp;DATE(YEAR($AC56),MONTH($AC56),1))&gt;0,SUMPRODUCT((PayEmp=$C56)*(PayDate&lt;=$AC56)*(OFFSET($N$6,1,MATCH(AQ$5,PayDedList,0)-1,PayCount,1)))/$AA56*12*AQ$3,IF(OR(AQ$1="Fixed",AQ$1="Not Used"),SUMPRODUCT((PayEmp=$C56)*(PayDate&lt;=$AC56)*(OFFSET($N$6,1,MATCH(AQ$5,PayDedList,0)-1,PayCount,1)))/$AA56*12*AQ$3,IF(ISNA(MATCH(AQ$1,EarnListItem,0))=FALSE,SUMPRODUCT((PayEmp=$C56)*(PayDate&lt;=$AC56)*(OFFSET($N$6,1,MATCH(AQ$5,PayDedList,0)-1,PayCount,1)))/$AA56*12*AQ$3,(MIN(((SUMPRODUCT((PayEmp=$C56)*(PayDate&lt;=$AC56)*(ISERROR(SEARCH(PayEarnCode,AQ$2)))*(PayEarnType="Monthly")*(PayEarnValues))/$AA56*12)+(SUMPRODUCT((PayEmp=$C56)*(PayDate&lt;=$AC56)*(ISERROR(SEARCH(PayEarnCode,AQ$2)))*(PayEarnType="Quarterly")*(PayEarnValues))/MAX(1,ROUNDDOWN($AB56/3,0))*4)+(SUMPRODUCT((PayEmp=$C56)*(PayDate&lt;=$AC56)*(ISERROR(SEARCH(PayEarnCode,AQ$2)))*(PayEarnType="Bi-Annual")*(PayEarnValues))/MAX(1,ROUNDDOWN($AB56/6,0))*2)+(SUMPRODUCT((PayEmp=$C56)*(PayDate&lt;=$AC56)*(ISERROR(SEARCH(PayEarnCode,AQ$2)))*(PayEarnType="Annual")*(PayEarnValues)))),IF(ISNUMBER(OFFSET($N$3,0,MATCH(AQ$5,PayDedList,0)-1,1,1)),OFFSET($N$3,0,MATCH(AQ$5,PayDedList,0)-1,1,1),IgnoreMin)))*IF(COUNTIFS(EmpNo,$C56,OFFSET(Emp!$R$4,1,MATCH(AQ$5,DedListItem,0)-1,EmpCount,1),"&lt;&gt;")&gt;0,VLOOKUP($C56,EmpAll,COLUMN(Emp!$R$4)+MATCH(AQ$5,DedListItem,0)-1,0),OFFSET(Setup!$E$73,MATCH(AQ$5,DedListItem,0),0,1,1))*AQ$3))),IF(ISNUMBER(AQ$4),AQ$4,IgnoreMin)))))</f>
        <v>0</v>
      </c>
      <c r="AR56" s="148">
        <f t="shared" ca="1" si="22"/>
        <v>120000</v>
      </c>
      <c r="AS56" s="148">
        <f t="shared" ca="1" si="11"/>
        <v>120000</v>
      </c>
      <c r="AT56" s="148" cm="1">
        <f t="array" aca="1" ref="AT56" ca="1">-IF($F56="Terminated",0,IF($AA56=0,0,IF(ISNA(MATCH(AT$5,PayDedList,0)),0,MIN(IF(COUNTIFS(OverEmp,$C56,OverDeduct,AT$5,OverDate,"&lt;"&amp;DATE(YEAR($AC56),MONTH($AC56)+1,1),OverEnd,"&gt;="&amp;DATE(YEAR($AC56),MONTH($AC56),1))&gt;0,SUMPRODUCT((PayEmp=$C56)*(PayDate&lt;=$AC56)*(OFFSET($N$6,1,MATCH(AT$5,PayDedList,0)-1,PayCount,1)))/$AA56*12*AT$3,IF(OR(AT$1="Fixed",AT$1="Not Used"),SUMPRODUCT((PayEmp=$C56)*(PayDate&lt;=$AC56)*(OFFSET($N$6,1,MATCH(AT$5,PayDedList,0)-1,PayCount,1)))/$AA56*12*AT$3,IF(ISNA(MATCH(OFFSET($N$2,0,MATCH(AT$5,PayDedList,0)-1,1,1),EarnListItem,0))=FALSE,SUMPRODUCT((PayEmp=$C56)*(PayDate&lt;=$AC56)*(OFFSET($N$6,1,MATCH(AT$5,PayDedList,0)-1,PayCount,1)))/$AA56*12*AT$3,(MIN(SUMPRODUCT((PayEmp=$C56)*(PayDate&lt;=$AC56)*(ISERROR(SEARCH(PayEarnCode,AT$2)))*(PayEarnType="Monthly")*(PayEarnValues))/$AA56*12,IF(ISNUMBER(OFFSET($N$3,0,MATCH(AT$5,PayDedList,0)-1,1,1)),OFFSET($N$3,0,MATCH(AT$5,PayDedList,0)-1,1,1),IgnoreMin)))*IF(COUNTIFS(EmpNo,$C56,OFFSET(Emp!$R$4,1,MATCH(AT$5,DedListItem,0)-1,EmpCount,1),"&lt;&gt;")&gt;0,VLOOKUP($C56,EmpAll,COLUMN(Emp!$R$4)+MATCH(AT$5,DedListItem,0)-1,0),OFFSET(Setup!$E$73,MATCH(AT$5,DedListItem,0),0,1,1))*AT$3))),IF(ISNUMBER(AT$4),AT$4,IgnoreMin)))))</f>
        <v>0</v>
      </c>
      <c r="AU56" s="148" cm="1">
        <f t="array" aca="1" ref="AU56" ca="1">-IF($F56="Terminated",0,IF($AA56=0,0,IF(ISNA(MATCH(AU$5,PayDedList,0)),0,MIN(IF(COUNTIFS(OverEmp,$C56,OverDeduct,AU$5,OverDate,"&lt;"&amp;DATE(YEAR($AC56),MONTH($AC56)+1,1),OverEnd,"&gt;="&amp;DATE(YEAR($AC56),MONTH($AC56),1))&gt;0,SUMPRODUCT((PayEmp=$C56)*(PayDate&lt;=$AC56)*(OFFSET($N$6,1,MATCH(AU$5,PayDedList,0)-1,PayCount,1)))/$AA56*12*AU$3,IF(OR(AU$1="Fixed",AU$1="Not Used"),SUMPRODUCT((PayEmp=$C56)*(PayDate&lt;=$AC56)*(OFFSET($N$6,1,MATCH(AU$5,PayDedList,0)-1,PayCount,1)))/$AA56*12*AU$3,IF(ISNA(MATCH(OFFSET($N$2,0,MATCH(AU$5,PayDedList,0)-1,1,1),EarnListItem,0))=FALSE,SUMPRODUCT((PayEmp=$C56)*(PayDate&lt;=$AC56)*(OFFSET($N$6,1,MATCH(AU$5,PayDedList,0)-1,PayCount,1)))/$AA56*12*AU$3,(MIN(SUMPRODUCT((PayEmp=$C56)*(PayDate&lt;=$AC56)*(ISERROR(SEARCH(PayEarnCode,AU$2)))*(PayEarnType="Monthly")*(PayEarnValues))/$AA56*12,IF(ISNUMBER(OFFSET($N$3,0,MATCH(AU$5,PayDedList,0)-1,1,1)),OFFSET($N$3,0,MATCH(AU$5,PayDedList,0)-1,1,1),IgnoreMin)))*IF(COUNTIFS(EmpNo,$C56,OFFSET(Emp!$R$4,1,MATCH(AU$5,DedListItem,0)-1,EmpCount,1),"&lt;&gt;")&gt;0,VLOOKUP($C56,EmpAll,COLUMN(Emp!$R$4)+MATCH(AU$5,DedListItem,0)-1,0),OFFSET(Setup!$E$73,MATCH(AU$5,DedListItem,0),0,1,1))*AU$3))),IF(ISNUMBER(AU$4),AU$4,IgnoreMin)))))</f>
        <v>0</v>
      </c>
      <c r="AV56" s="148" cm="1">
        <f t="array" aca="1" ref="AV56" ca="1">-IF($F56="Terminated",0,IF($AA56=0,0,IF(ISNA(MATCH(AV$5,PayDedList,0)),0,MIN(IF(COUNTIFS(OverEmp,$C56,OverDeduct,AV$5,OverDate,"&lt;"&amp;DATE(YEAR($AC56),MONTH($AC56)+1,1),OverEnd,"&gt;="&amp;DATE(YEAR($AC56),MONTH($AC56),1))&gt;0,SUMPRODUCT((PayEmp=$C56)*(PayDate&lt;=$AC56)*(OFFSET($N$6,1,MATCH(AV$5,PayDedList,0)-1,PayCount,1)))/$AA56*12*AV$3,IF(OR(AV$1="Fixed",AV$1="Not Used"),SUMPRODUCT((PayEmp=$C56)*(PayDate&lt;=$AC56)*(OFFSET($N$6,1,MATCH(AV$5,PayDedList,0)-1,PayCount,1)))/$AA56*12*AV$3,IF(ISNA(MATCH(OFFSET($N$2,0,MATCH(AV$5,PayDedList,0)-1,1,1),EarnListItem,0))=FALSE,SUMPRODUCT((PayEmp=$C56)*(PayDate&lt;=$AC56)*(OFFSET($N$6,1,MATCH(AV$5,PayDedList,0)-1,PayCount,1)))/$AA56*12*AV$3,(MIN(SUMPRODUCT((PayEmp=$C56)*(PayDate&lt;=$AC56)*(ISERROR(SEARCH(PayEarnCode,AV$2)))*(PayEarnType="Monthly")*(PayEarnValues))/$AA56*12,IF(ISNUMBER(OFFSET($N$3,0,MATCH(AV$5,PayDedList,0)-1,1,1)),OFFSET($N$3,0,MATCH(AV$5,PayDedList,0)-1,1,1),IgnoreMin)))*IF(COUNTIFS(EmpNo,$C56,OFFSET(Emp!$R$4,1,MATCH(AV$5,DedListItem,0)-1,EmpCount,1),"&lt;&gt;")&gt;0,VLOOKUP($C56,EmpAll,COLUMN(Emp!$R$4)+MATCH(AV$5,DedListItem,0)-1,0),OFFSET(Setup!$E$73,MATCH(AV$5,DedListItem,0),0,1,1))*AV$3))),IF(ISNUMBER(AV$4),AV$4,IgnoreMin)))))</f>
        <v>0</v>
      </c>
      <c r="AW56" s="148" cm="1">
        <f t="array" aca="1" ref="AW56" ca="1">-IF($F56="Terminated",0,IF($AA56=0,0,IF(ISNA(MATCH(AW$5,PayDedList,0)),0,MIN(IF(COUNTIFS(OverEmp,$C56,OverDeduct,AW$5,OverDate,"&lt;"&amp;DATE(YEAR($AC56),MONTH($AC56)+1,1),OverEnd,"&gt;="&amp;DATE(YEAR($AC56),MONTH($AC56),1))&gt;0,SUMPRODUCT((PayEmp=$C56)*(PayDate&lt;=$AC56)*(OFFSET($N$6,1,MATCH(AW$5,PayDedList,0)-1,PayCount,1)))/$AA56*12*AW$3,IF(OR(AW$1="Fixed",AW$1="Not Used"),SUMPRODUCT((PayEmp=$C56)*(PayDate&lt;=$AC56)*(OFFSET($N$6,1,MATCH(AW$5,PayDedList,0)-1,PayCount,1)))/$AA56*12*AW$3,IF(ISNA(MATCH(OFFSET($N$2,0,MATCH(AW$5,PayDedList,0)-1,1,1),EarnListItem,0))=FALSE,SUMPRODUCT((PayEmp=$C56)*(PayDate&lt;=$AC56)*(OFFSET($N$6,1,MATCH(AW$5,PayDedList,0)-1,PayCount,1)))/$AA56*12*AW$3,(MIN(SUMPRODUCT((PayEmp=$C56)*(PayDate&lt;=$AC56)*(ISERROR(SEARCH(PayEarnCode,AW$2)))*(PayEarnType="Monthly")*(PayEarnValues))/$AA56*12,IF(ISNUMBER(OFFSET($N$3,0,MATCH(AW$5,PayDedList,0)-1,1,1)),OFFSET($N$3,0,MATCH(AW$5,PayDedList,0)-1,1,1),IgnoreMin)))*IF(COUNTIFS(EmpNo,$C56,OFFSET(Emp!$R$4,1,MATCH(AW$5,DedListItem,0)-1,EmpCount,1),"&lt;&gt;")&gt;0,VLOOKUP($C56,EmpAll,COLUMN(Emp!$R$4)+MATCH(AW$5,DedListItem,0)-1,0),OFFSET(Setup!$E$73,MATCH(AW$5,DedListItem,0),0,1,1))*AW$3))),IF(ISNUMBER(AW$4),AW$4,IgnoreMin)))))</f>
        <v>0</v>
      </c>
      <c r="AX56" s="148">
        <f t="shared" ca="1" si="28"/>
        <v>120000</v>
      </c>
      <c r="AY56" s="148">
        <f t="shared" ca="1" si="29"/>
        <v>0</v>
      </c>
      <c r="AZ56" s="148">
        <f ca="1">IF(ISNUMBER($AL56),($AR56*$AL56)-$AI56-$AK56,MAX(0,IF($AL56="B",IF($AR56&lt;Setup!$C$32,($AR56*Setup!$D$32)-$AI56-$AK56,(($AR56-VLOOKUP($AR56,TaxAll2,1,1))*OFFSET(Setup!$D$32,MATCH($AR56,TaxBracket2,1),0,1,1))+OFFSET(Setup!$E$31,MATCH($AR56,TaxBracket2,1),0,1,1)-$AI56-$AK56),IF($AR56&lt;Setup!$C$21,($AR56*Setup!$D$21)-$AI56-$AK56,(($AR56-VLOOKUP($AR56,TaxAll1,1,1))*OFFSET(Setup!$D$21,MATCH($AR56,TaxBracket1,1),0,1,1))+OFFSET(Setup!$E$20,MATCH($AR56,TaxBracket1,1),0,1,1)-$AI56-$AK56))))</f>
        <v>0</v>
      </c>
      <c r="BA56" s="148">
        <f ca="1">IF(ISNUMBER($AL56),($AX56*$AL56)-$AI56-$AK56,MAX(0,IF($AL56="B",IF($AX56&lt;Setup!$C$32,($AX56*Setup!$D$32)-$AI56-$AK56,(($AX56-VLOOKUP($AX56,TaxAll2,1,1))*OFFSET(Setup!$D$32,MATCH($AX56,TaxBracket2,1),0,1,1))+OFFSET(Setup!$E$31,MATCH($AX56,TaxBracket2,1),0,1,1)-$AI56-$AK56),IF($AX56&lt;Setup!$C$21,($AX56*Setup!$D$21)-$AI56-$AK56,(($AX56-VLOOKUP($AX56,TaxAll1,1,1))*OFFSET(Setup!$D$21,MATCH($AX56,TaxBracket1,1),0,1,1))+OFFSET(Setup!$E$20,MATCH($AX56,TaxBracket1,1),0,1,1)-$AI56-$AK56))))</f>
        <v>0</v>
      </c>
      <c r="BB56" s="148">
        <f t="shared" ca="1" si="23"/>
        <v>0</v>
      </c>
      <c r="BC56" s="150">
        <f t="shared" ca="1" si="15"/>
        <v>1</v>
      </c>
      <c r="BD56" s="150">
        <f t="shared" ca="1" si="16"/>
        <v>0</v>
      </c>
      <c r="BE56" s="148">
        <f t="shared" ca="1" si="17"/>
        <v>120000</v>
      </c>
    </row>
    <row r="57" spans="1:57" ht="16.149999999999999" customHeight="1" x14ac:dyDescent="0.25">
      <c r="A57" s="10" t="str" cm="1">
        <f t="array" aca="1" ref="A57" ca="1">IF(ROW($A57)-ROW($A$6)&gt;EmpCount*12,"-",TEXT($B57,"yyyy")&amp;TEXT($B57,"mm")&amp;"-"&amp;$C57)</f>
        <v>202306-EXS006</v>
      </c>
      <c r="B57" s="137" cm="1">
        <f t="array" aca="1" ref="B57" ca="1">IF(ROW($A57)-ROW($A$6)&gt;EmpCount*12,Setup!$D$12,DATE(YEAR(Setup!$F$12),MONTH(Setup!$F$12)+ROUNDDOWN((ROW($A57)-ROW($A$6)-1)/EmpCount,0),IF(Setup!$C$14&gt;DAY(DATE(YEAR(Setup!$F$12),MONTH(Setup!$F$12)+ROUNDDOWN((ROW($A57)-ROW($A$6)-1)/EmpCount,0)+1,0)),DAY(DATE(YEAR(Setup!$F$12),MONTH(Setup!$F$12)+ROUNDDOWN((ROW($A57)-ROW($A$6)-1)/EmpCount,0)+1,0)),Setup!$C$14)))</f>
        <v>45102</v>
      </c>
      <c r="C57" s="101" t="str" cm="1">
        <f t="array" aca="1" ref="C57" ca="1">IF(ROW($A57)-ROW($A$6)&gt;EmpCount*12,"-",OFFSET(Emp!$A$4,ROW($A57)-ROW($A$6)-IF(ROW($A57)-ROW($A$6)&gt;EmpCount,ROUNDDOWN((ROW($A57)-ROW($A$6)-1)/EmpCount,0)*EmpCount,0),0,1,1))</f>
        <v>EXS006</v>
      </c>
      <c r="D57" s="10" t="str">
        <f ca="1">IF(ISNA(VLOOKUP($C57,EmpAll,COLUMN(Emp!$B$4),0)),"-",VLOOKUP($C57,EmpAll,COLUMN(Emp!$B$4),0))</f>
        <v>Andrews MS</v>
      </c>
      <c r="E57" s="145" t="str">
        <f ca="1">IF(ISNA(VLOOKUP($C57,EmpAll,COLUMN(Emp!$C$4),0)),"-",VLOOKUP($C57,EmpAll,COLUMN(Emp!$C$4),0))</f>
        <v>S</v>
      </c>
      <c r="F57" s="101" t="str">
        <f ca="1">IF(ISNA(VLOOKUP($C57,EmpAll,COLUMN(Emp!$A$4),0)),"-",IF(AND(VLOOKUP($C57,EmpAll,COLUMN(Emp!$E$4),0)&lt;&gt;0,VLOOKUP($C57,EmpAll,COLUMN(Emp!$E$4),0)&gt;=DATE(YEAR($AC57),MONTH($AC57)+1,0)),"Inactive",IF(AND(VLOOKUP($C57,EmpAll,COLUMN(Emp!$F$4),0)&lt;&gt;0,VLOOKUP($C57,EmpAll,COLUMN(Emp!$F$4),0)&lt;=DATE(YEAR($AC57),MONTH($AC57),0)),"Terminated","Active")))</f>
        <v>Active</v>
      </c>
      <c r="G57" s="133" cm="1">
        <f t="array" aca="1" ref="G57" ca="1">IF($F57&lt;&gt;"Active",0,IF(COUNTIFS(OverEmp,$C57,OverEarn,G$2,OverDate,"&lt;"&amp;DATE(YEAR($AC57),MONTH($AC57)+1,1),OverEnd,"&gt;="&amp;DATE(YEAR($AC57),MONTH($AC57),1))&gt;0,SUMIFS(OverValue,OverEmp,$C57,OverEarn,G$2,OverDate,"&lt;"&amp;DATE(YEAR($AC57),MONTH($AC57)+1,1),OverEnd,"&gt;="&amp;DATE(YEAR($AC57),MONTH($AC57),1)),IF(AND($AC57&gt;=Setup!$E$10,SUMIFS(EmpIncrease,EmpCode,$C57)&gt;0),SUMIFS(EmpIncrease,EmpCode,$C57),SUMIFS(EmpSalary,EmpCode,$C57))))</f>
        <v>10000</v>
      </c>
      <c r="H57" s="133" cm="1">
        <f t="array" aca="1" ref="H57" ca="1">IF($F57&lt;&gt;"Active",0,IF(COUNTIFS(OverEmp,$C57,OverEarn,H$2,OverDate,"&lt;"&amp;DATE(YEAR($AC57),MONTH($AC57)+1,1),OverEnd,"&gt;="&amp;DATE(YEAR($AC57),MONTH($AC57),1))&gt;0,SUMIFS(OverValue,OverEmp,$C57,OverEarn,H$2,OverDate,"&lt;"&amp;DATE(YEAR($AC57),MONTH($AC57)+1,1),OverEnd,"&gt;="&amp;DATE(YEAR($AC57),MONTH($AC57),1)),0))</f>
        <v>0</v>
      </c>
      <c r="I57" s="133" cm="1">
        <f t="array" aca="1" ref="I57" ca="1">IF($F57&lt;&gt;"Active",0,IF(COUNTIFS(OverEmp,$C57,OverEarn,I$2,OverDate,"&lt;"&amp;DATE(YEAR($AC57),MONTH($AC57)+1,1),OverEnd,"&gt;="&amp;DATE(YEAR($AC57),MONTH($AC57),1))&gt;0,SUMIFS(OverValue,OverEmp,$C57,OverEarn,I$2,OverDate,"&lt;"&amp;DATE(YEAR($AC57),MONTH($AC57)+1,1),OverEnd,"&gt;="&amp;DATE(YEAR($AC57),MONTH($AC57),1)),IF(MONTH(B57)=Setup!$C$15,SUMIFS(EmpBonus,EmpCode,$C57),0)))</f>
        <v>0</v>
      </c>
      <c r="J57" s="133" cm="1">
        <f t="array" aca="1" ref="J57" ca="1">IF($F57&lt;&gt;"Active",0,IF(COUNTIFS(OverEmp,$C57,OverEarn,J$2,OverDate,"&lt;"&amp;DATE(YEAR($AC57),MONTH($AC57)+1,1),OverEnd,"&gt;="&amp;DATE(YEAR($AC57),MONTH($AC57),1))&gt;0,SUMIFS(OverValue,OverEmp,$C57,OverEarn,J$2,OverDate,"&lt;"&amp;DATE(YEAR($AC57),MONTH($AC57)+1,1),OverEnd,"&gt;="&amp;DATE(YEAR($AC57),MONTH($AC57),1)),0))</f>
        <v>0</v>
      </c>
      <c r="K57" s="133" cm="1">
        <f t="array" aca="1" ref="K57" ca="1">IF($F57&lt;&gt;"Active",0,IF(COUNTIFS(OverEmp,$C57,OverEarn,K$2,OverDate,"&lt;"&amp;DATE(YEAR($AC57),MONTH($AC57)+1,1),OverEnd,"&gt;="&amp;DATE(YEAR($AC57),MONTH($AC57),1))&gt;0,SUMIFS(OverValue,OverEmp,$C57,OverEarn,K$2,OverDate,"&lt;"&amp;DATE(YEAR($AC57),MONTH($AC57)+1,1),OverEnd,"&gt;="&amp;DATE(YEAR($AC57),MONTH($AC57),1)),0))</f>
        <v>0</v>
      </c>
      <c r="L57" s="185">
        <f t="shared" ca="1" si="24"/>
        <v>10000</v>
      </c>
      <c r="M57" s="182" cm="1">
        <f t="array" aca="1" ref="M57" ca="1">IF(COUNTIFS(OverEmp,$C57,OverTax,M$5,OverDate,"&lt;"&amp;DATE(YEAR($AC57),MONTH($AC57)+1,1),OverEnd,"&gt;="&amp;DATE(YEAR($AC57),MONTH($AC57),1))&gt;0,SUMIFS(OverValue,OverEmp,$C57,OverTax,M$5,OverDate,"&lt;"&amp;DATE(YEAR($AC57),MONTH($AC57)+1,1),OverEnd,"&gt;="&amp;DATE(YEAR($AC57),MONTH($AC57),1)),(($BA57/12*$AA57)+(BB57*IF(1-$BC57=0,0,BD57/(1-$BC57))))-IF($F57="Terminated",0,SUMIFS(PayTaxDeduct,PayDate,"&lt;"&amp;$AC57,PayEmp,$C57)))</f>
        <v>0</v>
      </c>
      <c r="N57" s="133" cm="1">
        <f t="array" aca="1" ref="N57" ca="1">IF($F57="Terminated",0,IF($AA57=0,0,IF(ISNA(MATCH(N$5,DedListItem,0)),0,IF(COUNTIFS(OverEmp,$C57,OverDeduct,N$5,OverDate,"&lt;"&amp;DATE(YEAR($AC57),MONTH($AC57)+1,1),OverEnd,"&gt;="&amp;DATE(YEAR($AC57),MONTH($AC57),1))&gt;0,SUMIFS(OverValue,OverEmp,$C57,OverDeduct,N$5,OverDate,"&lt;"&amp;DATE(YEAR($AC57),MONTH($AC57)+1,1),OverEnd,"&gt;="&amp;DATE(YEAR($AC57),MONTH($AC57),1)),IF(OR(N$2="Fixed",N$2="Not Used"),(IF(COUNTIFS(EmpNo,$C57,OFFSET(Emp!$R$4,1,MATCH(N$5,DedListItem,0)-1,EmpCount,1),"&lt;&gt;")&gt;0,VLOOKUP($C57,EmpAll,COLUMN(Emp!$R$4)+MATCH(N$5,DedListItem,0)-1,0),OFFSET(Setup!$E$73,MATCH(N$5,DedListItem,0),0,1,1))*$AA57)-SUMIFS(OFFSET(N$6,1,0,PayCount,1),PayDate,"&lt;"&amp;$AC57,PayEmp,$C57),IF(ISNA(MATCH(N$2,EarnListItem,0))=FALSE,IF(OFFSET(Setup!$G$73,MATCH(N$5,DedListItem,0),0,1,1)="Taxable",SUMPRODUCT((PayEmp=$C57)*(PayDate&lt;=$AC57)*(PayEarnCode=N$2)*(PayEarnTax)*(PayEarnValues)),SUMPRODUCT((PayEmp=$C57)*(PayDate&lt;=$AC57)*(PayEarnCode=N$2)*(PayEarnValues)))*IF(COUNTIFS(EmpNo,$C57,OFFSET(Emp!$R$4,1,MATCH(N$5,DedListItem,0)-1,EmpCount,1),"&lt;&gt;")&gt;0,VLOOKUP($C57,EmpAll,COLUMN(Emp!$R$4)+MATCH(N$5,DedListItem,0)-1,0),OFFSET(Setup!$E$73,MATCH(N$5,DedListItem,0),0,1,1)),(MIN(IF(OFFSET(Setup!$G$73,MATCH(N$5,DedListItem,0),0,1,1)="Taxable",SUMPRODUCT((PayEmp=$C57)*(PayDate&lt;=$AC57)*(ISERROR(SEARCH(PayEarnCode,N$4)))*(PayEarnTax)*(PayEarnValues)),SUMPRODUCT((PayEmp=$C57)*(PayDate&lt;=$AC57)*(ISERROR(SEARCH(PayEarnCode,N$4)))*(PayEarnValues))),IF(ISNUMBER(N$3),N$3/12*$AA57,IgnoreMin)))*IF(COUNTIFS(EmpNo,$C57,OFFSET(Emp!$R$4,1,MATCH(N$5,DedListItem,0)-1,EmpCount,1),"&lt;&gt;")&gt;0,VLOOKUP($C57,EmpAll,COLUMN(Emp!$R$4)+MATCH(N$5,DedListItem,0)-1,0),OFFSET(Setup!$E$73,MATCH(N$5,DedListItem,0),0,1,1)))-SUMIFS(OFFSET(N$6,1,0,PayCount,1),PayDate,"&lt;"&amp;$AC57,PayEmp,$C57))))))</f>
        <v>100</v>
      </c>
      <c r="O57" s="133" cm="1">
        <f t="array" aca="1" ref="O57" ca="1">IF($F57="Terminated",0,IF($AA57=0,0,IF(ISNA(MATCH(O$5,DedListItem,0)),0,IF(COUNTIFS(OverEmp,$C57,OverDeduct,O$5,OverDate,"&lt;"&amp;DATE(YEAR($AC57),MONTH($AC57)+1,1),OverEnd,"&gt;="&amp;DATE(YEAR($AC57),MONTH($AC57),1))&gt;0,SUMIFS(OverValue,OverEmp,$C57,OverDeduct,O$5,OverDate,"&lt;"&amp;DATE(YEAR($AC57),MONTH($AC57)+1,1),OverEnd,"&gt;="&amp;DATE(YEAR($AC57),MONTH($AC57),1)),IF(OR(O$2="Fixed",O$2="Not Used"),(IF(COUNTIFS(EmpNo,$C57,OFFSET(Emp!$R$4,1,MATCH(O$5,DedListItem,0)-1,EmpCount,1),"&lt;&gt;")&gt;0,VLOOKUP($C57,EmpAll,COLUMN(Emp!$R$4)+MATCH(O$5,DedListItem,0)-1,0),OFFSET(Setup!$E$73,MATCH(O$5,DedListItem,0),0,1,1))*$AA57)-SUMIFS(OFFSET(O$6,1,0,PayCount,1),PayDate,"&lt;"&amp;$AC57,PayEmp,$C57),IF(ISNA(MATCH(O$2,EarnListItem,0))=FALSE,IF(OFFSET(Setup!$G$73,MATCH(O$5,DedListItem,0),0,1,1)="Taxable",SUMPRODUCT((PayEmp=$C57)*(PayDate&lt;=$AC57)*(PayEarnCode=O$2)*(PayEarnTax)*(PayEarnValues)),SUMPRODUCT((PayEmp=$C57)*(PayDate&lt;=$AC57)*(PayEarnCode=O$2)*(PayEarnValues)))*IF(COUNTIFS(EmpNo,$C57,OFFSET(Emp!$R$4,1,MATCH(O$5,DedListItem,0)-1,EmpCount,1),"&lt;&gt;")&gt;0,VLOOKUP($C57,EmpAll,COLUMN(Emp!$R$4)+MATCH(O$5,DedListItem,0)-1,0),OFFSET(Setup!$E$73,MATCH(O$5,DedListItem,0),0,1,1)),(MIN(IF(OFFSET(Setup!$G$73,MATCH(O$5,DedListItem,0),0,1,1)="Taxable",SUMPRODUCT((PayEmp=$C57)*(PayDate&lt;=$AC57)*(ISERROR(SEARCH(PayEarnCode,O$4)))*(PayEarnTax)*(PayEarnValues)),SUMPRODUCT((PayEmp=$C57)*(PayDate&lt;=$AC57)*(ISERROR(SEARCH(PayEarnCode,O$4)))*(PayEarnValues))),IF(ISNUMBER(O$3),O$3/12*$AA57,IgnoreMin)))*IF(COUNTIFS(EmpNo,$C57,OFFSET(Emp!$R$4,1,MATCH(O$5,DedListItem,0)-1,EmpCount,1),"&lt;&gt;")&gt;0,VLOOKUP($C57,EmpAll,COLUMN(Emp!$R$4)+MATCH(O$5,DedListItem,0)-1,0),OFFSET(Setup!$E$73,MATCH(O$5,DedListItem,0),0,1,1)))-SUMIFS(OFFSET(O$6,1,0,PayCount,1),PayDate,"&lt;"&amp;$AC57,PayEmp,$C57))))))</f>
        <v>0</v>
      </c>
      <c r="P57" s="133" cm="1">
        <f t="array" aca="1" ref="P57" ca="1">IF($F57="Terminated",0,IF($AA57=0,0,IF(ISNA(MATCH(P$5,DedListItem,0)),0,IF(COUNTIFS(OverEmp,$C57,OverDeduct,P$5,OverDate,"&lt;"&amp;DATE(YEAR($AC57),MONTH($AC57)+1,1),OverEnd,"&gt;="&amp;DATE(YEAR($AC57),MONTH($AC57),1))&gt;0,SUMIFS(OverValue,OverEmp,$C57,OverDeduct,P$5,OverDate,"&lt;"&amp;DATE(YEAR($AC57),MONTH($AC57)+1,1),OverEnd,"&gt;="&amp;DATE(YEAR($AC57),MONTH($AC57),1)),IF(OR(P$2="Fixed",P$2="Not Used"),(IF(COUNTIFS(EmpNo,$C57,OFFSET(Emp!$R$4,1,MATCH(P$5,DedListItem,0)-1,EmpCount,1),"&lt;&gt;")&gt;0,VLOOKUP($C57,EmpAll,COLUMN(Emp!$R$4)+MATCH(P$5,DedListItem,0)-1,0),OFFSET(Setup!$E$73,MATCH(P$5,DedListItem,0),0,1,1))*$AA57)-SUMIFS(OFFSET(P$6,1,0,PayCount,1),PayDate,"&lt;"&amp;$AC57,PayEmp,$C57),IF(ISNA(MATCH(P$2,EarnListItem,0))=FALSE,IF(OFFSET(Setup!$G$73,MATCH(P$5,DedListItem,0),0,1,1)="Taxable",SUMPRODUCT((PayEmp=$C57)*(PayDate&lt;=$AC57)*(PayEarnCode=P$2)*(PayEarnTax)*(PayEarnValues)),SUMPRODUCT((PayEmp=$C57)*(PayDate&lt;=$AC57)*(PayEarnCode=P$2)*(PayEarnValues)))*IF(COUNTIFS(EmpNo,$C57,OFFSET(Emp!$R$4,1,MATCH(P$5,DedListItem,0)-1,EmpCount,1),"&lt;&gt;")&gt;0,VLOOKUP($C57,EmpAll,COLUMN(Emp!$R$4)+MATCH(P$5,DedListItem,0)-1,0),OFFSET(Setup!$E$73,MATCH(P$5,DedListItem,0),0,1,1)),(MIN(IF(OFFSET(Setup!$G$73,MATCH(P$5,DedListItem,0),0,1,1)="Taxable",SUMPRODUCT((PayEmp=$C57)*(PayDate&lt;=$AC57)*(ISERROR(SEARCH(PayEarnCode,P$4)))*(PayEarnTax)*(PayEarnValues)),SUMPRODUCT((PayEmp=$C57)*(PayDate&lt;=$AC57)*(ISERROR(SEARCH(PayEarnCode,P$4)))*(PayEarnValues))),IF(ISNUMBER(P$3),P$3/12*$AA57,IgnoreMin)))*IF(COUNTIFS(EmpNo,$C57,OFFSET(Emp!$R$4,1,MATCH(P$5,DedListItem,0)-1,EmpCount,1),"&lt;&gt;")&gt;0,VLOOKUP($C57,EmpAll,COLUMN(Emp!$R$4)+MATCH(P$5,DedListItem,0)-1,0),OFFSET(Setup!$E$73,MATCH(P$5,DedListItem,0),0,1,1)))-SUMIFS(OFFSET(P$6,1,0,PayCount,1),PayDate,"&lt;"&amp;$AC57,PayEmp,$C57))))))</f>
        <v>0</v>
      </c>
      <c r="Q57" s="133" cm="1">
        <f t="array" aca="1" ref="Q57" ca="1">IF($F57="Terminated",0,IF($AA57=0,0,IF(ISNA(MATCH(Q$5,DedListItem,0)),0,IF(COUNTIFS(OverEmp,$C57,OverDeduct,Q$5,OverDate,"&lt;"&amp;DATE(YEAR($AC57),MONTH($AC57)+1,1),OverEnd,"&gt;="&amp;DATE(YEAR($AC57),MONTH($AC57),1))&gt;0,SUMIFS(OverValue,OverEmp,$C57,OverDeduct,Q$5,OverDate,"&lt;"&amp;DATE(YEAR($AC57),MONTH($AC57)+1,1),OverEnd,"&gt;="&amp;DATE(YEAR($AC57),MONTH($AC57),1)),IF(OR(Q$2="Fixed",Q$2="Not Used"),(IF(COUNTIFS(EmpNo,$C57,OFFSET(Emp!$R$4,1,MATCH(Q$5,DedListItem,0)-1,EmpCount,1),"&lt;&gt;")&gt;0,VLOOKUP($C57,EmpAll,COLUMN(Emp!$R$4)+MATCH(Q$5,DedListItem,0)-1,0),OFFSET(Setup!$E$73,MATCH(Q$5,DedListItem,0),0,1,1))*$AA57)-SUMIFS(OFFSET(Q$6,1,0,PayCount,1),PayDate,"&lt;"&amp;$AC57,PayEmp,$C57),IF(ISNA(MATCH(Q$2,EarnListItem,0))=FALSE,IF(OFFSET(Setup!$G$73,MATCH(Q$5,DedListItem,0),0,1,1)="Taxable",SUMPRODUCT((PayEmp=$C57)*(PayDate&lt;=$AC57)*(PayEarnCode=Q$2)*(PayEarnTax)*(PayEarnValues)),SUMPRODUCT((PayEmp=$C57)*(PayDate&lt;=$AC57)*(PayEarnCode=Q$2)*(PayEarnValues)))*IF(COUNTIFS(EmpNo,$C57,OFFSET(Emp!$R$4,1,MATCH(Q$5,DedListItem,0)-1,EmpCount,1),"&lt;&gt;")&gt;0,VLOOKUP($C57,EmpAll,COLUMN(Emp!$R$4)+MATCH(Q$5,DedListItem,0)-1,0),OFFSET(Setup!$E$73,MATCH(Q$5,DedListItem,0),0,1,1)),(MIN(IF(OFFSET(Setup!$G$73,MATCH(Q$5,DedListItem,0),0,1,1)="Taxable",SUMPRODUCT((PayEmp=$C57)*(PayDate&lt;=$AC57)*(ISERROR(SEARCH(PayEarnCode,Q$4)))*(PayEarnTax)*(PayEarnValues)),SUMPRODUCT((PayEmp=$C57)*(PayDate&lt;=$AC57)*(ISERROR(SEARCH(PayEarnCode,Q$4)))*(PayEarnValues))),IF(ISNUMBER(Q$3),Q$3/12*$AA57,IgnoreMin)))*IF(COUNTIFS(EmpNo,$C57,OFFSET(Emp!$R$4,1,MATCH(Q$5,DedListItem,0)-1,EmpCount,1),"&lt;&gt;")&gt;0,VLOOKUP($C57,EmpAll,COLUMN(Emp!$R$4)+MATCH(Q$5,DedListItem,0)-1,0),OFFSET(Setup!$E$73,MATCH(Q$5,DedListItem,0),0,1,1)))-SUMIFS(OFFSET(Q$6,1,0,PayCount,1),PayDate,"&lt;"&amp;$AC57,PayEmp,$C57))))))</f>
        <v>0</v>
      </c>
      <c r="R57" s="185">
        <f t="shared" ca="1" si="25"/>
        <v>100</v>
      </c>
      <c r="S57" s="139">
        <f t="shared" ca="1" si="26"/>
        <v>9900</v>
      </c>
      <c r="T57" s="133" cm="1">
        <f t="array" aca="1" ref="T57" ca="1">IF($F57="Terminated",0,IF($AA57=0,0,IF(ISNA(MATCH(T$5,CompListItem,0)),0,IF(COUNTIFS(OverEmp,$C57,OverComp,T$5,OverDate,"&lt;"&amp;DATE(YEAR($AC57),MONTH($AC57)+1,1),OverEnd,"&gt;="&amp;DATE(YEAR($AC57),MONTH($AC57),1))&gt;0,SUMIFS(OverValue,OverEmp,$C57,OverComp,T$5,OverDate,"&lt;"&amp;DATE(YEAR($AC57),MONTH($AC57)+1,1),OverEnd,"&gt;="&amp;DATE(YEAR($AC57),MONTH($AC57),1)),IF(OR(T$2="Fixed",T$2="Not Used"),(OFFSET(Setup!$E$81,MATCH(T$5,CompListItem,0),0,1,1)*$AA57)-SUMIFS(OFFSET(T$6,1,0,PayCount,1),PayDate,"&lt;"&amp;$AC57,PayEmp,$C57),IF(ISNA(MATCH(T$2,DedListItem,0))=FALSE,(SUMPRODUCT((PayEmp=$C57)*(PayDate&lt;=$AC57)*(PayDedList=T$2)*(PayDedValues))*OFFSET(Setup!$E$81,MATCH(T$5,CompListItem,0),0,1,1))-SUMIFS(OFFSET(T$6,1,0,PayCount,1),PayDate,"&lt;"&amp;$AC57,PayEmp,$C57),(MIN(IF(OFFSET(Setup!$G$81,MATCH(T$5,CompListItem,0),0,1,1)="Taxable",SUMPRODUCT((PayEmp=$C57)*(PayDate&lt;=$AC57)*(ISERROR(SEARCH(PayEarnCode,T$4)))*(PayEarnTax)*(PayEarnValues)),SUMPRODUCT((PayEmp=$C57)*(PayDate&lt;=$AC57)*(ISERROR(SEARCH(PayEarnCode,T$4)))*(PayEarnValues))),IF(ISNUMBER(T$3),T$3/12*$AA57,IgnoreMin)))*OFFSET(Setup!$E$81,MATCH(T$5,CompListItem,0),0,1,1)-SUMIFS(OFFSET(T$6,1,0,PayCount,1),PayDate,"&lt;"&amp;$AC57,PayEmp,$C57)))))))</f>
        <v>100</v>
      </c>
      <c r="U57" s="133" cm="1">
        <f t="array" aca="1" ref="U57" ca="1">IF($F57="Terminated",0,IF($AA57=0,0,IF(ISNA(MATCH(U$5,CompListItem,0)),0,IF(COUNTIFS(OverEmp,$C57,OverComp,U$5,OverDate,"&lt;"&amp;DATE(YEAR($AC57),MONTH($AC57)+1,1),OverEnd,"&gt;="&amp;DATE(YEAR($AC57),MONTH($AC57),1))&gt;0,SUMIFS(OverValue,OverEmp,$C57,OverComp,U$5,OverDate,"&lt;"&amp;DATE(YEAR($AC57),MONTH($AC57)+1,1),OverEnd,"&gt;="&amp;DATE(YEAR($AC57),MONTH($AC57),1)),IF(OR(U$2="Fixed",U$2="Not Used"),(OFFSET(Setup!$E$81,MATCH(U$5,CompListItem,0),0,1,1)*$AA57)-SUMIFS(OFFSET(U$6,1,0,PayCount,1),PayDate,"&lt;"&amp;$AC57,PayEmp,$C57),IF(ISNA(MATCH(U$2,DedListItem,0))=FALSE,(SUMPRODUCT((PayEmp=$C57)*(PayDate&lt;=$AC57)*(PayDedList=U$2)*(PayDedValues))*OFFSET(Setup!$E$81,MATCH(U$5,CompListItem,0),0,1,1))-SUMIFS(OFFSET(U$6,1,0,PayCount,1),PayDate,"&lt;"&amp;$AC57,PayEmp,$C57),(MIN(IF(OFFSET(Setup!$G$81,MATCH(U$5,CompListItem,0),0,1,1)="Taxable",SUMPRODUCT((PayEmp=$C57)*(PayDate&lt;=$AC57)*(ISERROR(SEARCH(PayEarnCode,U$4)))*(PayEarnTax)*(PayEarnValues)),SUMPRODUCT((PayEmp=$C57)*(PayDate&lt;=$AC57)*(ISERROR(SEARCH(PayEarnCode,U$4)))*(PayEarnValues))),IF(ISNUMBER(U$3),U$3/12*$AA57,IgnoreMin)))*OFFSET(Setup!$E$81,MATCH(U$5,CompListItem,0),0,1,1)-SUMIFS(OFFSET(U$6,1,0,PayCount,1),PayDate,"&lt;"&amp;$AC57,PayEmp,$C57)))))))</f>
        <v>100</v>
      </c>
      <c r="V57" s="133" cm="1">
        <f t="array" aca="1" ref="V57" ca="1">IF($F57="Terminated",0,IF($AA57=0,0,IF(ISNA(MATCH(V$5,CompListItem,0)),0,IF(COUNTIFS(OverEmp,$C57,OverComp,V$5,OverDate,"&lt;"&amp;DATE(YEAR($AC57),MONTH($AC57)+1,1),OverEnd,"&gt;="&amp;DATE(YEAR($AC57),MONTH($AC57),1))&gt;0,SUMIFS(OverValue,OverEmp,$C57,OverComp,V$5,OverDate,"&lt;"&amp;DATE(YEAR($AC57),MONTH($AC57)+1,1),OverEnd,"&gt;="&amp;DATE(YEAR($AC57),MONTH($AC57),1)),IF(OR(V$2="Fixed",V$2="Not Used"),(OFFSET(Setup!$E$81,MATCH(V$5,CompListItem,0),0,1,1)*$AA57)-SUMIFS(OFFSET(V$6,1,0,PayCount,1),PayDate,"&lt;"&amp;$AC57,PayEmp,$C57),IF(ISNA(MATCH(V$2,DedListItem,0))=FALSE,(SUMPRODUCT((PayEmp=$C57)*(PayDate&lt;=$AC57)*(PayDedList=V$2)*(PayDedValues))*OFFSET(Setup!$E$81,MATCH(V$5,CompListItem,0),0,1,1))-SUMIFS(OFFSET(V$6,1,0,PayCount,1),PayDate,"&lt;"&amp;$AC57,PayEmp,$C57),(MIN(IF(OFFSET(Setup!$G$81,MATCH(V$5,CompListItem,0),0,1,1)="Taxable",SUMPRODUCT((PayEmp=$C57)*(PayDate&lt;=$AC57)*(ISERROR(SEARCH(PayEarnCode,V$4)))*(PayEarnTax)*(PayEarnValues)),SUMPRODUCT((PayEmp=$C57)*(PayDate&lt;=$AC57)*(ISERROR(SEARCH(PayEarnCode,V$4)))*(PayEarnValues))),IF(ISNUMBER(V$3),V$3/12*$AA57,IgnoreMin)))*OFFSET(Setup!$E$81,MATCH(V$5,CompListItem,0),0,1,1)-SUMIFS(OFFSET(V$6,1,0,PayCount,1),PayDate,"&lt;"&amp;$AC57,PayEmp,$C57)))))))</f>
        <v>0</v>
      </c>
      <c r="W57" s="133" cm="1">
        <f t="array" aca="1" ref="W57" ca="1">IF($F57="Terminated",0,IF($AA57=0,0,IF(ISNA(MATCH(W$5,CompListItem,0)),0,IF(COUNTIFS(OverEmp,$C57,OverComp,W$5,OverDate,"&lt;"&amp;DATE(YEAR($AC57),MONTH($AC57)+1,1),OverEnd,"&gt;="&amp;DATE(YEAR($AC57),MONTH($AC57),1))&gt;0,SUMIFS(OverValue,OverEmp,$C57,OverComp,W$5,OverDate,"&lt;"&amp;DATE(YEAR($AC57),MONTH($AC57)+1,1),OverEnd,"&gt;="&amp;DATE(YEAR($AC57),MONTH($AC57),1)),IF(OR(W$2="Fixed",W$2="Not Used"),(OFFSET(Setup!$E$81,MATCH(W$5,CompListItem,0),0,1,1)*$AA57)-SUMIFS(OFFSET(W$6,1,0,PayCount,1),PayDate,"&lt;"&amp;$AC57,PayEmp,$C57),IF(ISNA(MATCH(W$2,DedListItem,0))=FALSE,(SUMPRODUCT((PayEmp=$C57)*(PayDate&lt;=$AC57)*(PayDedList=W$2)*(PayDedValues))*OFFSET(Setup!$E$81,MATCH(W$5,CompListItem,0),0,1,1))-SUMIFS(OFFSET(W$6,1,0,PayCount,1),PayDate,"&lt;"&amp;$AC57,PayEmp,$C57),(MIN(IF(OFFSET(Setup!$G$81,MATCH(W$5,CompListItem,0),0,1,1)="Taxable",SUMPRODUCT((PayEmp=$C57)*(PayDate&lt;=$AC57)*(ISERROR(SEARCH(PayEarnCode,W$4)))*(PayEarnTax)*(PayEarnValues)),SUMPRODUCT((PayEmp=$C57)*(PayDate&lt;=$AC57)*(ISERROR(SEARCH(PayEarnCode,W$4)))*(PayEarnValues))),IF(ISNUMBER(W$3),W$3/12*$AA57,IgnoreMin)))*OFFSET(Setup!$E$81,MATCH(W$5,CompListItem,0),0,1,1)-SUMIFS(OFFSET(W$6,1,0,PayCount,1),PayDate,"&lt;"&amp;$AC57,PayEmp,$C57)))))))</f>
        <v>0</v>
      </c>
      <c r="X57" s="185">
        <f t="shared" ca="1" si="18"/>
        <v>200</v>
      </c>
      <c r="Y57" s="139">
        <f t="shared" ca="1" si="27"/>
        <v>10200</v>
      </c>
      <c r="Z57" s="139">
        <f t="shared" ca="1" si="19"/>
        <v>300</v>
      </c>
      <c r="AA57" s="146">
        <f ca="1">IF(OR($B57&lt;=Setup!$E$12,$B57&gt;=Setup!$D$12+1),0,IF($F57&lt;&gt;"Active",0,IF($AE57="Yes",$AB57,((YEAR($AC57)*12)+MONTH($AC57))-((YEAR($AD57)*12)+MONTH($AD57)-1))))</f>
        <v>4</v>
      </c>
      <c r="AB57" s="146">
        <f ca="1">IF(OR($B57&lt;=Setup!$E$12,$B57&gt;=Setup!$D$12+1),0,((YEAR($AC57)*12)+MONTH($AC57))-((YEAR(Setup!$E$12)*12)+MONTH(Setup!$E$12)))</f>
        <v>4</v>
      </c>
      <c r="AC57" s="186">
        <f t="shared" ca="1" si="20"/>
        <v>45102</v>
      </c>
      <c r="AD57" s="144">
        <f ca="1">IF(ISNA(VLOOKUP($C57,EmpAll,COLUMN(Emp!$E$4),0)),$AC57,IF(VLOOKUP($C57,EmpAll,COLUMN(Emp!$E$4),0)&lt;=Setup!$E$12,DATE(YEAR(Setup!$E$12),MONTH(Setup!$E$12)+1,1),VLOOKUP($C57,EmpAll,COLUMN(Emp!$E$4),0)))</f>
        <v>44986</v>
      </c>
      <c r="AE57" s="144" t="str">
        <f ca="1">IF(ISNA(VLOOKUP($C57,EmpAll,COLUMN(Emp!$G$1),0)),"-",IF(VLOOKUP($C57,EmpAll,COLUMN(Emp!$G$1),0)=0,"-",VLOOKUP($C57,EmpAll,COLUMN(Emp!$G$1),0)))</f>
        <v>-</v>
      </c>
      <c r="AF57" s="145">
        <f ca="1">IF(A57=PaySlip!$G$3,1,0)</f>
        <v>0</v>
      </c>
      <c r="AG57" s="130" cm="1">
        <f t="array" aca="1" ref="AG57" ca="1">IF(COUNTIFS(OverEmp,$C57,OverMed,"MED",OverDate,"&lt;"&amp;DATE(YEAR($AC57),MONTH($AC57)+1,1),OverEnd,"&gt;="&amp;DATE(YEAR($AC57),MONTH($AC57),1))&gt;0,SUMIFS(OverValue,OverEmp,$C57,OverMed,"MED",OverDate,"&lt;"&amp;DATE(YEAR($AC57),MONTH($AC57)+1,1),OverEnd,"&gt;="&amp;DATE(YEAR($AC57),MONTH($AC57),1)),IF(ISNA(VLOOKUP($C57,EmpAll,COLUMN(Emp!$N$4),0)),0,VLOOKUP($C57,EmpAll,COLUMN(Emp!$N$4),0)))</f>
        <v>1</v>
      </c>
      <c r="AH57" s="146">
        <f ca="1">VLOOKUP($AG57,MedList,COLUMN(Setup!$C$49),1)</f>
        <v>364</v>
      </c>
      <c r="AI57" s="146">
        <f t="shared" ca="1" si="7"/>
        <v>4368</v>
      </c>
      <c r="AJ57" s="101" t="str">
        <f ca="1">IF(ISNA(VLOOKUP($C57,EmpAll,COLUMN(Emp!$L$4),0)),"None!",VLOOKUP($C57,EmpAll,COLUMN(Emp!$L$4),0))</f>
        <v>A</v>
      </c>
      <c r="AK57" s="147">
        <f t="shared" ca="1" si="21"/>
        <v>17235</v>
      </c>
      <c r="AL57" s="101" t="str">
        <f ca="1">IF(ISNA(VLOOKUP($C57,Employees[],COLUMN(Emp!$M$4),0))=TRUE,"Error!",IF(VLOOKUP($C57,Employees[],COLUMN(Emp!$M$4),0)=0,"Yes",VLOOKUP($C57,Employees[],COLUMN(Emp!$M$4),0)))</f>
        <v>A</v>
      </c>
      <c r="AM57" s="148">
        <f t="shared" ca="1" si="9"/>
        <v>120000</v>
      </c>
      <c r="AN57" s="148" cm="1">
        <f t="array" aca="1" ref="AN57" ca="1">-IF($F57="Terminated",0,IF($AA57=0,0,IF(ISNA(MATCH(AN$5,PayDedList,0)),0,MIN(IF(COUNTIFS(OverEmp,$C57,OverDeduct,AN$5,OverDate,"&lt;"&amp;DATE(YEAR($AC57),MONTH($AC57)+1,1),OverEnd,"&gt;="&amp;DATE(YEAR($AC57),MONTH($AC57),1))&gt;0,SUMPRODUCT((PayEmp=$C57)*(PayDate&lt;=$AC57)*(OFFSET($N$6,1,MATCH(AN$5,PayDedList,0)-1,PayCount,1)))/$AA57*12*AN$3,IF(OR(AN$1="Fixed",AN$1="Not Used"),SUMPRODUCT((PayEmp=$C57)*(PayDate&lt;=$AC57)*(OFFSET($N$6,1,MATCH(AN$5,PayDedList,0)-1,PayCount,1)))/$AA57*12*AN$3,IF(ISNA(MATCH(AN$1,EarnListItem,0))=FALSE,SUMPRODUCT((PayEmp=$C57)*(PayDate&lt;=$AC57)*(OFFSET($N$6,1,MATCH(AN$5,PayDedList,0)-1,PayCount,1)))/$AA57*12*AN$3,(MIN(((SUMPRODUCT((PayEmp=$C57)*(PayDate&lt;=$AC57)*(ISERROR(SEARCH(PayEarnCode,AN$2)))*(PayEarnType="Monthly")*(PayEarnValues))/$AA57*12)+(SUMPRODUCT((PayEmp=$C57)*(PayDate&lt;=$AC57)*(ISERROR(SEARCH(PayEarnCode,AN$2)))*(PayEarnType="Quarterly")*(PayEarnValues))/MAX(1,ROUNDDOWN($AB57/3,0))*4)+(SUMPRODUCT((PayEmp=$C57)*(PayDate&lt;=$AC57)*(ISERROR(SEARCH(PayEarnCode,AN$2)))*(PayEarnType="Bi-Annual")*(PayEarnValues))/MAX(1,ROUNDDOWN($AB57/6,0))*2)+(SUMPRODUCT((PayEmp=$C57)*(PayDate&lt;=$AC57)*(ISERROR(SEARCH(PayEarnCode,AN$2)))*(PayEarnType="Annual")*(PayEarnValues)))),IF(ISNUMBER(OFFSET($N$3,0,MATCH(AN$5,PayDedList,0)-1,1,1)),OFFSET($N$3,0,MATCH(AN$5,PayDedList,0)-1,1,1),IgnoreMin)))*IF(COUNTIFS(EmpNo,$C57,OFFSET(Emp!$R$4,1,MATCH(AN$5,DedListItem,0)-1,EmpCount,1),"&lt;&gt;")&gt;0,VLOOKUP($C57,EmpAll,COLUMN(Emp!$R$4)+MATCH(AN$5,DedListItem,0)-1,0),OFFSET(Setup!$E$73,MATCH(AN$5,DedListItem,0),0,1,1))*AN$3))),IF(ISNUMBER(AN$4),AN$4,IgnoreMin)))))</f>
        <v>0</v>
      </c>
      <c r="AO57" s="148" cm="1">
        <f t="array" aca="1" ref="AO57" ca="1">-IF($F57="Terminated",0,IF($AA57=0,0,IF(ISNA(MATCH(AO$5,PayDedList,0)),0,MIN(IF(COUNTIFS(OverEmp,$C57,OverDeduct,AO$5,OverDate,"&lt;"&amp;DATE(YEAR($AC57),MONTH($AC57)+1,1),OverEnd,"&gt;="&amp;DATE(YEAR($AC57),MONTH($AC57),1))&gt;0,SUMPRODUCT((PayEmp=$C57)*(PayDate&lt;=$AC57)*(OFFSET($N$6,1,MATCH(AO$5,PayDedList,0)-1,PayCount,1)))/$AA57*12*AO$3,IF(OR(AO$1="Fixed",AO$1="Not Used"),SUMPRODUCT((PayEmp=$C57)*(PayDate&lt;=$AC57)*(OFFSET($N$6,1,MATCH(AO$5,PayDedList,0)-1,PayCount,1)))/$AA57*12*AO$3,IF(ISNA(MATCH(AO$1,EarnListItem,0))=FALSE,SUMPRODUCT((PayEmp=$C57)*(PayDate&lt;=$AC57)*(OFFSET($N$6,1,MATCH(AO$5,PayDedList,0)-1,PayCount,1)))/$AA57*12*AO$3,(MIN(((SUMPRODUCT((PayEmp=$C57)*(PayDate&lt;=$AC57)*(ISERROR(SEARCH(PayEarnCode,AO$2)))*(PayEarnType="Monthly")*(PayEarnValues))/$AA57*12)+(SUMPRODUCT((PayEmp=$C57)*(PayDate&lt;=$AC57)*(ISERROR(SEARCH(PayEarnCode,AO$2)))*(PayEarnType="Quarterly")*(PayEarnValues))/MAX(1,ROUNDDOWN($AB57/3,0))*4)+(SUMPRODUCT((PayEmp=$C57)*(PayDate&lt;=$AC57)*(ISERROR(SEARCH(PayEarnCode,AO$2)))*(PayEarnType="Bi-Annual")*(PayEarnValues))/MAX(1,ROUNDDOWN($AB57/6,0))*2)+(SUMPRODUCT((PayEmp=$C57)*(PayDate&lt;=$AC57)*(ISERROR(SEARCH(PayEarnCode,AO$2)))*(PayEarnType="Annual")*(PayEarnValues)))),IF(ISNUMBER(OFFSET($N$3,0,MATCH(AO$5,PayDedList,0)-1,1,1)),OFFSET($N$3,0,MATCH(AO$5,PayDedList,0)-1,1,1),IgnoreMin)))*IF(COUNTIFS(EmpNo,$C57,OFFSET(Emp!$R$4,1,MATCH(AO$5,DedListItem,0)-1,EmpCount,1),"&lt;&gt;")&gt;0,VLOOKUP($C57,EmpAll,COLUMN(Emp!$R$4)+MATCH(AO$5,DedListItem,0)-1,0),OFFSET(Setup!$E$73,MATCH(AO$5,DedListItem,0),0,1,1))*AO$3))),IF(ISNUMBER(AO$4),AO$4,IgnoreMin)))))</f>
        <v>0</v>
      </c>
      <c r="AP57" s="148" cm="1">
        <f t="array" aca="1" ref="AP57" ca="1">-IF($F57="Terminated",0,IF($AA57=0,0,IF(ISNA(MATCH(AP$5,PayDedList,0)),0,MIN(IF(COUNTIFS(OverEmp,$C57,OverDeduct,AP$5,OverDate,"&lt;"&amp;DATE(YEAR($AC57),MONTH($AC57)+1,1),OverEnd,"&gt;="&amp;DATE(YEAR($AC57),MONTH($AC57),1))&gt;0,SUMPRODUCT((PayEmp=$C57)*(PayDate&lt;=$AC57)*(OFFSET($N$6,1,MATCH(AP$5,PayDedList,0)-1,PayCount,1)))/$AA57*12*AP$3,IF(OR(AP$1="Fixed",AP$1="Not Used"),SUMPRODUCT((PayEmp=$C57)*(PayDate&lt;=$AC57)*(OFFSET($N$6,1,MATCH(AP$5,PayDedList,0)-1,PayCount,1)))/$AA57*12*AP$3,IF(ISNA(MATCH(AP$1,EarnListItem,0))=FALSE,SUMPRODUCT((PayEmp=$C57)*(PayDate&lt;=$AC57)*(OFFSET($N$6,1,MATCH(AP$5,PayDedList,0)-1,PayCount,1)))/$AA57*12*AP$3,(MIN(((SUMPRODUCT((PayEmp=$C57)*(PayDate&lt;=$AC57)*(ISERROR(SEARCH(PayEarnCode,AP$2)))*(PayEarnType="Monthly")*(PayEarnValues))/$AA57*12)+(SUMPRODUCT((PayEmp=$C57)*(PayDate&lt;=$AC57)*(ISERROR(SEARCH(PayEarnCode,AP$2)))*(PayEarnType="Quarterly")*(PayEarnValues))/MAX(1,ROUNDDOWN($AB57/3,0))*4)+(SUMPRODUCT((PayEmp=$C57)*(PayDate&lt;=$AC57)*(ISERROR(SEARCH(PayEarnCode,AP$2)))*(PayEarnType="Bi-Annual")*(PayEarnValues))/MAX(1,ROUNDDOWN($AB57/6,0))*2)+(SUMPRODUCT((PayEmp=$C57)*(PayDate&lt;=$AC57)*(ISERROR(SEARCH(PayEarnCode,AP$2)))*(PayEarnType="Annual")*(PayEarnValues)))),IF(ISNUMBER(OFFSET($N$3,0,MATCH(AP$5,PayDedList,0)-1,1,1)),OFFSET($N$3,0,MATCH(AP$5,PayDedList,0)-1,1,1),IgnoreMin)))*IF(COUNTIFS(EmpNo,$C57,OFFSET(Emp!$R$4,1,MATCH(AP$5,DedListItem,0)-1,EmpCount,1),"&lt;&gt;")&gt;0,VLOOKUP($C57,EmpAll,COLUMN(Emp!$R$4)+MATCH(AP$5,DedListItem,0)-1,0),OFFSET(Setup!$E$73,MATCH(AP$5,DedListItem,0),0,1,1))*AP$3))),IF(ISNUMBER(AP$4),AP$4,IgnoreMin)))))</f>
        <v>0</v>
      </c>
      <c r="AQ57" s="148" cm="1">
        <f t="array" aca="1" ref="AQ57" ca="1">-IF($F57="Terminated",0,IF($AA57=0,0,IF(ISNA(MATCH(AQ$5,PayDedList,0)),0,MIN(IF(COUNTIFS(OverEmp,$C57,OverDeduct,AQ$5,OverDate,"&lt;"&amp;DATE(YEAR($AC57),MONTH($AC57)+1,1),OverEnd,"&gt;="&amp;DATE(YEAR($AC57),MONTH($AC57),1))&gt;0,SUMPRODUCT((PayEmp=$C57)*(PayDate&lt;=$AC57)*(OFFSET($N$6,1,MATCH(AQ$5,PayDedList,0)-1,PayCount,1)))/$AA57*12*AQ$3,IF(OR(AQ$1="Fixed",AQ$1="Not Used"),SUMPRODUCT((PayEmp=$C57)*(PayDate&lt;=$AC57)*(OFFSET($N$6,1,MATCH(AQ$5,PayDedList,0)-1,PayCount,1)))/$AA57*12*AQ$3,IF(ISNA(MATCH(AQ$1,EarnListItem,0))=FALSE,SUMPRODUCT((PayEmp=$C57)*(PayDate&lt;=$AC57)*(OFFSET($N$6,1,MATCH(AQ$5,PayDedList,0)-1,PayCount,1)))/$AA57*12*AQ$3,(MIN(((SUMPRODUCT((PayEmp=$C57)*(PayDate&lt;=$AC57)*(ISERROR(SEARCH(PayEarnCode,AQ$2)))*(PayEarnType="Monthly")*(PayEarnValues))/$AA57*12)+(SUMPRODUCT((PayEmp=$C57)*(PayDate&lt;=$AC57)*(ISERROR(SEARCH(PayEarnCode,AQ$2)))*(PayEarnType="Quarterly")*(PayEarnValues))/MAX(1,ROUNDDOWN($AB57/3,0))*4)+(SUMPRODUCT((PayEmp=$C57)*(PayDate&lt;=$AC57)*(ISERROR(SEARCH(PayEarnCode,AQ$2)))*(PayEarnType="Bi-Annual")*(PayEarnValues))/MAX(1,ROUNDDOWN($AB57/6,0))*2)+(SUMPRODUCT((PayEmp=$C57)*(PayDate&lt;=$AC57)*(ISERROR(SEARCH(PayEarnCode,AQ$2)))*(PayEarnType="Annual")*(PayEarnValues)))),IF(ISNUMBER(OFFSET($N$3,0,MATCH(AQ$5,PayDedList,0)-1,1,1)),OFFSET($N$3,0,MATCH(AQ$5,PayDedList,0)-1,1,1),IgnoreMin)))*IF(COUNTIFS(EmpNo,$C57,OFFSET(Emp!$R$4,1,MATCH(AQ$5,DedListItem,0)-1,EmpCount,1),"&lt;&gt;")&gt;0,VLOOKUP($C57,EmpAll,COLUMN(Emp!$R$4)+MATCH(AQ$5,DedListItem,0)-1,0),OFFSET(Setup!$E$73,MATCH(AQ$5,DedListItem,0),0,1,1))*AQ$3))),IF(ISNUMBER(AQ$4),AQ$4,IgnoreMin)))))</f>
        <v>0</v>
      </c>
      <c r="AR57" s="148">
        <f t="shared" ca="1" si="22"/>
        <v>120000</v>
      </c>
      <c r="AS57" s="148">
        <f t="shared" ca="1" si="11"/>
        <v>120000</v>
      </c>
      <c r="AT57" s="148" cm="1">
        <f t="array" aca="1" ref="AT57" ca="1">-IF($F57="Terminated",0,IF($AA57=0,0,IF(ISNA(MATCH(AT$5,PayDedList,0)),0,MIN(IF(COUNTIFS(OverEmp,$C57,OverDeduct,AT$5,OverDate,"&lt;"&amp;DATE(YEAR($AC57),MONTH($AC57)+1,1),OverEnd,"&gt;="&amp;DATE(YEAR($AC57),MONTH($AC57),1))&gt;0,SUMPRODUCT((PayEmp=$C57)*(PayDate&lt;=$AC57)*(OFFSET($N$6,1,MATCH(AT$5,PayDedList,0)-1,PayCount,1)))/$AA57*12*AT$3,IF(OR(AT$1="Fixed",AT$1="Not Used"),SUMPRODUCT((PayEmp=$C57)*(PayDate&lt;=$AC57)*(OFFSET($N$6,1,MATCH(AT$5,PayDedList,0)-1,PayCount,1)))/$AA57*12*AT$3,IF(ISNA(MATCH(OFFSET($N$2,0,MATCH(AT$5,PayDedList,0)-1,1,1),EarnListItem,0))=FALSE,SUMPRODUCT((PayEmp=$C57)*(PayDate&lt;=$AC57)*(OFFSET($N$6,1,MATCH(AT$5,PayDedList,0)-1,PayCount,1)))/$AA57*12*AT$3,(MIN(SUMPRODUCT((PayEmp=$C57)*(PayDate&lt;=$AC57)*(ISERROR(SEARCH(PayEarnCode,AT$2)))*(PayEarnType="Monthly")*(PayEarnValues))/$AA57*12,IF(ISNUMBER(OFFSET($N$3,0,MATCH(AT$5,PayDedList,0)-1,1,1)),OFFSET($N$3,0,MATCH(AT$5,PayDedList,0)-1,1,1),IgnoreMin)))*IF(COUNTIFS(EmpNo,$C57,OFFSET(Emp!$R$4,1,MATCH(AT$5,DedListItem,0)-1,EmpCount,1),"&lt;&gt;")&gt;0,VLOOKUP($C57,EmpAll,COLUMN(Emp!$R$4)+MATCH(AT$5,DedListItem,0)-1,0),OFFSET(Setup!$E$73,MATCH(AT$5,DedListItem,0),0,1,1))*AT$3))),IF(ISNUMBER(AT$4),AT$4,IgnoreMin)))))</f>
        <v>0</v>
      </c>
      <c r="AU57" s="148" cm="1">
        <f t="array" aca="1" ref="AU57" ca="1">-IF($F57="Terminated",0,IF($AA57=0,0,IF(ISNA(MATCH(AU$5,PayDedList,0)),0,MIN(IF(COUNTIFS(OverEmp,$C57,OverDeduct,AU$5,OverDate,"&lt;"&amp;DATE(YEAR($AC57),MONTH($AC57)+1,1),OverEnd,"&gt;="&amp;DATE(YEAR($AC57),MONTH($AC57),1))&gt;0,SUMPRODUCT((PayEmp=$C57)*(PayDate&lt;=$AC57)*(OFFSET($N$6,1,MATCH(AU$5,PayDedList,0)-1,PayCount,1)))/$AA57*12*AU$3,IF(OR(AU$1="Fixed",AU$1="Not Used"),SUMPRODUCT((PayEmp=$C57)*(PayDate&lt;=$AC57)*(OFFSET($N$6,1,MATCH(AU$5,PayDedList,0)-1,PayCount,1)))/$AA57*12*AU$3,IF(ISNA(MATCH(OFFSET($N$2,0,MATCH(AU$5,PayDedList,0)-1,1,1),EarnListItem,0))=FALSE,SUMPRODUCT((PayEmp=$C57)*(PayDate&lt;=$AC57)*(OFFSET($N$6,1,MATCH(AU$5,PayDedList,0)-1,PayCount,1)))/$AA57*12*AU$3,(MIN(SUMPRODUCT((PayEmp=$C57)*(PayDate&lt;=$AC57)*(ISERROR(SEARCH(PayEarnCode,AU$2)))*(PayEarnType="Monthly")*(PayEarnValues))/$AA57*12,IF(ISNUMBER(OFFSET($N$3,0,MATCH(AU$5,PayDedList,0)-1,1,1)),OFFSET($N$3,0,MATCH(AU$5,PayDedList,0)-1,1,1),IgnoreMin)))*IF(COUNTIFS(EmpNo,$C57,OFFSET(Emp!$R$4,1,MATCH(AU$5,DedListItem,0)-1,EmpCount,1),"&lt;&gt;")&gt;0,VLOOKUP($C57,EmpAll,COLUMN(Emp!$R$4)+MATCH(AU$5,DedListItem,0)-1,0),OFFSET(Setup!$E$73,MATCH(AU$5,DedListItem,0),0,1,1))*AU$3))),IF(ISNUMBER(AU$4),AU$4,IgnoreMin)))))</f>
        <v>0</v>
      </c>
      <c r="AV57" s="148" cm="1">
        <f t="array" aca="1" ref="AV57" ca="1">-IF($F57="Terminated",0,IF($AA57=0,0,IF(ISNA(MATCH(AV$5,PayDedList,0)),0,MIN(IF(COUNTIFS(OverEmp,$C57,OverDeduct,AV$5,OverDate,"&lt;"&amp;DATE(YEAR($AC57),MONTH($AC57)+1,1),OverEnd,"&gt;="&amp;DATE(YEAR($AC57),MONTH($AC57),1))&gt;0,SUMPRODUCT((PayEmp=$C57)*(PayDate&lt;=$AC57)*(OFFSET($N$6,1,MATCH(AV$5,PayDedList,0)-1,PayCount,1)))/$AA57*12*AV$3,IF(OR(AV$1="Fixed",AV$1="Not Used"),SUMPRODUCT((PayEmp=$C57)*(PayDate&lt;=$AC57)*(OFFSET($N$6,1,MATCH(AV$5,PayDedList,0)-1,PayCount,1)))/$AA57*12*AV$3,IF(ISNA(MATCH(OFFSET($N$2,0,MATCH(AV$5,PayDedList,0)-1,1,1),EarnListItem,0))=FALSE,SUMPRODUCT((PayEmp=$C57)*(PayDate&lt;=$AC57)*(OFFSET($N$6,1,MATCH(AV$5,PayDedList,0)-1,PayCount,1)))/$AA57*12*AV$3,(MIN(SUMPRODUCT((PayEmp=$C57)*(PayDate&lt;=$AC57)*(ISERROR(SEARCH(PayEarnCode,AV$2)))*(PayEarnType="Monthly")*(PayEarnValues))/$AA57*12,IF(ISNUMBER(OFFSET($N$3,0,MATCH(AV$5,PayDedList,0)-1,1,1)),OFFSET($N$3,0,MATCH(AV$5,PayDedList,0)-1,1,1),IgnoreMin)))*IF(COUNTIFS(EmpNo,$C57,OFFSET(Emp!$R$4,1,MATCH(AV$5,DedListItem,0)-1,EmpCount,1),"&lt;&gt;")&gt;0,VLOOKUP($C57,EmpAll,COLUMN(Emp!$R$4)+MATCH(AV$5,DedListItem,0)-1,0),OFFSET(Setup!$E$73,MATCH(AV$5,DedListItem,0),0,1,1))*AV$3))),IF(ISNUMBER(AV$4),AV$4,IgnoreMin)))))</f>
        <v>0</v>
      </c>
      <c r="AW57" s="148" cm="1">
        <f t="array" aca="1" ref="AW57" ca="1">-IF($F57="Terminated",0,IF($AA57=0,0,IF(ISNA(MATCH(AW$5,PayDedList,0)),0,MIN(IF(COUNTIFS(OverEmp,$C57,OverDeduct,AW$5,OverDate,"&lt;"&amp;DATE(YEAR($AC57),MONTH($AC57)+1,1),OverEnd,"&gt;="&amp;DATE(YEAR($AC57),MONTH($AC57),1))&gt;0,SUMPRODUCT((PayEmp=$C57)*(PayDate&lt;=$AC57)*(OFFSET($N$6,1,MATCH(AW$5,PayDedList,0)-1,PayCount,1)))/$AA57*12*AW$3,IF(OR(AW$1="Fixed",AW$1="Not Used"),SUMPRODUCT((PayEmp=$C57)*(PayDate&lt;=$AC57)*(OFFSET($N$6,1,MATCH(AW$5,PayDedList,0)-1,PayCount,1)))/$AA57*12*AW$3,IF(ISNA(MATCH(OFFSET($N$2,0,MATCH(AW$5,PayDedList,0)-1,1,1),EarnListItem,0))=FALSE,SUMPRODUCT((PayEmp=$C57)*(PayDate&lt;=$AC57)*(OFFSET($N$6,1,MATCH(AW$5,PayDedList,0)-1,PayCount,1)))/$AA57*12*AW$3,(MIN(SUMPRODUCT((PayEmp=$C57)*(PayDate&lt;=$AC57)*(ISERROR(SEARCH(PayEarnCode,AW$2)))*(PayEarnType="Monthly")*(PayEarnValues))/$AA57*12,IF(ISNUMBER(OFFSET($N$3,0,MATCH(AW$5,PayDedList,0)-1,1,1)),OFFSET($N$3,0,MATCH(AW$5,PayDedList,0)-1,1,1),IgnoreMin)))*IF(COUNTIFS(EmpNo,$C57,OFFSET(Emp!$R$4,1,MATCH(AW$5,DedListItem,0)-1,EmpCount,1),"&lt;&gt;")&gt;0,VLOOKUP($C57,EmpAll,COLUMN(Emp!$R$4)+MATCH(AW$5,DedListItem,0)-1,0),OFFSET(Setup!$E$73,MATCH(AW$5,DedListItem,0),0,1,1))*AW$3))),IF(ISNUMBER(AW$4),AW$4,IgnoreMin)))))</f>
        <v>0</v>
      </c>
      <c r="AX57" s="148">
        <f t="shared" ca="1" si="28"/>
        <v>120000</v>
      </c>
      <c r="AY57" s="148">
        <f t="shared" ca="1" si="29"/>
        <v>0</v>
      </c>
      <c r="AZ57" s="148">
        <f ca="1">IF(ISNUMBER($AL57),($AR57*$AL57)-$AI57-$AK57,MAX(0,IF($AL57="B",IF($AR57&lt;Setup!$C$32,($AR57*Setup!$D$32)-$AI57-$AK57,(($AR57-VLOOKUP($AR57,TaxAll2,1,1))*OFFSET(Setup!$D$32,MATCH($AR57,TaxBracket2,1),0,1,1))+OFFSET(Setup!$E$31,MATCH($AR57,TaxBracket2,1),0,1,1)-$AI57-$AK57),IF($AR57&lt;Setup!$C$21,($AR57*Setup!$D$21)-$AI57-$AK57,(($AR57-VLOOKUP($AR57,TaxAll1,1,1))*OFFSET(Setup!$D$21,MATCH($AR57,TaxBracket1,1),0,1,1))+OFFSET(Setup!$E$20,MATCH($AR57,TaxBracket1,1),0,1,1)-$AI57-$AK57))))</f>
        <v>0</v>
      </c>
      <c r="BA57" s="148">
        <f ca="1">IF(ISNUMBER($AL57),($AX57*$AL57)-$AI57-$AK57,MAX(0,IF($AL57="B",IF($AX57&lt;Setup!$C$32,($AX57*Setup!$D$32)-$AI57-$AK57,(($AX57-VLOOKUP($AX57,TaxAll2,1,1))*OFFSET(Setup!$D$32,MATCH($AX57,TaxBracket2,1),0,1,1))+OFFSET(Setup!$E$31,MATCH($AX57,TaxBracket2,1),0,1,1)-$AI57-$AK57),IF($AX57&lt;Setup!$C$21,($AX57*Setup!$D$21)-$AI57-$AK57,(($AX57-VLOOKUP($AX57,TaxAll1,1,1))*OFFSET(Setup!$D$21,MATCH($AX57,TaxBracket1,1),0,1,1))+OFFSET(Setup!$E$20,MATCH($AX57,TaxBracket1,1),0,1,1)-$AI57-$AK57))))</f>
        <v>0</v>
      </c>
      <c r="BB57" s="148">
        <f t="shared" ca="1" si="23"/>
        <v>0</v>
      </c>
      <c r="BC57" s="150">
        <f t="shared" ca="1" si="15"/>
        <v>1</v>
      </c>
      <c r="BD57" s="150">
        <f t="shared" ca="1" si="16"/>
        <v>0</v>
      </c>
      <c r="BE57" s="148">
        <f t="shared" ca="1" si="17"/>
        <v>120000</v>
      </c>
    </row>
    <row r="58" spans="1:57" ht="16.149999999999999" customHeight="1" x14ac:dyDescent="0.25">
      <c r="A58" s="10" t="str" cm="1">
        <f t="array" aca="1" ref="A58" ca="1">IF(ROW($A58)-ROW($A$6)&gt;EmpCount*12,"-",TEXT($B58,"yyyy")&amp;TEXT($B58,"mm")&amp;"-"&amp;$C58)</f>
        <v>202306-EXS007</v>
      </c>
      <c r="B58" s="137" cm="1">
        <f t="array" aca="1" ref="B58" ca="1">IF(ROW($A58)-ROW($A$6)&gt;EmpCount*12,Setup!$D$12,DATE(YEAR(Setup!$F$12),MONTH(Setup!$F$12)+ROUNDDOWN((ROW($A58)-ROW($A$6)-1)/EmpCount,0),IF(Setup!$C$14&gt;DAY(DATE(YEAR(Setup!$F$12),MONTH(Setup!$F$12)+ROUNDDOWN((ROW($A58)-ROW($A$6)-1)/EmpCount,0)+1,0)),DAY(DATE(YEAR(Setup!$F$12),MONTH(Setup!$F$12)+ROUNDDOWN((ROW($A58)-ROW($A$6)-1)/EmpCount,0)+1,0)),Setup!$C$14)))</f>
        <v>45102</v>
      </c>
      <c r="C58" s="101" t="str" cm="1">
        <f t="array" aca="1" ref="C58" ca="1">IF(ROW($A58)-ROW($A$6)&gt;EmpCount*12,"-",OFFSET(Emp!$A$4,ROW($A58)-ROW($A$6)-IF(ROW($A58)-ROW($A$6)&gt;EmpCount,ROUNDDOWN((ROW($A58)-ROW($A$6)-1)/EmpCount,0)*EmpCount,0),0,1,1))</f>
        <v>EXS007</v>
      </c>
      <c r="D58" s="10" t="str">
        <f ca="1">IF(ISNA(VLOOKUP($C58,EmpAll,COLUMN(Emp!$B$4),0)),"-",VLOOKUP($C58,EmpAll,COLUMN(Emp!$B$4),0))</f>
        <v>Phillips KE</v>
      </c>
      <c r="E58" s="145" t="str">
        <f ca="1">IF(ISNA(VLOOKUP($C58,EmpAll,COLUMN(Emp!$C$4),0)),"-",VLOOKUP($C58,EmpAll,COLUMN(Emp!$C$4),0))</f>
        <v>A</v>
      </c>
      <c r="F58" s="101" t="str">
        <f ca="1">IF(ISNA(VLOOKUP($C58,EmpAll,COLUMN(Emp!$A$4),0)),"-",IF(AND(VLOOKUP($C58,EmpAll,COLUMN(Emp!$E$4),0)&lt;&gt;0,VLOOKUP($C58,EmpAll,COLUMN(Emp!$E$4),0)&gt;=DATE(YEAR($AC58),MONTH($AC58)+1,0)),"Inactive",IF(AND(VLOOKUP($C58,EmpAll,COLUMN(Emp!$F$4),0)&lt;&gt;0,VLOOKUP($C58,EmpAll,COLUMN(Emp!$F$4),0)&lt;=DATE(YEAR($AC58),MONTH($AC58),0)),"Terminated","Active")))</f>
        <v>Terminated</v>
      </c>
      <c r="G58" s="133" cm="1">
        <f t="array" aca="1" ref="G58" ca="1">IF($F58&lt;&gt;"Active",0,IF(COUNTIFS(OverEmp,$C58,OverEarn,G$2,OverDate,"&lt;"&amp;DATE(YEAR($AC58),MONTH($AC58)+1,1),OverEnd,"&gt;="&amp;DATE(YEAR($AC58),MONTH($AC58),1))&gt;0,SUMIFS(OverValue,OverEmp,$C58,OverEarn,G$2,OverDate,"&lt;"&amp;DATE(YEAR($AC58),MONTH($AC58)+1,1),OverEnd,"&gt;="&amp;DATE(YEAR($AC58),MONTH($AC58),1)),IF(AND($AC58&gt;=Setup!$E$10,SUMIFS(EmpIncrease,EmpCode,$C58)&gt;0),SUMIFS(EmpIncrease,EmpCode,$C58),SUMIFS(EmpSalary,EmpCode,$C58))))</f>
        <v>0</v>
      </c>
      <c r="H58" s="133" cm="1">
        <f t="array" aca="1" ref="H58" ca="1">IF($F58&lt;&gt;"Active",0,IF(COUNTIFS(OverEmp,$C58,OverEarn,H$2,OverDate,"&lt;"&amp;DATE(YEAR($AC58),MONTH($AC58)+1,1),OverEnd,"&gt;="&amp;DATE(YEAR($AC58),MONTH($AC58),1))&gt;0,SUMIFS(OverValue,OverEmp,$C58,OverEarn,H$2,OverDate,"&lt;"&amp;DATE(YEAR($AC58),MONTH($AC58)+1,1),OverEnd,"&gt;="&amp;DATE(YEAR($AC58),MONTH($AC58),1)),0))</f>
        <v>0</v>
      </c>
      <c r="I58" s="133" cm="1">
        <f t="array" aca="1" ref="I58" ca="1">IF($F58&lt;&gt;"Active",0,IF(COUNTIFS(OverEmp,$C58,OverEarn,I$2,OverDate,"&lt;"&amp;DATE(YEAR($AC58),MONTH($AC58)+1,1),OverEnd,"&gt;="&amp;DATE(YEAR($AC58),MONTH($AC58),1))&gt;0,SUMIFS(OverValue,OverEmp,$C58,OverEarn,I$2,OverDate,"&lt;"&amp;DATE(YEAR($AC58),MONTH($AC58)+1,1),OverEnd,"&gt;="&amp;DATE(YEAR($AC58),MONTH($AC58),1)),IF(MONTH(B58)=Setup!$C$15,SUMIFS(EmpBonus,EmpCode,$C58),0)))</f>
        <v>0</v>
      </c>
      <c r="J58" s="133" cm="1">
        <f t="array" aca="1" ref="J58" ca="1">IF($F58&lt;&gt;"Active",0,IF(COUNTIFS(OverEmp,$C58,OverEarn,J$2,OverDate,"&lt;"&amp;DATE(YEAR($AC58),MONTH($AC58)+1,1),OverEnd,"&gt;="&amp;DATE(YEAR($AC58),MONTH($AC58),1))&gt;0,SUMIFS(OverValue,OverEmp,$C58,OverEarn,J$2,OverDate,"&lt;"&amp;DATE(YEAR($AC58),MONTH($AC58)+1,1),OverEnd,"&gt;="&amp;DATE(YEAR($AC58),MONTH($AC58),1)),0))</f>
        <v>0</v>
      </c>
      <c r="K58" s="133" cm="1">
        <f t="array" aca="1" ref="K58" ca="1">IF($F58&lt;&gt;"Active",0,IF(COUNTIFS(OverEmp,$C58,OverEarn,K$2,OverDate,"&lt;"&amp;DATE(YEAR($AC58),MONTH($AC58)+1,1),OverEnd,"&gt;="&amp;DATE(YEAR($AC58),MONTH($AC58),1))&gt;0,SUMIFS(OverValue,OverEmp,$C58,OverEarn,K$2,OverDate,"&lt;"&amp;DATE(YEAR($AC58),MONTH($AC58)+1,1),OverEnd,"&gt;="&amp;DATE(YEAR($AC58),MONTH($AC58),1)),0))</f>
        <v>0</v>
      </c>
      <c r="L58" s="185">
        <f t="shared" ca="1" si="24"/>
        <v>0</v>
      </c>
      <c r="M58" s="182" cm="1">
        <f t="array" aca="1" ref="M58" ca="1">IF(COUNTIFS(OverEmp,$C58,OverTax,M$5,OverDate,"&lt;"&amp;DATE(YEAR($AC58),MONTH($AC58)+1,1),OverEnd,"&gt;="&amp;DATE(YEAR($AC58),MONTH($AC58),1))&gt;0,SUMIFS(OverValue,OverEmp,$C58,OverTax,M$5,OverDate,"&lt;"&amp;DATE(YEAR($AC58),MONTH($AC58)+1,1),OverEnd,"&gt;="&amp;DATE(YEAR($AC58),MONTH($AC58),1)),(($BA58/12*$AA58)+(BB58*IF(1-$BC58=0,0,BD58/(1-$BC58))))-IF($F58="Terminated",0,SUMIFS(PayTaxDeduct,PayDate,"&lt;"&amp;$AC58,PayEmp,$C58)))</f>
        <v>0</v>
      </c>
      <c r="N58" s="133" cm="1">
        <f t="array" aca="1" ref="N58" ca="1">IF($F58="Terminated",0,IF($AA58=0,0,IF(ISNA(MATCH(N$5,DedListItem,0)),0,IF(COUNTIFS(OverEmp,$C58,OverDeduct,N$5,OverDate,"&lt;"&amp;DATE(YEAR($AC58),MONTH($AC58)+1,1),OverEnd,"&gt;="&amp;DATE(YEAR($AC58),MONTH($AC58),1))&gt;0,SUMIFS(OverValue,OverEmp,$C58,OverDeduct,N$5,OverDate,"&lt;"&amp;DATE(YEAR($AC58),MONTH($AC58)+1,1),OverEnd,"&gt;="&amp;DATE(YEAR($AC58),MONTH($AC58),1)),IF(OR(N$2="Fixed",N$2="Not Used"),(IF(COUNTIFS(EmpNo,$C58,OFFSET(Emp!$R$4,1,MATCH(N$5,DedListItem,0)-1,EmpCount,1),"&lt;&gt;")&gt;0,VLOOKUP($C58,EmpAll,COLUMN(Emp!$R$4)+MATCH(N$5,DedListItem,0)-1,0),OFFSET(Setup!$E$73,MATCH(N$5,DedListItem,0),0,1,1))*$AA58)-SUMIFS(OFFSET(N$6,1,0,PayCount,1),PayDate,"&lt;"&amp;$AC58,PayEmp,$C58),IF(ISNA(MATCH(N$2,EarnListItem,0))=FALSE,IF(OFFSET(Setup!$G$73,MATCH(N$5,DedListItem,0),0,1,1)="Taxable",SUMPRODUCT((PayEmp=$C58)*(PayDate&lt;=$AC58)*(PayEarnCode=N$2)*(PayEarnTax)*(PayEarnValues)),SUMPRODUCT((PayEmp=$C58)*(PayDate&lt;=$AC58)*(PayEarnCode=N$2)*(PayEarnValues)))*IF(COUNTIFS(EmpNo,$C58,OFFSET(Emp!$R$4,1,MATCH(N$5,DedListItem,0)-1,EmpCount,1),"&lt;&gt;")&gt;0,VLOOKUP($C58,EmpAll,COLUMN(Emp!$R$4)+MATCH(N$5,DedListItem,0)-1,0),OFFSET(Setup!$E$73,MATCH(N$5,DedListItem,0),0,1,1)),(MIN(IF(OFFSET(Setup!$G$73,MATCH(N$5,DedListItem,0),0,1,1)="Taxable",SUMPRODUCT((PayEmp=$C58)*(PayDate&lt;=$AC58)*(ISERROR(SEARCH(PayEarnCode,N$4)))*(PayEarnTax)*(PayEarnValues)),SUMPRODUCT((PayEmp=$C58)*(PayDate&lt;=$AC58)*(ISERROR(SEARCH(PayEarnCode,N$4)))*(PayEarnValues))),IF(ISNUMBER(N$3),N$3/12*$AA58,IgnoreMin)))*IF(COUNTIFS(EmpNo,$C58,OFFSET(Emp!$R$4,1,MATCH(N$5,DedListItem,0)-1,EmpCount,1),"&lt;&gt;")&gt;0,VLOOKUP($C58,EmpAll,COLUMN(Emp!$R$4)+MATCH(N$5,DedListItem,0)-1,0),OFFSET(Setup!$E$73,MATCH(N$5,DedListItem,0),0,1,1)))-SUMIFS(OFFSET(N$6,1,0,PayCount,1),PayDate,"&lt;"&amp;$AC58,PayEmp,$C58))))))</f>
        <v>0</v>
      </c>
      <c r="O58" s="133" cm="1">
        <f t="array" aca="1" ref="O58" ca="1">IF($F58="Terminated",0,IF($AA58=0,0,IF(ISNA(MATCH(O$5,DedListItem,0)),0,IF(COUNTIFS(OverEmp,$C58,OverDeduct,O$5,OverDate,"&lt;"&amp;DATE(YEAR($AC58),MONTH($AC58)+1,1),OverEnd,"&gt;="&amp;DATE(YEAR($AC58),MONTH($AC58),1))&gt;0,SUMIFS(OverValue,OverEmp,$C58,OverDeduct,O$5,OverDate,"&lt;"&amp;DATE(YEAR($AC58),MONTH($AC58)+1,1),OverEnd,"&gt;="&amp;DATE(YEAR($AC58),MONTH($AC58),1)),IF(OR(O$2="Fixed",O$2="Not Used"),(IF(COUNTIFS(EmpNo,$C58,OFFSET(Emp!$R$4,1,MATCH(O$5,DedListItem,0)-1,EmpCount,1),"&lt;&gt;")&gt;0,VLOOKUP($C58,EmpAll,COLUMN(Emp!$R$4)+MATCH(O$5,DedListItem,0)-1,0),OFFSET(Setup!$E$73,MATCH(O$5,DedListItem,0),0,1,1))*$AA58)-SUMIFS(OFFSET(O$6,1,0,PayCount,1),PayDate,"&lt;"&amp;$AC58,PayEmp,$C58),IF(ISNA(MATCH(O$2,EarnListItem,0))=FALSE,IF(OFFSET(Setup!$G$73,MATCH(O$5,DedListItem,0),0,1,1)="Taxable",SUMPRODUCT((PayEmp=$C58)*(PayDate&lt;=$AC58)*(PayEarnCode=O$2)*(PayEarnTax)*(PayEarnValues)),SUMPRODUCT((PayEmp=$C58)*(PayDate&lt;=$AC58)*(PayEarnCode=O$2)*(PayEarnValues)))*IF(COUNTIFS(EmpNo,$C58,OFFSET(Emp!$R$4,1,MATCH(O$5,DedListItem,0)-1,EmpCount,1),"&lt;&gt;")&gt;0,VLOOKUP($C58,EmpAll,COLUMN(Emp!$R$4)+MATCH(O$5,DedListItem,0)-1,0),OFFSET(Setup!$E$73,MATCH(O$5,DedListItem,0),0,1,1)),(MIN(IF(OFFSET(Setup!$G$73,MATCH(O$5,DedListItem,0),0,1,1)="Taxable",SUMPRODUCT((PayEmp=$C58)*(PayDate&lt;=$AC58)*(ISERROR(SEARCH(PayEarnCode,O$4)))*(PayEarnTax)*(PayEarnValues)),SUMPRODUCT((PayEmp=$C58)*(PayDate&lt;=$AC58)*(ISERROR(SEARCH(PayEarnCode,O$4)))*(PayEarnValues))),IF(ISNUMBER(O$3),O$3/12*$AA58,IgnoreMin)))*IF(COUNTIFS(EmpNo,$C58,OFFSET(Emp!$R$4,1,MATCH(O$5,DedListItem,0)-1,EmpCount,1),"&lt;&gt;")&gt;0,VLOOKUP($C58,EmpAll,COLUMN(Emp!$R$4)+MATCH(O$5,DedListItem,0)-1,0),OFFSET(Setup!$E$73,MATCH(O$5,DedListItem,0),0,1,1)))-SUMIFS(OFFSET(O$6,1,0,PayCount,1),PayDate,"&lt;"&amp;$AC58,PayEmp,$C58))))))</f>
        <v>0</v>
      </c>
      <c r="P58" s="133" cm="1">
        <f t="array" aca="1" ref="P58" ca="1">IF($F58="Terminated",0,IF($AA58=0,0,IF(ISNA(MATCH(P$5,DedListItem,0)),0,IF(COUNTIFS(OverEmp,$C58,OverDeduct,P$5,OverDate,"&lt;"&amp;DATE(YEAR($AC58),MONTH($AC58)+1,1),OverEnd,"&gt;="&amp;DATE(YEAR($AC58),MONTH($AC58),1))&gt;0,SUMIFS(OverValue,OverEmp,$C58,OverDeduct,P$5,OverDate,"&lt;"&amp;DATE(YEAR($AC58),MONTH($AC58)+1,1),OverEnd,"&gt;="&amp;DATE(YEAR($AC58),MONTH($AC58),1)),IF(OR(P$2="Fixed",P$2="Not Used"),(IF(COUNTIFS(EmpNo,$C58,OFFSET(Emp!$R$4,1,MATCH(P$5,DedListItem,0)-1,EmpCount,1),"&lt;&gt;")&gt;0,VLOOKUP($C58,EmpAll,COLUMN(Emp!$R$4)+MATCH(P$5,DedListItem,0)-1,0),OFFSET(Setup!$E$73,MATCH(P$5,DedListItem,0),0,1,1))*$AA58)-SUMIFS(OFFSET(P$6,1,0,PayCount,1),PayDate,"&lt;"&amp;$AC58,PayEmp,$C58),IF(ISNA(MATCH(P$2,EarnListItem,0))=FALSE,IF(OFFSET(Setup!$G$73,MATCH(P$5,DedListItem,0),0,1,1)="Taxable",SUMPRODUCT((PayEmp=$C58)*(PayDate&lt;=$AC58)*(PayEarnCode=P$2)*(PayEarnTax)*(PayEarnValues)),SUMPRODUCT((PayEmp=$C58)*(PayDate&lt;=$AC58)*(PayEarnCode=P$2)*(PayEarnValues)))*IF(COUNTIFS(EmpNo,$C58,OFFSET(Emp!$R$4,1,MATCH(P$5,DedListItem,0)-1,EmpCount,1),"&lt;&gt;")&gt;0,VLOOKUP($C58,EmpAll,COLUMN(Emp!$R$4)+MATCH(P$5,DedListItem,0)-1,0),OFFSET(Setup!$E$73,MATCH(P$5,DedListItem,0),0,1,1)),(MIN(IF(OFFSET(Setup!$G$73,MATCH(P$5,DedListItem,0),0,1,1)="Taxable",SUMPRODUCT((PayEmp=$C58)*(PayDate&lt;=$AC58)*(ISERROR(SEARCH(PayEarnCode,P$4)))*(PayEarnTax)*(PayEarnValues)),SUMPRODUCT((PayEmp=$C58)*(PayDate&lt;=$AC58)*(ISERROR(SEARCH(PayEarnCode,P$4)))*(PayEarnValues))),IF(ISNUMBER(P$3),P$3/12*$AA58,IgnoreMin)))*IF(COUNTIFS(EmpNo,$C58,OFFSET(Emp!$R$4,1,MATCH(P$5,DedListItem,0)-1,EmpCount,1),"&lt;&gt;")&gt;0,VLOOKUP($C58,EmpAll,COLUMN(Emp!$R$4)+MATCH(P$5,DedListItem,0)-1,0),OFFSET(Setup!$E$73,MATCH(P$5,DedListItem,0),0,1,1)))-SUMIFS(OFFSET(P$6,1,0,PayCount,1),PayDate,"&lt;"&amp;$AC58,PayEmp,$C58))))))</f>
        <v>0</v>
      </c>
      <c r="Q58" s="133" cm="1">
        <f t="array" aca="1" ref="Q58" ca="1">IF($F58="Terminated",0,IF($AA58=0,0,IF(ISNA(MATCH(Q$5,DedListItem,0)),0,IF(COUNTIFS(OverEmp,$C58,OverDeduct,Q$5,OverDate,"&lt;"&amp;DATE(YEAR($AC58),MONTH($AC58)+1,1),OverEnd,"&gt;="&amp;DATE(YEAR($AC58),MONTH($AC58),1))&gt;0,SUMIFS(OverValue,OverEmp,$C58,OverDeduct,Q$5,OverDate,"&lt;"&amp;DATE(YEAR($AC58),MONTH($AC58)+1,1),OverEnd,"&gt;="&amp;DATE(YEAR($AC58),MONTH($AC58),1)),IF(OR(Q$2="Fixed",Q$2="Not Used"),(IF(COUNTIFS(EmpNo,$C58,OFFSET(Emp!$R$4,1,MATCH(Q$5,DedListItem,0)-1,EmpCount,1),"&lt;&gt;")&gt;0,VLOOKUP($C58,EmpAll,COLUMN(Emp!$R$4)+MATCH(Q$5,DedListItem,0)-1,0),OFFSET(Setup!$E$73,MATCH(Q$5,DedListItem,0),0,1,1))*$AA58)-SUMIFS(OFFSET(Q$6,1,0,PayCount,1),PayDate,"&lt;"&amp;$AC58,PayEmp,$C58),IF(ISNA(MATCH(Q$2,EarnListItem,0))=FALSE,IF(OFFSET(Setup!$G$73,MATCH(Q$5,DedListItem,0),0,1,1)="Taxable",SUMPRODUCT((PayEmp=$C58)*(PayDate&lt;=$AC58)*(PayEarnCode=Q$2)*(PayEarnTax)*(PayEarnValues)),SUMPRODUCT((PayEmp=$C58)*(PayDate&lt;=$AC58)*(PayEarnCode=Q$2)*(PayEarnValues)))*IF(COUNTIFS(EmpNo,$C58,OFFSET(Emp!$R$4,1,MATCH(Q$5,DedListItem,0)-1,EmpCount,1),"&lt;&gt;")&gt;0,VLOOKUP($C58,EmpAll,COLUMN(Emp!$R$4)+MATCH(Q$5,DedListItem,0)-1,0),OFFSET(Setup!$E$73,MATCH(Q$5,DedListItem,0),0,1,1)),(MIN(IF(OFFSET(Setup!$G$73,MATCH(Q$5,DedListItem,0),0,1,1)="Taxable",SUMPRODUCT((PayEmp=$C58)*(PayDate&lt;=$AC58)*(ISERROR(SEARCH(PayEarnCode,Q$4)))*(PayEarnTax)*(PayEarnValues)),SUMPRODUCT((PayEmp=$C58)*(PayDate&lt;=$AC58)*(ISERROR(SEARCH(PayEarnCode,Q$4)))*(PayEarnValues))),IF(ISNUMBER(Q$3),Q$3/12*$AA58,IgnoreMin)))*IF(COUNTIFS(EmpNo,$C58,OFFSET(Emp!$R$4,1,MATCH(Q$5,DedListItem,0)-1,EmpCount,1),"&lt;&gt;")&gt;0,VLOOKUP($C58,EmpAll,COLUMN(Emp!$R$4)+MATCH(Q$5,DedListItem,0)-1,0),OFFSET(Setup!$E$73,MATCH(Q$5,DedListItem,0),0,1,1)))-SUMIFS(OFFSET(Q$6,1,0,PayCount,1),PayDate,"&lt;"&amp;$AC58,PayEmp,$C58))))))</f>
        <v>0</v>
      </c>
      <c r="R58" s="185">
        <f t="shared" ca="1" si="25"/>
        <v>0</v>
      </c>
      <c r="S58" s="139">
        <f t="shared" ca="1" si="26"/>
        <v>0</v>
      </c>
      <c r="T58" s="133" cm="1">
        <f t="array" aca="1" ref="T58" ca="1">IF($F58="Terminated",0,IF($AA58=0,0,IF(ISNA(MATCH(T$5,CompListItem,0)),0,IF(COUNTIFS(OverEmp,$C58,OverComp,T$5,OverDate,"&lt;"&amp;DATE(YEAR($AC58),MONTH($AC58)+1,1),OverEnd,"&gt;="&amp;DATE(YEAR($AC58),MONTH($AC58),1))&gt;0,SUMIFS(OverValue,OverEmp,$C58,OverComp,T$5,OverDate,"&lt;"&amp;DATE(YEAR($AC58),MONTH($AC58)+1,1),OverEnd,"&gt;="&amp;DATE(YEAR($AC58),MONTH($AC58),1)),IF(OR(T$2="Fixed",T$2="Not Used"),(OFFSET(Setup!$E$81,MATCH(T$5,CompListItem,0),0,1,1)*$AA58)-SUMIFS(OFFSET(T$6,1,0,PayCount,1),PayDate,"&lt;"&amp;$AC58,PayEmp,$C58),IF(ISNA(MATCH(T$2,DedListItem,0))=FALSE,(SUMPRODUCT((PayEmp=$C58)*(PayDate&lt;=$AC58)*(PayDedList=T$2)*(PayDedValues))*OFFSET(Setup!$E$81,MATCH(T$5,CompListItem,0),0,1,1))-SUMIFS(OFFSET(T$6,1,0,PayCount,1),PayDate,"&lt;"&amp;$AC58,PayEmp,$C58),(MIN(IF(OFFSET(Setup!$G$81,MATCH(T$5,CompListItem,0),0,1,1)="Taxable",SUMPRODUCT((PayEmp=$C58)*(PayDate&lt;=$AC58)*(ISERROR(SEARCH(PayEarnCode,T$4)))*(PayEarnTax)*(PayEarnValues)),SUMPRODUCT((PayEmp=$C58)*(PayDate&lt;=$AC58)*(ISERROR(SEARCH(PayEarnCode,T$4)))*(PayEarnValues))),IF(ISNUMBER(T$3),T$3/12*$AA58,IgnoreMin)))*OFFSET(Setup!$E$81,MATCH(T$5,CompListItem,0),0,1,1)-SUMIFS(OFFSET(T$6,1,0,PayCount,1),PayDate,"&lt;"&amp;$AC58,PayEmp,$C58)))))))</f>
        <v>0</v>
      </c>
      <c r="U58" s="133" cm="1">
        <f t="array" aca="1" ref="U58" ca="1">IF($F58="Terminated",0,IF($AA58=0,0,IF(ISNA(MATCH(U$5,CompListItem,0)),0,IF(COUNTIFS(OverEmp,$C58,OverComp,U$5,OverDate,"&lt;"&amp;DATE(YEAR($AC58),MONTH($AC58)+1,1),OverEnd,"&gt;="&amp;DATE(YEAR($AC58),MONTH($AC58),1))&gt;0,SUMIFS(OverValue,OverEmp,$C58,OverComp,U$5,OverDate,"&lt;"&amp;DATE(YEAR($AC58),MONTH($AC58)+1,1),OverEnd,"&gt;="&amp;DATE(YEAR($AC58),MONTH($AC58),1)),IF(OR(U$2="Fixed",U$2="Not Used"),(OFFSET(Setup!$E$81,MATCH(U$5,CompListItem,0),0,1,1)*$AA58)-SUMIFS(OFFSET(U$6,1,0,PayCount,1),PayDate,"&lt;"&amp;$AC58,PayEmp,$C58),IF(ISNA(MATCH(U$2,DedListItem,0))=FALSE,(SUMPRODUCT((PayEmp=$C58)*(PayDate&lt;=$AC58)*(PayDedList=U$2)*(PayDedValues))*OFFSET(Setup!$E$81,MATCH(U$5,CompListItem,0),0,1,1))-SUMIFS(OFFSET(U$6,1,0,PayCount,1),PayDate,"&lt;"&amp;$AC58,PayEmp,$C58),(MIN(IF(OFFSET(Setup!$G$81,MATCH(U$5,CompListItem,0),0,1,1)="Taxable",SUMPRODUCT((PayEmp=$C58)*(PayDate&lt;=$AC58)*(ISERROR(SEARCH(PayEarnCode,U$4)))*(PayEarnTax)*(PayEarnValues)),SUMPRODUCT((PayEmp=$C58)*(PayDate&lt;=$AC58)*(ISERROR(SEARCH(PayEarnCode,U$4)))*(PayEarnValues))),IF(ISNUMBER(U$3),U$3/12*$AA58,IgnoreMin)))*OFFSET(Setup!$E$81,MATCH(U$5,CompListItem,0),0,1,1)-SUMIFS(OFFSET(U$6,1,0,PayCount,1),PayDate,"&lt;"&amp;$AC58,PayEmp,$C58)))))))</f>
        <v>0</v>
      </c>
      <c r="V58" s="133" cm="1">
        <f t="array" aca="1" ref="V58" ca="1">IF($F58="Terminated",0,IF($AA58=0,0,IF(ISNA(MATCH(V$5,CompListItem,0)),0,IF(COUNTIFS(OverEmp,$C58,OverComp,V$5,OverDate,"&lt;"&amp;DATE(YEAR($AC58),MONTH($AC58)+1,1),OverEnd,"&gt;="&amp;DATE(YEAR($AC58),MONTH($AC58),1))&gt;0,SUMIFS(OverValue,OverEmp,$C58,OverComp,V$5,OverDate,"&lt;"&amp;DATE(YEAR($AC58),MONTH($AC58)+1,1),OverEnd,"&gt;="&amp;DATE(YEAR($AC58),MONTH($AC58),1)),IF(OR(V$2="Fixed",V$2="Not Used"),(OFFSET(Setup!$E$81,MATCH(V$5,CompListItem,0),0,1,1)*$AA58)-SUMIFS(OFFSET(V$6,1,0,PayCount,1),PayDate,"&lt;"&amp;$AC58,PayEmp,$C58),IF(ISNA(MATCH(V$2,DedListItem,0))=FALSE,(SUMPRODUCT((PayEmp=$C58)*(PayDate&lt;=$AC58)*(PayDedList=V$2)*(PayDedValues))*OFFSET(Setup!$E$81,MATCH(V$5,CompListItem,0),0,1,1))-SUMIFS(OFFSET(V$6,1,0,PayCount,1),PayDate,"&lt;"&amp;$AC58,PayEmp,$C58),(MIN(IF(OFFSET(Setup!$G$81,MATCH(V$5,CompListItem,0),0,1,1)="Taxable",SUMPRODUCT((PayEmp=$C58)*(PayDate&lt;=$AC58)*(ISERROR(SEARCH(PayEarnCode,V$4)))*(PayEarnTax)*(PayEarnValues)),SUMPRODUCT((PayEmp=$C58)*(PayDate&lt;=$AC58)*(ISERROR(SEARCH(PayEarnCode,V$4)))*(PayEarnValues))),IF(ISNUMBER(V$3),V$3/12*$AA58,IgnoreMin)))*OFFSET(Setup!$E$81,MATCH(V$5,CompListItem,0),0,1,1)-SUMIFS(OFFSET(V$6,1,0,PayCount,1),PayDate,"&lt;"&amp;$AC58,PayEmp,$C58)))))))</f>
        <v>0</v>
      </c>
      <c r="W58" s="133" cm="1">
        <f t="array" aca="1" ref="W58" ca="1">IF($F58="Terminated",0,IF($AA58=0,0,IF(ISNA(MATCH(W$5,CompListItem,0)),0,IF(COUNTIFS(OverEmp,$C58,OverComp,W$5,OverDate,"&lt;"&amp;DATE(YEAR($AC58),MONTH($AC58)+1,1),OverEnd,"&gt;="&amp;DATE(YEAR($AC58),MONTH($AC58),1))&gt;0,SUMIFS(OverValue,OverEmp,$C58,OverComp,W$5,OverDate,"&lt;"&amp;DATE(YEAR($AC58),MONTH($AC58)+1,1),OverEnd,"&gt;="&amp;DATE(YEAR($AC58),MONTH($AC58),1)),IF(OR(W$2="Fixed",W$2="Not Used"),(OFFSET(Setup!$E$81,MATCH(W$5,CompListItem,0),0,1,1)*$AA58)-SUMIFS(OFFSET(W$6,1,0,PayCount,1),PayDate,"&lt;"&amp;$AC58,PayEmp,$C58),IF(ISNA(MATCH(W$2,DedListItem,0))=FALSE,(SUMPRODUCT((PayEmp=$C58)*(PayDate&lt;=$AC58)*(PayDedList=W$2)*(PayDedValues))*OFFSET(Setup!$E$81,MATCH(W$5,CompListItem,0),0,1,1))-SUMIFS(OFFSET(W$6,1,0,PayCount,1),PayDate,"&lt;"&amp;$AC58,PayEmp,$C58),(MIN(IF(OFFSET(Setup!$G$81,MATCH(W$5,CompListItem,0),0,1,1)="Taxable",SUMPRODUCT((PayEmp=$C58)*(PayDate&lt;=$AC58)*(ISERROR(SEARCH(PayEarnCode,W$4)))*(PayEarnTax)*(PayEarnValues)),SUMPRODUCT((PayEmp=$C58)*(PayDate&lt;=$AC58)*(ISERROR(SEARCH(PayEarnCode,W$4)))*(PayEarnValues))),IF(ISNUMBER(W$3),W$3/12*$AA58,IgnoreMin)))*OFFSET(Setup!$E$81,MATCH(W$5,CompListItem,0),0,1,1)-SUMIFS(OFFSET(W$6,1,0,PayCount,1),PayDate,"&lt;"&amp;$AC58,PayEmp,$C58)))))))</f>
        <v>0</v>
      </c>
      <c r="X58" s="185">
        <f t="shared" ca="1" si="18"/>
        <v>0</v>
      </c>
      <c r="Y58" s="139">
        <f t="shared" ca="1" si="27"/>
        <v>0</v>
      </c>
      <c r="Z58" s="139">
        <f t="shared" ca="1" si="19"/>
        <v>0</v>
      </c>
      <c r="AA58" s="146">
        <f ca="1">IF(OR($B58&lt;=Setup!$E$12,$B58&gt;=Setup!$D$12+1),0,IF($F58&lt;&gt;"Active",0,IF($AE58="Yes",$AB58,((YEAR($AC58)*12)+MONTH($AC58))-((YEAR($AD58)*12)+MONTH($AD58)-1))))</f>
        <v>0</v>
      </c>
      <c r="AB58" s="146">
        <f ca="1">IF(OR($B58&lt;=Setup!$E$12,$B58&gt;=Setup!$D$12+1),0,((YEAR($AC58)*12)+MONTH($AC58))-((YEAR(Setup!$E$12)*12)+MONTH(Setup!$E$12)))</f>
        <v>4</v>
      </c>
      <c r="AC58" s="186">
        <f t="shared" ca="1" si="20"/>
        <v>45102</v>
      </c>
      <c r="AD58" s="144">
        <f ca="1">IF(ISNA(VLOOKUP($C58,EmpAll,COLUMN(Emp!$E$4),0)),$AC58,IF(VLOOKUP($C58,EmpAll,COLUMN(Emp!$E$4),0)&lt;=Setup!$E$12,DATE(YEAR(Setup!$E$12),MONTH(Setup!$E$12)+1,1),VLOOKUP($C58,EmpAll,COLUMN(Emp!$E$4),0)))</f>
        <v>44986</v>
      </c>
      <c r="AE58" s="144" t="str">
        <f ca="1">IF(ISNA(VLOOKUP($C58,EmpAll,COLUMN(Emp!$G$1),0)),"-",IF(VLOOKUP($C58,EmpAll,COLUMN(Emp!$G$1),0)=0,"-",VLOOKUP($C58,EmpAll,COLUMN(Emp!$G$1),0)))</f>
        <v>-</v>
      </c>
      <c r="AF58" s="145">
        <f ca="1">IF(A58=PaySlip!$G$3,1,0)</f>
        <v>0</v>
      </c>
      <c r="AG58" s="130" cm="1">
        <f t="array" aca="1" ref="AG58" ca="1">IF(COUNTIFS(OverEmp,$C58,OverMed,"MED",OverDate,"&lt;"&amp;DATE(YEAR($AC58),MONTH($AC58)+1,1),OverEnd,"&gt;="&amp;DATE(YEAR($AC58),MONTH($AC58),1))&gt;0,SUMIFS(OverValue,OverEmp,$C58,OverMed,"MED",OverDate,"&lt;"&amp;DATE(YEAR($AC58),MONTH($AC58)+1,1),OverEnd,"&gt;="&amp;DATE(YEAR($AC58),MONTH($AC58),1)),IF(ISNA(VLOOKUP($C58,EmpAll,COLUMN(Emp!$N$4),0)),0,VLOOKUP($C58,EmpAll,COLUMN(Emp!$N$4),0)))</f>
        <v>0</v>
      </c>
      <c r="AH58" s="146">
        <f ca="1">VLOOKUP($AG58,MedList,COLUMN(Setup!$C$49),1)</f>
        <v>0</v>
      </c>
      <c r="AI58" s="146">
        <f t="shared" ca="1" si="7"/>
        <v>0</v>
      </c>
      <c r="AJ58" s="101" t="str">
        <f ca="1">IF(ISNA(VLOOKUP($C58,EmpAll,COLUMN(Emp!$L$4),0)),"None!",VLOOKUP($C58,EmpAll,COLUMN(Emp!$L$4),0))</f>
        <v>A</v>
      </c>
      <c r="AK58" s="147">
        <f t="shared" ca="1" si="21"/>
        <v>17235</v>
      </c>
      <c r="AL58" s="101" t="str">
        <f ca="1">IF(ISNA(VLOOKUP($C58,Employees[],COLUMN(Emp!$M$4),0))=TRUE,"Error!",IF(VLOOKUP($C58,Employees[],COLUMN(Emp!$M$4),0)=0,"Yes",VLOOKUP($C58,Employees[],COLUMN(Emp!$M$4),0)))</f>
        <v>A</v>
      </c>
      <c r="AM58" s="148">
        <f t="shared" ca="1" si="9"/>
        <v>0</v>
      </c>
      <c r="AN58" s="148" cm="1">
        <f t="array" aca="1" ref="AN58" ca="1">-IF($F58="Terminated",0,IF($AA58=0,0,IF(ISNA(MATCH(AN$5,PayDedList,0)),0,MIN(IF(COUNTIFS(OverEmp,$C58,OverDeduct,AN$5,OverDate,"&lt;"&amp;DATE(YEAR($AC58),MONTH($AC58)+1,1),OverEnd,"&gt;="&amp;DATE(YEAR($AC58),MONTH($AC58),1))&gt;0,SUMPRODUCT((PayEmp=$C58)*(PayDate&lt;=$AC58)*(OFFSET($N$6,1,MATCH(AN$5,PayDedList,0)-1,PayCount,1)))/$AA58*12*AN$3,IF(OR(AN$1="Fixed",AN$1="Not Used"),SUMPRODUCT((PayEmp=$C58)*(PayDate&lt;=$AC58)*(OFFSET($N$6,1,MATCH(AN$5,PayDedList,0)-1,PayCount,1)))/$AA58*12*AN$3,IF(ISNA(MATCH(AN$1,EarnListItem,0))=FALSE,SUMPRODUCT((PayEmp=$C58)*(PayDate&lt;=$AC58)*(OFFSET($N$6,1,MATCH(AN$5,PayDedList,0)-1,PayCount,1)))/$AA58*12*AN$3,(MIN(((SUMPRODUCT((PayEmp=$C58)*(PayDate&lt;=$AC58)*(ISERROR(SEARCH(PayEarnCode,AN$2)))*(PayEarnType="Monthly")*(PayEarnValues))/$AA58*12)+(SUMPRODUCT((PayEmp=$C58)*(PayDate&lt;=$AC58)*(ISERROR(SEARCH(PayEarnCode,AN$2)))*(PayEarnType="Quarterly")*(PayEarnValues))/MAX(1,ROUNDDOWN($AB58/3,0))*4)+(SUMPRODUCT((PayEmp=$C58)*(PayDate&lt;=$AC58)*(ISERROR(SEARCH(PayEarnCode,AN$2)))*(PayEarnType="Bi-Annual")*(PayEarnValues))/MAX(1,ROUNDDOWN($AB58/6,0))*2)+(SUMPRODUCT((PayEmp=$C58)*(PayDate&lt;=$AC58)*(ISERROR(SEARCH(PayEarnCode,AN$2)))*(PayEarnType="Annual")*(PayEarnValues)))),IF(ISNUMBER(OFFSET($N$3,0,MATCH(AN$5,PayDedList,0)-1,1,1)),OFFSET($N$3,0,MATCH(AN$5,PayDedList,0)-1,1,1),IgnoreMin)))*IF(COUNTIFS(EmpNo,$C58,OFFSET(Emp!$R$4,1,MATCH(AN$5,DedListItem,0)-1,EmpCount,1),"&lt;&gt;")&gt;0,VLOOKUP($C58,EmpAll,COLUMN(Emp!$R$4)+MATCH(AN$5,DedListItem,0)-1,0),OFFSET(Setup!$E$73,MATCH(AN$5,DedListItem,0),0,1,1))*AN$3))),IF(ISNUMBER(AN$4),AN$4,IgnoreMin)))))</f>
        <v>0</v>
      </c>
      <c r="AO58" s="148" cm="1">
        <f t="array" aca="1" ref="AO58" ca="1">-IF($F58="Terminated",0,IF($AA58=0,0,IF(ISNA(MATCH(AO$5,PayDedList,0)),0,MIN(IF(COUNTIFS(OverEmp,$C58,OverDeduct,AO$5,OverDate,"&lt;"&amp;DATE(YEAR($AC58),MONTH($AC58)+1,1),OverEnd,"&gt;="&amp;DATE(YEAR($AC58),MONTH($AC58),1))&gt;0,SUMPRODUCT((PayEmp=$C58)*(PayDate&lt;=$AC58)*(OFFSET($N$6,1,MATCH(AO$5,PayDedList,0)-1,PayCount,1)))/$AA58*12*AO$3,IF(OR(AO$1="Fixed",AO$1="Not Used"),SUMPRODUCT((PayEmp=$C58)*(PayDate&lt;=$AC58)*(OFFSET($N$6,1,MATCH(AO$5,PayDedList,0)-1,PayCount,1)))/$AA58*12*AO$3,IF(ISNA(MATCH(AO$1,EarnListItem,0))=FALSE,SUMPRODUCT((PayEmp=$C58)*(PayDate&lt;=$AC58)*(OFFSET($N$6,1,MATCH(AO$5,PayDedList,0)-1,PayCount,1)))/$AA58*12*AO$3,(MIN(((SUMPRODUCT((PayEmp=$C58)*(PayDate&lt;=$AC58)*(ISERROR(SEARCH(PayEarnCode,AO$2)))*(PayEarnType="Monthly")*(PayEarnValues))/$AA58*12)+(SUMPRODUCT((PayEmp=$C58)*(PayDate&lt;=$AC58)*(ISERROR(SEARCH(PayEarnCode,AO$2)))*(PayEarnType="Quarterly")*(PayEarnValues))/MAX(1,ROUNDDOWN($AB58/3,0))*4)+(SUMPRODUCT((PayEmp=$C58)*(PayDate&lt;=$AC58)*(ISERROR(SEARCH(PayEarnCode,AO$2)))*(PayEarnType="Bi-Annual")*(PayEarnValues))/MAX(1,ROUNDDOWN($AB58/6,0))*2)+(SUMPRODUCT((PayEmp=$C58)*(PayDate&lt;=$AC58)*(ISERROR(SEARCH(PayEarnCode,AO$2)))*(PayEarnType="Annual")*(PayEarnValues)))),IF(ISNUMBER(OFFSET($N$3,0,MATCH(AO$5,PayDedList,0)-1,1,1)),OFFSET($N$3,0,MATCH(AO$5,PayDedList,0)-1,1,1),IgnoreMin)))*IF(COUNTIFS(EmpNo,$C58,OFFSET(Emp!$R$4,1,MATCH(AO$5,DedListItem,0)-1,EmpCount,1),"&lt;&gt;")&gt;0,VLOOKUP($C58,EmpAll,COLUMN(Emp!$R$4)+MATCH(AO$5,DedListItem,0)-1,0),OFFSET(Setup!$E$73,MATCH(AO$5,DedListItem,0),0,1,1))*AO$3))),IF(ISNUMBER(AO$4),AO$4,IgnoreMin)))))</f>
        <v>0</v>
      </c>
      <c r="AP58" s="148" cm="1">
        <f t="array" aca="1" ref="AP58" ca="1">-IF($F58="Terminated",0,IF($AA58=0,0,IF(ISNA(MATCH(AP$5,PayDedList,0)),0,MIN(IF(COUNTIFS(OverEmp,$C58,OverDeduct,AP$5,OverDate,"&lt;"&amp;DATE(YEAR($AC58),MONTH($AC58)+1,1),OverEnd,"&gt;="&amp;DATE(YEAR($AC58),MONTH($AC58),1))&gt;0,SUMPRODUCT((PayEmp=$C58)*(PayDate&lt;=$AC58)*(OFFSET($N$6,1,MATCH(AP$5,PayDedList,0)-1,PayCount,1)))/$AA58*12*AP$3,IF(OR(AP$1="Fixed",AP$1="Not Used"),SUMPRODUCT((PayEmp=$C58)*(PayDate&lt;=$AC58)*(OFFSET($N$6,1,MATCH(AP$5,PayDedList,0)-1,PayCount,1)))/$AA58*12*AP$3,IF(ISNA(MATCH(AP$1,EarnListItem,0))=FALSE,SUMPRODUCT((PayEmp=$C58)*(PayDate&lt;=$AC58)*(OFFSET($N$6,1,MATCH(AP$5,PayDedList,0)-1,PayCount,1)))/$AA58*12*AP$3,(MIN(((SUMPRODUCT((PayEmp=$C58)*(PayDate&lt;=$AC58)*(ISERROR(SEARCH(PayEarnCode,AP$2)))*(PayEarnType="Monthly")*(PayEarnValues))/$AA58*12)+(SUMPRODUCT((PayEmp=$C58)*(PayDate&lt;=$AC58)*(ISERROR(SEARCH(PayEarnCode,AP$2)))*(PayEarnType="Quarterly")*(PayEarnValues))/MAX(1,ROUNDDOWN($AB58/3,0))*4)+(SUMPRODUCT((PayEmp=$C58)*(PayDate&lt;=$AC58)*(ISERROR(SEARCH(PayEarnCode,AP$2)))*(PayEarnType="Bi-Annual")*(PayEarnValues))/MAX(1,ROUNDDOWN($AB58/6,0))*2)+(SUMPRODUCT((PayEmp=$C58)*(PayDate&lt;=$AC58)*(ISERROR(SEARCH(PayEarnCode,AP$2)))*(PayEarnType="Annual")*(PayEarnValues)))),IF(ISNUMBER(OFFSET($N$3,0,MATCH(AP$5,PayDedList,0)-1,1,1)),OFFSET($N$3,0,MATCH(AP$5,PayDedList,0)-1,1,1),IgnoreMin)))*IF(COUNTIFS(EmpNo,$C58,OFFSET(Emp!$R$4,1,MATCH(AP$5,DedListItem,0)-1,EmpCount,1),"&lt;&gt;")&gt;0,VLOOKUP($C58,EmpAll,COLUMN(Emp!$R$4)+MATCH(AP$5,DedListItem,0)-1,0),OFFSET(Setup!$E$73,MATCH(AP$5,DedListItem,0),0,1,1))*AP$3))),IF(ISNUMBER(AP$4),AP$4,IgnoreMin)))))</f>
        <v>0</v>
      </c>
      <c r="AQ58" s="148" cm="1">
        <f t="array" aca="1" ref="AQ58" ca="1">-IF($F58="Terminated",0,IF($AA58=0,0,IF(ISNA(MATCH(AQ$5,PayDedList,0)),0,MIN(IF(COUNTIFS(OverEmp,$C58,OverDeduct,AQ$5,OverDate,"&lt;"&amp;DATE(YEAR($AC58),MONTH($AC58)+1,1),OverEnd,"&gt;="&amp;DATE(YEAR($AC58),MONTH($AC58),1))&gt;0,SUMPRODUCT((PayEmp=$C58)*(PayDate&lt;=$AC58)*(OFFSET($N$6,1,MATCH(AQ$5,PayDedList,0)-1,PayCount,1)))/$AA58*12*AQ$3,IF(OR(AQ$1="Fixed",AQ$1="Not Used"),SUMPRODUCT((PayEmp=$C58)*(PayDate&lt;=$AC58)*(OFFSET($N$6,1,MATCH(AQ$5,PayDedList,0)-1,PayCount,1)))/$AA58*12*AQ$3,IF(ISNA(MATCH(AQ$1,EarnListItem,0))=FALSE,SUMPRODUCT((PayEmp=$C58)*(PayDate&lt;=$AC58)*(OFFSET($N$6,1,MATCH(AQ$5,PayDedList,0)-1,PayCount,1)))/$AA58*12*AQ$3,(MIN(((SUMPRODUCT((PayEmp=$C58)*(PayDate&lt;=$AC58)*(ISERROR(SEARCH(PayEarnCode,AQ$2)))*(PayEarnType="Monthly")*(PayEarnValues))/$AA58*12)+(SUMPRODUCT((PayEmp=$C58)*(PayDate&lt;=$AC58)*(ISERROR(SEARCH(PayEarnCode,AQ$2)))*(PayEarnType="Quarterly")*(PayEarnValues))/MAX(1,ROUNDDOWN($AB58/3,0))*4)+(SUMPRODUCT((PayEmp=$C58)*(PayDate&lt;=$AC58)*(ISERROR(SEARCH(PayEarnCode,AQ$2)))*(PayEarnType="Bi-Annual")*(PayEarnValues))/MAX(1,ROUNDDOWN($AB58/6,0))*2)+(SUMPRODUCT((PayEmp=$C58)*(PayDate&lt;=$AC58)*(ISERROR(SEARCH(PayEarnCode,AQ$2)))*(PayEarnType="Annual")*(PayEarnValues)))),IF(ISNUMBER(OFFSET($N$3,0,MATCH(AQ$5,PayDedList,0)-1,1,1)),OFFSET($N$3,0,MATCH(AQ$5,PayDedList,0)-1,1,1),IgnoreMin)))*IF(COUNTIFS(EmpNo,$C58,OFFSET(Emp!$R$4,1,MATCH(AQ$5,DedListItem,0)-1,EmpCount,1),"&lt;&gt;")&gt;0,VLOOKUP($C58,EmpAll,COLUMN(Emp!$R$4)+MATCH(AQ$5,DedListItem,0)-1,0),OFFSET(Setup!$E$73,MATCH(AQ$5,DedListItem,0),0,1,1))*AQ$3))),IF(ISNUMBER(AQ$4),AQ$4,IgnoreMin)))))</f>
        <v>0</v>
      </c>
      <c r="AR58" s="148">
        <f t="shared" ca="1" si="22"/>
        <v>0</v>
      </c>
      <c r="AS58" s="148">
        <f t="shared" ca="1" si="11"/>
        <v>0</v>
      </c>
      <c r="AT58" s="148" cm="1">
        <f t="array" aca="1" ref="AT58" ca="1">-IF($F58="Terminated",0,IF($AA58=0,0,IF(ISNA(MATCH(AT$5,PayDedList,0)),0,MIN(IF(COUNTIFS(OverEmp,$C58,OverDeduct,AT$5,OverDate,"&lt;"&amp;DATE(YEAR($AC58),MONTH($AC58)+1,1),OverEnd,"&gt;="&amp;DATE(YEAR($AC58),MONTH($AC58),1))&gt;0,SUMPRODUCT((PayEmp=$C58)*(PayDate&lt;=$AC58)*(OFFSET($N$6,1,MATCH(AT$5,PayDedList,0)-1,PayCount,1)))/$AA58*12*AT$3,IF(OR(AT$1="Fixed",AT$1="Not Used"),SUMPRODUCT((PayEmp=$C58)*(PayDate&lt;=$AC58)*(OFFSET($N$6,1,MATCH(AT$5,PayDedList,0)-1,PayCount,1)))/$AA58*12*AT$3,IF(ISNA(MATCH(OFFSET($N$2,0,MATCH(AT$5,PayDedList,0)-1,1,1),EarnListItem,0))=FALSE,SUMPRODUCT((PayEmp=$C58)*(PayDate&lt;=$AC58)*(OFFSET($N$6,1,MATCH(AT$5,PayDedList,0)-1,PayCount,1)))/$AA58*12*AT$3,(MIN(SUMPRODUCT((PayEmp=$C58)*(PayDate&lt;=$AC58)*(ISERROR(SEARCH(PayEarnCode,AT$2)))*(PayEarnType="Monthly")*(PayEarnValues))/$AA58*12,IF(ISNUMBER(OFFSET($N$3,0,MATCH(AT$5,PayDedList,0)-1,1,1)),OFFSET($N$3,0,MATCH(AT$5,PayDedList,0)-1,1,1),IgnoreMin)))*IF(COUNTIFS(EmpNo,$C58,OFFSET(Emp!$R$4,1,MATCH(AT$5,DedListItem,0)-1,EmpCount,1),"&lt;&gt;")&gt;0,VLOOKUP($C58,EmpAll,COLUMN(Emp!$R$4)+MATCH(AT$5,DedListItem,0)-1,0),OFFSET(Setup!$E$73,MATCH(AT$5,DedListItem,0),0,1,1))*AT$3))),IF(ISNUMBER(AT$4),AT$4,IgnoreMin)))))</f>
        <v>0</v>
      </c>
      <c r="AU58" s="148" cm="1">
        <f t="array" aca="1" ref="AU58" ca="1">-IF($F58="Terminated",0,IF($AA58=0,0,IF(ISNA(MATCH(AU$5,PayDedList,0)),0,MIN(IF(COUNTIFS(OverEmp,$C58,OverDeduct,AU$5,OverDate,"&lt;"&amp;DATE(YEAR($AC58),MONTH($AC58)+1,1),OverEnd,"&gt;="&amp;DATE(YEAR($AC58),MONTH($AC58),1))&gt;0,SUMPRODUCT((PayEmp=$C58)*(PayDate&lt;=$AC58)*(OFFSET($N$6,1,MATCH(AU$5,PayDedList,0)-1,PayCount,1)))/$AA58*12*AU$3,IF(OR(AU$1="Fixed",AU$1="Not Used"),SUMPRODUCT((PayEmp=$C58)*(PayDate&lt;=$AC58)*(OFFSET($N$6,1,MATCH(AU$5,PayDedList,0)-1,PayCount,1)))/$AA58*12*AU$3,IF(ISNA(MATCH(OFFSET($N$2,0,MATCH(AU$5,PayDedList,0)-1,1,1),EarnListItem,0))=FALSE,SUMPRODUCT((PayEmp=$C58)*(PayDate&lt;=$AC58)*(OFFSET($N$6,1,MATCH(AU$5,PayDedList,0)-1,PayCount,1)))/$AA58*12*AU$3,(MIN(SUMPRODUCT((PayEmp=$C58)*(PayDate&lt;=$AC58)*(ISERROR(SEARCH(PayEarnCode,AU$2)))*(PayEarnType="Monthly")*(PayEarnValues))/$AA58*12,IF(ISNUMBER(OFFSET($N$3,0,MATCH(AU$5,PayDedList,0)-1,1,1)),OFFSET($N$3,0,MATCH(AU$5,PayDedList,0)-1,1,1),IgnoreMin)))*IF(COUNTIFS(EmpNo,$C58,OFFSET(Emp!$R$4,1,MATCH(AU$5,DedListItem,0)-1,EmpCount,1),"&lt;&gt;")&gt;0,VLOOKUP($C58,EmpAll,COLUMN(Emp!$R$4)+MATCH(AU$5,DedListItem,0)-1,0),OFFSET(Setup!$E$73,MATCH(AU$5,DedListItem,0),0,1,1))*AU$3))),IF(ISNUMBER(AU$4),AU$4,IgnoreMin)))))</f>
        <v>0</v>
      </c>
      <c r="AV58" s="148" cm="1">
        <f t="array" aca="1" ref="AV58" ca="1">-IF($F58="Terminated",0,IF($AA58=0,0,IF(ISNA(MATCH(AV$5,PayDedList,0)),0,MIN(IF(COUNTIFS(OverEmp,$C58,OverDeduct,AV$5,OverDate,"&lt;"&amp;DATE(YEAR($AC58),MONTH($AC58)+1,1),OverEnd,"&gt;="&amp;DATE(YEAR($AC58),MONTH($AC58),1))&gt;0,SUMPRODUCT((PayEmp=$C58)*(PayDate&lt;=$AC58)*(OFFSET($N$6,1,MATCH(AV$5,PayDedList,0)-1,PayCount,1)))/$AA58*12*AV$3,IF(OR(AV$1="Fixed",AV$1="Not Used"),SUMPRODUCT((PayEmp=$C58)*(PayDate&lt;=$AC58)*(OFFSET($N$6,1,MATCH(AV$5,PayDedList,0)-1,PayCount,1)))/$AA58*12*AV$3,IF(ISNA(MATCH(OFFSET($N$2,0,MATCH(AV$5,PayDedList,0)-1,1,1),EarnListItem,0))=FALSE,SUMPRODUCT((PayEmp=$C58)*(PayDate&lt;=$AC58)*(OFFSET($N$6,1,MATCH(AV$5,PayDedList,0)-1,PayCount,1)))/$AA58*12*AV$3,(MIN(SUMPRODUCT((PayEmp=$C58)*(PayDate&lt;=$AC58)*(ISERROR(SEARCH(PayEarnCode,AV$2)))*(PayEarnType="Monthly")*(PayEarnValues))/$AA58*12,IF(ISNUMBER(OFFSET($N$3,0,MATCH(AV$5,PayDedList,0)-1,1,1)),OFFSET($N$3,0,MATCH(AV$5,PayDedList,0)-1,1,1),IgnoreMin)))*IF(COUNTIFS(EmpNo,$C58,OFFSET(Emp!$R$4,1,MATCH(AV$5,DedListItem,0)-1,EmpCount,1),"&lt;&gt;")&gt;0,VLOOKUP($C58,EmpAll,COLUMN(Emp!$R$4)+MATCH(AV$5,DedListItem,0)-1,0),OFFSET(Setup!$E$73,MATCH(AV$5,DedListItem,0),0,1,1))*AV$3))),IF(ISNUMBER(AV$4),AV$4,IgnoreMin)))))</f>
        <v>0</v>
      </c>
      <c r="AW58" s="148" cm="1">
        <f t="array" aca="1" ref="AW58" ca="1">-IF($F58="Terminated",0,IF($AA58=0,0,IF(ISNA(MATCH(AW$5,PayDedList,0)),0,MIN(IF(COUNTIFS(OverEmp,$C58,OverDeduct,AW$5,OverDate,"&lt;"&amp;DATE(YEAR($AC58),MONTH($AC58)+1,1),OverEnd,"&gt;="&amp;DATE(YEAR($AC58),MONTH($AC58),1))&gt;0,SUMPRODUCT((PayEmp=$C58)*(PayDate&lt;=$AC58)*(OFFSET($N$6,1,MATCH(AW$5,PayDedList,0)-1,PayCount,1)))/$AA58*12*AW$3,IF(OR(AW$1="Fixed",AW$1="Not Used"),SUMPRODUCT((PayEmp=$C58)*(PayDate&lt;=$AC58)*(OFFSET($N$6,1,MATCH(AW$5,PayDedList,0)-1,PayCount,1)))/$AA58*12*AW$3,IF(ISNA(MATCH(OFFSET($N$2,0,MATCH(AW$5,PayDedList,0)-1,1,1),EarnListItem,0))=FALSE,SUMPRODUCT((PayEmp=$C58)*(PayDate&lt;=$AC58)*(OFFSET($N$6,1,MATCH(AW$5,PayDedList,0)-1,PayCount,1)))/$AA58*12*AW$3,(MIN(SUMPRODUCT((PayEmp=$C58)*(PayDate&lt;=$AC58)*(ISERROR(SEARCH(PayEarnCode,AW$2)))*(PayEarnType="Monthly")*(PayEarnValues))/$AA58*12,IF(ISNUMBER(OFFSET($N$3,0,MATCH(AW$5,PayDedList,0)-1,1,1)),OFFSET($N$3,0,MATCH(AW$5,PayDedList,0)-1,1,1),IgnoreMin)))*IF(COUNTIFS(EmpNo,$C58,OFFSET(Emp!$R$4,1,MATCH(AW$5,DedListItem,0)-1,EmpCount,1),"&lt;&gt;")&gt;0,VLOOKUP($C58,EmpAll,COLUMN(Emp!$R$4)+MATCH(AW$5,DedListItem,0)-1,0),OFFSET(Setup!$E$73,MATCH(AW$5,DedListItem,0),0,1,1))*AW$3))),IF(ISNUMBER(AW$4),AW$4,IgnoreMin)))))</f>
        <v>0</v>
      </c>
      <c r="AX58" s="148">
        <f t="shared" ca="1" si="28"/>
        <v>0</v>
      </c>
      <c r="AY58" s="148">
        <f t="shared" ca="1" si="29"/>
        <v>0</v>
      </c>
      <c r="AZ58" s="148">
        <f ca="1">IF(ISNUMBER($AL58),($AR58*$AL58)-$AI58-$AK58,MAX(0,IF($AL58="B",IF($AR58&lt;Setup!$C$32,($AR58*Setup!$D$32)-$AI58-$AK58,(($AR58-VLOOKUP($AR58,TaxAll2,1,1))*OFFSET(Setup!$D$32,MATCH($AR58,TaxBracket2,1),0,1,1))+OFFSET(Setup!$E$31,MATCH($AR58,TaxBracket2,1),0,1,1)-$AI58-$AK58),IF($AR58&lt;Setup!$C$21,($AR58*Setup!$D$21)-$AI58-$AK58,(($AR58-VLOOKUP($AR58,TaxAll1,1,1))*OFFSET(Setup!$D$21,MATCH($AR58,TaxBracket1,1),0,1,1))+OFFSET(Setup!$E$20,MATCH($AR58,TaxBracket1,1),0,1,1)-$AI58-$AK58))))</f>
        <v>0</v>
      </c>
      <c r="BA58" s="148">
        <f ca="1">IF(ISNUMBER($AL58),($AX58*$AL58)-$AI58-$AK58,MAX(0,IF($AL58="B",IF($AX58&lt;Setup!$C$32,($AX58*Setup!$D$32)-$AI58-$AK58,(($AX58-VLOOKUP($AX58,TaxAll2,1,1))*OFFSET(Setup!$D$32,MATCH($AX58,TaxBracket2,1),0,1,1))+OFFSET(Setup!$E$31,MATCH($AX58,TaxBracket2,1),0,1,1)-$AI58-$AK58),IF($AX58&lt;Setup!$C$21,($AX58*Setup!$D$21)-$AI58-$AK58,(($AX58-VLOOKUP($AX58,TaxAll1,1,1))*OFFSET(Setup!$D$21,MATCH($AX58,TaxBracket1,1),0,1,1))+OFFSET(Setup!$E$20,MATCH($AX58,TaxBracket1,1),0,1,1)-$AI58-$AK58))))</f>
        <v>0</v>
      </c>
      <c r="BB58" s="148">
        <f t="shared" ca="1" si="23"/>
        <v>0</v>
      </c>
      <c r="BC58" s="150">
        <f t="shared" ca="1" si="15"/>
        <v>0</v>
      </c>
      <c r="BD58" s="150">
        <f t="shared" ca="1" si="16"/>
        <v>0</v>
      </c>
      <c r="BE58" s="148">
        <f t="shared" ca="1" si="17"/>
        <v>0</v>
      </c>
    </row>
    <row r="59" spans="1:57" ht="16.149999999999999" customHeight="1" x14ac:dyDescent="0.25">
      <c r="A59" s="10" t="str" cm="1">
        <f t="array" aca="1" ref="A59" ca="1">IF(ROW($A59)-ROW($A$6)&gt;EmpCount*12,"-",TEXT($B59,"yyyy")&amp;TEXT($B59,"mm")&amp;"-"&amp;$C59)</f>
        <v>202306-EXS008</v>
      </c>
      <c r="B59" s="137" cm="1">
        <f t="array" aca="1" ref="B59" ca="1">IF(ROW($A59)-ROW($A$6)&gt;EmpCount*12,Setup!$D$12,DATE(YEAR(Setup!$F$12),MONTH(Setup!$F$12)+ROUNDDOWN((ROW($A59)-ROW($A$6)-1)/EmpCount,0),IF(Setup!$C$14&gt;DAY(DATE(YEAR(Setup!$F$12),MONTH(Setup!$F$12)+ROUNDDOWN((ROW($A59)-ROW($A$6)-1)/EmpCount,0)+1,0)),DAY(DATE(YEAR(Setup!$F$12),MONTH(Setup!$F$12)+ROUNDDOWN((ROW($A59)-ROW($A$6)-1)/EmpCount,0)+1,0)),Setup!$C$14)))</f>
        <v>45102</v>
      </c>
      <c r="C59" s="101" t="str" cm="1">
        <f t="array" aca="1" ref="C59" ca="1">IF(ROW($A59)-ROW($A$6)&gt;EmpCount*12,"-",OFFSET(Emp!$A$4,ROW($A59)-ROW($A$6)-IF(ROW($A59)-ROW($A$6)&gt;EmpCount,ROUNDDOWN((ROW($A59)-ROW($A$6)-1)/EmpCount,0)*EmpCount,0),0,1,1))</f>
        <v>EXS008</v>
      </c>
      <c r="D59" s="10" t="str">
        <f ca="1">IF(ISNA(VLOOKUP($C59,EmpAll,COLUMN(Emp!$B$4),0)),"-",VLOOKUP($C59,EmpAll,COLUMN(Emp!$B$4),0))</f>
        <v>Matthews B</v>
      </c>
      <c r="E59" s="145" t="str">
        <f ca="1">IF(ISNA(VLOOKUP($C59,EmpAll,COLUMN(Emp!$C$4),0)),"-",VLOOKUP($C59,EmpAll,COLUMN(Emp!$C$4),0))</f>
        <v>A</v>
      </c>
      <c r="F59" s="101" t="str">
        <f ca="1">IF(ISNA(VLOOKUP($C59,EmpAll,COLUMN(Emp!$A$4),0)),"-",IF(AND(VLOOKUP($C59,EmpAll,COLUMN(Emp!$E$4),0)&lt;&gt;0,VLOOKUP($C59,EmpAll,COLUMN(Emp!$E$4),0)&gt;=DATE(YEAR($AC59),MONTH($AC59)+1,0)),"Inactive",IF(AND(VLOOKUP($C59,EmpAll,COLUMN(Emp!$F$4),0)&lt;&gt;0,VLOOKUP($C59,EmpAll,COLUMN(Emp!$F$4),0)&lt;=DATE(YEAR($AC59),MONTH($AC59),0)),"Terminated","Active")))</f>
        <v>Active</v>
      </c>
      <c r="G59" s="133" cm="1">
        <f t="array" aca="1" ref="G59" ca="1">IF($F59&lt;&gt;"Active",0,IF(COUNTIFS(OverEmp,$C59,OverEarn,G$2,OverDate,"&lt;"&amp;DATE(YEAR($AC59),MONTH($AC59)+1,1),OverEnd,"&gt;="&amp;DATE(YEAR($AC59),MONTH($AC59),1))&gt;0,SUMIFS(OverValue,OverEmp,$C59,OverEarn,G$2,OverDate,"&lt;"&amp;DATE(YEAR($AC59),MONTH($AC59)+1,1),OverEnd,"&gt;="&amp;DATE(YEAR($AC59),MONTH($AC59),1)),IF(AND($AC59&gt;=Setup!$E$10,SUMIFS(EmpIncrease,EmpCode,$C59)&gt;0),SUMIFS(EmpIncrease,EmpCode,$C59),SUMIFS(EmpSalary,EmpCode,$C59))))</f>
        <v>9000</v>
      </c>
      <c r="H59" s="133" cm="1">
        <f t="array" aca="1" ref="H59" ca="1">IF($F59&lt;&gt;"Active",0,IF(COUNTIFS(OverEmp,$C59,OverEarn,H$2,OverDate,"&lt;"&amp;DATE(YEAR($AC59),MONTH($AC59)+1,1),OverEnd,"&gt;="&amp;DATE(YEAR($AC59),MONTH($AC59),1))&gt;0,SUMIFS(OverValue,OverEmp,$C59,OverEarn,H$2,OverDate,"&lt;"&amp;DATE(YEAR($AC59),MONTH($AC59)+1,1),OverEnd,"&gt;="&amp;DATE(YEAR($AC59),MONTH($AC59),1)),0))</f>
        <v>0</v>
      </c>
      <c r="I59" s="133" cm="1">
        <f t="array" aca="1" ref="I59" ca="1">IF($F59&lt;&gt;"Active",0,IF(COUNTIFS(OverEmp,$C59,OverEarn,I$2,OverDate,"&lt;"&amp;DATE(YEAR($AC59),MONTH($AC59)+1,1),OverEnd,"&gt;="&amp;DATE(YEAR($AC59),MONTH($AC59),1))&gt;0,SUMIFS(OverValue,OverEmp,$C59,OverEarn,I$2,OverDate,"&lt;"&amp;DATE(YEAR($AC59),MONTH($AC59)+1,1),OverEnd,"&gt;="&amp;DATE(YEAR($AC59),MONTH($AC59),1)),IF(MONTH(B59)=Setup!$C$15,SUMIFS(EmpBonus,EmpCode,$C59),0)))</f>
        <v>0</v>
      </c>
      <c r="J59" s="133" cm="1">
        <f t="array" aca="1" ref="J59" ca="1">IF($F59&lt;&gt;"Active",0,IF(COUNTIFS(OverEmp,$C59,OverEarn,J$2,OverDate,"&lt;"&amp;DATE(YEAR($AC59),MONTH($AC59)+1,1),OverEnd,"&gt;="&amp;DATE(YEAR($AC59),MONTH($AC59),1))&gt;0,SUMIFS(OverValue,OverEmp,$C59,OverEarn,J$2,OverDate,"&lt;"&amp;DATE(YEAR($AC59),MONTH($AC59)+1,1),OverEnd,"&gt;="&amp;DATE(YEAR($AC59),MONTH($AC59),1)),0))</f>
        <v>0</v>
      </c>
      <c r="K59" s="133" cm="1">
        <f t="array" aca="1" ref="K59" ca="1">IF($F59&lt;&gt;"Active",0,IF(COUNTIFS(OverEmp,$C59,OverEarn,K$2,OverDate,"&lt;"&amp;DATE(YEAR($AC59),MONTH($AC59)+1,1),OverEnd,"&gt;="&amp;DATE(YEAR($AC59),MONTH($AC59),1))&gt;0,SUMIFS(OverValue,OverEmp,$C59,OverEarn,K$2,OverDate,"&lt;"&amp;DATE(YEAR($AC59),MONTH($AC59)+1,1),OverEnd,"&gt;="&amp;DATE(YEAR($AC59),MONTH($AC59),1)),0))</f>
        <v>0</v>
      </c>
      <c r="L59" s="185">
        <f t="shared" ca="1" si="24"/>
        <v>9000</v>
      </c>
      <c r="M59" s="182" cm="1">
        <f t="array" aca="1" ref="M59" ca="1">IF(COUNTIFS(OverEmp,$C59,OverTax,M$5,OverDate,"&lt;"&amp;DATE(YEAR($AC59),MONTH($AC59)+1,1),OverEnd,"&gt;="&amp;DATE(YEAR($AC59),MONTH($AC59),1))&gt;0,SUMIFS(OverValue,OverEmp,$C59,OverTax,M$5,OverDate,"&lt;"&amp;DATE(YEAR($AC59),MONTH($AC59)+1,1),OverEnd,"&gt;="&amp;DATE(YEAR($AC59),MONTH($AC59),1)),(($BA59/12*$AA59)+(BB59*IF(1-$BC59=0,0,BD59/(1-$BC59))))-IF($F59="Terminated",0,SUMIFS(PayTaxDeduct,PayDate,"&lt;"&amp;$AC59,PayEmp,$C59)))</f>
        <v>183.75</v>
      </c>
      <c r="N59" s="133" cm="1">
        <f t="array" aca="1" ref="N59" ca="1">IF($F59="Terminated",0,IF($AA59=0,0,IF(ISNA(MATCH(N$5,DedListItem,0)),0,IF(COUNTIFS(OverEmp,$C59,OverDeduct,N$5,OverDate,"&lt;"&amp;DATE(YEAR($AC59),MONTH($AC59)+1,1),OverEnd,"&gt;="&amp;DATE(YEAR($AC59),MONTH($AC59),1))&gt;0,SUMIFS(OverValue,OverEmp,$C59,OverDeduct,N$5,OverDate,"&lt;"&amp;DATE(YEAR($AC59),MONTH($AC59)+1,1),OverEnd,"&gt;="&amp;DATE(YEAR($AC59),MONTH($AC59),1)),IF(OR(N$2="Fixed",N$2="Not Used"),(IF(COUNTIFS(EmpNo,$C59,OFFSET(Emp!$R$4,1,MATCH(N$5,DedListItem,0)-1,EmpCount,1),"&lt;&gt;")&gt;0,VLOOKUP($C59,EmpAll,COLUMN(Emp!$R$4)+MATCH(N$5,DedListItem,0)-1,0),OFFSET(Setup!$E$73,MATCH(N$5,DedListItem,0),0,1,1))*$AA59)-SUMIFS(OFFSET(N$6,1,0,PayCount,1),PayDate,"&lt;"&amp;$AC59,PayEmp,$C59),IF(ISNA(MATCH(N$2,EarnListItem,0))=FALSE,IF(OFFSET(Setup!$G$73,MATCH(N$5,DedListItem,0),0,1,1)="Taxable",SUMPRODUCT((PayEmp=$C59)*(PayDate&lt;=$AC59)*(PayEarnCode=N$2)*(PayEarnTax)*(PayEarnValues)),SUMPRODUCT((PayEmp=$C59)*(PayDate&lt;=$AC59)*(PayEarnCode=N$2)*(PayEarnValues)))*IF(COUNTIFS(EmpNo,$C59,OFFSET(Emp!$R$4,1,MATCH(N$5,DedListItem,0)-1,EmpCount,1),"&lt;&gt;")&gt;0,VLOOKUP($C59,EmpAll,COLUMN(Emp!$R$4)+MATCH(N$5,DedListItem,0)-1,0),OFFSET(Setup!$E$73,MATCH(N$5,DedListItem,0),0,1,1)),(MIN(IF(OFFSET(Setup!$G$73,MATCH(N$5,DedListItem,0),0,1,1)="Taxable",SUMPRODUCT((PayEmp=$C59)*(PayDate&lt;=$AC59)*(ISERROR(SEARCH(PayEarnCode,N$4)))*(PayEarnTax)*(PayEarnValues)),SUMPRODUCT((PayEmp=$C59)*(PayDate&lt;=$AC59)*(ISERROR(SEARCH(PayEarnCode,N$4)))*(PayEarnValues))),IF(ISNUMBER(N$3),N$3/12*$AA59,IgnoreMin)))*IF(COUNTIFS(EmpNo,$C59,OFFSET(Emp!$R$4,1,MATCH(N$5,DedListItem,0)-1,EmpCount,1),"&lt;&gt;")&gt;0,VLOOKUP($C59,EmpAll,COLUMN(Emp!$R$4)+MATCH(N$5,DedListItem,0)-1,0),OFFSET(Setup!$E$73,MATCH(N$5,DedListItem,0),0,1,1)))-SUMIFS(OFFSET(N$6,1,0,PayCount,1),PayDate,"&lt;"&amp;$AC59,PayEmp,$C59))))))</f>
        <v>90</v>
      </c>
      <c r="O59" s="133" cm="1">
        <f t="array" aca="1" ref="O59" ca="1">IF($F59="Terminated",0,IF($AA59=0,0,IF(ISNA(MATCH(O$5,DedListItem,0)),0,IF(COUNTIFS(OverEmp,$C59,OverDeduct,O$5,OverDate,"&lt;"&amp;DATE(YEAR($AC59),MONTH($AC59)+1,1),OverEnd,"&gt;="&amp;DATE(YEAR($AC59),MONTH($AC59),1))&gt;0,SUMIFS(OverValue,OverEmp,$C59,OverDeduct,O$5,OverDate,"&lt;"&amp;DATE(YEAR($AC59),MONTH($AC59)+1,1),OverEnd,"&gt;="&amp;DATE(YEAR($AC59),MONTH($AC59),1)),IF(OR(O$2="Fixed",O$2="Not Used"),(IF(COUNTIFS(EmpNo,$C59,OFFSET(Emp!$R$4,1,MATCH(O$5,DedListItem,0)-1,EmpCount,1),"&lt;&gt;")&gt;0,VLOOKUP($C59,EmpAll,COLUMN(Emp!$R$4)+MATCH(O$5,DedListItem,0)-1,0),OFFSET(Setup!$E$73,MATCH(O$5,DedListItem,0),0,1,1))*$AA59)-SUMIFS(OFFSET(O$6,1,0,PayCount,1),PayDate,"&lt;"&amp;$AC59,PayEmp,$C59),IF(ISNA(MATCH(O$2,EarnListItem,0))=FALSE,IF(OFFSET(Setup!$G$73,MATCH(O$5,DedListItem,0),0,1,1)="Taxable",SUMPRODUCT((PayEmp=$C59)*(PayDate&lt;=$AC59)*(PayEarnCode=O$2)*(PayEarnTax)*(PayEarnValues)),SUMPRODUCT((PayEmp=$C59)*(PayDate&lt;=$AC59)*(PayEarnCode=O$2)*(PayEarnValues)))*IF(COUNTIFS(EmpNo,$C59,OFFSET(Emp!$R$4,1,MATCH(O$5,DedListItem,0)-1,EmpCount,1),"&lt;&gt;")&gt;0,VLOOKUP($C59,EmpAll,COLUMN(Emp!$R$4)+MATCH(O$5,DedListItem,0)-1,0),OFFSET(Setup!$E$73,MATCH(O$5,DedListItem,0),0,1,1)),(MIN(IF(OFFSET(Setup!$G$73,MATCH(O$5,DedListItem,0),0,1,1)="Taxable",SUMPRODUCT((PayEmp=$C59)*(PayDate&lt;=$AC59)*(ISERROR(SEARCH(PayEarnCode,O$4)))*(PayEarnTax)*(PayEarnValues)),SUMPRODUCT((PayEmp=$C59)*(PayDate&lt;=$AC59)*(ISERROR(SEARCH(PayEarnCode,O$4)))*(PayEarnValues))),IF(ISNUMBER(O$3),O$3/12*$AA59,IgnoreMin)))*IF(COUNTIFS(EmpNo,$C59,OFFSET(Emp!$R$4,1,MATCH(O$5,DedListItem,0)-1,EmpCount,1),"&lt;&gt;")&gt;0,VLOOKUP($C59,EmpAll,COLUMN(Emp!$R$4)+MATCH(O$5,DedListItem,0)-1,0),OFFSET(Setup!$E$73,MATCH(O$5,DedListItem,0),0,1,1)))-SUMIFS(OFFSET(O$6,1,0,PayCount,1),PayDate,"&lt;"&amp;$AC59,PayEmp,$C59))))))</f>
        <v>0</v>
      </c>
      <c r="P59" s="133" cm="1">
        <f t="array" aca="1" ref="P59" ca="1">IF($F59="Terminated",0,IF($AA59=0,0,IF(ISNA(MATCH(P$5,DedListItem,0)),0,IF(COUNTIFS(OverEmp,$C59,OverDeduct,P$5,OverDate,"&lt;"&amp;DATE(YEAR($AC59),MONTH($AC59)+1,1),OverEnd,"&gt;="&amp;DATE(YEAR($AC59),MONTH($AC59),1))&gt;0,SUMIFS(OverValue,OverEmp,$C59,OverDeduct,P$5,OverDate,"&lt;"&amp;DATE(YEAR($AC59),MONTH($AC59)+1,1),OverEnd,"&gt;="&amp;DATE(YEAR($AC59),MONTH($AC59),1)),IF(OR(P$2="Fixed",P$2="Not Used"),(IF(COUNTIFS(EmpNo,$C59,OFFSET(Emp!$R$4,1,MATCH(P$5,DedListItem,0)-1,EmpCount,1),"&lt;&gt;")&gt;0,VLOOKUP($C59,EmpAll,COLUMN(Emp!$R$4)+MATCH(P$5,DedListItem,0)-1,0),OFFSET(Setup!$E$73,MATCH(P$5,DedListItem,0),0,1,1))*$AA59)-SUMIFS(OFFSET(P$6,1,0,PayCount,1),PayDate,"&lt;"&amp;$AC59,PayEmp,$C59),IF(ISNA(MATCH(P$2,EarnListItem,0))=FALSE,IF(OFFSET(Setup!$G$73,MATCH(P$5,DedListItem,0),0,1,1)="Taxable",SUMPRODUCT((PayEmp=$C59)*(PayDate&lt;=$AC59)*(PayEarnCode=P$2)*(PayEarnTax)*(PayEarnValues)),SUMPRODUCT((PayEmp=$C59)*(PayDate&lt;=$AC59)*(PayEarnCode=P$2)*(PayEarnValues)))*IF(COUNTIFS(EmpNo,$C59,OFFSET(Emp!$R$4,1,MATCH(P$5,DedListItem,0)-1,EmpCount,1),"&lt;&gt;")&gt;0,VLOOKUP($C59,EmpAll,COLUMN(Emp!$R$4)+MATCH(P$5,DedListItem,0)-1,0),OFFSET(Setup!$E$73,MATCH(P$5,DedListItem,0),0,1,1)),(MIN(IF(OFFSET(Setup!$G$73,MATCH(P$5,DedListItem,0),0,1,1)="Taxable",SUMPRODUCT((PayEmp=$C59)*(PayDate&lt;=$AC59)*(ISERROR(SEARCH(PayEarnCode,P$4)))*(PayEarnTax)*(PayEarnValues)),SUMPRODUCT((PayEmp=$C59)*(PayDate&lt;=$AC59)*(ISERROR(SEARCH(PayEarnCode,P$4)))*(PayEarnValues))),IF(ISNUMBER(P$3),P$3/12*$AA59,IgnoreMin)))*IF(COUNTIFS(EmpNo,$C59,OFFSET(Emp!$R$4,1,MATCH(P$5,DedListItem,0)-1,EmpCount,1),"&lt;&gt;")&gt;0,VLOOKUP($C59,EmpAll,COLUMN(Emp!$R$4)+MATCH(P$5,DedListItem,0)-1,0),OFFSET(Setup!$E$73,MATCH(P$5,DedListItem,0),0,1,1)))-SUMIFS(OFFSET(P$6,1,0,PayCount,1),PayDate,"&lt;"&amp;$AC59,PayEmp,$C59))))))</f>
        <v>0</v>
      </c>
      <c r="Q59" s="133" cm="1">
        <f t="array" aca="1" ref="Q59" ca="1">IF($F59="Terminated",0,IF($AA59=0,0,IF(ISNA(MATCH(Q$5,DedListItem,0)),0,IF(COUNTIFS(OverEmp,$C59,OverDeduct,Q$5,OverDate,"&lt;"&amp;DATE(YEAR($AC59),MONTH($AC59)+1,1),OverEnd,"&gt;="&amp;DATE(YEAR($AC59),MONTH($AC59),1))&gt;0,SUMIFS(OverValue,OverEmp,$C59,OverDeduct,Q$5,OverDate,"&lt;"&amp;DATE(YEAR($AC59),MONTH($AC59)+1,1),OverEnd,"&gt;="&amp;DATE(YEAR($AC59),MONTH($AC59),1)),IF(OR(Q$2="Fixed",Q$2="Not Used"),(IF(COUNTIFS(EmpNo,$C59,OFFSET(Emp!$R$4,1,MATCH(Q$5,DedListItem,0)-1,EmpCount,1),"&lt;&gt;")&gt;0,VLOOKUP($C59,EmpAll,COLUMN(Emp!$R$4)+MATCH(Q$5,DedListItem,0)-1,0),OFFSET(Setup!$E$73,MATCH(Q$5,DedListItem,0),0,1,1))*$AA59)-SUMIFS(OFFSET(Q$6,1,0,PayCount,1),PayDate,"&lt;"&amp;$AC59,PayEmp,$C59),IF(ISNA(MATCH(Q$2,EarnListItem,0))=FALSE,IF(OFFSET(Setup!$G$73,MATCH(Q$5,DedListItem,0),0,1,1)="Taxable",SUMPRODUCT((PayEmp=$C59)*(PayDate&lt;=$AC59)*(PayEarnCode=Q$2)*(PayEarnTax)*(PayEarnValues)),SUMPRODUCT((PayEmp=$C59)*(PayDate&lt;=$AC59)*(PayEarnCode=Q$2)*(PayEarnValues)))*IF(COUNTIFS(EmpNo,$C59,OFFSET(Emp!$R$4,1,MATCH(Q$5,DedListItem,0)-1,EmpCount,1),"&lt;&gt;")&gt;0,VLOOKUP($C59,EmpAll,COLUMN(Emp!$R$4)+MATCH(Q$5,DedListItem,0)-1,0),OFFSET(Setup!$E$73,MATCH(Q$5,DedListItem,0),0,1,1)),(MIN(IF(OFFSET(Setup!$G$73,MATCH(Q$5,DedListItem,0),0,1,1)="Taxable",SUMPRODUCT((PayEmp=$C59)*(PayDate&lt;=$AC59)*(ISERROR(SEARCH(PayEarnCode,Q$4)))*(PayEarnTax)*(PayEarnValues)),SUMPRODUCT((PayEmp=$C59)*(PayDate&lt;=$AC59)*(ISERROR(SEARCH(PayEarnCode,Q$4)))*(PayEarnValues))),IF(ISNUMBER(Q$3),Q$3/12*$AA59,IgnoreMin)))*IF(COUNTIFS(EmpNo,$C59,OFFSET(Emp!$R$4,1,MATCH(Q$5,DedListItem,0)-1,EmpCount,1),"&lt;&gt;")&gt;0,VLOOKUP($C59,EmpAll,COLUMN(Emp!$R$4)+MATCH(Q$5,DedListItem,0)-1,0),OFFSET(Setup!$E$73,MATCH(Q$5,DedListItem,0),0,1,1)))-SUMIFS(OFFSET(Q$6,1,0,PayCount,1),PayDate,"&lt;"&amp;$AC59,PayEmp,$C59))))))</f>
        <v>0</v>
      </c>
      <c r="R59" s="185">
        <f t="shared" ca="1" si="25"/>
        <v>273.75</v>
      </c>
      <c r="S59" s="139">
        <f t="shared" ca="1" si="26"/>
        <v>8726.25</v>
      </c>
      <c r="T59" s="133" cm="1">
        <f t="array" aca="1" ref="T59" ca="1">IF($F59="Terminated",0,IF($AA59=0,0,IF(ISNA(MATCH(T$5,CompListItem,0)),0,IF(COUNTIFS(OverEmp,$C59,OverComp,T$5,OverDate,"&lt;"&amp;DATE(YEAR($AC59),MONTH($AC59)+1,1),OverEnd,"&gt;="&amp;DATE(YEAR($AC59),MONTH($AC59),1))&gt;0,SUMIFS(OverValue,OverEmp,$C59,OverComp,T$5,OverDate,"&lt;"&amp;DATE(YEAR($AC59),MONTH($AC59)+1,1),OverEnd,"&gt;="&amp;DATE(YEAR($AC59),MONTH($AC59),1)),IF(OR(T$2="Fixed",T$2="Not Used"),(OFFSET(Setup!$E$81,MATCH(T$5,CompListItem,0),0,1,1)*$AA59)-SUMIFS(OFFSET(T$6,1,0,PayCount,1),PayDate,"&lt;"&amp;$AC59,PayEmp,$C59),IF(ISNA(MATCH(T$2,DedListItem,0))=FALSE,(SUMPRODUCT((PayEmp=$C59)*(PayDate&lt;=$AC59)*(PayDedList=T$2)*(PayDedValues))*OFFSET(Setup!$E$81,MATCH(T$5,CompListItem,0),0,1,1))-SUMIFS(OFFSET(T$6,1,0,PayCount,1),PayDate,"&lt;"&amp;$AC59,PayEmp,$C59),(MIN(IF(OFFSET(Setup!$G$81,MATCH(T$5,CompListItem,0),0,1,1)="Taxable",SUMPRODUCT((PayEmp=$C59)*(PayDate&lt;=$AC59)*(ISERROR(SEARCH(PayEarnCode,T$4)))*(PayEarnTax)*(PayEarnValues)),SUMPRODUCT((PayEmp=$C59)*(PayDate&lt;=$AC59)*(ISERROR(SEARCH(PayEarnCode,T$4)))*(PayEarnValues))),IF(ISNUMBER(T$3),T$3/12*$AA59,IgnoreMin)))*OFFSET(Setup!$E$81,MATCH(T$5,CompListItem,0),0,1,1)-SUMIFS(OFFSET(T$6,1,0,PayCount,1),PayDate,"&lt;"&amp;$AC59,PayEmp,$C59)))))))</f>
        <v>90</v>
      </c>
      <c r="U59" s="133" cm="1">
        <f t="array" aca="1" ref="U59" ca="1">IF($F59="Terminated",0,IF($AA59=0,0,IF(ISNA(MATCH(U$5,CompListItem,0)),0,IF(COUNTIFS(OverEmp,$C59,OverComp,U$5,OverDate,"&lt;"&amp;DATE(YEAR($AC59),MONTH($AC59)+1,1),OverEnd,"&gt;="&amp;DATE(YEAR($AC59),MONTH($AC59),1))&gt;0,SUMIFS(OverValue,OverEmp,$C59,OverComp,U$5,OverDate,"&lt;"&amp;DATE(YEAR($AC59),MONTH($AC59)+1,1),OverEnd,"&gt;="&amp;DATE(YEAR($AC59),MONTH($AC59),1)),IF(OR(U$2="Fixed",U$2="Not Used"),(OFFSET(Setup!$E$81,MATCH(U$5,CompListItem,0),0,1,1)*$AA59)-SUMIFS(OFFSET(U$6,1,0,PayCount,1),PayDate,"&lt;"&amp;$AC59,PayEmp,$C59),IF(ISNA(MATCH(U$2,DedListItem,0))=FALSE,(SUMPRODUCT((PayEmp=$C59)*(PayDate&lt;=$AC59)*(PayDedList=U$2)*(PayDedValues))*OFFSET(Setup!$E$81,MATCH(U$5,CompListItem,0),0,1,1))-SUMIFS(OFFSET(U$6,1,0,PayCount,1),PayDate,"&lt;"&amp;$AC59,PayEmp,$C59),(MIN(IF(OFFSET(Setup!$G$81,MATCH(U$5,CompListItem,0),0,1,1)="Taxable",SUMPRODUCT((PayEmp=$C59)*(PayDate&lt;=$AC59)*(ISERROR(SEARCH(PayEarnCode,U$4)))*(PayEarnTax)*(PayEarnValues)),SUMPRODUCT((PayEmp=$C59)*(PayDate&lt;=$AC59)*(ISERROR(SEARCH(PayEarnCode,U$4)))*(PayEarnValues))),IF(ISNUMBER(U$3),U$3/12*$AA59,IgnoreMin)))*OFFSET(Setup!$E$81,MATCH(U$5,CompListItem,0),0,1,1)-SUMIFS(OFFSET(U$6,1,0,PayCount,1),PayDate,"&lt;"&amp;$AC59,PayEmp,$C59)))))))</f>
        <v>90</v>
      </c>
      <c r="V59" s="133" cm="1">
        <f t="array" aca="1" ref="V59" ca="1">IF($F59="Terminated",0,IF($AA59=0,0,IF(ISNA(MATCH(V$5,CompListItem,0)),0,IF(COUNTIFS(OverEmp,$C59,OverComp,V$5,OverDate,"&lt;"&amp;DATE(YEAR($AC59),MONTH($AC59)+1,1),OverEnd,"&gt;="&amp;DATE(YEAR($AC59),MONTH($AC59),1))&gt;0,SUMIFS(OverValue,OverEmp,$C59,OverComp,V$5,OverDate,"&lt;"&amp;DATE(YEAR($AC59),MONTH($AC59)+1,1),OverEnd,"&gt;="&amp;DATE(YEAR($AC59),MONTH($AC59),1)),IF(OR(V$2="Fixed",V$2="Not Used"),(OFFSET(Setup!$E$81,MATCH(V$5,CompListItem,0),0,1,1)*$AA59)-SUMIFS(OFFSET(V$6,1,0,PayCount,1),PayDate,"&lt;"&amp;$AC59,PayEmp,$C59),IF(ISNA(MATCH(V$2,DedListItem,0))=FALSE,(SUMPRODUCT((PayEmp=$C59)*(PayDate&lt;=$AC59)*(PayDedList=V$2)*(PayDedValues))*OFFSET(Setup!$E$81,MATCH(V$5,CompListItem,0),0,1,1))-SUMIFS(OFFSET(V$6,1,0,PayCount,1),PayDate,"&lt;"&amp;$AC59,PayEmp,$C59),(MIN(IF(OFFSET(Setup!$G$81,MATCH(V$5,CompListItem,0),0,1,1)="Taxable",SUMPRODUCT((PayEmp=$C59)*(PayDate&lt;=$AC59)*(ISERROR(SEARCH(PayEarnCode,V$4)))*(PayEarnTax)*(PayEarnValues)),SUMPRODUCT((PayEmp=$C59)*(PayDate&lt;=$AC59)*(ISERROR(SEARCH(PayEarnCode,V$4)))*(PayEarnValues))),IF(ISNUMBER(V$3),V$3/12*$AA59,IgnoreMin)))*OFFSET(Setup!$E$81,MATCH(V$5,CompListItem,0),0,1,1)-SUMIFS(OFFSET(V$6,1,0,PayCount,1),PayDate,"&lt;"&amp;$AC59,PayEmp,$C59)))))))</f>
        <v>0</v>
      </c>
      <c r="W59" s="133" cm="1">
        <f t="array" aca="1" ref="W59" ca="1">IF($F59="Terminated",0,IF($AA59=0,0,IF(ISNA(MATCH(W$5,CompListItem,0)),0,IF(COUNTIFS(OverEmp,$C59,OverComp,W$5,OverDate,"&lt;"&amp;DATE(YEAR($AC59),MONTH($AC59)+1,1),OverEnd,"&gt;="&amp;DATE(YEAR($AC59),MONTH($AC59),1))&gt;0,SUMIFS(OverValue,OverEmp,$C59,OverComp,W$5,OverDate,"&lt;"&amp;DATE(YEAR($AC59),MONTH($AC59)+1,1),OverEnd,"&gt;="&amp;DATE(YEAR($AC59),MONTH($AC59),1)),IF(OR(W$2="Fixed",W$2="Not Used"),(OFFSET(Setup!$E$81,MATCH(W$5,CompListItem,0),0,1,1)*$AA59)-SUMIFS(OFFSET(W$6,1,0,PayCount,1),PayDate,"&lt;"&amp;$AC59,PayEmp,$C59),IF(ISNA(MATCH(W$2,DedListItem,0))=FALSE,(SUMPRODUCT((PayEmp=$C59)*(PayDate&lt;=$AC59)*(PayDedList=W$2)*(PayDedValues))*OFFSET(Setup!$E$81,MATCH(W$5,CompListItem,0),0,1,1))-SUMIFS(OFFSET(W$6,1,0,PayCount,1),PayDate,"&lt;"&amp;$AC59,PayEmp,$C59),(MIN(IF(OFFSET(Setup!$G$81,MATCH(W$5,CompListItem,0),0,1,1)="Taxable",SUMPRODUCT((PayEmp=$C59)*(PayDate&lt;=$AC59)*(ISERROR(SEARCH(PayEarnCode,W$4)))*(PayEarnTax)*(PayEarnValues)),SUMPRODUCT((PayEmp=$C59)*(PayDate&lt;=$AC59)*(ISERROR(SEARCH(PayEarnCode,W$4)))*(PayEarnValues))),IF(ISNUMBER(W$3),W$3/12*$AA59,IgnoreMin)))*OFFSET(Setup!$E$81,MATCH(W$5,CompListItem,0),0,1,1)-SUMIFS(OFFSET(W$6,1,0,PayCount,1),PayDate,"&lt;"&amp;$AC59,PayEmp,$C59)))))))</f>
        <v>0</v>
      </c>
      <c r="X59" s="185">
        <f t="shared" ca="1" si="18"/>
        <v>180</v>
      </c>
      <c r="Y59" s="139">
        <f t="shared" ca="1" si="27"/>
        <v>9180</v>
      </c>
      <c r="Z59" s="139">
        <f t="shared" ca="1" si="19"/>
        <v>453.75</v>
      </c>
      <c r="AA59" s="146">
        <f ca="1">IF(OR($B59&lt;=Setup!$E$12,$B59&gt;=Setup!$D$12+1),0,IF($F59&lt;&gt;"Active",0,IF($AE59="Yes",$AB59,((YEAR($AC59)*12)+MONTH($AC59))-((YEAR($AD59)*12)+MONTH($AD59)-1))))</f>
        <v>4</v>
      </c>
      <c r="AB59" s="146">
        <f ca="1">IF(OR($B59&lt;=Setup!$E$12,$B59&gt;=Setup!$D$12+1),0,((YEAR($AC59)*12)+MONTH($AC59))-((YEAR(Setup!$E$12)*12)+MONTH(Setup!$E$12)))</f>
        <v>4</v>
      </c>
      <c r="AC59" s="186">
        <f t="shared" ca="1" si="20"/>
        <v>45102</v>
      </c>
      <c r="AD59" s="144">
        <f ca="1">IF(ISNA(VLOOKUP($C59,EmpAll,COLUMN(Emp!$E$4),0)),$AC59,IF(VLOOKUP($C59,EmpAll,COLUMN(Emp!$E$4),0)&lt;=Setup!$E$12,DATE(YEAR(Setup!$E$12),MONTH(Setup!$E$12)+1,1),VLOOKUP($C59,EmpAll,COLUMN(Emp!$E$4),0)))</f>
        <v>44986</v>
      </c>
      <c r="AE59" s="144" t="str">
        <f ca="1">IF(ISNA(VLOOKUP($C59,EmpAll,COLUMN(Emp!$G$1),0)),"-",IF(VLOOKUP($C59,EmpAll,COLUMN(Emp!$G$1),0)=0,"-",VLOOKUP($C59,EmpAll,COLUMN(Emp!$G$1),0)))</f>
        <v>-</v>
      </c>
      <c r="AF59" s="145">
        <f ca="1">IF(A59=PaySlip!$G$3,1,0)</f>
        <v>0</v>
      </c>
      <c r="AG59" s="130" cm="1">
        <f t="array" aca="1" ref="AG59" ca="1">IF(COUNTIFS(OverEmp,$C59,OverMed,"MED",OverDate,"&lt;"&amp;DATE(YEAR($AC59),MONTH($AC59)+1,1),OverEnd,"&gt;="&amp;DATE(YEAR($AC59),MONTH($AC59),1))&gt;0,SUMIFS(OverValue,OverEmp,$C59,OverMed,"MED",OverDate,"&lt;"&amp;DATE(YEAR($AC59),MONTH($AC59)+1,1),OverEnd,"&gt;="&amp;DATE(YEAR($AC59),MONTH($AC59),1)),IF(ISNA(VLOOKUP($C59,EmpAll,COLUMN(Emp!$N$4),0)),0,VLOOKUP($C59,EmpAll,COLUMN(Emp!$N$4),0)))</f>
        <v>0</v>
      </c>
      <c r="AH59" s="146">
        <f ca="1">VLOOKUP($AG59,MedList,COLUMN(Setup!$C$49),1)</f>
        <v>0</v>
      </c>
      <c r="AI59" s="146">
        <f t="shared" ca="1" si="7"/>
        <v>0</v>
      </c>
      <c r="AJ59" s="101" t="str">
        <f ca="1">IF(ISNA(VLOOKUP($C59,EmpAll,COLUMN(Emp!$L$4),0)),"None!",VLOOKUP($C59,EmpAll,COLUMN(Emp!$L$4),0))</f>
        <v>A</v>
      </c>
      <c r="AK59" s="147">
        <f t="shared" ca="1" si="21"/>
        <v>17235</v>
      </c>
      <c r="AL59" s="101" t="str">
        <f ca="1">IF(ISNA(VLOOKUP($C59,Employees[],COLUMN(Emp!$M$4),0))=TRUE,"Error!",IF(VLOOKUP($C59,Employees[],COLUMN(Emp!$M$4),0)=0,"Yes",VLOOKUP($C59,Employees[],COLUMN(Emp!$M$4),0)))</f>
        <v>A</v>
      </c>
      <c r="AM59" s="148">
        <f t="shared" ca="1" si="9"/>
        <v>108000</v>
      </c>
      <c r="AN59" s="148" cm="1">
        <f t="array" aca="1" ref="AN59" ca="1">-IF($F59="Terminated",0,IF($AA59=0,0,IF(ISNA(MATCH(AN$5,PayDedList,0)),0,MIN(IF(COUNTIFS(OverEmp,$C59,OverDeduct,AN$5,OverDate,"&lt;"&amp;DATE(YEAR($AC59),MONTH($AC59)+1,1),OverEnd,"&gt;="&amp;DATE(YEAR($AC59),MONTH($AC59),1))&gt;0,SUMPRODUCT((PayEmp=$C59)*(PayDate&lt;=$AC59)*(OFFSET($N$6,1,MATCH(AN$5,PayDedList,0)-1,PayCount,1)))/$AA59*12*AN$3,IF(OR(AN$1="Fixed",AN$1="Not Used"),SUMPRODUCT((PayEmp=$C59)*(PayDate&lt;=$AC59)*(OFFSET($N$6,1,MATCH(AN$5,PayDedList,0)-1,PayCount,1)))/$AA59*12*AN$3,IF(ISNA(MATCH(AN$1,EarnListItem,0))=FALSE,SUMPRODUCT((PayEmp=$C59)*(PayDate&lt;=$AC59)*(OFFSET($N$6,1,MATCH(AN$5,PayDedList,0)-1,PayCount,1)))/$AA59*12*AN$3,(MIN(((SUMPRODUCT((PayEmp=$C59)*(PayDate&lt;=$AC59)*(ISERROR(SEARCH(PayEarnCode,AN$2)))*(PayEarnType="Monthly")*(PayEarnValues))/$AA59*12)+(SUMPRODUCT((PayEmp=$C59)*(PayDate&lt;=$AC59)*(ISERROR(SEARCH(PayEarnCode,AN$2)))*(PayEarnType="Quarterly")*(PayEarnValues))/MAX(1,ROUNDDOWN($AB59/3,0))*4)+(SUMPRODUCT((PayEmp=$C59)*(PayDate&lt;=$AC59)*(ISERROR(SEARCH(PayEarnCode,AN$2)))*(PayEarnType="Bi-Annual")*(PayEarnValues))/MAX(1,ROUNDDOWN($AB59/6,0))*2)+(SUMPRODUCT((PayEmp=$C59)*(PayDate&lt;=$AC59)*(ISERROR(SEARCH(PayEarnCode,AN$2)))*(PayEarnType="Annual")*(PayEarnValues)))),IF(ISNUMBER(OFFSET($N$3,0,MATCH(AN$5,PayDedList,0)-1,1,1)),OFFSET($N$3,0,MATCH(AN$5,PayDedList,0)-1,1,1),IgnoreMin)))*IF(COUNTIFS(EmpNo,$C59,OFFSET(Emp!$R$4,1,MATCH(AN$5,DedListItem,0)-1,EmpCount,1),"&lt;&gt;")&gt;0,VLOOKUP($C59,EmpAll,COLUMN(Emp!$R$4)+MATCH(AN$5,DedListItem,0)-1,0),OFFSET(Setup!$E$73,MATCH(AN$5,DedListItem,0),0,1,1))*AN$3))),IF(ISNUMBER(AN$4),AN$4,IgnoreMin)))))</f>
        <v>0</v>
      </c>
      <c r="AO59" s="148" cm="1">
        <f t="array" aca="1" ref="AO59" ca="1">-IF($F59="Terminated",0,IF($AA59=0,0,IF(ISNA(MATCH(AO$5,PayDedList,0)),0,MIN(IF(COUNTIFS(OverEmp,$C59,OverDeduct,AO$5,OverDate,"&lt;"&amp;DATE(YEAR($AC59),MONTH($AC59)+1,1),OverEnd,"&gt;="&amp;DATE(YEAR($AC59),MONTH($AC59),1))&gt;0,SUMPRODUCT((PayEmp=$C59)*(PayDate&lt;=$AC59)*(OFFSET($N$6,1,MATCH(AO$5,PayDedList,0)-1,PayCount,1)))/$AA59*12*AO$3,IF(OR(AO$1="Fixed",AO$1="Not Used"),SUMPRODUCT((PayEmp=$C59)*(PayDate&lt;=$AC59)*(OFFSET($N$6,1,MATCH(AO$5,PayDedList,0)-1,PayCount,1)))/$AA59*12*AO$3,IF(ISNA(MATCH(AO$1,EarnListItem,0))=FALSE,SUMPRODUCT((PayEmp=$C59)*(PayDate&lt;=$AC59)*(OFFSET($N$6,1,MATCH(AO$5,PayDedList,0)-1,PayCount,1)))/$AA59*12*AO$3,(MIN(((SUMPRODUCT((PayEmp=$C59)*(PayDate&lt;=$AC59)*(ISERROR(SEARCH(PayEarnCode,AO$2)))*(PayEarnType="Monthly")*(PayEarnValues))/$AA59*12)+(SUMPRODUCT((PayEmp=$C59)*(PayDate&lt;=$AC59)*(ISERROR(SEARCH(PayEarnCode,AO$2)))*(PayEarnType="Quarterly")*(PayEarnValues))/MAX(1,ROUNDDOWN($AB59/3,0))*4)+(SUMPRODUCT((PayEmp=$C59)*(PayDate&lt;=$AC59)*(ISERROR(SEARCH(PayEarnCode,AO$2)))*(PayEarnType="Bi-Annual")*(PayEarnValues))/MAX(1,ROUNDDOWN($AB59/6,0))*2)+(SUMPRODUCT((PayEmp=$C59)*(PayDate&lt;=$AC59)*(ISERROR(SEARCH(PayEarnCode,AO$2)))*(PayEarnType="Annual")*(PayEarnValues)))),IF(ISNUMBER(OFFSET($N$3,0,MATCH(AO$5,PayDedList,0)-1,1,1)),OFFSET($N$3,0,MATCH(AO$5,PayDedList,0)-1,1,1),IgnoreMin)))*IF(COUNTIFS(EmpNo,$C59,OFFSET(Emp!$R$4,1,MATCH(AO$5,DedListItem,0)-1,EmpCount,1),"&lt;&gt;")&gt;0,VLOOKUP($C59,EmpAll,COLUMN(Emp!$R$4)+MATCH(AO$5,DedListItem,0)-1,0),OFFSET(Setup!$E$73,MATCH(AO$5,DedListItem,0),0,1,1))*AO$3))),IF(ISNUMBER(AO$4),AO$4,IgnoreMin)))))</f>
        <v>0</v>
      </c>
      <c r="AP59" s="148" cm="1">
        <f t="array" aca="1" ref="AP59" ca="1">-IF($F59="Terminated",0,IF($AA59=0,0,IF(ISNA(MATCH(AP$5,PayDedList,0)),0,MIN(IF(COUNTIFS(OverEmp,$C59,OverDeduct,AP$5,OverDate,"&lt;"&amp;DATE(YEAR($AC59),MONTH($AC59)+1,1),OverEnd,"&gt;="&amp;DATE(YEAR($AC59),MONTH($AC59),1))&gt;0,SUMPRODUCT((PayEmp=$C59)*(PayDate&lt;=$AC59)*(OFFSET($N$6,1,MATCH(AP$5,PayDedList,0)-1,PayCount,1)))/$AA59*12*AP$3,IF(OR(AP$1="Fixed",AP$1="Not Used"),SUMPRODUCT((PayEmp=$C59)*(PayDate&lt;=$AC59)*(OFFSET($N$6,1,MATCH(AP$5,PayDedList,0)-1,PayCount,1)))/$AA59*12*AP$3,IF(ISNA(MATCH(AP$1,EarnListItem,0))=FALSE,SUMPRODUCT((PayEmp=$C59)*(PayDate&lt;=$AC59)*(OFFSET($N$6,1,MATCH(AP$5,PayDedList,0)-1,PayCount,1)))/$AA59*12*AP$3,(MIN(((SUMPRODUCT((PayEmp=$C59)*(PayDate&lt;=$AC59)*(ISERROR(SEARCH(PayEarnCode,AP$2)))*(PayEarnType="Monthly")*(PayEarnValues))/$AA59*12)+(SUMPRODUCT((PayEmp=$C59)*(PayDate&lt;=$AC59)*(ISERROR(SEARCH(PayEarnCode,AP$2)))*(PayEarnType="Quarterly")*(PayEarnValues))/MAX(1,ROUNDDOWN($AB59/3,0))*4)+(SUMPRODUCT((PayEmp=$C59)*(PayDate&lt;=$AC59)*(ISERROR(SEARCH(PayEarnCode,AP$2)))*(PayEarnType="Bi-Annual")*(PayEarnValues))/MAX(1,ROUNDDOWN($AB59/6,0))*2)+(SUMPRODUCT((PayEmp=$C59)*(PayDate&lt;=$AC59)*(ISERROR(SEARCH(PayEarnCode,AP$2)))*(PayEarnType="Annual")*(PayEarnValues)))),IF(ISNUMBER(OFFSET($N$3,0,MATCH(AP$5,PayDedList,0)-1,1,1)),OFFSET($N$3,0,MATCH(AP$5,PayDedList,0)-1,1,1),IgnoreMin)))*IF(COUNTIFS(EmpNo,$C59,OFFSET(Emp!$R$4,1,MATCH(AP$5,DedListItem,0)-1,EmpCount,1),"&lt;&gt;")&gt;0,VLOOKUP($C59,EmpAll,COLUMN(Emp!$R$4)+MATCH(AP$5,DedListItem,0)-1,0),OFFSET(Setup!$E$73,MATCH(AP$5,DedListItem,0),0,1,1))*AP$3))),IF(ISNUMBER(AP$4),AP$4,IgnoreMin)))))</f>
        <v>0</v>
      </c>
      <c r="AQ59" s="148" cm="1">
        <f t="array" aca="1" ref="AQ59" ca="1">-IF($F59="Terminated",0,IF($AA59=0,0,IF(ISNA(MATCH(AQ$5,PayDedList,0)),0,MIN(IF(COUNTIFS(OverEmp,$C59,OverDeduct,AQ$5,OverDate,"&lt;"&amp;DATE(YEAR($AC59),MONTH($AC59)+1,1),OverEnd,"&gt;="&amp;DATE(YEAR($AC59),MONTH($AC59),1))&gt;0,SUMPRODUCT((PayEmp=$C59)*(PayDate&lt;=$AC59)*(OFFSET($N$6,1,MATCH(AQ$5,PayDedList,0)-1,PayCount,1)))/$AA59*12*AQ$3,IF(OR(AQ$1="Fixed",AQ$1="Not Used"),SUMPRODUCT((PayEmp=$C59)*(PayDate&lt;=$AC59)*(OFFSET($N$6,1,MATCH(AQ$5,PayDedList,0)-1,PayCount,1)))/$AA59*12*AQ$3,IF(ISNA(MATCH(AQ$1,EarnListItem,0))=FALSE,SUMPRODUCT((PayEmp=$C59)*(PayDate&lt;=$AC59)*(OFFSET($N$6,1,MATCH(AQ$5,PayDedList,0)-1,PayCount,1)))/$AA59*12*AQ$3,(MIN(((SUMPRODUCT((PayEmp=$C59)*(PayDate&lt;=$AC59)*(ISERROR(SEARCH(PayEarnCode,AQ$2)))*(PayEarnType="Monthly")*(PayEarnValues))/$AA59*12)+(SUMPRODUCT((PayEmp=$C59)*(PayDate&lt;=$AC59)*(ISERROR(SEARCH(PayEarnCode,AQ$2)))*(PayEarnType="Quarterly")*(PayEarnValues))/MAX(1,ROUNDDOWN($AB59/3,0))*4)+(SUMPRODUCT((PayEmp=$C59)*(PayDate&lt;=$AC59)*(ISERROR(SEARCH(PayEarnCode,AQ$2)))*(PayEarnType="Bi-Annual")*(PayEarnValues))/MAX(1,ROUNDDOWN($AB59/6,0))*2)+(SUMPRODUCT((PayEmp=$C59)*(PayDate&lt;=$AC59)*(ISERROR(SEARCH(PayEarnCode,AQ$2)))*(PayEarnType="Annual")*(PayEarnValues)))),IF(ISNUMBER(OFFSET($N$3,0,MATCH(AQ$5,PayDedList,0)-1,1,1)),OFFSET($N$3,0,MATCH(AQ$5,PayDedList,0)-1,1,1),IgnoreMin)))*IF(COUNTIFS(EmpNo,$C59,OFFSET(Emp!$R$4,1,MATCH(AQ$5,DedListItem,0)-1,EmpCount,1),"&lt;&gt;")&gt;0,VLOOKUP($C59,EmpAll,COLUMN(Emp!$R$4)+MATCH(AQ$5,DedListItem,0)-1,0),OFFSET(Setup!$E$73,MATCH(AQ$5,DedListItem,0),0,1,1))*AQ$3))),IF(ISNUMBER(AQ$4),AQ$4,IgnoreMin)))))</f>
        <v>0</v>
      </c>
      <c r="AR59" s="148">
        <f t="shared" ca="1" si="22"/>
        <v>108000</v>
      </c>
      <c r="AS59" s="148">
        <f t="shared" ca="1" si="11"/>
        <v>108000</v>
      </c>
      <c r="AT59" s="148" cm="1">
        <f t="array" aca="1" ref="AT59" ca="1">-IF($F59="Terminated",0,IF($AA59=0,0,IF(ISNA(MATCH(AT$5,PayDedList,0)),0,MIN(IF(COUNTIFS(OverEmp,$C59,OverDeduct,AT$5,OverDate,"&lt;"&amp;DATE(YEAR($AC59),MONTH($AC59)+1,1),OverEnd,"&gt;="&amp;DATE(YEAR($AC59),MONTH($AC59),1))&gt;0,SUMPRODUCT((PayEmp=$C59)*(PayDate&lt;=$AC59)*(OFFSET($N$6,1,MATCH(AT$5,PayDedList,0)-1,PayCount,1)))/$AA59*12*AT$3,IF(OR(AT$1="Fixed",AT$1="Not Used"),SUMPRODUCT((PayEmp=$C59)*(PayDate&lt;=$AC59)*(OFFSET($N$6,1,MATCH(AT$5,PayDedList,0)-1,PayCount,1)))/$AA59*12*AT$3,IF(ISNA(MATCH(OFFSET($N$2,0,MATCH(AT$5,PayDedList,0)-1,1,1),EarnListItem,0))=FALSE,SUMPRODUCT((PayEmp=$C59)*(PayDate&lt;=$AC59)*(OFFSET($N$6,1,MATCH(AT$5,PayDedList,0)-1,PayCount,1)))/$AA59*12*AT$3,(MIN(SUMPRODUCT((PayEmp=$C59)*(PayDate&lt;=$AC59)*(ISERROR(SEARCH(PayEarnCode,AT$2)))*(PayEarnType="Monthly")*(PayEarnValues))/$AA59*12,IF(ISNUMBER(OFFSET($N$3,0,MATCH(AT$5,PayDedList,0)-1,1,1)),OFFSET($N$3,0,MATCH(AT$5,PayDedList,0)-1,1,1),IgnoreMin)))*IF(COUNTIFS(EmpNo,$C59,OFFSET(Emp!$R$4,1,MATCH(AT$5,DedListItem,0)-1,EmpCount,1),"&lt;&gt;")&gt;0,VLOOKUP($C59,EmpAll,COLUMN(Emp!$R$4)+MATCH(AT$5,DedListItem,0)-1,0),OFFSET(Setup!$E$73,MATCH(AT$5,DedListItem,0),0,1,1))*AT$3))),IF(ISNUMBER(AT$4),AT$4,IgnoreMin)))))</f>
        <v>0</v>
      </c>
      <c r="AU59" s="148" cm="1">
        <f t="array" aca="1" ref="AU59" ca="1">-IF($F59="Terminated",0,IF($AA59=0,0,IF(ISNA(MATCH(AU$5,PayDedList,0)),0,MIN(IF(COUNTIFS(OverEmp,$C59,OverDeduct,AU$5,OverDate,"&lt;"&amp;DATE(YEAR($AC59),MONTH($AC59)+1,1),OverEnd,"&gt;="&amp;DATE(YEAR($AC59),MONTH($AC59),1))&gt;0,SUMPRODUCT((PayEmp=$C59)*(PayDate&lt;=$AC59)*(OFFSET($N$6,1,MATCH(AU$5,PayDedList,0)-1,PayCount,1)))/$AA59*12*AU$3,IF(OR(AU$1="Fixed",AU$1="Not Used"),SUMPRODUCT((PayEmp=$C59)*(PayDate&lt;=$AC59)*(OFFSET($N$6,1,MATCH(AU$5,PayDedList,0)-1,PayCount,1)))/$AA59*12*AU$3,IF(ISNA(MATCH(OFFSET($N$2,0,MATCH(AU$5,PayDedList,0)-1,1,1),EarnListItem,0))=FALSE,SUMPRODUCT((PayEmp=$C59)*(PayDate&lt;=$AC59)*(OFFSET($N$6,1,MATCH(AU$5,PayDedList,0)-1,PayCount,1)))/$AA59*12*AU$3,(MIN(SUMPRODUCT((PayEmp=$C59)*(PayDate&lt;=$AC59)*(ISERROR(SEARCH(PayEarnCode,AU$2)))*(PayEarnType="Monthly")*(PayEarnValues))/$AA59*12,IF(ISNUMBER(OFFSET($N$3,0,MATCH(AU$5,PayDedList,0)-1,1,1)),OFFSET($N$3,0,MATCH(AU$5,PayDedList,0)-1,1,1),IgnoreMin)))*IF(COUNTIFS(EmpNo,$C59,OFFSET(Emp!$R$4,1,MATCH(AU$5,DedListItem,0)-1,EmpCount,1),"&lt;&gt;")&gt;0,VLOOKUP($C59,EmpAll,COLUMN(Emp!$R$4)+MATCH(AU$5,DedListItem,0)-1,0),OFFSET(Setup!$E$73,MATCH(AU$5,DedListItem,0),0,1,1))*AU$3))),IF(ISNUMBER(AU$4),AU$4,IgnoreMin)))))</f>
        <v>0</v>
      </c>
      <c r="AV59" s="148" cm="1">
        <f t="array" aca="1" ref="AV59" ca="1">-IF($F59="Terminated",0,IF($AA59=0,0,IF(ISNA(MATCH(AV$5,PayDedList,0)),0,MIN(IF(COUNTIFS(OverEmp,$C59,OverDeduct,AV$5,OverDate,"&lt;"&amp;DATE(YEAR($AC59),MONTH($AC59)+1,1),OverEnd,"&gt;="&amp;DATE(YEAR($AC59),MONTH($AC59),1))&gt;0,SUMPRODUCT((PayEmp=$C59)*(PayDate&lt;=$AC59)*(OFFSET($N$6,1,MATCH(AV$5,PayDedList,0)-1,PayCount,1)))/$AA59*12*AV$3,IF(OR(AV$1="Fixed",AV$1="Not Used"),SUMPRODUCT((PayEmp=$C59)*(PayDate&lt;=$AC59)*(OFFSET($N$6,1,MATCH(AV$5,PayDedList,0)-1,PayCount,1)))/$AA59*12*AV$3,IF(ISNA(MATCH(OFFSET($N$2,0,MATCH(AV$5,PayDedList,0)-1,1,1),EarnListItem,0))=FALSE,SUMPRODUCT((PayEmp=$C59)*(PayDate&lt;=$AC59)*(OFFSET($N$6,1,MATCH(AV$5,PayDedList,0)-1,PayCount,1)))/$AA59*12*AV$3,(MIN(SUMPRODUCT((PayEmp=$C59)*(PayDate&lt;=$AC59)*(ISERROR(SEARCH(PayEarnCode,AV$2)))*(PayEarnType="Monthly")*(PayEarnValues))/$AA59*12,IF(ISNUMBER(OFFSET($N$3,0,MATCH(AV$5,PayDedList,0)-1,1,1)),OFFSET($N$3,0,MATCH(AV$5,PayDedList,0)-1,1,1),IgnoreMin)))*IF(COUNTIFS(EmpNo,$C59,OFFSET(Emp!$R$4,1,MATCH(AV$5,DedListItem,0)-1,EmpCount,1),"&lt;&gt;")&gt;0,VLOOKUP($C59,EmpAll,COLUMN(Emp!$R$4)+MATCH(AV$5,DedListItem,0)-1,0),OFFSET(Setup!$E$73,MATCH(AV$5,DedListItem,0),0,1,1))*AV$3))),IF(ISNUMBER(AV$4),AV$4,IgnoreMin)))))</f>
        <v>0</v>
      </c>
      <c r="AW59" s="148" cm="1">
        <f t="array" aca="1" ref="AW59" ca="1">-IF($F59="Terminated",0,IF($AA59=0,0,IF(ISNA(MATCH(AW$5,PayDedList,0)),0,MIN(IF(COUNTIFS(OverEmp,$C59,OverDeduct,AW$5,OverDate,"&lt;"&amp;DATE(YEAR($AC59),MONTH($AC59)+1,1),OverEnd,"&gt;="&amp;DATE(YEAR($AC59),MONTH($AC59),1))&gt;0,SUMPRODUCT((PayEmp=$C59)*(PayDate&lt;=$AC59)*(OFFSET($N$6,1,MATCH(AW$5,PayDedList,0)-1,PayCount,1)))/$AA59*12*AW$3,IF(OR(AW$1="Fixed",AW$1="Not Used"),SUMPRODUCT((PayEmp=$C59)*(PayDate&lt;=$AC59)*(OFFSET($N$6,1,MATCH(AW$5,PayDedList,0)-1,PayCount,1)))/$AA59*12*AW$3,IF(ISNA(MATCH(OFFSET($N$2,0,MATCH(AW$5,PayDedList,0)-1,1,1),EarnListItem,0))=FALSE,SUMPRODUCT((PayEmp=$C59)*(PayDate&lt;=$AC59)*(OFFSET($N$6,1,MATCH(AW$5,PayDedList,0)-1,PayCount,1)))/$AA59*12*AW$3,(MIN(SUMPRODUCT((PayEmp=$C59)*(PayDate&lt;=$AC59)*(ISERROR(SEARCH(PayEarnCode,AW$2)))*(PayEarnType="Monthly")*(PayEarnValues))/$AA59*12,IF(ISNUMBER(OFFSET($N$3,0,MATCH(AW$5,PayDedList,0)-1,1,1)),OFFSET($N$3,0,MATCH(AW$5,PayDedList,0)-1,1,1),IgnoreMin)))*IF(COUNTIFS(EmpNo,$C59,OFFSET(Emp!$R$4,1,MATCH(AW$5,DedListItem,0)-1,EmpCount,1),"&lt;&gt;")&gt;0,VLOOKUP($C59,EmpAll,COLUMN(Emp!$R$4)+MATCH(AW$5,DedListItem,0)-1,0),OFFSET(Setup!$E$73,MATCH(AW$5,DedListItem,0),0,1,1))*AW$3))),IF(ISNUMBER(AW$4),AW$4,IgnoreMin)))))</f>
        <v>0</v>
      </c>
      <c r="AX59" s="148">
        <f t="shared" ca="1" si="28"/>
        <v>108000</v>
      </c>
      <c r="AY59" s="148">
        <f t="shared" ca="1" si="29"/>
        <v>0</v>
      </c>
      <c r="AZ59" s="148">
        <f ca="1">IF(ISNUMBER($AL59),($AR59*$AL59)-$AI59-$AK59,MAX(0,IF($AL59="B",IF($AR59&lt;Setup!$C$32,($AR59*Setup!$D$32)-$AI59-$AK59,(($AR59-VLOOKUP($AR59,TaxAll2,1,1))*OFFSET(Setup!$D$32,MATCH($AR59,TaxBracket2,1),0,1,1))+OFFSET(Setup!$E$31,MATCH($AR59,TaxBracket2,1),0,1,1)-$AI59-$AK59),IF($AR59&lt;Setup!$C$21,($AR59*Setup!$D$21)-$AI59-$AK59,(($AR59-VLOOKUP($AR59,TaxAll1,1,1))*OFFSET(Setup!$D$21,MATCH($AR59,TaxBracket1,1),0,1,1))+OFFSET(Setup!$E$20,MATCH($AR59,TaxBracket1,1),0,1,1)-$AI59-$AK59))))</f>
        <v>2205</v>
      </c>
      <c r="BA59" s="148">
        <f ca="1">IF(ISNUMBER($AL59),($AX59*$AL59)-$AI59-$AK59,MAX(0,IF($AL59="B",IF($AX59&lt;Setup!$C$32,($AX59*Setup!$D$32)-$AI59-$AK59,(($AX59-VLOOKUP($AX59,TaxAll2,1,1))*OFFSET(Setup!$D$32,MATCH($AX59,TaxBracket2,1),0,1,1))+OFFSET(Setup!$E$31,MATCH($AX59,TaxBracket2,1),0,1,1)-$AI59-$AK59),IF($AX59&lt;Setup!$C$21,($AX59*Setup!$D$21)-$AI59-$AK59,(($AX59-VLOOKUP($AX59,TaxAll1,1,1))*OFFSET(Setup!$D$21,MATCH($AX59,TaxBracket1,1),0,1,1))+OFFSET(Setup!$E$20,MATCH($AX59,TaxBracket1,1),0,1,1)-$AI59-$AK59))))</f>
        <v>2205</v>
      </c>
      <c r="BB59" s="148">
        <f t="shared" ca="1" si="23"/>
        <v>0</v>
      </c>
      <c r="BC59" s="150">
        <f t="shared" ca="1" si="15"/>
        <v>1</v>
      </c>
      <c r="BD59" s="150">
        <f t="shared" ca="1" si="16"/>
        <v>0</v>
      </c>
      <c r="BE59" s="148">
        <f t="shared" ca="1" si="17"/>
        <v>108000</v>
      </c>
    </row>
    <row r="60" spans="1:57" ht="16.149999999999999" customHeight="1" x14ac:dyDescent="0.25">
      <c r="A60" s="10" t="str" cm="1">
        <f t="array" aca="1" ref="A60" ca="1">IF(ROW($A60)-ROW($A$6)&gt;EmpCount*12,"-",TEXT($B60,"yyyy")&amp;TEXT($B60,"mm")&amp;"-"&amp;$C60)</f>
        <v>202306-EXS009</v>
      </c>
      <c r="B60" s="137" cm="1">
        <f t="array" aca="1" ref="B60" ca="1">IF(ROW($A60)-ROW($A$6)&gt;EmpCount*12,Setup!$D$12,DATE(YEAR(Setup!$F$12),MONTH(Setup!$F$12)+ROUNDDOWN((ROW($A60)-ROW($A$6)-1)/EmpCount,0),IF(Setup!$C$14&gt;DAY(DATE(YEAR(Setup!$F$12),MONTH(Setup!$F$12)+ROUNDDOWN((ROW($A60)-ROW($A$6)-1)/EmpCount,0)+1,0)),DAY(DATE(YEAR(Setup!$F$12),MONTH(Setup!$F$12)+ROUNDDOWN((ROW($A60)-ROW($A$6)-1)/EmpCount,0)+1,0)),Setup!$C$14)))</f>
        <v>45102</v>
      </c>
      <c r="C60" s="101" t="str" cm="1">
        <f t="array" aca="1" ref="C60" ca="1">IF(ROW($A60)-ROW($A$6)&gt;EmpCount*12,"-",OFFSET(Emp!$A$4,ROW($A60)-ROW($A$6)-IF(ROW($A60)-ROW($A$6)&gt;EmpCount,ROUNDDOWN((ROW($A60)-ROW($A$6)-1)/EmpCount,0)*EmpCount,0),0,1,1))</f>
        <v>EXS009</v>
      </c>
      <c r="D60" s="10" t="str">
        <f ca="1">IF(ISNA(VLOOKUP($C60,EmpAll,COLUMN(Emp!$B$4),0)),"-",VLOOKUP($C60,EmpAll,COLUMN(Emp!$B$4),0))</f>
        <v>Brown JT</v>
      </c>
      <c r="E60" s="145" t="str">
        <f ca="1">IF(ISNA(VLOOKUP($C60,EmpAll,COLUMN(Emp!$C$4),0)),"-",VLOOKUP($C60,EmpAll,COLUMN(Emp!$C$4),0))</f>
        <v>A</v>
      </c>
      <c r="F60" s="101" t="str">
        <f ca="1">IF(ISNA(VLOOKUP($C60,EmpAll,COLUMN(Emp!$A$4),0)),"-",IF(AND(VLOOKUP($C60,EmpAll,COLUMN(Emp!$E$4),0)&lt;&gt;0,VLOOKUP($C60,EmpAll,COLUMN(Emp!$E$4),0)&gt;=DATE(YEAR($AC60),MONTH($AC60)+1,0)),"Inactive",IF(AND(VLOOKUP($C60,EmpAll,COLUMN(Emp!$F$4),0)&lt;&gt;0,VLOOKUP($C60,EmpAll,COLUMN(Emp!$F$4),0)&lt;=DATE(YEAR($AC60),MONTH($AC60),0)),"Terminated","Active")))</f>
        <v>Active</v>
      </c>
      <c r="G60" s="133" cm="1">
        <f t="array" aca="1" ref="G60" ca="1">IF($F60&lt;&gt;"Active",0,IF(COUNTIFS(OverEmp,$C60,OverEarn,G$2,OverDate,"&lt;"&amp;DATE(YEAR($AC60),MONTH($AC60)+1,1),OverEnd,"&gt;="&amp;DATE(YEAR($AC60),MONTH($AC60),1))&gt;0,SUMIFS(OverValue,OverEmp,$C60,OverEarn,G$2,OverDate,"&lt;"&amp;DATE(YEAR($AC60),MONTH($AC60)+1,1),OverEnd,"&gt;="&amp;DATE(YEAR($AC60),MONTH($AC60),1)),IF(AND($AC60&gt;=Setup!$E$10,SUMIFS(EmpIncrease,EmpCode,$C60)&gt;0),SUMIFS(EmpIncrease,EmpCode,$C60),SUMIFS(EmpSalary,EmpCode,$C60))))</f>
        <v>9000</v>
      </c>
      <c r="H60" s="133" cm="1">
        <f t="array" aca="1" ref="H60" ca="1">IF($F60&lt;&gt;"Active",0,IF(COUNTIFS(OverEmp,$C60,OverEarn,H$2,OverDate,"&lt;"&amp;DATE(YEAR($AC60),MONTH($AC60)+1,1),OverEnd,"&gt;="&amp;DATE(YEAR($AC60),MONTH($AC60),1))&gt;0,SUMIFS(OverValue,OverEmp,$C60,OverEarn,H$2,OverDate,"&lt;"&amp;DATE(YEAR($AC60),MONTH($AC60)+1,1),OverEnd,"&gt;="&amp;DATE(YEAR($AC60),MONTH($AC60),1)),0))</f>
        <v>0</v>
      </c>
      <c r="I60" s="133" cm="1">
        <f t="array" aca="1" ref="I60" ca="1">IF($F60&lt;&gt;"Active",0,IF(COUNTIFS(OverEmp,$C60,OverEarn,I$2,OverDate,"&lt;"&amp;DATE(YEAR($AC60),MONTH($AC60)+1,1),OverEnd,"&gt;="&amp;DATE(YEAR($AC60),MONTH($AC60),1))&gt;0,SUMIFS(OverValue,OverEmp,$C60,OverEarn,I$2,OverDate,"&lt;"&amp;DATE(YEAR($AC60),MONTH($AC60)+1,1),OverEnd,"&gt;="&amp;DATE(YEAR($AC60),MONTH($AC60),1)),IF(MONTH(B60)=Setup!$C$15,SUMIFS(EmpBonus,EmpCode,$C60),0)))</f>
        <v>0</v>
      </c>
      <c r="J60" s="133" cm="1">
        <f t="array" aca="1" ref="J60" ca="1">IF($F60&lt;&gt;"Active",0,IF(COUNTIFS(OverEmp,$C60,OverEarn,J$2,OverDate,"&lt;"&amp;DATE(YEAR($AC60),MONTH($AC60)+1,1),OverEnd,"&gt;="&amp;DATE(YEAR($AC60),MONTH($AC60),1))&gt;0,SUMIFS(OverValue,OverEmp,$C60,OverEarn,J$2,OverDate,"&lt;"&amp;DATE(YEAR($AC60),MONTH($AC60)+1,1),OverEnd,"&gt;="&amp;DATE(YEAR($AC60),MONTH($AC60),1)),0))</f>
        <v>0</v>
      </c>
      <c r="K60" s="133" cm="1">
        <f t="array" aca="1" ref="K60" ca="1">IF($F60&lt;&gt;"Active",0,IF(COUNTIFS(OverEmp,$C60,OverEarn,K$2,OverDate,"&lt;"&amp;DATE(YEAR($AC60),MONTH($AC60)+1,1),OverEnd,"&gt;="&amp;DATE(YEAR($AC60),MONTH($AC60),1))&gt;0,SUMIFS(OverValue,OverEmp,$C60,OverEarn,K$2,OverDate,"&lt;"&amp;DATE(YEAR($AC60),MONTH($AC60)+1,1),OverEnd,"&gt;="&amp;DATE(YEAR($AC60),MONTH($AC60),1)),0))</f>
        <v>0</v>
      </c>
      <c r="L60" s="185">
        <f t="shared" ca="1" si="24"/>
        <v>9000</v>
      </c>
      <c r="M60" s="182" cm="1">
        <f t="array" aca="1" ref="M60" ca="1">IF(COUNTIFS(OverEmp,$C60,OverTax,M$5,OverDate,"&lt;"&amp;DATE(YEAR($AC60),MONTH($AC60)+1,1),OverEnd,"&gt;="&amp;DATE(YEAR($AC60),MONTH($AC60),1))&gt;0,SUMIFS(OverValue,OverEmp,$C60,OverTax,M$5,OverDate,"&lt;"&amp;DATE(YEAR($AC60),MONTH($AC60)+1,1),OverEnd,"&gt;="&amp;DATE(YEAR($AC60),MONTH($AC60),1)),(($BA60/12*$AA60)+(BB60*IF(1-$BC60=0,0,BD60/(1-$BC60))))-IF($F60="Terminated",0,SUMIFS(PayTaxDeduct,PayDate,"&lt;"&amp;$AC60,PayEmp,$C60)))</f>
        <v>183.75</v>
      </c>
      <c r="N60" s="133" cm="1">
        <f t="array" aca="1" ref="N60" ca="1">IF($F60="Terminated",0,IF($AA60=0,0,IF(ISNA(MATCH(N$5,DedListItem,0)),0,IF(COUNTIFS(OverEmp,$C60,OverDeduct,N$5,OverDate,"&lt;"&amp;DATE(YEAR($AC60),MONTH($AC60)+1,1),OverEnd,"&gt;="&amp;DATE(YEAR($AC60),MONTH($AC60),1))&gt;0,SUMIFS(OverValue,OverEmp,$C60,OverDeduct,N$5,OverDate,"&lt;"&amp;DATE(YEAR($AC60),MONTH($AC60)+1,1),OverEnd,"&gt;="&amp;DATE(YEAR($AC60),MONTH($AC60),1)),IF(OR(N$2="Fixed",N$2="Not Used"),(IF(COUNTIFS(EmpNo,$C60,OFFSET(Emp!$R$4,1,MATCH(N$5,DedListItem,0)-1,EmpCount,1),"&lt;&gt;")&gt;0,VLOOKUP($C60,EmpAll,COLUMN(Emp!$R$4)+MATCH(N$5,DedListItem,0)-1,0),OFFSET(Setup!$E$73,MATCH(N$5,DedListItem,0),0,1,1))*$AA60)-SUMIFS(OFFSET(N$6,1,0,PayCount,1),PayDate,"&lt;"&amp;$AC60,PayEmp,$C60),IF(ISNA(MATCH(N$2,EarnListItem,0))=FALSE,IF(OFFSET(Setup!$G$73,MATCH(N$5,DedListItem,0),0,1,1)="Taxable",SUMPRODUCT((PayEmp=$C60)*(PayDate&lt;=$AC60)*(PayEarnCode=N$2)*(PayEarnTax)*(PayEarnValues)),SUMPRODUCT((PayEmp=$C60)*(PayDate&lt;=$AC60)*(PayEarnCode=N$2)*(PayEarnValues)))*IF(COUNTIFS(EmpNo,$C60,OFFSET(Emp!$R$4,1,MATCH(N$5,DedListItem,0)-1,EmpCount,1),"&lt;&gt;")&gt;0,VLOOKUP($C60,EmpAll,COLUMN(Emp!$R$4)+MATCH(N$5,DedListItem,0)-1,0),OFFSET(Setup!$E$73,MATCH(N$5,DedListItem,0),0,1,1)),(MIN(IF(OFFSET(Setup!$G$73,MATCH(N$5,DedListItem,0),0,1,1)="Taxable",SUMPRODUCT((PayEmp=$C60)*(PayDate&lt;=$AC60)*(ISERROR(SEARCH(PayEarnCode,N$4)))*(PayEarnTax)*(PayEarnValues)),SUMPRODUCT((PayEmp=$C60)*(PayDate&lt;=$AC60)*(ISERROR(SEARCH(PayEarnCode,N$4)))*(PayEarnValues))),IF(ISNUMBER(N$3),N$3/12*$AA60,IgnoreMin)))*IF(COUNTIFS(EmpNo,$C60,OFFSET(Emp!$R$4,1,MATCH(N$5,DedListItem,0)-1,EmpCount,1),"&lt;&gt;")&gt;0,VLOOKUP($C60,EmpAll,COLUMN(Emp!$R$4)+MATCH(N$5,DedListItem,0)-1,0),OFFSET(Setup!$E$73,MATCH(N$5,DedListItem,0),0,1,1)))-SUMIFS(OFFSET(N$6,1,0,PayCount,1),PayDate,"&lt;"&amp;$AC60,PayEmp,$C60))))))</f>
        <v>90</v>
      </c>
      <c r="O60" s="133" cm="1">
        <f t="array" aca="1" ref="O60" ca="1">IF($F60="Terminated",0,IF($AA60=0,0,IF(ISNA(MATCH(O$5,DedListItem,0)),0,IF(COUNTIFS(OverEmp,$C60,OverDeduct,O$5,OverDate,"&lt;"&amp;DATE(YEAR($AC60),MONTH($AC60)+1,1),OverEnd,"&gt;="&amp;DATE(YEAR($AC60),MONTH($AC60),1))&gt;0,SUMIFS(OverValue,OverEmp,$C60,OverDeduct,O$5,OverDate,"&lt;"&amp;DATE(YEAR($AC60),MONTH($AC60)+1,1),OverEnd,"&gt;="&amp;DATE(YEAR($AC60),MONTH($AC60),1)),IF(OR(O$2="Fixed",O$2="Not Used"),(IF(COUNTIFS(EmpNo,$C60,OFFSET(Emp!$R$4,1,MATCH(O$5,DedListItem,0)-1,EmpCount,1),"&lt;&gt;")&gt;0,VLOOKUP($C60,EmpAll,COLUMN(Emp!$R$4)+MATCH(O$5,DedListItem,0)-1,0),OFFSET(Setup!$E$73,MATCH(O$5,DedListItem,0),0,1,1))*$AA60)-SUMIFS(OFFSET(O$6,1,0,PayCount,1),PayDate,"&lt;"&amp;$AC60,PayEmp,$C60),IF(ISNA(MATCH(O$2,EarnListItem,0))=FALSE,IF(OFFSET(Setup!$G$73,MATCH(O$5,DedListItem,0),0,1,1)="Taxable",SUMPRODUCT((PayEmp=$C60)*(PayDate&lt;=$AC60)*(PayEarnCode=O$2)*(PayEarnTax)*(PayEarnValues)),SUMPRODUCT((PayEmp=$C60)*(PayDate&lt;=$AC60)*(PayEarnCode=O$2)*(PayEarnValues)))*IF(COUNTIFS(EmpNo,$C60,OFFSET(Emp!$R$4,1,MATCH(O$5,DedListItem,0)-1,EmpCount,1),"&lt;&gt;")&gt;0,VLOOKUP($C60,EmpAll,COLUMN(Emp!$R$4)+MATCH(O$5,DedListItem,0)-1,0),OFFSET(Setup!$E$73,MATCH(O$5,DedListItem,0),0,1,1)),(MIN(IF(OFFSET(Setup!$G$73,MATCH(O$5,DedListItem,0),0,1,1)="Taxable",SUMPRODUCT((PayEmp=$C60)*(PayDate&lt;=$AC60)*(ISERROR(SEARCH(PayEarnCode,O$4)))*(PayEarnTax)*(PayEarnValues)),SUMPRODUCT((PayEmp=$C60)*(PayDate&lt;=$AC60)*(ISERROR(SEARCH(PayEarnCode,O$4)))*(PayEarnValues))),IF(ISNUMBER(O$3),O$3/12*$AA60,IgnoreMin)))*IF(COUNTIFS(EmpNo,$C60,OFFSET(Emp!$R$4,1,MATCH(O$5,DedListItem,0)-1,EmpCount,1),"&lt;&gt;")&gt;0,VLOOKUP($C60,EmpAll,COLUMN(Emp!$R$4)+MATCH(O$5,DedListItem,0)-1,0),OFFSET(Setup!$E$73,MATCH(O$5,DedListItem,0),0,1,1)))-SUMIFS(OFFSET(O$6,1,0,PayCount,1),PayDate,"&lt;"&amp;$AC60,PayEmp,$C60))))))</f>
        <v>0</v>
      </c>
      <c r="P60" s="133" cm="1">
        <f t="array" aca="1" ref="P60" ca="1">IF($F60="Terminated",0,IF($AA60=0,0,IF(ISNA(MATCH(P$5,DedListItem,0)),0,IF(COUNTIFS(OverEmp,$C60,OverDeduct,P$5,OverDate,"&lt;"&amp;DATE(YEAR($AC60),MONTH($AC60)+1,1),OverEnd,"&gt;="&amp;DATE(YEAR($AC60),MONTH($AC60),1))&gt;0,SUMIFS(OverValue,OverEmp,$C60,OverDeduct,P$5,OverDate,"&lt;"&amp;DATE(YEAR($AC60),MONTH($AC60)+1,1),OverEnd,"&gt;="&amp;DATE(YEAR($AC60),MONTH($AC60),1)),IF(OR(P$2="Fixed",P$2="Not Used"),(IF(COUNTIFS(EmpNo,$C60,OFFSET(Emp!$R$4,1,MATCH(P$5,DedListItem,0)-1,EmpCount,1),"&lt;&gt;")&gt;0,VLOOKUP($C60,EmpAll,COLUMN(Emp!$R$4)+MATCH(P$5,DedListItem,0)-1,0),OFFSET(Setup!$E$73,MATCH(P$5,DedListItem,0),0,1,1))*$AA60)-SUMIFS(OFFSET(P$6,1,0,PayCount,1),PayDate,"&lt;"&amp;$AC60,PayEmp,$C60),IF(ISNA(MATCH(P$2,EarnListItem,0))=FALSE,IF(OFFSET(Setup!$G$73,MATCH(P$5,DedListItem,0),0,1,1)="Taxable",SUMPRODUCT((PayEmp=$C60)*(PayDate&lt;=$AC60)*(PayEarnCode=P$2)*(PayEarnTax)*(PayEarnValues)),SUMPRODUCT((PayEmp=$C60)*(PayDate&lt;=$AC60)*(PayEarnCode=P$2)*(PayEarnValues)))*IF(COUNTIFS(EmpNo,$C60,OFFSET(Emp!$R$4,1,MATCH(P$5,DedListItem,0)-1,EmpCount,1),"&lt;&gt;")&gt;0,VLOOKUP($C60,EmpAll,COLUMN(Emp!$R$4)+MATCH(P$5,DedListItem,0)-1,0),OFFSET(Setup!$E$73,MATCH(P$5,DedListItem,0),0,1,1)),(MIN(IF(OFFSET(Setup!$G$73,MATCH(P$5,DedListItem,0),0,1,1)="Taxable",SUMPRODUCT((PayEmp=$C60)*(PayDate&lt;=$AC60)*(ISERROR(SEARCH(PayEarnCode,P$4)))*(PayEarnTax)*(PayEarnValues)),SUMPRODUCT((PayEmp=$C60)*(PayDate&lt;=$AC60)*(ISERROR(SEARCH(PayEarnCode,P$4)))*(PayEarnValues))),IF(ISNUMBER(P$3),P$3/12*$AA60,IgnoreMin)))*IF(COUNTIFS(EmpNo,$C60,OFFSET(Emp!$R$4,1,MATCH(P$5,DedListItem,0)-1,EmpCount,1),"&lt;&gt;")&gt;0,VLOOKUP($C60,EmpAll,COLUMN(Emp!$R$4)+MATCH(P$5,DedListItem,0)-1,0),OFFSET(Setup!$E$73,MATCH(P$5,DedListItem,0),0,1,1)))-SUMIFS(OFFSET(P$6,1,0,PayCount,1),PayDate,"&lt;"&amp;$AC60,PayEmp,$C60))))))</f>
        <v>0</v>
      </c>
      <c r="Q60" s="133" cm="1">
        <f t="array" aca="1" ref="Q60" ca="1">IF($F60="Terminated",0,IF($AA60=0,0,IF(ISNA(MATCH(Q$5,DedListItem,0)),0,IF(COUNTIFS(OverEmp,$C60,OverDeduct,Q$5,OverDate,"&lt;"&amp;DATE(YEAR($AC60),MONTH($AC60)+1,1),OverEnd,"&gt;="&amp;DATE(YEAR($AC60),MONTH($AC60),1))&gt;0,SUMIFS(OverValue,OverEmp,$C60,OverDeduct,Q$5,OverDate,"&lt;"&amp;DATE(YEAR($AC60),MONTH($AC60)+1,1),OverEnd,"&gt;="&amp;DATE(YEAR($AC60),MONTH($AC60),1)),IF(OR(Q$2="Fixed",Q$2="Not Used"),(IF(COUNTIFS(EmpNo,$C60,OFFSET(Emp!$R$4,1,MATCH(Q$5,DedListItem,0)-1,EmpCount,1),"&lt;&gt;")&gt;0,VLOOKUP($C60,EmpAll,COLUMN(Emp!$R$4)+MATCH(Q$5,DedListItem,0)-1,0),OFFSET(Setup!$E$73,MATCH(Q$5,DedListItem,0),0,1,1))*$AA60)-SUMIFS(OFFSET(Q$6,1,0,PayCount,1),PayDate,"&lt;"&amp;$AC60,PayEmp,$C60),IF(ISNA(MATCH(Q$2,EarnListItem,0))=FALSE,IF(OFFSET(Setup!$G$73,MATCH(Q$5,DedListItem,0),0,1,1)="Taxable",SUMPRODUCT((PayEmp=$C60)*(PayDate&lt;=$AC60)*(PayEarnCode=Q$2)*(PayEarnTax)*(PayEarnValues)),SUMPRODUCT((PayEmp=$C60)*(PayDate&lt;=$AC60)*(PayEarnCode=Q$2)*(PayEarnValues)))*IF(COUNTIFS(EmpNo,$C60,OFFSET(Emp!$R$4,1,MATCH(Q$5,DedListItem,0)-1,EmpCount,1),"&lt;&gt;")&gt;0,VLOOKUP($C60,EmpAll,COLUMN(Emp!$R$4)+MATCH(Q$5,DedListItem,0)-1,0),OFFSET(Setup!$E$73,MATCH(Q$5,DedListItem,0),0,1,1)),(MIN(IF(OFFSET(Setup!$G$73,MATCH(Q$5,DedListItem,0),0,1,1)="Taxable",SUMPRODUCT((PayEmp=$C60)*(PayDate&lt;=$AC60)*(ISERROR(SEARCH(PayEarnCode,Q$4)))*(PayEarnTax)*(PayEarnValues)),SUMPRODUCT((PayEmp=$C60)*(PayDate&lt;=$AC60)*(ISERROR(SEARCH(PayEarnCode,Q$4)))*(PayEarnValues))),IF(ISNUMBER(Q$3),Q$3/12*$AA60,IgnoreMin)))*IF(COUNTIFS(EmpNo,$C60,OFFSET(Emp!$R$4,1,MATCH(Q$5,DedListItem,0)-1,EmpCount,1),"&lt;&gt;")&gt;0,VLOOKUP($C60,EmpAll,COLUMN(Emp!$R$4)+MATCH(Q$5,DedListItem,0)-1,0),OFFSET(Setup!$E$73,MATCH(Q$5,DedListItem,0),0,1,1)))-SUMIFS(OFFSET(Q$6,1,0,PayCount,1),PayDate,"&lt;"&amp;$AC60,PayEmp,$C60))))))</f>
        <v>0</v>
      </c>
      <c r="R60" s="185">
        <f t="shared" ca="1" si="25"/>
        <v>273.75</v>
      </c>
      <c r="S60" s="139">
        <f t="shared" ca="1" si="26"/>
        <v>8726.25</v>
      </c>
      <c r="T60" s="133" cm="1">
        <f t="array" aca="1" ref="T60" ca="1">IF($F60="Terminated",0,IF($AA60=0,0,IF(ISNA(MATCH(T$5,CompListItem,0)),0,IF(COUNTIFS(OverEmp,$C60,OverComp,T$5,OverDate,"&lt;"&amp;DATE(YEAR($AC60),MONTH($AC60)+1,1),OverEnd,"&gt;="&amp;DATE(YEAR($AC60),MONTH($AC60),1))&gt;0,SUMIFS(OverValue,OverEmp,$C60,OverComp,T$5,OverDate,"&lt;"&amp;DATE(YEAR($AC60),MONTH($AC60)+1,1),OverEnd,"&gt;="&amp;DATE(YEAR($AC60),MONTH($AC60),1)),IF(OR(T$2="Fixed",T$2="Not Used"),(OFFSET(Setup!$E$81,MATCH(T$5,CompListItem,0),0,1,1)*$AA60)-SUMIFS(OFFSET(T$6,1,0,PayCount,1),PayDate,"&lt;"&amp;$AC60,PayEmp,$C60),IF(ISNA(MATCH(T$2,DedListItem,0))=FALSE,(SUMPRODUCT((PayEmp=$C60)*(PayDate&lt;=$AC60)*(PayDedList=T$2)*(PayDedValues))*OFFSET(Setup!$E$81,MATCH(T$5,CompListItem,0),0,1,1))-SUMIFS(OFFSET(T$6,1,0,PayCount,1),PayDate,"&lt;"&amp;$AC60,PayEmp,$C60),(MIN(IF(OFFSET(Setup!$G$81,MATCH(T$5,CompListItem,0),0,1,1)="Taxable",SUMPRODUCT((PayEmp=$C60)*(PayDate&lt;=$AC60)*(ISERROR(SEARCH(PayEarnCode,T$4)))*(PayEarnTax)*(PayEarnValues)),SUMPRODUCT((PayEmp=$C60)*(PayDate&lt;=$AC60)*(ISERROR(SEARCH(PayEarnCode,T$4)))*(PayEarnValues))),IF(ISNUMBER(T$3),T$3/12*$AA60,IgnoreMin)))*OFFSET(Setup!$E$81,MATCH(T$5,CompListItem,0),0,1,1)-SUMIFS(OFFSET(T$6,1,0,PayCount,1),PayDate,"&lt;"&amp;$AC60,PayEmp,$C60)))))))</f>
        <v>90</v>
      </c>
      <c r="U60" s="133" cm="1">
        <f t="array" aca="1" ref="U60" ca="1">IF($F60="Terminated",0,IF($AA60=0,0,IF(ISNA(MATCH(U$5,CompListItem,0)),0,IF(COUNTIFS(OverEmp,$C60,OverComp,U$5,OverDate,"&lt;"&amp;DATE(YEAR($AC60),MONTH($AC60)+1,1),OverEnd,"&gt;="&amp;DATE(YEAR($AC60),MONTH($AC60),1))&gt;0,SUMIFS(OverValue,OverEmp,$C60,OverComp,U$5,OverDate,"&lt;"&amp;DATE(YEAR($AC60),MONTH($AC60)+1,1),OverEnd,"&gt;="&amp;DATE(YEAR($AC60),MONTH($AC60),1)),IF(OR(U$2="Fixed",U$2="Not Used"),(OFFSET(Setup!$E$81,MATCH(U$5,CompListItem,0),0,1,1)*$AA60)-SUMIFS(OFFSET(U$6,1,0,PayCount,1),PayDate,"&lt;"&amp;$AC60,PayEmp,$C60),IF(ISNA(MATCH(U$2,DedListItem,0))=FALSE,(SUMPRODUCT((PayEmp=$C60)*(PayDate&lt;=$AC60)*(PayDedList=U$2)*(PayDedValues))*OFFSET(Setup!$E$81,MATCH(U$5,CompListItem,0),0,1,1))-SUMIFS(OFFSET(U$6,1,0,PayCount,1),PayDate,"&lt;"&amp;$AC60,PayEmp,$C60),(MIN(IF(OFFSET(Setup!$G$81,MATCH(U$5,CompListItem,0),0,1,1)="Taxable",SUMPRODUCT((PayEmp=$C60)*(PayDate&lt;=$AC60)*(ISERROR(SEARCH(PayEarnCode,U$4)))*(PayEarnTax)*(PayEarnValues)),SUMPRODUCT((PayEmp=$C60)*(PayDate&lt;=$AC60)*(ISERROR(SEARCH(PayEarnCode,U$4)))*(PayEarnValues))),IF(ISNUMBER(U$3),U$3/12*$AA60,IgnoreMin)))*OFFSET(Setup!$E$81,MATCH(U$5,CompListItem,0),0,1,1)-SUMIFS(OFFSET(U$6,1,0,PayCount,1),PayDate,"&lt;"&amp;$AC60,PayEmp,$C60)))))))</f>
        <v>90</v>
      </c>
      <c r="V60" s="133" cm="1">
        <f t="array" aca="1" ref="V60" ca="1">IF($F60="Terminated",0,IF($AA60=0,0,IF(ISNA(MATCH(V$5,CompListItem,0)),0,IF(COUNTIFS(OverEmp,$C60,OverComp,V$5,OverDate,"&lt;"&amp;DATE(YEAR($AC60),MONTH($AC60)+1,1),OverEnd,"&gt;="&amp;DATE(YEAR($AC60),MONTH($AC60),1))&gt;0,SUMIFS(OverValue,OverEmp,$C60,OverComp,V$5,OverDate,"&lt;"&amp;DATE(YEAR($AC60),MONTH($AC60)+1,1),OverEnd,"&gt;="&amp;DATE(YEAR($AC60),MONTH($AC60),1)),IF(OR(V$2="Fixed",V$2="Not Used"),(OFFSET(Setup!$E$81,MATCH(V$5,CompListItem,0),0,1,1)*$AA60)-SUMIFS(OFFSET(V$6,1,0,PayCount,1),PayDate,"&lt;"&amp;$AC60,PayEmp,$C60),IF(ISNA(MATCH(V$2,DedListItem,0))=FALSE,(SUMPRODUCT((PayEmp=$C60)*(PayDate&lt;=$AC60)*(PayDedList=V$2)*(PayDedValues))*OFFSET(Setup!$E$81,MATCH(V$5,CompListItem,0),0,1,1))-SUMIFS(OFFSET(V$6,1,0,PayCount,1),PayDate,"&lt;"&amp;$AC60,PayEmp,$C60),(MIN(IF(OFFSET(Setup!$G$81,MATCH(V$5,CompListItem,0),0,1,1)="Taxable",SUMPRODUCT((PayEmp=$C60)*(PayDate&lt;=$AC60)*(ISERROR(SEARCH(PayEarnCode,V$4)))*(PayEarnTax)*(PayEarnValues)),SUMPRODUCT((PayEmp=$C60)*(PayDate&lt;=$AC60)*(ISERROR(SEARCH(PayEarnCode,V$4)))*(PayEarnValues))),IF(ISNUMBER(V$3),V$3/12*$AA60,IgnoreMin)))*OFFSET(Setup!$E$81,MATCH(V$5,CompListItem,0),0,1,1)-SUMIFS(OFFSET(V$6,1,0,PayCount,1),PayDate,"&lt;"&amp;$AC60,PayEmp,$C60)))))))</f>
        <v>0</v>
      </c>
      <c r="W60" s="133" cm="1">
        <f t="array" aca="1" ref="W60" ca="1">IF($F60="Terminated",0,IF($AA60=0,0,IF(ISNA(MATCH(W$5,CompListItem,0)),0,IF(COUNTIFS(OverEmp,$C60,OverComp,W$5,OverDate,"&lt;"&amp;DATE(YEAR($AC60),MONTH($AC60)+1,1),OverEnd,"&gt;="&amp;DATE(YEAR($AC60),MONTH($AC60),1))&gt;0,SUMIFS(OverValue,OverEmp,$C60,OverComp,W$5,OverDate,"&lt;"&amp;DATE(YEAR($AC60),MONTH($AC60)+1,1),OverEnd,"&gt;="&amp;DATE(YEAR($AC60),MONTH($AC60),1)),IF(OR(W$2="Fixed",W$2="Not Used"),(OFFSET(Setup!$E$81,MATCH(W$5,CompListItem,0),0,1,1)*$AA60)-SUMIFS(OFFSET(W$6,1,0,PayCount,1),PayDate,"&lt;"&amp;$AC60,PayEmp,$C60),IF(ISNA(MATCH(W$2,DedListItem,0))=FALSE,(SUMPRODUCT((PayEmp=$C60)*(PayDate&lt;=$AC60)*(PayDedList=W$2)*(PayDedValues))*OFFSET(Setup!$E$81,MATCH(W$5,CompListItem,0),0,1,1))-SUMIFS(OFFSET(W$6,1,0,PayCount,1),PayDate,"&lt;"&amp;$AC60,PayEmp,$C60),(MIN(IF(OFFSET(Setup!$G$81,MATCH(W$5,CompListItem,0),0,1,1)="Taxable",SUMPRODUCT((PayEmp=$C60)*(PayDate&lt;=$AC60)*(ISERROR(SEARCH(PayEarnCode,W$4)))*(PayEarnTax)*(PayEarnValues)),SUMPRODUCT((PayEmp=$C60)*(PayDate&lt;=$AC60)*(ISERROR(SEARCH(PayEarnCode,W$4)))*(PayEarnValues))),IF(ISNUMBER(W$3),W$3/12*$AA60,IgnoreMin)))*OFFSET(Setup!$E$81,MATCH(W$5,CompListItem,0),0,1,1)-SUMIFS(OFFSET(W$6,1,0,PayCount,1),PayDate,"&lt;"&amp;$AC60,PayEmp,$C60)))))))</f>
        <v>0</v>
      </c>
      <c r="X60" s="185">
        <f t="shared" ca="1" si="18"/>
        <v>180</v>
      </c>
      <c r="Y60" s="139">
        <f t="shared" ca="1" si="27"/>
        <v>9180</v>
      </c>
      <c r="Z60" s="139">
        <f t="shared" ca="1" si="19"/>
        <v>453.75</v>
      </c>
      <c r="AA60" s="146">
        <f ca="1">IF(OR($B60&lt;=Setup!$E$12,$B60&gt;=Setup!$D$12+1),0,IF($F60&lt;&gt;"Active",0,IF($AE60="Yes",$AB60,((YEAR($AC60)*12)+MONTH($AC60))-((YEAR($AD60)*12)+MONTH($AD60)-1))))</f>
        <v>4</v>
      </c>
      <c r="AB60" s="146">
        <f ca="1">IF(OR($B60&lt;=Setup!$E$12,$B60&gt;=Setup!$D$12+1),0,((YEAR($AC60)*12)+MONTH($AC60))-((YEAR(Setup!$E$12)*12)+MONTH(Setup!$E$12)))</f>
        <v>4</v>
      </c>
      <c r="AC60" s="186">
        <f t="shared" ca="1" si="20"/>
        <v>45102</v>
      </c>
      <c r="AD60" s="144">
        <f ca="1">IF(ISNA(VLOOKUP($C60,EmpAll,COLUMN(Emp!$E$4),0)),$AC60,IF(VLOOKUP($C60,EmpAll,COLUMN(Emp!$E$4),0)&lt;=Setup!$E$12,DATE(YEAR(Setup!$E$12),MONTH(Setup!$E$12)+1,1),VLOOKUP($C60,EmpAll,COLUMN(Emp!$E$4),0)))</f>
        <v>44986</v>
      </c>
      <c r="AE60" s="144" t="str">
        <f ca="1">IF(ISNA(VLOOKUP($C60,EmpAll,COLUMN(Emp!$G$1),0)),"-",IF(VLOOKUP($C60,EmpAll,COLUMN(Emp!$G$1),0)=0,"-",VLOOKUP($C60,EmpAll,COLUMN(Emp!$G$1),0)))</f>
        <v>-</v>
      </c>
      <c r="AF60" s="145">
        <f ca="1">IF(A60=PaySlip!$G$3,1,0)</f>
        <v>0</v>
      </c>
      <c r="AG60" s="130" cm="1">
        <f t="array" aca="1" ref="AG60" ca="1">IF(COUNTIFS(OverEmp,$C60,OverMed,"MED",OverDate,"&lt;"&amp;DATE(YEAR($AC60),MONTH($AC60)+1,1),OverEnd,"&gt;="&amp;DATE(YEAR($AC60),MONTH($AC60),1))&gt;0,SUMIFS(OverValue,OverEmp,$C60,OverMed,"MED",OverDate,"&lt;"&amp;DATE(YEAR($AC60),MONTH($AC60)+1,1),OverEnd,"&gt;="&amp;DATE(YEAR($AC60),MONTH($AC60),1)),IF(ISNA(VLOOKUP($C60,EmpAll,COLUMN(Emp!$N$4),0)),0,VLOOKUP($C60,EmpAll,COLUMN(Emp!$N$4),0)))</f>
        <v>0</v>
      </c>
      <c r="AH60" s="146">
        <f ca="1">VLOOKUP($AG60,MedList,COLUMN(Setup!$C$49),1)</f>
        <v>0</v>
      </c>
      <c r="AI60" s="146">
        <f t="shared" ca="1" si="7"/>
        <v>0</v>
      </c>
      <c r="AJ60" s="101" t="str">
        <f ca="1">IF(ISNA(VLOOKUP($C60,EmpAll,COLUMN(Emp!$L$4),0)),"None!",VLOOKUP($C60,EmpAll,COLUMN(Emp!$L$4),0))</f>
        <v>A</v>
      </c>
      <c r="AK60" s="147">
        <f t="shared" ca="1" si="21"/>
        <v>17235</v>
      </c>
      <c r="AL60" s="101" t="str">
        <f ca="1">IF(ISNA(VLOOKUP($C60,Employees[],COLUMN(Emp!$M$4),0))=TRUE,"Error!",IF(VLOOKUP($C60,Employees[],COLUMN(Emp!$M$4),0)=0,"Yes",VLOOKUP($C60,Employees[],COLUMN(Emp!$M$4),0)))</f>
        <v>A</v>
      </c>
      <c r="AM60" s="148">
        <f t="shared" ca="1" si="9"/>
        <v>108000</v>
      </c>
      <c r="AN60" s="148" cm="1">
        <f t="array" aca="1" ref="AN60" ca="1">-IF($F60="Terminated",0,IF($AA60=0,0,IF(ISNA(MATCH(AN$5,PayDedList,0)),0,MIN(IF(COUNTIFS(OverEmp,$C60,OverDeduct,AN$5,OverDate,"&lt;"&amp;DATE(YEAR($AC60),MONTH($AC60)+1,1),OverEnd,"&gt;="&amp;DATE(YEAR($AC60),MONTH($AC60),1))&gt;0,SUMPRODUCT((PayEmp=$C60)*(PayDate&lt;=$AC60)*(OFFSET($N$6,1,MATCH(AN$5,PayDedList,0)-1,PayCount,1)))/$AA60*12*AN$3,IF(OR(AN$1="Fixed",AN$1="Not Used"),SUMPRODUCT((PayEmp=$C60)*(PayDate&lt;=$AC60)*(OFFSET($N$6,1,MATCH(AN$5,PayDedList,0)-1,PayCount,1)))/$AA60*12*AN$3,IF(ISNA(MATCH(AN$1,EarnListItem,0))=FALSE,SUMPRODUCT((PayEmp=$C60)*(PayDate&lt;=$AC60)*(OFFSET($N$6,1,MATCH(AN$5,PayDedList,0)-1,PayCount,1)))/$AA60*12*AN$3,(MIN(((SUMPRODUCT((PayEmp=$C60)*(PayDate&lt;=$AC60)*(ISERROR(SEARCH(PayEarnCode,AN$2)))*(PayEarnType="Monthly")*(PayEarnValues))/$AA60*12)+(SUMPRODUCT((PayEmp=$C60)*(PayDate&lt;=$AC60)*(ISERROR(SEARCH(PayEarnCode,AN$2)))*(PayEarnType="Quarterly")*(PayEarnValues))/MAX(1,ROUNDDOWN($AB60/3,0))*4)+(SUMPRODUCT((PayEmp=$C60)*(PayDate&lt;=$AC60)*(ISERROR(SEARCH(PayEarnCode,AN$2)))*(PayEarnType="Bi-Annual")*(PayEarnValues))/MAX(1,ROUNDDOWN($AB60/6,0))*2)+(SUMPRODUCT((PayEmp=$C60)*(PayDate&lt;=$AC60)*(ISERROR(SEARCH(PayEarnCode,AN$2)))*(PayEarnType="Annual")*(PayEarnValues)))),IF(ISNUMBER(OFFSET($N$3,0,MATCH(AN$5,PayDedList,0)-1,1,1)),OFFSET($N$3,0,MATCH(AN$5,PayDedList,0)-1,1,1),IgnoreMin)))*IF(COUNTIFS(EmpNo,$C60,OFFSET(Emp!$R$4,1,MATCH(AN$5,DedListItem,0)-1,EmpCount,1),"&lt;&gt;")&gt;0,VLOOKUP($C60,EmpAll,COLUMN(Emp!$R$4)+MATCH(AN$5,DedListItem,0)-1,0),OFFSET(Setup!$E$73,MATCH(AN$5,DedListItem,0),0,1,1))*AN$3))),IF(ISNUMBER(AN$4),AN$4,IgnoreMin)))))</f>
        <v>0</v>
      </c>
      <c r="AO60" s="148" cm="1">
        <f t="array" aca="1" ref="AO60" ca="1">-IF($F60="Terminated",0,IF($AA60=0,0,IF(ISNA(MATCH(AO$5,PayDedList,0)),0,MIN(IF(COUNTIFS(OverEmp,$C60,OverDeduct,AO$5,OverDate,"&lt;"&amp;DATE(YEAR($AC60),MONTH($AC60)+1,1),OverEnd,"&gt;="&amp;DATE(YEAR($AC60),MONTH($AC60),1))&gt;0,SUMPRODUCT((PayEmp=$C60)*(PayDate&lt;=$AC60)*(OFFSET($N$6,1,MATCH(AO$5,PayDedList,0)-1,PayCount,1)))/$AA60*12*AO$3,IF(OR(AO$1="Fixed",AO$1="Not Used"),SUMPRODUCT((PayEmp=$C60)*(PayDate&lt;=$AC60)*(OFFSET($N$6,1,MATCH(AO$5,PayDedList,0)-1,PayCount,1)))/$AA60*12*AO$3,IF(ISNA(MATCH(AO$1,EarnListItem,0))=FALSE,SUMPRODUCT((PayEmp=$C60)*(PayDate&lt;=$AC60)*(OFFSET($N$6,1,MATCH(AO$5,PayDedList,0)-1,PayCount,1)))/$AA60*12*AO$3,(MIN(((SUMPRODUCT((PayEmp=$C60)*(PayDate&lt;=$AC60)*(ISERROR(SEARCH(PayEarnCode,AO$2)))*(PayEarnType="Monthly")*(PayEarnValues))/$AA60*12)+(SUMPRODUCT((PayEmp=$C60)*(PayDate&lt;=$AC60)*(ISERROR(SEARCH(PayEarnCode,AO$2)))*(PayEarnType="Quarterly")*(PayEarnValues))/MAX(1,ROUNDDOWN($AB60/3,0))*4)+(SUMPRODUCT((PayEmp=$C60)*(PayDate&lt;=$AC60)*(ISERROR(SEARCH(PayEarnCode,AO$2)))*(PayEarnType="Bi-Annual")*(PayEarnValues))/MAX(1,ROUNDDOWN($AB60/6,0))*2)+(SUMPRODUCT((PayEmp=$C60)*(PayDate&lt;=$AC60)*(ISERROR(SEARCH(PayEarnCode,AO$2)))*(PayEarnType="Annual")*(PayEarnValues)))),IF(ISNUMBER(OFFSET($N$3,0,MATCH(AO$5,PayDedList,0)-1,1,1)),OFFSET($N$3,0,MATCH(AO$5,PayDedList,0)-1,1,1),IgnoreMin)))*IF(COUNTIFS(EmpNo,$C60,OFFSET(Emp!$R$4,1,MATCH(AO$5,DedListItem,0)-1,EmpCount,1),"&lt;&gt;")&gt;0,VLOOKUP($C60,EmpAll,COLUMN(Emp!$R$4)+MATCH(AO$5,DedListItem,0)-1,0),OFFSET(Setup!$E$73,MATCH(AO$5,DedListItem,0),0,1,1))*AO$3))),IF(ISNUMBER(AO$4),AO$4,IgnoreMin)))))</f>
        <v>0</v>
      </c>
      <c r="AP60" s="148" cm="1">
        <f t="array" aca="1" ref="AP60" ca="1">-IF($F60="Terminated",0,IF($AA60=0,0,IF(ISNA(MATCH(AP$5,PayDedList,0)),0,MIN(IF(COUNTIFS(OverEmp,$C60,OverDeduct,AP$5,OverDate,"&lt;"&amp;DATE(YEAR($AC60),MONTH($AC60)+1,1),OverEnd,"&gt;="&amp;DATE(YEAR($AC60),MONTH($AC60),1))&gt;0,SUMPRODUCT((PayEmp=$C60)*(PayDate&lt;=$AC60)*(OFFSET($N$6,1,MATCH(AP$5,PayDedList,0)-1,PayCount,1)))/$AA60*12*AP$3,IF(OR(AP$1="Fixed",AP$1="Not Used"),SUMPRODUCT((PayEmp=$C60)*(PayDate&lt;=$AC60)*(OFFSET($N$6,1,MATCH(AP$5,PayDedList,0)-1,PayCount,1)))/$AA60*12*AP$3,IF(ISNA(MATCH(AP$1,EarnListItem,0))=FALSE,SUMPRODUCT((PayEmp=$C60)*(PayDate&lt;=$AC60)*(OFFSET($N$6,1,MATCH(AP$5,PayDedList,0)-1,PayCount,1)))/$AA60*12*AP$3,(MIN(((SUMPRODUCT((PayEmp=$C60)*(PayDate&lt;=$AC60)*(ISERROR(SEARCH(PayEarnCode,AP$2)))*(PayEarnType="Monthly")*(PayEarnValues))/$AA60*12)+(SUMPRODUCT((PayEmp=$C60)*(PayDate&lt;=$AC60)*(ISERROR(SEARCH(PayEarnCode,AP$2)))*(PayEarnType="Quarterly")*(PayEarnValues))/MAX(1,ROUNDDOWN($AB60/3,0))*4)+(SUMPRODUCT((PayEmp=$C60)*(PayDate&lt;=$AC60)*(ISERROR(SEARCH(PayEarnCode,AP$2)))*(PayEarnType="Bi-Annual")*(PayEarnValues))/MAX(1,ROUNDDOWN($AB60/6,0))*2)+(SUMPRODUCT((PayEmp=$C60)*(PayDate&lt;=$AC60)*(ISERROR(SEARCH(PayEarnCode,AP$2)))*(PayEarnType="Annual")*(PayEarnValues)))),IF(ISNUMBER(OFFSET($N$3,0,MATCH(AP$5,PayDedList,0)-1,1,1)),OFFSET($N$3,0,MATCH(AP$5,PayDedList,0)-1,1,1),IgnoreMin)))*IF(COUNTIFS(EmpNo,$C60,OFFSET(Emp!$R$4,1,MATCH(AP$5,DedListItem,0)-1,EmpCount,1),"&lt;&gt;")&gt;0,VLOOKUP($C60,EmpAll,COLUMN(Emp!$R$4)+MATCH(AP$5,DedListItem,0)-1,0),OFFSET(Setup!$E$73,MATCH(AP$5,DedListItem,0),0,1,1))*AP$3))),IF(ISNUMBER(AP$4),AP$4,IgnoreMin)))))</f>
        <v>0</v>
      </c>
      <c r="AQ60" s="148" cm="1">
        <f t="array" aca="1" ref="AQ60" ca="1">-IF($F60="Terminated",0,IF($AA60=0,0,IF(ISNA(MATCH(AQ$5,PayDedList,0)),0,MIN(IF(COUNTIFS(OverEmp,$C60,OverDeduct,AQ$5,OverDate,"&lt;"&amp;DATE(YEAR($AC60),MONTH($AC60)+1,1),OverEnd,"&gt;="&amp;DATE(YEAR($AC60),MONTH($AC60),1))&gt;0,SUMPRODUCT((PayEmp=$C60)*(PayDate&lt;=$AC60)*(OFFSET($N$6,1,MATCH(AQ$5,PayDedList,0)-1,PayCount,1)))/$AA60*12*AQ$3,IF(OR(AQ$1="Fixed",AQ$1="Not Used"),SUMPRODUCT((PayEmp=$C60)*(PayDate&lt;=$AC60)*(OFFSET($N$6,1,MATCH(AQ$5,PayDedList,0)-1,PayCount,1)))/$AA60*12*AQ$3,IF(ISNA(MATCH(AQ$1,EarnListItem,0))=FALSE,SUMPRODUCT((PayEmp=$C60)*(PayDate&lt;=$AC60)*(OFFSET($N$6,1,MATCH(AQ$5,PayDedList,0)-1,PayCount,1)))/$AA60*12*AQ$3,(MIN(((SUMPRODUCT((PayEmp=$C60)*(PayDate&lt;=$AC60)*(ISERROR(SEARCH(PayEarnCode,AQ$2)))*(PayEarnType="Monthly")*(PayEarnValues))/$AA60*12)+(SUMPRODUCT((PayEmp=$C60)*(PayDate&lt;=$AC60)*(ISERROR(SEARCH(PayEarnCode,AQ$2)))*(PayEarnType="Quarterly")*(PayEarnValues))/MAX(1,ROUNDDOWN($AB60/3,0))*4)+(SUMPRODUCT((PayEmp=$C60)*(PayDate&lt;=$AC60)*(ISERROR(SEARCH(PayEarnCode,AQ$2)))*(PayEarnType="Bi-Annual")*(PayEarnValues))/MAX(1,ROUNDDOWN($AB60/6,0))*2)+(SUMPRODUCT((PayEmp=$C60)*(PayDate&lt;=$AC60)*(ISERROR(SEARCH(PayEarnCode,AQ$2)))*(PayEarnType="Annual")*(PayEarnValues)))),IF(ISNUMBER(OFFSET($N$3,0,MATCH(AQ$5,PayDedList,0)-1,1,1)),OFFSET($N$3,0,MATCH(AQ$5,PayDedList,0)-1,1,1),IgnoreMin)))*IF(COUNTIFS(EmpNo,$C60,OFFSET(Emp!$R$4,1,MATCH(AQ$5,DedListItem,0)-1,EmpCount,1),"&lt;&gt;")&gt;0,VLOOKUP($C60,EmpAll,COLUMN(Emp!$R$4)+MATCH(AQ$5,DedListItem,0)-1,0),OFFSET(Setup!$E$73,MATCH(AQ$5,DedListItem,0),0,1,1))*AQ$3))),IF(ISNUMBER(AQ$4),AQ$4,IgnoreMin)))))</f>
        <v>0</v>
      </c>
      <c r="AR60" s="148">
        <f t="shared" ca="1" si="22"/>
        <v>108000</v>
      </c>
      <c r="AS60" s="148">
        <f t="shared" ca="1" si="11"/>
        <v>108000</v>
      </c>
      <c r="AT60" s="148" cm="1">
        <f t="array" aca="1" ref="AT60" ca="1">-IF($F60="Terminated",0,IF($AA60=0,0,IF(ISNA(MATCH(AT$5,PayDedList,0)),0,MIN(IF(COUNTIFS(OverEmp,$C60,OverDeduct,AT$5,OverDate,"&lt;"&amp;DATE(YEAR($AC60),MONTH($AC60)+1,1),OverEnd,"&gt;="&amp;DATE(YEAR($AC60),MONTH($AC60),1))&gt;0,SUMPRODUCT((PayEmp=$C60)*(PayDate&lt;=$AC60)*(OFFSET($N$6,1,MATCH(AT$5,PayDedList,0)-1,PayCount,1)))/$AA60*12*AT$3,IF(OR(AT$1="Fixed",AT$1="Not Used"),SUMPRODUCT((PayEmp=$C60)*(PayDate&lt;=$AC60)*(OFFSET($N$6,1,MATCH(AT$5,PayDedList,0)-1,PayCount,1)))/$AA60*12*AT$3,IF(ISNA(MATCH(OFFSET($N$2,0,MATCH(AT$5,PayDedList,0)-1,1,1),EarnListItem,0))=FALSE,SUMPRODUCT((PayEmp=$C60)*(PayDate&lt;=$AC60)*(OFFSET($N$6,1,MATCH(AT$5,PayDedList,0)-1,PayCount,1)))/$AA60*12*AT$3,(MIN(SUMPRODUCT((PayEmp=$C60)*(PayDate&lt;=$AC60)*(ISERROR(SEARCH(PayEarnCode,AT$2)))*(PayEarnType="Monthly")*(PayEarnValues))/$AA60*12,IF(ISNUMBER(OFFSET($N$3,0,MATCH(AT$5,PayDedList,0)-1,1,1)),OFFSET($N$3,0,MATCH(AT$5,PayDedList,0)-1,1,1),IgnoreMin)))*IF(COUNTIFS(EmpNo,$C60,OFFSET(Emp!$R$4,1,MATCH(AT$5,DedListItem,0)-1,EmpCount,1),"&lt;&gt;")&gt;0,VLOOKUP($C60,EmpAll,COLUMN(Emp!$R$4)+MATCH(AT$5,DedListItem,0)-1,0),OFFSET(Setup!$E$73,MATCH(AT$5,DedListItem,0),0,1,1))*AT$3))),IF(ISNUMBER(AT$4),AT$4,IgnoreMin)))))</f>
        <v>0</v>
      </c>
      <c r="AU60" s="148" cm="1">
        <f t="array" aca="1" ref="AU60" ca="1">-IF($F60="Terminated",0,IF($AA60=0,0,IF(ISNA(MATCH(AU$5,PayDedList,0)),0,MIN(IF(COUNTIFS(OverEmp,$C60,OverDeduct,AU$5,OverDate,"&lt;"&amp;DATE(YEAR($AC60),MONTH($AC60)+1,1),OverEnd,"&gt;="&amp;DATE(YEAR($AC60),MONTH($AC60),1))&gt;0,SUMPRODUCT((PayEmp=$C60)*(PayDate&lt;=$AC60)*(OFFSET($N$6,1,MATCH(AU$5,PayDedList,0)-1,PayCount,1)))/$AA60*12*AU$3,IF(OR(AU$1="Fixed",AU$1="Not Used"),SUMPRODUCT((PayEmp=$C60)*(PayDate&lt;=$AC60)*(OFFSET($N$6,1,MATCH(AU$5,PayDedList,0)-1,PayCount,1)))/$AA60*12*AU$3,IF(ISNA(MATCH(OFFSET($N$2,0,MATCH(AU$5,PayDedList,0)-1,1,1),EarnListItem,0))=FALSE,SUMPRODUCT((PayEmp=$C60)*(PayDate&lt;=$AC60)*(OFFSET($N$6,1,MATCH(AU$5,PayDedList,0)-1,PayCount,1)))/$AA60*12*AU$3,(MIN(SUMPRODUCT((PayEmp=$C60)*(PayDate&lt;=$AC60)*(ISERROR(SEARCH(PayEarnCode,AU$2)))*(PayEarnType="Monthly")*(PayEarnValues))/$AA60*12,IF(ISNUMBER(OFFSET($N$3,0,MATCH(AU$5,PayDedList,0)-1,1,1)),OFFSET($N$3,0,MATCH(AU$5,PayDedList,0)-1,1,1),IgnoreMin)))*IF(COUNTIFS(EmpNo,$C60,OFFSET(Emp!$R$4,1,MATCH(AU$5,DedListItem,0)-1,EmpCount,1),"&lt;&gt;")&gt;0,VLOOKUP($C60,EmpAll,COLUMN(Emp!$R$4)+MATCH(AU$5,DedListItem,0)-1,0),OFFSET(Setup!$E$73,MATCH(AU$5,DedListItem,0),0,1,1))*AU$3))),IF(ISNUMBER(AU$4),AU$4,IgnoreMin)))))</f>
        <v>0</v>
      </c>
      <c r="AV60" s="148" cm="1">
        <f t="array" aca="1" ref="AV60" ca="1">-IF($F60="Terminated",0,IF($AA60=0,0,IF(ISNA(MATCH(AV$5,PayDedList,0)),0,MIN(IF(COUNTIFS(OverEmp,$C60,OverDeduct,AV$5,OverDate,"&lt;"&amp;DATE(YEAR($AC60),MONTH($AC60)+1,1),OverEnd,"&gt;="&amp;DATE(YEAR($AC60),MONTH($AC60),1))&gt;0,SUMPRODUCT((PayEmp=$C60)*(PayDate&lt;=$AC60)*(OFFSET($N$6,1,MATCH(AV$5,PayDedList,0)-1,PayCount,1)))/$AA60*12*AV$3,IF(OR(AV$1="Fixed",AV$1="Not Used"),SUMPRODUCT((PayEmp=$C60)*(PayDate&lt;=$AC60)*(OFFSET($N$6,1,MATCH(AV$5,PayDedList,0)-1,PayCount,1)))/$AA60*12*AV$3,IF(ISNA(MATCH(OFFSET($N$2,0,MATCH(AV$5,PayDedList,0)-1,1,1),EarnListItem,0))=FALSE,SUMPRODUCT((PayEmp=$C60)*(PayDate&lt;=$AC60)*(OFFSET($N$6,1,MATCH(AV$5,PayDedList,0)-1,PayCount,1)))/$AA60*12*AV$3,(MIN(SUMPRODUCT((PayEmp=$C60)*(PayDate&lt;=$AC60)*(ISERROR(SEARCH(PayEarnCode,AV$2)))*(PayEarnType="Monthly")*(PayEarnValues))/$AA60*12,IF(ISNUMBER(OFFSET($N$3,0,MATCH(AV$5,PayDedList,0)-1,1,1)),OFFSET($N$3,0,MATCH(AV$5,PayDedList,0)-1,1,1),IgnoreMin)))*IF(COUNTIFS(EmpNo,$C60,OFFSET(Emp!$R$4,1,MATCH(AV$5,DedListItem,0)-1,EmpCount,1),"&lt;&gt;")&gt;0,VLOOKUP($C60,EmpAll,COLUMN(Emp!$R$4)+MATCH(AV$5,DedListItem,0)-1,0),OFFSET(Setup!$E$73,MATCH(AV$5,DedListItem,0),0,1,1))*AV$3))),IF(ISNUMBER(AV$4),AV$4,IgnoreMin)))))</f>
        <v>0</v>
      </c>
      <c r="AW60" s="148" cm="1">
        <f t="array" aca="1" ref="AW60" ca="1">-IF($F60="Terminated",0,IF($AA60=0,0,IF(ISNA(MATCH(AW$5,PayDedList,0)),0,MIN(IF(COUNTIFS(OverEmp,$C60,OverDeduct,AW$5,OverDate,"&lt;"&amp;DATE(YEAR($AC60),MONTH($AC60)+1,1),OverEnd,"&gt;="&amp;DATE(YEAR($AC60),MONTH($AC60),1))&gt;0,SUMPRODUCT((PayEmp=$C60)*(PayDate&lt;=$AC60)*(OFFSET($N$6,1,MATCH(AW$5,PayDedList,0)-1,PayCount,1)))/$AA60*12*AW$3,IF(OR(AW$1="Fixed",AW$1="Not Used"),SUMPRODUCT((PayEmp=$C60)*(PayDate&lt;=$AC60)*(OFFSET($N$6,1,MATCH(AW$5,PayDedList,0)-1,PayCount,1)))/$AA60*12*AW$3,IF(ISNA(MATCH(OFFSET($N$2,0,MATCH(AW$5,PayDedList,0)-1,1,1),EarnListItem,0))=FALSE,SUMPRODUCT((PayEmp=$C60)*(PayDate&lt;=$AC60)*(OFFSET($N$6,1,MATCH(AW$5,PayDedList,0)-1,PayCount,1)))/$AA60*12*AW$3,(MIN(SUMPRODUCT((PayEmp=$C60)*(PayDate&lt;=$AC60)*(ISERROR(SEARCH(PayEarnCode,AW$2)))*(PayEarnType="Monthly")*(PayEarnValues))/$AA60*12,IF(ISNUMBER(OFFSET($N$3,0,MATCH(AW$5,PayDedList,0)-1,1,1)),OFFSET($N$3,0,MATCH(AW$5,PayDedList,0)-1,1,1),IgnoreMin)))*IF(COUNTIFS(EmpNo,$C60,OFFSET(Emp!$R$4,1,MATCH(AW$5,DedListItem,0)-1,EmpCount,1),"&lt;&gt;")&gt;0,VLOOKUP($C60,EmpAll,COLUMN(Emp!$R$4)+MATCH(AW$5,DedListItem,0)-1,0),OFFSET(Setup!$E$73,MATCH(AW$5,DedListItem,0),0,1,1))*AW$3))),IF(ISNUMBER(AW$4),AW$4,IgnoreMin)))))</f>
        <v>0</v>
      </c>
      <c r="AX60" s="148">
        <f t="shared" ca="1" si="28"/>
        <v>108000</v>
      </c>
      <c r="AY60" s="148">
        <f t="shared" ca="1" si="29"/>
        <v>0</v>
      </c>
      <c r="AZ60" s="148">
        <f ca="1">IF(ISNUMBER($AL60),($AR60*$AL60)-$AI60-$AK60,MAX(0,IF($AL60="B",IF($AR60&lt;Setup!$C$32,($AR60*Setup!$D$32)-$AI60-$AK60,(($AR60-VLOOKUP($AR60,TaxAll2,1,1))*OFFSET(Setup!$D$32,MATCH($AR60,TaxBracket2,1),0,1,1))+OFFSET(Setup!$E$31,MATCH($AR60,TaxBracket2,1),0,1,1)-$AI60-$AK60),IF($AR60&lt;Setup!$C$21,($AR60*Setup!$D$21)-$AI60-$AK60,(($AR60-VLOOKUP($AR60,TaxAll1,1,1))*OFFSET(Setup!$D$21,MATCH($AR60,TaxBracket1,1),0,1,1))+OFFSET(Setup!$E$20,MATCH($AR60,TaxBracket1,1),0,1,1)-$AI60-$AK60))))</f>
        <v>2205</v>
      </c>
      <c r="BA60" s="148">
        <f ca="1">IF(ISNUMBER($AL60),($AX60*$AL60)-$AI60-$AK60,MAX(0,IF($AL60="B",IF($AX60&lt;Setup!$C$32,($AX60*Setup!$D$32)-$AI60-$AK60,(($AX60-VLOOKUP($AX60,TaxAll2,1,1))*OFFSET(Setup!$D$32,MATCH($AX60,TaxBracket2,1),0,1,1))+OFFSET(Setup!$E$31,MATCH($AX60,TaxBracket2,1),0,1,1)-$AI60-$AK60),IF($AX60&lt;Setup!$C$21,($AX60*Setup!$D$21)-$AI60-$AK60,(($AX60-VLOOKUP($AX60,TaxAll1,1,1))*OFFSET(Setup!$D$21,MATCH($AX60,TaxBracket1,1),0,1,1))+OFFSET(Setup!$E$20,MATCH($AX60,TaxBracket1,1),0,1,1)-$AI60-$AK60))))</f>
        <v>2205</v>
      </c>
      <c r="BB60" s="148">
        <f t="shared" ca="1" si="23"/>
        <v>0</v>
      </c>
      <c r="BC60" s="150">
        <f t="shared" ca="1" si="15"/>
        <v>1</v>
      </c>
      <c r="BD60" s="150">
        <f t="shared" ca="1" si="16"/>
        <v>0</v>
      </c>
      <c r="BE60" s="148">
        <f t="shared" ca="1" si="17"/>
        <v>108000</v>
      </c>
    </row>
    <row r="61" spans="1:57" ht="16.149999999999999" customHeight="1" x14ac:dyDescent="0.25">
      <c r="A61" s="10" t="str" cm="1">
        <f t="array" aca="1" ref="A61" ca="1">IF(ROW($A61)-ROW($A$6)&gt;EmpCount*12,"-",TEXT($B61,"yyyy")&amp;TEXT($B61,"mm")&amp;"-"&amp;$C61)</f>
        <v>202306-EXS010</v>
      </c>
      <c r="B61" s="137" cm="1">
        <f t="array" aca="1" ref="B61" ca="1">IF(ROW($A61)-ROW($A$6)&gt;EmpCount*12,Setup!$D$12,DATE(YEAR(Setup!$F$12),MONTH(Setup!$F$12)+ROUNDDOWN((ROW($A61)-ROW($A$6)-1)/EmpCount,0),IF(Setup!$C$14&gt;DAY(DATE(YEAR(Setup!$F$12),MONTH(Setup!$F$12)+ROUNDDOWN((ROW($A61)-ROW($A$6)-1)/EmpCount,0)+1,0)),DAY(DATE(YEAR(Setup!$F$12),MONTH(Setup!$F$12)+ROUNDDOWN((ROW($A61)-ROW($A$6)-1)/EmpCount,0)+1,0)),Setup!$C$14)))</f>
        <v>45102</v>
      </c>
      <c r="C61" s="101" t="str" cm="1">
        <f t="array" aca="1" ref="C61" ca="1">IF(ROW($A61)-ROW($A$6)&gt;EmpCount*12,"-",OFFSET(Emp!$A$4,ROW($A61)-ROW($A$6)-IF(ROW($A61)-ROW($A$6)&gt;EmpCount,ROUNDDOWN((ROW($A61)-ROW($A$6)-1)/EmpCount,0)*EmpCount,0),0,1,1))</f>
        <v>EXS010</v>
      </c>
      <c r="D61" s="10" t="str">
        <f ca="1">IF(ISNA(VLOOKUP($C61,EmpAll,COLUMN(Emp!$B$4),0)),"-",VLOOKUP($C61,EmpAll,COLUMN(Emp!$B$4),0))</f>
        <v>Lewis I</v>
      </c>
      <c r="E61" s="145" t="str">
        <f ca="1">IF(ISNA(VLOOKUP($C61,EmpAll,COLUMN(Emp!$C$4),0)),"-",VLOOKUP($C61,EmpAll,COLUMN(Emp!$C$4),0))</f>
        <v>A</v>
      </c>
      <c r="F61" s="101" t="str">
        <f ca="1">IF(ISNA(VLOOKUP($C61,EmpAll,COLUMN(Emp!$A$4),0)),"-",IF(AND(VLOOKUP($C61,EmpAll,COLUMN(Emp!$E$4),0)&lt;&gt;0,VLOOKUP($C61,EmpAll,COLUMN(Emp!$E$4),0)&gt;=DATE(YEAR($AC61),MONTH($AC61)+1,0)),"Inactive",IF(AND(VLOOKUP($C61,EmpAll,COLUMN(Emp!$F$4),0)&lt;&gt;0,VLOOKUP($C61,EmpAll,COLUMN(Emp!$F$4),0)&lt;=DATE(YEAR($AC61),MONTH($AC61),0)),"Terminated","Active")))</f>
        <v>Active</v>
      </c>
      <c r="G61" s="133" cm="1">
        <f t="array" aca="1" ref="G61" ca="1">IF($F61&lt;&gt;"Active",0,IF(COUNTIFS(OverEmp,$C61,OverEarn,G$2,OverDate,"&lt;"&amp;DATE(YEAR($AC61),MONTH($AC61)+1,1),OverEnd,"&gt;="&amp;DATE(YEAR($AC61),MONTH($AC61),1))&gt;0,SUMIFS(OverValue,OverEmp,$C61,OverEarn,G$2,OverDate,"&lt;"&amp;DATE(YEAR($AC61),MONTH($AC61)+1,1),OverEnd,"&gt;="&amp;DATE(YEAR($AC61),MONTH($AC61),1)),IF(AND($AC61&gt;=Setup!$E$10,SUMIFS(EmpIncrease,EmpCode,$C61)&gt;0),SUMIFS(EmpIncrease,EmpCode,$C61),SUMIFS(EmpSalary,EmpCode,$C61))))</f>
        <v>9000</v>
      </c>
      <c r="H61" s="133" cm="1">
        <f t="array" aca="1" ref="H61" ca="1">IF($F61&lt;&gt;"Active",0,IF(COUNTIFS(OverEmp,$C61,OverEarn,H$2,OverDate,"&lt;"&amp;DATE(YEAR($AC61),MONTH($AC61)+1,1),OverEnd,"&gt;="&amp;DATE(YEAR($AC61),MONTH($AC61),1))&gt;0,SUMIFS(OverValue,OverEmp,$C61,OverEarn,H$2,OverDate,"&lt;"&amp;DATE(YEAR($AC61),MONTH($AC61)+1,1),OverEnd,"&gt;="&amp;DATE(YEAR($AC61),MONTH($AC61),1)),0))</f>
        <v>0</v>
      </c>
      <c r="I61" s="133" cm="1">
        <f t="array" aca="1" ref="I61" ca="1">IF($F61&lt;&gt;"Active",0,IF(COUNTIFS(OverEmp,$C61,OverEarn,I$2,OverDate,"&lt;"&amp;DATE(YEAR($AC61),MONTH($AC61)+1,1),OverEnd,"&gt;="&amp;DATE(YEAR($AC61),MONTH($AC61),1))&gt;0,SUMIFS(OverValue,OverEmp,$C61,OverEarn,I$2,OverDate,"&lt;"&amp;DATE(YEAR($AC61),MONTH($AC61)+1,1),OverEnd,"&gt;="&amp;DATE(YEAR($AC61),MONTH($AC61),1)),IF(MONTH(B61)=Setup!$C$15,SUMIFS(EmpBonus,EmpCode,$C61),0)))</f>
        <v>0</v>
      </c>
      <c r="J61" s="133" cm="1">
        <f t="array" aca="1" ref="J61" ca="1">IF($F61&lt;&gt;"Active",0,IF(COUNTIFS(OverEmp,$C61,OverEarn,J$2,OverDate,"&lt;"&amp;DATE(YEAR($AC61),MONTH($AC61)+1,1),OverEnd,"&gt;="&amp;DATE(YEAR($AC61),MONTH($AC61),1))&gt;0,SUMIFS(OverValue,OverEmp,$C61,OverEarn,J$2,OverDate,"&lt;"&amp;DATE(YEAR($AC61),MONTH($AC61)+1,1),OverEnd,"&gt;="&amp;DATE(YEAR($AC61),MONTH($AC61),1)),0))</f>
        <v>0</v>
      </c>
      <c r="K61" s="133" cm="1">
        <f t="array" aca="1" ref="K61" ca="1">IF($F61&lt;&gt;"Active",0,IF(COUNTIFS(OverEmp,$C61,OverEarn,K$2,OverDate,"&lt;"&amp;DATE(YEAR($AC61),MONTH($AC61)+1,1),OverEnd,"&gt;="&amp;DATE(YEAR($AC61),MONTH($AC61),1))&gt;0,SUMIFS(OverValue,OverEmp,$C61,OverEarn,K$2,OverDate,"&lt;"&amp;DATE(YEAR($AC61),MONTH($AC61)+1,1),OverEnd,"&gt;="&amp;DATE(YEAR($AC61),MONTH($AC61),1)),0))</f>
        <v>0</v>
      </c>
      <c r="L61" s="185">
        <f t="shared" ca="1" si="24"/>
        <v>9000</v>
      </c>
      <c r="M61" s="182" cm="1">
        <f t="array" aca="1" ref="M61" ca="1">IF(COUNTIFS(OverEmp,$C61,OverTax,M$5,OverDate,"&lt;"&amp;DATE(YEAR($AC61),MONTH($AC61)+1,1),OverEnd,"&gt;="&amp;DATE(YEAR($AC61),MONTH($AC61),1))&gt;0,SUMIFS(OverValue,OverEmp,$C61,OverTax,M$5,OverDate,"&lt;"&amp;DATE(YEAR($AC61),MONTH($AC61)+1,1),OverEnd,"&gt;="&amp;DATE(YEAR($AC61),MONTH($AC61),1)),(($BA61/12*$AA61)+(BB61*IF(1-$BC61=0,0,BD61/(1-$BC61))))-IF($F61="Terminated",0,SUMIFS(PayTaxDeduct,PayDate,"&lt;"&amp;$AC61,PayEmp,$C61)))</f>
        <v>183.75</v>
      </c>
      <c r="N61" s="133" cm="1">
        <f t="array" aca="1" ref="N61" ca="1">IF($F61="Terminated",0,IF($AA61=0,0,IF(ISNA(MATCH(N$5,DedListItem,0)),0,IF(COUNTIFS(OverEmp,$C61,OverDeduct,N$5,OverDate,"&lt;"&amp;DATE(YEAR($AC61),MONTH($AC61)+1,1),OverEnd,"&gt;="&amp;DATE(YEAR($AC61),MONTH($AC61),1))&gt;0,SUMIFS(OverValue,OverEmp,$C61,OverDeduct,N$5,OverDate,"&lt;"&amp;DATE(YEAR($AC61),MONTH($AC61)+1,1),OverEnd,"&gt;="&amp;DATE(YEAR($AC61),MONTH($AC61),1)),IF(OR(N$2="Fixed",N$2="Not Used"),(IF(COUNTIFS(EmpNo,$C61,OFFSET(Emp!$R$4,1,MATCH(N$5,DedListItem,0)-1,EmpCount,1),"&lt;&gt;")&gt;0,VLOOKUP($C61,EmpAll,COLUMN(Emp!$R$4)+MATCH(N$5,DedListItem,0)-1,0),OFFSET(Setup!$E$73,MATCH(N$5,DedListItem,0),0,1,1))*$AA61)-SUMIFS(OFFSET(N$6,1,0,PayCount,1),PayDate,"&lt;"&amp;$AC61,PayEmp,$C61),IF(ISNA(MATCH(N$2,EarnListItem,0))=FALSE,IF(OFFSET(Setup!$G$73,MATCH(N$5,DedListItem,0),0,1,1)="Taxable",SUMPRODUCT((PayEmp=$C61)*(PayDate&lt;=$AC61)*(PayEarnCode=N$2)*(PayEarnTax)*(PayEarnValues)),SUMPRODUCT((PayEmp=$C61)*(PayDate&lt;=$AC61)*(PayEarnCode=N$2)*(PayEarnValues)))*IF(COUNTIFS(EmpNo,$C61,OFFSET(Emp!$R$4,1,MATCH(N$5,DedListItem,0)-1,EmpCount,1),"&lt;&gt;")&gt;0,VLOOKUP($C61,EmpAll,COLUMN(Emp!$R$4)+MATCH(N$5,DedListItem,0)-1,0),OFFSET(Setup!$E$73,MATCH(N$5,DedListItem,0),0,1,1)),(MIN(IF(OFFSET(Setup!$G$73,MATCH(N$5,DedListItem,0),0,1,1)="Taxable",SUMPRODUCT((PayEmp=$C61)*(PayDate&lt;=$AC61)*(ISERROR(SEARCH(PayEarnCode,N$4)))*(PayEarnTax)*(PayEarnValues)),SUMPRODUCT((PayEmp=$C61)*(PayDate&lt;=$AC61)*(ISERROR(SEARCH(PayEarnCode,N$4)))*(PayEarnValues))),IF(ISNUMBER(N$3),N$3/12*$AA61,IgnoreMin)))*IF(COUNTIFS(EmpNo,$C61,OFFSET(Emp!$R$4,1,MATCH(N$5,DedListItem,0)-1,EmpCount,1),"&lt;&gt;")&gt;0,VLOOKUP($C61,EmpAll,COLUMN(Emp!$R$4)+MATCH(N$5,DedListItem,0)-1,0),OFFSET(Setup!$E$73,MATCH(N$5,DedListItem,0),0,1,1)))-SUMIFS(OFFSET(N$6,1,0,PayCount,1),PayDate,"&lt;"&amp;$AC61,PayEmp,$C61))))))</f>
        <v>90</v>
      </c>
      <c r="O61" s="133" cm="1">
        <f t="array" aca="1" ref="O61" ca="1">IF($F61="Terminated",0,IF($AA61=0,0,IF(ISNA(MATCH(O$5,DedListItem,0)),0,IF(COUNTIFS(OverEmp,$C61,OverDeduct,O$5,OverDate,"&lt;"&amp;DATE(YEAR($AC61),MONTH($AC61)+1,1),OverEnd,"&gt;="&amp;DATE(YEAR($AC61),MONTH($AC61),1))&gt;0,SUMIFS(OverValue,OverEmp,$C61,OverDeduct,O$5,OverDate,"&lt;"&amp;DATE(YEAR($AC61),MONTH($AC61)+1,1),OverEnd,"&gt;="&amp;DATE(YEAR($AC61),MONTH($AC61),1)),IF(OR(O$2="Fixed",O$2="Not Used"),(IF(COUNTIFS(EmpNo,$C61,OFFSET(Emp!$R$4,1,MATCH(O$5,DedListItem,0)-1,EmpCount,1),"&lt;&gt;")&gt;0,VLOOKUP($C61,EmpAll,COLUMN(Emp!$R$4)+MATCH(O$5,DedListItem,0)-1,0),OFFSET(Setup!$E$73,MATCH(O$5,DedListItem,0),0,1,1))*$AA61)-SUMIFS(OFFSET(O$6,1,0,PayCount,1),PayDate,"&lt;"&amp;$AC61,PayEmp,$C61),IF(ISNA(MATCH(O$2,EarnListItem,0))=FALSE,IF(OFFSET(Setup!$G$73,MATCH(O$5,DedListItem,0),0,1,1)="Taxable",SUMPRODUCT((PayEmp=$C61)*(PayDate&lt;=$AC61)*(PayEarnCode=O$2)*(PayEarnTax)*(PayEarnValues)),SUMPRODUCT((PayEmp=$C61)*(PayDate&lt;=$AC61)*(PayEarnCode=O$2)*(PayEarnValues)))*IF(COUNTIFS(EmpNo,$C61,OFFSET(Emp!$R$4,1,MATCH(O$5,DedListItem,0)-1,EmpCount,1),"&lt;&gt;")&gt;0,VLOOKUP($C61,EmpAll,COLUMN(Emp!$R$4)+MATCH(O$5,DedListItem,0)-1,0),OFFSET(Setup!$E$73,MATCH(O$5,DedListItem,0),0,1,1)),(MIN(IF(OFFSET(Setup!$G$73,MATCH(O$5,DedListItem,0),0,1,1)="Taxable",SUMPRODUCT((PayEmp=$C61)*(PayDate&lt;=$AC61)*(ISERROR(SEARCH(PayEarnCode,O$4)))*(PayEarnTax)*(PayEarnValues)),SUMPRODUCT((PayEmp=$C61)*(PayDate&lt;=$AC61)*(ISERROR(SEARCH(PayEarnCode,O$4)))*(PayEarnValues))),IF(ISNUMBER(O$3),O$3/12*$AA61,IgnoreMin)))*IF(COUNTIFS(EmpNo,$C61,OFFSET(Emp!$R$4,1,MATCH(O$5,DedListItem,0)-1,EmpCount,1),"&lt;&gt;")&gt;0,VLOOKUP($C61,EmpAll,COLUMN(Emp!$R$4)+MATCH(O$5,DedListItem,0)-1,0),OFFSET(Setup!$E$73,MATCH(O$5,DedListItem,0),0,1,1)))-SUMIFS(OFFSET(O$6,1,0,PayCount,1),PayDate,"&lt;"&amp;$AC61,PayEmp,$C61))))))</f>
        <v>0</v>
      </c>
      <c r="P61" s="133" cm="1">
        <f t="array" aca="1" ref="P61" ca="1">IF($F61="Terminated",0,IF($AA61=0,0,IF(ISNA(MATCH(P$5,DedListItem,0)),0,IF(COUNTIFS(OverEmp,$C61,OverDeduct,P$5,OverDate,"&lt;"&amp;DATE(YEAR($AC61),MONTH($AC61)+1,1),OverEnd,"&gt;="&amp;DATE(YEAR($AC61),MONTH($AC61),1))&gt;0,SUMIFS(OverValue,OverEmp,$C61,OverDeduct,P$5,OverDate,"&lt;"&amp;DATE(YEAR($AC61),MONTH($AC61)+1,1),OverEnd,"&gt;="&amp;DATE(YEAR($AC61),MONTH($AC61),1)),IF(OR(P$2="Fixed",P$2="Not Used"),(IF(COUNTIFS(EmpNo,$C61,OFFSET(Emp!$R$4,1,MATCH(P$5,DedListItem,0)-1,EmpCount,1),"&lt;&gt;")&gt;0,VLOOKUP($C61,EmpAll,COLUMN(Emp!$R$4)+MATCH(P$5,DedListItem,0)-1,0),OFFSET(Setup!$E$73,MATCH(P$5,DedListItem,0),0,1,1))*$AA61)-SUMIFS(OFFSET(P$6,1,0,PayCount,1),PayDate,"&lt;"&amp;$AC61,PayEmp,$C61),IF(ISNA(MATCH(P$2,EarnListItem,0))=FALSE,IF(OFFSET(Setup!$G$73,MATCH(P$5,DedListItem,0),0,1,1)="Taxable",SUMPRODUCT((PayEmp=$C61)*(PayDate&lt;=$AC61)*(PayEarnCode=P$2)*(PayEarnTax)*(PayEarnValues)),SUMPRODUCT((PayEmp=$C61)*(PayDate&lt;=$AC61)*(PayEarnCode=P$2)*(PayEarnValues)))*IF(COUNTIFS(EmpNo,$C61,OFFSET(Emp!$R$4,1,MATCH(P$5,DedListItem,0)-1,EmpCount,1),"&lt;&gt;")&gt;0,VLOOKUP($C61,EmpAll,COLUMN(Emp!$R$4)+MATCH(P$5,DedListItem,0)-1,0),OFFSET(Setup!$E$73,MATCH(P$5,DedListItem,0),0,1,1)),(MIN(IF(OFFSET(Setup!$G$73,MATCH(P$5,DedListItem,0),0,1,1)="Taxable",SUMPRODUCT((PayEmp=$C61)*(PayDate&lt;=$AC61)*(ISERROR(SEARCH(PayEarnCode,P$4)))*(PayEarnTax)*(PayEarnValues)),SUMPRODUCT((PayEmp=$C61)*(PayDate&lt;=$AC61)*(ISERROR(SEARCH(PayEarnCode,P$4)))*(PayEarnValues))),IF(ISNUMBER(P$3),P$3/12*$AA61,IgnoreMin)))*IF(COUNTIFS(EmpNo,$C61,OFFSET(Emp!$R$4,1,MATCH(P$5,DedListItem,0)-1,EmpCount,1),"&lt;&gt;")&gt;0,VLOOKUP($C61,EmpAll,COLUMN(Emp!$R$4)+MATCH(P$5,DedListItem,0)-1,0),OFFSET(Setup!$E$73,MATCH(P$5,DedListItem,0),0,1,1)))-SUMIFS(OFFSET(P$6,1,0,PayCount,1),PayDate,"&lt;"&amp;$AC61,PayEmp,$C61))))))</f>
        <v>0</v>
      </c>
      <c r="Q61" s="133" cm="1">
        <f t="array" aca="1" ref="Q61" ca="1">IF($F61="Terminated",0,IF($AA61=0,0,IF(ISNA(MATCH(Q$5,DedListItem,0)),0,IF(COUNTIFS(OverEmp,$C61,OverDeduct,Q$5,OverDate,"&lt;"&amp;DATE(YEAR($AC61),MONTH($AC61)+1,1),OverEnd,"&gt;="&amp;DATE(YEAR($AC61),MONTH($AC61),1))&gt;0,SUMIFS(OverValue,OverEmp,$C61,OverDeduct,Q$5,OverDate,"&lt;"&amp;DATE(YEAR($AC61),MONTH($AC61)+1,1),OverEnd,"&gt;="&amp;DATE(YEAR($AC61),MONTH($AC61),1)),IF(OR(Q$2="Fixed",Q$2="Not Used"),(IF(COUNTIFS(EmpNo,$C61,OFFSET(Emp!$R$4,1,MATCH(Q$5,DedListItem,0)-1,EmpCount,1),"&lt;&gt;")&gt;0,VLOOKUP($C61,EmpAll,COLUMN(Emp!$R$4)+MATCH(Q$5,DedListItem,0)-1,0),OFFSET(Setup!$E$73,MATCH(Q$5,DedListItem,0),0,1,1))*$AA61)-SUMIFS(OFFSET(Q$6,1,0,PayCount,1),PayDate,"&lt;"&amp;$AC61,PayEmp,$C61),IF(ISNA(MATCH(Q$2,EarnListItem,0))=FALSE,IF(OFFSET(Setup!$G$73,MATCH(Q$5,DedListItem,0),0,1,1)="Taxable",SUMPRODUCT((PayEmp=$C61)*(PayDate&lt;=$AC61)*(PayEarnCode=Q$2)*(PayEarnTax)*(PayEarnValues)),SUMPRODUCT((PayEmp=$C61)*(PayDate&lt;=$AC61)*(PayEarnCode=Q$2)*(PayEarnValues)))*IF(COUNTIFS(EmpNo,$C61,OFFSET(Emp!$R$4,1,MATCH(Q$5,DedListItem,0)-1,EmpCount,1),"&lt;&gt;")&gt;0,VLOOKUP($C61,EmpAll,COLUMN(Emp!$R$4)+MATCH(Q$5,DedListItem,0)-1,0),OFFSET(Setup!$E$73,MATCH(Q$5,DedListItem,0),0,1,1)),(MIN(IF(OFFSET(Setup!$G$73,MATCH(Q$5,DedListItem,0),0,1,1)="Taxable",SUMPRODUCT((PayEmp=$C61)*(PayDate&lt;=$AC61)*(ISERROR(SEARCH(PayEarnCode,Q$4)))*(PayEarnTax)*(PayEarnValues)),SUMPRODUCT((PayEmp=$C61)*(PayDate&lt;=$AC61)*(ISERROR(SEARCH(PayEarnCode,Q$4)))*(PayEarnValues))),IF(ISNUMBER(Q$3),Q$3/12*$AA61,IgnoreMin)))*IF(COUNTIFS(EmpNo,$C61,OFFSET(Emp!$R$4,1,MATCH(Q$5,DedListItem,0)-1,EmpCount,1),"&lt;&gt;")&gt;0,VLOOKUP($C61,EmpAll,COLUMN(Emp!$R$4)+MATCH(Q$5,DedListItem,0)-1,0),OFFSET(Setup!$E$73,MATCH(Q$5,DedListItem,0),0,1,1)))-SUMIFS(OFFSET(Q$6,1,0,PayCount,1),PayDate,"&lt;"&amp;$AC61,PayEmp,$C61))))))</f>
        <v>0</v>
      </c>
      <c r="R61" s="185">
        <f t="shared" ca="1" si="25"/>
        <v>273.75</v>
      </c>
      <c r="S61" s="139">
        <f t="shared" ca="1" si="26"/>
        <v>8726.25</v>
      </c>
      <c r="T61" s="133" cm="1">
        <f t="array" aca="1" ref="T61" ca="1">IF($F61="Terminated",0,IF($AA61=0,0,IF(ISNA(MATCH(T$5,CompListItem,0)),0,IF(COUNTIFS(OverEmp,$C61,OverComp,T$5,OverDate,"&lt;"&amp;DATE(YEAR($AC61),MONTH($AC61)+1,1),OverEnd,"&gt;="&amp;DATE(YEAR($AC61),MONTH($AC61),1))&gt;0,SUMIFS(OverValue,OverEmp,$C61,OverComp,T$5,OverDate,"&lt;"&amp;DATE(YEAR($AC61),MONTH($AC61)+1,1),OverEnd,"&gt;="&amp;DATE(YEAR($AC61),MONTH($AC61),1)),IF(OR(T$2="Fixed",T$2="Not Used"),(OFFSET(Setup!$E$81,MATCH(T$5,CompListItem,0),0,1,1)*$AA61)-SUMIFS(OFFSET(T$6,1,0,PayCount,1),PayDate,"&lt;"&amp;$AC61,PayEmp,$C61),IF(ISNA(MATCH(T$2,DedListItem,0))=FALSE,(SUMPRODUCT((PayEmp=$C61)*(PayDate&lt;=$AC61)*(PayDedList=T$2)*(PayDedValues))*OFFSET(Setup!$E$81,MATCH(T$5,CompListItem,0),0,1,1))-SUMIFS(OFFSET(T$6,1,0,PayCount,1),PayDate,"&lt;"&amp;$AC61,PayEmp,$C61),(MIN(IF(OFFSET(Setup!$G$81,MATCH(T$5,CompListItem,0),0,1,1)="Taxable",SUMPRODUCT((PayEmp=$C61)*(PayDate&lt;=$AC61)*(ISERROR(SEARCH(PayEarnCode,T$4)))*(PayEarnTax)*(PayEarnValues)),SUMPRODUCT((PayEmp=$C61)*(PayDate&lt;=$AC61)*(ISERROR(SEARCH(PayEarnCode,T$4)))*(PayEarnValues))),IF(ISNUMBER(T$3),T$3/12*$AA61,IgnoreMin)))*OFFSET(Setup!$E$81,MATCH(T$5,CompListItem,0),0,1,1)-SUMIFS(OFFSET(T$6,1,0,PayCount,1),PayDate,"&lt;"&amp;$AC61,PayEmp,$C61)))))))</f>
        <v>90</v>
      </c>
      <c r="U61" s="133" cm="1">
        <f t="array" aca="1" ref="U61" ca="1">IF($F61="Terminated",0,IF($AA61=0,0,IF(ISNA(MATCH(U$5,CompListItem,0)),0,IF(COUNTIFS(OverEmp,$C61,OverComp,U$5,OverDate,"&lt;"&amp;DATE(YEAR($AC61),MONTH($AC61)+1,1),OverEnd,"&gt;="&amp;DATE(YEAR($AC61),MONTH($AC61),1))&gt;0,SUMIFS(OverValue,OverEmp,$C61,OverComp,U$5,OverDate,"&lt;"&amp;DATE(YEAR($AC61),MONTH($AC61)+1,1),OverEnd,"&gt;="&amp;DATE(YEAR($AC61),MONTH($AC61),1)),IF(OR(U$2="Fixed",U$2="Not Used"),(OFFSET(Setup!$E$81,MATCH(U$5,CompListItem,0),0,1,1)*$AA61)-SUMIFS(OFFSET(U$6,1,0,PayCount,1),PayDate,"&lt;"&amp;$AC61,PayEmp,$C61),IF(ISNA(MATCH(U$2,DedListItem,0))=FALSE,(SUMPRODUCT((PayEmp=$C61)*(PayDate&lt;=$AC61)*(PayDedList=U$2)*(PayDedValues))*OFFSET(Setup!$E$81,MATCH(U$5,CompListItem,0),0,1,1))-SUMIFS(OFFSET(U$6,1,0,PayCount,1),PayDate,"&lt;"&amp;$AC61,PayEmp,$C61),(MIN(IF(OFFSET(Setup!$G$81,MATCH(U$5,CompListItem,0),0,1,1)="Taxable",SUMPRODUCT((PayEmp=$C61)*(PayDate&lt;=$AC61)*(ISERROR(SEARCH(PayEarnCode,U$4)))*(PayEarnTax)*(PayEarnValues)),SUMPRODUCT((PayEmp=$C61)*(PayDate&lt;=$AC61)*(ISERROR(SEARCH(PayEarnCode,U$4)))*(PayEarnValues))),IF(ISNUMBER(U$3),U$3/12*$AA61,IgnoreMin)))*OFFSET(Setup!$E$81,MATCH(U$5,CompListItem,0),0,1,1)-SUMIFS(OFFSET(U$6,1,0,PayCount,1),PayDate,"&lt;"&amp;$AC61,PayEmp,$C61)))))))</f>
        <v>90</v>
      </c>
      <c r="V61" s="133" cm="1">
        <f t="array" aca="1" ref="V61" ca="1">IF($F61="Terminated",0,IF($AA61=0,0,IF(ISNA(MATCH(V$5,CompListItem,0)),0,IF(COUNTIFS(OverEmp,$C61,OverComp,V$5,OverDate,"&lt;"&amp;DATE(YEAR($AC61),MONTH($AC61)+1,1),OverEnd,"&gt;="&amp;DATE(YEAR($AC61),MONTH($AC61),1))&gt;0,SUMIFS(OverValue,OverEmp,$C61,OverComp,V$5,OverDate,"&lt;"&amp;DATE(YEAR($AC61),MONTH($AC61)+1,1),OverEnd,"&gt;="&amp;DATE(YEAR($AC61),MONTH($AC61),1)),IF(OR(V$2="Fixed",V$2="Not Used"),(OFFSET(Setup!$E$81,MATCH(V$5,CompListItem,0),0,1,1)*$AA61)-SUMIFS(OFFSET(V$6,1,0,PayCount,1),PayDate,"&lt;"&amp;$AC61,PayEmp,$C61),IF(ISNA(MATCH(V$2,DedListItem,0))=FALSE,(SUMPRODUCT((PayEmp=$C61)*(PayDate&lt;=$AC61)*(PayDedList=V$2)*(PayDedValues))*OFFSET(Setup!$E$81,MATCH(V$5,CompListItem,0),0,1,1))-SUMIFS(OFFSET(V$6,1,0,PayCount,1),PayDate,"&lt;"&amp;$AC61,PayEmp,$C61),(MIN(IF(OFFSET(Setup!$G$81,MATCH(V$5,CompListItem,0),0,1,1)="Taxable",SUMPRODUCT((PayEmp=$C61)*(PayDate&lt;=$AC61)*(ISERROR(SEARCH(PayEarnCode,V$4)))*(PayEarnTax)*(PayEarnValues)),SUMPRODUCT((PayEmp=$C61)*(PayDate&lt;=$AC61)*(ISERROR(SEARCH(PayEarnCode,V$4)))*(PayEarnValues))),IF(ISNUMBER(V$3),V$3/12*$AA61,IgnoreMin)))*OFFSET(Setup!$E$81,MATCH(V$5,CompListItem,0),0,1,1)-SUMIFS(OFFSET(V$6,1,0,PayCount,1),PayDate,"&lt;"&amp;$AC61,PayEmp,$C61)))))))</f>
        <v>0</v>
      </c>
      <c r="W61" s="133" cm="1">
        <f t="array" aca="1" ref="W61" ca="1">IF($F61="Terminated",0,IF($AA61=0,0,IF(ISNA(MATCH(W$5,CompListItem,0)),0,IF(COUNTIFS(OverEmp,$C61,OverComp,W$5,OverDate,"&lt;"&amp;DATE(YEAR($AC61),MONTH($AC61)+1,1),OverEnd,"&gt;="&amp;DATE(YEAR($AC61),MONTH($AC61),1))&gt;0,SUMIFS(OverValue,OverEmp,$C61,OverComp,W$5,OverDate,"&lt;"&amp;DATE(YEAR($AC61),MONTH($AC61)+1,1),OverEnd,"&gt;="&amp;DATE(YEAR($AC61),MONTH($AC61),1)),IF(OR(W$2="Fixed",W$2="Not Used"),(OFFSET(Setup!$E$81,MATCH(W$5,CompListItem,0),0,1,1)*$AA61)-SUMIFS(OFFSET(W$6,1,0,PayCount,1),PayDate,"&lt;"&amp;$AC61,PayEmp,$C61),IF(ISNA(MATCH(W$2,DedListItem,0))=FALSE,(SUMPRODUCT((PayEmp=$C61)*(PayDate&lt;=$AC61)*(PayDedList=W$2)*(PayDedValues))*OFFSET(Setup!$E$81,MATCH(W$5,CompListItem,0),0,1,1))-SUMIFS(OFFSET(W$6,1,0,PayCount,1),PayDate,"&lt;"&amp;$AC61,PayEmp,$C61),(MIN(IF(OFFSET(Setup!$G$81,MATCH(W$5,CompListItem,0),0,1,1)="Taxable",SUMPRODUCT((PayEmp=$C61)*(PayDate&lt;=$AC61)*(ISERROR(SEARCH(PayEarnCode,W$4)))*(PayEarnTax)*(PayEarnValues)),SUMPRODUCT((PayEmp=$C61)*(PayDate&lt;=$AC61)*(ISERROR(SEARCH(PayEarnCode,W$4)))*(PayEarnValues))),IF(ISNUMBER(W$3),W$3/12*$AA61,IgnoreMin)))*OFFSET(Setup!$E$81,MATCH(W$5,CompListItem,0),0,1,1)-SUMIFS(OFFSET(W$6,1,0,PayCount,1),PayDate,"&lt;"&amp;$AC61,PayEmp,$C61)))))))</f>
        <v>0</v>
      </c>
      <c r="X61" s="185">
        <f t="shared" ca="1" si="18"/>
        <v>180</v>
      </c>
      <c r="Y61" s="139">
        <f t="shared" ca="1" si="27"/>
        <v>9180</v>
      </c>
      <c r="Z61" s="139">
        <f t="shared" ca="1" si="19"/>
        <v>453.75</v>
      </c>
      <c r="AA61" s="146">
        <f ca="1">IF(OR($B61&lt;=Setup!$E$12,$B61&gt;=Setup!$D$12+1),0,IF($F61&lt;&gt;"Active",0,IF($AE61="Yes",$AB61,((YEAR($AC61)*12)+MONTH($AC61))-((YEAR($AD61)*12)+MONTH($AD61)-1))))</f>
        <v>4</v>
      </c>
      <c r="AB61" s="146">
        <f ca="1">IF(OR($B61&lt;=Setup!$E$12,$B61&gt;=Setup!$D$12+1),0,((YEAR($AC61)*12)+MONTH($AC61))-((YEAR(Setup!$E$12)*12)+MONTH(Setup!$E$12)))</f>
        <v>4</v>
      </c>
      <c r="AC61" s="186">
        <f t="shared" ca="1" si="20"/>
        <v>45102</v>
      </c>
      <c r="AD61" s="144">
        <f ca="1">IF(ISNA(VLOOKUP($C61,EmpAll,COLUMN(Emp!$E$4),0)),$AC61,IF(VLOOKUP($C61,EmpAll,COLUMN(Emp!$E$4),0)&lt;=Setup!$E$12,DATE(YEAR(Setup!$E$12),MONTH(Setup!$E$12)+1,1),VLOOKUP($C61,EmpAll,COLUMN(Emp!$E$4),0)))</f>
        <v>44986</v>
      </c>
      <c r="AE61" s="144" t="str">
        <f ca="1">IF(ISNA(VLOOKUP($C61,EmpAll,COLUMN(Emp!$G$1),0)),"-",IF(VLOOKUP($C61,EmpAll,COLUMN(Emp!$G$1),0)=0,"-",VLOOKUP($C61,EmpAll,COLUMN(Emp!$G$1),0)))</f>
        <v>-</v>
      </c>
      <c r="AF61" s="145">
        <f ca="1">IF(A61=PaySlip!$G$3,1,0)</f>
        <v>0</v>
      </c>
      <c r="AG61" s="130" cm="1">
        <f t="array" aca="1" ref="AG61" ca="1">IF(COUNTIFS(OverEmp,$C61,OverMed,"MED",OverDate,"&lt;"&amp;DATE(YEAR($AC61),MONTH($AC61)+1,1),OverEnd,"&gt;="&amp;DATE(YEAR($AC61),MONTH($AC61),1))&gt;0,SUMIFS(OverValue,OverEmp,$C61,OverMed,"MED",OverDate,"&lt;"&amp;DATE(YEAR($AC61),MONTH($AC61)+1,1),OverEnd,"&gt;="&amp;DATE(YEAR($AC61),MONTH($AC61),1)),IF(ISNA(VLOOKUP($C61,EmpAll,COLUMN(Emp!$N$4),0)),0,VLOOKUP($C61,EmpAll,COLUMN(Emp!$N$4),0)))</f>
        <v>0</v>
      </c>
      <c r="AH61" s="146">
        <f ca="1">VLOOKUP($AG61,MedList,COLUMN(Setup!$C$49),1)</f>
        <v>0</v>
      </c>
      <c r="AI61" s="146">
        <f t="shared" ca="1" si="7"/>
        <v>0</v>
      </c>
      <c r="AJ61" s="101" t="str">
        <f ca="1">IF(ISNA(VLOOKUP($C61,EmpAll,COLUMN(Emp!$L$4),0)),"None!",VLOOKUP($C61,EmpAll,COLUMN(Emp!$L$4),0))</f>
        <v>A</v>
      </c>
      <c r="AK61" s="147">
        <f t="shared" ca="1" si="21"/>
        <v>17235</v>
      </c>
      <c r="AL61" s="101" t="str">
        <f ca="1">IF(ISNA(VLOOKUP($C61,Employees[],COLUMN(Emp!$M$4),0))=TRUE,"Error!",IF(VLOOKUP($C61,Employees[],COLUMN(Emp!$M$4),0)=0,"Yes",VLOOKUP($C61,Employees[],COLUMN(Emp!$M$4),0)))</f>
        <v>A</v>
      </c>
      <c r="AM61" s="148">
        <f t="shared" ca="1" si="9"/>
        <v>108000</v>
      </c>
      <c r="AN61" s="148" cm="1">
        <f t="array" aca="1" ref="AN61" ca="1">-IF($F61="Terminated",0,IF($AA61=0,0,IF(ISNA(MATCH(AN$5,PayDedList,0)),0,MIN(IF(COUNTIFS(OverEmp,$C61,OverDeduct,AN$5,OverDate,"&lt;"&amp;DATE(YEAR($AC61),MONTH($AC61)+1,1),OverEnd,"&gt;="&amp;DATE(YEAR($AC61),MONTH($AC61),1))&gt;0,SUMPRODUCT((PayEmp=$C61)*(PayDate&lt;=$AC61)*(OFFSET($N$6,1,MATCH(AN$5,PayDedList,0)-1,PayCount,1)))/$AA61*12*AN$3,IF(OR(AN$1="Fixed",AN$1="Not Used"),SUMPRODUCT((PayEmp=$C61)*(PayDate&lt;=$AC61)*(OFFSET($N$6,1,MATCH(AN$5,PayDedList,0)-1,PayCount,1)))/$AA61*12*AN$3,IF(ISNA(MATCH(AN$1,EarnListItem,0))=FALSE,SUMPRODUCT((PayEmp=$C61)*(PayDate&lt;=$AC61)*(OFFSET($N$6,1,MATCH(AN$5,PayDedList,0)-1,PayCount,1)))/$AA61*12*AN$3,(MIN(((SUMPRODUCT((PayEmp=$C61)*(PayDate&lt;=$AC61)*(ISERROR(SEARCH(PayEarnCode,AN$2)))*(PayEarnType="Monthly")*(PayEarnValues))/$AA61*12)+(SUMPRODUCT((PayEmp=$C61)*(PayDate&lt;=$AC61)*(ISERROR(SEARCH(PayEarnCode,AN$2)))*(PayEarnType="Quarterly")*(PayEarnValues))/MAX(1,ROUNDDOWN($AB61/3,0))*4)+(SUMPRODUCT((PayEmp=$C61)*(PayDate&lt;=$AC61)*(ISERROR(SEARCH(PayEarnCode,AN$2)))*(PayEarnType="Bi-Annual")*(PayEarnValues))/MAX(1,ROUNDDOWN($AB61/6,0))*2)+(SUMPRODUCT((PayEmp=$C61)*(PayDate&lt;=$AC61)*(ISERROR(SEARCH(PayEarnCode,AN$2)))*(PayEarnType="Annual")*(PayEarnValues)))),IF(ISNUMBER(OFFSET($N$3,0,MATCH(AN$5,PayDedList,0)-1,1,1)),OFFSET($N$3,0,MATCH(AN$5,PayDedList,0)-1,1,1),IgnoreMin)))*IF(COUNTIFS(EmpNo,$C61,OFFSET(Emp!$R$4,1,MATCH(AN$5,DedListItem,0)-1,EmpCount,1),"&lt;&gt;")&gt;0,VLOOKUP($C61,EmpAll,COLUMN(Emp!$R$4)+MATCH(AN$5,DedListItem,0)-1,0),OFFSET(Setup!$E$73,MATCH(AN$5,DedListItem,0),0,1,1))*AN$3))),IF(ISNUMBER(AN$4),AN$4,IgnoreMin)))))</f>
        <v>0</v>
      </c>
      <c r="AO61" s="148" cm="1">
        <f t="array" aca="1" ref="AO61" ca="1">-IF($F61="Terminated",0,IF($AA61=0,0,IF(ISNA(MATCH(AO$5,PayDedList,0)),0,MIN(IF(COUNTIFS(OverEmp,$C61,OverDeduct,AO$5,OverDate,"&lt;"&amp;DATE(YEAR($AC61),MONTH($AC61)+1,1),OverEnd,"&gt;="&amp;DATE(YEAR($AC61),MONTH($AC61),1))&gt;0,SUMPRODUCT((PayEmp=$C61)*(PayDate&lt;=$AC61)*(OFFSET($N$6,1,MATCH(AO$5,PayDedList,0)-1,PayCount,1)))/$AA61*12*AO$3,IF(OR(AO$1="Fixed",AO$1="Not Used"),SUMPRODUCT((PayEmp=$C61)*(PayDate&lt;=$AC61)*(OFFSET($N$6,1,MATCH(AO$5,PayDedList,0)-1,PayCount,1)))/$AA61*12*AO$3,IF(ISNA(MATCH(AO$1,EarnListItem,0))=FALSE,SUMPRODUCT((PayEmp=$C61)*(PayDate&lt;=$AC61)*(OFFSET($N$6,1,MATCH(AO$5,PayDedList,0)-1,PayCount,1)))/$AA61*12*AO$3,(MIN(((SUMPRODUCT((PayEmp=$C61)*(PayDate&lt;=$AC61)*(ISERROR(SEARCH(PayEarnCode,AO$2)))*(PayEarnType="Monthly")*(PayEarnValues))/$AA61*12)+(SUMPRODUCT((PayEmp=$C61)*(PayDate&lt;=$AC61)*(ISERROR(SEARCH(PayEarnCode,AO$2)))*(PayEarnType="Quarterly")*(PayEarnValues))/MAX(1,ROUNDDOWN($AB61/3,0))*4)+(SUMPRODUCT((PayEmp=$C61)*(PayDate&lt;=$AC61)*(ISERROR(SEARCH(PayEarnCode,AO$2)))*(PayEarnType="Bi-Annual")*(PayEarnValues))/MAX(1,ROUNDDOWN($AB61/6,0))*2)+(SUMPRODUCT((PayEmp=$C61)*(PayDate&lt;=$AC61)*(ISERROR(SEARCH(PayEarnCode,AO$2)))*(PayEarnType="Annual")*(PayEarnValues)))),IF(ISNUMBER(OFFSET($N$3,0,MATCH(AO$5,PayDedList,0)-1,1,1)),OFFSET($N$3,0,MATCH(AO$5,PayDedList,0)-1,1,1),IgnoreMin)))*IF(COUNTIFS(EmpNo,$C61,OFFSET(Emp!$R$4,1,MATCH(AO$5,DedListItem,0)-1,EmpCount,1),"&lt;&gt;")&gt;0,VLOOKUP($C61,EmpAll,COLUMN(Emp!$R$4)+MATCH(AO$5,DedListItem,0)-1,0),OFFSET(Setup!$E$73,MATCH(AO$5,DedListItem,0),0,1,1))*AO$3))),IF(ISNUMBER(AO$4),AO$4,IgnoreMin)))))</f>
        <v>0</v>
      </c>
      <c r="AP61" s="148" cm="1">
        <f t="array" aca="1" ref="AP61" ca="1">-IF($F61="Terminated",0,IF($AA61=0,0,IF(ISNA(MATCH(AP$5,PayDedList,0)),0,MIN(IF(COUNTIFS(OverEmp,$C61,OverDeduct,AP$5,OverDate,"&lt;"&amp;DATE(YEAR($AC61),MONTH($AC61)+1,1),OverEnd,"&gt;="&amp;DATE(YEAR($AC61),MONTH($AC61),1))&gt;0,SUMPRODUCT((PayEmp=$C61)*(PayDate&lt;=$AC61)*(OFFSET($N$6,1,MATCH(AP$5,PayDedList,0)-1,PayCount,1)))/$AA61*12*AP$3,IF(OR(AP$1="Fixed",AP$1="Not Used"),SUMPRODUCT((PayEmp=$C61)*(PayDate&lt;=$AC61)*(OFFSET($N$6,1,MATCH(AP$5,PayDedList,0)-1,PayCount,1)))/$AA61*12*AP$3,IF(ISNA(MATCH(AP$1,EarnListItem,0))=FALSE,SUMPRODUCT((PayEmp=$C61)*(PayDate&lt;=$AC61)*(OFFSET($N$6,1,MATCH(AP$5,PayDedList,0)-1,PayCount,1)))/$AA61*12*AP$3,(MIN(((SUMPRODUCT((PayEmp=$C61)*(PayDate&lt;=$AC61)*(ISERROR(SEARCH(PayEarnCode,AP$2)))*(PayEarnType="Monthly")*(PayEarnValues))/$AA61*12)+(SUMPRODUCT((PayEmp=$C61)*(PayDate&lt;=$AC61)*(ISERROR(SEARCH(PayEarnCode,AP$2)))*(PayEarnType="Quarterly")*(PayEarnValues))/MAX(1,ROUNDDOWN($AB61/3,0))*4)+(SUMPRODUCT((PayEmp=$C61)*(PayDate&lt;=$AC61)*(ISERROR(SEARCH(PayEarnCode,AP$2)))*(PayEarnType="Bi-Annual")*(PayEarnValues))/MAX(1,ROUNDDOWN($AB61/6,0))*2)+(SUMPRODUCT((PayEmp=$C61)*(PayDate&lt;=$AC61)*(ISERROR(SEARCH(PayEarnCode,AP$2)))*(PayEarnType="Annual")*(PayEarnValues)))),IF(ISNUMBER(OFFSET($N$3,0,MATCH(AP$5,PayDedList,0)-1,1,1)),OFFSET($N$3,0,MATCH(AP$5,PayDedList,0)-1,1,1),IgnoreMin)))*IF(COUNTIFS(EmpNo,$C61,OFFSET(Emp!$R$4,1,MATCH(AP$5,DedListItem,0)-1,EmpCount,1),"&lt;&gt;")&gt;0,VLOOKUP($C61,EmpAll,COLUMN(Emp!$R$4)+MATCH(AP$5,DedListItem,0)-1,0),OFFSET(Setup!$E$73,MATCH(AP$5,DedListItem,0),0,1,1))*AP$3))),IF(ISNUMBER(AP$4),AP$4,IgnoreMin)))))</f>
        <v>0</v>
      </c>
      <c r="AQ61" s="148" cm="1">
        <f t="array" aca="1" ref="AQ61" ca="1">-IF($F61="Terminated",0,IF($AA61=0,0,IF(ISNA(MATCH(AQ$5,PayDedList,0)),0,MIN(IF(COUNTIFS(OverEmp,$C61,OverDeduct,AQ$5,OverDate,"&lt;"&amp;DATE(YEAR($AC61),MONTH($AC61)+1,1),OverEnd,"&gt;="&amp;DATE(YEAR($AC61),MONTH($AC61),1))&gt;0,SUMPRODUCT((PayEmp=$C61)*(PayDate&lt;=$AC61)*(OFFSET($N$6,1,MATCH(AQ$5,PayDedList,0)-1,PayCount,1)))/$AA61*12*AQ$3,IF(OR(AQ$1="Fixed",AQ$1="Not Used"),SUMPRODUCT((PayEmp=$C61)*(PayDate&lt;=$AC61)*(OFFSET($N$6,1,MATCH(AQ$5,PayDedList,0)-1,PayCount,1)))/$AA61*12*AQ$3,IF(ISNA(MATCH(AQ$1,EarnListItem,0))=FALSE,SUMPRODUCT((PayEmp=$C61)*(PayDate&lt;=$AC61)*(OFFSET($N$6,1,MATCH(AQ$5,PayDedList,0)-1,PayCount,1)))/$AA61*12*AQ$3,(MIN(((SUMPRODUCT((PayEmp=$C61)*(PayDate&lt;=$AC61)*(ISERROR(SEARCH(PayEarnCode,AQ$2)))*(PayEarnType="Monthly")*(PayEarnValues))/$AA61*12)+(SUMPRODUCT((PayEmp=$C61)*(PayDate&lt;=$AC61)*(ISERROR(SEARCH(PayEarnCode,AQ$2)))*(PayEarnType="Quarterly")*(PayEarnValues))/MAX(1,ROUNDDOWN($AB61/3,0))*4)+(SUMPRODUCT((PayEmp=$C61)*(PayDate&lt;=$AC61)*(ISERROR(SEARCH(PayEarnCode,AQ$2)))*(PayEarnType="Bi-Annual")*(PayEarnValues))/MAX(1,ROUNDDOWN($AB61/6,0))*2)+(SUMPRODUCT((PayEmp=$C61)*(PayDate&lt;=$AC61)*(ISERROR(SEARCH(PayEarnCode,AQ$2)))*(PayEarnType="Annual")*(PayEarnValues)))),IF(ISNUMBER(OFFSET($N$3,0,MATCH(AQ$5,PayDedList,0)-1,1,1)),OFFSET($N$3,0,MATCH(AQ$5,PayDedList,0)-1,1,1),IgnoreMin)))*IF(COUNTIFS(EmpNo,$C61,OFFSET(Emp!$R$4,1,MATCH(AQ$5,DedListItem,0)-1,EmpCount,1),"&lt;&gt;")&gt;0,VLOOKUP($C61,EmpAll,COLUMN(Emp!$R$4)+MATCH(AQ$5,DedListItem,0)-1,0),OFFSET(Setup!$E$73,MATCH(AQ$5,DedListItem,0),0,1,1))*AQ$3))),IF(ISNUMBER(AQ$4),AQ$4,IgnoreMin)))))</f>
        <v>0</v>
      </c>
      <c r="AR61" s="148">
        <f t="shared" ca="1" si="22"/>
        <v>108000</v>
      </c>
      <c r="AS61" s="148">
        <f t="shared" ca="1" si="11"/>
        <v>108000</v>
      </c>
      <c r="AT61" s="148" cm="1">
        <f t="array" aca="1" ref="AT61" ca="1">-IF($F61="Terminated",0,IF($AA61=0,0,IF(ISNA(MATCH(AT$5,PayDedList,0)),0,MIN(IF(COUNTIFS(OverEmp,$C61,OverDeduct,AT$5,OverDate,"&lt;"&amp;DATE(YEAR($AC61),MONTH($AC61)+1,1),OverEnd,"&gt;="&amp;DATE(YEAR($AC61),MONTH($AC61),1))&gt;0,SUMPRODUCT((PayEmp=$C61)*(PayDate&lt;=$AC61)*(OFFSET($N$6,1,MATCH(AT$5,PayDedList,0)-1,PayCount,1)))/$AA61*12*AT$3,IF(OR(AT$1="Fixed",AT$1="Not Used"),SUMPRODUCT((PayEmp=$C61)*(PayDate&lt;=$AC61)*(OFFSET($N$6,1,MATCH(AT$5,PayDedList,0)-1,PayCount,1)))/$AA61*12*AT$3,IF(ISNA(MATCH(OFFSET($N$2,0,MATCH(AT$5,PayDedList,0)-1,1,1),EarnListItem,0))=FALSE,SUMPRODUCT((PayEmp=$C61)*(PayDate&lt;=$AC61)*(OFFSET($N$6,1,MATCH(AT$5,PayDedList,0)-1,PayCount,1)))/$AA61*12*AT$3,(MIN(SUMPRODUCT((PayEmp=$C61)*(PayDate&lt;=$AC61)*(ISERROR(SEARCH(PayEarnCode,AT$2)))*(PayEarnType="Monthly")*(PayEarnValues))/$AA61*12,IF(ISNUMBER(OFFSET($N$3,0,MATCH(AT$5,PayDedList,0)-1,1,1)),OFFSET($N$3,0,MATCH(AT$5,PayDedList,0)-1,1,1),IgnoreMin)))*IF(COUNTIFS(EmpNo,$C61,OFFSET(Emp!$R$4,1,MATCH(AT$5,DedListItem,0)-1,EmpCount,1),"&lt;&gt;")&gt;0,VLOOKUP($C61,EmpAll,COLUMN(Emp!$R$4)+MATCH(AT$5,DedListItem,0)-1,0),OFFSET(Setup!$E$73,MATCH(AT$5,DedListItem,0),0,1,1))*AT$3))),IF(ISNUMBER(AT$4),AT$4,IgnoreMin)))))</f>
        <v>0</v>
      </c>
      <c r="AU61" s="148" cm="1">
        <f t="array" aca="1" ref="AU61" ca="1">-IF($F61="Terminated",0,IF($AA61=0,0,IF(ISNA(MATCH(AU$5,PayDedList,0)),0,MIN(IF(COUNTIFS(OverEmp,$C61,OverDeduct,AU$5,OverDate,"&lt;"&amp;DATE(YEAR($AC61),MONTH($AC61)+1,1),OverEnd,"&gt;="&amp;DATE(YEAR($AC61),MONTH($AC61),1))&gt;0,SUMPRODUCT((PayEmp=$C61)*(PayDate&lt;=$AC61)*(OFFSET($N$6,1,MATCH(AU$5,PayDedList,0)-1,PayCount,1)))/$AA61*12*AU$3,IF(OR(AU$1="Fixed",AU$1="Not Used"),SUMPRODUCT((PayEmp=$C61)*(PayDate&lt;=$AC61)*(OFFSET($N$6,1,MATCH(AU$5,PayDedList,0)-1,PayCount,1)))/$AA61*12*AU$3,IF(ISNA(MATCH(OFFSET($N$2,0,MATCH(AU$5,PayDedList,0)-1,1,1),EarnListItem,0))=FALSE,SUMPRODUCT((PayEmp=$C61)*(PayDate&lt;=$AC61)*(OFFSET($N$6,1,MATCH(AU$5,PayDedList,0)-1,PayCount,1)))/$AA61*12*AU$3,(MIN(SUMPRODUCT((PayEmp=$C61)*(PayDate&lt;=$AC61)*(ISERROR(SEARCH(PayEarnCode,AU$2)))*(PayEarnType="Monthly")*(PayEarnValues))/$AA61*12,IF(ISNUMBER(OFFSET($N$3,0,MATCH(AU$5,PayDedList,0)-1,1,1)),OFFSET($N$3,0,MATCH(AU$5,PayDedList,0)-1,1,1),IgnoreMin)))*IF(COUNTIFS(EmpNo,$C61,OFFSET(Emp!$R$4,1,MATCH(AU$5,DedListItem,0)-1,EmpCount,1),"&lt;&gt;")&gt;0,VLOOKUP($C61,EmpAll,COLUMN(Emp!$R$4)+MATCH(AU$5,DedListItem,0)-1,0),OFFSET(Setup!$E$73,MATCH(AU$5,DedListItem,0),0,1,1))*AU$3))),IF(ISNUMBER(AU$4),AU$4,IgnoreMin)))))</f>
        <v>0</v>
      </c>
      <c r="AV61" s="148" cm="1">
        <f t="array" aca="1" ref="AV61" ca="1">-IF($F61="Terminated",0,IF($AA61=0,0,IF(ISNA(MATCH(AV$5,PayDedList,0)),0,MIN(IF(COUNTIFS(OverEmp,$C61,OverDeduct,AV$5,OverDate,"&lt;"&amp;DATE(YEAR($AC61),MONTH($AC61)+1,1),OverEnd,"&gt;="&amp;DATE(YEAR($AC61),MONTH($AC61),1))&gt;0,SUMPRODUCT((PayEmp=$C61)*(PayDate&lt;=$AC61)*(OFFSET($N$6,1,MATCH(AV$5,PayDedList,0)-1,PayCount,1)))/$AA61*12*AV$3,IF(OR(AV$1="Fixed",AV$1="Not Used"),SUMPRODUCT((PayEmp=$C61)*(PayDate&lt;=$AC61)*(OFFSET($N$6,1,MATCH(AV$5,PayDedList,0)-1,PayCount,1)))/$AA61*12*AV$3,IF(ISNA(MATCH(OFFSET($N$2,0,MATCH(AV$5,PayDedList,0)-1,1,1),EarnListItem,0))=FALSE,SUMPRODUCT((PayEmp=$C61)*(PayDate&lt;=$AC61)*(OFFSET($N$6,1,MATCH(AV$5,PayDedList,0)-1,PayCount,1)))/$AA61*12*AV$3,(MIN(SUMPRODUCT((PayEmp=$C61)*(PayDate&lt;=$AC61)*(ISERROR(SEARCH(PayEarnCode,AV$2)))*(PayEarnType="Monthly")*(PayEarnValues))/$AA61*12,IF(ISNUMBER(OFFSET($N$3,0,MATCH(AV$5,PayDedList,0)-1,1,1)),OFFSET($N$3,0,MATCH(AV$5,PayDedList,0)-1,1,1),IgnoreMin)))*IF(COUNTIFS(EmpNo,$C61,OFFSET(Emp!$R$4,1,MATCH(AV$5,DedListItem,0)-1,EmpCount,1),"&lt;&gt;")&gt;0,VLOOKUP($C61,EmpAll,COLUMN(Emp!$R$4)+MATCH(AV$5,DedListItem,0)-1,0),OFFSET(Setup!$E$73,MATCH(AV$5,DedListItem,0),0,1,1))*AV$3))),IF(ISNUMBER(AV$4),AV$4,IgnoreMin)))))</f>
        <v>0</v>
      </c>
      <c r="AW61" s="148" cm="1">
        <f t="array" aca="1" ref="AW61" ca="1">-IF($F61="Terminated",0,IF($AA61=0,0,IF(ISNA(MATCH(AW$5,PayDedList,0)),0,MIN(IF(COUNTIFS(OverEmp,$C61,OverDeduct,AW$5,OverDate,"&lt;"&amp;DATE(YEAR($AC61),MONTH($AC61)+1,1),OverEnd,"&gt;="&amp;DATE(YEAR($AC61),MONTH($AC61),1))&gt;0,SUMPRODUCT((PayEmp=$C61)*(PayDate&lt;=$AC61)*(OFFSET($N$6,1,MATCH(AW$5,PayDedList,0)-1,PayCount,1)))/$AA61*12*AW$3,IF(OR(AW$1="Fixed",AW$1="Not Used"),SUMPRODUCT((PayEmp=$C61)*(PayDate&lt;=$AC61)*(OFFSET($N$6,1,MATCH(AW$5,PayDedList,0)-1,PayCount,1)))/$AA61*12*AW$3,IF(ISNA(MATCH(OFFSET($N$2,0,MATCH(AW$5,PayDedList,0)-1,1,1),EarnListItem,0))=FALSE,SUMPRODUCT((PayEmp=$C61)*(PayDate&lt;=$AC61)*(OFFSET($N$6,1,MATCH(AW$5,PayDedList,0)-1,PayCount,1)))/$AA61*12*AW$3,(MIN(SUMPRODUCT((PayEmp=$C61)*(PayDate&lt;=$AC61)*(ISERROR(SEARCH(PayEarnCode,AW$2)))*(PayEarnType="Monthly")*(PayEarnValues))/$AA61*12,IF(ISNUMBER(OFFSET($N$3,0,MATCH(AW$5,PayDedList,0)-1,1,1)),OFFSET($N$3,0,MATCH(AW$5,PayDedList,0)-1,1,1),IgnoreMin)))*IF(COUNTIFS(EmpNo,$C61,OFFSET(Emp!$R$4,1,MATCH(AW$5,DedListItem,0)-1,EmpCount,1),"&lt;&gt;")&gt;0,VLOOKUP($C61,EmpAll,COLUMN(Emp!$R$4)+MATCH(AW$5,DedListItem,0)-1,0),OFFSET(Setup!$E$73,MATCH(AW$5,DedListItem,0),0,1,1))*AW$3))),IF(ISNUMBER(AW$4),AW$4,IgnoreMin)))))</f>
        <v>0</v>
      </c>
      <c r="AX61" s="148">
        <f t="shared" ca="1" si="28"/>
        <v>108000</v>
      </c>
      <c r="AY61" s="148">
        <f t="shared" ca="1" si="29"/>
        <v>0</v>
      </c>
      <c r="AZ61" s="148">
        <f ca="1">IF(ISNUMBER($AL61),($AR61*$AL61)-$AI61-$AK61,MAX(0,IF($AL61="B",IF($AR61&lt;Setup!$C$32,($AR61*Setup!$D$32)-$AI61-$AK61,(($AR61-VLOOKUP($AR61,TaxAll2,1,1))*OFFSET(Setup!$D$32,MATCH($AR61,TaxBracket2,1),0,1,1))+OFFSET(Setup!$E$31,MATCH($AR61,TaxBracket2,1),0,1,1)-$AI61-$AK61),IF($AR61&lt;Setup!$C$21,($AR61*Setup!$D$21)-$AI61-$AK61,(($AR61-VLOOKUP($AR61,TaxAll1,1,1))*OFFSET(Setup!$D$21,MATCH($AR61,TaxBracket1,1),0,1,1))+OFFSET(Setup!$E$20,MATCH($AR61,TaxBracket1,1),0,1,1)-$AI61-$AK61))))</f>
        <v>2205</v>
      </c>
      <c r="BA61" s="148">
        <f ca="1">IF(ISNUMBER($AL61),($AX61*$AL61)-$AI61-$AK61,MAX(0,IF($AL61="B",IF($AX61&lt;Setup!$C$32,($AX61*Setup!$D$32)-$AI61-$AK61,(($AX61-VLOOKUP($AX61,TaxAll2,1,1))*OFFSET(Setup!$D$32,MATCH($AX61,TaxBracket2,1),0,1,1))+OFFSET(Setup!$E$31,MATCH($AX61,TaxBracket2,1),0,1,1)-$AI61-$AK61),IF($AX61&lt;Setup!$C$21,($AX61*Setup!$D$21)-$AI61-$AK61,(($AX61-VLOOKUP($AX61,TaxAll1,1,1))*OFFSET(Setup!$D$21,MATCH($AX61,TaxBracket1,1),0,1,1))+OFFSET(Setup!$E$20,MATCH($AX61,TaxBracket1,1),0,1,1)-$AI61-$AK61))))</f>
        <v>2205</v>
      </c>
      <c r="BB61" s="148">
        <f t="shared" ca="1" si="23"/>
        <v>0</v>
      </c>
      <c r="BC61" s="150">
        <f t="shared" ca="1" si="15"/>
        <v>1</v>
      </c>
      <c r="BD61" s="150">
        <f t="shared" ca="1" si="16"/>
        <v>0</v>
      </c>
      <c r="BE61" s="148">
        <f t="shared" ca="1" si="17"/>
        <v>108000</v>
      </c>
    </row>
    <row r="62" spans="1:57" ht="16.149999999999999" customHeight="1" x14ac:dyDescent="0.25">
      <c r="A62" s="10" t="str" cm="1">
        <f t="array" aca="1" ref="A62" ca="1">IF(ROW($A62)-ROW($A$6)&gt;EmpCount*12,"-",TEXT($B62,"yyyy")&amp;TEXT($B62,"mm")&amp;"-"&amp;$C62)</f>
        <v>202306-EXS011</v>
      </c>
      <c r="B62" s="137" cm="1">
        <f t="array" aca="1" ref="B62" ca="1">IF(ROW($A62)-ROW($A$6)&gt;EmpCount*12,Setup!$D$12,DATE(YEAR(Setup!$F$12),MONTH(Setup!$F$12)+ROUNDDOWN((ROW($A62)-ROW($A$6)-1)/EmpCount,0),IF(Setup!$C$14&gt;DAY(DATE(YEAR(Setup!$F$12),MONTH(Setup!$F$12)+ROUNDDOWN((ROW($A62)-ROW($A$6)-1)/EmpCount,0)+1,0)),DAY(DATE(YEAR(Setup!$F$12),MONTH(Setup!$F$12)+ROUNDDOWN((ROW($A62)-ROW($A$6)-1)/EmpCount,0)+1,0)),Setup!$C$14)))</f>
        <v>45102</v>
      </c>
      <c r="C62" s="101" t="str" cm="1">
        <f t="array" aca="1" ref="C62" ca="1">IF(ROW($A62)-ROW($A$6)&gt;EmpCount*12,"-",OFFSET(Emp!$A$4,ROW($A62)-ROW($A$6)-IF(ROW($A62)-ROW($A$6)&gt;EmpCount,ROUNDDOWN((ROW($A62)-ROW($A$6)-1)/EmpCount,0)*EmpCount,0),0,1,1))</f>
        <v>EXS011</v>
      </c>
      <c r="D62" s="10" t="str">
        <f ca="1">IF(ISNA(VLOOKUP($C62,EmpAll,COLUMN(Emp!$B$4),0)),"-",VLOOKUP($C62,EmpAll,COLUMN(Emp!$B$4),0))</f>
        <v>Newport GD</v>
      </c>
      <c r="E62" s="145" t="str">
        <f ca="1">IF(ISNA(VLOOKUP($C62,EmpAll,COLUMN(Emp!$C$4),0)),"-",VLOOKUP($C62,EmpAll,COLUMN(Emp!$C$4),0))</f>
        <v>A</v>
      </c>
      <c r="F62" s="101" t="str">
        <f ca="1">IF(ISNA(VLOOKUP($C62,EmpAll,COLUMN(Emp!$A$4),0)),"-",IF(AND(VLOOKUP($C62,EmpAll,COLUMN(Emp!$E$4),0)&lt;&gt;0,VLOOKUP($C62,EmpAll,COLUMN(Emp!$E$4),0)&gt;=DATE(YEAR($AC62),MONTH($AC62)+1,0)),"Inactive",IF(AND(VLOOKUP($C62,EmpAll,COLUMN(Emp!$F$4),0)&lt;&gt;0,VLOOKUP($C62,EmpAll,COLUMN(Emp!$F$4),0)&lt;=DATE(YEAR($AC62),MONTH($AC62),0)),"Terminated","Active")))</f>
        <v>Active</v>
      </c>
      <c r="G62" s="133" cm="1">
        <f t="array" aca="1" ref="G62" ca="1">IF($F62&lt;&gt;"Active",0,IF(COUNTIFS(OverEmp,$C62,OverEarn,G$2,OverDate,"&lt;"&amp;DATE(YEAR($AC62),MONTH($AC62)+1,1),OverEnd,"&gt;="&amp;DATE(YEAR($AC62),MONTH($AC62),1))&gt;0,SUMIFS(OverValue,OverEmp,$C62,OverEarn,G$2,OverDate,"&lt;"&amp;DATE(YEAR($AC62),MONTH($AC62)+1,1),OverEnd,"&gt;="&amp;DATE(YEAR($AC62),MONTH($AC62),1)),IF(AND($AC62&gt;=Setup!$E$10,SUMIFS(EmpIncrease,EmpCode,$C62)&gt;0),SUMIFS(EmpIncrease,EmpCode,$C62),SUMIFS(EmpSalary,EmpCode,$C62))))</f>
        <v>5000</v>
      </c>
      <c r="H62" s="133" cm="1">
        <f t="array" aca="1" ref="H62" ca="1">IF($F62&lt;&gt;"Active",0,IF(COUNTIFS(OverEmp,$C62,OverEarn,H$2,OverDate,"&lt;"&amp;DATE(YEAR($AC62),MONTH($AC62)+1,1),OverEnd,"&gt;="&amp;DATE(YEAR($AC62),MONTH($AC62),1))&gt;0,SUMIFS(OverValue,OverEmp,$C62,OverEarn,H$2,OverDate,"&lt;"&amp;DATE(YEAR($AC62),MONTH($AC62)+1,1),OverEnd,"&gt;="&amp;DATE(YEAR($AC62),MONTH($AC62),1)),0))</f>
        <v>0</v>
      </c>
      <c r="I62" s="133" cm="1">
        <f t="array" aca="1" ref="I62" ca="1">IF($F62&lt;&gt;"Active",0,IF(COUNTIFS(OverEmp,$C62,OverEarn,I$2,OverDate,"&lt;"&amp;DATE(YEAR($AC62),MONTH($AC62)+1,1),OverEnd,"&gt;="&amp;DATE(YEAR($AC62),MONTH($AC62),1))&gt;0,SUMIFS(OverValue,OverEmp,$C62,OverEarn,I$2,OverDate,"&lt;"&amp;DATE(YEAR($AC62),MONTH($AC62)+1,1),OverEnd,"&gt;="&amp;DATE(YEAR($AC62),MONTH($AC62),1)),IF(MONTH(B62)=Setup!$C$15,SUMIFS(EmpBonus,EmpCode,$C62),0)))</f>
        <v>0</v>
      </c>
      <c r="J62" s="133" cm="1">
        <f t="array" aca="1" ref="J62" ca="1">IF($F62&lt;&gt;"Active",0,IF(COUNTIFS(OverEmp,$C62,OverEarn,J$2,OverDate,"&lt;"&amp;DATE(YEAR($AC62),MONTH($AC62)+1,1),OverEnd,"&gt;="&amp;DATE(YEAR($AC62),MONTH($AC62),1))&gt;0,SUMIFS(OverValue,OverEmp,$C62,OverEarn,J$2,OverDate,"&lt;"&amp;DATE(YEAR($AC62),MONTH($AC62)+1,1),OverEnd,"&gt;="&amp;DATE(YEAR($AC62),MONTH($AC62),1)),0))</f>
        <v>0</v>
      </c>
      <c r="K62" s="133" cm="1">
        <f t="array" aca="1" ref="K62" ca="1">IF($F62&lt;&gt;"Active",0,IF(COUNTIFS(OverEmp,$C62,OverEarn,K$2,OverDate,"&lt;"&amp;DATE(YEAR($AC62),MONTH($AC62)+1,1),OverEnd,"&gt;="&amp;DATE(YEAR($AC62),MONTH($AC62),1))&gt;0,SUMIFS(OverValue,OverEmp,$C62,OverEarn,K$2,OverDate,"&lt;"&amp;DATE(YEAR($AC62),MONTH($AC62)+1,1),OverEnd,"&gt;="&amp;DATE(YEAR($AC62),MONTH($AC62),1)),0))</f>
        <v>0</v>
      </c>
      <c r="L62" s="185">
        <f t="shared" ca="1" si="24"/>
        <v>5000</v>
      </c>
      <c r="M62" s="182" cm="1">
        <f t="array" aca="1" ref="M62" ca="1">IF(COUNTIFS(OverEmp,$C62,OverTax,M$5,OverDate,"&lt;"&amp;DATE(YEAR($AC62),MONTH($AC62)+1,1),OverEnd,"&gt;="&amp;DATE(YEAR($AC62),MONTH($AC62),1))&gt;0,SUMIFS(OverValue,OverEmp,$C62,OverTax,M$5,OverDate,"&lt;"&amp;DATE(YEAR($AC62),MONTH($AC62)+1,1),OverEnd,"&gt;="&amp;DATE(YEAR($AC62),MONTH($AC62),1)),(($BA62/12*$AA62)+(BB62*IF(1-$BC62=0,0,BD62/(1-$BC62))))-IF($F62="Terminated",0,SUMIFS(PayTaxDeduct,PayDate,"&lt;"&amp;$AC62,PayEmp,$C62)))</f>
        <v>0</v>
      </c>
      <c r="N62" s="133" cm="1">
        <f t="array" aca="1" ref="N62" ca="1">IF($F62="Terminated",0,IF($AA62=0,0,IF(ISNA(MATCH(N$5,DedListItem,0)),0,IF(COUNTIFS(OverEmp,$C62,OverDeduct,N$5,OverDate,"&lt;"&amp;DATE(YEAR($AC62),MONTH($AC62)+1,1),OverEnd,"&gt;="&amp;DATE(YEAR($AC62),MONTH($AC62),1))&gt;0,SUMIFS(OverValue,OverEmp,$C62,OverDeduct,N$5,OverDate,"&lt;"&amp;DATE(YEAR($AC62),MONTH($AC62)+1,1),OverEnd,"&gt;="&amp;DATE(YEAR($AC62),MONTH($AC62),1)),IF(OR(N$2="Fixed",N$2="Not Used"),(IF(COUNTIFS(EmpNo,$C62,OFFSET(Emp!$R$4,1,MATCH(N$5,DedListItem,0)-1,EmpCount,1),"&lt;&gt;")&gt;0,VLOOKUP($C62,EmpAll,COLUMN(Emp!$R$4)+MATCH(N$5,DedListItem,0)-1,0),OFFSET(Setup!$E$73,MATCH(N$5,DedListItem,0),0,1,1))*$AA62)-SUMIFS(OFFSET(N$6,1,0,PayCount,1),PayDate,"&lt;"&amp;$AC62,PayEmp,$C62),IF(ISNA(MATCH(N$2,EarnListItem,0))=FALSE,IF(OFFSET(Setup!$G$73,MATCH(N$5,DedListItem,0),0,1,1)="Taxable",SUMPRODUCT((PayEmp=$C62)*(PayDate&lt;=$AC62)*(PayEarnCode=N$2)*(PayEarnTax)*(PayEarnValues)),SUMPRODUCT((PayEmp=$C62)*(PayDate&lt;=$AC62)*(PayEarnCode=N$2)*(PayEarnValues)))*IF(COUNTIFS(EmpNo,$C62,OFFSET(Emp!$R$4,1,MATCH(N$5,DedListItem,0)-1,EmpCount,1),"&lt;&gt;")&gt;0,VLOOKUP($C62,EmpAll,COLUMN(Emp!$R$4)+MATCH(N$5,DedListItem,0)-1,0),OFFSET(Setup!$E$73,MATCH(N$5,DedListItem,0),0,1,1)),(MIN(IF(OFFSET(Setup!$G$73,MATCH(N$5,DedListItem,0),0,1,1)="Taxable",SUMPRODUCT((PayEmp=$C62)*(PayDate&lt;=$AC62)*(ISERROR(SEARCH(PayEarnCode,N$4)))*(PayEarnTax)*(PayEarnValues)),SUMPRODUCT((PayEmp=$C62)*(PayDate&lt;=$AC62)*(ISERROR(SEARCH(PayEarnCode,N$4)))*(PayEarnValues))),IF(ISNUMBER(N$3),N$3/12*$AA62,IgnoreMin)))*IF(COUNTIFS(EmpNo,$C62,OFFSET(Emp!$R$4,1,MATCH(N$5,DedListItem,0)-1,EmpCount,1),"&lt;&gt;")&gt;0,VLOOKUP($C62,EmpAll,COLUMN(Emp!$R$4)+MATCH(N$5,DedListItem,0)-1,0),OFFSET(Setup!$E$73,MATCH(N$5,DedListItem,0),0,1,1)))-SUMIFS(OFFSET(N$6,1,0,PayCount,1),PayDate,"&lt;"&amp;$AC62,PayEmp,$C62))))))</f>
        <v>50</v>
      </c>
      <c r="O62" s="133" cm="1">
        <f t="array" aca="1" ref="O62" ca="1">IF($F62="Terminated",0,IF($AA62=0,0,IF(ISNA(MATCH(O$5,DedListItem,0)),0,IF(COUNTIFS(OverEmp,$C62,OverDeduct,O$5,OverDate,"&lt;"&amp;DATE(YEAR($AC62),MONTH($AC62)+1,1),OverEnd,"&gt;="&amp;DATE(YEAR($AC62),MONTH($AC62),1))&gt;0,SUMIFS(OverValue,OverEmp,$C62,OverDeduct,O$5,OverDate,"&lt;"&amp;DATE(YEAR($AC62),MONTH($AC62)+1,1),OverEnd,"&gt;="&amp;DATE(YEAR($AC62),MONTH($AC62),1)),IF(OR(O$2="Fixed",O$2="Not Used"),(IF(COUNTIFS(EmpNo,$C62,OFFSET(Emp!$R$4,1,MATCH(O$5,DedListItem,0)-1,EmpCount,1),"&lt;&gt;")&gt;0,VLOOKUP($C62,EmpAll,COLUMN(Emp!$R$4)+MATCH(O$5,DedListItem,0)-1,0),OFFSET(Setup!$E$73,MATCH(O$5,DedListItem,0),0,1,1))*$AA62)-SUMIFS(OFFSET(O$6,1,0,PayCount,1),PayDate,"&lt;"&amp;$AC62,PayEmp,$C62),IF(ISNA(MATCH(O$2,EarnListItem,0))=FALSE,IF(OFFSET(Setup!$G$73,MATCH(O$5,DedListItem,0),0,1,1)="Taxable",SUMPRODUCT((PayEmp=$C62)*(PayDate&lt;=$AC62)*(PayEarnCode=O$2)*(PayEarnTax)*(PayEarnValues)),SUMPRODUCT((PayEmp=$C62)*(PayDate&lt;=$AC62)*(PayEarnCode=O$2)*(PayEarnValues)))*IF(COUNTIFS(EmpNo,$C62,OFFSET(Emp!$R$4,1,MATCH(O$5,DedListItem,0)-1,EmpCount,1),"&lt;&gt;")&gt;0,VLOOKUP($C62,EmpAll,COLUMN(Emp!$R$4)+MATCH(O$5,DedListItem,0)-1,0),OFFSET(Setup!$E$73,MATCH(O$5,DedListItem,0),0,1,1)),(MIN(IF(OFFSET(Setup!$G$73,MATCH(O$5,DedListItem,0),0,1,1)="Taxable",SUMPRODUCT((PayEmp=$C62)*(PayDate&lt;=$AC62)*(ISERROR(SEARCH(PayEarnCode,O$4)))*(PayEarnTax)*(PayEarnValues)),SUMPRODUCT((PayEmp=$C62)*(PayDate&lt;=$AC62)*(ISERROR(SEARCH(PayEarnCode,O$4)))*(PayEarnValues))),IF(ISNUMBER(O$3),O$3/12*$AA62,IgnoreMin)))*IF(COUNTIFS(EmpNo,$C62,OFFSET(Emp!$R$4,1,MATCH(O$5,DedListItem,0)-1,EmpCount,1),"&lt;&gt;")&gt;0,VLOOKUP($C62,EmpAll,COLUMN(Emp!$R$4)+MATCH(O$5,DedListItem,0)-1,0),OFFSET(Setup!$E$73,MATCH(O$5,DedListItem,0),0,1,1)))-SUMIFS(OFFSET(O$6,1,0,PayCount,1),PayDate,"&lt;"&amp;$AC62,PayEmp,$C62))))))</f>
        <v>0</v>
      </c>
      <c r="P62" s="133" cm="1">
        <f t="array" aca="1" ref="P62" ca="1">IF($F62="Terminated",0,IF($AA62=0,0,IF(ISNA(MATCH(P$5,DedListItem,0)),0,IF(COUNTIFS(OverEmp,$C62,OverDeduct,P$5,OverDate,"&lt;"&amp;DATE(YEAR($AC62),MONTH($AC62)+1,1),OverEnd,"&gt;="&amp;DATE(YEAR($AC62),MONTH($AC62),1))&gt;0,SUMIFS(OverValue,OverEmp,$C62,OverDeduct,P$5,OverDate,"&lt;"&amp;DATE(YEAR($AC62),MONTH($AC62)+1,1),OverEnd,"&gt;="&amp;DATE(YEAR($AC62),MONTH($AC62),1)),IF(OR(P$2="Fixed",P$2="Not Used"),(IF(COUNTIFS(EmpNo,$C62,OFFSET(Emp!$R$4,1,MATCH(P$5,DedListItem,0)-1,EmpCount,1),"&lt;&gt;")&gt;0,VLOOKUP($C62,EmpAll,COLUMN(Emp!$R$4)+MATCH(P$5,DedListItem,0)-1,0),OFFSET(Setup!$E$73,MATCH(P$5,DedListItem,0),0,1,1))*$AA62)-SUMIFS(OFFSET(P$6,1,0,PayCount,1),PayDate,"&lt;"&amp;$AC62,PayEmp,$C62),IF(ISNA(MATCH(P$2,EarnListItem,0))=FALSE,IF(OFFSET(Setup!$G$73,MATCH(P$5,DedListItem,0),0,1,1)="Taxable",SUMPRODUCT((PayEmp=$C62)*(PayDate&lt;=$AC62)*(PayEarnCode=P$2)*(PayEarnTax)*(PayEarnValues)),SUMPRODUCT((PayEmp=$C62)*(PayDate&lt;=$AC62)*(PayEarnCode=P$2)*(PayEarnValues)))*IF(COUNTIFS(EmpNo,$C62,OFFSET(Emp!$R$4,1,MATCH(P$5,DedListItem,0)-1,EmpCount,1),"&lt;&gt;")&gt;0,VLOOKUP($C62,EmpAll,COLUMN(Emp!$R$4)+MATCH(P$5,DedListItem,0)-1,0),OFFSET(Setup!$E$73,MATCH(P$5,DedListItem,0),0,1,1)),(MIN(IF(OFFSET(Setup!$G$73,MATCH(P$5,DedListItem,0),0,1,1)="Taxable",SUMPRODUCT((PayEmp=$C62)*(PayDate&lt;=$AC62)*(ISERROR(SEARCH(PayEarnCode,P$4)))*(PayEarnTax)*(PayEarnValues)),SUMPRODUCT((PayEmp=$C62)*(PayDate&lt;=$AC62)*(ISERROR(SEARCH(PayEarnCode,P$4)))*(PayEarnValues))),IF(ISNUMBER(P$3),P$3/12*$AA62,IgnoreMin)))*IF(COUNTIFS(EmpNo,$C62,OFFSET(Emp!$R$4,1,MATCH(P$5,DedListItem,0)-1,EmpCount,1),"&lt;&gt;")&gt;0,VLOOKUP($C62,EmpAll,COLUMN(Emp!$R$4)+MATCH(P$5,DedListItem,0)-1,0),OFFSET(Setup!$E$73,MATCH(P$5,DedListItem,0),0,1,1)))-SUMIFS(OFFSET(P$6,1,0,PayCount,1),PayDate,"&lt;"&amp;$AC62,PayEmp,$C62))))))</f>
        <v>0</v>
      </c>
      <c r="Q62" s="133" cm="1">
        <f t="array" aca="1" ref="Q62" ca="1">IF($F62="Terminated",0,IF($AA62=0,0,IF(ISNA(MATCH(Q$5,DedListItem,0)),0,IF(COUNTIFS(OverEmp,$C62,OverDeduct,Q$5,OverDate,"&lt;"&amp;DATE(YEAR($AC62),MONTH($AC62)+1,1),OverEnd,"&gt;="&amp;DATE(YEAR($AC62),MONTH($AC62),1))&gt;0,SUMIFS(OverValue,OverEmp,$C62,OverDeduct,Q$5,OverDate,"&lt;"&amp;DATE(YEAR($AC62),MONTH($AC62)+1,1),OverEnd,"&gt;="&amp;DATE(YEAR($AC62),MONTH($AC62),1)),IF(OR(Q$2="Fixed",Q$2="Not Used"),(IF(COUNTIFS(EmpNo,$C62,OFFSET(Emp!$R$4,1,MATCH(Q$5,DedListItem,0)-1,EmpCount,1),"&lt;&gt;")&gt;0,VLOOKUP($C62,EmpAll,COLUMN(Emp!$R$4)+MATCH(Q$5,DedListItem,0)-1,0),OFFSET(Setup!$E$73,MATCH(Q$5,DedListItem,0),0,1,1))*$AA62)-SUMIFS(OFFSET(Q$6,1,0,PayCount,1),PayDate,"&lt;"&amp;$AC62,PayEmp,$C62),IF(ISNA(MATCH(Q$2,EarnListItem,0))=FALSE,IF(OFFSET(Setup!$G$73,MATCH(Q$5,DedListItem,0),0,1,1)="Taxable",SUMPRODUCT((PayEmp=$C62)*(PayDate&lt;=$AC62)*(PayEarnCode=Q$2)*(PayEarnTax)*(PayEarnValues)),SUMPRODUCT((PayEmp=$C62)*(PayDate&lt;=$AC62)*(PayEarnCode=Q$2)*(PayEarnValues)))*IF(COUNTIFS(EmpNo,$C62,OFFSET(Emp!$R$4,1,MATCH(Q$5,DedListItem,0)-1,EmpCount,1),"&lt;&gt;")&gt;0,VLOOKUP($C62,EmpAll,COLUMN(Emp!$R$4)+MATCH(Q$5,DedListItem,0)-1,0),OFFSET(Setup!$E$73,MATCH(Q$5,DedListItem,0),0,1,1)),(MIN(IF(OFFSET(Setup!$G$73,MATCH(Q$5,DedListItem,0),0,1,1)="Taxable",SUMPRODUCT((PayEmp=$C62)*(PayDate&lt;=$AC62)*(ISERROR(SEARCH(PayEarnCode,Q$4)))*(PayEarnTax)*(PayEarnValues)),SUMPRODUCT((PayEmp=$C62)*(PayDate&lt;=$AC62)*(ISERROR(SEARCH(PayEarnCode,Q$4)))*(PayEarnValues))),IF(ISNUMBER(Q$3),Q$3/12*$AA62,IgnoreMin)))*IF(COUNTIFS(EmpNo,$C62,OFFSET(Emp!$R$4,1,MATCH(Q$5,DedListItem,0)-1,EmpCount,1),"&lt;&gt;")&gt;0,VLOOKUP($C62,EmpAll,COLUMN(Emp!$R$4)+MATCH(Q$5,DedListItem,0)-1,0),OFFSET(Setup!$E$73,MATCH(Q$5,DedListItem,0),0,1,1)))-SUMIFS(OFFSET(Q$6,1,0,PayCount,1),PayDate,"&lt;"&amp;$AC62,PayEmp,$C62))))))</f>
        <v>0</v>
      </c>
      <c r="R62" s="185">
        <f t="shared" ca="1" si="25"/>
        <v>50</v>
      </c>
      <c r="S62" s="139">
        <f t="shared" ca="1" si="26"/>
        <v>4950</v>
      </c>
      <c r="T62" s="133" cm="1">
        <f t="array" aca="1" ref="T62" ca="1">IF($F62="Terminated",0,IF($AA62=0,0,IF(ISNA(MATCH(T$5,CompListItem,0)),0,IF(COUNTIFS(OverEmp,$C62,OverComp,T$5,OverDate,"&lt;"&amp;DATE(YEAR($AC62),MONTH($AC62)+1,1),OverEnd,"&gt;="&amp;DATE(YEAR($AC62),MONTH($AC62),1))&gt;0,SUMIFS(OverValue,OverEmp,$C62,OverComp,T$5,OverDate,"&lt;"&amp;DATE(YEAR($AC62),MONTH($AC62)+1,1),OverEnd,"&gt;="&amp;DATE(YEAR($AC62),MONTH($AC62),1)),IF(OR(T$2="Fixed",T$2="Not Used"),(OFFSET(Setup!$E$81,MATCH(T$5,CompListItem,0),0,1,1)*$AA62)-SUMIFS(OFFSET(T$6,1,0,PayCount,1),PayDate,"&lt;"&amp;$AC62,PayEmp,$C62),IF(ISNA(MATCH(T$2,DedListItem,0))=FALSE,(SUMPRODUCT((PayEmp=$C62)*(PayDate&lt;=$AC62)*(PayDedList=T$2)*(PayDedValues))*OFFSET(Setup!$E$81,MATCH(T$5,CompListItem,0),0,1,1))-SUMIFS(OFFSET(T$6,1,0,PayCount,1),PayDate,"&lt;"&amp;$AC62,PayEmp,$C62),(MIN(IF(OFFSET(Setup!$G$81,MATCH(T$5,CompListItem,0),0,1,1)="Taxable",SUMPRODUCT((PayEmp=$C62)*(PayDate&lt;=$AC62)*(ISERROR(SEARCH(PayEarnCode,T$4)))*(PayEarnTax)*(PayEarnValues)),SUMPRODUCT((PayEmp=$C62)*(PayDate&lt;=$AC62)*(ISERROR(SEARCH(PayEarnCode,T$4)))*(PayEarnValues))),IF(ISNUMBER(T$3),T$3/12*$AA62,IgnoreMin)))*OFFSET(Setup!$E$81,MATCH(T$5,CompListItem,0),0,1,1)-SUMIFS(OFFSET(T$6,1,0,PayCount,1),PayDate,"&lt;"&amp;$AC62,PayEmp,$C62)))))))</f>
        <v>50</v>
      </c>
      <c r="U62" s="133" cm="1">
        <f t="array" aca="1" ref="U62" ca="1">IF($F62="Terminated",0,IF($AA62=0,0,IF(ISNA(MATCH(U$5,CompListItem,0)),0,IF(COUNTIFS(OverEmp,$C62,OverComp,U$5,OverDate,"&lt;"&amp;DATE(YEAR($AC62),MONTH($AC62)+1,1),OverEnd,"&gt;="&amp;DATE(YEAR($AC62),MONTH($AC62),1))&gt;0,SUMIFS(OverValue,OverEmp,$C62,OverComp,U$5,OverDate,"&lt;"&amp;DATE(YEAR($AC62),MONTH($AC62)+1,1),OverEnd,"&gt;="&amp;DATE(YEAR($AC62),MONTH($AC62),1)),IF(OR(U$2="Fixed",U$2="Not Used"),(OFFSET(Setup!$E$81,MATCH(U$5,CompListItem,0),0,1,1)*$AA62)-SUMIFS(OFFSET(U$6,1,0,PayCount,1),PayDate,"&lt;"&amp;$AC62,PayEmp,$C62),IF(ISNA(MATCH(U$2,DedListItem,0))=FALSE,(SUMPRODUCT((PayEmp=$C62)*(PayDate&lt;=$AC62)*(PayDedList=U$2)*(PayDedValues))*OFFSET(Setup!$E$81,MATCH(U$5,CompListItem,0),0,1,1))-SUMIFS(OFFSET(U$6,1,0,PayCount,1),PayDate,"&lt;"&amp;$AC62,PayEmp,$C62),(MIN(IF(OFFSET(Setup!$G$81,MATCH(U$5,CompListItem,0),0,1,1)="Taxable",SUMPRODUCT((PayEmp=$C62)*(PayDate&lt;=$AC62)*(ISERROR(SEARCH(PayEarnCode,U$4)))*(PayEarnTax)*(PayEarnValues)),SUMPRODUCT((PayEmp=$C62)*(PayDate&lt;=$AC62)*(ISERROR(SEARCH(PayEarnCode,U$4)))*(PayEarnValues))),IF(ISNUMBER(U$3),U$3/12*$AA62,IgnoreMin)))*OFFSET(Setup!$E$81,MATCH(U$5,CompListItem,0),0,1,1)-SUMIFS(OFFSET(U$6,1,0,PayCount,1),PayDate,"&lt;"&amp;$AC62,PayEmp,$C62)))))))</f>
        <v>50</v>
      </c>
      <c r="V62" s="133" cm="1">
        <f t="array" aca="1" ref="V62" ca="1">IF($F62="Terminated",0,IF($AA62=0,0,IF(ISNA(MATCH(V$5,CompListItem,0)),0,IF(COUNTIFS(OverEmp,$C62,OverComp,V$5,OverDate,"&lt;"&amp;DATE(YEAR($AC62),MONTH($AC62)+1,1),OverEnd,"&gt;="&amp;DATE(YEAR($AC62),MONTH($AC62),1))&gt;0,SUMIFS(OverValue,OverEmp,$C62,OverComp,V$5,OverDate,"&lt;"&amp;DATE(YEAR($AC62),MONTH($AC62)+1,1),OverEnd,"&gt;="&amp;DATE(YEAR($AC62),MONTH($AC62),1)),IF(OR(V$2="Fixed",V$2="Not Used"),(OFFSET(Setup!$E$81,MATCH(V$5,CompListItem,0),0,1,1)*$AA62)-SUMIFS(OFFSET(V$6,1,0,PayCount,1),PayDate,"&lt;"&amp;$AC62,PayEmp,$C62),IF(ISNA(MATCH(V$2,DedListItem,0))=FALSE,(SUMPRODUCT((PayEmp=$C62)*(PayDate&lt;=$AC62)*(PayDedList=V$2)*(PayDedValues))*OFFSET(Setup!$E$81,MATCH(V$5,CompListItem,0),0,1,1))-SUMIFS(OFFSET(V$6,1,0,PayCount,1),PayDate,"&lt;"&amp;$AC62,PayEmp,$C62),(MIN(IF(OFFSET(Setup!$G$81,MATCH(V$5,CompListItem,0),0,1,1)="Taxable",SUMPRODUCT((PayEmp=$C62)*(PayDate&lt;=$AC62)*(ISERROR(SEARCH(PayEarnCode,V$4)))*(PayEarnTax)*(PayEarnValues)),SUMPRODUCT((PayEmp=$C62)*(PayDate&lt;=$AC62)*(ISERROR(SEARCH(PayEarnCode,V$4)))*(PayEarnValues))),IF(ISNUMBER(V$3),V$3/12*$AA62,IgnoreMin)))*OFFSET(Setup!$E$81,MATCH(V$5,CompListItem,0),0,1,1)-SUMIFS(OFFSET(V$6,1,0,PayCount,1),PayDate,"&lt;"&amp;$AC62,PayEmp,$C62)))))))</f>
        <v>0</v>
      </c>
      <c r="W62" s="133" cm="1">
        <f t="array" aca="1" ref="W62" ca="1">IF($F62="Terminated",0,IF($AA62=0,0,IF(ISNA(MATCH(W$5,CompListItem,0)),0,IF(COUNTIFS(OverEmp,$C62,OverComp,W$5,OverDate,"&lt;"&amp;DATE(YEAR($AC62),MONTH($AC62)+1,1),OverEnd,"&gt;="&amp;DATE(YEAR($AC62),MONTH($AC62),1))&gt;0,SUMIFS(OverValue,OverEmp,$C62,OverComp,W$5,OverDate,"&lt;"&amp;DATE(YEAR($AC62),MONTH($AC62)+1,1),OverEnd,"&gt;="&amp;DATE(YEAR($AC62),MONTH($AC62),1)),IF(OR(W$2="Fixed",W$2="Not Used"),(OFFSET(Setup!$E$81,MATCH(W$5,CompListItem,0),0,1,1)*$AA62)-SUMIFS(OFFSET(W$6,1,0,PayCount,1),PayDate,"&lt;"&amp;$AC62,PayEmp,$C62),IF(ISNA(MATCH(W$2,DedListItem,0))=FALSE,(SUMPRODUCT((PayEmp=$C62)*(PayDate&lt;=$AC62)*(PayDedList=W$2)*(PayDedValues))*OFFSET(Setup!$E$81,MATCH(W$5,CompListItem,0),0,1,1))-SUMIFS(OFFSET(W$6,1,0,PayCount,1),PayDate,"&lt;"&amp;$AC62,PayEmp,$C62),(MIN(IF(OFFSET(Setup!$G$81,MATCH(W$5,CompListItem,0),0,1,1)="Taxable",SUMPRODUCT((PayEmp=$C62)*(PayDate&lt;=$AC62)*(ISERROR(SEARCH(PayEarnCode,W$4)))*(PayEarnTax)*(PayEarnValues)),SUMPRODUCT((PayEmp=$C62)*(PayDate&lt;=$AC62)*(ISERROR(SEARCH(PayEarnCode,W$4)))*(PayEarnValues))),IF(ISNUMBER(W$3),W$3/12*$AA62,IgnoreMin)))*OFFSET(Setup!$E$81,MATCH(W$5,CompListItem,0),0,1,1)-SUMIFS(OFFSET(W$6,1,0,PayCount,1),PayDate,"&lt;"&amp;$AC62,PayEmp,$C62)))))))</f>
        <v>0</v>
      </c>
      <c r="X62" s="185">
        <f t="shared" ca="1" si="18"/>
        <v>100</v>
      </c>
      <c r="Y62" s="139">
        <f t="shared" ca="1" si="27"/>
        <v>5100</v>
      </c>
      <c r="Z62" s="139">
        <f t="shared" ca="1" si="19"/>
        <v>150</v>
      </c>
      <c r="AA62" s="146">
        <f ca="1">IF(OR($B62&lt;=Setup!$E$12,$B62&gt;=Setup!$D$12+1),0,IF($F62&lt;&gt;"Active",0,IF($AE62="Yes",$AB62,((YEAR($AC62)*12)+MONTH($AC62))-((YEAR($AD62)*12)+MONTH($AD62)-1))))</f>
        <v>4</v>
      </c>
      <c r="AB62" s="146">
        <f ca="1">IF(OR($B62&lt;=Setup!$E$12,$B62&gt;=Setup!$D$12+1),0,((YEAR($AC62)*12)+MONTH($AC62))-((YEAR(Setup!$E$12)*12)+MONTH(Setup!$E$12)))</f>
        <v>4</v>
      </c>
      <c r="AC62" s="186">
        <f t="shared" ca="1" si="20"/>
        <v>45102</v>
      </c>
      <c r="AD62" s="144">
        <f ca="1">IF(ISNA(VLOOKUP($C62,EmpAll,COLUMN(Emp!$E$4),0)),$AC62,IF(VLOOKUP($C62,EmpAll,COLUMN(Emp!$E$4),0)&lt;=Setup!$E$12,DATE(YEAR(Setup!$E$12),MONTH(Setup!$E$12)+1,1),VLOOKUP($C62,EmpAll,COLUMN(Emp!$E$4),0)))</f>
        <v>44986</v>
      </c>
      <c r="AE62" s="144" t="str">
        <f ca="1">IF(ISNA(VLOOKUP($C62,EmpAll,COLUMN(Emp!$G$1),0)),"-",IF(VLOOKUP($C62,EmpAll,COLUMN(Emp!$G$1),0)=0,"-",VLOOKUP($C62,EmpAll,COLUMN(Emp!$G$1),0)))</f>
        <v>-</v>
      </c>
      <c r="AF62" s="145">
        <f ca="1">IF(A62=PaySlip!$G$3,1,0)</f>
        <v>0</v>
      </c>
      <c r="AG62" s="130" cm="1">
        <f t="array" aca="1" ref="AG62" ca="1">IF(COUNTIFS(OverEmp,$C62,OverMed,"MED",OverDate,"&lt;"&amp;DATE(YEAR($AC62),MONTH($AC62)+1,1),OverEnd,"&gt;="&amp;DATE(YEAR($AC62),MONTH($AC62),1))&gt;0,SUMIFS(OverValue,OverEmp,$C62,OverMed,"MED",OverDate,"&lt;"&amp;DATE(YEAR($AC62),MONTH($AC62)+1,1),OverEnd,"&gt;="&amp;DATE(YEAR($AC62),MONTH($AC62),1)),IF(ISNA(VLOOKUP($C62,EmpAll,COLUMN(Emp!$N$4),0)),0,VLOOKUP($C62,EmpAll,COLUMN(Emp!$N$4),0)))</f>
        <v>0</v>
      </c>
      <c r="AH62" s="146">
        <f ca="1">VLOOKUP($AG62,MedList,COLUMN(Setup!$C$49),1)</f>
        <v>0</v>
      </c>
      <c r="AI62" s="146">
        <f t="shared" ca="1" si="7"/>
        <v>0</v>
      </c>
      <c r="AJ62" s="101" t="str">
        <f ca="1">IF(ISNA(VLOOKUP($C62,EmpAll,COLUMN(Emp!$L$4),0)),"None!",VLOOKUP($C62,EmpAll,COLUMN(Emp!$L$4),0))</f>
        <v>A</v>
      </c>
      <c r="AK62" s="147">
        <f t="shared" ca="1" si="21"/>
        <v>17235</v>
      </c>
      <c r="AL62" s="101" t="str">
        <f ca="1">IF(ISNA(VLOOKUP($C62,Employees[],COLUMN(Emp!$M$4),0))=TRUE,"Error!",IF(VLOOKUP($C62,Employees[],COLUMN(Emp!$M$4),0)=0,"Yes",VLOOKUP($C62,Employees[],COLUMN(Emp!$M$4),0)))</f>
        <v>A</v>
      </c>
      <c r="AM62" s="148">
        <f t="shared" ca="1" si="9"/>
        <v>60000</v>
      </c>
      <c r="AN62" s="148" cm="1">
        <f t="array" aca="1" ref="AN62" ca="1">-IF($F62="Terminated",0,IF($AA62=0,0,IF(ISNA(MATCH(AN$5,PayDedList,0)),0,MIN(IF(COUNTIFS(OverEmp,$C62,OverDeduct,AN$5,OverDate,"&lt;"&amp;DATE(YEAR($AC62),MONTH($AC62)+1,1),OverEnd,"&gt;="&amp;DATE(YEAR($AC62),MONTH($AC62),1))&gt;0,SUMPRODUCT((PayEmp=$C62)*(PayDate&lt;=$AC62)*(OFFSET($N$6,1,MATCH(AN$5,PayDedList,0)-1,PayCount,1)))/$AA62*12*AN$3,IF(OR(AN$1="Fixed",AN$1="Not Used"),SUMPRODUCT((PayEmp=$C62)*(PayDate&lt;=$AC62)*(OFFSET($N$6,1,MATCH(AN$5,PayDedList,0)-1,PayCount,1)))/$AA62*12*AN$3,IF(ISNA(MATCH(AN$1,EarnListItem,0))=FALSE,SUMPRODUCT((PayEmp=$C62)*(PayDate&lt;=$AC62)*(OFFSET($N$6,1,MATCH(AN$5,PayDedList,0)-1,PayCount,1)))/$AA62*12*AN$3,(MIN(((SUMPRODUCT((PayEmp=$C62)*(PayDate&lt;=$AC62)*(ISERROR(SEARCH(PayEarnCode,AN$2)))*(PayEarnType="Monthly")*(PayEarnValues))/$AA62*12)+(SUMPRODUCT((PayEmp=$C62)*(PayDate&lt;=$AC62)*(ISERROR(SEARCH(PayEarnCode,AN$2)))*(PayEarnType="Quarterly")*(PayEarnValues))/MAX(1,ROUNDDOWN($AB62/3,0))*4)+(SUMPRODUCT((PayEmp=$C62)*(PayDate&lt;=$AC62)*(ISERROR(SEARCH(PayEarnCode,AN$2)))*(PayEarnType="Bi-Annual")*(PayEarnValues))/MAX(1,ROUNDDOWN($AB62/6,0))*2)+(SUMPRODUCT((PayEmp=$C62)*(PayDate&lt;=$AC62)*(ISERROR(SEARCH(PayEarnCode,AN$2)))*(PayEarnType="Annual")*(PayEarnValues)))),IF(ISNUMBER(OFFSET($N$3,0,MATCH(AN$5,PayDedList,0)-1,1,1)),OFFSET($N$3,0,MATCH(AN$5,PayDedList,0)-1,1,1),IgnoreMin)))*IF(COUNTIFS(EmpNo,$C62,OFFSET(Emp!$R$4,1,MATCH(AN$5,DedListItem,0)-1,EmpCount,1),"&lt;&gt;")&gt;0,VLOOKUP($C62,EmpAll,COLUMN(Emp!$R$4)+MATCH(AN$5,DedListItem,0)-1,0),OFFSET(Setup!$E$73,MATCH(AN$5,DedListItem,0),0,1,1))*AN$3))),IF(ISNUMBER(AN$4),AN$4,IgnoreMin)))))</f>
        <v>0</v>
      </c>
      <c r="AO62" s="148" cm="1">
        <f t="array" aca="1" ref="AO62" ca="1">-IF($F62="Terminated",0,IF($AA62=0,0,IF(ISNA(MATCH(AO$5,PayDedList,0)),0,MIN(IF(COUNTIFS(OverEmp,$C62,OverDeduct,AO$5,OverDate,"&lt;"&amp;DATE(YEAR($AC62),MONTH($AC62)+1,1),OverEnd,"&gt;="&amp;DATE(YEAR($AC62),MONTH($AC62),1))&gt;0,SUMPRODUCT((PayEmp=$C62)*(PayDate&lt;=$AC62)*(OFFSET($N$6,1,MATCH(AO$5,PayDedList,0)-1,PayCount,1)))/$AA62*12*AO$3,IF(OR(AO$1="Fixed",AO$1="Not Used"),SUMPRODUCT((PayEmp=$C62)*(PayDate&lt;=$AC62)*(OFFSET($N$6,1,MATCH(AO$5,PayDedList,0)-1,PayCount,1)))/$AA62*12*AO$3,IF(ISNA(MATCH(AO$1,EarnListItem,0))=FALSE,SUMPRODUCT((PayEmp=$C62)*(PayDate&lt;=$AC62)*(OFFSET($N$6,1,MATCH(AO$5,PayDedList,0)-1,PayCount,1)))/$AA62*12*AO$3,(MIN(((SUMPRODUCT((PayEmp=$C62)*(PayDate&lt;=$AC62)*(ISERROR(SEARCH(PayEarnCode,AO$2)))*(PayEarnType="Monthly")*(PayEarnValues))/$AA62*12)+(SUMPRODUCT((PayEmp=$C62)*(PayDate&lt;=$AC62)*(ISERROR(SEARCH(PayEarnCode,AO$2)))*(PayEarnType="Quarterly")*(PayEarnValues))/MAX(1,ROUNDDOWN($AB62/3,0))*4)+(SUMPRODUCT((PayEmp=$C62)*(PayDate&lt;=$AC62)*(ISERROR(SEARCH(PayEarnCode,AO$2)))*(PayEarnType="Bi-Annual")*(PayEarnValues))/MAX(1,ROUNDDOWN($AB62/6,0))*2)+(SUMPRODUCT((PayEmp=$C62)*(PayDate&lt;=$AC62)*(ISERROR(SEARCH(PayEarnCode,AO$2)))*(PayEarnType="Annual")*(PayEarnValues)))),IF(ISNUMBER(OFFSET($N$3,0,MATCH(AO$5,PayDedList,0)-1,1,1)),OFFSET($N$3,0,MATCH(AO$5,PayDedList,0)-1,1,1),IgnoreMin)))*IF(COUNTIFS(EmpNo,$C62,OFFSET(Emp!$R$4,1,MATCH(AO$5,DedListItem,0)-1,EmpCount,1),"&lt;&gt;")&gt;0,VLOOKUP($C62,EmpAll,COLUMN(Emp!$R$4)+MATCH(AO$5,DedListItem,0)-1,0),OFFSET(Setup!$E$73,MATCH(AO$5,DedListItem,0),0,1,1))*AO$3))),IF(ISNUMBER(AO$4),AO$4,IgnoreMin)))))</f>
        <v>0</v>
      </c>
      <c r="AP62" s="148" cm="1">
        <f t="array" aca="1" ref="AP62" ca="1">-IF($F62="Terminated",0,IF($AA62=0,0,IF(ISNA(MATCH(AP$5,PayDedList,0)),0,MIN(IF(COUNTIFS(OverEmp,$C62,OverDeduct,AP$5,OverDate,"&lt;"&amp;DATE(YEAR($AC62),MONTH($AC62)+1,1),OverEnd,"&gt;="&amp;DATE(YEAR($AC62),MONTH($AC62),1))&gt;0,SUMPRODUCT((PayEmp=$C62)*(PayDate&lt;=$AC62)*(OFFSET($N$6,1,MATCH(AP$5,PayDedList,0)-1,PayCount,1)))/$AA62*12*AP$3,IF(OR(AP$1="Fixed",AP$1="Not Used"),SUMPRODUCT((PayEmp=$C62)*(PayDate&lt;=$AC62)*(OFFSET($N$6,1,MATCH(AP$5,PayDedList,0)-1,PayCount,1)))/$AA62*12*AP$3,IF(ISNA(MATCH(AP$1,EarnListItem,0))=FALSE,SUMPRODUCT((PayEmp=$C62)*(PayDate&lt;=$AC62)*(OFFSET($N$6,1,MATCH(AP$5,PayDedList,0)-1,PayCount,1)))/$AA62*12*AP$3,(MIN(((SUMPRODUCT((PayEmp=$C62)*(PayDate&lt;=$AC62)*(ISERROR(SEARCH(PayEarnCode,AP$2)))*(PayEarnType="Monthly")*(PayEarnValues))/$AA62*12)+(SUMPRODUCT((PayEmp=$C62)*(PayDate&lt;=$AC62)*(ISERROR(SEARCH(PayEarnCode,AP$2)))*(PayEarnType="Quarterly")*(PayEarnValues))/MAX(1,ROUNDDOWN($AB62/3,0))*4)+(SUMPRODUCT((PayEmp=$C62)*(PayDate&lt;=$AC62)*(ISERROR(SEARCH(PayEarnCode,AP$2)))*(PayEarnType="Bi-Annual")*(PayEarnValues))/MAX(1,ROUNDDOWN($AB62/6,0))*2)+(SUMPRODUCT((PayEmp=$C62)*(PayDate&lt;=$AC62)*(ISERROR(SEARCH(PayEarnCode,AP$2)))*(PayEarnType="Annual")*(PayEarnValues)))),IF(ISNUMBER(OFFSET($N$3,0,MATCH(AP$5,PayDedList,0)-1,1,1)),OFFSET($N$3,0,MATCH(AP$5,PayDedList,0)-1,1,1),IgnoreMin)))*IF(COUNTIFS(EmpNo,$C62,OFFSET(Emp!$R$4,1,MATCH(AP$5,DedListItem,0)-1,EmpCount,1),"&lt;&gt;")&gt;0,VLOOKUP($C62,EmpAll,COLUMN(Emp!$R$4)+MATCH(AP$5,DedListItem,0)-1,0),OFFSET(Setup!$E$73,MATCH(AP$5,DedListItem,0),0,1,1))*AP$3))),IF(ISNUMBER(AP$4),AP$4,IgnoreMin)))))</f>
        <v>0</v>
      </c>
      <c r="AQ62" s="148" cm="1">
        <f t="array" aca="1" ref="AQ62" ca="1">-IF($F62="Terminated",0,IF($AA62=0,0,IF(ISNA(MATCH(AQ$5,PayDedList,0)),0,MIN(IF(COUNTIFS(OverEmp,$C62,OverDeduct,AQ$5,OverDate,"&lt;"&amp;DATE(YEAR($AC62),MONTH($AC62)+1,1),OverEnd,"&gt;="&amp;DATE(YEAR($AC62),MONTH($AC62),1))&gt;0,SUMPRODUCT((PayEmp=$C62)*(PayDate&lt;=$AC62)*(OFFSET($N$6,1,MATCH(AQ$5,PayDedList,0)-1,PayCount,1)))/$AA62*12*AQ$3,IF(OR(AQ$1="Fixed",AQ$1="Not Used"),SUMPRODUCT((PayEmp=$C62)*(PayDate&lt;=$AC62)*(OFFSET($N$6,1,MATCH(AQ$5,PayDedList,0)-1,PayCount,1)))/$AA62*12*AQ$3,IF(ISNA(MATCH(AQ$1,EarnListItem,0))=FALSE,SUMPRODUCT((PayEmp=$C62)*(PayDate&lt;=$AC62)*(OFFSET($N$6,1,MATCH(AQ$5,PayDedList,0)-1,PayCount,1)))/$AA62*12*AQ$3,(MIN(((SUMPRODUCT((PayEmp=$C62)*(PayDate&lt;=$AC62)*(ISERROR(SEARCH(PayEarnCode,AQ$2)))*(PayEarnType="Monthly")*(PayEarnValues))/$AA62*12)+(SUMPRODUCT((PayEmp=$C62)*(PayDate&lt;=$AC62)*(ISERROR(SEARCH(PayEarnCode,AQ$2)))*(PayEarnType="Quarterly")*(PayEarnValues))/MAX(1,ROUNDDOWN($AB62/3,0))*4)+(SUMPRODUCT((PayEmp=$C62)*(PayDate&lt;=$AC62)*(ISERROR(SEARCH(PayEarnCode,AQ$2)))*(PayEarnType="Bi-Annual")*(PayEarnValues))/MAX(1,ROUNDDOWN($AB62/6,0))*2)+(SUMPRODUCT((PayEmp=$C62)*(PayDate&lt;=$AC62)*(ISERROR(SEARCH(PayEarnCode,AQ$2)))*(PayEarnType="Annual")*(PayEarnValues)))),IF(ISNUMBER(OFFSET($N$3,0,MATCH(AQ$5,PayDedList,0)-1,1,1)),OFFSET($N$3,0,MATCH(AQ$5,PayDedList,0)-1,1,1),IgnoreMin)))*IF(COUNTIFS(EmpNo,$C62,OFFSET(Emp!$R$4,1,MATCH(AQ$5,DedListItem,0)-1,EmpCount,1),"&lt;&gt;")&gt;0,VLOOKUP($C62,EmpAll,COLUMN(Emp!$R$4)+MATCH(AQ$5,DedListItem,0)-1,0),OFFSET(Setup!$E$73,MATCH(AQ$5,DedListItem,0),0,1,1))*AQ$3))),IF(ISNUMBER(AQ$4),AQ$4,IgnoreMin)))))</f>
        <v>0</v>
      </c>
      <c r="AR62" s="148">
        <f t="shared" ca="1" si="22"/>
        <v>60000</v>
      </c>
      <c r="AS62" s="148">
        <f t="shared" ca="1" si="11"/>
        <v>60000</v>
      </c>
      <c r="AT62" s="148" cm="1">
        <f t="array" aca="1" ref="AT62" ca="1">-IF($F62="Terminated",0,IF($AA62=0,0,IF(ISNA(MATCH(AT$5,PayDedList,0)),0,MIN(IF(COUNTIFS(OverEmp,$C62,OverDeduct,AT$5,OverDate,"&lt;"&amp;DATE(YEAR($AC62),MONTH($AC62)+1,1),OverEnd,"&gt;="&amp;DATE(YEAR($AC62),MONTH($AC62),1))&gt;0,SUMPRODUCT((PayEmp=$C62)*(PayDate&lt;=$AC62)*(OFFSET($N$6,1,MATCH(AT$5,PayDedList,0)-1,PayCount,1)))/$AA62*12*AT$3,IF(OR(AT$1="Fixed",AT$1="Not Used"),SUMPRODUCT((PayEmp=$C62)*(PayDate&lt;=$AC62)*(OFFSET($N$6,1,MATCH(AT$5,PayDedList,0)-1,PayCount,1)))/$AA62*12*AT$3,IF(ISNA(MATCH(OFFSET($N$2,0,MATCH(AT$5,PayDedList,0)-1,1,1),EarnListItem,0))=FALSE,SUMPRODUCT((PayEmp=$C62)*(PayDate&lt;=$AC62)*(OFFSET($N$6,1,MATCH(AT$5,PayDedList,0)-1,PayCount,1)))/$AA62*12*AT$3,(MIN(SUMPRODUCT((PayEmp=$C62)*(PayDate&lt;=$AC62)*(ISERROR(SEARCH(PayEarnCode,AT$2)))*(PayEarnType="Monthly")*(PayEarnValues))/$AA62*12,IF(ISNUMBER(OFFSET($N$3,0,MATCH(AT$5,PayDedList,0)-1,1,1)),OFFSET($N$3,0,MATCH(AT$5,PayDedList,0)-1,1,1),IgnoreMin)))*IF(COUNTIFS(EmpNo,$C62,OFFSET(Emp!$R$4,1,MATCH(AT$5,DedListItem,0)-1,EmpCount,1),"&lt;&gt;")&gt;0,VLOOKUP($C62,EmpAll,COLUMN(Emp!$R$4)+MATCH(AT$5,DedListItem,0)-1,0),OFFSET(Setup!$E$73,MATCH(AT$5,DedListItem,0),0,1,1))*AT$3))),IF(ISNUMBER(AT$4),AT$4,IgnoreMin)))))</f>
        <v>0</v>
      </c>
      <c r="AU62" s="148" cm="1">
        <f t="array" aca="1" ref="AU62" ca="1">-IF($F62="Terminated",0,IF($AA62=0,0,IF(ISNA(MATCH(AU$5,PayDedList,0)),0,MIN(IF(COUNTIFS(OverEmp,$C62,OverDeduct,AU$5,OverDate,"&lt;"&amp;DATE(YEAR($AC62),MONTH($AC62)+1,1),OverEnd,"&gt;="&amp;DATE(YEAR($AC62),MONTH($AC62),1))&gt;0,SUMPRODUCT((PayEmp=$C62)*(PayDate&lt;=$AC62)*(OFFSET($N$6,1,MATCH(AU$5,PayDedList,0)-1,PayCount,1)))/$AA62*12*AU$3,IF(OR(AU$1="Fixed",AU$1="Not Used"),SUMPRODUCT((PayEmp=$C62)*(PayDate&lt;=$AC62)*(OFFSET($N$6,1,MATCH(AU$5,PayDedList,0)-1,PayCount,1)))/$AA62*12*AU$3,IF(ISNA(MATCH(OFFSET($N$2,0,MATCH(AU$5,PayDedList,0)-1,1,1),EarnListItem,0))=FALSE,SUMPRODUCT((PayEmp=$C62)*(PayDate&lt;=$AC62)*(OFFSET($N$6,1,MATCH(AU$5,PayDedList,0)-1,PayCount,1)))/$AA62*12*AU$3,(MIN(SUMPRODUCT((PayEmp=$C62)*(PayDate&lt;=$AC62)*(ISERROR(SEARCH(PayEarnCode,AU$2)))*(PayEarnType="Monthly")*(PayEarnValues))/$AA62*12,IF(ISNUMBER(OFFSET($N$3,0,MATCH(AU$5,PayDedList,0)-1,1,1)),OFFSET($N$3,0,MATCH(AU$5,PayDedList,0)-1,1,1),IgnoreMin)))*IF(COUNTIFS(EmpNo,$C62,OFFSET(Emp!$R$4,1,MATCH(AU$5,DedListItem,0)-1,EmpCount,1),"&lt;&gt;")&gt;0,VLOOKUP($C62,EmpAll,COLUMN(Emp!$R$4)+MATCH(AU$5,DedListItem,0)-1,0),OFFSET(Setup!$E$73,MATCH(AU$5,DedListItem,0),0,1,1))*AU$3))),IF(ISNUMBER(AU$4),AU$4,IgnoreMin)))))</f>
        <v>0</v>
      </c>
      <c r="AV62" s="148" cm="1">
        <f t="array" aca="1" ref="AV62" ca="1">-IF($F62="Terminated",0,IF($AA62=0,0,IF(ISNA(MATCH(AV$5,PayDedList,0)),0,MIN(IF(COUNTIFS(OverEmp,$C62,OverDeduct,AV$5,OverDate,"&lt;"&amp;DATE(YEAR($AC62),MONTH($AC62)+1,1),OverEnd,"&gt;="&amp;DATE(YEAR($AC62),MONTH($AC62),1))&gt;0,SUMPRODUCT((PayEmp=$C62)*(PayDate&lt;=$AC62)*(OFFSET($N$6,1,MATCH(AV$5,PayDedList,0)-1,PayCount,1)))/$AA62*12*AV$3,IF(OR(AV$1="Fixed",AV$1="Not Used"),SUMPRODUCT((PayEmp=$C62)*(PayDate&lt;=$AC62)*(OFFSET($N$6,1,MATCH(AV$5,PayDedList,0)-1,PayCount,1)))/$AA62*12*AV$3,IF(ISNA(MATCH(OFFSET($N$2,0,MATCH(AV$5,PayDedList,0)-1,1,1),EarnListItem,0))=FALSE,SUMPRODUCT((PayEmp=$C62)*(PayDate&lt;=$AC62)*(OFFSET($N$6,1,MATCH(AV$5,PayDedList,0)-1,PayCount,1)))/$AA62*12*AV$3,(MIN(SUMPRODUCT((PayEmp=$C62)*(PayDate&lt;=$AC62)*(ISERROR(SEARCH(PayEarnCode,AV$2)))*(PayEarnType="Monthly")*(PayEarnValues))/$AA62*12,IF(ISNUMBER(OFFSET($N$3,0,MATCH(AV$5,PayDedList,0)-1,1,1)),OFFSET($N$3,0,MATCH(AV$5,PayDedList,0)-1,1,1),IgnoreMin)))*IF(COUNTIFS(EmpNo,$C62,OFFSET(Emp!$R$4,1,MATCH(AV$5,DedListItem,0)-1,EmpCount,1),"&lt;&gt;")&gt;0,VLOOKUP($C62,EmpAll,COLUMN(Emp!$R$4)+MATCH(AV$5,DedListItem,0)-1,0),OFFSET(Setup!$E$73,MATCH(AV$5,DedListItem,0),0,1,1))*AV$3))),IF(ISNUMBER(AV$4),AV$4,IgnoreMin)))))</f>
        <v>0</v>
      </c>
      <c r="AW62" s="148" cm="1">
        <f t="array" aca="1" ref="AW62" ca="1">-IF($F62="Terminated",0,IF($AA62=0,0,IF(ISNA(MATCH(AW$5,PayDedList,0)),0,MIN(IF(COUNTIFS(OverEmp,$C62,OverDeduct,AW$5,OverDate,"&lt;"&amp;DATE(YEAR($AC62),MONTH($AC62)+1,1),OverEnd,"&gt;="&amp;DATE(YEAR($AC62),MONTH($AC62),1))&gt;0,SUMPRODUCT((PayEmp=$C62)*(PayDate&lt;=$AC62)*(OFFSET($N$6,1,MATCH(AW$5,PayDedList,0)-1,PayCount,1)))/$AA62*12*AW$3,IF(OR(AW$1="Fixed",AW$1="Not Used"),SUMPRODUCT((PayEmp=$C62)*(PayDate&lt;=$AC62)*(OFFSET($N$6,1,MATCH(AW$5,PayDedList,0)-1,PayCount,1)))/$AA62*12*AW$3,IF(ISNA(MATCH(OFFSET($N$2,0,MATCH(AW$5,PayDedList,0)-1,1,1),EarnListItem,0))=FALSE,SUMPRODUCT((PayEmp=$C62)*(PayDate&lt;=$AC62)*(OFFSET($N$6,1,MATCH(AW$5,PayDedList,0)-1,PayCount,1)))/$AA62*12*AW$3,(MIN(SUMPRODUCT((PayEmp=$C62)*(PayDate&lt;=$AC62)*(ISERROR(SEARCH(PayEarnCode,AW$2)))*(PayEarnType="Monthly")*(PayEarnValues))/$AA62*12,IF(ISNUMBER(OFFSET($N$3,0,MATCH(AW$5,PayDedList,0)-1,1,1)),OFFSET($N$3,0,MATCH(AW$5,PayDedList,0)-1,1,1),IgnoreMin)))*IF(COUNTIFS(EmpNo,$C62,OFFSET(Emp!$R$4,1,MATCH(AW$5,DedListItem,0)-1,EmpCount,1),"&lt;&gt;")&gt;0,VLOOKUP($C62,EmpAll,COLUMN(Emp!$R$4)+MATCH(AW$5,DedListItem,0)-1,0),OFFSET(Setup!$E$73,MATCH(AW$5,DedListItem,0),0,1,1))*AW$3))),IF(ISNUMBER(AW$4),AW$4,IgnoreMin)))))</f>
        <v>0</v>
      </c>
      <c r="AX62" s="148">
        <f t="shared" ca="1" si="28"/>
        <v>60000</v>
      </c>
      <c r="AY62" s="148">
        <f t="shared" ca="1" si="29"/>
        <v>0</v>
      </c>
      <c r="AZ62" s="148">
        <f ca="1">IF(ISNUMBER($AL62),($AR62*$AL62)-$AI62-$AK62,MAX(0,IF($AL62="B",IF($AR62&lt;Setup!$C$32,($AR62*Setup!$D$32)-$AI62-$AK62,(($AR62-VLOOKUP($AR62,TaxAll2,1,1))*OFFSET(Setup!$D$32,MATCH($AR62,TaxBracket2,1),0,1,1))+OFFSET(Setup!$E$31,MATCH($AR62,TaxBracket2,1),0,1,1)-$AI62-$AK62),IF($AR62&lt;Setup!$C$21,($AR62*Setup!$D$21)-$AI62-$AK62,(($AR62-VLOOKUP($AR62,TaxAll1,1,1))*OFFSET(Setup!$D$21,MATCH($AR62,TaxBracket1,1),0,1,1))+OFFSET(Setup!$E$20,MATCH($AR62,TaxBracket1,1),0,1,1)-$AI62-$AK62))))</f>
        <v>0</v>
      </c>
      <c r="BA62" s="148">
        <f ca="1">IF(ISNUMBER($AL62),($AX62*$AL62)-$AI62-$AK62,MAX(0,IF($AL62="B",IF($AX62&lt;Setup!$C$32,($AX62*Setup!$D$32)-$AI62-$AK62,(($AX62-VLOOKUP($AX62,TaxAll2,1,1))*OFFSET(Setup!$D$32,MATCH($AX62,TaxBracket2,1),0,1,1))+OFFSET(Setup!$E$31,MATCH($AX62,TaxBracket2,1),0,1,1)-$AI62-$AK62),IF($AX62&lt;Setup!$C$21,($AX62*Setup!$D$21)-$AI62-$AK62,(($AX62-VLOOKUP($AX62,TaxAll1,1,1))*OFFSET(Setup!$D$21,MATCH($AX62,TaxBracket1,1),0,1,1))+OFFSET(Setup!$E$20,MATCH($AX62,TaxBracket1,1),0,1,1)-$AI62-$AK62))))</f>
        <v>0</v>
      </c>
      <c r="BB62" s="148">
        <f t="shared" ca="1" si="23"/>
        <v>0</v>
      </c>
      <c r="BC62" s="150">
        <f t="shared" ca="1" si="15"/>
        <v>1</v>
      </c>
      <c r="BD62" s="150">
        <f t="shared" ca="1" si="16"/>
        <v>0</v>
      </c>
      <c r="BE62" s="148">
        <f t="shared" ca="1" si="17"/>
        <v>60000</v>
      </c>
    </row>
    <row r="63" spans="1:57" ht="16.149999999999999" customHeight="1" x14ac:dyDescent="0.25">
      <c r="A63" s="10" t="str" cm="1">
        <f t="array" aca="1" ref="A63" ca="1">IF(ROW($A63)-ROW($A$6)&gt;EmpCount*12,"-",TEXT($B63,"yyyy")&amp;TEXT($B63,"mm")&amp;"-"&amp;$C63)</f>
        <v>202306-EXS012</v>
      </c>
      <c r="B63" s="137" cm="1">
        <f t="array" aca="1" ref="B63" ca="1">IF(ROW($A63)-ROW($A$6)&gt;EmpCount*12,Setup!$D$12,DATE(YEAR(Setup!$F$12),MONTH(Setup!$F$12)+ROUNDDOWN((ROW($A63)-ROW($A$6)-1)/EmpCount,0),IF(Setup!$C$14&gt;DAY(DATE(YEAR(Setup!$F$12),MONTH(Setup!$F$12)+ROUNDDOWN((ROW($A63)-ROW($A$6)-1)/EmpCount,0)+1,0)),DAY(DATE(YEAR(Setup!$F$12),MONTH(Setup!$F$12)+ROUNDDOWN((ROW($A63)-ROW($A$6)-1)/EmpCount,0)+1,0)),Setup!$C$14)))</f>
        <v>45102</v>
      </c>
      <c r="C63" s="101" t="str" cm="1">
        <f t="array" aca="1" ref="C63" ca="1">IF(ROW($A63)-ROW($A$6)&gt;EmpCount*12,"-",OFFSET(Emp!$A$4,ROW($A63)-ROW($A$6)-IF(ROW($A63)-ROW($A$6)&gt;EmpCount,ROUNDDOWN((ROW($A63)-ROW($A$6)-1)/EmpCount,0)*EmpCount,0),0,1,1))</f>
        <v>EXS012</v>
      </c>
      <c r="D63" s="10" t="str">
        <f ca="1">IF(ISNA(VLOOKUP($C63,EmpAll,COLUMN(Emp!$B$4),0)),"-",VLOOKUP($C63,EmpAll,COLUMN(Emp!$B$4),0))</f>
        <v>Williams VS</v>
      </c>
      <c r="E63" s="145" t="str">
        <f ca="1">IF(ISNA(VLOOKUP($C63,EmpAll,COLUMN(Emp!$C$4),0)),"-",VLOOKUP($C63,EmpAll,COLUMN(Emp!$C$4),0))</f>
        <v>A</v>
      </c>
      <c r="F63" s="101" t="str">
        <f ca="1">IF(ISNA(VLOOKUP($C63,EmpAll,COLUMN(Emp!$A$4),0)),"-",IF(AND(VLOOKUP($C63,EmpAll,COLUMN(Emp!$E$4),0)&lt;&gt;0,VLOOKUP($C63,EmpAll,COLUMN(Emp!$E$4),0)&gt;=DATE(YEAR($AC63),MONTH($AC63)+1,0)),"Inactive",IF(AND(VLOOKUP($C63,EmpAll,COLUMN(Emp!$F$4),0)&lt;&gt;0,VLOOKUP($C63,EmpAll,COLUMN(Emp!$F$4),0)&lt;=DATE(YEAR($AC63),MONTH($AC63),0)),"Terminated","Active")))</f>
        <v>Active</v>
      </c>
      <c r="G63" s="133" cm="1">
        <f t="array" aca="1" ref="G63" ca="1">IF($F63&lt;&gt;"Active",0,IF(COUNTIFS(OverEmp,$C63,OverEarn,G$2,OverDate,"&lt;"&amp;DATE(YEAR($AC63),MONTH($AC63)+1,1),OverEnd,"&gt;="&amp;DATE(YEAR($AC63),MONTH($AC63),1))&gt;0,SUMIFS(OverValue,OverEmp,$C63,OverEarn,G$2,OverDate,"&lt;"&amp;DATE(YEAR($AC63),MONTH($AC63)+1,1),OverEnd,"&gt;="&amp;DATE(YEAR($AC63),MONTH($AC63),1)),IF(AND($AC63&gt;=Setup!$E$10,SUMIFS(EmpIncrease,EmpCode,$C63)&gt;0),SUMIFS(EmpIncrease,EmpCode,$C63),SUMIFS(EmpSalary,EmpCode,$C63))))</f>
        <v>5000</v>
      </c>
      <c r="H63" s="133" cm="1">
        <f t="array" aca="1" ref="H63" ca="1">IF($F63&lt;&gt;"Active",0,IF(COUNTIFS(OverEmp,$C63,OverEarn,H$2,OverDate,"&lt;"&amp;DATE(YEAR($AC63),MONTH($AC63)+1,1),OverEnd,"&gt;="&amp;DATE(YEAR($AC63),MONTH($AC63),1))&gt;0,SUMIFS(OverValue,OverEmp,$C63,OverEarn,H$2,OverDate,"&lt;"&amp;DATE(YEAR($AC63),MONTH($AC63)+1,1),OverEnd,"&gt;="&amp;DATE(YEAR($AC63),MONTH($AC63),1)),0))</f>
        <v>0</v>
      </c>
      <c r="I63" s="133" cm="1">
        <f t="array" aca="1" ref="I63" ca="1">IF($F63&lt;&gt;"Active",0,IF(COUNTIFS(OverEmp,$C63,OverEarn,I$2,OverDate,"&lt;"&amp;DATE(YEAR($AC63),MONTH($AC63)+1,1),OverEnd,"&gt;="&amp;DATE(YEAR($AC63),MONTH($AC63),1))&gt;0,SUMIFS(OverValue,OverEmp,$C63,OverEarn,I$2,OverDate,"&lt;"&amp;DATE(YEAR($AC63),MONTH($AC63)+1,1),OverEnd,"&gt;="&amp;DATE(YEAR($AC63),MONTH($AC63),1)),IF(MONTH(B63)=Setup!$C$15,SUMIFS(EmpBonus,EmpCode,$C63),0)))</f>
        <v>0</v>
      </c>
      <c r="J63" s="133" cm="1">
        <f t="array" aca="1" ref="J63" ca="1">IF($F63&lt;&gt;"Active",0,IF(COUNTIFS(OverEmp,$C63,OverEarn,J$2,OverDate,"&lt;"&amp;DATE(YEAR($AC63),MONTH($AC63)+1,1),OverEnd,"&gt;="&amp;DATE(YEAR($AC63),MONTH($AC63),1))&gt;0,SUMIFS(OverValue,OverEmp,$C63,OverEarn,J$2,OverDate,"&lt;"&amp;DATE(YEAR($AC63),MONTH($AC63)+1,1),OverEnd,"&gt;="&amp;DATE(YEAR($AC63),MONTH($AC63),1)),0))</f>
        <v>0</v>
      </c>
      <c r="K63" s="133" cm="1">
        <f t="array" aca="1" ref="K63" ca="1">IF($F63&lt;&gt;"Active",0,IF(COUNTIFS(OverEmp,$C63,OverEarn,K$2,OverDate,"&lt;"&amp;DATE(YEAR($AC63),MONTH($AC63)+1,1),OverEnd,"&gt;="&amp;DATE(YEAR($AC63),MONTH($AC63),1))&gt;0,SUMIFS(OverValue,OverEmp,$C63,OverEarn,K$2,OverDate,"&lt;"&amp;DATE(YEAR($AC63),MONTH($AC63)+1,1),OverEnd,"&gt;="&amp;DATE(YEAR($AC63),MONTH($AC63),1)),0))</f>
        <v>0</v>
      </c>
      <c r="L63" s="185">
        <f t="shared" ca="1" si="24"/>
        <v>5000</v>
      </c>
      <c r="M63" s="182" cm="1">
        <f t="array" aca="1" ref="M63" ca="1">IF(COUNTIFS(OverEmp,$C63,OverTax,M$5,OverDate,"&lt;"&amp;DATE(YEAR($AC63),MONTH($AC63)+1,1),OverEnd,"&gt;="&amp;DATE(YEAR($AC63),MONTH($AC63),1))&gt;0,SUMIFS(OverValue,OverEmp,$C63,OverTax,M$5,OverDate,"&lt;"&amp;DATE(YEAR($AC63),MONTH($AC63)+1,1),OverEnd,"&gt;="&amp;DATE(YEAR($AC63),MONTH($AC63),1)),(($BA63/12*$AA63)+(BB63*IF(1-$BC63=0,0,BD63/(1-$BC63))))-IF($F63="Terminated",0,SUMIFS(PayTaxDeduct,PayDate,"&lt;"&amp;$AC63,PayEmp,$C63)))</f>
        <v>0</v>
      </c>
      <c r="N63" s="133" cm="1">
        <f t="array" aca="1" ref="N63" ca="1">IF($F63="Terminated",0,IF($AA63=0,0,IF(ISNA(MATCH(N$5,DedListItem,0)),0,IF(COUNTIFS(OverEmp,$C63,OverDeduct,N$5,OverDate,"&lt;"&amp;DATE(YEAR($AC63),MONTH($AC63)+1,1),OverEnd,"&gt;="&amp;DATE(YEAR($AC63),MONTH($AC63),1))&gt;0,SUMIFS(OverValue,OverEmp,$C63,OverDeduct,N$5,OverDate,"&lt;"&amp;DATE(YEAR($AC63),MONTH($AC63)+1,1),OverEnd,"&gt;="&amp;DATE(YEAR($AC63),MONTH($AC63),1)),IF(OR(N$2="Fixed",N$2="Not Used"),(IF(COUNTIFS(EmpNo,$C63,OFFSET(Emp!$R$4,1,MATCH(N$5,DedListItem,0)-1,EmpCount,1),"&lt;&gt;")&gt;0,VLOOKUP($C63,EmpAll,COLUMN(Emp!$R$4)+MATCH(N$5,DedListItem,0)-1,0),OFFSET(Setup!$E$73,MATCH(N$5,DedListItem,0),0,1,1))*$AA63)-SUMIFS(OFFSET(N$6,1,0,PayCount,1),PayDate,"&lt;"&amp;$AC63,PayEmp,$C63),IF(ISNA(MATCH(N$2,EarnListItem,0))=FALSE,IF(OFFSET(Setup!$G$73,MATCH(N$5,DedListItem,0),0,1,1)="Taxable",SUMPRODUCT((PayEmp=$C63)*(PayDate&lt;=$AC63)*(PayEarnCode=N$2)*(PayEarnTax)*(PayEarnValues)),SUMPRODUCT((PayEmp=$C63)*(PayDate&lt;=$AC63)*(PayEarnCode=N$2)*(PayEarnValues)))*IF(COUNTIFS(EmpNo,$C63,OFFSET(Emp!$R$4,1,MATCH(N$5,DedListItem,0)-1,EmpCount,1),"&lt;&gt;")&gt;0,VLOOKUP($C63,EmpAll,COLUMN(Emp!$R$4)+MATCH(N$5,DedListItem,0)-1,0),OFFSET(Setup!$E$73,MATCH(N$5,DedListItem,0),0,1,1)),(MIN(IF(OFFSET(Setup!$G$73,MATCH(N$5,DedListItem,0),0,1,1)="Taxable",SUMPRODUCT((PayEmp=$C63)*(PayDate&lt;=$AC63)*(ISERROR(SEARCH(PayEarnCode,N$4)))*(PayEarnTax)*(PayEarnValues)),SUMPRODUCT((PayEmp=$C63)*(PayDate&lt;=$AC63)*(ISERROR(SEARCH(PayEarnCode,N$4)))*(PayEarnValues))),IF(ISNUMBER(N$3),N$3/12*$AA63,IgnoreMin)))*IF(COUNTIFS(EmpNo,$C63,OFFSET(Emp!$R$4,1,MATCH(N$5,DedListItem,0)-1,EmpCount,1),"&lt;&gt;")&gt;0,VLOOKUP($C63,EmpAll,COLUMN(Emp!$R$4)+MATCH(N$5,DedListItem,0)-1,0),OFFSET(Setup!$E$73,MATCH(N$5,DedListItem,0),0,1,1)))-SUMIFS(OFFSET(N$6,1,0,PayCount,1),PayDate,"&lt;"&amp;$AC63,PayEmp,$C63))))))</f>
        <v>50</v>
      </c>
      <c r="O63" s="133" cm="1">
        <f t="array" aca="1" ref="O63" ca="1">IF($F63="Terminated",0,IF($AA63=0,0,IF(ISNA(MATCH(O$5,DedListItem,0)),0,IF(COUNTIFS(OverEmp,$C63,OverDeduct,O$5,OverDate,"&lt;"&amp;DATE(YEAR($AC63),MONTH($AC63)+1,1),OverEnd,"&gt;="&amp;DATE(YEAR($AC63),MONTH($AC63),1))&gt;0,SUMIFS(OverValue,OverEmp,$C63,OverDeduct,O$5,OverDate,"&lt;"&amp;DATE(YEAR($AC63),MONTH($AC63)+1,1),OverEnd,"&gt;="&amp;DATE(YEAR($AC63),MONTH($AC63),1)),IF(OR(O$2="Fixed",O$2="Not Used"),(IF(COUNTIFS(EmpNo,$C63,OFFSET(Emp!$R$4,1,MATCH(O$5,DedListItem,0)-1,EmpCount,1),"&lt;&gt;")&gt;0,VLOOKUP($C63,EmpAll,COLUMN(Emp!$R$4)+MATCH(O$5,DedListItem,0)-1,0),OFFSET(Setup!$E$73,MATCH(O$5,DedListItem,0),0,1,1))*$AA63)-SUMIFS(OFFSET(O$6,1,0,PayCount,1),PayDate,"&lt;"&amp;$AC63,PayEmp,$C63),IF(ISNA(MATCH(O$2,EarnListItem,0))=FALSE,IF(OFFSET(Setup!$G$73,MATCH(O$5,DedListItem,0),0,1,1)="Taxable",SUMPRODUCT((PayEmp=$C63)*(PayDate&lt;=$AC63)*(PayEarnCode=O$2)*(PayEarnTax)*(PayEarnValues)),SUMPRODUCT((PayEmp=$C63)*(PayDate&lt;=$AC63)*(PayEarnCode=O$2)*(PayEarnValues)))*IF(COUNTIFS(EmpNo,$C63,OFFSET(Emp!$R$4,1,MATCH(O$5,DedListItem,0)-1,EmpCount,1),"&lt;&gt;")&gt;0,VLOOKUP($C63,EmpAll,COLUMN(Emp!$R$4)+MATCH(O$5,DedListItem,0)-1,0),OFFSET(Setup!$E$73,MATCH(O$5,DedListItem,0),0,1,1)),(MIN(IF(OFFSET(Setup!$G$73,MATCH(O$5,DedListItem,0),0,1,1)="Taxable",SUMPRODUCT((PayEmp=$C63)*(PayDate&lt;=$AC63)*(ISERROR(SEARCH(PayEarnCode,O$4)))*(PayEarnTax)*(PayEarnValues)),SUMPRODUCT((PayEmp=$C63)*(PayDate&lt;=$AC63)*(ISERROR(SEARCH(PayEarnCode,O$4)))*(PayEarnValues))),IF(ISNUMBER(O$3),O$3/12*$AA63,IgnoreMin)))*IF(COUNTIFS(EmpNo,$C63,OFFSET(Emp!$R$4,1,MATCH(O$5,DedListItem,0)-1,EmpCount,1),"&lt;&gt;")&gt;0,VLOOKUP($C63,EmpAll,COLUMN(Emp!$R$4)+MATCH(O$5,DedListItem,0)-1,0),OFFSET(Setup!$E$73,MATCH(O$5,DedListItem,0),0,1,1)))-SUMIFS(OFFSET(O$6,1,0,PayCount,1),PayDate,"&lt;"&amp;$AC63,PayEmp,$C63))))))</f>
        <v>0</v>
      </c>
      <c r="P63" s="133" cm="1">
        <f t="array" aca="1" ref="P63" ca="1">IF($F63="Terminated",0,IF($AA63=0,0,IF(ISNA(MATCH(P$5,DedListItem,0)),0,IF(COUNTIFS(OverEmp,$C63,OverDeduct,P$5,OverDate,"&lt;"&amp;DATE(YEAR($AC63),MONTH($AC63)+1,1),OverEnd,"&gt;="&amp;DATE(YEAR($AC63),MONTH($AC63),1))&gt;0,SUMIFS(OverValue,OverEmp,$C63,OverDeduct,P$5,OverDate,"&lt;"&amp;DATE(YEAR($AC63),MONTH($AC63)+1,1),OverEnd,"&gt;="&amp;DATE(YEAR($AC63),MONTH($AC63),1)),IF(OR(P$2="Fixed",P$2="Not Used"),(IF(COUNTIFS(EmpNo,$C63,OFFSET(Emp!$R$4,1,MATCH(P$5,DedListItem,0)-1,EmpCount,1),"&lt;&gt;")&gt;0,VLOOKUP($C63,EmpAll,COLUMN(Emp!$R$4)+MATCH(P$5,DedListItem,0)-1,0),OFFSET(Setup!$E$73,MATCH(P$5,DedListItem,0),0,1,1))*$AA63)-SUMIFS(OFFSET(P$6,1,0,PayCount,1),PayDate,"&lt;"&amp;$AC63,PayEmp,$C63),IF(ISNA(MATCH(P$2,EarnListItem,0))=FALSE,IF(OFFSET(Setup!$G$73,MATCH(P$5,DedListItem,0),0,1,1)="Taxable",SUMPRODUCT((PayEmp=$C63)*(PayDate&lt;=$AC63)*(PayEarnCode=P$2)*(PayEarnTax)*(PayEarnValues)),SUMPRODUCT((PayEmp=$C63)*(PayDate&lt;=$AC63)*(PayEarnCode=P$2)*(PayEarnValues)))*IF(COUNTIFS(EmpNo,$C63,OFFSET(Emp!$R$4,1,MATCH(P$5,DedListItem,0)-1,EmpCount,1),"&lt;&gt;")&gt;0,VLOOKUP($C63,EmpAll,COLUMN(Emp!$R$4)+MATCH(P$5,DedListItem,0)-1,0),OFFSET(Setup!$E$73,MATCH(P$5,DedListItem,0),0,1,1)),(MIN(IF(OFFSET(Setup!$G$73,MATCH(P$5,DedListItem,0),0,1,1)="Taxable",SUMPRODUCT((PayEmp=$C63)*(PayDate&lt;=$AC63)*(ISERROR(SEARCH(PayEarnCode,P$4)))*(PayEarnTax)*(PayEarnValues)),SUMPRODUCT((PayEmp=$C63)*(PayDate&lt;=$AC63)*(ISERROR(SEARCH(PayEarnCode,P$4)))*(PayEarnValues))),IF(ISNUMBER(P$3),P$3/12*$AA63,IgnoreMin)))*IF(COUNTIFS(EmpNo,$C63,OFFSET(Emp!$R$4,1,MATCH(P$5,DedListItem,0)-1,EmpCount,1),"&lt;&gt;")&gt;0,VLOOKUP($C63,EmpAll,COLUMN(Emp!$R$4)+MATCH(P$5,DedListItem,0)-1,0),OFFSET(Setup!$E$73,MATCH(P$5,DedListItem,0),0,1,1)))-SUMIFS(OFFSET(P$6,1,0,PayCount,1),PayDate,"&lt;"&amp;$AC63,PayEmp,$C63))))))</f>
        <v>0</v>
      </c>
      <c r="Q63" s="133" cm="1">
        <f t="array" aca="1" ref="Q63" ca="1">IF($F63="Terminated",0,IF($AA63=0,0,IF(ISNA(MATCH(Q$5,DedListItem,0)),0,IF(COUNTIFS(OverEmp,$C63,OverDeduct,Q$5,OverDate,"&lt;"&amp;DATE(YEAR($AC63),MONTH($AC63)+1,1),OverEnd,"&gt;="&amp;DATE(YEAR($AC63),MONTH($AC63),1))&gt;0,SUMIFS(OverValue,OverEmp,$C63,OverDeduct,Q$5,OverDate,"&lt;"&amp;DATE(YEAR($AC63),MONTH($AC63)+1,1),OverEnd,"&gt;="&amp;DATE(YEAR($AC63),MONTH($AC63),1)),IF(OR(Q$2="Fixed",Q$2="Not Used"),(IF(COUNTIFS(EmpNo,$C63,OFFSET(Emp!$R$4,1,MATCH(Q$5,DedListItem,0)-1,EmpCount,1),"&lt;&gt;")&gt;0,VLOOKUP($C63,EmpAll,COLUMN(Emp!$R$4)+MATCH(Q$5,DedListItem,0)-1,0),OFFSET(Setup!$E$73,MATCH(Q$5,DedListItem,0),0,1,1))*$AA63)-SUMIFS(OFFSET(Q$6,1,0,PayCount,1),PayDate,"&lt;"&amp;$AC63,PayEmp,$C63),IF(ISNA(MATCH(Q$2,EarnListItem,0))=FALSE,IF(OFFSET(Setup!$G$73,MATCH(Q$5,DedListItem,0),0,1,1)="Taxable",SUMPRODUCT((PayEmp=$C63)*(PayDate&lt;=$AC63)*(PayEarnCode=Q$2)*(PayEarnTax)*(PayEarnValues)),SUMPRODUCT((PayEmp=$C63)*(PayDate&lt;=$AC63)*(PayEarnCode=Q$2)*(PayEarnValues)))*IF(COUNTIFS(EmpNo,$C63,OFFSET(Emp!$R$4,1,MATCH(Q$5,DedListItem,0)-1,EmpCount,1),"&lt;&gt;")&gt;0,VLOOKUP($C63,EmpAll,COLUMN(Emp!$R$4)+MATCH(Q$5,DedListItem,0)-1,0),OFFSET(Setup!$E$73,MATCH(Q$5,DedListItem,0),0,1,1)),(MIN(IF(OFFSET(Setup!$G$73,MATCH(Q$5,DedListItem,0),0,1,1)="Taxable",SUMPRODUCT((PayEmp=$C63)*(PayDate&lt;=$AC63)*(ISERROR(SEARCH(PayEarnCode,Q$4)))*(PayEarnTax)*(PayEarnValues)),SUMPRODUCT((PayEmp=$C63)*(PayDate&lt;=$AC63)*(ISERROR(SEARCH(PayEarnCode,Q$4)))*(PayEarnValues))),IF(ISNUMBER(Q$3),Q$3/12*$AA63,IgnoreMin)))*IF(COUNTIFS(EmpNo,$C63,OFFSET(Emp!$R$4,1,MATCH(Q$5,DedListItem,0)-1,EmpCount,1),"&lt;&gt;")&gt;0,VLOOKUP($C63,EmpAll,COLUMN(Emp!$R$4)+MATCH(Q$5,DedListItem,0)-1,0),OFFSET(Setup!$E$73,MATCH(Q$5,DedListItem,0),0,1,1)))-SUMIFS(OFFSET(Q$6,1,0,PayCount,1),PayDate,"&lt;"&amp;$AC63,PayEmp,$C63))))))</f>
        <v>0</v>
      </c>
      <c r="R63" s="185">
        <f t="shared" ca="1" si="25"/>
        <v>50</v>
      </c>
      <c r="S63" s="139">
        <f t="shared" ca="1" si="26"/>
        <v>4950</v>
      </c>
      <c r="T63" s="133" cm="1">
        <f t="array" aca="1" ref="T63" ca="1">IF($F63="Terminated",0,IF($AA63=0,0,IF(ISNA(MATCH(T$5,CompListItem,0)),0,IF(COUNTIFS(OverEmp,$C63,OverComp,T$5,OverDate,"&lt;"&amp;DATE(YEAR($AC63),MONTH($AC63)+1,1),OverEnd,"&gt;="&amp;DATE(YEAR($AC63),MONTH($AC63),1))&gt;0,SUMIFS(OverValue,OverEmp,$C63,OverComp,T$5,OverDate,"&lt;"&amp;DATE(YEAR($AC63),MONTH($AC63)+1,1),OverEnd,"&gt;="&amp;DATE(YEAR($AC63),MONTH($AC63),1)),IF(OR(T$2="Fixed",T$2="Not Used"),(OFFSET(Setup!$E$81,MATCH(T$5,CompListItem,0),0,1,1)*$AA63)-SUMIFS(OFFSET(T$6,1,0,PayCount,1),PayDate,"&lt;"&amp;$AC63,PayEmp,$C63),IF(ISNA(MATCH(T$2,DedListItem,0))=FALSE,(SUMPRODUCT((PayEmp=$C63)*(PayDate&lt;=$AC63)*(PayDedList=T$2)*(PayDedValues))*OFFSET(Setup!$E$81,MATCH(T$5,CompListItem,0),0,1,1))-SUMIFS(OFFSET(T$6,1,0,PayCount,1),PayDate,"&lt;"&amp;$AC63,PayEmp,$C63),(MIN(IF(OFFSET(Setup!$G$81,MATCH(T$5,CompListItem,0),0,1,1)="Taxable",SUMPRODUCT((PayEmp=$C63)*(PayDate&lt;=$AC63)*(ISERROR(SEARCH(PayEarnCode,T$4)))*(PayEarnTax)*(PayEarnValues)),SUMPRODUCT((PayEmp=$C63)*(PayDate&lt;=$AC63)*(ISERROR(SEARCH(PayEarnCode,T$4)))*(PayEarnValues))),IF(ISNUMBER(T$3),T$3/12*$AA63,IgnoreMin)))*OFFSET(Setup!$E$81,MATCH(T$5,CompListItem,0),0,1,1)-SUMIFS(OFFSET(T$6,1,0,PayCount,1),PayDate,"&lt;"&amp;$AC63,PayEmp,$C63)))))))</f>
        <v>50</v>
      </c>
      <c r="U63" s="133" cm="1">
        <f t="array" aca="1" ref="U63" ca="1">IF($F63="Terminated",0,IF($AA63=0,0,IF(ISNA(MATCH(U$5,CompListItem,0)),0,IF(COUNTIFS(OverEmp,$C63,OverComp,U$5,OverDate,"&lt;"&amp;DATE(YEAR($AC63),MONTH($AC63)+1,1),OverEnd,"&gt;="&amp;DATE(YEAR($AC63),MONTH($AC63),1))&gt;0,SUMIFS(OverValue,OverEmp,$C63,OverComp,U$5,OverDate,"&lt;"&amp;DATE(YEAR($AC63),MONTH($AC63)+1,1),OverEnd,"&gt;="&amp;DATE(YEAR($AC63),MONTH($AC63),1)),IF(OR(U$2="Fixed",U$2="Not Used"),(OFFSET(Setup!$E$81,MATCH(U$5,CompListItem,0),0,1,1)*$AA63)-SUMIFS(OFFSET(U$6,1,0,PayCount,1),PayDate,"&lt;"&amp;$AC63,PayEmp,$C63),IF(ISNA(MATCH(U$2,DedListItem,0))=FALSE,(SUMPRODUCT((PayEmp=$C63)*(PayDate&lt;=$AC63)*(PayDedList=U$2)*(PayDedValues))*OFFSET(Setup!$E$81,MATCH(U$5,CompListItem,0),0,1,1))-SUMIFS(OFFSET(U$6,1,0,PayCount,1),PayDate,"&lt;"&amp;$AC63,PayEmp,$C63),(MIN(IF(OFFSET(Setup!$G$81,MATCH(U$5,CompListItem,0),0,1,1)="Taxable",SUMPRODUCT((PayEmp=$C63)*(PayDate&lt;=$AC63)*(ISERROR(SEARCH(PayEarnCode,U$4)))*(PayEarnTax)*(PayEarnValues)),SUMPRODUCT((PayEmp=$C63)*(PayDate&lt;=$AC63)*(ISERROR(SEARCH(PayEarnCode,U$4)))*(PayEarnValues))),IF(ISNUMBER(U$3),U$3/12*$AA63,IgnoreMin)))*OFFSET(Setup!$E$81,MATCH(U$5,CompListItem,0),0,1,1)-SUMIFS(OFFSET(U$6,1,0,PayCount,1),PayDate,"&lt;"&amp;$AC63,PayEmp,$C63)))))))</f>
        <v>50</v>
      </c>
      <c r="V63" s="133" cm="1">
        <f t="array" aca="1" ref="V63" ca="1">IF($F63="Terminated",0,IF($AA63=0,0,IF(ISNA(MATCH(V$5,CompListItem,0)),0,IF(COUNTIFS(OverEmp,$C63,OverComp,V$5,OverDate,"&lt;"&amp;DATE(YEAR($AC63),MONTH($AC63)+1,1),OverEnd,"&gt;="&amp;DATE(YEAR($AC63),MONTH($AC63),1))&gt;0,SUMIFS(OverValue,OverEmp,$C63,OverComp,V$5,OverDate,"&lt;"&amp;DATE(YEAR($AC63),MONTH($AC63)+1,1),OverEnd,"&gt;="&amp;DATE(YEAR($AC63),MONTH($AC63),1)),IF(OR(V$2="Fixed",V$2="Not Used"),(OFFSET(Setup!$E$81,MATCH(V$5,CompListItem,0),0,1,1)*$AA63)-SUMIFS(OFFSET(V$6,1,0,PayCount,1),PayDate,"&lt;"&amp;$AC63,PayEmp,$C63),IF(ISNA(MATCH(V$2,DedListItem,0))=FALSE,(SUMPRODUCT((PayEmp=$C63)*(PayDate&lt;=$AC63)*(PayDedList=V$2)*(PayDedValues))*OFFSET(Setup!$E$81,MATCH(V$5,CompListItem,0),0,1,1))-SUMIFS(OFFSET(V$6,1,0,PayCount,1),PayDate,"&lt;"&amp;$AC63,PayEmp,$C63),(MIN(IF(OFFSET(Setup!$G$81,MATCH(V$5,CompListItem,0),0,1,1)="Taxable",SUMPRODUCT((PayEmp=$C63)*(PayDate&lt;=$AC63)*(ISERROR(SEARCH(PayEarnCode,V$4)))*(PayEarnTax)*(PayEarnValues)),SUMPRODUCT((PayEmp=$C63)*(PayDate&lt;=$AC63)*(ISERROR(SEARCH(PayEarnCode,V$4)))*(PayEarnValues))),IF(ISNUMBER(V$3),V$3/12*$AA63,IgnoreMin)))*OFFSET(Setup!$E$81,MATCH(V$5,CompListItem,0),0,1,1)-SUMIFS(OFFSET(V$6,1,0,PayCount,1),PayDate,"&lt;"&amp;$AC63,PayEmp,$C63)))))))</f>
        <v>0</v>
      </c>
      <c r="W63" s="133" cm="1">
        <f t="array" aca="1" ref="W63" ca="1">IF($F63="Terminated",0,IF($AA63=0,0,IF(ISNA(MATCH(W$5,CompListItem,0)),0,IF(COUNTIFS(OverEmp,$C63,OverComp,W$5,OverDate,"&lt;"&amp;DATE(YEAR($AC63),MONTH($AC63)+1,1),OverEnd,"&gt;="&amp;DATE(YEAR($AC63),MONTH($AC63),1))&gt;0,SUMIFS(OverValue,OverEmp,$C63,OverComp,W$5,OverDate,"&lt;"&amp;DATE(YEAR($AC63),MONTH($AC63)+1,1),OverEnd,"&gt;="&amp;DATE(YEAR($AC63),MONTH($AC63),1)),IF(OR(W$2="Fixed",W$2="Not Used"),(OFFSET(Setup!$E$81,MATCH(W$5,CompListItem,0),0,1,1)*$AA63)-SUMIFS(OFFSET(W$6,1,0,PayCount,1),PayDate,"&lt;"&amp;$AC63,PayEmp,$C63),IF(ISNA(MATCH(W$2,DedListItem,0))=FALSE,(SUMPRODUCT((PayEmp=$C63)*(PayDate&lt;=$AC63)*(PayDedList=W$2)*(PayDedValues))*OFFSET(Setup!$E$81,MATCH(W$5,CompListItem,0),0,1,1))-SUMIFS(OFFSET(W$6,1,0,PayCount,1),PayDate,"&lt;"&amp;$AC63,PayEmp,$C63),(MIN(IF(OFFSET(Setup!$G$81,MATCH(W$5,CompListItem,0),0,1,1)="Taxable",SUMPRODUCT((PayEmp=$C63)*(PayDate&lt;=$AC63)*(ISERROR(SEARCH(PayEarnCode,W$4)))*(PayEarnTax)*(PayEarnValues)),SUMPRODUCT((PayEmp=$C63)*(PayDate&lt;=$AC63)*(ISERROR(SEARCH(PayEarnCode,W$4)))*(PayEarnValues))),IF(ISNUMBER(W$3),W$3/12*$AA63,IgnoreMin)))*OFFSET(Setup!$E$81,MATCH(W$5,CompListItem,0),0,1,1)-SUMIFS(OFFSET(W$6,1,0,PayCount,1),PayDate,"&lt;"&amp;$AC63,PayEmp,$C63)))))))</f>
        <v>0</v>
      </c>
      <c r="X63" s="185">
        <f t="shared" ca="1" si="18"/>
        <v>100</v>
      </c>
      <c r="Y63" s="139">
        <f t="shared" ca="1" si="27"/>
        <v>5100</v>
      </c>
      <c r="Z63" s="139">
        <f t="shared" ca="1" si="19"/>
        <v>150</v>
      </c>
      <c r="AA63" s="146">
        <f ca="1">IF(OR($B63&lt;=Setup!$E$12,$B63&gt;=Setup!$D$12+1),0,IF($F63&lt;&gt;"Active",0,IF($AE63="Yes",$AB63,((YEAR($AC63)*12)+MONTH($AC63))-((YEAR($AD63)*12)+MONTH($AD63)-1))))</f>
        <v>4</v>
      </c>
      <c r="AB63" s="146">
        <f ca="1">IF(OR($B63&lt;=Setup!$E$12,$B63&gt;=Setup!$D$12+1),0,((YEAR($AC63)*12)+MONTH($AC63))-((YEAR(Setup!$E$12)*12)+MONTH(Setup!$E$12)))</f>
        <v>4</v>
      </c>
      <c r="AC63" s="186">
        <f t="shared" ca="1" si="20"/>
        <v>45102</v>
      </c>
      <c r="AD63" s="144">
        <f ca="1">IF(ISNA(VLOOKUP($C63,EmpAll,COLUMN(Emp!$E$4),0)),$AC63,IF(VLOOKUP($C63,EmpAll,COLUMN(Emp!$E$4),0)&lt;=Setup!$E$12,DATE(YEAR(Setup!$E$12),MONTH(Setup!$E$12)+1,1),VLOOKUP($C63,EmpAll,COLUMN(Emp!$E$4),0)))</f>
        <v>44986</v>
      </c>
      <c r="AE63" s="144" t="str">
        <f ca="1">IF(ISNA(VLOOKUP($C63,EmpAll,COLUMN(Emp!$G$1),0)),"-",IF(VLOOKUP($C63,EmpAll,COLUMN(Emp!$G$1),0)=0,"-",VLOOKUP($C63,EmpAll,COLUMN(Emp!$G$1),0)))</f>
        <v>-</v>
      </c>
      <c r="AF63" s="145">
        <f ca="1">IF(A63=PaySlip!$G$3,1,0)</f>
        <v>0</v>
      </c>
      <c r="AG63" s="130" cm="1">
        <f t="array" aca="1" ref="AG63" ca="1">IF(COUNTIFS(OverEmp,$C63,OverMed,"MED",OverDate,"&lt;"&amp;DATE(YEAR($AC63),MONTH($AC63)+1,1),OverEnd,"&gt;="&amp;DATE(YEAR($AC63),MONTH($AC63),1))&gt;0,SUMIFS(OverValue,OverEmp,$C63,OverMed,"MED",OverDate,"&lt;"&amp;DATE(YEAR($AC63),MONTH($AC63)+1,1),OverEnd,"&gt;="&amp;DATE(YEAR($AC63),MONTH($AC63),1)),IF(ISNA(VLOOKUP($C63,EmpAll,COLUMN(Emp!$N$4),0)),0,VLOOKUP($C63,EmpAll,COLUMN(Emp!$N$4),0)))</f>
        <v>0</v>
      </c>
      <c r="AH63" s="146">
        <f ca="1">VLOOKUP($AG63,MedList,COLUMN(Setup!$C$49),1)</f>
        <v>0</v>
      </c>
      <c r="AI63" s="146">
        <f t="shared" ca="1" si="7"/>
        <v>0</v>
      </c>
      <c r="AJ63" s="101" t="str">
        <f ca="1">IF(ISNA(VLOOKUP($C63,EmpAll,COLUMN(Emp!$L$4),0)),"None!",VLOOKUP($C63,EmpAll,COLUMN(Emp!$L$4),0))</f>
        <v>A</v>
      </c>
      <c r="AK63" s="147">
        <f t="shared" ca="1" si="21"/>
        <v>17235</v>
      </c>
      <c r="AL63" s="101" t="str">
        <f ca="1">IF(ISNA(VLOOKUP($C63,Employees[],COLUMN(Emp!$M$4),0))=TRUE,"Error!",IF(VLOOKUP($C63,Employees[],COLUMN(Emp!$M$4),0)=0,"Yes",VLOOKUP($C63,Employees[],COLUMN(Emp!$M$4),0)))</f>
        <v>A</v>
      </c>
      <c r="AM63" s="148">
        <f t="shared" ca="1" si="9"/>
        <v>60000</v>
      </c>
      <c r="AN63" s="148" cm="1">
        <f t="array" aca="1" ref="AN63" ca="1">-IF($F63="Terminated",0,IF($AA63=0,0,IF(ISNA(MATCH(AN$5,PayDedList,0)),0,MIN(IF(COUNTIFS(OverEmp,$C63,OverDeduct,AN$5,OverDate,"&lt;"&amp;DATE(YEAR($AC63),MONTH($AC63)+1,1),OverEnd,"&gt;="&amp;DATE(YEAR($AC63),MONTH($AC63),1))&gt;0,SUMPRODUCT((PayEmp=$C63)*(PayDate&lt;=$AC63)*(OFFSET($N$6,1,MATCH(AN$5,PayDedList,0)-1,PayCount,1)))/$AA63*12*AN$3,IF(OR(AN$1="Fixed",AN$1="Not Used"),SUMPRODUCT((PayEmp=$C63)*(PayDate&lt;=$AC63)*(OFFSET($N$6,1,MATCH(AN$5,PayDedList,0)-1,PayCount,1)))/$AA63*12*AN$3,IF(ISNA(MATCH(AN$1,EarnListItem,0))=FALSE,SUMPRODUCT((PayEmp=$C63)*(PayDate&lt;=$AC63)*(OFFSET($N$6,1,MATCH(AN$5,PayDedList,0)-1,PayCount,1)))/$AA63*12*AN$3,(MIN(((SUMPRODUCT((PayEmp=$C63)*(PayDate&lt;=$AC63)*(ISERROR(SEARCH(PayEarnCode,AN$2)))*(PayEarnType="Monthly")*(PayEarnValues))/$AA63*12)+(SUMPRODUCT((PayEmp=$C63)*(PayDate&lt;=$AC63)*(ISERROR(SEARCH(PayEarnCode,AN$2)))*(PayEarnType="Quarterly")*(PayEarnValues))/MAX(1,ROUNDDOWN($AB63/3,0))*4)+(SUMPRODUCT((PayEmp=$C63)*(PayDate&lt;=$AC63)*(ISERROR(SEARCH(PayEarnCode,AN$2)))*(PayEarnType="Bi-Annual")*(PayEarnValues))/MAX(1,ROUNDDOWN($AB63/6,0))*2)+(SUMPRODUCT((PayEmp=$C63)*(PayDate&lt;=$AC63)*(ISERROR(SEARCH(PayEarnCode,AN$2)))*(PayEarnType="Annual")*(PayEarnValues)))),IF(ISNUMBER(OFFSET($N$3,0,MATCH(AN$5,PayDedList,0)-1,1,1)),OFFSET($N$3,0,MATCH(AN$5,PayDedList,0)-1,1,1),IgnoreMin)))*IF(COUNTIFS(EmpNo,$C63,OFFSET(Emp!$R$4,1,MATCH(AN$5,DedListItem,0)-1,EmpCount,1),"&lt;&gt;")&gt;0,VLOOKUP($C63,EmpAll,COLUMN(Emp!$R$4)+MATCH(AN$5,DedListItem,0)-1,0),OFFSET(Setup!$E$73,MATCH(AN$5,DedListItem,0),0,1,1))*AN$3))),IF(ISNUMBER(AN$4),AN$4,IgnoreMin)))))</f>
        <v>0</v>
      </c>
      <c r="AO63" s="148" cm="1">
        <f t="array" aca="1" ref="AO63" ca="1">-IF($F63="Terminated",0,IF($AA63=0,0,IF(ISNA(MATCH(AO$5,PayDedList,0)),0,MIN(IF(COUNTIFS(OverEmp,$C63,OverDeduct,AO$5,OverDate,"&lt;"&amp;DATE(YEAR($AC63),MONTH($AC63)+1,1),OverEnd,"&gt;="&amp;DATE(YEAR($AC63),MONTH($AC63),1))&gt;0,SUMPRODUCT((PayEmp=$C63)*(PayDate&lt;=$AC63)*(OFFSET($N$6,1,MATCH(AO$5,PayDedList,0)-1,PayCount,1)))/$AA63*12*AO$3,IF(OR(AO$1="Fixed",AO$1="Not Used"),SUMPRODUCT((PayEmp=$C63)*(PayDate&lt;=$AC63)*(OFFSET($N$6,1,MATCH(AO$5,PayDedList,0)-1,PayCount,1)))/$AA63*12*AO$3,IF(ISNA(MATCH(AO$1,EarnListItem,0))=FALSE,SUMPRODUCT((PayEmp=$C63)*(PayDate&lt;=$AC63)*(OFFSET($N$6,1,MATCH(AO$5,PayDedList,0)-1,PayCount,1)))/$AA63*12*AO$3,(MIN(((SUMPRODUCT((PayEmp=$C63)*(PayDate&lt;=$AC63)*(ISERROR(SEARCH(PayEarnCode,AO$2)))*(PayEarnType="Monthly")*(PayEarnValues))/$AA63*12)+(SUMPRODUCT((PayEmp=$C63)*(PayDate&lt;=$AC63)*(ISERROR(SEARCH(PayEarnCode,AO$2)))*(PayEarnType="Quarterly")*(PayEarnValues))/MAX(1,ROUNDDOWN($AB63/3,0))*4)+(SUMPRODUCT((PayEmp=$C63)*(PayDate&lt;=$AC63)*(ISERROR(SEARCH(PayEarnCode,AO$2)))*(PayEarnType="Bi-Annual")*(PayEarnValues))/MAX(1,ROUNDDOWN($AB63/6,0))*2)+(SUMPRODUCT((PayEmp=$C63)*(PayDate&lt;=$AC63)*(ISERROR(SEARCH(PayEarnCode,AO$2)))*(PayEarnType="Annual")*(PayEarnValues)))),IF(ISNUMBER(OFFSET($N$3,0,MATCH(AO$5,PayDedList,0)-1,1,1)),OFFSET($N$3,0,MATCH(AO$5,PayDedList,0)-1,1,1),IgnoreMin)))*IF(COUNTIFS(EmpNo,$C63,OFFSET(Emp!$R$4,1,MATCH(AO$5,DedListItem,0)-1,EmpCount,1),"&lt;&gt;")&gt;0,VLOOKUP($C63,EmpAll,COLUMN(Emp!$R$4)+MATCH(AO$5,DedListItem,0)-1,0),OFFSET(Setup!$E$73,MATCH(AO$5,DedListItem,0),0,1,1))*AO$3))),IF(ISNUMBER(AO$4),AO$4,IgnoreMin)))))</f>
        <v>0</v>
      </c>
      <c r="AP63" s="148" cm="1">
        <f t="array" aca="1" ref="AP63" ca="1">-IF($F63="Terminated",0,IF($AA63=0,0,IF(ISNA(MATCH(AP$5,PayDedList,0)),0,MIN(IF(COUNTIFS(OverEmp,$C63,OverDeduct,AP$5,OverDate,"&lt;"&amp;DATE(YEAR($AC63),MONTH($AC63)+1,1),OverEnd,"&gt;="&amp;DATE(YEAR($AC63),MONTH($AC63),1))&gt;0,SUMPRODUCT((PayEmp=$C63)*(PayDate&lt;=$AC63)*(OFFSET($N$6,1,MATCH(AP$5,PayDedList,0)-1,PayCount,1)))/$AA63*12*AP$3,IF(OR(AP$1="Fixed",AP$1="Not Used"),SUMPRODUCT((PayEmp=$C63)*(PayDate&lt;=$AC63)*(OFFSET($N$6,1,MATCH(AP$5,PayDedList,0)-1,PayCount,1)))/$AA63*12*AP$3,IF(ISNA(MATCH(AP$1,EarnListItem,0))=FALSE,SUMPRODUCT((PayEmp=$C63)*(PayDate&lt;=$AC63)*(OFFSET($N$6,1,MATCH(AP$5,PayDedList,0)-1,PayCount,1)))/$AA63*12*AP$3,(MIN(((SUMPRODUCT((PayEmp=$C63)*(PayDate&lt;=$AC63)*(ISERROR(SEARCH(PayEarnCode,AP$2)))*(PayEarnType="Monthly")*(PayEarnValues))/$AA63*12)+(SUMPRODUCT((PayEmp=$C63)*(PayDate&lt;=$AC63)*(ISERROR(SEARCH(PayEarnCode,AP$2)))*(PayEarnType="Quarterly")*(PayEarnValues))/MAX(1,ROUNDDOWN($AB63/3,0))*4)+(SUMPRODUCT((PayEmp=$C63)*(PayDate&lt;=$AC63)*(ISERROR(SEARCH(PayEarnCode,AP$2)))*(PayEarnType="Bi-Annual")*(PayEarnValues))/MAX(1,ROUNDDOWN($AB63/6,0))*2)+(SUMPRODUCT((PayEmp=$C63)*(PayDate&lt;=$AC63)*(ISERROR(SEARCH(PayEarnCode,AP$2)))*(PayEarnType="Annual")*(PayEarnValues)))),IF(ISNUMBER(OFFSET($N$3,0,MATCH(AP$5,PayDedList,0)-1,1,1)),OFFSET($N$3,0,MATCH(AP$5,PayDedList,0)-1,1,1),IgnoreMin)))*IF(COUNTIFS(EmpNo,$C63,OFFSET(Emp!$R$4,1,MATCH(AP$5,DedListItem,0)-1,EmpCount,1),"&lt;&gt;")&gt;0,VLOOKUP($C63,EmpAll,COLUMN(Emp!$R$4)+MATCH(AP$5,DedListItem,0)-1,0),OFFSET(Setup!$E$73,MATCH(AP$5,DedListItem,0),0,1,1))*AP$3))),IF(ISNUMBER(AP$4),AP$4,IgnoreMin)))))</f>
        <v>0</v>
      </c>
      <c r="AQ63" s="148" cm="1">
        <f t="array" aca="1" ref="AQ63" ca="1">-IF($F63="Terminated",0,IF($AA63=0,0,IF(ISNA(MATCH(AQ$5,PayDedList,0)),0,MIN(IF(COUNTIFS(OverEmp,$C63,OverDeduct,AQ$5,OverDate,"&lt;"&amp;DATE(YEAR($AC63),MONTH($AC63)+1,1),OverEnd,"&gt;="&amp;DATE(YEAR($AC63),MONTH($AC63),1))&gt;0,SUMPRODUCT((PayEmp=$C63)*(PayDate&lt;=$AC63)*(OFFSET($N$6,1,MATCH(AQ$5,PayDedList,0)-1,PayCount,1)))/$AA63*12*AQ$3,IF(OR(AQ$1="Fixed",AQ$1="Not Used"),SUMPRODUCT((PayEmp=$C63)*(PayDate&lt;=$AC63)*(OFFSET($N$6,1,MATCH(AQ$5,PayDedList,0)-1,PayCount,1)))/$AA63*12*AQ$3,IF(ISNA(MATCH(AQ$1,EarnListItem,0))=FALSE,SUMPRODUCT((PayEmp=$C63)*(PayDate&lt;=$AC63)*(OFFSET($N$6,1,MATCH(AQ$5,PayDedList,0)-1,PayCount,1)))/$AA63*12*AQ$3,(MIN(((SUMPRODUCT((PayEmp=$C63)*(PayDate&lt;=$AC63)*(ISERROR(SEARCH(PayEarnCode,AQ$2)))*(PayEarnType="Monthly")*(PayEarnValues))/$AA63*12)+(SUMPRODUCT((PayEmp=$C63)*(PayDate&lt;=$AC63)*(ISERROR(SEARCH(PayEarnCode,AQ$2)))*(PayEarnType="Quarterly")*(PayEarnValues))/MAX(1,ROUNDDOWN($AB63/3,0))*4)+(SUMPRODUCT((PayEmp=$C63)*(PayDate&lt;=$AC63)*(ISERROR(SEARCH(PayEarnCode,AQ$2)))*(PayEarnType="Bi-Annual")*(PayEarnValues))/MAX(1,ROUNDDOWN($AB63/6,0))*2)+(SUMPRODUCT((PayEmp=$C63)*(PayDate&lt;=$AC63)*(ISERROR(SEARCH(PayEarnCode,AQ$2)))*(PayEarnType="Annual")*(PayEarnValues)))),IF(ISNUMBER(OFFSET($N$3,0,MATCH(AQ$5,PayDedList,0)-1,1,1)),OFFSET($N$3,0,MATCH(AQ$5,PayDedList,0)-1,1,1),IgnoreMin)))*IF(COUNTIFS(EmpNo,$C63,OFFSET(Emp!$R$4,1,MATCH(AQ$5,DedListItem,0)-1,EmpCount,1),"&lt;&gt;")&gt;0,VLOOKUP($C63,EmpAll,COLUMN(Emp!$R$4)+MATCH(AQ$5,DedListItem,0)-1,0),OFFSET(Setup!$E$73,MATCH(AQ$5,DedListItem,0),0,1,1))*AQ$3))),IF(ISNUMBER(AQ$4),AQ$4,IgnoreMin)))))</f>
        <v>0</v>
      </c>
      <c r="AR63" s="148">
        <f t="shared" ca="1" si="22"/>
        <v>60000</v>
      </c>
      <c r="AS63" s="148">
        <f t="shared" ca="1" si="11"/>
        <v>60000</v>
      </c>
      <c r="AT63" s="148" cm="1">
        <f t="array" aca="1" ref="AT63" ca="1">-IF($F63="Terminated",0,IF($AA63=0,0,IF(ISNA(MATCH(AT$5,PayDedList,0)),0,MIN(IF(COUNTIFS(OverEmp,$C63,OverDeduct,AT$5,OverDate,"&lt;"&amp;DATE(YEAR($AC63),MONTH($AC63)+1,1),OverEnd,"&gt;="&amp;DATE(YEAR($AC63),MONTH($AC63),1))&gt;0,SUMPRODUCT((PayEmp=$C63)*(PayDate&lt;=$AC63)*(OFFSET($N$6,1,MATCH(AT$5,PayDedList,0)-1,PayCount,1)))/$AA63*12*AT$3,IF(OR(AT$1="Fixed",AT$1="Not Used"),SUMPRODUCT((PayEmp=$C63)*(PayDate&lt;=$AC63)*(OFFSET($N$6,1,MATCH(AT$5,PayDedList,0)-1,PayCount,1)))/$AA63*12*AT$3,IF(ISNA(MATCH(OFFSET($N$2,0,MATCH(AT$5,PayDedList,0)-1,1,1),EarnListItem,0))=FALSE,SUMPRODUCT((PayEmp=$C63)*(PayDate&lt;=$AC63)*(OFFSET($N$6,1,MATCH(AT$5,PayDedList,0)-1,PayCount,1)))/$AA63*12*AT$3,(MIN(SUMPRODUCT((PayEmp=$C63)*(PayDate&lt;=$AC63)*(ISERROR(SEARCH(PayEarnCode,AT$2)))*(PayEarnType="Monthly")*(PayEarnValues))/$AA63*12,IF(ISNUMBER(OFFSET($N$3,0,MATCH(AT$5,PayDedList,0)-1,1,1)),OFFSET($N$3,0,MATCH(AT$5,PayDedList,0)-1,1,1),IgnoreMin)))*IF(COUNTIFS(EmpNo,$C63,OFFSET(Emp!$R$4,1,MATCH(AT$5,DedListItem,0)-1,EmpCount,1),"&lt;&gt;")&gt;0,VLOOKUP($C63,EmpAll,COLUMN(Emp!$R$4)+MATCH(AT$5,DedListItem,0)-1,0),OFFSET(Setup!$E$73,MATCH(AT$5,DedListItem,0),0,1,1))*AT$3))),IF(ISNUMBER(AT$4),AT$4,IgnoreMin)))))</f>
        <v>0</v>
      </c>
      <c r="AU63" s="148" cm="1">
        <f t="array" aca="1" ref="AU63" ca="1">-IF($F63="Terminated",0,IF($AA63=0,0,IF(ISNA(MATCH(AU$5,PayDedList,0)),0,MIN(IF(COUNTIFS(OverEmp,$C63,OverDeduct,AU$5,OverDate,"&lt;"&amp;DATE(YEAR($AC63),MONTH($AC63)+1,1),OverEnd,"&gt;="&amp;DATE(YEAR($AC63),MONTH($AC63),1))&gt;0,SUMPRODUCT((PayEmp=$C63)*(PayDate&lt;=$AC63)*(OFFSET($N$6,1,MATCH(AU$5,PayDedList,0)-1,PayCount,1)))/$AA63*12*AU$3,IF(OR(AU$1="Fixed",AU$1="Not Used"),SUMPRODUCT((PayEmp=$C63)*(PayDate&lt;=$AC63)*(OFFSET($N$6,1,MATCH(AU$5,PayDedList,0)-1,PayCount,1)))/$AA63*12*AU$3,IF(ISNA(MATCH(OFFSET($N$2,0,MATCH(AU$5,PayDedList,0)-1,1,1),EarnListItem,0))=FALSE,SUMPRODUCT((PayEmp=$C63)*(PayDate&lt;=$AC63)*(OFFSET($N$6,1,MATCH(AU$5,PayDedList,0)-1,PayCount,1)))/$AA63*12*AU$3,(MIN(SUMPRODUCT((PayEmp=$C63)*(PayDate&lt;=$AC63)*(ISERROR(SEARCH(PayEarnCode,AU$2)))*(PayEarnType="Monthly")*(PayEarnValues))/$AA63*12,IF(ISNUMBER(OFFSET($N$3,0,MATCH(AU$5,PayDedList,0)-1,1,1)),OFFSET($N$3,0,MATCH(AU$5,PayDedList,0)-1,1,1),IgnoreMin)))*IF(COUNTIFS(EmpNo,$C63,OFFSET(Emp!$R$4,1,MATCH(AU$5,DedListItem,0)-1,EmpCount,1),"&lt;&gt;")&gt;0,VLOOKUP($C63,EmpAll,COLUMN(Emp!$R$4)+MATCH(AU$5,DedListItem,0)-1,0),OFFSET(Setup!$E$73,MATCH(AU$5,DedListItem,0),0,1,1))*AU$3))),IF(ISNUMBER(AU$4),AU$4,IgnoreMin)))))</f>
        <v>0</v>
      </c>
      <c r="AV63" s="148" cm="1">
        <f t="array" aca="1" ref="AV63" ca="1">-IF($F63="Terminated",0,IF($AA63=0,0,IF(ISNA(MATCH(AV$5,PayDedList,0)),0,MIN(IF(COUNTIFS(OverEmp,$C63,OverDeduct,AV$5,OverDate,"&lt;"&amp;DATE(YEAR($AC63),MONTH($AC63)+1,1),OverEnd,"&gt;="&amp;DATE(YEAR($AC63),MONTH($AC63),1))&gt;0,SUMPRODUCT((PayEmp=$C63)*(PayDate&lt;=$AC63)*(OFFSET($N$6,1,MATCH(AV$5,PayDedList,0)-1,PayCount,1)))/$AA63*12*AV$3,IF(OR(AV$1="Fixed",AV$1="Not Used"),SUMPRODUCT((PayEmp=$C63)*(PayDate&lt;=$AC63)*(OFFSET($N$6,1,MATCH(AV$5,PayDedList,0)-1,PayCount,1)))/$AA63*12*AV$3,IF(ISNA(MATCH(OFFSET($N$2,0,MATCH(AV$5,PayDedList,0)-1,1,1),EarnListItem,0))=FALSE,SUMPRODUCT((PayEmp=$C63)*(PayDate&lt;=$AC63)*(OFFSET($N$6,1,MATCH(AV$5,PayDedList,0)-1,PayCount,1)))/$AA63*12*AV$3,(MIN(SUMPRODUCT((PayEmp=$C63)*(PayDate&lt;=$AC63)*(ISERROR(SEARCH(PayEarnCode,AV$2)))*(PayEarnType="Monthly")*(PayEarnValues))/$AA63*12,IF(ISNUMBER(OFFSET($N$3,0,MATCH(AV$5,PayDedList,0)-1,1,1)),OFFSET($N$3,0,MATCH(AV$5,PayDedList,0)-1,1,1),IgnoreMin)))*IF(COUNTIFS(EmpNo,$C63,OFFSET(Emp!$R$4,1,MATCH(AV$5,DedListItem,0)-1,EmpCount,1),"&lt;&gt;")&gt;0,VLOOKUP($C63,EmpAll,COLUMN(Emp!$R$4)+MATCH(AV$5,DedListItem,0)-1,0),OFFSET(Setup!$E$73,MATCH(AV$5,DedListItem,0),0,1,1))*AV$3))),IF(ISNUMBER(AV$4),AV$4,IgnoreMin)))))</f>
        <v>0</v>
      </c>
      <c r="AW63" s="148" cm="1">
        <f t="array" aca="1" ref="AW63" ca="1">-IF($F63="Terminated",0,IF($AA63=0,0,IF(ISNA(MATCH(AW$5,PayDedList,0)),0,MIN(IF(COUNTIFS(OverEmp,$C63,OverDeduct,AW$5,OverDate,"&lt;"&amp;DATE(YEAR($AC63),MONTH($AC63)+1,1),OverEnd,"&gt;="&amp;DATE(YEAR($AC63),MONTH($AC63),1))&gt;0,SUMPRODUCT((PayEmp=$C63)*(PayDate&lt;=$AC63)*(OFFSET($N$6,1,MATCH(AW$5,PayDedList,0)-1,PayCount,1)))/$AA63*12*AW$3,IF(OR(AW$1="Fixed",AW$1="Not Used"),SUMPRODUCT((PayEmp=$C63)*(PayDate&lt;=$AC63)*(OFFSET($N$6,1,MATCH(AW$5,PayDedList,0)-1,PayCount,1)))/$AA63*12*AW$3,IF(ISNA(MATCH(OFFSET($N$2,0,MATCH(AW$5,PayDedList,0)-1,1,1),EarnListItem,0))=FALSE,SUMPRODUCT((PayEmp=$C63)*(PayDate&lt;=$AC63)*(OFFSET($N$6,1,MATCH(AW$5,PayDedList,0)-1,PayCount,1)))/$AA63*12*AW$3,(MIN(SUMPRODUCT((PayEmp=$C63)*(PayDate&lt;=$AC63)*(ISERROR(SEARCH(PayEarnCode,AW$2)))*(PayEarnType="Monthly")*(PayEarnValues))/$AA63*12,IF(ISNUMBER(OFFSET($N$3,0,MATCH(AW$5,PayDedList,0)-1,1,1)),OFFSET($N$3,0,MATCH(AW$5,PayDedList,0)-1,1,1),IgnoreMin)))*IF(COUNTIFS(EmpNo,$C63,OFFSET(Emp!$R$4,1,MATCH(AW$5,DedListItem,0)-1,EmpCount,1),"&lt;&gt;")&gt;0,VLOOKUP($C63,EmpAll,COLUMN(Emp!$R$4)+MATCH(AW$5,DedListItem,0)-1,0),OFFSET(Setup!$E$73,MATCH(AW$5,DedListItem,0),0,1,1))*AW$3))),IF(ISNUMBER(AW$4),AW$4,IgnoreMin)))))</f>
        <v>0</v>
      </c>
      <c r="AX63" s="148">
        <f t="shared" ca="1" si="28"/>
        <v>60000</v>
      </c>
      <c r="AY63" s="148">
        <f t="shared" ca="1" si="29"/>
        <v>0</v>
      </c>
      <c r="AZ63" s="148">
        <f ca="1">IF(ISNUMBER($AL63),($AR63*$AL63)-$AI63-$AK63,MAX(0,IF($AL63="B",IF($AR63&lt;Setup!$C$32,($AR63*Setup!$D$32)-$AI63-$AK63,(($AR63-VLOOKUP($AR63,TaxAll2,1,1))*OFFSET(Setup!$D$32,MATCH($AR63,TaxBracket2,1),0,1,1))+OFFSET(Setup!$E$31,MATCH($AR63,TaxBracket2,1),0,1,1)-$AI63-$AK63),IF($AR63&lt;Setup!$C$21,($AR63*Setup!$D$21)-$AI63-$AK63,(($AR63-VLOOKUP($AR63,TaxAll1,1,1))*OFFSET(Setup!$D$21,MATCH($AR63,TaxBracket1,1),0,1,1))+OFFSET(Setup!$E$20,MATCH($AR63,TaxBracket1,1),0,1,1)-$AI63-$AK63))))</f>
        <v>0</v>
      </c>
      <c r="BA63" s="148">
        <f ca="1">IF(ISNUMBER($AL63),($AX63*$AL63)-$AI63-$AK63,MAX(0,IF($AL63="B",IF($AX63&lt;Setup!$C$32,($AX63*Setup!$D$32)-$AI63-$AK63,(($AX63-VLOOKUP($AX63,TaxAll2,1,1))*OFFSET(Setup!$D$32,MATCH($AX63,TaxBracket2,1),0,1,1))+OFFSET(Setup!$E$31,MATCH($AX63,TaxBracket2,1),0,1,1)-$AI63-$AK63),IF($AX63&lt;Setup!$C$21,($AX63*Setup!$D$21)-$AI63-$AK63,(($AX63-VLOOKUP($AX63,TaxAll1,1,1))*OFFSET(Setup!$D$21,MATCH($AX63,TaxBracket1,1),0,1,1))+OFFSET(Setup!$E$20,MATCH($AX63,TaxBracket1,1),0,1,1)-$AI63-$AK63))))</f>
        <v>0</v>
      </c>
      <c r="BB63" s="148">
        <f t="shared" ca="1" si="23"/>
        <v>0</v>
      </c>
      <c r="BC63" s="150">
        <f t="shared" ca="1" si="15"/>
        <v>1</v>
      </c>
      <c r="BD63" s="150">
        <f t="shared" ca="1" si="16"/>
        <v>0</v>
      </c>
      <c r="BE63" s="148">
        <f t="shared" ca="1" si="17"/>
        <v>60000</v>
      </c>
    </row>
    <row r="64" spans="1:57" ht="16.149999999999999" customHeight="1" x14ac:dyDescent="0.25">
      <c r="A64" s="10" t="str" cm="1">
        <f t="array" aca="1" ref="A64" ca="1">IF(ROW($A64)-ROW($A$6)&gt;EmpCount*12,"-",TEXT($B64,"yyyy")&amp;TEXT($B64,"mm")&amp;"-"&amp;$C64)</f>
        <v>202306-EXS013</v>
      </c>
      <c r="B64" s="137" cm="1">
        <f t="array" aca="1" ref="B64" ca="1">IF(ROW($A64)-ROW($A$6)&gt;EmpCount*12,Setup!$D$12,DATE(YEAR(Setup!$F$12),MONTH(Setup!$F$12)+ROUNDDOWN((ROW($A64)-ROW($A$6)-1)/EmpCount,0),IF(Setup!$C$14&gt;DAY(DATE(YEAR(Setup!$F$12),MONTH(Setup!$F$12)+ROUNDDOWN((ROW($A64)-ROW($A$6)-1)/EmpCount,0)+1,0)),DAY(DATE(YEAR(Setup!$F$12),MONTH(Setup!$F$12)+ROUNDDOWN((ROW($A64)-ROW($A$6)-1)/EmpCount,0)+1,0)),Setup!$C$14)))</f>
        <v>45102</v>
      </c>
      <c r="C64" s="101" t="str" cm="1">
        <f t="array" aca="1" ref="C64" ca="1">IF(ROW($A64)-ROW($A$6)&gt;EmpCount*12,"-",OFFSET(Emp!$A$4,ROW($A64)-ROW($A$6)-IF(ROW($A64)-ROW($A$6)&gt;EmpCount,ROUNDDOWN((ROW($A64)-ROW($A$6)-1)/EmpCount,0)*EmpCount,0),0,1,1))</f>
        <v>EXS013</v>
      </c>
      <c r="D64" s="10" t="str">
        <f ca="1">IF(ISNA(VLOOKUP($C64,EmpAll,COLUMN(Emp!$B$4),0)),"-",VLOOKUP($C64,EmpAll,COLUMN(Emp!$B$4),0))</f>
        <v>East WD</v>
      </c>
      <c r="E64" s="145" t="str">
        <f ca="1">IF(ISNA(VLOOKUP($C64,EmpAll,COLUMN(Emp!$C$4),0)),"-",VLOOKUP($C64,EmpAll,COLUMN(Emp!$C$4),0))</f>
        <v>A</v>
      </c>
      <c r="F64" s="101" t="str">
        <f ca="1">IF(ISNA(VLOOKUP($C64,EmpAll,COLUMN(Emp!$A$4),0)),"-",IF(AND(VLOOKUP($C64,EmpAll,COLUMN(Emp!$E$4),0)&lt;&gt;0,VLOOKUP($C64,EmpAll,COLUMN(Emp!$E$4),0)&gt;=DATE(YEAR($AC64),MONTH($AC64)+1,0)),"Inactive",IF(AND(VLOOKUP($C64,EmpAll,COLUMN(Emp!$F$4),0)&lt;&gt;0,VLOOKUP($C64,EmpAll,COLUMN(Emp!$F$4),0)&lt;=DATE(YEAR($AC64),MONTH($AC64),0)),"Terminated","Active")))</f>
        <v>Active</v>
      </c>
      <c r="G64" s="133" cm="1">
        <f t="array" aca="1" ref="G64" ca="1">IF($F64&lt;&gt;"Active",0,IF(COUNTIFS(OverEmp,$C64,OverEarn,G$2,OverDate,"&lt;"&amp;DATE(YEAR($AC64),MONTH($AC64)+1,1),OverEnd,"&gt;="&amp;DATE(YEAR($AC64),MONTH($AC64),1))&gt;0,SUMIFS(OverValue,OverEmp,$C64,OverEarn,G$2,OverDate,"&lt;"&amp;DATE(YEAR($AC64),MONTH($AC64)+1,1),OverEnd,"&gt;="&amp;DATE(YEAR($AC64),MONTH($AC64),1)),IF(AND($AC64&gt;=Setup!$E$10,SUMIFS(EmpIncrease,EmpCode,$C64)&gt;0),SUMIFS(EmpIncrease,EmpCode,$C64),SUMIFS(EmpSalary,EmpCode,$C64))))</f>
        <v>5000</v>
      </c>
      <c r="H64" s="133" cm="1">
        <f t="array" aca="1" ref="H64" ca="1">IF($F64&lt;&gt;"Active",0,IF(COUNTIFS(OverEmp,$C64,OverEarn,H$2,OverDate,"&lt;"&amp;DATE(YEAR($AC64),MONTH($AC64)+1,1),OverEnd,"&gt;="&amp;DATE(YEAR($AC64),MONTH($AC64),1))&gt;0,SUMIFS(OverValue,OverEmp,$C64,OverEarn,H$2,OverDate,"&lt;"&amp;DATE(YEAR($AC64),MONTH($AC64)+1,1),OverEnd,"&gt;="&amp;DATE(YEAR($AC64),MONTH($AC64),1)),0))</f>
        <v>0</v>
      </c>
      <c r="I64" s="133" cm="1">
        <f t="array" aca="1" ref="I64" ca="1">IF($F64&lt;&gt;"Active",0,IF(COUNTIFS(OverEmp,$C64,OverEarn,I$2,OverDate,"&lt;"&amp;DATE(YEAR($AC64),MONTH($AC64)+1,1),OverEnd,"&gt;="&amp;DATE(YEAR($AC64),MONTH($AC64),1))&gt;0,SUMIFS(OverValue,OverEmp,$C64,OverEarn,I$2,OverDate,"&lt;"&amp;DATE(YEAR($AC64),MONTH($AC64)+1,1),OverEnd,"&gt;="&amp;DATE(YEAR($AC64),MONTH($AC64),1)),IF(MONTH(B64)=Setup!$C$15,SUMIFS(EmpBonus,EmpCode,$C64),0)))</f>
        <v>0</v>
      </c>
      <c r="J64" s="133" cm="1">
        <f t="array" aca="1" ref="J64" ca="1">IF($F64&lt;&gt;"Active",0,IF(COUNTIFS(OverEmp,$C64,OverEarn,J$2,OverDate,"&lt;"&amp;DATE(YEAR($AC64),MONTH($AC64)+1,1),OverEnd,"&gt;="&amp;DATE(YEAR($AC64),MONTH($AC64),1))&gt;0,SUMIFS(OverValue,OverEmp,$C64,OverEarn,J$2,OverDate,"&lt;"&amp;DATE(YEAR($AC64),MONTH($AC64)+1,1),OverEnd,"&gt;="&amp;DATE(YEAR($AC64),MONTH($AC64),1)),0))</f>
        <v>0</v>
      </c>
      <c r="K64" s="133" cm="1">
        <f t="array" aca="1" ref="K64" ca="1">IF($F64&lt;&gt;"Active",0,IF(COUNTIFS(OverEmp,$C64,OverEarn,K$2,OverDate,"&lt;"&amp;DATE(YEAR($AC64),MONTH($AC64)+1,1),OverEnd,"&gt;="&amp;DATE(YEAR($AC64),MONTH($AC64),1))&gt;0,SUMIFS(OverValue,OverEmp,$C64,OverEarn,K$2,OverDate,"&lt;"&amp;DATE(YEAR($AC64),MONTH($AC64)+1,1),OverEnd,"&gt;="&amp;DATE(YEAR($AC64),MONTH($AC64),1)),0))</f>
        <v>0</v>
      </c>
      <c r="L64" s="185">
        <f t="shared" ca="1" si="24"/>
        <v>5000</v>
      </c>
      <c r="M64" s="182" cm="1">
        <f t="array" aca="1" ref="M64" ca="1">IF(COUNTIFS(OverEmp,$C64,OverTax,M$5,OverDate,"&lt;"&amp;DATE(YEAR($AC64),MONTH($AC64)+1,1),OverEnd,"&gt;="&amp;DATE(YEAR($AC64),MONTH($AC64),1))&gt;0,SUMIFS(OverValue,OverEmp,$C64,OverTax,M$5,OverDate,"&lt;"&amp;DATE(YEAR($AC64),MONTH($AC64)+1,1),OverEnd,"&gt;="&amp;DATE(YEAR($AC64),MONTH($AC64),1)),(($BA64/12*$AA64)+(BB64*IF(1-$BC64=0,0,BD64/(1-$BC64))))-IF($F64="Terminated",0,SUMIFS(PayTaxDeduct,PayDate,"&lt;"&amp;$AC64,PayEmp,$C64)))</f>
        <v>0</v>
      </c>
      <c r="N64" s="133" cm="1">
        <f t="array" aca="1" ref="N64" ca="1">IF($F64="Terminated",0,IF($AA64=0,0,IF(ISNA(MATCH(N$5,DedListItem,0)),0,IF(COUNTIFS(OverEmp,$C64,OverDeduct,N$5,OverDate,"&lt;"&amp;DATE(YEAR($AC64),MONTH($AC64)+1,1),OverEnd,"&gt;="&amp;DATE(YEAR($AC64),MONTH($AC64),1))&gt;0,SUMIFS(OverValue,OverEmp,$C64,OverDeduct,N$5,OverDate,"&lt;"&amp;DATE(YEAR($AC64),MONTH($AC64)+1,1),OverEnd,"&gt;="&amp;DATE(YEAR($AC64),MONTH($AC64),1)),IF(OR(N$2="Fixed",N$2="Not Used"),(IF(COUNTIFS(EmpNo,$C64,OFFSET(Emp!$R$4,1,MATCH(N$5,DedListItem,0)-1,EmpCount,1),"&lt;&gt;")&gt;0,VLOOKUP($C64,EmpAll,COLUMN(Emp!$R$4)+MATCH(N$5,DedListItem,0)-1,0),OFFSET(Setup!$E$73,MATCH(N$5,DedListItem,0),0,1,1))*$AA64)-SUMIFS(OFFSET(N$6,1,0,PayCount,1),PayDate,"&lt;"&amp;$AC64,PayEmp,$C64),IF(ISNA(MATCH(N$2,EarnListItem,0))=FALSE,IF(OFFSET(Setup!$G$73,MATCH(N$5,DedListItem,0),0,1,1)="Taxable",SUMPRODUCT((PayEmp=$C64)*(PayDate&lt;=$AC64)*(PayEarnCode=N$2)*(PayEarnTax)*(PayEarnValues)),SUMPRODUCT((PayEmp=$C64)*(PayDate&lt;=$AC64)*(PayEarnCode=N$2)*(PayEarnValues)))*IF(COUNTIFS(EmpNo,$C64,OFFSET(Emp!$R$4,1,MATCH(N$5,DedListItem,0)-1,EmpCount,1),"&lt;&gt;")&gt;0,VLOOKUP($C64,EmpAll,COLUMN(Emp!$R$4)+MATCH(N$5,DedListItem,0)-1,0),OFFSET(Setup!$E$73,MATCH(N$5,DedListItem,0),0,1,1)),(MIN(IF(OFFSET(Setup!$G$73,MATCH(N$5,DedListItem,0),0,1,1)="Taxable",SUMPRODUCT((PayEmp=$C64)*(PayDate&lt;=$AC64)*(ISERROR(SEARCH(PayEarnCode,N$4)))*(PayEarnTax)*(PayEarnValues)),SUMPRODUCT((PayEmp=$C64)*(PayDate&lt;=$AC64)*(ISERROR(SEARCH(PayEarnCode,N$4)))*(PayEarnValues))),IF(ISNUMBER(N$3),N$3/12*$AA64,IgnoreMin)))*IF(COUNTIFS(EmpNo,$C64,OFFSET(Emp!$R$4,1,MATCH(N$5,DedListItem,0)-1,EmpCount,1),"&lt;&gt;")&gt;0,VLOOKUP($C64,EmpAll,COLUMN(Emp!$R$4)+MATCH(N$5,DedListItem,0)-1,0),OFFSET(Setup!$E$73,MATCH(N$5,DedListItem,0),0,1,1)))-SUMIFS(OFFSET(N$6,1,0,PayCount,1),PayDate,"&lt;"&amp;$AC64,PayEmp,$C64))))))</f>
        <v>50</v>
      </c>
      <c r="O64" s="133" cm="1">
        <f t="array" aca="1" ref="O64" ca="1">IF($F64="Terminated",0,IF($AA64=0,0,IF(ISNA(MATCH(O$5,DedListItem,0)),0,IF(COUNTIFS(OverEmp,$C64,OverDeduct,O$5,OverDate,"&lt;"&amp;DATE(YEAR($AC64),MONTH($AC64)+1,1),OverEnd,"&gt;="&amp;DATE(YEAR($AC64),MONTH($AC64),1))&gt;0,SUMIFS(OverValue,OverEmp,$C64,OverDeduct,O$5,OverDate,"&lt;"&amp;DATE(YEAR($AC64),MONTH($AC64)+1,1),OverEnd,"&gt;="&amp;DATE(YEAR($AC64),MONTH($AC64),1)),IF(OR(O$2="Fixed",O$2="Not Used"),(IF(COUNTIFS(EmpNo,$C64,OFFSET(Emp!$R$4,1,MATCH(O$5,DedListItem,0)-1,EmpCount,1),"&lt;&gt;")&gt;0,VLOOKUP($C64,EmpAll,COLUMN(Emp!$R$4)+MATCH(O$5,DedListItem,0)-1,0),OFFSET(Setup!$E$73,MATCH(O$5,DedListItem,0),0,1,1))*$AA64)-SUMIFS(OFFSET(O$6,1,0,PayCount,1),PayDate,"&lt;"&amp;$AC64,PayEmp,$C64),IF(ISNA(MATCH(O$2,EarnListItem,0))=FALSE,IF(OFFSET(Setup!$G$73,MATCH(O$5,DedListItem,0),0,1,1)="Taxable",SUMPRODUCT((PayEmp=$C64)*(PayDate&lt;=$AC64)*(PayEarnCode=O$2)*(PayEarnTax)*(PayEarnValues)),SUMPRODUCT((PayEmp=$C64)*(PayDate&lt;=$AC64)*(PayEarnCode=O$2)*(PayEarnValues)))*IF(COUNTIFS(EmpNo,$C64,OFFSET(Emp!$R$4,1,MATCH(O$5,DedListItem,0)-1,EmpCount,1),"&lt;&gt;")&gt;0,VLOOKUP($C64,EmpAll,COLUMN(Emp!$R$4)+MATCH(O$5,DedListItem,0)-1,0),OFFSET(Setup!$E$73,MATCH(O$5,DedListItem,0),0,1,1)),(MIN(IF(OFFSET(Setup!$G$73,MATCH(O$5,DedListItem,0),0,1,1)="Taxable",SUMPRODUCT((PayEmp=$C64)*(PayDate&lt;=$AC64)*(ISERROR(SEARCH(PayEarnCode,O$4)))*(PayEarnTax)*(PayEarnValues)),SUMPRODUCT((PayEmp=$C64)*(PayDate&lt;=$AC64)*(ISERROR(SEARCH(PayEarnCode,O$4)))*(PayEarnValues))),IF(ISNUMBER(O$3),O$3/12*$AA64,IgnoreMin)))*IF(COUNTIFS(EmpNo,$C64,OFFSET(Emp!$R$4,1,MATCH(O$5,DedListItem,0)-1,EmpCount,1),"&lt;&gt;")&gt;0,VLOOKUP($C64,EmpAll,COLUMN(Emp!$R$4)+MATCH(O$5,DedListItem,0)-1,0),OFFSET(Setup!$E$73,MATCH(O$5,DedListItem,0),0,1,1)))-SUMIFS(OFFSET(O$6,1,0,PayCount,1),PayDate,"&lt;"&amp;$AC64,PayEmp,$C64))))))</f>
        <v>0</v>
      </c>
      <c r="P64" s="133" cm="1">
        <f t="array" aca="1" ref="P64" ca="1">IF($F64="Terminated",0,IF($AA64=0,0,IF(ISNA(MATCH(P$5,DedListItem,0)),0,IF(COUNTIFS(OverEmp,$C64,OverDeduct,P$5,OverDate,"&lt;"&amp;DATE(YEAR($AC64),MONTH($AC64)+1,1),OverEnd,"&gt;="&amp;DATE(YEAR($AC64),MONTH($AC64),1))&gt;0,SUMIFS(OverValue,OverEmp,$C64,OverDeduct,P$5,OverDate,"&lt;"&amp;DATE(YEAR($AC64),MONTH($AC64)+1,1),OverEnd,"&gt;="&amp;DATE(YEAR($AC64),MONTH($AC64),1)),IF(OR(P$2="Fixed",P$2="Not Used"),(IF(COUNTIFS(EmpNo,$C64,OFFSET(Emp!$R$4,1,MATCH(P$5,DedListItem,0)-1,EmpCount,1),"&lt;&gt;")&gt;0,VLOOKUP($C64,EmpAll,COLUMN(Emp!$R$4)+MATCH(P$5,DedListItem,0)-1,0),OFFSET(Setup!$E$73,MATCH(P$5,DedListItem,0),0,1,1))*$AA64)-SUMIFS(OFFSET(P$6,1,0,PayCount,1),PayDate,"&lt;"&amp;$AC64,PayEmp,$C64),IF(ISNA(MATCH(P$2,EarnListItem,0))=FALSE,IF(OFFSET(Setup!$G$73,MATCH(P$5,DedListItem,0),0,1,1)="Taxable",SUMPRODUCT((PayEmp=$C64)*(PayDate&lt;=$AC64)*(PayEarnCode=P$2)*(PayEarnTax)*(PayEarnValues)),SUMPRODUCT((PayEmp=$C64)*(PayDate&lt;=$AC64)*(PayEarnCode=P$2)*(PayEarnValues)))*IF(COUNTIFS(EmpNo,$C64,OFFSET(Emp!$R$4,1,MATCH(P$5,DedListItem,0)-1,EmpCount,1),"&lt;&gt;")&gt;0,VLOOKUP($C64,EmpAll,COLUMN(Emp!$R$4)+MATCH(P$5,DedListItem,0)-1,0),OFFSET(Setup!$E$73,MATCH(P$5,DedListItem,0),0,1,1)),(MIN(IF(OFFSET(Setup!$G$73,MATCH(P$5,DedListItem,0),0,1,1)="Taxable",SUMPRODUCT((PayEmp=$C64)*(PayDate&lt;=$AC64)*(ISERROR(SEARCH(PayEarnCode,P$4)))*(PayEarnTax)*(PayEarnValues)),SUMPRODUCT((PayEmp=$C64)*(PayDate&lt;=$AC64)*(ISERROR(SEARCH(PayEarnCode,P$4)))*(PayEarnValues))),IF(ISNUMBER(P$3),P$3/12*$AA64,IgnoreMin)))*IF(COUNTIFS(EmpNo,$C64,OFFSET(Emp!$R$4,1,MATCH(P$5,DedListItem,0)-1,EmpCount,1),"&lt;&gt;")&gt;0,VLOOKUP($C64,EmpAll,COLUMN(Emp!$R$4)+MATCH(P$5,DedListItem,0)-1,0),OFFSET(Setup!$E$73,MATCH(P$5,DedListItem,0),0,1,1)))-SUMIFS(OFFSET(P$6,1,0,PayCount,1),PayDate,"&lt;"&amp;$AC64,PayEmp,$C64))))))</f>
        <v>0</v>
      </c>
      <c r="Q64" s="133" cm="1">
        <f t="array" aca="1" ref="Q64" ca="1">IF($F64="Terminated",0,IF($AA64=0,0,IF(ISNA(MATCH(Q$5,DedListItem,0)),0,IF(COUNTIFS(OverEmp,$C64,OverDeduct,Q$5,OverDate,"&lt;"&amp;DATE(YEAR($AC64),MONTH($AC64)+1,1),OverEnd,"&gt;="&amp;DATE(YEAR($AC64),MONTH($AC64),1))&gt;0,SUMIFS(OverValue,OverEmp,$C64,OverDeduct,Q$5,OverDate,"&lt;"&amp;DATE(YEAR($AC64),MONTH($AC64)+1,1),OverEnd,"&gt;="&amp;DATE(YEAR($AC64),MONTH($AC64),1)),IF(OR(Q$2="Fixed",Q$2="Not Used"),(IF(COUNTIFS(EmpNo,$C64,OFFSET(Emp!$R$4,1,MATCH(Q$5,DedListItem,0)-1,EmpCount,1),"&lt;&gt;")&gt;0,VLOOKUP($C64,EmpAll,COLUMN(Emp!$R$4)+MATCH(Q$5,DedListItem,0)-1,0),OFFSET(Setup!$E$73,MATCH(Q$5,DedListItem,0),0,1,1))*$AA64)-SUMIFS(OFFSET(Q$6,1,0,PayCount,1),PayDate,"&lt;"&amp;$AC64,PayEmp,$C64),IF(ISNA(MATCH(Q$2,EarnListItem,0))=FALSE,IF(OFFSET(Setup!$G$73,MATCH(Q$5,DedListItem,0),0,1,1)="Taxable",SUMPRODUCT((PayEmp=$C64)*(PayDate&lt;=$AC64)*(PayEarnCode=Q$2)*(PayEarnTax)*(PayEarnValues)),SUMPRODUCT((PayEmp=$C64)*(PayDate&lt;=$AC64)*(PayEarnCode=Q$2)*(PayEarnValues)))*IF(COUNTIFS(EmpNo,$C64,OFFSET(Emp!$R$4,1,MATCH(Q$5,DedListItem,0)-1,EmpCount,1),"&lt;&gt;")&gt;0,VLOOKUP($C64,EmpAll,COLUMN(Emp!$R$4)+MATCH(Q$5,DedListItem,0)-1,0),OFFSET(Setup!$E$73,MATCH(Q$5,DedListItem,0),0,1,1)),(MIN(IF(OFFSET(Setup!$G$73,MATCH(Q$5,DedListItem,0),0,1,1)="Taxable",SUMPRODUCT((PayEmp=$C64)*(PayDate&lt;=$AC64)*(ISERROR(SEARCH(PayEarnCode,Q$4)))*(PayEarnTax)*(PayEarnValues)),SUMPRODUCT((PayEmp=$C64)*(PayDate&lt;=$AC64)*(ISERROR(SEARCH(PayEarnCode,Q$4)))*(PayEarnValues))),IF(ISNUMBER(Q$3),Q$3/12*$AA64,IgnoreMin)))*IF(COUNTIFS(EmpNo,$C64,OFFSET(Emp!$R$4,1,MATCH(Q$5,DedListItem,0)-1,EmpCount,1),"&lt;&gt;")&gt;0,VLOOKUP($C64,EmpAll,COLUMN(Emp!$R$4)+MATCH(Q$5,DedListItem,0)-1,0),OFFSET(Setup!$E$73,MATCH(Q$5,DedListItem,0),0,1,1)))-SUMIFS(OFFSET(Q$6,1,0,PayCount,1),PayDate,"&lt;"&amp;$AC64,PayEmp,$C64))))))</f>
        <v>0</v>
      </c>
      <c r="R64" s="185">
        <f t="shared" ca="1" si="25"/>
        <v>50</v>
      </c>
      <c r="S64" s="139">
        <f t="shared" ca="1" si="26"/>
        <v>4950</v>
      </c>
      <c r="T64" s="133" cm="1">
        <f t="array" aca="1" ref="T64" ca="1">IF($F64="Terminated",0,IF($AA64=0,0,IF(ISNA(MATCH(T$5,CompListItem,0)),0,IF(COUNTIFS(OverEmp,$C64,OverComp,T$5,OverDate,"&lt;"&amp;DATE(YEAR($AC64),MONTH($AC64)+1,1),OverEnd,"&gt;="&amp;DATE(YEAR($AC64),MONTH($AC64),1))&gt;0,SUMIFS(OverValue,OverEmp,$C64,OverComp,T$5,OverDate,"&lt;"&amp;DATE(YEAR($AC64),MONTH($AC64)+1,1),OverEnd,"&gt;="&amp;DATE(YEAR($AC64),MONTH($AC64),1)),IF(OR(T$2="Fixed",T$2="Not Used"),(OFFSET(Setup!$E$81,MATCH(T$5,CompListItem,0),0,1,1)*$AA64)-SUMIFS(OFFSET(T$6,1,0,PayCount,1),PayDate,"&lt;"&amp;$AC64,PayEmp,$C64),IF(ISNA(MATCH(T$2,DedListItem,0))=FALSE,(SUMPRODUCT((PayEmp=$C64)*(PayDate&lt;=$AC64)*(PayDedList=T$2)*(PayDedValues))*OFFSET(Setup!$E$81,MATCH(T$5,CompListItem,0),0,1,1))-SUMIFS(OFFSET(T$6,1,0,PayCount,1),PayDate,"&lt;"&amp;$AC64,PayEmp,$C64),(MIN(IF(OFFSET(Setup!$G$81,MATCH(T$5,CompListItem,0),0,1,1)="Taxable",SUMPRODUCT((PayEmp=$C64)*(PayDate&lt;=$AC64)*(ISERROR(SEARCH(PayEarnCode,T$4)))*(PayEarnTax)*(PayEarnValues)),SUMPRODUCT((PayEmp=$C64)*(PayDate&lt;=$AC64)*(ISERROR(SEARCH(PayEarnCode,T$4)))*(PayEarnValues))),IF(ISNUMBER(T$3),T$3/12*$AA64,IgnoreMin)))*OFFSET(Setup!$E$81,MATCH(T$5,CompListItem,0),0,1,1)-SUMIFS(OFFSET(T$6,1,0,PayCount,1),PayDate,"&lt;"&amp;$AC64,PayEmp,$C64)))))))</f>
        <v>50</v>
      </c>
      <c r="U64" s="133" cm="1">
        <f t="array" aca="1" ref="U64" ca="1">IF($F64="Terminated",0,IF($AA64=0,0,IF(ISNA(MATCH(U$5,CompListItem,0)),0,IF(COUNTIFS(OverEmp,$C64,OverComp,U$5,OverDate,"&lt;"&amp;DATE(YEAR($AC64),MONTH($AC64)+1,1),OverEnd,"&gt;="&amp;DATE(YEAR($AC64),MONTH($AC64),1))&gt;0,SUMIFS(OverValue,OverEmp,$C64,OverComp,U$5,OverDate,"&lt;"&amp;DATE(YEAR($AC64),MONTH($AC64)+1,1),OverEnd,"&gt;="&amp;DATE(YEAR($AC64),MONTH($AC64),1)),IF(OR(U$2="Fixed",U$2="Not Used"),(OFFSET(Setup!$E$81,MATCH(U$5,CompListItem,0),0,1,1)*$AA64)-SUMIFS(OFFSET(U$6,1,0,PayCount,1),PayDate,"&lt;"&amp;$AC64,PayEmp,$C64),IF(ISNA(MATCH(U$2,DedListItem,0))=FALSE,(SUMPRODUCT((PayEmp=$C64)*(PayDate&lt;=$AC64)*(PayDedList=U$2)*(PayDedValues))*OFFSET(Setup!$E$81,MATCH(U$5,CompListItem,0),0,1,1))-SUMIFS(OFFSET(U$6,1,0,PayCount,1),PayDate,"&lt;"&amp;$AC64,PayEmp,$C64),(MIN(IF(OFFSET(Setup!$G$81,MATCH(U$5,CompListItem,0),0,1,1)="Taxable",SUMPRODUCT((PayEmp=$C64)*(PayDate&lt;=$AC64)*(ISERROR(SEARCH(PayEarnCode,U$4)))*(PayEarnTax)*(PayEarnValues)),SUMPRODUCT((PayEmp=$C64)*(PayDate&lt;=$AC64)*(ISERROR(SEARCH(PayEarnCode,U$4)))*(PayEarnValues))),IF(ISNUMBER(U$3),U$3/12*$AA64,IgnoreMin)))*OFFSET(Setup!$E$81,MATCH(U$5,CompListItem,0),0,1,1)-SUMIFS(OFFSET(U$6,1,0,PayCount,1),PayDate,"&lt;"&amp;$AC64,PayEmp,$C64)))))))</f>
        <v>50</v>
      </c>
      <c r="V64" s="133" cm="1">
        <f t="array" aca="1" ref="V64" ca="1">IF($F64="Terminated",0,IF($AA64=0,0,IF(ISNA(MATCH(V$5,CompListItem,0)),0,IF(COUNTIFS(OverEmp,$C64,OverComp,V$5,OverDate,"&lt;"&amp;DATE(YEAR($AC64),MONTH($AC64)+1,1),OverEnd,"&gt;="&amp;DATE(YEAR($AC64),MONTH($AC64),1))&gt;0,SUMIFS(OverValue,OverEmp,$C64,OverComp,V$5,OverDate,"&lt;"&amp;DATE(YEAR($AC64),MONTH($AC64)+1,1),OverEnd,"&gt;="&amp;DATE(YEAR($AC64),MONTH($AC64),1)),IF(OR(V$2="Fixed",V$2="Not Used"),(OFFSET(Setup!$E$81,MATCH(V$5,CompListItem,0),0,1,1)*$AA64)-SUMIFS(OFFSET(V$6,1,0,PayCount,1),PayDate,"&lt;"&amp;$AC64,PayEmp,$C64),IF(ISNA(MATCH(V$2,DedListItem,0))=FALSE,(SUMPRODUCT((PayEmp=$C64)*(PayDate&lt;=$AC64)*(PayDedList=V$2)*(PayDedValues))*OFFSET(Setup!$E$81,MATCH(V$5,CompListItem,0),0,1,1))-SUMIFS(OFFSET(V$6,1,0,PayCount,1),PayDate,"&lt;"&amp;$AC64,PayEmp,$C64),(MIN(IF(OFFSET(Setup!$G$81,MATCH(V$5,CompListItem,0),0,1,1)="Taxable",SUMPRODUCT((PayEmp=$C64)*(PayDate&lt;=$AC64)*(ISERROR(SEARCH(PayEarnCode,V$4)))*(PayEarnTax)*(PayEarnValues)),SUMPRODUCT((PayEmp=$C64)*(PayDate&lt;=$AC64)*(ISERROR(SEARCH(PayEarnCode,V$4)))*(PayEarnValues))),IF(ISNUMBER(V$3),V$3/12*$AA64,IgnoreMin)))*OFFSET(Setup!$E$81,MATCH(V$5,CompListItem,0),0,1,1)-SUMIFS(OFFSET(V$6,1,0,PayCount,1),PayDate,"&lt;"&amp;$AC64,PayEmp,$C64)))))))</f>
        <v>0</v>
      </c>
      <c r="W64" s="133" cm="1">
        <f t="array" aca="1" ref="W64" ca="1">IF($F64="Terminated",0,IF($AA64=0,0,IF(ISNA(MATCH(W$5,CompListItem,0)),0,IF(COUNTIFS(OverEmp,$C64,OverComp,W$5,OverDate,"&lt;"&amp;DATE(YEAR($AC64),MONTH($AC64)+1,1),OverEnd,"&gt;="&amp;DATE(YEAR($AC64),MONTH($AC64),1))&gt;0,SUMIFS(OverValue,OverEmp,$C64,OverComp,W$5,OverDate,"&lt;"&amp;DATE(YEAR($AC64),MONTH($AC64)+1,1),OverEnd,"&gt;="&amp;DATE(YEAR($AC64),MONTH($AC64),1)),IF(OR(W$2="Fixed",W$2="Not Used"),(OFFSET(Setup!$E$81,MATCH(W$5,CompListItem,0),0,1,1)*$AA64)-SUMIFS(OFFSET(W$6,1,0,PayCount,1),PayDate,"&lt;"&amp;$AC64,PayEmp,$C64),IF(ISNA(MATCH(W$2,DedListItem,0))=FALSE,(SUMPRODUCT((PayEmp=$C64)*(PayDate&lt;=$AC64)*(PayDedList=W$2)*(PayDedValues))*OFFSET(Setup!$E$81,MATCH(W$5,CompListItem,0),0,1,1))-SUMIFS(OFFSET(W$6,1,0,PayCount,1),PayDate,"&lt;"&amp;$AC64,PayEmp,$C64),(MIN(IF(OFFSET(Setup!$G$81,MATCH(W$5,CompListItem,0),0,1,1)="Taxable",SUMPRODUCT((PayEmp=$C64)*(PayDate&lt;=$AC64)*(ISERROR(SEARCH(PayEarnCode,W$4)))*(PayEarnTax)*(PayEarnValues)),SUMPRODUCT((PayEmp=$C64)*(PayDate&lt;=$AC64)*(ISERROR(SEARCH(PayEarnCode,W$4)))*(PayEarnValues))),IF(ISNUMBER(W$3),W$3/12*$AA64,IgnoreMin)))*OFFSET(Setup!$E$81,MATCH(W$5,CompListItem,0),0,1,1)-SUMIFS(OFFSET(W$6,1,0,PayCount,1),PayDate,"&lt;"&amp;$AC64,PayEmp,$C64)))))))</f>
        <v>0</v>
      </c>
      <c r="X64" s="185">
        <f t="shared" ca="1" si="18"/>
        <v>100</v>
      </c>
      <c r="Y64" s="139">
        <f t="shared" ca="1" si="27"/>
        <v>5100</v>
      </c>
      <c r="Z64" s="139">
        <f t="shared" ca="1" si="19"/>
        <v>150</v>
      </c>
      <c r="AA64" s="146">
        <f ca="1">IF(OR($B64&lt;=Setup!$E$12,$B64&gt;=Setup!$D$12+1),0,IF($F64&lt;&gt;"Active",0,IF($AE64="Yes",$AB64,((YEAR($AC64)*12)+MONTH($AC64))-((YEAR($AD64)*12)+MONTH($AD64)-1))))</f>
        <v>4</v>
      </c>
      <c r="AB64" s="146">
        <f ca="1">IF(OR($B64&lt;=Setup!$E$12,$B64&gt;=Setup!$D$12+1),0,((YEAR($AC64)*12)+MONTH($AC64))-((YEAR(Setup!$E$12)*12)+MONTH(Setup!$E$12)))</f>
        <v>4</v>
      </c>
      <c r="AC64" s="186">
        <f t="shared" ca="1" si="20"/>
        <v>45102</v>
      </c>
      <c r="AD64" s="144">
        <f ca="1">IF(ISNA(VLOOKUP($C64,EmpAll,COLUMN(Emp!$E$4),0)),$AC64,IF(VLOOKUP($C64,EmpAll,COLUMN(Emp!$E$4),0)&lt;=Setup!$E$12,DATE(YEAR(Setup!$E$12),MONTH(Setup!$E$12)+1,1),VLOOKUP($C64,EmpAll,COLUMN(Emp!$E$4),0)))</f>
        <v>44986</v>
      </c>
      <c r="AE64" s="144" t="str">
        <f ca="1">IF(ISNA(VLOOKUP($C64,EmpAll,COLUMN(Emp!$G$1),0)),"-",IF(VLOOKUP($C64,EmpAll,COLUMN(Emp!$G$1),0)=0,"-",VLOOKUP($C64,EmpAll,COLUMN(Emp!$G$1),0)))</f>
        <v>-</v>
      </c>
      <c r="AF64" s="145">
        <f ca="1">IF(A64=PaySlip!$G$3,1,0)</f>
        <v>0</v>
      </c>
      <c r="AG64" s="130" cm="1">
        <f t="array" aca="1" ref="AG64" ca="1">IF(COUNTIFS(OverEmp,$C64,OverMed,"MED",OverDate,"&lt;"&amp;DATE(YEAR($AC64),MONTH($AC64)+1,1),OverEnd,"&gt;="&amp;DATE(YEAR($AC64),MONTH($AC64),1))&gt;0,SUMIFS(OverValue,OverEmp,$C64,OverMed,"MED",OverDate,"&lt;"&amp;DATE(YEAR($AC64),MONTH($AC64)+1,1),OverEnd,"&gt;="&amp;DATE(YEAR($AC64),MONTH($AC64),1)),IF(ISNA(VLOOKUP($C64,EmpAll,COLUMN(Emp!$N$4),0)),0,VLOOKUP($C64,EmpAll,COLUMN(Emp!$N$4),0)))</f>
        <v>0</v>
      </c>
      <c r="AH64" s="146">
        <f ca="1">VLOOKUP($AG64,MedList,COLUMN(Setup!$C$49),1)</f>
        <v>0</v>
      </c>
      <c r="AI64" s="146">
        <f t="shared" ca="1" si="7"/>
        <v>0</v>
      </c>
      <c r="AJ64" s="101" t="str">
        <f ca="1">IF(ISNA(VLOOKUP($C64,EmpAll,COLUMN(Emp!$L$4),0)),"None!",VLOOKUP($C64,EmpAll,COLUMN(Emp!$L$4),0))</f>
        <v>A</v>
      </c>
      <c r="AK64" s="147">
        <f t="shared" ca="1" si="21"/>
        <v>17235</v>
      </c>
      <c r="AL64" s="101" t="str">
        <f ca="1">IF(ISNA(VLOOKUP($C64,Employees[],COLUMN(Emp!$M$4),0))=TRUE,"Error!",IF(VLOOKUP($C64,Employees[],COLUMN(Emp!$M$4),0)=0,"Yes",VLOOKUP($C64,Employees[],COLUMN(Emp!$M$4),0)))</f>
        <v>A</v>
      </c>
      <c r="AM64" s="148">
        <f t="shared" ca="1" si="9"/>
        <v>60000</v>
      </c>
      <c r="AN64" s="148" cm="1">
        <f t="array" aca="1" ref="AN64" ca="1">-IF($F64="Terminated",0,IF($AA64=0,0,IF(ISNA(MATCH(AN$5,PayDedList,0)),0,MIN(IF(COUNTIFS(OverEmp,$C64,OverDeduct,AN$5,OverDate,"&lt;"&amp;DATE(YEAR($AC64),MONTH($AC64)+1,1),OverEnd,"&gt;="&amp;DATE(YEAR($AC64),MONTH($AC64),1))&gt;0,SUMPRODUCT((PayEmp=$C64)*(PayDate&lt;=$AC64)*(OFFSET($N$6,1,MATCH(AN$5,PayDedList,0)-1,PayCount,1)))/$AA64*12*AN$3,IF(OR(AN$1="Fixed",AN$1="Not Used"),SUMPRODUCT((PayEmp=$C64)*(PayDate&lt;=$AC64)*(OFFSET($N$6,1,MATCH(AN$5,PayDedList,0)-1,PayCount,1)))/$AA64*12*AN$3,IF(ISNA(MATCH(AN$1,EarnListItem,0))=FALSE,SUMPRODUCT((PayEmp=$C64)*(PayDate&lt;=$AC64)*(OFFSET($N$6,1,MATCH(AN$5,PayDedList,0)-1,PayCount,1)))/$AA64*12*AN$3,(MIN(((SUMPRODUCT((PayEmp=$C64)*(PayDate&lt;=$AC64)*(ISERROR(SEARCH(PayEarnCode,AN$2)))*(PayEarnType="Monthly")*(PayEarnValues))/$AA64*12)+(SUMPRODUCT((PayEmp=$C64)*(PayDate&lt;=$AC64)*(ISERROR(SEARCH(PayEarnCode,AN$2)))*(PayEarnType="Quarterly")*(PayEarnValues))/MAX(1,ROUNDDOWN($AB64/3,0))*4)+(SUMPRODUCT((PayEmp=$C64)*(PayDate&lt;=$AC64)*(ISERROR(SEARCH(PayEarnCode,AN$2)))*(PayEarnType="Bi-Annual")*(PayEarnValues))/MAX(1,ROUNDDOWN($AB64/6,0))*2)+(SUMPRODUCT((PayEmp=$C64)*(PayDate&lt;=$AC64)*(ISERROR(SEARCH(PayEarnCode,AN$2)))*(PayEarnType="Annual")*(PayEarnValues)))),IF(ISNUMBER(OFFSET($N$3,0,MATCH(AN$5,PayDedList,0)-1,1,1)),OFFSET($N$3,0,MATCH(AN$5,PayDedList,0)-1,1,1),IgnoreMin)))*IF(COUNTIFS(EmpNo,$C64,OFFSET(Emp!$R$4,1,MATCH(AN$5,DedListItem,0)-1,EmpCount,1),"&lt;&gt;")&gt;0,VLOOKUP($C64,EmpAll,COLUMN(Emp!$R$4)+MATCH(AN$5,DedListItem,0)-1,0),OFFSET(Setup!$E$73,MATCH(AN$5,DedListItem,0),0,1,1))*AN$3))),IF(ISNUMBER(AN$4),AN$4,IgnoreMin)))))</f>
        <v>0</v>
      </c>
      <c r="AO64" s="148" cm="1">
        <f t="array" aca="1" ref="AO64" ca="1">-IF($F64="Terminated",0,IF($AA64=0,0,IF(ISNA(MATCH(AO$5,PayDedList,0)),0,MIN(IF(COUNTIFS(OverEmp,$C64,OverDeduct,AO$5,OverDate,"&lt;"&amp;DATE(YEAR($AC64),MONTH($AC64)+1,1),OverEnd,"&gt;="&amp;DATE(YEAR($AC64),MONTH($AC64),1))&gt;0,SUMPRODUCT((PayEmp=$C64)*(PayDate&lt;=$AC64)*(OFFSET($N$6,1,MATCH(AO$5,PayDedList,0)-1,PayCount,1)))/$AA64*12*AO$3,IF(OR(AO$1="Fixed",AO$1="Not Used"),SUMPRODUCT((PayEmp=$C64)*(PayDate&lt;=$AC64)*(OFFSET($N$6,1,MATCH(AO$5,PayDedList,0)-1,PayCount,1)))/$AA64*12*AO$3,IF(ISNA(MATCH(AO$1,EarnListItem,0))=FALSE,SUMPRODUCT((PayEmp=$C64)*(PayDate&lt;=$AC64)*(OFFSET($N$6,1,MATCH(AO$5,PayDedList,0)-1,PayCount,1)))/$AA64*12*AO$3,(MIN(((SUMPRODUCT((PayEmp=$C64)*(PayDate&lt;=$AC64)*(ISERROR(SEARCH(PayEarnCode,AO$2)))*(PayEarnType="Monthly")*(PayEarnValues))/$AA64*12)+(SUMPRODUCT((PayEmp=$C64)*(PayDate&lt;=$AC64)*(ISERROR(SEARCH(PayEarnCode,AO$2)))*(PayEarnType="Quarterly")*(PayEarnValues))/MAX(1,ROUNDDOWN($AB64/3,0))*4)+(SUMPRODUCT((PayEmp=$C64)*(PayDate&lt;=$AC64)*(ISERROR(SEARCH(PayEarnCode,AO$2)))*(PayEarnType="Bi-Annual")*(PayEarnValues))/MAX(1,ROUNDDOWN($AB64/6,0))*2)+(SUMPRODUCT((PayEmp=$C64)*(PayDate&lt;=$AC64)*(ISERROR(SEARCH(PayEarnCode,AO$2)))*(PayEarnType="Annual")*(PayEarnValues)))),IF(ISNUMBER(OFFSET($N$3,0,MATCH(AO$5,PayDedList,0)-1,1,1)),OFFSET($N$3,0,MATCH(AO$5,PayDedList,0)-1,1,1),IgnoreMin)))*IF(COUNTIFS(EmpNo,$C64,OFFSET(Emp!$R$4,1,MATCH(AO$5,DedListItem,0)-1,EmpCount,1),"&lt;&gt;")&gt;0,VLOOKUP($C64,EmpAll,COLUMN(Emp!$R$4)+MATCH(AO$5,DedListItem,0)-1,0),OFFSET(Setup!$E$73,MATCH(AO$5,DedListItem,0),0,1,1))*AO$3))),IF(ISNUMBER(AO$4),AO$4,IgnoreMin)))))</f>
        <v>0</v>
      </c>
      <c r="AP64" s="148" cm="1">
        <f t="array" aca="1" ref="AP64" ca="1">-IF($F64="Terminated",0,IF($AA64=0,0,IF(ISNA(MATCH(AP$5,PayDedList,0)),0,MIN(IF(COUNTIFS(OverEmp,$C64,OverDeduct,AP$5,OverDate,"&lt;"&amp;DATE(YEAR($AC64),MONTH($AC64)+1,1),OverEnd,"&gt;="&amp;DATE(YEAR($AC64),MONTH($AC64),1))&gt;0,SUMPRODUCT((PayEmp=$C64)*(PayDate&lt;=$AC64)*(OFFSET($N$6,1,MATCH(AP$5,PayDedList,0)-1,PayCount,1)))/$AA64*12*AP$3,IF(OR(AP$1="Fixed",AP$1="Not Used"),SUMPRODUCT((PayEmp=$C64)*(PayDate&lt;=$AC64)*(OFFSET($N$6,1,MATCH(AP$5,PayDedList,0)-1,PayCount,1)))/$AA64*12*AP$3,IF(ISNA(MATCH(AP$1,EarnListItem,0))=FALSE,SUMPRODUCT((PayEmp=$C64)*(PayDate&lt;=$AC64)*(OFFSET($N$6,1,MATCH(AP$5,PayDedList,0)-1,PayCount,1)))/$AA64*12*AP$3,(MIN(((SUMPRODUCT((PayEmp=$C64)*(PayDate&lt;=$AC64)*(ISERROR(SEARCH(PayEarnCode,AP$2)))*(PayEarnType="Monthly")*(PayEarnValues))/$AA64*12)+(SUMPRODUCT((PayEmp=$C64)*(PayDate&lt;=$AC64)*(ISERROR(SEARCH(PayEarnCode,AP$2)))*(PayEarnType="Quarterly")*(PayEarnValues))/MAX(1,ROUNDDOWN($AB64/3,0))*4)+(SUMPRODUCT((PayEmp=$C64)*(PayDate&lt;=$AC64)*(ISERROR(SEARCH(PayEarnCode,AP$2)))*(PayEarnType="Bi-Annual")*(PayEarnValues))/MAX(1,ROUNDDOWN($AB64/6,0))*2)+(SUMPRODUCT((PayEmp=$C64)*(PayDate&lt;=$AC64)*(ISERROR(SEARCH(PayEarnCode,AP$2)))*(PayEarnType="Annual")*(PayEarnValues)))),IF(ISNUMBER(OFFSET($N$3,0,MATCH(AP$5,PayDedList,0)-1,1,1)),OFFSET($N$3,0,MATCH(AP$5,PayDedList,0)-1,1,1),IgnoreMin)))*IF(COUNTIFS(EmpNo,$C64,OFFSET(Emp!$R$4,1,MATCH(AP$5,DedListItem,0)-1,EmpCount,1),"&lt;&gt;")&gt;0,VLOOKUP($C64,EmpAll,COLUMN(Emp!$R$4)+MATCH(AP$5,DedListItem,0)-1,0),OFFSET(Setup!$E$73,MATCH(AP$5,DedListItem,0),0,1,1))*AP$3))),IF(ISNUMBER(AP$4),AP$4,IgnoreMin)))))</f>
        <v>0</v>
      </c>
      <c r="AQ64" s="148" cm="1">
        <f t="array" aca="1" ref="AQ64" ca="1">-IF($F64="Terminated",0,IF($AA64=0,0,IF(ISNA(MATCH(AQ$5,PayDedList,0)),0,MIN(IF(COUNTIFS(OverEmp,$C64,OverDeduct,AQ$5,OverDate,"&lt;"&amp;DATE(YEAR($AC64),MONTH($AC64)+1,1),OverEnd,"&gt;="&amp;DATE(YEAR($AC64),MONTH($AC64),1))&gt;0,SUMPRODUCT((PayEmp=$C64)*(PayDate&lt;=$AC64)*(OFFSET($N$6,1,MATCH(AQ$5,PayDedList,0)-1,PayCount,1)))/$AA64*12*AQ$3,IF(OR(AQ$1="Fixed",AQ$1="Not Used"),SUMPRODUCT((PayEmp=$C64)*(PayDate&lt;=$AC64)*(OFFSET($N$6,1,MATCH(AQ$5,PayDedList,0)-1,PayCount,1)))/$AA64*12*AQ$3,IF(ISNA(MATCH(AQ$1,EarnListItem,0))=FALSE,SUMPRODUCT((PayEmp=$C64)*(PayDate&lt;=$AC64)*(OFFSET($N$6,1,MATCH(AQ$5,PayDedList,0)-1,PayCount,1)))/$AA64*12*AQ$3,(MIN(((SUMPRODUCT((PayEmp=$C64)*(PayDate&lt;=$AC64)*(ISERROR(SEARCH(PayEarnCode,AQ$2)))*(PayEarnType="Monthly")*(PayEarnValues))/$AA64*12)+(SUMPRODUCT((PayEmp=$C64)*(PayDate&lt;=$AC64)*(ISERROR(SEARCH(PayEarnCode,AQ$2)))*(PayEarnType="Quarterly")*(PayEarnValues))/MAX(1,ROUNDDOWN($AB64/3,0))*4)+(SUMPRODUCT((PayEmp=$C64)*(PayDate&lt;=$AC64)*(ISERROR(SEARCH(PayEarnCode,AQ$2)))*(PayEarnType="Bi-Annual")*(PayEarnValues))/MAX(1,ROUNDDOWN($AB64/6,0))*2)+(SUMPRODUCT((PayEmp=$C64)*(PayDate&lt;=$AC64)*(ISERROR(SEARCH(PayEarnCode,AQ$2)))*(PayEarnType="Annual")*(PayEarnValues)))),IF(ISNUMBER(OFFSET($N$3,0,MATCH(AQ$5,PayDedList,0)-1,1,1)),OFFSET($N$3,0,MATCH(AQ$5,PayDedList,0)-1,1,1),IgnoreMin)))*IF(COUNTIFS(EmpNo,$C64,OFFSET(Emp!$R$4,1,MATCH(AQ$5,DedListItem,0)-1,EmpCount,1),"&lt;&gt;")&gt;0,VLOOKUP($C64,EmpAll,COLUMN(Emp!$R$4)+MATCH(AQ$5,DedListItem,0)-1,0),OFFSET(Setup!$E$73,MATCH(AQ$5,DedListItem,0),0,1,1))*AQ$3))),IF(ISNUMBER(AQ$4),AQ$4,IgnoreMin)))))</f>
        <v>0</v>
      </c>
      <c r="AR64" s="148">
        <f t="shared" ca="1" si="22"/>
        <v>60000</v>
      </c>
      <c r="AS64" s="148">
        <f t="shared" ca="1" si="11"/>
        <v>60000</v>
      </c>
      <c r="AT64" s="148" cm="1">
        <f t="array" aca="1" ref="AT64" ca="1">-IF($F64="Terminated",0,IF($AA64=0,0,IF(ISNA(MATCH(AT$5,PayDedList,0)),0,MIN(IF(COUNTIFS(OverEmp,$C64,OverDeduct,AT$5,OverDate,"&lt;"&amp;DATE(YEAR($AC64),MONTH($AC64)+1,1),OverEnd,"&gt;="&amp;DATE(YEAR($AC64),MONTH($AC64),1))&gt;0,SUMPRODUCT((PayEmp=$C64)*(PayDate&lt;=$AC64)*(OFFSET($N$6,1,MATCH(AT$5,PayDedList,0)-1,PayCount,1)))/$AA64*12*AT$3,IF(OR(AT$1="Fixed",AT$1="Not Used"),SUMPRODUCT((PayEmp=$C64)*(PayDate&lt;=$AC64)*(OFFSET($N$6,1,MATCH(AT$5,PayDedList,0)-1,PayCount,1)))/$AA64*12*AT$3,IF(ISNA(MATCH(OFFSET($N$2,0,MATCH(AT$5,PayDedList,0)-1,1,1),EarnListItem,0))=FALSE,SUMPRODUCT((PayEmp=$C64)*(PayDate&lt;=$AC64)*(OFFSET($N$6,1,MATCH(AT$5,PayDedList,0)-1,PayCount,1)))/$AA64*12*AT$3,(MIN(SUMPRODUCT((PayEmp=$C64)*(PayDate&lt;=$AC64)*(ISERROR(SEARCH(PayEarnCode,AT$2)))*(PayEarnType="Monthly")*(PayEarnValues))/$AA64*12,IF(ISNUMBER(OFFSET($N$3,0,MATCH(AT$5,PayDedList,0)-1,1,1)),OFFSET($N$3,0,MATCH(AT$5,PayDedList,0)-1,1,1),IgnoreMin)))*IF(COUNTIFS(EmpNo,$C64,OFFSET(Emp!$R$4,1,MATCH(AT$5,DedListItem,0)-1,EmpCount,1),"&lt;&gt;")&gt;0,VLOOKUP($C64,EmpAll,COLUMN(Emp!$R$4)+MATCH(AT$5,DedListItem,0)-1,0),OFFSET(Setup!$E$73,MATCH(AT$5,DedListItem,0),0,1,1))*AT$3))),IF(ISNUMBER(AT$4),AT$4,IgnoreMin)))))</f>
        <v>0</v>
      </c>
      <c r="AU64" s="148" cm="1">
        <f t="array" aca="1" ref="AU64" ca="1">-IF($F64="Terminated",0,IF($AA64=0,0,IF(ISNA(MATCH(AU$5,PayDedList,0)),0,MIN(IF(COUNTIFS(OverEmp,$C64,OverDeduct,AU$5,OverDate,"&lt;"&amp;DATE(YEAR($AC64),MONTH($AC64)+1,1),OverEnd,"&gt;="&amp;DATE(YEAR($AC64),MONTH($AC64),1))&gt;0,SUMPRODUCT((PayEmp=$C64)*(PayDate&lt;=$AC64)*(OFFSET($N$6,1,MATCH(AU$5,PayDedList,0)-1,PayCount,1)))/$AA64*12*AU$3,IF(OR(AU$1="Fixed",AU$1="Not Used"),SUMPRODUCT((PayEmp=$C64)*(PayDate&lt;=$AC64)*(OFFSET($N$6,1,MATCH(AU$5,PayDedList,0)-1,PayCount,1)))/$AA64*12*AU$3,IF(ISNA(MATCH(OFFSET($N$2,0,MATCH(AU$5,PayDedList,0)-1,1,1),EarnListItem,0))=FALSE,SUMPRODUCT((PayEmp=$C64)*(PayDate&lt;=$AC64)*(OFFSET($N$6,1,MATCH(AU$5,PayDedList,0)-1,PayCount,1)))/$AA64*12*AU$3,(MIN(SUMPRODUCT((PayEmp=$C64)*(PayDate&lt;=$AC64)*(ISERROR(SEARCH(PayEarnCode,AU$2)))*(PayEarnType="Monthly")*(PayEarnValues))/$AA64*12,IF(ISNUMBER(OFFSET($N$3,0,MATCH(AU$5,PayDedList,0)-1,1,1)),OFFSET($N$3,0,MATCH(AU$5,PayDedList,0)-1,1,1),IgnoreMin)))*IF(COUNTIFS(EmpNo,$C64,OFFSET(Emp!$R$4,1,MATCH(AU$5,DedListItem,0)-1,EmpCount,1),"&lt;&gt;")&gt;0,VLOOKUP($C64,EmpAll,COLUMN(Emp!$R$4)+MATCH(AU$5,DedListItem,0)-1,0),OFFSET(Setup!$E$73,MATCH(AU$5,DedListItem,0),0,1,1))*AU$3))),IF(ISNUMBER(AU$4),AU$4,IgnoreMin)))))</f>
        <v>0</v>
      </c>
      <c r="AV64" s="148" cm="1">
        <f t="array" aca="1" ref="AV64" ca="1">-IF($F64="Terminated",0,IF($AA64=0,0,IF(ISNA(MATCH(AV$5,PayDedList,0)),0,MIN(IF(COUNTIFS(OverEmp,$C64,OverDeduct,AV$5,OverDate,"&lt;"&amp;DATE(YEAR($AC64),MONTH($AC64)+1,1),OverEnd,"&gt;="&amp;DATE(YEAR($AC64),MONTH($AC64),1))&gt;0,SUMPRODUCT((PayEmp=$C64)*(PayDate&lt;=$AC64)*(OFFSET($N$6,1,MATCH(AV$5,PayDedList,0)-1,PayCount,1)))/$AA64*12*AV$3,IF(OR(AV$1="Fixed",AV$1="Not Used"),SUMPRODUCT((PayEmp=$C64)*(PayDate&lt;=$AC64)*(OFFSET($N$6,1,MATCH(AV$5,PayDedList,0)-1,PayCount,1)))/$AA64*12*AV$3,IF(ISNA(MATCH(OFFSET($N$2,0,MATCH(AV$5,PayDedList,0)-1,1,1),EarnListItem,0))=FALSE,SUMPRODUCT((PayEmp=$C64)*(PayDate&lt;=$AC64)*(OFFSET($N$6,1,MATCH(AV$5,PayDedList,0)-1,PayCount,1)))/$AA64*12*AV$3,(MIN(SUMPRODUCT((PayEmp=$C64)*(PayDate&lt;=$AC64)*(ISERROR(SEARCH(PayEarnCode,AV$2)))*(PayEarnType="Monthly")*(PayEarnValues))/$AA64*12,IF(ISNUMBER(OFFSET($N$3,0,MATCH(AV$5,PayDedList,0)-1,1,1)),OFFSET($N$3,0,MATCH(AV$5,PayDedList,0)-1,1,1),IgnoreMin)))*IF(COUNTIFS(EmpNo,$C64,OFFSET(Emp!$R$4,1,MATCH(AV$5,DedListItem,0)-1,EmpCount,1),"&lt;&gt;")&gt;0,VLOOKUP($C64,EmpAll,COLUMN(Emp!$R$4)+MATCH(AV$5,DedListItem,0)-1,0),OFFSET(Setup!$E$73,MATCH(AV$5,DedListItem,0),0,1,1))*AV$3))),IF(ISNUMBER(AV$4),AV$4,IgnoreMin)))))</f>
        <v>0</v>
      </c>
      <c r="AW64" s="148" cm="1">
        <f t="array" aca="1" ref="AW64" ca="1">-IF($F64="Terminated",0,IF($AA64=0,0,IF(ISNA(MATCH(AW$5,PayDedList,0)),0,MIN(IF(COUNTIFS(OverEmp,$C64,OverDeduct,AW$5,OverDate,"&lt;"&amp;DATE(YEAR($AC64),MONTH($AC64)+1,1),OverEnd,"&gt;="&amp;DATE(YEAR($AC64),MONTH($AC64),1))&gt;0,SUMPRODUCT((PayEmp=$C64)*(PayDate&lt;=$AC64)*(OFFSET($N$6,1,MATCH(AW$5,PayDedList,0)-1,PayCount,1)))/$AA64*12*AW$3,IF(OR(AW$1="Fixed",AW$1="Not Used"),SUMPRODUCT((PayEmp=$C64)*(PayDate&lt;=$AC64)*(OFFSET($N$6,1,MATCH(AW$5,PayDedList,0)-1,PayCount,1)))/$AA64*12*AW$3,IF(ISNA(MATCH(OFFSET($N$2,0,MATCH(AW$5,PayDedList,0)-1,1,1),EarnListItem,0))=FALSE,SUMPRODUCT((PayEmp=$C64)*(PayDate&lt;=$AC64)*(OFFSET($N$6,1,MATCH(AW$5,PayDedList,0)-1,PayCount,1)))/$AA64*12*AW$3,(MIN(SUMPRODUCT((PayEmp=$C64)*(PayDate&lt;=$AC64)*(ISERROR(SEARCH(PayEarnCode,AW$2)))*(PayEarnType="Monthly")*(PayEarnValues))/$AA64*12,IF(ISNUMBER(OFFSET($N$3,0,MATCH(AW$5,PayDedList,0)-1,1,1)),OFFSET($N$3,0,MATCH(AW$5,PayDedList,0)-1,1,1),IgnoreMin)))*IF(COUNTIFS(EmpNo,$C64,OFFSET(Emp!$R$4,1,MATCH(AW$5,DedListItem,0)-1,EmpCount,1),"&lt;&gt;")&gt;0,VLOOKUP($C64,EmpAll,COLUMN(Emp!$R$4)+MATCH(AW$5,DedListItem,0)-1,0),OFFSET(Setup!$E$73,MATCH(AW$5,DedListItem,0),0,1,1))*AW$3))),IF(ISNUMBER(AW$4),AW$4,IgnoreMin)))))</f>
        <v>0</v>
      </c>
      <c r="AX64" s="148">
        <f t="shared" ca="1" si="28"/>
        <v>60000</v>
      </c>
      <c r="AY64" s="148">
        <f t="shared" ca="1" si="29"/>
        <v>0</v>
      </c>
      <c r="AZ64" s="148">
        <f ca="1">IF(ISNUMBER($AL64),($AR64*$AL64)-$AI64-$AK64,MAX(0,IF($AL64="B",IF($AR64&lt;Setup!$C$32,($AR64*Setup!$D$32)-$AI64-$AK64,(($AR64-VLOOKUP($AR64,TaxAll2,1,1))*OFFSET(Setup!$D$32,MATCH($AR64,TaxBracket2,1),0,1,1))+OFFSET(Setup!$E$31,MATCH($AR64,TaxBracket2,1),0,1,1)-$AI64-$AK64),IF($AR64&lt;Setup!$C$21,($AR64*Setup!$D$21)-$AI64-$AK64,(($AR64-VLOOKUP($AR64,TaxAll1,1,1))*OFFSET(Setup!$D$21,MATCH($AR64,TaxBracket1,1),0,1,1))+OFFSET(Setup!$E$20,MATCH($AR64,TaxBracket1,1),0,1,1)-$AI64-$AK64))))</f>
        <v>0</v>
      </c>
      <c r="BA64" s="148">
        <f ca="1">IF(ISNUMBER($AL64),($AX64*$AL64)-$AI64-$AK64,MAX(0,IF($AL64="B",IF($AX64&lt;Setup!$C$32,($AX64*Setup!$D$32)-$AI64-$AK64,(($AX64-VLOOKUP($AX64,TaxAll2,1,1))*OFFSET(Setup!$D$32,MATCH($AX64,TaxBracket2,1),0,1,1))+OFFSET(Setup!$E$31,MATCH($AX64,TaxBracket2,1),0,1,1)-$AI64-$AK64),IF($AX64&lt;Setup!$C$21,($AX64*Setup!$D$21)-$AI64-$AK64,(($AX64-VLOOKUP($AX64,TaxAll1,1,1))*OFFSET(Setup!$D$21,MATCH($AX64,TaxBracket1,1),0,1,1))+OFFSET(Setup!$E$20,MATCH($AX64,TaxBracket1,1),0,1,1)-$AI64-$AK64))))</f>
        <v>0</v>
      </c>
      <c r="BB64" s="148">
        <f t="shared" ca="1" si="23"/>
        <v>0</v>
      </c>
      <c r="BC64" s="150">
        <f t="shared" ca="1" si="15"/>
        <v>1</v>
      </c>
      <c r="BD64" s="150">
        <f t="shared" ca="1" si="16"/>
        <v>0</v>
      </c>
      <c r="BE64" s="148">
        <f t="shared" ca="1" si="17"/>
        <v>60000</v>
      </c>
    </row>
    <row r="65" spans="1:57" ht="16.149999999999999" customHeight="1" x14ac:dyDescent="0.25">
      <c r="A65" s="10" t="str" cm="1">
        <f t="array" aca="1" ref="A65" ca="1">IF(ROW($A65)-ROW($A$6)&gt;EmpCount*12,"-",TEXT($B65,"yyyy")&amp;TEXT($B65,"mm")&amp;"-"&amp;$C65)</f>
        <v>202306-EXS014</v>
      </c>
      <c r="B65" s="137" cm="1">
        <f t="array" aca="1" ref="B65" ca="1">IF(ROW($A65)-ROW($A$6)&gt;EmpCount*12,Setup!$D$12,DATE(YEAR(Setup!$F$12),MONTH(Setup!$F$12)+ROUNDDOWN((ROW($A65)-ROW($A$6)-1)/EmpCount,0),IF(Setup!$C$14&gt;DAY(DATE(YEAR(Setup!$F$12),MONTH(Setup!$F$12)+ROUNDDOWN((ROW($A65)-ROW($A$6)-1)/EmpCount,0)+1,0)),DAY(DATE(YEAR(Setup!$F$12),MONTH(Setup!$F$12)+ROUNDDOWN((ROW($A65)-ROW($A$6)-1)/EmpCount,0)+1,0)),Setup!$C$14)))</f>
        <v>45102</v>
      </c>
      <c r="C65" s="101" t="str" cm="1">
        <f t="array" aca="1" ref="C65" ca="1">IF(ROW($A65)-ROW($A$6)&gt;EmpCount*12,"-",OFFSET(Emp!$A$4,ROW($A65)-ROW($A$6)-IF(ROW($A65)-ROW($A$6)&gt;EmpCount,ROUNDDOWN((ROW($A65)-ROW($A$6)-1)/EmpCount,0)*EmpCount,0),0,1,1))</f>
        <v>EXS014</v>
      </c>
      <c r="D65" s="10" t="str">
        <f ca="1">IF(ISNA(VLOOKUP($C65,EmpAll,COLUMN(Emp!$B$4),0)),"-",VLOOKUP($C65,EmpAll,COLUMN(Emp!$B$4),0))</f>
        <v>Ross Q</v>
      </c>
      <c r="E65" s="145" t="str">
        <f ca="1">IF(ISNA(VLOOKUP($C65,EmpAll,COLUMN(Emp!$C$4),0)),"-",VLOOKUP($C65,EmpAll,COLUMN(Emp!$C$4),0))</f>
        <v>A</v>
      </c>
      <c r="F65" s="101" t="str">
        <f ca="1">IF(ISNA(VLOOKUP($C65,EmpAll,COLUMN(Emp!$A$4),0)),"-",IF(AND(VLOOKUP($C65,EmpAll,COLUMN(Emp!$E$4),0)&lt;&gt;0,VLOOKUP($C65,EmpAll,COLUMN(Emp!$E$4),0)&gt;=DATE(YEAR($AC65),MONTH($AC65)+1,0)),"Inactive",IF(AND(VLOOKUP($C65,EmpAll,COLUMN(Emp!$F$4),0)&lt;&gt;0,VLOOKUP($C65,EmpAll,COLUMN(Emp!$F$4),0)&lt;=DATE(YEAR($AC65),MONTH($AC65),0)),"Terminated","Active")))</f>
        <v>Active</v>
      </c>
      <c r="G65" s="133" cm="1">
        <f t="array" aca="1" ref="G65" ca="1">IF($F65&lt;&gt;"Active",0,IF(COUNTIFS(OverEmp,$C65,OverEarn,G$2,OverDate,"&lt;"&amp;DATE(YEAR($AC65),MONTH($AC65)+1,1),OverEnd,"&gt;="&amp;DATE(YEAR($AC65),MONTH($AC65),1))&gt;0,SUMIFS(OverValue,OverEmp,$C65,OverEarn,G$2,OverDate,"&lt;"&amp;DATE(YEAR($AC65),MONTH($AC65)+1,1),OverEnd,"&gt;="&amp;DATE(YEAR($AC65),MONTH($AC65),1)),IF(AND($AC65&gt;=Setup!$E$10,SUMIFS(EmpIncrease,EmpCode,$C65)&gt;0),SUMIFS(EmpIncrease,EmpCode,$C65),SUMIFS(EmpSalary,EmpCode,$C65))))</f>
        <v>29150</v>
      </c>
      <c r="H65" s="133" cm="1">
        <f t="array" aca="1" ref="H65" ca="1">IF($F65&lt;&gt;"Active",0,IF(COUNTIFS(OverEmp,$C65,OverEarn,H$2,OverDate,"&lt;"&amp;DATE(YEAR($AC65),MONTH($AC65)+1,1),OverEnd,"&gt;="&amp;DATE(YEAR($AC65),MONTH($AC65),1))&gt;0,SUMIFS(OverValue,OverEmp,$C65,OverEarn,H$2,OverDate,"&lt;"&amp;DATE(YEAR($AC65),MONTH($AC65)+1,1),OverEnd,"&gt;="&amp;DATE(YEAR($AC65),MONTH($AC65),1)),0))</f>
        <v>0</v>
      </c>
      <c r="I65" s="133" cm="1">
        <f t="array" aca="1" ref="I65" ca="1">IF($F65&lt;&gt;"Active",0,IF(COUNTIFS(OverEmp,$C65,OverEarn,I$2,OverDate,"&lt;"&amp;DATE(YEAR($AC65),MONTH($AC65)+1,1),OverEnd,"&gt;="&amp;DATE(YEAR($AC65),MONTH($AC65),1))&gt;0,SUMIFS(OverValue,OverEmp,$C65,OverEarn,I$2,OverDate,"&lt;"&amp;DATE(YEAR($AC65),MONTH($AC65)+1,1),OverEnd,"&gt;="&amp;DATE(YEAR($AC65),MONTH($AC65),1)),IF(MONTH(B65)=Setup!$C$15,SUMIFS(EmpBonus,EmpCode,$C65),0)))</f>
        <v>0</v>
      </c>
      <c r="J65" s="133" cm="1">
        <f t="array" aca="1" ref="J65" ca="1">IF($F65&lt;&gt;"Active",0,IF(COUNTIFS(OverEmp,$C65,OverEarn,J$2,OverDate,"&lt;"&amp;DATE(YEAR($AC65),MONTH($AC65)+1,1),OverEnd,"&gt;="&amp;DATE(YEAR($AC65),MONTH($AC65),1))&gt;0,SUMIFS(OverValue,OverEmp,$C65,OverEarn,J$2,OverDate,"&lt;"&amp;DATE(YEAR($AC65),MONTH($AC65)+1,1),OverEnd,"&gt;="&amp;DATE(YEAR($AC65),MONTH($AC65),1)),0))</f>
        <v>0</v>
      </c>
      <c r="K65" s="133" cm="1">
        <f t="array" aca="1" ref="K65" ca="1">IF($F65&lt;&gt;"Active",0,IF(COUNTIFS(OverEmp,$C65,OverEarn,K$2,OverDate,"&lt;"&amp;DATE(YEAR($AC65),MONTH($AC65)+1,1),OverEnd,"&gt;="&amp;DATE(YEAR($AC65),MONTH($AC65),1))&gt;0,SUMIFS(OverValue,OverEmp,$C65,OverEarn,K$2,OverDate,"&lt;"&amp;DATE(YEAR($AC65),MONTH($AC65)+1,1),OverEnd,"&gt;="&amp;DATE(YEAR($AC65),MONTH($AC65),1)),0))</f>
        <v>0</v>
      </c>
      <c r="L65" s="185">
        <f t="shared" ca="1" si="24"/>
        <v>29150</v>
      </c>
      <c r="M65" s="182" cm="1">
        <f t="array" aca="1" ref="M65" ca="1">IF(COUNTIFS(OverEmp,$C65,OverTax,M$5,OverDate,"&lt;"&amp;DATE(YEAR($AC65),MONTH($AC65)+1,1),OverEnd,"&gt;="&amp;DATE(YEAR($AC65),MONTH($AC65),1))&gt;0,SUMIFS(OverValue,OverEmp,$C65,OverTax,M$5,OverDate,"&lt;"&amp;DATE(YEAR($AC65),MONTH($AC65)+1,1),OverEnd,"&gt;="&amp;DATE(YEAR($AC65),MONTH($AC65),1)),(($BA65/12*$AA65)+(BB65*IF(1-$BC65=0,0,BD65/(1-$BC65))))-IF($F65="Terminated",0,SUMIFS(PayTaxDeduct,PayDate,"&lt;"&amp;$AC65,PayEmp,$C65)))</f>
        <v>4562.083333333333</v>
      </c>
      <c r="N65" s="133" cm="1">
        <f t="array" aca="1" ref="N65" ca="1">IF($F65="Terminated",0,IF($AA65=0,0,IF(ISNA(MATCH(N$5,DedListItem,0)),0,IF(COUNTIFS(OverEmp,$C65,OverDeduct,N$5,OverDate,"&lt;"&amp;DATE(YEAR($AC65),MONTH($AC65)+1,1),OverEnd,"&gt;="&amp;DATE(YEAR($AC65),MONTH($AC65),1))&gt;0,SUMIFS(OverValue,OverEmp,$C65,OverDeduct,N$5,OverDate,"&lt;"&amp;DATE(YEAR($AC65),MONTH($AC65)+1,1),OverEnd,"&gt;="&amp;DATE(YEAR($AC65),MONTH($AC65),1)),IF(OR(N$2="Fixed",N$2="Not Used"),(IF(COUNTIFS(EmpNo,$C65,OFFSET(Emp!$R$4,1,MATCH(N$5,DedListItem,0)-1,EmpCount,1),"&lt;&gt;")&gt;0,VLOOKUP($C65,EmpAll,COLUMN(Emp!$R$4)+MATCH(N$5,DedListItem,0)-1,0),OFFSET(Setup!$E$73,MATCH(N$5,DedListItem,0),0,1,1))*$AA65)-SUMIFS(OFFSET(N$6,1,0,PayCount,1),PayDate,"&lt;"&amp;$AC65,PayEmp,$C65),IF(ISNA(MATCH(N$2,EarnListItem,0))=FALSE,IF(OFFSET(Setup!$G$73,MATCH(N$5,DedListItem,0),0,1,1)="Taxable",SUMPRODUCT((PayEmp=$C65)*(PayDate&lt;=$AC65)*(PayEarnCode=N$2)*(PayEarnTax)*(PayEarnValues)),SUMPRODUCT((PayEmp=$C65)*(PayDate&lt;=$AC65)*(PayEarnCode=N$2)*(PayEarnValues)))*IF(COUNTIFS(EmpNo,$C65,OFFSET(Emp!$R$4,1,MATCH(N$5,DedListItem,0)-1,EmpCount,1),"&lt;&gt;")&gt;0,VLOOKUP($C65,EmpAll,COLUMN(Emp!$R$4)+MATCH(N$5,DedListItem,0)-1,0),OFFSET(Setup!$E$73,MATCH(N$5,DedListItem,0),0,1,1)),(MIN(IF(OFFSET(Setup!$G$73,MATCH(N$5,DedListItem,0),0,1,1)="Taxable",SUMPRODUCT((PayEmp=$C65)*(PayDate&lt;=$AC65)*(ISERROR(SEARCH(PayEarnCode,N$4)))*(PayEarnTax)*(PayEarnValues)),SUMPRODUCT((PayEmp=$C65)*(PayDate&lt;=$AC65)*(ISERROR(SEARCH(PayEarnCode,N$4)))*(PayEarnValues))),IF(ISNUMBER(N$3),N$3/12*$AA65,IgnoreMin)))*IF(COUNTIFS(EmpNo,$C65,OFFSET(Emp!$R$4,1,MATCH(N$5,DedListItem,0)-1,EmpCount,1),"&lt;&gt;")&gt;0,VLOOKUP($C65,EmpAll,COLUMN(Emp!$R$4)+MATCH(N$5,DedListItem,0)-1,0),OFFSET(Setup!$E$73,MATCH(N$5,DedListItem,0),0,1,1)))-SUMIFS(OFFSET(N$6,1,0,PayCount,1),PayDate,"&lt;"&amp;$AC65,PayEmp,$C65))))))</f>
        <v>177.12</v>
      </c>
      <c r="O65" s="133" cm="1">
        <f t="array" aca="1" ref="O65" ca="1">IF($F65="Terminated",0,IF($AA65=0,0,IF(ISNA(MATCH(O$5,DedListItem,0)),0,IF(COUNTIFS(OverEmp,$C65,OverDeduct,O$5,OverDate,"&lt;"&amp;DATE(YEAR($AC65),MONTH($AC65)+1,1),OverEnd,"&gt;="&amp;DATE(YEAR($AC65),MONTH($AC65),1))&gt;0,SUMIFS(OverValue,OverEmp,$C65,OverDeduct,O$5,OverDate,"&lt;"&amp;DATE(YEAR($AC65),MONTH($AC65)+1,1),OverEnd,"&gt;="&amp;DATE(YEAR($AC65),MONTH($AC65),1)),IF(OR(O$2="Fixed",O$2="Not Used"),(IF(COUNTIFS(EmpNo,$C65,OFFSET(Emp!$R$4,1,MATCH(O$5,DedListItem,0)-1,EmpCount,1),"&lt;&gt;")&gt;0,VLOOKUP($C65,EmpAll,COLUMN(Emp!$R$4)+MATCH(O$5,DedListItem,0)-1,0),OFFSET(Setup!$E$73,MATCH(O$5,DedListItem,0),0,1,1))*$AA65)-SUMIFS(OFFSET(O$6,1,0,PayCount,1),PayDate,"&lt;"&amp;$AC65,PayEmp,$C65),IF(ISNA(MATCH(O$2,EarnListItem,0))=FALSE,IF(OFFSET(Setup!$G$73,MATCH(O$5,DedListItem,0),0,1,1)="Taxable",SUMPRODUCT((PayEmp=$C65)*(PayDate&lt;=$AC65)*(PayEarnCode=O$2)*(PayEarnTax)*(PayEarnValues)),SUMPRODUCT((PayEmp=$C65)*(PayDate&lt;=$AC65)*(PayEarnCode=O$2)*(PayEarnValues)))*IF(COUNTIFS(EmpNo,$C65,OFFSET(Emp!$R$4,1,MATCH(O$5,DedListItem,0)-1,EmpCount,1),"&lt;&gt;")&gt;0,VLOOKUP($C65,EmpAll,COLUMN(Emp!$R$4)+MATCH(O$5,DedListItem,0)-1,0),OFFSET(Setup!$E$73,MATCH(O$5,DedListItem,0),0,1,1)),(MIN(IF(OFFSET(Setup!$G$73,MATCH(O$5,DedListItem,0),0,1,1)="Taxable",SUMPRODUCT((PayEmp=$C65)*(PayDate&lt;=$AC65)*(ISERROR(SEARCH(PayEarnCode,O$4)))*(PayEarnTax)*(PayEarnValues)),SUMPRODUCT((PayEmp=$C65)*(PayDate&lt;=$AC65)*(ISERROR(SEARCH(PayEarnCode,O$4)))*(PayEarnValues))),IF(ISNUMBER(O$3),O$3/12*$AA65,IgnoreMin)))*IF(COUNTIFS(EmpNo,$C65,OFFSET(Emp!$R$4,1,MATCH(O$5,DedListItem,0)-1,EmpCount,1),"&lt;&gt;")&gt;0,VLOOKUP($C65,EmpAll,COLUMN(Emp!$R$4)+MATCH(O$5,DedListItem,0)-1,0),OFFSET(Setup!$E$73,MATCH(O$5,DedListItem,0),0,1,1)))-SUMIFS(OFFSET(O$6,1,0,PayCount,1),PayDate,"&lt;"&amp;$AC65,PayEmp,$C65))))))</f>
        <v>0</v>
      </c>
      <c r="P65" s="133" cm="1">
        <f t="array" aca="1" ref="P65" ca="1">IF($F65="Terminated",0,IF($AA65=0,0,IF(ISNA(MATCH(P$5,DedListItem,0)),0,IF(COUNTIFS(OverEmp,$C65,OverDeduct,P$5,OverDate,"&lt;"&amp;DATE(YEAR($AC65),MONTH($AC65)+1,1),OverEnd,"&gt;="&amp;DATE(YEAR($AC65),MONTH($AC65),1))&gt;0,SUMIFS(OverValue,OverEmp,$C65,OverDeduct,P$5,OverDate,"&lt;"&amp;DATE(YEAR($AC65),MONTH($AC65)+1,1),OverEnd,"&gt;="&amp;DATE(YEAR($AC65),MONTH($AC65),1)),IF(OR(P$2="Fixed",P$2="Not Used"),(IF(COUNTIFS(EmpNo,$C65,OFFSET(Emp!$R$4,1,MATCH(P$5,DedListItem,0)-1,EmpCount,1),"&lt;&gt;")&gt;0,VLOOKUP($C65,EmpAll,COLUMN(Emp!$R$4)+MATCH(P$5,DedListItem,0)-1,0),OFFSET(Setup!$E$73,MATCH(P$5,DedListItem,0),0,1,1))*$AA65)-SUMIFS(OFFSET(P$6,1,0,PayCount,1),PayDate,"&lt;"&amp;$AC65,PayEmp,$C65),IF(ISNA(MATCH(P$2,EarnListItem,0))=FALSE,IF(OFFSET(Setup!$G$73,MATCH(P$5,DedListItem,0),0,1,1)="Taxable",SUMPRODUCT((PayEmp=$C65)*(PayDate&lt;=$AC65)*(PayEarnCode=P$2)*(PayEarnTax)*(PayEarnValues)),SUMPRODUCT((PayEmp=$C65)*(PayDate&lt;=$AC65)*(PayEarnCode=P$2)*(PayEarnValues)))*IF(COUNTIFS(EmpNo,$C65,OFFSET(Emp!$R$4,1,MATCH(P$5,DedListItem,0)-1,EmpCount,1),"&lt;&gt;")&gt;0,VLOOKUP($C65,EmpAll,COLUMN(Emp!$R$4)+MATCH(P$5,DedListItem,0)-1,0),OFFSET(Setup!$E$73,MATCH(P$5,DedListItem,0),0,1,1)),(MIN(IF(OFFSET(Setup!$G$73,MATCH(P$5,DedListItem,0),0,1,1)="Taxable",SUMPRODUCT((PayEmp=$C65)*(PayDate&lt;=$AC65)*(ISERROR(SEARCH(PayEarnCode,P$4)))*(PayEarnTax)*(PayEarnValues)),SUMPRODUCT((PayEmp=$C65)*(PayDate&lt;=$AC65)*(ISERROR(SEARCH(PayEarnCode,P$4)))*(PayEarnValues))),IF(ISNUMBER(P$3),P$3/12*$AA65,IgnoreMin)))*IF(COUNTIFS(EmpNo,$C65,OFFSET(Emp!$R$4,1,MATCH(P$5,DedListItem,0)-1,EmpCount,1),"&lt;&gt;")&gt;0,VLOOKUP($C65,EmpAll,COLUMN(Emp!$R$4)+MATCH(P$5,DedListItem,0)-1,0),OFFSET(Setup!$E$73,MATCH(P$5,DedListItem,0),0,1,1)))-SUMIFS(OFFSET(P$6,1,0,PayCount,1),PayDate,"&lt;"&amp;$AC65,PayEmp,$C65))))))</f>
        <v>0</v>
      </c>
      <c r="Q65" s="133" cm="1">
        <f t="array" aca="1" ref="Q65" ca="1">IF($F65="Terminated",0,IF($AA65=0,0,IF(ISNA(MATCH(Q$5,DedListItem,0)),0,IF(COUNTIFS(OverEmp,$C65,OverDeduct,Q$5,OverDate,"&lt;"&amp;DATE(YEAR($AC65),MONTH($AC65)+1,1),OverEnd,"&gt;="&amp;DATE(YEAR($AC65),MONTH($AC65),1))&gt;0,SUMIFS(OverValue,OverEmp,$C65,OverDeduct,Q$5,OverDate,"&lt;"&amp;DATE(YEAR($AC65),MONTH($AC65)+1,1),OverEnd,"&gt;="&amp;DATE(YEAR($AC65),MONTH($AC65),1)),IF(OR(Q$2="Fixed",Q$2="Not Used"),(IF(COUNTIFS(EmpNo,$C65,OFFSET(Emp!$R$4,1,MATCH(Q$5,DedListItem,0)-1,EmpCount,1),"&lt;&gt;")&gt;0,VLOOKUP($C65,EmpAll,COLUMN(Emp!$R$4)+MATCH(Q$5,DedListItem,0)-1,0),OFFSET(Setup!$E$73,MATCH(Q$5,DedListItem,0),0,1,1))*$AA65)-SUMIFS(OFFSET(Q$6,1,0,PayCount,1),PayDate,"&lt;"&amp;$AC65,PayEmp,$C65),IF(ISNA(MATCH(Q$2,EarnListItem,0))=FALSE,IF(OFFSET(Setup!$G$73,MATCH(Q$5,DedListItem,0),0,1,1)="Taxable",SUMPRODUCT((PayEmp=$C65)*(PayDate&lt;=$AC65)*(PayEarnCode=Q$2)*(PayEarnTax)*(PayEarnValues)),SUMPRODUCT((PayEmp=$C65)*(PayDate&lt;=$AC65)*(PayEarnCode=Q$2)*(PayEarnValues)))*IF(COUNTIFS(EmpNo,$C65,OFFSET(Emp!$R$4,1,MATCH(Q$5,DedListItem,0)-1,EmpCount,1),"&lt;&gt;")&gt;0,VLOOKUP($C65,EmpAll,COLUMN(Emp!$R$4)+MATCH(Q$5,DedListItem,0)-1,0),OFFSET(Setup!$E$73,MATCH(Q$5,DedListItem,0),0,1,1)),(MIN(IF(OFFSET(Setup!$G$73,MATCH(Q$5,DedListItem,0),0,1,1)="Taxable",SUMPRODUCT((PayEmp=$C65)*(PayDate&lt;=$AC65)*(ISERROR(SEARCH(PayEarnCode,Q$4)))*(PayEarnTax)*(PayEarnValues)),SUMPRODUCT((PayEmp=$C65)*(PayDate&lt;=$AC65)*(ISERROR(SEARCH(PayEarnCode,Q$4)))*(PayEarnValues))),IF(ISNUMBER(Q$3),Q$3/12*$AA65,IgnoreMin)))*IF(COUNTIFS(EmpNo,$C65,OFFSET(Emp!$R$4,1,MATCH(Q$5,DedListItem,0)-1,EmpCount,1),"&lt;&gt;")&gt;0,VLOOKUP($C65,EmpAll,COLUMN(Emp!$R$4)+MATCH(Q$5,DedListItem,0)-1,0),OFFSET(Setup!$E$73,MATCH(Q$5,DedListItem,0),0,1,1)))-SUMIFS(OFFSET(Q$6,1,0,PayCount,1),PayDate,"&lt;"&amp;$AC65,PayEmp,$C65))))))</f>
        <v>0</v>
      </c>
      <c r="R65" s="185">
        <f t="shared" ca="1" si="25"/>
        <v>4739.2033333333329</v>
      </c>
      <c r="S65" s="139">
        <f t="shared" ca="1" si="26"/>
        <v>24410.799999999999</v>
      </c>
      <c r="T65" s="133" cm="1">
        <f t="array" aca="1" ref="T65" ca="1">IF($F65="Terminated",0,IF($AA65=0,0,IF(ISNA(MATCH(T$5,CompListItem,0)),0,IF(COUNTIFS(OverEmp,$C65,OverComp,T$5,OverDate,"&lt;"&amp;DATE(YEAR($AC65),MONTH($AC65)+1,1),OverEnd,"&gt;="&amp;DATE(YEAR($AC65),MONTH($AC65),1))&gt;0,SUMIFS(OverValue,OverEmp,$C65,OverComp,T$5,OverDate,"&lt;"&amp;DATE(YEAR($AC65),MONTH($AC65)+1,1),OverEnd,"&gt;="&amp;DATE(YEAR($AC65),MONTH($AC65),1)),IF(OR(T$2="Fixed",T$2="Not Used"),(OFFSET(Setup!$E$81,MATCH(T$5,CompListItem,0),0,1,1)*$AA65)-SUMIFS(OFFSET(T$6,1,0,PayCount,1),PayDate,"&lt;"&amp;$AC65,PayEmp,$C65),IF(ISNA(MATCH(T$2,DedListItem,0))=FALSE,(SUMPRODUCT((PayEmp=$C65)*(PayDate&lt;=$AC65)*(PayDedList=T$2)*(PayDedValues))*OFFSET(Setup!$E$81,MATCH(T$5,CompListItem,0),0,1,1))-SUMIFS(OFFSET(T$6,1,0,PayCount,1),PayDate,"&lt;"&amp;$AC65,PayEmp,$C65),(MIN(IF(OFFSET(Setup!$G$81,MATCH(T$5,CompListItem,0),0,1,1)="Taxable",SUMPRODUCT((PayEmp=$C65)*(PayDate&lt;=$AC65)*(ISERROR(SEARCH(PayEarnCode,T$4)))*(PayEarnTax)*(PayEarnValues)),SUMPRODUCT((PayEmp=$C65)*(PayDate&lt;=$AC65)*(ISERROR(SEARCH(PayEarnCode,T$4)))*(PayEarnValues))),IF(ISNUMBER(T$3),T$3/12*$AA65,IgnoreMin)))*OFFSET(Setup!$E$81,MATCH(T$5,CompListItem,0),0,1,1)-SUMIFS(OFFSET(T$6,1,0,PayCount,1),PayDate,"&lt;"&amp;$AC65,PayEmp,$C65)))))))</f>
        <v>177.12</v>
      </c>
      <c r="U65" s="133" cm="1">
        <f t="array" aca="1" ref="U65" ca="1">IF($F65="Terminated",0,IF($AA65=0,0,IF(ISNA(MATCH(U$5,CompListItem,0)),0,IF(COUNTIFS(OverEmp,$C65,OverComp,U$5,OverDate,"&lt;"&amp;DATE(YEAR($AC65),MONTH($AC65)+1,1),OverEnd,"&gt;="&amp;DATE(YEAR($AC65),MONTH($AC65),1))&gt;0,SUMIFS(OverValue,OverEmp,$C65,OverComp,U$5,OverDate,"&lt;"&amp;DATE(YEAR($AC65),MONTH($AC65)+1,1),OverEnd,"&gt;="&amp;DATE(YEAR($AC65),MONTH($AC65),1)),IF(OR(U$2="Fixed",U$2="Not Used"),(OFFSET(Setup!$E$81,MATCH(U$5,CompListItem,0),0,1,1)*$AA65)-SUMIFS(OFFSET(U$6,1,0,PayCount,1),PayDate,"&lt;"&amp;$AC65,PayEmp,$C65),IF(ISNA(MATCH(U$2,DedListItem,0))=FALSE,(SUMPRODUCT((PayEmp=$C65)*(PayDate&lt;=$AC65)*(PayDedList=U$2)*(PayDedValues))*OFFSET(Setup!$E$81,MATCH(U$5,CompListItem,0),0,1,1))-SUMIFS(OFFSET(U$6,1,0,PayCount,1),PayDate,"&lt;"&amp;$AC65,PayEmp,$C65),(MIN(IF(OFFSET(Setup!$G$81,MATCH(U$5,CompListItem,0),0,1,1)="Taxable",SUMPRODUCT((PayEmp=$C65)*(PayDate&lt;=$AC65)*(ISERROR(SEARCH(PayEarnCode,U$4)))*(PayEarnTax)*(PayEarnValues)),SUMPRODUCT((PayEmp=$C65)*(PayDate&lt;=$AC65)*(ISERROR(SEARCH(PayEarnCode,U$4)))*(PayEarnValues))),IF(ISNUMBER(U$3),U$3/12*$AA65,IgnoreMin)))*OFFSET(Setup!$E$81,MATCH(U$5,CompListItem,0),0,1,1)-SUMIFS(OFFSET(U$6,1,0,PayCount,1),PayDate,"&lt;"&amp;$AC65,PayEmp,$C65)))))))</f>
        <v>291.5</v>
      </c>
      <c r="V65" s="133" cm="1">
        <f t="array" aca="1" ref="V65" ca="1">IF($F65="Terminated",0,IF($AA65=0,0,IF(ISNA(MATCH(V$5,CompListItem,0)),0,IF(COUNTIFS(OverEmp,$C65,OverComp,V$5,OverDate,"&lt;"&amp;DATE(YEAR($AC65),MONTH($AC65)+1,1),OverEnd,"&gt;="&amp;DATE(YEAR($AC65),MONTH($AC65),1))&gt;0,SUMIFS(OverValue,OverEmp,$C65,OverComp,V$5,OverDate,"&lt;"&amp;DATE(YEAR($AC65),MONTH($AC65)+1,1),OverEnd,"&gt;="&amp;DATE(YEAR($AC65),MONTH($AC65),1)),IF(OR(V$2="Fixed",V$2="Not Used"),(OFFSET(Setup!$E$81,MATCH(V$5,CompListItem,0),0,1,1)*$AA65)-SUMIFS(OFFSET(V$6,1,0,PayCount,1),PayDate,"&lt;"&amp;$AC65,PayEmp,$C65),IF(ISNA(MATCH(V$2,DedListItem,0))=FALSE,(SUMPRODUCT((PayEmp=$C65)*(PayDate&lt;=$AC65)*(PayDedList=V$2)*(PayDedValues))*OFFSET(Setup!$E$81,MATCH(V$5,CompListItem,0),0,1,1))-SUMIFS(OFFSET(V$6,1,0,PayCount,1),PayDate,"&lt;"&amp;$AC65,PayEmp,$C65),(MIN(IF(OFFSET(Setup!$G$81,MATCH(V$5,CompListItem,0),0,1,1)="Taxable",SUMPRODUCT((PayEmp=$C65)*(PayDate&lt;=$AC65)*(ISERROR(SEARCH(PayEarnCode,V$4)))*(PayEarnTax)*(PayEarnValues)),SUMPRODUCT((PayEmp=$C65)*(PayDate&lt;=$AC65)*(ISERROR(SEARCH(PayEarnCode,V$4)))*(PayEarnValues))),IF(ISNUMBER(V$3),V$3/12*$AA65,IgnoreMin)))*OFFSET(Setup!$E$81,MATCH(V$5,CompListItem,0),0,1,1)-SUMIFS(OFFSET(V$6,1,0,PayCount,1),PayDate,"&lt;"&amp;$AC65,PayEmp,$C65)))))))</f>
        <v>0</v>
      </c>
      <c r="W65" s="133" cm="1">
        <f t="array" aca="1" ref="W65" ca="1">IF($F65="Terminated",0,IF($AA65=0,0,IF(ISNA(MATCH(W$5,CompListItem,0)),0,IF(COUNTIFS(OverEmp,$C65,OverComp,W$5,OverDate,"&lt;"&amp;DATE(YEAR($AC65),MONTH($AC65)+1,1),OverEnd,"&gt;="&amp;DATE(YEAR($AC65),MONTH($AC65),1))&gt;0,SUMIFS(OverValue,OverEmp,$C65,OverComp,W$5,OverDate,"&lt;"&amp;DATE(YEAR($AC65),MONTH($AC65)+1,1),OverEnd,"&gt;="&amp;DATE(YEAR($AC65),MONTH($AC65),1)),IF(OR(W$2="Fixed",W$2="Not Used"),(OFFSET(Setup!$E$81,MATCH(W$5,CompListItem,0),0,1,1)*$AA65)-SUMIFS(OFFSET(W$6,1,0,PayCount,1),PayDate,"&lt;"&amp;$AC65,PayEmp,$C65),IF(ISNA(MATCH(W$2,DedListItem,0))=FALSE,(SUMPRODUCT((PayEmp=$C65)*(PayDate&lt;=$AC65)*(PayDedList=W$2)*(PayDedValues))*OFFSET(Setup!$E$81,MATCH(W$5,CompListItem,0),0,1,1))-SUMIFS(OFFSET(W$6,1,0,PayCount,1),PayDate,"&lt;"&amp;$AC65,PayEmp,$C65),(MIN(IF(OFFSET(Setup!$G$81,MATCH(W$5,CompListItem,0),0,1,1)="Taxable",SUMPRODUCT((PayEmp=$C65)*(PayDate&lt;=$AC65)*(ISERROR(SEARCH(PayEarnCode,W$4)))*(PayEarnTax)*(PayEarnValues)),SUMPRODUCT((PayEmp=$C65)*(PayDate&lt;=$AC65)*(ISERROR(SEARCH(PayEarnCode,W$4)))*(PayEarnValues))),IF(ISNUMBER(W$3),W$3/12*$AA65,IgnoreMin)))*OFFSET(Setup!$E$81,MATCH(W$5,CompListItem,0),0,1,1)-SUMIFS(OFFSET(W$6,1,0,PayCount,1),PayDate,"&lt;"&amp;$AC65,PayEmp,$C65)))))))</f>
        <v>0</v>
      </c>
      <c r="X65" s="185">
        <f t="shared" ca="1" si="18"/>
        <v>468.62</v>
      </c>
      <c r="Y65" s="139">
        <f t="shared" ca="1" si="27"/>
        <v>29618.62</v>
      </c>
      <c r="Z65" s="139">
        <f t="shared" ca="1" si="19"/>
        <v>5207.82</v>
      </c>
      <c r="AA65" s="146">
        <f ca="1">IF(OR($B65&lt;=Setup!$E$12,$B65&gt;=Setup!$D$12+1),0,IF($F65&lt;&gt;"Active",0,IF($AE65="Yes",$AB65,((YEAR($AC65)*12)+MONTH($AC65))-((YEAR($AD65)*12)+MONTH($AD65)-1))))</f>
        <v>1</v>
      </c>
      <c r="AB65" s="146">
        <f ca="1">IF(OR($B65&lt;=Setup!$E$12,$B65&gt;=Setup!$D$12+1),0,((YEAR($AC65)*12)+MONTH($AC65))-((YEAR(Setup!$E$12)*12)+MONTH(Setup!$E$12)))</f>
        <v>4</v>
      </c>
      <c r="AC65" s="186">
        <f t="shared" ca="1" si="20"/>
        <v>45102</v>
      </c>
      <c r="AD65" s="144">
        <f ca="1">IF(ISNA(VLOOKUP($C65,EmpAll,COLUMN(Emp!$E$4),0)),$AC65,IF(VLOOKUP($C65,EmpAll,COLUMN(Emp!$E$4),0)&lt;=Setup!$E$12,DATE(YEAR(Setup!$E$12),MONTH(Setup!$E$12)+1,1),VLOOKUP($C65,EmpAll,COLUMN(Emp!$E$4),0)))</f>
        <v>45102</v>
      </c>
      <c r="AE65" s="144" t="str">
        <f ca="1">IF(ISNA(VLOOKUP($C65,EmpAll,COLUMN(Emp!$G$1),0)),"-",IF(VLOOKUP($C65,EmpAll,COLUMN(Emp!$G$1),0)=0,"-",VLOOKUP($C65,EmpAll,COLUMN(Emp!$G$1),0)))</f>
        <v>-</v>
      </c>
      <c r="AF65" s="145">
        <f ca="1">IF(A65=PaySlip!$G$3,1,0)</f>
        <v>0</v>
      </c>
      <c r="AG65" s="130" cm="1">
        <f t="array" aca="1" ref="AG65" ca="1">IF(COUNTIFS(OverEmp,$C65,OverMed,"MED",OverDate,"&lt;"&amp;DATE(YEAR($AC65),MONTH($AC65)+1,1),OverEnd,"&gt;="&amp;DATE(YEAR($AC65),MONTH($AC65),1))&gt;0,SUMIFS(OverValue,OverEmp,$C65,OverMed,"MED",OverDate,"&lt;"&amp;DATE(YEAR($AC65),MONTH($AC65)+1,1),OverEnd,"&gt;="&amp;DATE(YEAR($AC65),MONTH($AC65),1)),IF(ISNA(VLOOKUP($C65,EmpAll,COLUMN(Emp!$N$4),0)),0,VLOOKUP($C65,EmpAll,COLUMN(Emp!$N$4),0)))</f>
        <v>0</v>
      </c>
      <c r="AH65" s="146">
        <f ca="1">VLOOKUP($AG65,MedList,COLUMN(Setup!$C$49),1)</f>
        <v>0</v>
      </c>
      <c r="AI65" s="146">
        <f t="shared" ca="1" si="7"/>
        <v>0</v>
      </c>
      <c r="AJ65" s="101" t="str">
        <f ca="1">IF(ISNA(VLOOKUP($C65,EmpAll,COLUMN(Emp!$L$4),0)),"None!",VLOOKUP($C65,EmpAll,COLUMN(Emp!$L$4),0))</f>
        <v>A</v>
      </c>
      <c r="AK65" s="147">
        <f t="shared" ca="1" si="21"/>
        <v>17235</v>
      </c>
      <c r="AL65" s="101" t="str">
        <f ca="1">IF(ISNA(VLOOKUP($C65,Employees[],COLUMN(Emp!$M$4),0))=TRUE,"Error!",IF(VLOOKUP($C65,Employees[],COLUMN(Emp!$M$4),0)=0,"Yes",VLOOKUP($C65,Employees[],COLUMN(Emp!$M$4),0)))</f>
        <v>A</v>
      </c>
      <c r="AM65" s="148">
        <f t="shared" ca="1" si="9"/>
        <v>349800</v>
      </c>
      <c r="AN65" s="148" cm="1">
        <f t="array" aca="1" ref="AN65" ca="1">-IF($F65="Terminated",0,IF($AA65=0,0,IF(ISNA(MATCH(AN$5,PayDedList,0)),0,MIN(IF(COUNTIFS(OverEmp,$C65,OverDeduct,AN$5,OverDate,"&lt;"&amp;DATE(YEAR($AC65),MONTH($AC65)+1,1),OverEnd,"&gt;="&amp;DATE(YEAR($AC65),MONTH($AC65),1))&gt;0,SUMPRODUCT((PayEmp=$C65)*(PayDate&lt;=$AC65)*(OFFSET($N$6,1,MATCH(AN$5,PayDedList,0)-1,PayCount,1)))/$AA65*12*AN$3,IF(OR(AN$1="Fixed",AN$1="Not Used"),SUMPRODUCT((PayEmp=$C65)*(PayDate&lt;=$AC65)*(OFFSET($N$6,1,MATCH(AN$5,PayDedList,0)-1,PayCount,1)))/$AA65*12*AN$3,IF(ISNA(MATCH(AN$1,EarnListItem,0))=FALSE,SUMPRODUCT((PayEmp=$C65)*(PayDate&lt;=$AC65)*(OFFSET($N$6,1,MATCH(AN$5,PayDedList,0)-1,PayCount,1)))/$AA65*12*AN$3,(MIN(((SUMPRODUCT((PayEmp=$C65)*(PayDate&lt;=$AC65)*(ISERROR(SEARCH(PayEarnCode,AN$2)))*(PayEarnType="Monthly")*(PayEarnValues))/$AA65*12)+(SUMPRODUCT((PayEmp=$C65)*(PayDate&lt;=$AC65)*(ISERROR(SEARCH(PayEarnCode,AN$2)))*(PayEarnType="Quarterly")*(PayEarnValues))/MAX(1,ROUNDDOWN($AB65/3,0))*4)+(SUMPRODUCT((PayEmp=$C65)*(PayDate&lt;=$AC65)*(ISERROR(SEARCH(PayEarnCode,AN$2)))*(PayEarnType="Bi-Annual")*(PayEarnValues))/MAX(1,ROUNDDOWN($AB65/6,0))*2)+(SUMPRODUCT((PayEmp=$C65)*(PayDate&lt;=$AC65)*(ISERROR(SEARCH(PayEarnCode,AN$2)))*(PayEarnType="Annual")*(PayEarnValues)))),IF(ISNUMBER(OFFSET($N$3,0,MATCH(AN$5,PayDedList,0)-1,1,1)),OFFSET($N$3,0,MATCH(AN$5,PayDedList,0)-1,1,1),IgnoreMin)))*IF(COUNTIFS(EmpNo,$C65,OFFSET(Emp!$R$4,1,MATCH(AN$5,DedListItem,0)-1,EmpCount,1),"&lt;&gt;")&gt;0,VLOOKUP($C65,EmpAll,COLUMN(Emp!$R$4)+MATCH(AN$5,DedListItem,0)-1,0),OFFSET(Setup!$E$73,MATCH(AN$5,DedListItem,0),0,1,1))*AN$3))),IF(ISNUMBER(AN$4),AN$4,IgnoreMin)))))</f>
        <v>0</v>
      </c>
      <c r="AO65" s="148" cm="1">
        <f t="array" aca="1" ref="AO65" ca="1">-IF($F65="Terminated",0,IF($AA65=0,0,IF(ISNA(MATCH(AO$5,PayDedList,0)),0,MIN(IF(COUNTIFS(OverEmp,$C65,OverDeduct,AO$5,OverDate,"&lt;"&amp;DATE(YEAR($AC65),MONTH($AC65)+1,1),OverEnd,"&gt;="&amp;DATE(YEAR($AC65),MONTH($AC65),1))&gt;0,SUMPRODUCT((PayEmp=$C65)*(PayDate&lt;=$AC65)*(OFFSET($N$6,1,MATCH(AO$5,PayDedList,0)-1,PayCount,1)))/$AA65*12*AO$3,IF(OR(AO$1="Fixed",AO$1="Not Used"),SUMPRODUCT((PayEmp=$C65)*(PayDate&lt;=$AC65)*(OFFSET($N$6,1,MATCH(AO$5,PayDedList,0)-1,PayCount,1)))/$AA65*12*AO$3,IF(ISNA(MATCH(AO$1,EarnListItem,0))=FALSE,SUMPRODUCT((PayEmp=$C65)*(PayDate&lt;=$AC65)*(OFFSET($N$6,1,MATCH(AO$5,PayDedList,0)-1,PayCount,1)))/$AA65*12*AO$3,(MIN(((SUMPRODUCT((PayEmp=$C65)*(PayDate&lt;=$AC65)*(ISERROR(SEARCH(PayEarnCode,AO$2)))*(PayEarnType="Monthly")*(PayEarnValues))/$AA65*12)+(SUMPRODUCT((PayEmp=$C65)*(PayDate&lt;=$AC65)*(ISERROR(SEARCH(PayEarnCode,AO$2)))*(PayEarnType="Quarterly")*(PayEarnValues))/MAX(1,ROUNDDOWN($AB65/3,0))*4)+(SUMPRODUCT((PayEmp=$C65)*(PayDate&lt;=$AC65)*(ISERROR(SEARCH(PayEarnCode,AO$2)))*(PayEarnType="Bi-Annual")*(PayEarnValues))/MAX(1,ROUNDDOWN($AB65/6,0))*2)+(SUMPRODUCT((PayEmp=$C65)*(PayDate&lt;=$AC65)*(ISERROR(SEARCH(PayEarnCode,AO$2)))*(PayEarnType="Annual")*(PayEarnValues)))),IF(ISNUMBER(OFFSET($N$3,0,MATCH(AO$5,PayDedList,0)-1,1,1)),OFFSET($N$3,0,MATCH(AO$5,PayDedList,0)-1,1,1),IgnoreMin)))*IF(COUNTIFS(EmpNo,$C65,OFFSET(Emp!$R$4,1,MATCH(AO$5,DedListItem,0)-1,EmpCount,1),"&lt;&gt;")&gt;0,VLOOKUP($C65,EmpAll,COLUMN(Emp!$R$4)+MATCH(AO$5,DedListItem,0)-1,0),OFFSET(Setup!$E$73,MATCH(AO$5,DedListItem,0),0,1,1))*AO$3))),IF(ISNUMBER(AO$4),AO$4,IgnoreMin)))))</f>
        <v>0</v>
      </c>
      <c r="AP65" s="148" cm="1">
        <f t="array" aca="1" ref="AP65" ca="1">-IF($F65="Terminated",0,IF($AA65=0,0,IF(ISNA(MATCH(AP$5,PayDedList,0)),0,MIN(IF(COUNTIFS(OverEmp,$C65,OverDeduct,AP$5,OverDate,"&lt;"&amp;DATE(YEAR($AC65),MONTH($AC65)+1,1),OverEnd,"&gt;="&amp;DATE(YEAR($AC65),MONTH($AC65),1))&gt;0,SUMPRODUCT((PayEmp=$C65)*(PayDate&lt;=$AC65)*(OFFSET($N$6,1,MATCH(AP$5,PayDedList,0)-1,PayCount,1)))/$AA65*12*AP$3,IF(OR(AP$1="Fixed",AP$1="Not Used"),SUMPRODUCT((PayEmp=$C65)*(PayDate&lt;=$AC65)*(OFFSET($N$6,1,MATCH(AP$5,PayDedList,0)-1,PayCount,1)))/$AA65*12*AP$3,IF(ISNA(MATCH(AP$1,EarnListItem,0))=FALSE,SUMPRODUCT((PayEmp=$C65)*(PayDate&lt;=$AC65)*(OFFSET($N$6,1,MATCH(AP$5,PayDedList,0)-1,PayCount,1)))/$AA65*12*AP$3,(MIN(((SUMPRODUCT((PayEmp=$C65)*(PayDate&lt;=$AC65)*(ISERROR(SEARCH(PayEarnCode,AP$2)))*(PayEarnType="Monthly")*(PayEarnValues))/$AA65*12)+(SUMPRODUCT((PayEmp=$C65)*(PayDate&lt;=$AC65)*(ISERROR(SEARCH(PayEarnCode,AP$2)))*(PayEarnType="Quarterly")*(PayEarnValues))/MAX(1,ROUNDDOWN($AB65/3,0))*4)+(SUMPRODUCT((PayEmp=$C65)*(PayDate&lt;=$AC65)*(ISERROR(SEARCH(PayEarnCode,AP$2)))*(PayEarnType="Bi-Annual")*(PayEarnValues))/MAX(1,ROUNDDOWN($AB65/6,0))*2)+(SUMPRODUCT((PayEmp=$C65)*(PayDate&lt;=$AC65)*(ISERROR(SEARCH(PayEarnCode,AP$2)))*(PayEarnType="Annual")*(PayEarnValues)))),IF(ISNUMBER(OFFSET($N$3,0,MATCH(AP$5,PayDedList,0)-1,1,1)),OFFSET($N$3,0,MATCH(AP$5,PayDedList,0)-1,1,1),IgnoreMin)))*IF(COUNTIFS(EmpNo,$C65,OFFSET(Emp!$R$4,1,MATCH(AP$5,DedListItem,0)-1,EmpCount,1),"&lt;&gt;")&gt;0,VLOOKUP($C65,EmpAll,COLUMN(Emp!$R$4)+MATCH(AP$5,DedListItem,0)-1,0),OFFSET(Setup!$E$73,MATCH(AP$5,DedListItem,0),0,1,1))*AP$3))),IF(ISNUMBER(AP$4),AP$4,IgnoreMin)))))</f>
        <v>0</v>
      </c>
      <c r="AQ65" s="148" cm="1">
        <f t="array" aca="1" ref="AQ65" ca="1">-IF($F65="Terminated",0,IF($AA65=0,0,IF(ISNA(MATCH(AQ$5,PayDedList,0)),0,MIN(IF(COUNTIFS(OverEmp,$C65,OverDeduct,AQ$5,OverDate,"&lt;"&amp;DATE(YEAR($AC65),MONTH($AC65)+1,1),OverEnd,"&gt;="&amp;DATE(YEAR($AC65),MONTH($AC65),1))&gt;0,SUMPRODUCT((PayEmp=$C65)*(PayDate&lt;=$AC65)*(OFFSET($N$6,1,MATCH(AQ$5,PayDedList,0)-1,PayCount,1)))/$AA65*12*AQ$3,IF(OR(AQ$1="Fixed",AQ$1="Not Used"),SUMPRODUCT((PayEmp=$C65)*(PayDate&lt;=$AC65)*(OFFSET($N$6,1,MATCH(AQ$5,PayDedList,0)-1,PayCount,1)))/$AA65*12*AQ$3,IF(ISNA(MATCH(AQ$1,EarnListItem,0))=FALSE,SUMPRODUCT((PayEmp=$C65)*(PayDate&lt;=$AC65)*(OFFSET($N$6,1,MATCH(AQ$5,PayDedList,0)-1,PayCount,1)))/$AA65*12*AQ$3,(MIN(((SUMPRODUCT((PayEmp=$C65)*(PayDate&lt;=$AC65)*(ISERROR(SEARCH(PayEarnCode,AQ$2)))*(PayEarnType="Monthly")*(PayEarnValues))/$AA65*12)+(SUMPRODUCT((PayEmp=$C65)*(PayDate&lt;=$AC65)*(ISERROR(SEARCH(PayEarnCode,AQ$2)))*(PayEarnType="Quarterly")*(PayEarnValues))/MAX(1,ROUNDDOWN($AB65/3,0))*4)+(SUMPRODUCT((PayEmp=$C65)*(PayDate&lt;=$AC65)*(ISERROR(SEARCH(PayEarnCode,AQ$2)))*(PayEarnType="Bi-Annual")*(PayEarnValues))/MAX(1,ROUNDDOWN($AB65/6,0))*2)+(SUMPRODUCT((PayEmp=$C65)*(PayDate&lt;=$AC65)*(ISERROR(SEARCH(PayEarnCode,AQ$2)))*(PayEarnType="Annual")*(PayEarnValues)))),IF(ISNUMBER(OFFSET($N$3,0,MATCH(AQ$5,PayDedList,0)-1,1,1)),OFFSET($N$3,0,MATCH(AQ$5,PayDedList,0)-1,1,1),IgnoreMin)))*IF(COUNTIFS(EmpNo,$C65,OFFSET(Emp!$R$4,1,MATCH(AQ$5,DedListItem,0)-1,EmpCount,1),"&lt;&gt;")&gt;0,VLOOKUP($C65,EmpAll,COLUMN(Emp!$R$4)+MATCH(AQ$5,DedListItem,0)-1,0),OFFSET(Setup!$E$73,MATCH(AQ$5,DedListItem,0),0,1,1))*AQ$3))),IF(ISNUMBER(AQ$4),AQ$4,IgnoreMin)))))</f>
        <v>0</v>
      </c>
      <c r="AR65" s="148">
        <f t="shared" ca="1" si="22"/>
        <v>349800</v>
      </c>
      <c r="AS65" s="148">
        <f t="shared" ca="1" si="11"/>
        <v>349800</v>
      </c>
      <c r="AT65" s="148" cm="1">
        <f t="array" aca="1" ref="AT65" ca="1">-IF($F65="Terminated",0,IF($AA65=0,0,IF(ISNA(MATCH(AT$5,PayDedList,0)),0,MIN(IF(COUNTIFS(OverEmp,$C65,OverDeduct,AT$5,OverDate,"&lt;"&amp;DATE(YEAR($AC65),MONTH($AC65)+1,1),OverEnd,"&gt;="&amp;DATE(YEAR($AC65),MONTH($AC65),1))&gt;0,SUMPRODUCT((PayEmp=$C65)*(PayDate&lt;=$AC65)*(OFFSET($N$6,1,MATCH(AT$5,PayDedList,0)-1,PayCount,1)))/$AA65*12*AT$3,IF(OR(AT$1="Fixed",AT$1="Not Used"),SUMPRODUCT((PayEmp=$C65)*(PayDate&lt;=$AC65)*(OFFSET($N$6,1,MATCH(AT$5,PayDedList,0)-1,PayCount,1)))/$AA65*12*AT$3,IF(ISNA(MATCH(OFFSET($N$2,0,MATCH(AT$5,PayDedList,0)-1,1,1),EarnListItem,0))=FALSE,SUMPRODUCT((PayEmp=$C65)*(PayDate&lt;=$AC65)*(OFFSET($N$6,1,MATCH(AT$5,PayDedList,0)-1,PayCount,1)))/$AA65*12*AT$3,(MIN(SUMPRODUCT((PayEmp=$C65)*(PayDate&lt;=$AC65)*(ISERROR(SEARCH(PayEarnCode,AT$2)))*(PayEarnType="Monthly")*(PayEarnValues))/$AA65*12,IF(ISNUMBER(OFFSET($N$3,0,MATCH(AT$5,PayDedList,0)-1,1,1)),OFFSET($N$3,0,MATCH(AT$5,PayDedList,0)-1,1,1),IgnoreMin)))*IF(COUNTIFS(EmpNo,$C65,OFFSET(Emp!$R$4,1,MATCH(AT$5,DedListItem,0)-1,EmpCount,1),"&lt;&gt;")&gt;0,VLOOKUP($C65,EmpAll,COLUMN(Emp!$R$4)+MATCH(AT$5,DedListItem,0)-1,0),OFFSET(Setup!$E$73,MATCH(AT$5,DedListItem,0),0,1,1))*AT$3))),IF(ISNUMBER(AT$4),AT$4,IgnoreMin)))))</f>
        <v>0</v>
      </c>
      <c r="AU65" s="148" cm="1">
        <f t="array" aca="1" ref="AU65" ca="1">-IF($F65="Terminated",0,IF($AA65=0,0,IF(ISNA(MATCH(AU$5,PayDedList,0)),0,MIN(IF(COUNTIFS(OverEmp,$C65,OverDeduct,AU$5,OverDate,"&lt;"&amp;DATE(YEAR($AC65),MONTH($AC65)+1,1),OverEnd,"&gt;="&amp;DATE(YEAR($AC65),MONTH($AC65),1))&gt;0,SUMPRODUCT((PayEmp=$C65)*(PayDate&lt;=$AC65)*(OFFSET($N$6,1,MATCH(AU$5,PayDedList,0)-1,PayCount,1)))/$AA65*12*AU$3,IF(OR(AU$1="Fixed",AU$1="Not Used"),SUMPRODUCT((PayEmp=$C65)*(PayDate&lt;=$AC65)*(OFFSET($N$6,1,MATCH(AU$5,PayDedList,0)-1,PayCount,1)))/$AA65*12*AU$3,IF(ISNA(MATCH(OFFSET($N$2,0,MATCH(AU$5,PayDedList,0)-1,1,1),EarnListItem,0))=FALSE,SUMPRODUCT((PayEmp=$C65)*(PayDate&lt;=$AC65)*(OFFSET($N$6,1,MATCH(AU$5,PayDedList,0)-1,PayCount,1)))/$AA65*12*AU$3,(MIN(SUMPRODUCT((PayEmp=$C65)*(PayDate&lt;=$AC65)*(ISERROR(SEARCH(PayEarnCode,AU$2)))*(PayEarnType="Monthly")*(PayEarnValues))/$AA65*12,IF(ISNUMBER(OFFSET($N$3,0,MATCH(AU$5,PayDedList,0)-1,1,1)),OFFSET($N$3,0,MATCH(AU$5,PayDedList,0)-1,1,1),IgnoreMin)))*IF(COUNTIFS(EmpNo,$C65,OFFSET(Emp!$R$4,1,MATCH(AU$5,DedListItem,0)-1,EmpCount,1),"&lt;&gt;")&gt;0,VLOOKUP($C65,EmpAll,COLUMN(Emp!$R$4)+MATCH(AU$5,DedListItem,0)-1,0),OFFSET(Setup!$E$73,MATCH(AU$5,DedListItem,0),0,1,1))*AU$3))),IF(ISNUMBER(AU$4),AU$4,IgnoreMin)))))</f>
        <v>0</v>
      </c>
      <c r="AV65" s="148" cm="1">
        <f t="array" aca="1" ref="AV65" ca="1">-IF($F65="Terminated",0,IF($AA65=0,0,IF(ISNA(MATCH(AV$5,PayDedList,0)),0,MIN(IF(COUNTIFS(OverEmp,$C65,OverDeduct,AV$5,OverDate,"&lt;"&amp;DATE(YEAR($AC65),MONTH($AC65)+1,1),OverEnd,"&gt;="&amp;DATE(YEAR($AC65),MONTH($AC65),1))&gt;0,SUMPRODUCT((PayEmp=$C65)*(PayDate&lt;=$AC65)*(OFFSET($N$6,1,MATCH(AV$5,PayDedList,0)-1,PayCount,1)))/$AA65*12*AV$3,IF(OR(AV$1="Fixed",AV$1="Not Used"),SUMPRODUCT((PayEmp=$C65)*(PayDate&lt;=$AC65)*(OFFSET($N$6,1,MATCH(AV$5,PayDedList,0)-1,PayCount,1)))/$AA65*12*AV$3,IF(ISNA(MATCH(OFFSET($N$2,0,MATCH(AV$5,PayDedList,0)-1,1,1),EarnListItem,0))=FALSE,SUMPRODUCT((PayEmp=$C65)*(PayDate&lt;=$AC65)*(OFFSET($N$6,1,MATCH(AV$5,PayDedList,0)-1,PayCount,1)))/$AA65*12*AV$3,(MIN(SUMPRODUCT((PayEmp=$C65)*(PayDate&lt;=$AC65)*(ISERROR(SEARCH(PayEarnCode,AV$2)))*(PayEarnType="Monthly")*(PayEarnValues))/$AA65*12,IF(ISNUMBER(OFFSET($N$3,0,MATCH(AV$5,PayDedList,0)-1,1,1)),OFFSET($N$3,0,MATCH(AV$5,PayDedList,0)-1,1,1),IgnoreMin)))*IF(COUNTIFS(EmpNo,$C65,OFFSET(Emp!$R$4,1,MATCH(AV$5,DedListItem,0)-1,EmpCount,1),"&lt;&gt;")&gt;0,VLOOKUP($C65,EmpAll,COLUMN(Emp!$R$4)+MATCH(AV$5,DedListItem,0)-1,0),OFFSET(Setup!$E$73,MATCH(AV$5,DedListItem,0),0,1,1))*AV$3))),IF(ISNUMBER(AV$4),AV$4,IgnoreMin)))))</f>
        <v>0</v>
      </c>
      <c r="AW65" s="148" cm="1">
        <f t="array" aca="1" ref="AW65" ca="1">-IF($F65="Terminated",0,IF($AA65=0,0,IF(ISNA(MATCH(AW$5,PayDedList,0)),0,MIN(IF(COUNTIFS(OverEmp,$C65,OverDeduct,AW$5,OverDate,"&lt;"&amp;DATE(YEAR($AC65),MONTH($AC65)+1,1),OverEnd,"&gt;="&amp;DATE(YEAR($AC65),MONTH($AC65),1))&gt;0,SUMPRODUCT((PayEmp=$C65)*(PayDate&lt;=$AC65)*(OFFSET($N$6,1,MATCH(AW$5,PayDedList,0)-1,PayCount,1)))/$AA65*12*AW$3,IF(OR(AW$1="Fixed",AW$1="Not Used"),SUMPRODUCT((PayEmp=$C65)*(PayDate&lt;=$AC65)*(OFFSET($N$6,1,MATCH(AW$5,PayDedList,0)-1,PayCount,1)))/$AA65*12*AW$3,IF(ISNA(MATCH(OFFSET($N$2,0,MATCH(AW$5,PayDedList,0)-1,1,1),EarnListItem,0))=FALSE,SUMPRODUCT((PayEmp=$C65)*(PayDate&lt;=$AC65)*(OFFSET($N$6,1,MATCH(AW$5,PayDedList,0)-1,PayCount,1)))/$AA65*12*AW$3,(MIN(SUMPRODUCT((PayEmp=$C65)*(PayDate&lt;=$AC65)*(ISERROR(SEARCH(PayEarnCode,AW$2)))*(PayEarnType="Monthly")*(PayEarnValues))/$AA65*12,IF(ISNUMBER(OFFSET($N$3,0,MATCH(AW$5,PayDedList,0)-1,1,1)),OFFSET($N$3,0,MATCH(AW$5,PayDedList,0)-1,1,1),IgnoreMin)))*IF(COUNTIFS(EmpNo,$C65,OFFSET(Emp!$R$4,1,MATCH(AW$5,DedListItem,0)-1,EmpCount,1),"&lt;&gt;")&gt;0,VLOOKUP($C65,EmpAll,COLUMN(Emp!$R$4)+MATCH(AW$5,DedListItem,0)-1,0),OFFSET(Setup!$E$73,MATCH(AW$5,DedListItem,0),0,1,1))*AW$3))),IF(ISNUMBER(AW$4),AW$4,IgnoreMin)))))</f>
        <v>0</v>
      </c>
      <c r="AX65" s="148">
        <f t="shared" ca="1" si="28"/>
        <v>349800</v>
      </c>
      <c r="AY65" s="148">
        <f t="shared" ca="1" si="29"/>
        <v>0</v>
      </c>
      <c r="AZ65" s="148">
        <f ca="1">IF(ISNUMBER($AL65),($AR65*$AL65)-$AI65-$AK65,MAX(0,IF($AL65="B",IF($AR65&lt;Setup!$C$32,($AR65*Setup!$D$32)-$AI65-$AK65,(($AR65-VLOOKUP($AR65,TaxAll2,1,1))*OFFSET(Setup!$D$32,MATCH($AR65,TaxBracket2,1),0,1,1))+OFFSET(Setup!$E$31,MATCH($AR65,TaxBracket2,1),0,1,1)-$AI65-$AK65),IF($AR65&lt;Setup!$C$21,($AR65*Setup!$D$21)-$AI65-$AK65,(($AR65-VLOOKUP($AR65,TaxAll1,1,1))*OFFSET(Setup!$D$21,MATCH($AR65,TaxBracket1,1),0,1,1))+OFFSET(Setup!$E$20,MATCH($AR65,TaxBracket1,1),0,1,1)-$AI65-$AK65))))</f>
        <v>54745</v>
      </c>
      <c r="BA65" s="148">
        <f ca="1">IF(ISNUMBER($AL65),($AX65*$AL65)-$AI65-$AK65,MAX(0,IF($AL65="B",IF($AX65&lt;Setup!$C$32,($AX65*Setup!$D$32)-$AI65-$AK65,(($AX65-VLOOKUP($AX65,TaxAll2,1,1))*OFFSET(Setup!$D$32,MATCH($AX65,TaxBracket2,1),0,1,1))+OFFSET(Setup!$E$31,MATCH($AX65,TaxBracket2,1),0,1,1)-$AI65-$AK65),IF($AX65&lt;Setup!$C$21,($AX65*Setup!$D$21)-$AI65-$AK65,(($AX65-VLOOKUP($AX65,TaxAll1,1,1))*OFFSET(Setup!$D$21,MATCH($AX65,TaxBracket1,1),0,1,1))+OFFSET(Setup!$E$20,MATCH($AX65,TaxBracket1,1),0,1,1)-$AI65-$AK65))))</f>
        <v>54745</v>
      </c>
      <c r="BB65" s="148">
        <f t="shared" ca="1" si="23"/>
        <v>0</v>
      </c>
      <c r="BC65" s="150">
        <f t="shared" ca="1" si="15"/>
        <v>1</v>
      </c>
      <c r="BD65" s="150">
        <f t="shared" ca="1" si="16"/>
        <v>0</v>
      </c>
      <c r="BE65" s="148">
        <f t="shared" ca="1" si="17"/>
        <v>349800</v>
      </c>
    </row>
    <row r="66" spans="1:57" ht="16.149999999999999" customHeight="1" x14ac:dyDescent="0.25">
      <c r="A66" s="10" t="str" cm="1">
        <f t="array" aca="1" ref="A66" ca="1">IF(ROW($A66)-ROW($A$6)&gt;EmpCount*12,"-",TEXT($B66,"yyyy")&amp;TEXT($B66,"mm")&amp;"-"&amp;$C66)</f>
        <v>202306-EXS015</v>
      </c>
      <c r="B66" s="137" cm="1">
        <f t="array" aca="1" ref="B66" ca="1">IF(ROW($A66)-ROW($A$6)&gt;EmpCount*12,Setup!$D$12,DATE(YEAR(Setup!$F$12),MONTH(Setup!$F$12)+ROUNDDOWN((ROW($A66)-ROW($A$6)-1)/EmpCount,0),IF(Setup!$C$14&gt;DAY(DATE(YEAR(Setup!$F$12),MONTH(Setup!$F$12)+ROUNDDOWN((ROW($A66)-ROW($A$6)-1)/EmpCount,0)+1,0)),DAY(DATE(YEAR(Setup!$F$12),MONTH(Setup!$F$12)+ROUNDDOWN((ROW($A66)-ROW($A$6)-1)/EmpCount,0)+1,0)),Setup!$C$14)))</f>
        <v>45102</v>
      </c>
      <c r="C66" s="101" t="str" cm="1">
        <f t="array" aca="1" ref="C66" ca="1">IF(ROW($A66)-ROW($A$6)&gt;EmpCount*12,"-",OFFSET(Emp!$A$4,ROW($A66)-ROW($A$6)-IF(ROW($A66)-ROW($A$6)&gt;EmpCount,ROUNDDOWN((ROW($A66)-ROW($A$6)-1)/EmpCount,0)*EmpCount,0),0,1,1))</f>
        <v>EXS015</v>
      </c>
      <c r="D66" s="10" t="str">
        <f ca="1">IF(ISNA(VLOOKUP($C66,EmpAll,COLUMN(Emp!$B$4),0)),"-",VLOOKUP($C66,EmpAll,COLUMN(Emp!$B$4),0))</f>
        <v>Graham L</v>
      </c>
      <c r="E66" s="145" t="str">
        <f ca="1">IF(ISNA(VLOOKUP($C66,EmpAll,COLUMN(Emp!$C$4),0)),"-",VLOOKUP($C66,EmpAll,COLUMN(Emp!$C$4),0))</f>
        <v>S</v>
      </c>
      <c r="F66" s="101" t="str">
        <f ca="1">IF(ISNA(VLOOKUP($C66,EmpAll,COLUMN(Emp!$A$4),0)),"-",IF(AND(VLOOKUP($C66,EmpAll,COLUMN(Emp!$E$4),0)&lt;&gt;0,VLOOKUP($C66,EmpAll,COLUMN(Emp!$E$4),0)&gt;=DATE(YEAR($AC66),MONTH($AC66)+1,0)),"Inactive",IF(AND(VLOOKUP($C66,EmpAll,COLUMN(Emp!$F$4),0)&lt;&gt;0,VLOOKUP($C66,EmpAll,COLUMN(Emp!$F$4),0)&lt;=DATE(YEAR($AC66),MONTH($AC66),0)),"Terminated","Active")))</f>
        <v>Inactive</v>
      </c>
      <c r="G66" s="133" cm="1">
        <f t="array" aca="1" ref="G66" ca="1">IF($F66&lt;&gt;"Active",0,IF(COUNTIFS(OverEmp,$C66,OverEarn,G$2,OverDate,"&lt;"&amp;DATE(YEAR($AC66),MONTH($AC66)+1,1),OverEnd,"&gt;="&amp;DATE(YEAR($AC66),MONTH($AC66),1))&gt;0,SUMIFS(OverValue,OverEmp,$C66,OverEarn,G$2,OverDate,"&lt;"&amp;DATE(YEAR($AC66),MONTH($AC66)+1,1),OverEnd,"&gt;="&amp;DATE(YEAR($AC66),MONTH($AC66),1)),IF(AND($AC66&gt;=Setup!$E$10,SUMIFS(EmpIncrease,EmpCode,$C66)&gt;0),SUMIFS(EmpIncrease,EmpCode,$C66),SUMIFS(EmpSalary,EmpCode,$C66))))</f>
        <v>0</v>
      </c>
      <c r="H66" s="133" cm="1">
        <f t="array" aca="1" ref="H66" ca="1">IF($F66&lt;&gt;"Active",0,IF(COUNTIFS(OverEmp,$C66,OverEarn,H$2,OverDate,"&lt;"&amp;DATE(YEAR($AC66),MONTH($AC66)+1,1),OverEnd,"&gt;="&amp;DATE(YEAR($AC66),MONTH($AC66),1))&gt;0,SUMIFS(OverValue,OverEmp,$C66,OverEarn,H$2,OverDate,"&lt;"&amp;DATE(YEAR($AC66),MONTH($AC66)+1,1),OverEnd,"&gt;="&amp;DATE(YEAR($AC66),MONTH($AC66),1)),0))</f>
        <v>0</v>
      </c>
      <c r="I66" s="133" cm="1">
        <f t="array" aca="1" ref="I66" ca="1">IF($F66&lt;&gt;"Active",0,IF(COUNTIFS(OverEmp,$C66,OverEarn,I$2,OverDate,"&lt;"&amp;DATE(YEAR($AC66),MONTH($AC66)+1,1),OverEnd,"&gt;="&amp;DATE(YEAR($AC66),MONTH($AC66),1))&gt;0,SUMIFS(OverValue,OverEmp,$C66,OverEarn,I$2,OverDate,"&lt;"&amp;DATE(YEAR($AC66),MONTH($AC66)+1,1),OverEnd,"&gt;="&amp;DATE(YEAR($AC66),MONTH($AC66),1)),IF(MONTH(B66)=Setup!$C$15,SUMIFS(EmpBonus,EmpCode,$C66),0)))</f>
        <v>0</v>
      </c>
      <c r="J66" s="133" cm="1">
        <f t="array" aca="1" ref="J66" ca="1">IF($F66&lt;&gt;"Active",0,IF(COUNTIFS(OverEmp,$C66,OverEarn,J$2,OverDate,"&lt;"&amp;DATE(YEAR($AC66),MONTH($AC66)+1,1),OverEnd,"&gt;="&amp;DATE(YEAR($AC66),MONTH($AC66),1))&gt;0,SUMIFS(OverValue,OverEmp,$C66,OverEarn,J$2,OverDate,"&lt;"&amp;DATE(YEAR($AC66),MONTH($AC66)+1,1),OverEnd,"&gt;="&amp;DATE(YEAR($AC66),MONTH($AC66),1)),0))</f>
        <v>0</v>
      </c>
      <c r="K66" s="133" cm="1">
        <f t="array" aca="1" ref="K66" ca="1">IF($F66&lt;&gt;"Active",0,IF(COUNTIFS(OverEmp,$C66,OverEarn,K$2,OverDate,"&lt;"&amp;DATE(YEAR($AC66),MONTH($AC66)+1,1),OverEnd,"&gt;="&amp;DATE(YEAR($AC66),MONTH($AC66),1))&gt;0,SUMIFS(OverValue,OverEmp,$C66,OverEarn,K$2,OverDate,"&lt;"&amp;DATE(YEAR($AC66),MONTH($AC66)+1,1),OverEnd,"&gt;="&amp;DATE(YEAR($AC66),MONTH($AC66),1)),0))</f>
        <v>0</v>
      </c>
      <c r="L66" s="185">
        <f t="shared" ca="1" si="24"/>
        <v>0</v>
      </c>
      <c r="M66" s="182" cm="1">
        <f t="array" aca="1" ref="M66" ca="1">IF(COUNTIFS(OverEmp,$C66,OverTax,M$5,OverDate,"&lt;"&amp;DATE(YEAR($AC66),MONTH($AC66)+1,1),OverEnd,"&gt;="&amp;DATE(YEAR($AC66),MONTH($AC66),1))&gt;0,SUMIFS(OverValue,OverEmp,$C66,OverTax,M$5,OverDate,"&lt;"&amp;DATE(YEAR($AC66),MONTH($AC66)+1,1),OverEnd,"&gt;="&amp;DATE(YEAR($AC66),MONTH($AC66),1)),(($BA66/12*$AA66)+(BB66*IF(1-$BC66=0,0,BD66/(1-$BC66))))-IF($F66="Terminated",0,SUMIFS(PayTaxDeduct,PayDate,"&lt;"&amp;$AC66,PayEmp,$C66)))</f>
        <v>0</v>
      </c>
      <c r="N66" s="133" cm="1">
        <f t="array" aca="1" ref="N66" ca="1">IF($F66="Terminated",0,IF($AA66=0,0,IF(ISNA(MATCH(N$5,DedListItem,0)),0,IF(COUNTIFS(OverEmp,$C66,OverDeduct,N$5,OverDate,"&lt;"&amp;DATE(YEAR($AC66),MONTH($AC66)+1,1),OverEnd,"&gt;="&amp;DATE(YEAR($AC66),MONTH($AC66),1))&gt;0,SUMIFS(OverValue,OverEmp,$C66,OverDeduct,N$5,OverDate,"&lt;"&amp;DATE(YEAR($AC66),MONTH($AC66)+1,1),OverEnd,"&gt;="&amp;DATE(YEAR($AC66),MONTH($AC66),1)),IF(OR(N$2="Fixed",N$2="Not Used"),(IF(COUNTIFS(EmpNo,$C66,OFFSET(Emp!$R$4,1,MATCH(N$5,DedListItem,0)-1,EmpCount,1),"&lt;&gt;")&gt;0,VLOOKUP($C66,EmpAll,COLUMN(Emp!$R$4)+MATCH(N$5,DedListItem,0)-1,0),OFFSET(Setup!$E$73,MATCH(N$5,DedListItem,0),0,1,1))*$AA66)-SUMIFS(OFFSET(N$6,1,0,PayCount,1),PayDate,"&lt;"&amp;$AC66,PayEmp,$C66),IF(ISNA(MATCH(N$2,EarnListItem,0))=FALSE,IF(OFFSET(Setup!$G$73,MATCH(N$5,DedListItem,0),0,1,1)="Taxable",SUMPRODUCT((PayEmp=$C66)*(PayDate&lt;=$AC66)*(PayEarnCode=N$2)*(PayEarnTax)*(PayEarnValues)),SUMPRODUCT((PayEmp=$C66)*(PayDate&lt;=$AC66)*(PayEarnCode=N$2)*(PayEarnValues)))*IF(COUNTIFS(EmpNo,$C66,OFFSET(Emp!$R$4,1,MATCH(N$5,DedListItem,0)-1,EmpCount,1),"&lt;&gt;")&gt;0,VLOOKUP($C66,EmpAll,COLUMN(Emp!$R$4)+MATCH(N$5,DedListItem,0)-1,0),OFFSET(Setup!$E$73,MATCH(N$5,DedListItem,0),0,1,1)),(MIN(IF(OFFSET(Setup!$G$73,MATCH(N$5,DedListItem,0),0,1,1)="Taxable",SUMPRODUCT((PayEmp=$C66)*(PayDate&lt;=$AC66)*(ISERROR(SEARCH(PayEarnCode,N$4)))*(PayEarnTax)*(PayEarnValues)),SUMPRODUCT((PayEmp=$C66)*(PayDate&lt;=$AC66)*(ISERROR(SEARCH(PayEarnCode,N$4)))*(PayEarnValues))),IF(ISNUMBER(N$3),N$3/12*$AA66,IgnoreMin)))*IF(COUNTIFS(EmpNo,$C66,OFFSET(Emp!$R$4,1,MATCH(N$5,DedListItem,0)-1,EmpCount,1),"&lt;&gt;")&gt;0,VLOOKUP($C66,EmpAll,COLUMN(Emp!$R$4)+MATCH(N$5,DedListItem,0)-1,0),OFFSET(Setup!$E$73,MATCH(N$5,DedListItem,0),0,1,1)))-SUMIFS(OFFSET(N$6,1,0,PayCount,1),PayDate,"&lt;"&amp;$AC66,PayEmp,$C66))))))</f>
        <v>0</v>
      </c>
      <c r="O66" s="133" cm="1">
        <f t="array" aca="1" ref="O66" ca="1">IF($F66="Terminated",0,IF($AA66=0,0,IF(ISNA(MATCH(O$5,DedListItem,0)),0,IF(COUNTIFS(OverEmp,$C66,OverDeduct,O$5,OverDate,"&lt;"&amp;DATE(YEAR($AC66),MONTH($AC66)+1,1),OverEnd,"&gt;="&amp;DATE(YEAR($AC66),MONTH($AC66),1))&gt;0,SUMIFS(OverValue,OverEmp,$C66,OverDeduct,O$5,OverDate,"&lt;"&amp;DATE(YEAR($AC66),MONTH($AC66)+1,1),OverEnd,"&gt;="&amp;DATE(YEAR($AC66),MONTH($AC66),1)),IF(OR(O$2="Fixed",O$2="Not Used"),(IF(COUNTIFS(EmpNo,$C66,OFFSET(Emp!$R$4,1,MATCH(O$5,DedListItem,0)-1,EmpCount,1),"&lt;&gt;")&gt;0,VLOOKUP($C66,EmpAll,COLUMN(Emp!$R$4)+MATCH(O$5,DedListItem,0)-1,0),OFFSET(Setup!$E$73,MATCH(O$5,DedListItem,0),0,1,1))*$AA66)-SUMIFS(OFFSET(O$6,1,0,PayCount,1),PayDate,"&lt;"&amp;$AC66,PayEmp,$C66),IF(ISNA(MATCH(O$2,EarnListItem,0))=FALSE,IF(OFFSET(Setup!$G$73,MATCH(O$5,DedListItem,0),0,1,1)="Taxable",SUMPRODUCT((PayEmp=$C66)*(PayDate&lt;=$AC66)*(PayEarnCode=O$2)*(PayEarnTax)*(PayEarnValues)),SUMPRODUCT((PayEmp=$C66)*(PayDate&lt;=$AC66)*(PayEarnCode=O$2)*(PayEarnValues)))*IF(COUNTIFS(EmpNo,$C66,OFFSET(Emp!$R$4,1,MATCH(O$5,DedListItem,0)-1,EmpCount,1),"&lt;&gt;")&gt;0,VLOOKUP($C66,EmpAll,COLUMN(Emp!$R$4)+MATCH(O$5,DedListItem,0)-1,0),OFFSET(Setup!$E$73,MATCH(O$5,DedListItem,0),0,1,1)),(MIN(IF(OFFSET(Setup!$G$73,MATCH(O$5,DedListItem,0),0,1,1)="Taxable",SUMPRODUCT((PayEmp=$C66)*(PayDate&lt;=$AC66)*(ISERROR(SEARCH(PayEarnCode,O$4)))*(PayEarnTax)*(PayEarnValues)),SUMPRODUCT((PayEmp=$C66)*(PayDate&lt;=$AC66)*(ISERROR(SEARCH(PayEarnCode,O$4)))*(PayEarnValues))),IF(ISNUMBER(O$3),O$3/12*$AA66,IgnoreMin)))*IF(COUNTIFS(EmpNo,$C66,OFFSET(Emp!$R$4,1,MATCH(O$5,DedListItem,0)-1,EmpCount,1),"&lt;&gt;")&gt;0,VLOOKUP($C66,EmpAll,COLUMN(Emp!$R$4)+MATCH(O$5,DedListItem,0)-1,0),OFFSET(Setup!$E$73,MATCH(O$5,DedListItem,0),0,1,1)))-SUMIFS(OFFSET(O$6,1,0,PayCount,1),PayDate,"&lt;"&amp;$AC66,PayEmp,$C66))))))</f>
        <v>0</v>
      </c>
      <c r="P66" s="133" cm="1">
        <f t="array" aca="1" ref="P66" ca="1">IF($F66="Terminated",0,IF($AA66=0,0,IF(ISNA(MATCH(P$5,DedListItem,0)),0,IF(COUNTIFS(OverEmp,$C66,OverDeduct,P$5,OverDate,"&lt;"&amp;DATE(YEAR($AC66),MONTH($AC66)+1,1),OverEnd,"&gt;="&amp;DATE(YEAR($AC66),MONTH($AC66),1))&gt;0,SUMIFS(OverValue,OverEmp,$C66,OverDeduct,P$5,OverDate,"&lt;"&amp;DATE(YEAR($AC66),MONTH($AC66)+1,1),OverEnd,"&gt;="&amp;DATE(YEAR($AC66),MONTH($AC66),1)),IF(OR(P$2="Fixed",P$2="Not Used"),(IF(COUNTIFS(EmpNo,$C66,OFFSET(Emp!$R$4,1,MATCH(P$5,DedListItem,0)-1,EmpCount,1),"&lt;&gt;")&gt;0,VLOOKUP($C66,EmpAll,COLUMN(Emp!$R$4)+MATCH(P$5,DedListItem,0)-1,0),OFFSET(Setup!$E$73,MATCH(P$5,DedListItem,0),0,1,1))*$AA66)-SUMIFS(OFFSET(P$6,1,0,PayCount,1),PayDate,"&lt;"&amp;$AC66,PayEmp,$C66),IF(ISNA(MATCH(P$2,EarnListItem,0))=FALSE,IF(OFFSET(Setup!$G$73,MATCH(P$5,DedListItem,0),0,1,1)="Taxable",SUMPRODUCT((PayEmp=$C66)*(PayDate&lt;=$AC66)*(PayEarnCode=P$2)*(PayEarnTax)*(PayEarnValues)),SUMPRODUCT((PayEmp=$C66)*(PayDate&lt;=$AC66)*(PayEarnCode=P$2)*(PayEarnValues)))*IF(COUNTIFS(EmpNo,$C66,OFFSET(Emp!$R$4,1,MATCH(P$5,DedListItem,0)-1,EmpCount,1),"&lt;&gt;")&gt;0,VLOOKUP($C66,EmpAll,COLUMN(Emp!$R$4)+MATCH(P$5,DedListItem,0)-1,0),OFFSET(Setup!$E$73,MATCH(P$5,DedListItem,0),0,1,1)),(MIN(IF(OFFSET(Setup!$G$73,MATCH(P$5,DedListItem,0),0,1,1)="Taxable",SUMPRODUCT((PayEmp=$C66)*(PayDate&lt;=$AC66)*(ISERROR(SEARCH(PayEarnCode,P$4)))*(PayEarnTax)*(PayEarnValues)),SUMPRODUCT((PayEmp=$C66)*(PayDate&lt;=$AC66)*(ISERROR(SEARCH(PayEarnCode,P$4)))*(PayEarnValues))),IF(ISNUMBER(P$3),P$3/12*$AA66,IgnoreMin)))*IF(COUNTIFS(EmpNo,$C66,OFFSET(Emp!$R$4,1,MATCH(P$5,DedListItem,0)-1,EmpCount,1),"&lt;&gt;")&gt;0,VLOOKUP($C66,EmpAll,COLUMN(Emp!$R$4)+MATCH(P$5,DedListItem,0)-1,0),OFFSET(Setup!$E$73,MATCH(P$5,DedListItem,0),0,1,1)))-SUMIFS(OFFSET(P$6,1,0,PayCount,1),PayDate,"&lt;"&amp;$AC66,PayEmp,$C66))))))</f>
        <v>0</v>
      </c>
      <c r="Q66" s="133" cm="1">
        <f t="array" aca="1" ref="Q66" ca="1">IF($F66="Terminated",0,IF($AA66=0,0,IF(ISNA(MATCH(Q$5,DedListItem,0)),0,IF(COUNTIFS(OverEmp,$C66,OverDeduct,Q$5,OverDate,"&lt;"&amp;DATE(YEAR($AC66),MONTH($AC66)+1,1),OverEnd,"&gt;="&amp;DATE(YEAR($AC66),MONTH($AC66),1))&gt;0,SUMIFS(OverValue,OverEmp,$C66,OverDeduct,Q$5,OverDate,"&lt;"&amp;DATE(YEAR($AC66),MONTH($AC66)+1,1),OverEnd,"&gt;="&amp;DATE(YEAR($AC66),MONTH($AC66),1)),IF(OR(Q$2="Fixed",Q$2="Not Used"),(IF(COUNTIFS(EmpNo,$C66,OFFSET(Emp!$R$4,1,MATCH(Q$5,DedListItem,0)-1,EmpCount,1),"&lt;&gt;")&gt;0,VLOOKUP($C66,EmpAll,COLUMN(Emp!$R$4)+MATCH(Q$5,DedListItem,0)-1,0),OFFSET(Setup!$E$73,MATCH(Q$5,DedListItem,0),0,1,1))*$AA66)-SUMIFS(OFFSET(Q$6,1,0,PayCount,1),PayDate,"&lt;"&amp;$AC66,PayEmp,$C66),IF(ISNA(MATCH(Q$2,EarnListItem,0))=FALSE,IF(OFFSET(Setup!$G$73,MATCH(Q$5,DedListItem,0),0,1,1)="Taxable",SUMPRODUCT((PayEmp=$C66)*(PayDate&lt;=$AC66)*(PayEarnCode=Q$2)*(PayEarnTax)*(PayEarnValues)),SUMPRODUCT((PayEmp=$C66)*(PayDate&lt;=$AC66)*(PayEarnCode=Q$2)*(PayEarnValues)))*IF(COUNTIFS(EmpNo,$C66,OFFSET(Emp!$R$4,1,MATCH(Q$5,DedListItem,0)-1,EmpCount,1),"&lt;&gt;")&gt;0,VLOOKUP($C66,EmpAll,COLUMN(Emp!$R$4)+MATCH(Q$5,DedListItem,0)-1,0),OFFSET(Setup!$E$73,MATCH(Q$5,DedListItem,0),0,1,1)),(MIN(IF(OFFSET(Setup!$G$73,MATCH(Q$5,DedListItem,0),0,1,1)="Taxable",SUMPRODUCT((PayEmp=$C66)*(PayDate&lt;=$AC66)*(ISERROR(SEARCH(PayEarnCode,Q$4)))*(PayEarnTax)*(PayEarnValues)),SUMPRODUCT((PayEmp=$C66)*(PayDate&lt;=$AC66)*(ISERROR(SEARCH(PayEarnCode,Q$4)))*(PayEarnValues))),IF(ISNUMBER(Q$3),Q$3/12*$AA66,IgnoreMin)))*IF(COUNTIFS(EmpNo,$C66,OFFSET(Emp!$R$4,1,MATCH(Q$5,DedListItem,0)-1,EmpCount,1),"&lt;&gt;")&gt;0,VLOOKUP($C66,EmpAll,COLUMN(Emp!$R$4)+MATCH(Q$5,DedListItem,0)-1,0),OFFSET(Setup!$E$73,MATCH(Q$5,DedListItem,0),0,1,1)))-SUMIFS(OFFSET(Q$6,1,0,PayCount,1),PayDate,"&lt;"&amp;$AC66,PayEmp,$C66))))))</f>
        <v>0</v>
      </c>
      <c r="R66" s="185">
        <f t="shared" ca="1" si="25"/>
        <v>0</v>
      </c>
      <c r="S66" s="139">
        <f t="shared" ca="1" si="26"/>
        <v>0</v>
      </c>
      <c r="T66" s="133" cm="1">
        <f t="array" aca="1" ref="T66" ca="1">IF($F66="Terminated",0,IF($AA66=0,0,IF(ISNA(MATCH(T$5,CompListItem,0)),0,IF(COUNTIFS(OverEmp,$C66,OverComp,T$5,OverDate,"&lt;"&amp;DATE(YEAR($AC66),MONTH($AC66)+1,1),OverEnd,"&gt;="&amp;DATE(YEAR($AC66),MONTH($AC66),1))&gt;0,SUMIFS(OverValue,OverEmp,$C66,OverComp,T$5,OverDate,"&lt;"&amp;DATE(YEAR($AC66),MONTH($AC66)+1,1),OverEnd,"&gt;="&amp;DATE(YEAR($AC66),MONTH($AC66),1)),IF(OR(T$2="Fixed",T$2="Not Used"),(OFFSET(Setup!$E$81,MATCH(T$5,CompListItem,0),0,1,1)*$AA66)-SUMIFS(OFFSET(T$6,1,0,PayCount,1),PayDate,"&lt;"&amp;$AC66,PayEmp,$C66),IF(ISNA(MATCH(T$2,DedListItem,0))=FALSE,(SUMPRODUCT((PayEmp=$C66)*(PayDate&lt;=$AC66)*(PayDedList=T$2)*(PayDedValues))*OFFSET(Setup!$E$81,MATCH(T$5,CompListItem,0),0,1,1))-SUMIFS(OFFSET(T$6,1,0,PayCount,1),PayDate,"&lt;"&amp;$AC66,PayEmp,$C66),(MIN(IF(OFFSET(Setup!$G$81,MATCH(T$5,CompListItem,0),0,1,1)="Taxable",SUMPRODUCT((PayEmp=$C66)*(PayDate&lt;=$AC66)*(ISERROR(SEARCH(PayEarnCode,T$4)))*(PayEarnTax)*(PayEarnValues)),SUMPRODUCT((PayEmp=$C66)*(PayDate&lt;=$AC66)*(ISERROR(SEARCH(PayEarnCode,T$4)))*(PayEarnValues))),IF(ISNUMBER(T$3),T$3/12*$AA66,IgnoreMin)))*OFFSET(Setup!$E$81,MATCH(T$5,CompListItem,0),0,1,1)-SUMIFS(OFFSET(T$6,1,0,PayCount,1),PayDate,"&lt;"&amp;$AC66,PayEmp,$C66)))))))</f>
        <v>0</v>
      </c>
      <c r="U66" s="133" cm="1">
        <f t="array" aca="1" ref="U66" ca="1">IF($F66="Terminated",0,IF($AA66=0,0,IF(ISNA(MATCH(U$5,CompListItem,0)),0,IF(COUNTIFS(OverEmp,$C66,OverComp,U$5,OverDate,"&lt;"&amp;DATE(YEAR($AC66),MONTH($AC66)+1,1),OverEnd,"&gt;="&amp;DATE(YEAR($AC66),MONTH($AC66),1))&gt;0,SUMIFS(OverValue,OverEmp,$C66,OverComp,U$5,OverDate,"&lt;"&amp;DATE(YEAR($AC66),MONTH($AC66)+1,1),OverEnd,"&gt;="&amp;DATE(YEAR($AC66),MONTH($AC66),1)),IF(OR(U$2="Fixed",U$2="Not Used"),(OFFSET(Setup!$E$81,MATCH(U$5,CompListItem,0),0,1,1)*$AA66)-SUMIFS(OFFSET(U$6,1,0,PayCount,1),PayDate,"&lt;"&amp;$AC66,PayEmp,$C66),IF(ISNA(MATCH(U$2,DedListItem,0))=FALSE,(SUMPRODUCT((PayEmp=$C66)*(PayDate&lt;=$AC66)*(PayDedList=U$2)*(PayDedValues))*OFFSET(Setup!$E$81,MATCH(U$5,CompListItem,0),0,1,1))-SUMIFS(OFFSET(U$6,1,0,PayCount,1),PayDate,"&lt;"&amp;$AC66,PayEmp,$C66),(MIN(IF(OFFSET(Setup!$G$81,MATCH(U$5,CompListItem,0),0,1,1)="Taxable",SUMPRODUCT((PayEmp=$C66)*(PayDate&lt;=$AC66)*(ISERROR(SEARCH(PayEarnCode,U$4)))*(PayEarnTax)*(PayEarnValues)),SUMPRODUCT((PayEmp=$C66)*(PayDate&lt;=$AC66)*(ISERROR(SEARCH(PayEarnCode,U$4)))*(PayEarnValues))),IF(ISNUMBER(U$3),U$3/12*$AA66,IgnoreMin)))*OFFSET(Setup!$E$81,MATCH(U$5,CompListItem,0),0,1,1)-SUMIFS(OFFSET(U$6,1,0,PayCount,1),PayDate,"&lt;"&amp;$AC66,PayEmp,$C66)))))))</f>
        <v>0</v>
      </c>
      <c r="V66" s="133" cm="1">
        <f t="array" aca="1" ref="V66" ca="1">IF($F66="Terminated",0,IF($AA66=0,0,IF(ISNA(MATCH(V$5,CompListItem,0)),0,IF(COUNTIFS(OverEmp,$C66,OverComp,V$5,OverDate,"&lt;"&amp;DATE(YEAR($AC66),MONTH($AC66)+1,1),OverEnd,"&gt;="&amp;DATE(YEAR($AC66),MONTH($AC66),1))&gt;0,SUMIFS(OverValue,OverEmp,$C66,OverComp,V$5,OverDate,"&lt;"&amp;DATE(YEAR($AC66),MONTH($AC66)+1,1),OverEnd,"&gt;="&amp;DATE(YEAR($AC66),MONTH($AC66),1)),IF(OR(V$2="Fixed",V$2="Not Used"),(OFFSET(Setup!$E$81,MATCH(V$5,CompListItem,0),0,1,1)*$AA66)-SUMIFS(OFFSET(V$6,1,0,PayCount,1),PayDate,"&lt;"&amp;$AC66,PayEmp,$C66),IF(ISNA(MATCH(V$2,DedListItem,0))=FALSE,(SUMPRODUCT((PayEmp=$C66)*(PayDate&lt;=$AC66)*(PayDedList=V$2)*(PayDedValues))*OFFSET(Setup!$E$81,MATCH(V$5,CompListItem,0),0,1,1))-SUMIFS(OFFSET(V$6,1,0,PayCount,1),PayDate,"&lt;"&amp;$AC66,PayEmp,$C66),(MIN(IF(OFFSET(Setup!$G$81,MATCH(V$5,CompListItem,0),0,1,1)="Taxable",SUMPRODUCT((PayEmp=$C66)*(PayDate&lt;=$AC66)*(ISERROR(SEARCH(PayEarnCode,V$4)))*(PayEarnTax)*(PayEarnValues)),SUMPRODUCT((PayEmp=$C66)*(PayDate&lt;=$AC66)*(ISERROR(SEARCH(PayEarnCode,V$4)))*(PayEarnValues))),IF(ISNUMBER(V$3),V$3/12*$AA66,IgnoreMin)))*OFFSET(Setup!$E$81,MATCH(V$5,CompListItem,0),0,1,1)-SUMIFS(OFFSET(V$6,1,0,PayCount,1),PayDate,"&lt;"&amp;$AC66,PayEmp,$C66)))))))</f>
        <v>0</v>
      </c>
      <c r="W66" s="133" cm="1">
        <f t="array" aca="1" ref="W66" ca="1">IF($F66="Terminated",0,IF($AA66=0,0,IF(ISNA(MATCH(W$5,CompListItem,0)),0,IF(COUNTIFS(OverEmp,$C66,OverComp,W$5,OverDate,"&lt;"&amp;DATE(YEAR($AC66),MONTH($AC66)+1,1),OverEnd,"&gt;="&amp;DATE(YEAR($AC66),MONTH($AC66),1))&gt;0,SUMIFS(OverValue,OverEmp,$C66,OverComp,W$5,OverDate,"&lt;"&amp;DATE(YEAR($AC66),MONTH($AC66)+1,1),OverEnd,"&gt;="&amp;DATE(YEAR($AC66),MONTH($AC66),1)),IF(OR(W$2="Fixed",W$2="Not Used"),(OFFSET(Setup!$E$81,MATCH(W$5,CompListItem,0),0,1,1)*$AA66)-SUMIFS(OFFSET(W$6,1,0,PayCount,1),PayDate,"&lt;"&amp;$AC66,PayEmp,$C66),IF(ISNA(MATCH(W$2,DedListItem,0))=FALSE,(SUMPRODUCT((PayEmp=$C66)*(PayDate&lt;=$AC66)*(PayDedList=W$2)*(PayDedValues))*OFFSET(Setup!$E$81,MATCH(W$5,CompListItem,0),0,1,1))-SUMIFS(OFFSET(W$6,1,0,PayCount,1),PayDate,"&lt;"&amp;$AC66,PayEmp,$C66),(MIN(IF(OFFSET(Setup!$G$81,MATCH(W$5,CompListItem,0),0,1,1)="Taxable",SUMPRODUCT((PayEmp=$C66)*(PayDate&lt;=$AC66)*(ISERROR(SEARCH(PayEarnCode,W$4)))*(PayEarnTax)*(PayEarnValues)),SUMPRODUCT((PayEmp=$C66)*(PayDate&lt;=$AC66)*(ISERROR(SEARCH(PayEarnCode,W$4)))*(PayEarnValues))),IF(ISNUMBER(W$3),W$3/12*$AA66,IgnoreMin)))*OFFSET(Setup!$E$81,MATCH(W$5,CompListItem,0),0,1,1)-SUMIFS(OFFSET(W$6,1,0,PayCount,1),PayDate,"&lt;"&amp;$AC66,PayEmp,$C66)))))))</f>
        <v>0</v>
      </c>
      <c r="X66" s="185">
        <f t="shared" ca="1" si="18"/>
        <v>0</v>
      </c>
      <c r="Y66" s="139">
        <f t="shared" ca="1" si="27"/>
        <v>0</v>
      </c>
      <c r="Z66" s="139">
        <f t="shared" ca="1" si="19"/>
        <v>0</v>
      </c>
      <c r="AA66" s="146">
        <f ca="1">IF(OR($B66&lt;=Setup!$E$12,$B66&gt;=Setup!$D$12+1),0,IF($F66&lt;&gt;"Active",0,IF($AE66="Yes",$AB66,((YEAR($AC66)*12)+MONTH($AC66))-((YEAR($AD66)*12)+MONTH($AD66)-1))))</f>
        <v>0</v>
      </c>
      <c r="AB66" s="146">
        <f ca="1">IF(OR($B66&lt;=Setup!$E$12,$B66&gt;=Setup!$D$12+1),0,((YEAR($AC66)*12)+MONTH($AC66))-((YEAR(Setup!$E$12)*12)+MONTH(Setup!$E$12)))</f>
        <v>4</v>
      </c>
      <c r="AC66" s="186">
        <f t="shared" ca="1" si="20"/>
        <v>45102</v>
      </c>
      <c r="AD66" s="144">
        <f ca="1">IF(ISNA(VLOOKUP($C66,EmpAll,COLUMN(Emp!$E$4),0)),$AC66,IF(VLOOKUP($C66,EmpAll,COLUMN(Emp!$E$4),0)&lt;=Setup!$E$12,DATE(YEAR(Setup!$E$12),MONTH(Setup!$E$12)+1,1),VLOOKUP($C66,EmpAll,COLUMN(Emp!$E$4),0)))</f>
        <v>45316</v>
      </c>
      <c r="AE66" s="144" t="str">
        <f ca="1">IF(ISNA(VLOOKUP($C66,EmpAll,COLUMN(Emp!$G$1),0)),"-",IF(VLOOKUP($C66,EmpAll,COLUMN(Emp!$G$1),0)=0,"-",VLOOKUP($C66,EmpAll,COLUMN(Emp!$G$1),0)))</f>
        <v>-</v>
      </c>
      <c r="AF66" s="145">
        <f ca="1">IF(A66=PaySlip!$G$3,1,0)</f>
        <v>0</v>
      </c>
      <c r="AG66" s="130" cm="1">
        <f t="array" aca="1" ref="AG66" ca="1">IF(COUNTIFS(OverEmp,$C66,OverMed,"MED",OverDate,"&lt;"&amp;DATE(YEAR($AC66),MONTH($AC66)+1,1),OverEnd,"&gt;="&amp;DATE(YEAR($AC66),MONTH($AC66),1))&gt;0,SUMIFS(OverValue,OverEmp,$C66,OverMed,"MED",OverDate,"&lt;"&amp;DATE(YEAR($AC66),MONTH($AC66)+1,1),OverEnd,"&gt;="&amp;DATE(YEAR($AC66),MONTH($AC66),1)),IF(ISNA(VLOOKUP($C66,EmpAll,COLUMN(Emp!$N$4),0)),0,VLOOKUP($C66,EmpAll,COLUMN(Emp!$N$4),0)))</f>
        <v>1</v>
      </c>
      <c r="AH66" s="146">
        <f ca="1">VLOOKUP($AG66,MedList,COLUMN(Setup!$C$49),1)</f>
        <v>364</v>
      </c>
      <c r="AI66" s="146">
        <f t="shared" ca="1" si="7"/>
        <v>5824</v>
      </c>
      <c r="AJ66" s="101" t="str">
        <f ca="1">IF(ISNA(VLOOKUP($C66,EmpAll,COLUMN(Emp!$L$4),0)),"None!",VLOOKUP($C66,EmpAll,COLUMN(Emp!$L$4),0))</f>
        <v>A</v>
      </c>
      <c r="AK66" s="147">
        <f t="shared" ca="1" si="21"/>
        <v>17235</v>
      </c>
      <c r="AL66" s="101" t="str">
        <f ca="1">IF(ISNA(VLOOKUP($C66,Employees[],COLUMN(Emp!$M$4),0))=TRUE,"Error!",IF(VLOOKUP($C66,Employees[],COLUMN(Emp!$M$4),0)=0,"Yes",VLOOKUP($C66,Employees[],COLUMN(Emp!$M$4),0)))</f>
        <v>A</v>
      </c>
      <c r="AM66" s="148">
        <f t="shared" ca="1" si="9"/>
        <v>0</v>
      </c>
      <c r="AN66" s="148" cm="1">
        <f t="array" aca="1" ref="AN66" ca="1">-IF($F66="Terminated",0,IF($AA66=0,0,IF(ISNA(MATCH(AN$5,PayDedList,0)),0,MIN(IF(COUNTIFS(OverEmp,$C66,OverDeduct,AN$5,OverDate,"&lt;"&amp;DATE(YEAR($AC66),MONTH($AC66)+1,1),OverEnd,"&gt;="&amp;DATE(YEAR($AC66),MONTH($AC66),1))&gt;0,SUMPRODUCT((PayEmp=$C66)*(PayDate&lt;=$AC66)*(OFFSET($N$6,1,MATCH(AN$5,PayDedList,0)-1,PayCount,1)))/$AA66*12*AN$3,IF(OR(AN$1="Fixed",AN$1="Not Used"),SUMPRODUCT((PayEmp=$C66)*(PayDate&lt;=$AC66)*(OFFSET($N$6,1,MATCH(AN$5,PayDedList,0)-1,PayCount,1)))/$AA66*12*AN$3,IF(ISNA(MATCH(AN$1,EarnListItem,0))=FALSE,SUMPRODUCT((PayEmp=$C66)*(PayDate&lt;=$AC66)*(OFFSET($N$6,1,MATCH(AN$5,PayDedList,0)-1,PayCount,1)))/$AA66*12*AN$3,(MIN(((SUMPRODUCT((PayEmp=$C66)*(PayDate&lt;=$AC66)*(ISERROR(SEARCH(PayEarnCode,AN$2)))*(PayEarnType="Monthly")*(PayEarnValues))/$AA66*12)+(SUMPRODUCT((PayEmp=$C66)*(PayDate&lt;=$AC66)*(ISERROR(SEARCH(PayEarnCode,AN$2)))*(PayEarnType="Quarterly")*(PayEarnValues))/MAX(1,ROUNDDOWN($AB66/3,0))*4)+(SUMPRODUCT((PayEmp=$C66)*(PayDate&lt;=$AC66)*(ISERROR(SEARCH(PayEarnCode,AN$2)))*(PayEarnType="Bi-Annual")*(PayEarnValues))/MAX(1,ROUNDDOWN($AB66/6,0))*2)+(SUMPRODUCT((PayEmp=$C66)*(PayDate&lt;=$AC66)*(ISERROR(SEARCH(PayEarnCode,AN$2)))*(PayEarnType="Annual")*(PayEarnValues)))),IF(ISNUMBER(OFFSET($N$3,0,MATCH(AN$5,PayDedList,0)-1,1,1)),OFFSET($N$3,0,MATCH(AN$5,PayDedList,0)-1,1,1),IgnoreMin)))*IF(COUNTIFS(EmpNo,$C66,OFFSET(Emp!$R$4,1,MATCH(AN$5,DedListItem,0)-1,EmpCount,1),"&lt;&gt;")&gt;0,VLOOKUP($C66,EmpAll,COLUMN(Emp!$R$4)+MATCH(AN$5,DedListItem,0)-1,0),OFFSET(Setup!$E$73,MATCH(AN$5,DedListItem,0),0,1,1))*AN$3))),IF(ISNUMBER(AN$4),AN$4,IgnoreMin)))))</f>
        <v>0</v>
      </c>
      <c r="AO66" s="148" cm="1">
        <f t="array" aca="1" ref="AO66" ca="1">-IF($F66="Terminated",0,IF($AA66=0,0,IF(ISNA(MATCH(AO$5,PayDedList,0)),0,MIN(IF(COUNTIFS(OverEmp,$C66,OverDeduct,AO$5,OverDate,"&lt;"&amp;DATE(YEAR($AC66),MONTH($AC66)+1,1),OverEnd,"&gt;="&amp;DATE(YEAR($AC66),MONTH($AC66),1))&gt;0,SUMPRODUCT((PayEmp=$C66)*(PayDate&lt;=$AC66)*(OFFSET($N$6,1,MATCH(AO$5,PayDedList,0)-1,PayCount,1)))/$AA66*12*AO$3,IF(OR(AO$1="Fixed",AO$1="Not Used"),SUMPRODUCT((PayEmp=$C66)*(PayDate&lt;=$AC66)*(OFFSET($N$6,1,MATCH(AO$5,PayDedList,0)-1,PayCount,1)))/$AA66*12*AO$3,IF(ISNA(MATCH(AO$1,EarnListItem,0))=FALSE,SUMPRODUCT((PayEmp=$C66)*(PayDate&lt;=$AC66)*(OFFSET($N$6,1,MATCH(AO$5,PayDedList,0)-1,PayCount,1)))/$AA66*12*AO$3,(MIN(((SUMPRODUCT((PayEmp=$C66)*(PayDate&lt;=$AC66)*(ISERROR(SEARCH(PayEarnCode,AO$2)))*(PayEarnType="Monthly")*(PayEarnValues))/$AA66*12)+(SUMPRODUCT((PayEmp=$C66)*(PayDate&lt;=$AC66)*(ISERROR(SEARCH(PayEarnCode,AO$2)))*(PayEarnType="Quarterly")*(PayEarnValues))/MAX(1,ROUNDDOWN($AB66/3,0))*4)+(SUMPRODUCT((PayEmp=$C66)*(PayDate&lt;=$AC66)*(ISERROR(SEARCH(PayEarnCode,AO$2)))*(PayEarnType="Bi-Annual")*(PayEarnValues))/MAX(1,ROUNDDOWN($AB66/6,0))*2)+(SUMPRODUCT((PayEmp=$C66)*(PayDate&lt;=$AC66)*(ISERROR(SEARCH(PayEarnCode,AO$2)))*(PayEarnType="Annual")*(PayEarnValues)))),IF(ISNUMBER(OFFSET($N$3,0,MATCH(AO$5,PayDedList,0)-1,1,1)),OFFSET($N$3,0,MATCH(AO$5,PayDedList,0)-1,1,1),IgnoreMin)))*IF(COUNTIFS(EmpNo,$C66,OFFSET(Emp!$R$4,1,MATCH(AO$5,DedListItem,0)-1,EmpCount,1),"&lt;&gt;")&gt;0,VLOOKUP($C66,EmpAll,COLUMN(Emp!$R$4)+MATCH(AO$5,DedListItem,0)-1,0),OFFSET(Setup!$E$73,MATCH(AO$5,DedListItem,0),0,1,1))*AO$3))),IF(ISNUMBER(AO$4),AO$4,IgnoreMin)))))</f>
        <v>0</v>
      </c>
      <c r="AP66" s="148" cm="1">
        <f t="array" aca="1" ref="AP66" ca="1">-IF($F66="Terminated",0,IF($AA66=0,0,IF(ISNA(MATCH(AP$5,PayDedList,0)),0,MIN(IF(COUNTIFS(OverEmp,$C66,OverDeduct,AP$5,OverDate,"&lt;"&amp;DATE(YEAR($AC66),MONTH($AC66)+1,1),OverEnd,"&gt;="&amp;DATE(YEAR($AC66),MONTH($AC66),1))&gt;0,SUMPRODUCT((PayEmp=$C66)*(PayDate&lt;=$AC66)*(OFFSET($N$6,1,MATCH(AP$5,PayDedList,0)-1,PayCount,1)))/$AA66*12*AP$3,IF(OR(AP$1="Fixed",AP$1="Not Used"),SUMPRODUCT((PayEmp=$C66)*(PayDate&lt;=$AC66)*(OFFSET($N$6,1,MATCH(AP$5,PayDedList,0)-1,PayCount,1)))/$AA66*12*AP$3,IF(ISNA(MATCH(AP$1,EarnListItem,0))=FALSE,SUMPRODUCT((PayEmp=$C66)*(PayDate&lt;=$AC66)*(OFFSET($N$6,1,MATCH(AP$5,PayDedList,0)-1,PayCount,1)))/$AA66*12*AP$3,(MIN(((SUMPRODUCT((PayEmp=$C66)*(PayDate&lt;=$AC66)*(ISERROR(SEARCH(PayEarnCode,AP$2)))*(PayEarnType="Monthly")*(PayEarnValues))/$AA66*12)+(SUMPRODUCT((PayEmp=$C66)*(PayDate&lt;=$AC66)*(ISERROR(SEARCH(PayEarnCode,AP$2)))*(PayEarnType="Quarterly")*(PayEarnValues))/MAX(1,ROUNDDOWN($AB66/3,0))*4)+(SUMPRODUCT((PayEmp=$C66)*(PayDate&lt;=$AC66)*(ISERROR(SEARCH(PayEarnCode,AP$2)))*(PayEarnType="Bi-Annual")*(PayEarnValues))/MAX(1,ROUNDDOWN($AB66/6,0))*2)+(SUMPRODUCT((PayEmp=$C66)*(PayDate&lt;=$AC66)*(ISERROR(SEARCH(PayEarnCode,AP$2)))*(PayEarnType="Annual")*(PayEarnValues)))),IF(ISNUMBER(OFFSET($N$3,0,MATCH(AP$5,PayDedList,0)-1,1,1)),OFFSET($N$3,0,MATCH(AP$5,PayDedList,0)-1,1,1),IgnoreMin)))*IF(COUNTIFS(EmpNo,$C66,OFFSET(Emp!$R$4,1,MATCH(AP$5,DedListItem,0)-1,EmpCount,1),"&lt;&gt;")&gt;0,VLOOKUP($C66,EmpAll,COLUMN(Emp!$R$4)+MATCH(AP$5,DedListItem,0)-1,0),OFFSET(Setup!$E$73,MATCH(AP$5,DedListItem,0),0,1,1))*AP$3))),IF(ISNUMBER(AP$4),AP$4,IgnoreMin)))))</f>
        <v>0</v>
      </c>
      <c r="AQ66" s="148" cm="1">
        <f t="array" aca="1" ref="AQ66" ca="1">-IF($F66="Terminated",0,IF($AA66=0,0,IF(ISNA(MATCH(AQ$5,PayDedList,0)),0,MIN(IF(COUNTIFS(OverEmp,$C66,OverDeduct,AQ$5,OverDate,"&lt;"&amp;DATE(YEAR($AC66),MONTH($AC66)+1,1),OverEnd,"&gt;="&amp;DATE(YEAR($AC66),MONTH($AC66),1))&gt;0,SUMPRODUCT((PayEmp=$C66)*(PayDate&lt;=$AC66)*(OFFSET($N$6,1,MATCH(AQ$5,PayDedList,0)-1,PayCount,1)))/$AA66*12*AQ$3,IF(OR(AQ$1="Fixed",AQ$1="Not Used"),SUMPRODUCT((PayEmp=$C66)*(PayDate&lt;=$AC66)*(OFFSET($N$6,1,MATCH(AQ$5,PayDedList,0)-1,PayCount,1)))/$AA66*12*AQ$3,IF(ISNA(MATCH(AQ$1,EarnListItem,0))=FALSE,SUMPRODUCT((PayEmp=$C66)*(PayDate&lt;=$AC66)*(OFFSET($N$6,1,MATCH(AQ$5,PayDedList,0)-1,PayCount,1)))/$AA66*12*AQ$3,(MIN(((SUMPRODUCT((PayEmp=$C66)*(PayDate&lt;=$AC66)*(ISERROR(SEARCH(PayEarnCode,AQ$2)))*(PayEarnType="Monthly")*(PayEarnValues))/$AA66*12)+(SUMPRODUCT((PayEmp=$C66)*(PayDate&lt;=$AC66)*(ISERROR(SEARCH(PayEarnCode,AQ$2)))*(PayEarnType="Quarterly")*(PayEarnValues))/MAX(1,ROUNDDOWN($AB66/3,0))*4)+(SUMPRODUCT((PayEmp=$C66)*(PayDate&lt;=$AC66)*(ISERROR(SEARCH(PayEarnCode,AQ$2)))*(PayEarnType="Bi-Annual")*(PayEarnValues))/MAX(1,ROUNDDOWN($AB66/6,0))*2)+(SUMPRODUCT((PayEmp=$C66)*(PayDate&lt;=$AC66)*(ISERROR(SEARCH(PayEarnCode,AQ$2)))*(PayEarnType="Annual")*(PayEarnValues)))),IF(ISNUMBER(OFFSET($N$3,0,MATCH(AQ$5,PayDedList,0)-1,1,1)),OFFSET($N$3,0,MATCH(AQ$5,PayDedList,0)-1,1,1),IgnoreMin)))*IF(COUNTIFS(EmpNo,$C66,OFFSET(Emp!$R$4,1,MATCH(AQ$5,DedListItem,0)-1,EmpCount,1),"&lt;&gt;")&gt;0,VLOOKUP($C66,EmpAll,COLUMN(Emp!$R$4)+MATCH(AQ$5,DedListItem,0)-1,0),OFFSET(Setup!$E$73,MATCH(AQ$5,DedListItem,0),0,1,1))*AQ$3))),IF(ISNUMBER(AQ$4),AQ$4,IgnoreMin)))))</f>
        <v>0</v>
      </c>
      <c r="AR66" s="148">
        <f t="shared" ca="1" si="22"/>
        <v>0</v>
      </c>
      <c r="AS66" s="148">
        <f t="shared" ca="1" si="11"/>
        <v>0</v>
      </c>
      <c r="AT66" s="148" cm="1">
        <f t="array" aca="1" ref="AT66" ca="1">-IF($F66="Terminated",0,IF($AA66=0,0,IF(ISNA(MATCH(AT$5,PayDedList,0)),0,MIN(IF(COUNTIFS(OverEmp,$C66,OverDeduct,AT$5,OverDate,"&lt;"&amp;DATE(YEAR($AC66),MONTH($AC66)+1,1),OverEnd,"&gt;="&amp;DATE(YEAR($AC66),MONTH($AC66),1))&gt;0,SUMPRODUCT((PayEmp=$C66)*(PayDate&lt;=$AC66)*(OFFSET($N$6,1,MATCH(AT$5,PayDedList,0)-1,PayCount,1)))/$AA66*12*AT$3,IF(OR(AT$1="Fixed",AT$1="Not Used"),SUMPRODUCT((PayEmp=$C66)*(PayDate&lt;=$AC66)*(OFFSET($N$6,1,MATCH(AT$5,PayDedList,0)-1,PayCount,1)))/$AA66*12*AT$3,IF(ISNA(MATCH(OFFSET($N$2,0,MATCH(AT$5,PayDedList,0)-1,1,1),EarnListItem,0))=FALSE,SUMPRODUCT((PayEmp=$C66)*(PayDate&lt;=$AC66)*(OFFSET($N$6,1,MATCH(AT$5,PayDedList,0)-1,PayCount,1)))/$AA66*12*AT$3,(MIN(SUMPRODUCT((PayEmp=$C66)*(PayDate&lt;=$AC66)*(ISERROR(SEARCH(PayEarnCode,AT$2)))*(PayEarnType="Monthly")*(PayEarnValues))/$AA66*12,IF(ISNUMBER(OFFSET($N$3,0,MATCH(AT$5,PayDedList,0)-1,1,1)),OFFSET($N$3,0,MATCH(AT$5,PayDedList,0)-1,1,1),IgnoreMin)))*IF(COUNTIFS(EmpNo,$C66,OFFSET(Emp!$R$4,1,MATCH(AT$5,DedListItem,0)-1,EmpCount,1),"&lt;&gt;")&gt;0,VLOOKUP($C66,EmpAll,COLUMN(Emp!$R$4)+MATCH(AT$5,DedListItem,0)-1,0),OFFSET(Setup!$E$73,MATCH(AT$5,DedListItem,0),0,1,1))*AT$3))),IF(ISNUMBER(AT$4),AT$4,IgnoreMin)))))</f>
        <v>0</v>
      </c>
      <c r="AU66" s="148" cm="1">
        <f t="array" aca="1" ref="AU66" ca="1">-IF($F66="Terminated",0,IF($AA66=0,0,IF(ISNA(MATCH(AU$5,PayDedList,0)),0,MIN(IF(COUNTIFS(OverEmp,$C66,OverDeduct,AU$5,OverDate,"&lt;"&amp;DATE(YEAR($AC66),MONTH($AC66)+1,1),OverEnd,"&gt;="&amp;DATE(YEAR($AC66),MONTH($AC66),1))&gt;0,SUMPRODUCT((PayEmp=$C66)*(PayDate&lt;=$AC66)*(OFFSET($N$6,1,MATCH(AU$5,PayDedList,0)-1,PayCount,1)))/$AA66*12*AU$3,IF(OR(AU$1="Fixed",AU$1="Not Used"),SUMPRODUCT((PayEmp=$C66)*(PayDate&lt;=$AC66)*(OFFSET($N$6,1,MATCH(AU$5,PayDedList,0)-1,PayCount,1)))/$AA66*12*AU$3,IF(ISNA(MATCH(OFFSET($N$2,0,MATCH(AU$5,PayDedList,0)-1,1,1),EarnListItem,0))=FALSE,SUMPRODUCT((PayEmp=$C66)*(PayDate&lt;=$AC66)*(OFFSET($N$6,1,MATCH(AU$5,PayDedList,0)-1,PayCount,1)))/$AA66*12*AU$3,(MIN(SUMPRODUCT((PayEmp=$C66)*(PayDate&lt;=$AC66)*(ISERROR(SEARCH(PayEarnCode,AU$2)))*(PayEarnType="Monthly")*(PayEarnValues))/$AA66*12,IF(ISNUMBER(OFFSET($N$3,0,MATCH(AU$5,PayDedList,0)-1,1,1)),OFFSET($N$3,0,MATCH(AU$5,PayDedList,0)-1,1,1),IgnoreMin)))*IF(COUNTIFS(EmpNo,$C66,OFFSET(Emp!$R$4,1,MATCH(AU$5,DedListItem,0)-1,EmpCount,1),"&lt;&gt;")&gt;0,VLOOKUP($C66,EmpAll,COLUMN(Emp!$R$4)+MATCH(AU$5,DedListItem,0)-1,0),OFFSET(Setup!$E$73,MATCH(AU$5,DedListItem,0),0,1,1))*AU$3))),IF(ISNUMBER(AU$4),AU$4,IgnoreMin)))))</f>
        <v>0</v>
      </c>
      <c r="AV66" s="148" cm="1">
        <f t="array" aca="1" ref="AV66" ca="1">-IF($F66="Terminated",0,IF($AA66=0,0,IF(ISNA(MATCH(AV$5,PayDedList,0)),0,MIN(IF(COUNTIFS(OverEmp,$C66,OverDeduct,AV$5,OverDate,"&lt;"&amp;DATE(YEAR($AC66),MONTH($AC66)+1,1),OverEnd,"&gt;="&amp;DATE(YEAR($AC66),MONTH($AC66),1))&gt;0,SUMPRODUCT((PayEmp=$C66)*(PayDate&lt;=$AC66)*(OFFSET($N$6,1,MATCH(AV$5,PayDedList,0)-1,PayCount,1)))/$AA66*12*AV$3,IF(OR(AV$1="Fixed",AV$1="Not Used"),SUMPRODUCT((PayEmp=$C66)*(PayDate&lt;=$AC66)*(OFFSET($N$6,1,MATCH(AV$5,PayDedList,0)-1,PayCount,1)))/$AA66*12*AV$3,IF(ISNA(MATCH(OFFSET($N$2,0,MATCH(AV$5,PayDedList,0)-1,1,1),EarnListItem,0))=FALSE,SUMPRODUCT((PayEmp=$C66)*(PayDate&lt;=$AC66)*(OFFSET($N$6,1,MATCH(AV$5,PayDedList,0)-1,PayCount,1)))/$AA66*12*AV$3,(MIN(SUMPRODUCT((PayEmp=$C66)*(PayDate&lt;=$AC66)*(ISERROR(SEARCH(PayEarnCode,AV$2)))*(PayEarnType="Monthly")*(PayEarnValues))/$AA66*12,IF(ISNUMBER(OFFSET($N$3,0,MATCH(AV$5,PayDedList,0)-1,1,1)),OFFSET($N$3,0,MATCH(AV$5,PayDedList,0)-1,1,1),IgnoreMin)))*IF(COUNTIFS(EmpNo,$C66,OFFSET(Emp!$R$4,1,MATCH(AV$5,DedListItem,0)-1,EmpCount,1),"&lt;&gt;")&gt;0,VLOOKUP($C66,EmpAll,COLUMN(Emp!$R$4)+MATCH(AV$5,DedListItem,0)-1,0),OFFSET(Setup!$E$73,MATCH(AV$5,DedListItem,0),0,1,1))*AV$3))),IF(ISNUMBER(AV$4),AV$4,IgnoreMin)))))</f>
        <v>0</v>
      </c>
      <c r="AW66" s="148" cm="1">
        <f t="array" aca="1" ref="AW66" ca="1">-IF($F66="Terminated",0,IF($AA66=0,0,IF(ISNA(MATCH(AW$5,PayDedList,0)),0,MIN(IF(COUNTIFS(OverEmp,$C66,OverDeduct,AW$5,OverDate,"&lt;"&amp;DATE(YEAR($AC66),MONTH($AC66)+1,1),OverEnd,"&gt;="&amp;DATE(YEAR($AC66),MONTH($AC66),1))&gt;0,SUMPRODUCT((PayEmp=$C66)*(PayDate&lt;=$AC66)*(OFFSET($N$6,1,MATCH(AW$5,PayDedList,0)-1,PayCount,1)))/$AA66*12*AW$3,IF(OR(AW$1="Fixed",AW$1="Not Used"),SUMPRODUCT((PayEmp=$C66)*(PayDate&lt;=$AC66)*(OFFSET($N$6,1,MATCH(AW$5,PayDedList,0)-1,PayCount,1)))/$AA66*12*AW$3,IF(ISNA(MATCH(OFFSET($N$2,0,MATCH(AW$5,PayDedList,0)-1,1,1),EarnListItem,0))=FALSE,SUMPRODUCT((PayEmp=$C66)*(PayDate&lt;=$AC66)*(OFFSET($N$6,1,MATCH(AW$5,PayDedList,0)-1,PayCount,1)))/$AA66*12*AW$3,(MIN(SUMPRODUCT((PayEmp=$C66)*(PayDate&lt;=$AC66)*(ISERROR(SEARCH(PayEarnCode,AW$2)))*(PayEarnType="Monthly")*(PayEarnValues))/$AA66*12,IF(ISNUMBER(OFFSET($N$3,0,MATCH(AW$5,PayDedList,0)-1,1,1)),OFFSET($N$3,0,MATCH(AW$5,PayDedList,0)-1,1,1),IgnoreMin)))*IF(COUNTIFS(EmpNo,$C66,OFFSET(Emp!$R$4,1,MATCH(AW$5,DedListItem,0)-1,EmpCount,1),"&lt;&gt;")&gt;0,VLOOKUP($C66,EmpAll,COLUMN(Emp!$R$4)+MATCH(AW$5,DedListItem,0)-1,0),OFFSET(Setup!$E$73,MATCH(AW$5,DedListItem,0),0,1,1))*AW$3))),IF(ISNUMBER(AW$4),AW$4,IgnoreMin)))))</f>
        <v>0</v>
      </c>
      <c r="AX66" s="148">
        <f t="shared" ca="1" si="28"/>
        <v>0</v>
      </c>
      <c r="AY66" s="148">
        <f t="shared" ca="1" si="29"/>
        <v>0</v>
      </c>
      <c r="AZ66" s="148">
        <f ca="1">IF(ISNUMBER($AL66),($AR66*$AL66)-$AI66-$AK66,MAX(0,IF($AL66="B",IF($AR66&lt;Setup!$C$32,($AR66*Setup!$D$32)-$AI66-$AK66,(($AR66-VLOOKUP($AR66,TaxAll2,1,1))*OFFSET(Setup!$D$32,MATCH($AR66,TaxBracket2,1),0,1,1))+OFFSET(Setup!$E$31,MATCH($AR66,TaxBracket2,1),0,1,1)-$AI66-$AK66),IF($AR66&lt;Setup!$C$21,($AR66*Setup!$D$21)-$AI66-$AK66,(($AR66-VLOOKUP($AR66,TaxAll1,1,1))*OFFSET(Setup!$D$21,MATCH($AR66,TaxBracket1,1),0,1,1))+OFFSET(Setup!$E$20,MATCH($AR66,TaxBracket1,1),0,1,1)-$AI66-$AK66))))</f>
        <v>0</v>
      </c>
      <c r="BA66" s="148">
        <f ca="1">IF(ISNUMBER($AL66),($AX66*$AL66)-$AI66-$AK66,MAX(0,IF($AL66="B",IF($AX66&lt;Setup!$C$32,($AX66*Setup!$D$32)-$AI66-$AK66,(($AX66-VLOOKUP($AX66,TaxAll2,1,1))*OFFSET(Setup!$D$32,MATCH($AX66,TaxBracket2,1),0,1,1))+OFFSET(Setup!$E$31,MATCH($AX66,TaxBracket2,1),0,1,1)-$AI66-$AK66),IF($AX66&lt;Setup!$C$21,($AX66*Setup!$D$21)-$AI66-$AK66,(($AX66-VLOOKUP($AX66,TaxAll1,1,1))*OFFSET(Setup!$D$21,MATCH($AX66,TaxBracket1,1),0,1,1))+OFFSET(Setup!$E$20,MATCH($AX66,TaxBracket1,1),0,1,1)-$AI66-$AK66))))</f>
        <v>0</v>
      </c>
      <c r="BB66" s="148">
        <f t="shared" ca="1" si="23"/>
        <v>0</v>
      </c>
      <c r="BC66" s="150">
        <f t="shared" ca="1" si="15"/>
        <v>0</v>
      </c>
      <c r="BD66" s="150">
        <f t="shared" ca="1" si="16"/>
        <v>0</v>
      </c>
      <c r="BE66" s="148">
        <f t="shared" ca="1" si="17"/>
        <v>0</v>
      </c>
    </row>
    <row r="67" spans="1:57" ht="16.149999999999999" customHeight="1" x14ac:dyDescent="0.25">
      <c r="A67" s="10" t="str" cm="1">
        <f t="array" aca="1" ref="A67" ca="1">IF(ROW($A67)-ROW($A$6)&gt;EmpCount*12,"-",TEXT($B67,"yyyy")&amp;TEXT($B67,"mm")&amp;"-"&amp;$C67)</f>
        <v>202307-EXS001</v>
      </c>
      <c r="B67" s="137" cm="1">
        <f t="array" aca="1" ref="B67" ca="1">IF(ROW($A67)-ROW($A$6)&gt;EmpCount*12,Setup!$D$12,DATE(YEAR(Setup!$F$12),MONTH(Setup!$F$12)+ROUNDDOWN((ROW($A67)-ROW($A$6)-1)/EmpCount,0),IF(Setup!$C$14&gt;DAY(DATE(YEAR(Setup!$F$12),MONTH(Setup!$F$12)+ROUNDDOWN((ROW($A67)-ROW($A$6)-1)/EmpCount,0)+1,0)),DAY(DATE(YEAR(Setup!$F$12),MONTH(Setup!$F$12)+ROUNDDOWN((ROW($A67)-ROW($A$6)-1)/EmpCount,0)+1,0)),Setup!$C$14)))</f>
        <v>45132</v>
      </c>
      <c r="C67" s="101" t="str" cm="1">
        <f t="array" aca="1" ref="C67" ca="1">IF(ROW($A67)-ROW($A$6)&gt;EmpCount*12,"-",OFFSET(Emp!$A$4,ROW($A67)-ROW($A$6)-IF(ROW($A67)-ROW($A$6)&gt;EmpCount,ROUNDDOWN((ROW($A67)-ROW($A$6)-1)/EmpCount,0)*EmpCount,0),0,1,1))</f>
        <v>EXS001</v>
      </c>
      <c r="D67" s="10" t="str">
        <f ca="1">IF(ISNA(VLOOKUP($C67,EmpAll,COLUMN(Emp!$B$4),0)),"-",VLOOKUP($C67,EmpAll,COLUMN(Emp!$B$4),0))</f>
        <v>Taylor AE</v>
      </c>
      <c r="E67" s="145" t="str">
        <f ca="1">IF(ISNA(VLOOKUP($C67,EmpAll,COLUMN(Emp!$C$4),0)),"-",VLOOKUP($C67,EmpAll,COLUMN(Emp!$C$4),0))</f>
        <v>M</v>
      </c>
      <c r="F67" s="101" t="str">
        <f ca="1">IF(ISNA(VLOOKUP($C67,EmpAll,COLUMN(Emp!$A$4),0)),"-",IF(AND(VLOOKUP($C67,EmpAll,COLUMN(Emp!$E$4),0)&lt;&gt;0,VLOOKUP($C67,EmpAll,COLUMN(Emp!$E$4),0)&gt;=DATE(YEAR($AC67),MONTH($AC67)+1,0)),"Inactive",IF(AND(VLOOKUP($C67,EmpAll,COLUMN(Emp!$F$4),0)&lt;&gt;0,VLOOKUP($C67,EmpAll,COLUMN(Emp!$F$4),0)&lt;=DATE(YEAR($AC67),MONTH($AC67),0)),"Terminated","Active")))</f>
        <v>Active</v>
      </c>
      <c r="G67" s="133" cm="1">
        <f t="array" aca="1" ref="G67" ca="1">IF($F67&lt;&gt;"Active",0,IF(COUNTIFS(OverEmp,$C67,OverEarn,G$2,OverDate,"&lt;"&amp;DATE(YEAR($AC67),MONTH($AC67)+1,1),OverEnd,"&gt;="&amp;DATE(YEAR($AC67),MONTH($AC67),1))&gt;0,SUMIFS(OverValue,OverEmp,$C67,OverEarn,G$2,OverDate,"&lt;"&amp;DATE(YEAR($AC67),MONTH($AC67)+1,1),OverEnd,"&gt;="&amp;DATE(YEAR($AC67),MONTH($AC67),1)),IF(AND($AC67&gt;=Setup!$E$10,SUMIFS(EmpIncrease,EmpCode,$C67)&gt;0),SUMIFS(EmpIncrease,EmpCode,$C67),SUMIFS(EmpSalary,EmpCode,$C67))))</f>
        <v>150000</v>
      </c>
      <c r="H67" s="133" cm="1">
        <f t="array" aca="1" ref="H67" ca="1">IF($F67&lt;&gt;"Active",0,IF(COUNTIFS(OverEmp,$C67,OverEarn,H$2,OverDate,"&lt;"&amp;DATE(YEAR($AC67),MONTH($AC67)+1,1),OverEnd,"&gt;="&amp;DATE(YEAR($AC67),MONTH($AC67),1))&gt;0,SUMIFS(OverValue,OverEmp,$C67,OverEarn,H$2,OverDate,"&lt;"&amp;DATE(YEAR($AC67),MONTH($AC67)+1,1),OverEnd,"&gt;="&amp;DATE(YEAR($AC67),MONTH($AC67),1)),0))</f>
        <v>0</v>
      </c>
      <c r="I67" s="133" cm="1">
        <f t="array" aca="1" ref="I67" ca="1">IF($F67&lt;&gt;"Active",0,IF(COUNTIFS(OverEmp,$C67,OverEarn,I$2,OverDate,"&lt;"&amp;DATE(YEAR($AC67),MONTH($AC67)+1,1),OverEnd,"&gt;="&amp;DATE(YEAR($AC67),MONTH($AC67),1))&gt;0,SUMIFS(OverValue,OverEmp,$C67,OverEarn,I$2,OverDate,"&lt;"&amp;DATE(YEAR($AC67),MONTH($AC67)+1,1),OverEnd,"&gt;="&amp;DATE(YEAR($AC67),MONTH($AC67),1)),IF(MONTH(B67)=Setup!$C$15,SUMIFS(EmpBonus,EmpCode,$C67),0)))</f>
        <v>0</v>
      </c>
      <c r="J67" s="133" cm="1">
        <f t="array" aca="1" ref="J67" ca="1">IF($F67&lt;&gt;"Active",0,IF(COUNTIFS(OverEmp,$C67,OverEarn,J$2,OverDate,"&lt;"&amp;DATE(YEAR($AC67),MONTH($AC67)+1,1),OverEnd,"&gt;="&amp;DATE(YEAR($AC67),MONTH($AC67),1))&gt;0,SUMIFS(OverValue,OverEmp,$C67,OverEarn,J$2,OverDate,"&lt;"&amp;DATE(YEAR($AC67),MONTH($AC67)+1,1),OverEnd,"&gt;="&amp;DATE(YEAR($AC67),MONTH($AC67),1)),0))</f>
        <v>0</v>
      </c>
      <c r="K67" s="133" cm="1">
        <f t="array" aca="1" ref="K67" ca="1">IF($F67&lt;&gt;"Active",0,IF(COUNTIFS(OverEmp,$C67,OverEarn,K$2,OverDate,"&lt;"&amp;DATE(YEAR($AC67),MONTH($AC67)+1,1),OverEnd,"&gt;="&amp;DATE(YEAR($AC67),MONTH($AC67),1))&gt;0,SUMIFS(OverValue,OverEmp,$C67,OverEarn,K$2,OverDate,"&lt;"&amp;DATE(YEAR($AC67),MONTH($AC67)+1,1),OverEnd,"&gt;="&amp;DATE(YEAR($AC67),MONTH($AC67),1)),0))</f>
        <v>0</v>
      </c>
      <c r="L67" s="185">
        <f t="shared" ca="1" si="24"/>
        <v>150000</v>
      </c>
      <c r="M67" s="182" cm="1">
        <f t="array" aca="1" ref="M67" ca="1">IF(COUNTIFS(OverEmp,$C67,OverTax,M$5,OverDate,"&lt;"&amp;DATE(YEAR($AC67),MONTH($AC67)+1,1),OverEnd,"&gt;="&amp;DATE(YEAR($AC67),MONTH($AC67),1))&gt;0,SUMIFS(OverValue,OverEmp,$C67,OverTax,M$5,OverDate,"&lt;"&amp;DATE(YEAR($AC67),MONTH($AC67)+1,1),OverEnd,"&gt;="&amp;DATE(YEAR($AC67),MONTH($AC67),1)),(($BA67/12*$AA67)+(BB67*IF(1-$BC67=0,0,BD67/(1-$BC67))))-IF($F67="Terminated",0,SUMIFS(PayTaxDeduct,PayDate,"&lt;"&amp;$AC67,PayEmp,$C67)))</f>
        <v>45611.833333333343</v>
      </c>
      <c r="N67" s="133" cm="1">
        <f t="array" aca="1" ref="N67" ca="1">IF($F67="Terminated",0,IF($AA67=0,0,IF(ISNA(MATCH(N$5,DedListItem,0)),0,IF(COUNTIFS(OverEmp,$C67,OverDeduct,N$5,OverDate,"&lt;"&amp;DATE(YEAR($AC67),MONTH($AC67)+1,1),OverEnd,"&gt;="&amp;DATE(YEAR($AC67),MONTH($AC67),1))&gt;0,SUMIFS(OverValue,OverEmp,$C67,OverDeduct,N$5,OverDate,"&lt;"&amp;DATE(YEAR($AC67),MONTH($AC67)+1,1),OverEnd,"&gt;="&amp;DATE(YEAR($AC67),MONTH($AC67),1)),IF(OR(N$2="Fixed",N$2="Not Used"),(IF(COUNTIFS(EmpNo,$C67,OFFSET(Emp!$R$4,1,MATCH(N$5,DedListItem,0)-1,EmpCount,1),"&lt;&gt;")&gt;0,VLOOKUP($C67,EmpAll,COLUMN(Emp!$R$4)+MATCH(N$5,DedListItem,0)-1,0),OFFSET(Setup!$E$73,MATCH(N$5,DedListItem,0),0,1,1))*$AA67)-SUMIFS(OFFSET(N$6,1,0,PayCount,1),PayDate,"&lt;"&amp;$AC67,PayEmp,$C67),IF(ISNA(MATCH(N$2,EarnListItem,0))=FALSE,IF(OFFSET(Setup!$G$73,MATCH(N$5,DedListItem,0),0,1,1)="Taxable",SUMPRODUCT((PayEmp=$C67)*(PayDate&lt;=$AC67)*(PayEarnCode=N$2)*(PayEarnTax)*(PayEarnValues)),SUMPRODUCT((PayEmp=$C67)*(PayDate&lt;=$AC67)*(PayEarnCode=N$2)*(PayEarnValues)))*IF(COUNTIFS(EmpNo,$C67,OFFSET(Emp!$R$4,1,MATCH(N$5,DedListItem,0)-1,EmpCount,1),"&lt;&gt;")&gt;0,VLOOKUP($C67,EmpAll,COLUMN(Emp!$R$4)+MATCH(N$5,DedListItem,0)-1,0),OFFSET(Setup!$E$73,MATCH(N$5,DedListItem,0),0,1,1)),(MIN(IF(OFFSET(Setup!$G$73,MATCH(N$5,DedListItem,0),0,1,1)="Taxable",SUMPRODUCT((PayEmp=$C67)*(PayDate&lt;=$AC67)*(ISERROR(SEARCH(PayEarnCode,N$4)))*(PayEarnTax)*(PayEarnValues)),SUMPRODUCT((PayEmp=$C67)*(PayDate&lt;=$AC67)*(ISERROR(SEARCH(PayEarnCode,N$4)))*(PayEarnValues))),IF(ISNUMBER(N$3),N$3/12*$AA67,IgnoreMin)))*IF(COUNTIFS(EmpNo,$C67,OFFSET(Emp!$R$4,1,MATCH(N$5,DedListItem,0)-1,EmpCount,1),"&lt;&gt;")&gt;0,VLOOKUP($C67,EmpAll,COLUMN(Emp!$R$4)+MATCH(N$5,DedListItem,0)-1,0),OFFSET(Setup!$E$73,MATCH(N$5,DedListItem,0),0,1,1)))-SUMIFS(OFFSET(N$6,1,0,PayCount,1),PayDate,"&lt;"&amp;$AC67,PayEmp,$C67))))))</f>
        <v>177.12</v>
      </c>
      <c r="O67" s="133" cm="1">
        <f t="array" aca="1" ref="O67" ca="1">IF($F67="Terminated",0,IF($AA67=0,0,IF(ISNA(MATCH(O$5,DedListItem,0)),0,IF(COUNTIFS(OverEmp,$C67,OverDeduct,O$5,OverDate,"&lt;"&amp;DATE(YEAR($AC67),MONTH($AC67)+1,1),OverEnd,"&gt;="&amp;DATE(YEAR($AC67),MONTH($AC67),1))&gt;0,SUMIFS(OverValue,OverEmp,$C67,OverDeduct,O$5,OverDate,"&lt;"&amp;DATE(YEAR($AC67),MONTH($AC67)+1,1),OverEnd,"&gt;="&amp;DATE(YEAR($AC67),MONTH($AC67),1)),IF(OR(O$2="Fixed",O$2="Not Used"),(IF(COUNTIFS(EmpNo,$C67,OFFSET(Emp!$R$4,1,MATCH(O$5,DedListItem,0)-1,EmpCount,1),"&lt;&gt;")&gt;0,VLOOKUP($C67,EmpAll,COLUMN(Emp!$R$4)+MATCH(O$5,DedListItem,0)-1,0),OFFSET(Setup!$E$73,MATCH(O$5,DedListItem,0),0,1,1))*$AA67)-SUMIFS(OFFSET(O$6,1,0,PayCount,1),PayDate,"&lt;"&amp;$AC67,PayEmp,$C67),IF(ISNA(MATCH(O$2,EarnListItem,0))=FALSE,IF(OFFSET(Setup!$G$73,MATCH(O$5,DedListItem,0),0,1,1)="Taxable",SUMPRODUCT((PayEmp=$C67)*(PayDate&lt;=$AC67)*(PayEarnCode=O$2)*(PayEarnTax)*(PayEarnValues)),SUMPRODUCT((PayEmp=$C67)*(PayDate&lt;=$AC67)*(PayEarnCode=O$2)*(PayEarnValues)))*IF(COUNTIFS(EmpNo,$C67,OFFSET(Emp!$R$4,1,MATCH(O$5,DedListItem,0)-1,EmpCount,1),"&lt;&gt;")&gt;0,VLOOKUP($C67,EmpAll,COLUMN(Emp!$R$4)+MATCH(O$5,DedListItem,0)-1,0),OFFSET(Setup!$E$73,MATCH(O$5,DedListItem,0),0,1,1)),(MIN(IF(OFFSET(Setup!$G$73,MATCH(O$5,DedListItem,0),0,1,1)="Taxable",SUMPRODUCT((PayEmp=$C67)*(PayDate&lt;=$AC67)*(ISERROR(SEARCH(PayEarnCode,O$4)))*(PayEarnTax)*(PayEarnValues)),SUMPRODUCT((PayEmp=$C67)*(PayDate&lt;=$AC67)*(ISERROR(SEARCH(PayEarnCode,O$4)))*(PayEarnValues))),IF(ISNUMBER(O$3),O$3/12*$AA67,IgnoreMin)))*IF(COUNTIFS(EmpNo,$C67,OFFSET(Emp!$R$4,1,MATCH(O$5,DedListItem,0)-1,EmpCount,1),"&lt;&gt;")&gt;0,VLOOKUP($C67,EmpAll,COLUMN(Emp!$R$4)+MATCH(O$5,DedListItem,0)-1,0),OFFSET(Setup!$E$73,MATCH(O$5,DedListItem,0),0,1,1)))-SUMIFS(OFFSET(O$6,1,0,PayCount,1),PayDate,"&lt;"&amp;$AC67,PayEmp,$C67))))))</f>
        <v>11250</v>
      </c>
      <c r="P67" s="133" cm="1">
        <f t="array" aca="1" ref="P67" ca="1">IF($F67="Terminated",0,IF($AA67=0,0,IF(ISNA(MATCH(P$5,DedListItem,0)),0,IF(COUNTIFS(OverEmp,$C67,OverDeduct,P$5,OverDate,"&lt;"&amp;DATE(YEAR($AC67),MONTH($AC67)+1,1),OverEnd,"&gt;="&amp;DATE(YEAR($AC67),MONTH($AC67),1))&gt;0,SUMIFS(OverValue,OverEmp,$C67,OverDeduct,P$5,OverDate,"&lt;"&amp;DATE(YEAR($AC67),MONTH($AC67)+1,1),OverEnd,"&gt;="&amp;DATE(YEAR($AC67),MONTH($AC67),1)),IF(OR(P$2="Fixed",P$2="Not Used"),(IF(COUNTIFS(EmpNo,$C67,OFFSET(Emp!$R$4,1,MATCH(P$5,DedListItem,0)-1,EmpCount,1),"&lt;&gt;")&gt;0,VLOOKUP($C67,EmpAll,COLUMN(Emp!$R$4)+MATCH(P$5,DedListItem,0)-1,0),OFFSET(Setup!$E$73,MATCH(P$5,DedListItem,0),0,1,1))*$AA67)-SUMIFS(OFFSET(P$6,1,0,PayCount,1),PayDate,"&lt;"&amp;$AC67,PayEmp,$C67),IF(ISNA(MATCH(P$2,EarnListItem,0))=FALSE,IF(OFFSET(Setup!$G$73,MATCH(P$5,DedListItem,0),0,1,1)="Taxable",SUMPRODUCT((PayEmp=$C67)*(PayDate&lt;=$AC67)*(PayEarnCode=P$2)*(PayEarnTax)*(PayEarnValues)),SUMPRODUCT((PayEmp=$C67)*(PayDate&lt;=$AC67)*(PayEarnCode=P$2)*(PayEarnValues)))*IF(COUNTIFS(EmpNo,$C67,OFFSET(Emp!$R$4,1,MATCH(P$5,DedListItem,0)-1,EmpCount,1),"&lt;&gt;")&gt;0,VLOOKUP($C67,EmpAll,COLUMN(Emp!$R$4)+MATCH(P$5,DedListItem,0)-1,0),OFFSET(Setup!$E$73,MATCH(P$5,DedListItem,0),0,1,1)),(MIN(IF(OFFSET(Setup!$G$73,MATCH(P$5,DedListItem,0),0,1,1)="Taxable",SUMPRODUCT((PayEmp=$C67)*(PayDate&lt;=$AC67)*(ISERROR(SEARCH(PayEarnCode,P$4)))*(PayEarnTax)*(PayEarnValues)),SUMPRODUCT((PayEmp=$C67)*(PayDate&lt;=$AC67)*(ISERROR(SEARCH(PayEarnCode,P$4)))*(PayEarnValues))),IF(ISNUMBER(P$3),P$3/12*$AA67,IgnoreMin)))*IF(COUNTIFS(EmpNo,$C67,OFFSET(Emp!$R$4,1,MATCH(P$5,DedListItem,0)-1,EmpCount,1),"&lt;&gt;")&gt;0,VLOOKUP($C67,EmpAll,COLUMN(Emp!$R$4)+MATCH(P$5,DedListItem,0)-1,0),OFFSET(Setup!$E$73,MATCH(P$5,DedListItem,0),0,1,1)))-SUMIFS(OFFSET(P$6,1,0,PayCount,1),PayDate,"&lt;"&amp;$AC67,PayEmp,$C67))))))</f>
        <v>0</v>
      </c>
      <c r="Q67" s="133" cm="1">
        <f t="array" aca="1" ref="Q67" ca="1">IF($F67="Terminated",0,IF($AA67=0,0,IF(ISNA(MATCH(Q$5,DedListItem,0)),0,IF(COUNTIFS(OverEmp,$C67,OverDeduct,Q$5,OverDate,"&lt;"&amp;DATE(YEAR($AC67),MONTH($AC67)+1,1),OverEnd,"&gt;="&amp;DATE(YEAR($AC67),MONTH($AC67),1))&gt;0,SUMIFS(OverValue,OverEmp,$C67,OverDeduct,Q$5,OverDate,"&lt;"&amp;DATE(YEAR($AC67),MONTH($AC67)+1,1),OverEnd,"&gt;="&amp;DATE(YEAR($AC67),MONTH($AC67),1)),IF(OR(Q$2="Fixed",Q$2="Not Used"),(IF(COUNTIFS(EmpNo,$C67,OFFSET(Emp!$R$4,1,MATCH(Q$5,DedListItem,0)-1,EmpCount,1),"&lt;&gt;")&gt;0,VLOOKUP($C67,EmpAll,COLUMN(Emp!$R$4)+MATCH(Q$5,DedListItem,0)-1,0),OFFSET(Setup!$E$73,MATCH(Q$5,DedListItem,0),0,1,1))*$AA67)-SUMIFS(OFFSET(Q$6,1,0,PayCount,1),PayDate,"&lt;"&amp;$AC67,PayEmp,$C67),IF(ISNA(MATCH(Q$2,EarnListItem,0))=FALSE,IF(OFFSET(Setup!$G$73,MATCH(Q$5,DedListItem,0),0,1,1)="Taxable",SUMPRODUCT((PayEmp=$C67)*(PayDate&lt;=$AC67)*(PayEarnCode=Q$2)*(PayEarnTax)*(PayEarnValues)),SUMPRODUCT((PayEmp=$C67)*(PayDate&lt;=$AC67)*(PayEarnCode=Q$2)*(PayEarnValues)))*IF(COUNTIFS(EmpNo,$C67,OFFSET(Emp!$R$4,1,MATCH(Q$5,DedListItem,0)-1,EmpCount,1),"&lt;&gt;")&gt;0,VLOOKUP($C67,EmpAll,COLUMN(Emp!$R$4)+MATCH(Q$5,DedListItem,0)-1,0),OFFSET(Setup!$E$73,MATCH(Q$5,DedListItem,0),0,1,1)),(MIN(IF(OFFSET(Setup!$G$73,MATCH(Q$5,DedListItem,0),0,1,1)="Taxable",SUMPRODUCT((PayEmp=$C67)*(PayDate&lt;=$AC67)*(ISERROR(SEARCH(PayEarnCode,Q$4)))*(PayEarnTax)*(PayEarnValues)),SUMPRODUCT((PayEmp=$C67)*(PayDate&lt;=$AC67)*(ISERROR(SEARCH(PayEarnCode,Q$4)))*(PayEarnValues))),IF(ISNUMBER(Q$3),Q$3/12*$AA67,IgnoreMin)))*IF(COUNTIFS(EmpNo,$C67,OFFSET(Emp!$R$4,1,MATCH(Q$5,DedListItem,0)-1,EmpCount,1),"&lt;&gt;")&gt;0,VLOOKUP($C67,EmpAll,COLUMN(Emp!$R$4)+MATCH(Q$5,DedListItem,0)-1,0),OFFSET(Setup!$E$73,MATCH(Q$5,DedListItem,0),0,1,1)))-SUMIFS(OFFSET(Q$6,1,0,PayCount,1),PayDate,"&lt;"&amp;$AC67,PayEmp,$C67))))))</f>
        <v>0</v>
      </c>
      <c r="R67" s="185">
        <f t="shared" ca="1" si="25"/>
        <v>57038.953333333346</v>
      </c>
      <c r="S67" s="139">
        <f t="shared" ca="1" si="26"/>
        <v>92961.05</v>
      </c>
      <c r="T67" s="133" cm="1">
        <f t="array" aca="1" ref="T67" ca="1">IF($F67="Terminated",0,IF($AA67=0,0,IF(ISNA(MATCH(T$5,CompListItem,0)),0,IF(COUNTIFS(OverEmp,$C67,OverComp,T$5,OverDate,"&lt;"&amp;DATE(YEAR($AC67),MONTH($AC67)+1,1),OverEnd,"&gt;="&amp;DATE(YEAR($AC67),MONTH($AC67),1))&gt;0,SUMIFS(OverValue,OverEmp,$C67,OverComp,T$5,OverDate,"&lt;"&amp;DATE(YEAR($AC67),MONTH($AC67)+1,1),OverEnd,"&gt;="&amp;DATE(YEAR($AC67),MONTH($AC67),1)),IF(OR(T$2="Fixed",T$2="Not Used"),(OFFSET(Setup!$E$81,MATCH(T$5,CompListItem,0),0,1,1)*$AA67)-SUMIFS(OFFSET(T$6,1,0,PayCount,1),PayDate,"&lt;"&amp;$AC67,PayEmp,$C67),IF(ISNA(MATCH(T$2,DedListItem,0))=FALSE,(SUMPRODUCT((PayEmp=$C67)*(PayDate&lt;=$AC67)*(PayDedList=T$2)*(PayDedValues))*OFFSET(Setup!$E$81,MATCH(T$5,CompListItem,0),0,1,1))-SUMIFS(OFFSET(T$6,1,0,PayCount,1),PayDate,"&lt;"&amp;$AC67,PayEmp,$C67),(MIN(IF(OFFSET(Setup!$G$81,MATCH(T$5,CompListItem,0),0,1,1)="Taxable",SUMPRODUCT((PayEmp=$C67)*(PayDate&lt;=$AC67)*(ISERROR(SEARCH(PayEarnCode,T$4)))*(PayEarnTax)*(PayEarnValues)),SUMPRODUCT((PayEmp=$C67)*(PayDate&lt;=$AC67)*(ISERROR(SEARCH(PayEarnCode,T$4)))*(PayEarnValues))),IF(ISNUMBER(T$3),T$3/12*$AA67,IgnoreMin)))*OFFSET(Setup!$E$81,MATCH(T$5,CompListItem,0),0,1,1)-SUMIFS(OFFSET(T$6,1,0,PayCount,1),PayDate,"&lt;"&amp;$AC67,PayEmp,$C67)))))))</f>
        <v>177.12</v>
      </c>
      <c r="U67" s="133" cm="1">
        <f t="array" aca="1" ref="U67" ca="1">IF($F67="Terminated",0,IF($AA67=0,0,IF(ISNA(MATCH(U$5,CompListItem,0)),0,IF(COUNTIFS(OverEmp,$C67,OverComp,U$5,OverDate,"&lt;"&amp;DATE(YEAR($AC67),MONTH($AC67)+1,1),OverEnd,"&gt;="&amp;DATE(YEAR($AC67),MONTH($AC67),1))&gt;0,SUMIFS(OverValue,OverEmp,$C67,OverComp,U$5,OverDate,"&lt;"&amp;DATE(YEAR($AC67),MONTH($AC67)+1,1),OverEnd,"&gt;="&amp;DATE(YEAR($AC67),MONTH($AC67),1)),IF(OR(U$2="Fixed",U$2="Not Used"),(OFFSET(Setup!$E$81,MATCH(U$5,CompListItem,0),0,1,1)*$AA67)-SUMIFS(OFFSET(U$6,1,0,PayCount,1),PayDate,"&lt;"&amp;$AC67,PayEmp,$C67),IF(ISNA(MATCH(U$2,DedListItem,0))=FALSE,(SUMPRODUCT((PayEmp=$C67)*(PayDate&lt;=$AC67)*(PayDedList=U$2)*(PayDedValues))*OFFSET(Setup!$E$81,MATCH(U$5,CompListItem,0),0,1,1))-SUMIFS(OFFSET(U$6,1,0,PayCount,1),PayDate,"&lt;"&amp;$AC67,PayEmp,$C67),(MIN(IF(OFFSET(Setup!$G$81,MATCH(U$5,CompListItem,0),0,1,1)="Taxable",SUMPRODUCT((PayEmp=$C67)*(PayDate&lt;=$AC67)*(ISERROR(SEARCH(PayEarnCode,U$4)))*(PayEarnTax)*(PayEarnValues)),SUMPRODUCT((PayEmp=$C67)*(PayDate&lt;=$AC67)*(ISERROR(SEARCH(PayEarnCode,U$4)))*(PayEarnValues))),IF(ISNUMBER(U$3),U$3/12*$AA67,IgnoreMin)))*OFFSET(Setup!$E$81,MATCH(U$5,CompListItem,0),0,1,1)-SUMIFS(OFFSET(U$6,1,0,PayCount,1),PayDate,"&lt;"&amp;$AC67,PayEmp,$C67)))))))</f>
        <v>1500</v>
      </c>
      <c r="V67" s="133" cm="1">
        <f t="array" aca="1" ref="V67" ca="1">IF($F67="Terminated",0,IF($AA67=0,0,IF(ISNA(MATCH(V$5,CompListItem,0)),0,IF(COUNTIFS(OverEmp,$C67,OverComp,V$5,OverDate,"&lt;"&amp;DATE(YEAR($AC67),MONTH($AC67)+1,1),OverEnd,"&gt;="&amp;DATE(YEAR($AC67),MONTH($AC67),1))&gt;0,SUMIFS(OverValue,OverEmp,$C67,OverComp,V$5,OverDate,"&lt;"&amp;DATE(YEAR($AC67),MONTH($AC67)+1,1),OverEnd,"&gt;="&amp;DATE(YEAR($AC67),MONTH($AC67),1)),IF(OR(V$2="Fixed",V$2="Not Used"),(OFFSET(Setup!$E$81,MATCH(V$5,CompListItem,0),0,1,1)*$AA67)-SUMIFS(OFFSET(V$6,1,0,PayCount,1),PayDate,"&lt;"&amp;$AC67,PayEmp,$C67),IF(ISNA(MATCH(V$2,DedListItem,0))=FALSE,(SUMPRODUCT((PayEmp=$C67)*(PayDate&lt;=$AC67)*(PayDedList=V$2)*(PayDedValues))*OFFSET(Setup!$E$81,MATCH(V$5,CompListItem,0),0,1,1))-SUMIFS(OFFSET(V$6,1,0,PayCount,1),PayDate,"&lt;"&amp;$AC67,PayEmp,$C67),(MIN(IF(OFFSET(Setup!$G$81,MATCH(V$5,CompListItem,0),0,1,1)="Taxable",SUMPRODUCT((PayEmp=$C67)*(PayDate&lt;=$AC67)*(ISERROR(SEARCH(PayEarnCode,V$4)))*(PayEarnTax)*(PayEarnValues)),SUMPRODUCT((PayEmp=$C67)*(PayDate&lt;=$AC67)*(ISERROR(SEARCH(PayEarnCode,V$4)))*(PayEarnValues))),IF(ISNUMBER(V$3),V$3/12*$AA67,IgnoreMin)))*OFFSET(Setup!$E$81,MATCH(V$5,CompListItem,0),0,1,1)-SUMIFS(OFFSET(V$6,1,0,PayCount,1),PayDate,"&lt;"&amp;$AC67,PayEmp,$C67)))))))</f>
        <v>0</v>
      </c>
      <c r="W67" s="133" cm="1">
        <f t="array" aca="1" ref="W67" ca="1">IF($F67="Terminated",0,IF($AA67=0,0,IF(ISNA(MATCH(W$5,CompListItem,0)),0,IF(COUNTIFS(OverEmp,$C67,OverComp,W$5,OverDate,"&lt;"&amp;DATE(YEAR($AC67),MONTH($AC67)+1,1),OverEnd,"&gt;="&amp;DATE(YEAR($AC67),MONTH($AC67),1))&gt;0,SUMIFS(OverValue,OverEmp,$C67,OverComp,W$5,OverDate,"&lt;"&amp;DATE(YEAR($AC67),MONTH($AC67)+1,1),OverEnd,"&gt;="&amp;DATE(YEAR($AC67),MONTH($AC67),1)),IF(OR(W$2="Fixed",W$2="Not Used"),(OFFSET(Setup!$E$81,MATCH(W$5,CompListItem,0),0,1,1)*$AA67)-SUMIFS(OFFSET(W$6,1,0,PayCount,1),PayDate,"&lt;"&amp;$AC67,PayEmp,$C67),IF(ISNA(MATCH(W$2,DedListItem,0))=FALSE,(SUMPRODUCT((PayEmp=$C67)*(PayDate&lt;=$AC67)*(PayDedList=W$2)*(PayDedValues))*OFFSET(Setup!$E$81,MATCH(W$5,CompListItem,0),0,1,1))-SUMIFS(OFFSET(W$6,1,0,PayCount,1),PayDate,"&lt;"&amp;$AC67,PayEmp,$C67),(MIN(IF(OFFSET(Setup!$G$81,MATCH(W$5,CompListItem,0),0,1,1)="Taxable",SUMPRODUCT((PayEmp=$C67)*(PayDate&lt;=$AC67)*(ISERROR(SEARCH(PayEarnCode,W$4)))*(PayEarnTax)*(PayEarnValues)),SUMPRODUCT((PayEmp=$C67)*(PayDate&lt;=$AC67)*(ISERROR(SEARCH(PayEarnCode,W$4)))*(PayEarnValues))),IF(ISNUMBER(W$3),W$3/12*$AA67,IgnoreMin)))*OFFSET(Setup!$E$81,MATCH(W$5,CompListItem,0),0,1,1)-SUMIFS(OFFSET(W$6,1,0,PayCount,1),PayDate,"&lt;"&amp;$AC67,PayEmp,$C67)))))))</f>
        <v>0</v>
      </c>
      <c r="X67" s="185">
        <f t="shared" ca="1" si="18"/>
        <v>1677.12</v>
      </c>
      <c r="Y67" s="139">
        <f t="shared" ca="1" si="27"/>
        <v>151677.12</v>
      </c>
      <c r="Z67" s="139">
        <f t="shared" ca="1" si="19"/>
        <v>58716.07</v>
      </c>
      <c r="AA67" s="146">
        <f ca="1">IF(OR($B67&lt;=Setup!$E$12,$B67&gt;=Setup!$D$12+1),0,IF($F67&lt;&gt;"Active",0,IF($AE67="Yes",$AB67,((YEAR($AC67)*12)+MONTH($AC67))-((YEAR($AD67)*12)+MONTH($AD67)-1))))</f>
        <v>5</v>
      </c>
      <c r="AB67" s="146">
        <f ca="1">IF(OR($B67&lt;=Setup!$E$12,$B67&gt;=Setup!$D$12+1),0,((YEAR($AC67)*12)+MONTH($AC67))-((YEAR(Setup!$E$12)*12)+MONTH(Setup!$E$12)))</f>
        <v>5</v>
      </c>
      <c r="AC67" s="186">
        <f t="shared" ca="1" si="20"/>
        <v>45132</v>
      </c>
      <c r="AD67" s="144">
        <f ca="1">IF(ISNA(VLOOKUP($C67,EmpAll,COLUMN(Emp!$E$4),0)),$AC67,IF(VLOOKUP($C67,EmpAll,COLUMN(Emp!$E$4),0)&lt;=Setup!$E$12,DATE(YEAR(Setup!$E$12),MONTH(Setup!$E$12)+1,1),VLOOKUP($C67,EmpAll,COLUMN(Emp!$E$4),0)))</f>
        <v>44986</v>
      </c>
      <c r="AE67" s="144" t="str">
        <f ca="1">IF(ISNA(VLOOKUP($C67,EmpAll,COLUMN(Emp!$G$1),0)),"-",IF(VLOOKUP($C67,EmpAll,COLUMN(Emp!$G$1),0)=0,"-",VLOOKUP($C67,EmpAll,COLUMN(Emp!$G$1),0)))</f>
        <v>-</v>
      </c>
      <c r="AF67" s="145">
        <f ca="1">IF(A67=PaySlip!$G$3,1,0)</f>
        <v>0</v>
      </c>
      <c r="AG67" s="130" cm="1">
        <f t="array" aca="1" ref="AG67" ca="1">IF(COUNTIFS(OverEmp,$C67,OverMed,"MED",OverDate,"&lt;"&amp;DATE(YEAR($AC67),MONTH($AC67)+1,1),OverEnd,"&gt;="&amp;DATE(YEAR($AC67),MONTH($AC67),1))&gt;0,SUMIFS(OverValue,OverEmp,$C67,OverMed,"MED",OverDate,"&lt;"&amp;DATE(YEAR($AC67),MONTH($AC67)+1,1),OverEnd,"&gt;="&amp;DATE(YEAR($AC67),MONTH($AC67),1)),IF(ISNA(VLOOKUP($C67,EmpAll,COLUMN(Emp!$N$4),0)),0,VLOOKUP($C67,EmpAll,COLUMN(Emp!$N$4),0)))</f>
        <v>5</v>
      </c>
      <c r="AH67" s="146">
        <f ca="1">VLOOKUP($AG67,MedList,COLUMN(Setup!$C$49),1)</f>
        <v>1466</v>
      </c>
      <c r="AI67" s="146">
        <f t="shared" ca="1" si="7"/>
        <v>17592</v>
      </c>
      <c r="AJ67" s="101" t="str">
        <f ca="1">IF(ISNA(VLOOKUP($C67,EmpAll,COLUMN(Emp!$L$4),0)),"None!",VLOOKUP($C67,EmpAll,COLUMN(Emp!$L$4),0))</f>
        <v>A</v>
      </c>
      <c r="AK67" s="147">
        <f t="shared" ca="1" si="21"/>
        <v>17235</v>
      </c>
      <c r="AL67" s="101" t="str">
        <f ca="1">IF(ISNA(VLOOKUP($C67,Employees[],COLUMN(Emp!$M$4),0))=TRUE,"Error!",IF(VLOOKUP($C67,Employees[],COLUMN(Emp!$M$4),0)=0,"Yes",VLOOKUP($C67,Employees[],COLUMN(Emp!$M$4),0)))</f>
        <v>A</v>
      </c>
      <c r="AM67" s="148">
        <f t="shared" ca="1" si="9"/>
        <v>1800000</v>
      </c>
      <c r="AN67" s="148" cm="1">
        <f t="array" aca="1" ref="AN67" ca="1">-IF($F67="Terminated",0,IF($AA67=0,0,IF(ISNA(MATCH(AN$5,PayDedList,0)),0,MIN(IF(COUNTIFS(OverEmp,$C67,OverDeduct,AN$5,OverDate,"&lt;"&amp;DATE(YEAR($AC67),MONTH($AC67)+1,1),OverEnd,"&gt;="&amp;DATE(YEAR($AC67),MONTH($AC67),1))&gt;0,SUMPRODUCT((PayEmp=$C67)*(PayDate&lt;=$AC67)*(OFFSET($N$6,1,MATCH(AN$5,PayDedList,0)-1,PayCount,1)))/$AA67*12*AN$3,IF(OR(AN$1="Fixed",AN$1="Not Used"),SUMPRODUCT((PayEmp=$C67)*(PayDate&lt;=$AC67)*(OFFSET($N$6,1,MATCH(AN$5,PayDedList,0)-1,PayCount,1)))/$AA67*12*AN$3,IF(ISNA(MATCH(AN$1,EarnListItem,0))=FALSE,SUMPRODUCT((PayEmp=$C67)*(PayDate&lt;=$AC67)*(OFFSET($N$6,1,MATCH(AN$5,PayDedList,0)-1,PayCount,1)))/$AA67*12*AN$3,(MIN(((SUMPRODUCT((PayEmp=$C67)*(PayDate&lt;=$AC67)*(ISERROR(SEARCH(PayEarnCode,AN$2)))*(PayEarnType="Monthly")*(PayEarnValues))/$AA67*12)+(SUMPRODUCT((PayEmp=$C67)*(PayDate&lt;=$AC67)*(ISERROR(SEARCH(PayEarnCode,AN$2)))*(PayEarnType="Quarterly")*(PayEarnValues))/MAX(1,ROUNDDOWN($AB67/3,0))*4)+(SUMPRODUCT((PayEmp=$C67)*(PayDate&lt;=$AC67)*(ISERROR(SEARCH(PayEarnCode,AN$2)))*(PayEarnType="Bi-Annual")*(PayEarnValues))/MAX(1,ROUNDDOWN($AB67/6,0))*2)+(SUMPRODUCT((PayEmp=$C67)*(PayDate&lt;=$AC67)*(ISERROR(SEARCH(PayEarnCode,AN$2)))*(PayEarnType="Annual")*(PayEarnValues)))),IF(ISNUMBER(OFFSET($N$3,0,MATCH(AN$5,PayDedList,0)-1,1,1)),OFFSET($N$3,0,MATCH(AN$5,PayDedList,0)-1,1,1),IgnoreMin)))*IF(COUNTIFS(EmpNo,$C67,OFFSET(Emp!$R$4,1,MATCH(AN$5,DedListItem,0)-1,EmpCount,1),"&lt;&gt;")&gt;0,VLOOKUP($C67,EmpAll,COLUMN(Emp!$R$4)+MATCH(AN$5,DedListItem,0)-1,0),OFFSET(Setup!$E$73,MATCH(AN$5,DedListItem,0),0,1,1))*AN$3))),IF(ISNUMBER(AN$4),AN$4,IgnoreMin)))))</f>
        <v>0</v>
      </c>
      <c r="AO67" s="148" cm="1">
        <f t="array" aca="1" ref="AO67" ca="1">-IF($F67="Terminated",0,IF($AA67=0,0,IF(ISNA(MATCH(AO$5,PayDedList,0)),0,MIN(IF(COUNTIFS(OverEmp,$C67,OverDeduct,AO$5,OverDate,"&lt;"&amp;DATE(YEAR($AC67),MONTH($AC67)+1,1),OverEnd,"&gt;="&amp;DATE(YEAR($AC67),MONTH($AC67),1))&gt;0,SUMPRODUCT((PayEmp=$C67)*(PayDate&lt;=$AC67)*(OFFSET($N$6,1,MATCH(AO$5,PayDedList,0)-1,PayCount,1)))/$AA67*12*AO$3,IF(OR(AO$1="Fixed",AO$1="Not Used"),SUMPRODUCT((PayEmp=$C67)*(PayDate&lt;=$AC67)*(OFFSET($N$6,1,MATCH(AO$5,PayDedList,0)-1,PayCount,1)))/$AA67*12*AO$3,IF(ISNA(MATCH(AO$1,EarnListItem,0))=FALSE,SUMPRODUCT((PayEmp=$C67)*(PayDate&lt;=$AC67)*(OFFSET($N$6,1,MATCH(AO$5,PayDedList,0)-1,PayCount,1)))/$AA67*12*AO$3,(MIN(((SUMPRODUCT((PayEmp=$C67)*(PayDate&lt;=$AC67)*(ISERROR(SEARCH(PayEarnCode,AO$2)))*(PayEarnType="Monthly")*(PayEarnValues))/$AA67*12)+(SUMPRODUCT((PayEmp=$C67)*(PayDate&lt;=$AC67)*(ISERROR(SEARCH(PayEarnCode,AO$2)))*(PayEarnType="Quarterly")*(PayEarnValues))/MAX(1,ROUNDDOWN($AB67/3,0))*4)+(SUMPRODUCT((PayEmp=$C67)*(PayDate&lt;=$AC67)*(ISERROR(SEARCH(PayEarnCode,AO$2)))*(PayEarnType="Bi-Annual")*(PayEarnValues))/MAX(1,ROUNDDOWN($AB67/6,0))*2)+(SUMPRODUCT((PayEmp=$C67)*(PayDate&lt;=$AC67)*(ISERROR(SEARCH(PayEarnCode,AO$2)))*(PayEarnType="Annual")*(PayEarnValues)))),IF(ISNUMBER(OFFSET($N$3,0,MATCH(AO$5,PayDedList,0)-1,1,1)),OFFSET($N$3,0,MATCH(AO$5,PayDedList,0)-1,1,1),IgnoreMin)))*IF(COUNTIFS(EmpNo,$C67,OFFSET(Emp!$R$4,1,MATCH(AO$5,DedListItem,0)-1,EmpCount,1),"&lt;&gt;")&gt;0,VLOOKUP($C67,EmpAll,COLUMN(Emp!$R$4)+MATCH(AO$5,DedListItem,0)-1,0),OFFSET(Setup!$E$73,MATCH(AO$5,DedListItem,0),0,1,1))*AO$3))),IF(ISNUMBER(AO$4),AO$4,IgnoreMin)))))</f>
        <v>-135000</v>
      </c>
      <c r="AP67" s="148" cm="1">
        <f t="array" aca="1" ref="AP67" ca="1">-IF($F67="Terminated",0,IF($AA67=0,0,IF(ISNA(MATCH(AP$5,PayDedList,0)),0,MIN(IF(COUNTIFS(OverEmp,$C67,OverDeduct,AP$5,OverDate,"&lt;"&amp;DATE(YEAR($AC67),MONTH($AC67)+1,1),OverEnd,"&gt;="&amp;DATE(YEAR($AC67),MONTH($AC67),1))&gt;0,SUMPRODUCT((PayEmp=$C67)*(PayDate&lt;=$AC67)*(OFFSET($N$6,1,MATCH(AP$5,PayDedList,0)-1,PayCount,1)))/$AA67*12*AP$3,IF(OR(AP$1="Fixed",AP$1="Not Used"),SUMPRODUCT((PayEmp=$C67)*(PayDate&lt;=$AC67)*(OFFSET($N$6,1,MATCH(AP$5,PayDedList,0)-1,PayCount,1)))/$AA67*12*AP$3,IF(ISNA(MATCH(AP$1,EarnListItem,0))=FALSE,SUMPRODUCT((PayEmp=$C67)*(PayDate&lt;=$AC67)*(OFFSET($N$6,1,MATCH(AP$5,PayDedList,0)-1,PayCount,1)))/$AA67*12*AP$3,(MIN(((SUMPRODUCT((PayEmp=$C67)*(PayDate&lt;=$AC67)*(ISERROR(SEARCH(PayEarnCode,AP$2)))*(PayEarnType="Monthly")*(PayEarnValues))/$AA67*12)+(SUMPRODUCT((PayEmp=$C67)*(PayDate&lt;=$AC67)*(ISERROR(SEARCH(PayEarnCode,AP$2)))*(PayEarnType="Quarterly")*(PayEarnValues))/MAX(1,ROUNDDOWN($AB67/3,0))*4)+(SUMPRODUCT((PayEmp=$C67)*(PayDate&lt;=$AC67)*(ISERROR(SEARCH(PayEarnCode,AP$2)))*(PayEarnType="Bi-Annual")*(PayEarnValues))/MAX(1,ROUNDDOWN($AB67/6,0))*2)+(SUMPRODUCT((PayEmp=$C67)*(PayDate&lt;=$AC67)*(ISERROR(SEARCH(PayEarnCode,AP$2)))*(PayEarnType="Annual")*(PayEarnValues)))),IF(ISNUMBER(OFFSET($N$3,0,MATCH(AP$5,PayDedList,0)-1,1,1)),OFFSET($N$3,0,MATCH(AP$5,PayDedList,0)-1,1,1),IgnoreMin)))*IF(COUNTIFS(EmpNo,$C67,OFFSET(Emp!$R$4,1,MATCH(AP$5,DedListItem,0)-1,EmpCount,1),"&lt;&gt;")&gt;0,VLOOKUP($C67,EmpAll,COLUMN(Emp!$R$4)+MATCH(AP$5,DedListItem,0)-1,0),OFFSET(Setup!$E$73,MATCH(AP$5,DedListItem,0),0,1,1))*AP$3))),IF(ISNUMBER(AP$4),AP$4,IgnoreMin)))))</f>
        <v>0</v>
      </c>
      <c r="AQ67" s="148" cm="1">
        <f t="array" aca="1" ref="AQ67" ca="1">-IF($F67="Terminated",0,IF($AA67=0,0,IF(ISNA(MATCH(AQ$5,PayDedList,0)),0,MIN(IF(COUNTIFS(OverEmp,$C67,OverDeduct,AQ$5,OverDate,"&lt;"&amp;DATE(YEAR($AC67),MONTH($AC67)+1,1),OverEnd,"&gt;="&amp;DATE(YEAR($AC67),MONTH($AC67),1))&gt;0,SUMPRODUCT((PayEmp=$C67)*(PayDate&lt;=$AC67)*(OFFSET($N$6,1,MATCH(AQ$5,PayDedList,0)-1,PayCount,1)))/$AA67*12*AQ$3,IF(OR(AQ$1="Fixed",AQ$1="Not Used"),SUMPRODUCT((PayEmp=$C67)*(PayDate&lt;=$AC67)*(OFFSET($N$6,1,MATCH(AQ$5,PayDedList,0)-1,PayCount,1)))/$AA67*12*AQ$3,IF(ISNA(MATCH(AQ$1,EarnListItem,0))=FALSE,SUMPRODUCT((PayEmp=$C67)*(PayDate&lt;=$AC67)*(OFFSET($N$6,1,MATCH(AQ$5,PayDedList,0)-1,PayCount,1)))/$AA67*12*AQ$3,(MIN(((SUMPRODUCT((PayEmp=$C67)*(PayDate&lt;=$AC67)*(ISERROR(SEARCH(PayEarnCode,AQ$2)))*(PayEarnType="Monthly")*(PayEarnValues))/$AA67*12)+(SUMPRODUCT((PayEmp=$C67)*(PayDate&lt;=$AC67)*(ISERROR(SEARCH(PayEarnCode,AQ$2)))*(PayEarnType="Quarterly")*(PayEarnValues))/MAX(1,ROUNDDOWN($AB67/3,0))*4)+(SUMPRODUCT((PayEmp=$C67)*(PayDate&lt;=$AC67)*(ISERROR(SEARCH(PayEarnCode,AQ$2)))*(PayEarnType="Bi-Annual")*(PayEarnValues))/MAX(1,ROUNDDOWN($AB67/6,0))*2)+(SUMPRODUCT((PayEmp=$C67)*(PayDate&lt;=$AC67)*(ISERROR(SEARCH(PayEarnCode,AQ$2)))*(PayEarnType="Annual")*(PayEarnValues)))),IF(ISNUMBER(OFFSET($N$3,0,MATCH(AQ$5,PayDedList,0)-1,1,1)),OFFSET($N$3,0,MATCH(AQ$5,PayDedList,0)-1,1,1),IgnoreMin)))*IF(COUNTIFS(EmpNo,$C67,OFFSET(Emp!$R$4,1,MATCH(AQ$5,DedListItem,0)-1,EmpCount,1),"&lt;&gt;")&gt;0,VLOOKUP($C67,EmpAll,COLUMN(Emp!$R$4)+MATCH(AQ$5,DedListItem,0)-1,0),OFFSET(Setup!$E$73,MATCH(AQ$5,DedListItem,0),0,1,1))*AQ$3))),IF(ISNUMBER(AQ$4),AQ$4,IgnoreMin)))))</f>
        <v>0</v>
      </c>
      <c r="AR67" s="148">
        <f t="shared" ca="1" si="22"/>
        <v>1665000</v>
      </c>
      <c r="AS67" s="148">
        <f t="shared" ca="1" si="11"/>
        <v>1800000</v>
      </c>
      <c r="AT67" s="148" cm="1">
        <f t="array" aca="1" ref="AT67" ca="1">-IF($F67="Terminated",0,IF($AA67=0,0,IF(ISNA(MATCH(AT$5,PayDedList,0)),0,MIN(IF(COUNTIFS(OverEmp,$C67,OverDeduct,AT$5,OverDate,"&lt;"&amp;DATE(YEAR($AC67),MONTH($AC67)+1,1),OverEnd,"&gt;="&amp;DATE(YEAR($AC67),MONTH($AC67),1))&gt;0,SUMPRODUCT((PayEmp=$C67)*(PayDate&lt;=$AC67)*(OFFSET($N$6,1,MATCH(AT$5,PayDedList,0)-1,PayCount,1)))/$AA67*12*AT$3,IF(OR(AT$1="Fixed",AT$1="Not Used"),SUMPRODUCT((PayEmp=$C67)*(PayDate&lt;=$AC67)*(OFFSET($N$6,1,MATCH(AT$5,PayDedList,0)-1,PayCount,1)))/$AA67*12*AT$3,IF(ISNA(MATCH(OFFSET($N$2,0,MATCH(AT$5,PayDedList,0)-1,1,1),EarnListItem,0))=FALSE,SUMPRODUCT((PayEmp=$C67)*(PayDate&lt;=$AC67)*(OFFSET($N$6,1,MATCH(AT$5,PayDedList,0)-1,PayCount,1)))/$AA67*12*AT$3,(MIN(SUMPRODUCT((PayEmp=$C67)*(PayDate&lt;=$AC67)*(ISERROR(SEARCH(PayEarnCode,AT$2)))*(PayEarnType="Monthly")*(PayEarnValues))/$AA67*12,IF(ISNUMBER(OFFSET($N$3,0,MATCH(AT$5,PayDedList,0)-1,1,1)),OFFSET($N$3,0,MATCH(AT$5,PayDedList,0)-1,1,1),IgnoreMin)))*IF(COUNTIFS(EmpNo,$C67,OFFSET(Emp!$R$4,1,MATCH(AT$5,DedListItem,0)-1,EmpCount,1),"&lt;&gt;")&gt;0,VLOOKUP($C67,EmpAll,COLUMN(Emp!$R$4)+MATCH(AT$5,DedListItem,0)-1,0),OFFSET(Setup!$E$73,MATCH(AT$5,DedListItem,0),0,1,1))*AT$3))),IF(ISNUMBER(AT$4),AT$4,IgnoreMin)))))</f>
        <v>0</v>
      </c>
      <c r="AU67" s="148" cm="1">
        <f t="array" aca="1" ref="AU67" ca="1">-IF($F67="Terminated",0,IF($AA67=0,0,IF(ISNA(MATCH(AU$5,PayDedList,0)),0,MIN(IF(COUNTIFS(OverEmp,$C67,OverDeduct,AU$5,OverDate,"&lt;"&amp;DATE(YEAR($AC67),MONTH($AC67)+1,1),OverEnd,"&gt;="&amp;DATE(YEAR($AC67),MONTH($AC67),1))&gt;0,SUMPRODUCT((PayEmp=$C67)*(PayDate&lt;=$AC67)*(OFFSET($N$6,1,MATCH(AU$5,PayDedList,0)-1,PayCount,1)))/$AA67*12*AU$3,IF(OR(AU$1="Fixed",AU$1="Not Used"),SUMPRODUCT((PayEmp=$C67)*(PayDate&lt;=$AC67)*(OFFSET($N$6,1,MATCH(AU$5,PayDedList,0)-1,PayCount,1)))/$AA67*12*AU$3,IF(ISNA(MATCH(OFFSET($N$2,0,MATCH(AU$5,PayDedList,0)-1,1,1),EarnListItem,0))=FALSE,SUMPRODUCT((PayEmp=$C67)*(PayDate&lt;=$AC67)*(OFFSET($N$6,1,MATCH(AU$5,PayDedList,0)-1,PayCount,1)))/$AA67*12*AU$3,(MIN(SUMPRODUCT((PayEmp=$C67)*(PayDate&lt;=$AC67)*(ISERROR(SEARCH(PayEarnCode,AU$2)))*(PayEarnType="Monthly")*(PayEarnValues))/$AA67*12,IF(ISNUMBER(OFFSET($N$3,0,MATCH(AU$5,PayDedList,0)-1,1,1)),OFFSET($N$3,0,MATCH(AU$5,PayDedList,0)-1,1,1),IgnoreMin)))*IF(COUNTIFS(EmpNo,$C67,OFFSET(Emp!$R$4,1,MATCH(AU$5,DedListItem,0)-1,EmpCount,1),"&lt;&gt;")&gt;0,VLOOKUP($C67,EmpAll,COLUMN(Emp!$R$4)+MATCH(AU$5,DedListItem,0)-1,0),OFFSET(Setup!$E$73,MATCH(AU$5,DedListItem,0),0,1,1))*AU$3))),IF(ISNUMBER(AU$4),AU$4,IgnoreMin)))))</f>
        <v>-135000</v>
      </c>
      <c r="AV67" s="148" cm="1">
        <f t="array" aca="1" ref="AV67" ca="1">-IF($F67="Terminated",0,IF($AA67=0,0,IF(ISNA(MATCH(AV$5,PayDedList,0)),0,MIN(IF(COUNTIFS(OverEmp,$C67,OverDeduct,AV$5,OverDate,"&lt;"&amp;DATE(YEAR($AC67),MONTH($AC67)+1,1),OverEnd,"&gt;="&amp;DATE(YEAR($AC67),MONTH($AC67),1))&gt;0,SUMPRODUCT((PayEmp=$C67)*(PayDate&lt;=$AC67)*(OFFSET($N$6,1,MATCH(AV$5,PayDedList,0)-1,PayCount,1)))/$AA67*12*AV$3,IF(OR(AV$1="Fixed",AV$1="Not Used"),SUMPRODUCT((PayEmp=$C67)*(PayDate&lt;=$AC67)*(OFFSET($N$6,1,MATCH(AV$5,PayDedList,0)-1,PayCount,1)))/$AA67*12*AV$3,IF(ISNA(MATCH(OFFSET($N$2,0,MATCH(AV$5,PayDedList,0)-1,1,1),EarnListItem,0))=FALSE,SUMPRODUCT((PayEmp=$C67)*(PayDate&lt;=$AC67)*(OFFSET($N$6,1,MATCH(AV$5,PayDedList,0)-1,PayCount,1)))/$AA67*12*AV$3,(MIN(SUMPRODUCT((PayEmp=$C67)*(PayDate&lt;=$AC67)*(ISERROR(SEARCH(PayEarnCode,AV$2)))*(PayEarnType="Monthly")*(PayEarnValues))/$AA67*12,IF(ISNUMBER(OFFSET($N$3,0,MATCH(AV$5,PayDedList,0)-1,1,1)),OFFSET($N$3,0,MATCH(AV$5,PayDedList,0)-1,1,1),IgnoreMin)))*IF(COUNTIFS(EmpNo,$C67,OFFSET(Emp!$R$4,1,MATCH(AV$5,DedListItem,0)-1,EmpCount,1),"&lt;&gt;")&gt;0,VLOOKUP($C67,EmpAll,COLUMN(Emp!$R$4)+MATCH(AV$5,DedListItem,0)-1,0),OFFSET(Setup!$E$73,MATCH(AV$5,DedListItem,0),0,1,1))*AV$3))),IF(ISNUMBER(AV$4),AV$4,IgnoreMin)))))</f>
        <v>0</v>
      </c>
      <c r="AW67" s="148" cm="1">
        <f t="array" aca="1" ref="AW67" ca="1">-IF($F67="Terminated",0,IF($AA67=0,0,IF(ISNA(MATCH(AW$5,PayDedList,0)),0,MIN(IF(COUNTIFS(OverEmp,$C67,OverDeduct,AW$5,OverDate,"&lt;"&amp;DATE(YEAR($AC67),MONTH($AC67)+1,1),OverEnd,"&gt;="&amp;DATE(YEAR($AC67),MONTH($AC67),1))&gt;0,SUMPRODUCT((PayEmp=$C67)*(PayDate&lt;=$AC67)*(OFFSET($N$6,1,MATCH(AW$5,PayDedList,0)-1,PayCount,1)))/$AA67*12*AW$3,IF(OR(AW$1="Fixed",AW$1="Not Used"),SUMPRODUCT((PayEmp=$C67)*(PayDate&lt;=$AC67)*(OFFSET($N$6,1,MATCH(AW$5,PayDedList,0)-1,PayCount,1)))/$AA67*12*AW$3,IF(ISNA(MATCH(OFFSET($N$2,0,MATCH(AW$5,PayDedList,0)-1,1,1),EarnListItem,0))=FALSE,SUMPRODUCT((PayEmp=$C67)*(PayDate&lt;=$AC67)*(OFFSET($N$6,1,MATCH(AW$5,PayDedList,0)-1,PayCount,1)))/$AA67*12*AW$3,(MIN(SUMPRODUCT((PayEmp=$C67)*(PayDate&lt;=$AC67)*(ISERROR(SEARCH(PayEarnCode,AW$2)))*(PayEarnType="Monthly")*(PayEarnValues))/$AA67*12,IF(ISNUMBER(OFFSET($N$3,0,MATCH(AW$5,PayDedList,0)-1,1,1)),OFFSET($N$3,0,MATCH(AW$5,PayDedList,0)-1,1,1),IgnoreMin)))*IF(COUNTIFS(EmpNo,$C67,OFFSET(Emp!$R$4,1,MATCH(AW$5,DedListItem,0)-1,EmpCount,1),"&lt;&gt;")&gt;0,VLOOKUP($C67,EmpAll,COLUMN(Emp!$R$4)+MATCH(AW$5,DedListItem,0)-1,0),OFFSET(Setup!$E$73,MATCH(AW$5,DedListItem,0),0,1,1))*AW$3))),IF(ISNUMBER(AW$4),AW$4,IgnoreMin)))))</f>
        <v>0</v>
      </c>
      <c r="AX67" s="148">
        <f t="shared" ca="1" si="28"/>
        <v>1665000</v>
      </c>
      <c r="AY67" s="148">
        <f t="shared" ca="1" si="29"/>
        <v>0</v>
      </c>
      <c r="AZ67" s="148">
        <f ca="1">IF(ISNUMBER($AL67),($AR67*$AL67)-$AI67-$AK67,MAX(0,IF($AL67="B",IF($AR67&lt;Setup!$C$32,($AR67*Setup!$D$32)-$AI67-$AK67,(($AR67-VLOOKUP($AR67,TaxAll2,1,1))*OFFSET(Setup!$D$32,MATCH($AR67,TaxBracket2,1),0,1,1))+OFFSET(Setup!$E$31,MATCH($AR67,TaxBracket2,1),0,1,1)-$AI67-$AK67),IF($AR67&lt;Setup!$C$21,($AR67*Setup!$D$21)-$AI67-$AK67,(($AR67-VLOOKUP($AR67,TaxAll1,1,1))*OFFSET(Setup!$D$21,MATCH($AR67,TaxBracket1,1),0,1,1))+OFFSET(Setup!$E$20,MATCH($AR67,TaxBracket1,1),0,1,1)-$AI67-$AK67))))</f>
        <v>547342</v>
      </c>
      <c r="BA67" s="148">
        <f ca="1">IF(ISNUMBER($AL67),($AX67*$AL67)-$AI67-$AK67,MAX(0,IF($AL67="B",IF($AX67&lt;Setup!$C$32,($AX67*Setup!$D$32)-$AI67-$AK67,(($AX67-VLOOKUP($AX67,TaxAll2,1,1))*OFFSET(Setup!$D$32,MATCH($AX67,TaxBracket2,1),0,1,1))+OFFSET(Setup!$E$31,MATCH($AX67,TaxBracket2,1),0,1,1)-$AI67-$AK67),IF($AX67&lt;Setup!$C$21,($AX67*Setup!$D$21)-$AI67-$AK67,(($AX67-VLOOKUP($AX67,TaxAll1,1,1))*OFFSET(Setup!$D$21,MATCH($AX67,TaxBracket1,1),0,1,1))+OFFSET(Setup!$E$20,MATCH($AX67,TaxBracket1,1),0,1,1)-$AI67-$AK67))))</f>
        <v>547342</v>
      </c>
      <c r="BB67" s="148">
        <f t="shared" ca="1" si="23"/>
        <v>0</v>
      </c>
      <c r="BC67" s="150">
        <f t="shared" ca="1" si="15"/>
        <v>1</v>
      </c>
      <c r="BD67" s="150">
        <f t="shared" ca="1" si="16"/>
        <v>0</v>
      </c>
      <c r="BE67" s="148">
        <f t="shared" ca="1" si="17"/>
        <v>1800000</v>
      </c>
    </row>
    <row r="68" spans="1:57" ht="16.149999999999999" customHeight="1" x14ac:dyDescent="0.25">
      <c r="A68" s="10" t="str" cm="1">
        <f t="array" aca="1" ref="A68" ca="1">IF(ROW($A68)-ROW($A$6)&gt;EmpCount*12,"-",TEXT($B68,"yyyy")&amp;TEXT($B68,"mm")&amp;"-"&amp;$C68)</f>
        <v>202307-EXS002</v>
      </c>
      <c r="B68" s="137" cm="1">
        <f t="array" aca="1" ref="B68" ca="1">IF(ROW($A68)-ROW($A$6)&gt;EmpCount*12,Setup!$D$12,DATE(YEAR(Setup!$F$12),MONTH(Setup!$F$12)+ROUNDDOWN((ROW($A68)-ROW($A$6)-1)/EmpCount,0),IF(Setup!$C$14&gt;DAY(DATE(YEAR(Setup!$F$12),MONTH(Setup!$F$12)+ROUNDDOWN((ROW($A68)-ROW($A$6)-1)/EmpCount,0)+1,0)),DAY(DATE(YEAR(Setup!$F$12),MONTH(Setup!$F$12)+ROUNDDOWN((ROW($A68)-ROW($A$6)-1)/EmpCount,0)+1,0)),Setup!$C$14)))</f>
        <v>45132</v>
      </c>
      <c r="C68" s="101" t="str" cm="1">
        <f t="array" aca="1" ref="C68" ca="1">IF(ROW($A68)-ROW($A$6)&gt;EmpCount*12,"-",OFFSET(Emp!$A$4,ROW($A68)-ROW($A$6)-IF(ROW($A68)-ROW($A$6)&gt;EmpCount,ROUNDDOWN((ROW($A68)-ROW($A$6)-1)/EmpCount,0)*EmpCount,0),0,1,1))</f>
        <v>EXS002</v>
      </c>
      <c r="D68" s="10" t="str">
        <f ca="1">IF(ISNA(VLOOKUP($C68,EmpAll,COLUMN(Emp!$B$4),0)),"-",VLOOKUP($C68,EmpAll,COLUMN(Emp!$B$4),0))</f>
        <v>Smith F</v>
      </c>
      <c r="E68" s="145" t="str">
        <f ca="1">IF(ISNA(VLOOKUP($C68,EmpAll,COLUMN(Emp!$C$4),0)),"-",VLOOKUP($C68,EmpAll,COLUMN(Emp!$C$4),0))</f>
        <v>M</v>
      </c>
      <c r="F68" s="101" t="str">
        <f ca="1">IF(ISNA(VLOOKUP($C68,EmpAll,COLUMN(Emp!$A$4),0)),"-",IF(AND(VLOOKUP($C68,EmpAll,COLUMN(Emp!$E$4),0)&lt;&gt;0,VLOOKUP($C68,EmpAll,COLUMN(Emp!$E$4),0)&gt;=DATE(YEAR($AC68),MONTH($AC68)+1,0)),"Inactive",IF(AND(VLOOKUP($C68,EmpAll,COLUMN(Emp!$F$4),0)&lt;&gt;0,VLOOKUP($C68,EmpAll,COLUMN(Emp!$F$4),0)&lt;=DATE(YEAR($AC68),MONTH($AC68),0)),"Terminated","Active")))</f>
        <v>Active</v>
      </c>
      <c r="G68" s="133" cm="1">
        <f t="array" aca="1" ref="G68" ca="1">IF($F68&lt;&gt;"Active",0,IF(COUNTIFS(OverEmp,$C68,OverEarn,G$2,OverDate,"&lt;"&amp;DATE(YEAR($AC68),MONTH($AC68)+1,1),OverEnd,"&gt;="&amp;DATE(YEAR($AC68),MONTH($AC68),1))&gt;0,SUMIFS(OverValue,OverEmp,$C68,OverEarn,G$2,OverDate,"&lt;"&amp;DATE(YEAR($AC68),MONTH($AC68)+1,1),OverEnd,"&gt;="&amp;DATE(YEAR($AC68),MONTH($AC68),1)),IF(AND($AC68&gt;=Setup!$E$10,SUMIFS(EmpIncrease,EmpCode,$C68)&gt;0),SUMIFS(EmpIncrease,EmpCode,$C68),SUMIFS(EmpSalary,EmpCode,$C68))))</f>
        <v>120000</v>
      </c>
      <c r="H68" s="133" cm="1">
        <f t="array" aca="1" ref="H68" ca="1">IF($F68&lt;&gt;"Active",0,IF(COUNTIFS(OverEmp,$C68,OverEarn,H$2,OverDate,"&lt;"&amp;DATE(YEAR($AC68),MONTH($AC68)+1,1),OverEnd,"&gt;="&amp;DATE(YEAR($AC68),MONTH($AC68),1))&gt;0,SUMIFS(OverValue,OverEmp,$C68,OverEarn,H$2,OverDate,"&lt;"&amp;DATE(YEAR($AC68),MONTH($AC68)+1,1),OverEnd,"&gt;="&amp;DATE(YEAR($AC68),MONTH($AC68),1)),0))</f>
        <v>0</v>
      </c>
      <c r="I68" s="133" cm="1">
        <f t="array" aca="1" ref="I68" ca="1">IF($F68&lt;&gt;"Active",0,IF(COUNTIFS(OverEmp,$C68,OverEarn,I$2,OverDate,"&lt;"&amp;DATE(YEAR($AC68),MONTH($AC68)+1,1),OverEnd,"&gt;="&amp;DATE(YEAR($AC68),MONTH($AC68),1))&gt;0,SUMIFS(OverValue,OverEmp,$C68,OverEarn,I$2,OverDate,"&lt;"&amp;DATE(YEAR($AC68),MONTH($AC68)+1,1),OverEnd,"&gt;="&amp;DATE(YEAR($AC68),MONTH($AC68),1)),IF(MONTH(B68)=Setup!$C$15,SUMIFS(EmpBonus,EmpCode,$C68),0)))</f>
        <v>0</v>
      </c>
      <c r="J68" s="133" cm="1">
        <f t="array" aca="1" ref="J68" ca="1">IF($F68&lt;&gt;"Active",0,IF(COUNTIFS(OverEmp,$C68,OverEarn,J$2,OverDate,"&lt;"&amp;DATE(YEAR($AC68),MONTH($AC68)+1,1),OverEnd,"&gt;="&amp;DATE(YEAR($AC68),MONTH($AC68),1))&gt;0,SUMIFS(OverValue,OverEmp,$C68,OverEarn,J$2,OverDate,"&lt;"&amp;DATE(YEAR($AC68),MONTH($AC68)+1,1),OverEnd,"&gt;="&amp;DATE(YEAR($AC68),MONTH($AC68),1)),0))</f>
        <v>0</v>
      </c>
      <c r="K68" s="133" cm="1">
        <f t="array" aca="1" ref="K68" ca="1">IF($F68&lt;&gt;"Active",0,IF(COUNTIFS(OverEmp,$C68,OverEarn,K$2,OverDate,"&lt;"&amp;DATE(YEAR($AC68),MONTH($AC68)+1,1),OverEnd,"&gt;="&amp;DATE(YEAR($AC68),MONTH($AC68),1))&gt;0,SUMIFS(OverValue,OverEmp,$C68,OverEarn,K$2,OverDate,"&lt;"&amp;DATE(YEAR($AC68),MONTH($AC68)+1,1),OverEnd,"&gt;="&amp;DATE(YEAR($AC68),MONTH($AC68),1)),0))</f>
        <v>0</v>
      </c>
      <c r="L68" s="185">
        <f t="shared" ca="1" si="24"/>
        <v>120000</v>
      </c>
      <c r="M68" s="182" cm="1">
        <f t="array" aca="1" ref="M68" ca="1">IF(COUNTIFS(OverEmp,$C68,OverTax,M$5,OverDate,"&lt;"&amp;DATE(YEAR($AC68),MONTH($AC68)+1,1),OverEnd,"&gt;="&amp;DATE(YEAR($AC68),MONTH($AC68),1))&gt;0,SUMIFS(OverValue,OverEmp,$C68,OverTax,M$5,OverDate,"&lt;"&amp;DATE(YEAR($AC68),MONTH($AC68)+1,1),OverEnd,"&gt;="&amp;DATE(YEAR($AC68),MONTH($AC68),1)),(($BA68/12*$AA68)+(BB68*IF(1-$BC68=0,0,BD68/(1-$BC68))))-IF($F68="Terminated",0,SUMIFS(PayTaxDeduct,PayDate,"&lt;"&amp;$AC68,PayEmp,$C68)))</f>
        <v>37842.333333333343</v>
      </c>
      <c r="N68" s="133" cm="1">
        <f t="array" aca="1" ref="N68" ca="1">IF($F68="Terminated",0,IF($AA68=0,0,IF(ISNA(MATCH(N$5,DedListItem,0)),0,IF(COUNTIFS(OverEmp,$C68,OverDeduct,N$5,OverDate,"&lt;"&amp;DATE(YEAR($AC68),MONTH($AC68)+1,1),OverEnd,"&gt;="&amp;DATE(YEAR($AC68),MONTH($AC68),1))&gt;0,SUMIFS(OverValue,OverEmp,$C68,OverDeduct,N$5,OverDate,"&lt;"&amp;DATE(YEAR($AC68),MONTH($AC68)+1,1),OverEnd,"&gt;="&amp;DATE(YEAR($AC68),MONTH($AC68),1)),IF(OR(N$2="Fixed",N$2="Not Used"),(IF(COUNTIFS(EmpNo,$C68,OFFSET(Emp!$R$4,1,MATCH(N$5,DedListItem,0)-1,EmpCount,1),"&lt;&gt;")&gt;0,VLOOKUP($C68,EmpAll,COLUMN(Emp!$R$4)+MATCH(N$5,DedListItem,0)-1,0),OFFSET(Setup!$E$73,MATCH(N$5,DedListItem,0),0,1,1))*$AA68)-SUMIFS(OFFSET(N$6,1,0,PayCount,1),PayDate,"&lt;"&amp;$AC68,PayEmp,$C68),IF(ISNA(MATCH(N$2,EarnListItem,0))=FALSE,IF(OFFSET(Setup!$G$73,MATCH(N$5,DedListItem,0),0,1,1)="Taxable",SUMPRODUCT((PayEmp=$C68)*(PayDate&lt;=$AC68)*(PayEarnCode=N$2)*(PayEarnTax)*(PayEarnValues)),SUMPRODUCT((PayEmp=$C68)*(PayDate&lt;=$AC68)*(PayEarnCode=N$2)*(PayEarnValues)))*IF(COUNTIFS(EmpNo,$C68,OFFSET(Emp!$R$4,1,MATCH(N$5,DedListItem,0)-1,EmpCount,1),"&lt;&gt;")&gt;0,VLOOKUP($C68,EmpAll,COLUMN(Emp!$R$4)+MATCH(N$5,DedListItem,0)-1,0),OFFSET(Setup!$E$73,MATCH(N$5,DedListItem,0),0,1,1)),(MIN(IF(OFFSET(Setup!$G$73,MATCH(N$5,DedListItem,0),0,1,1)="Taxable",SUMPRODUCT((PayEmp=$C68)*(PayDate&lt;=$AC68)*(ISERROR(SEARCH(PayEarnCode,N$4)))*(PayEarnTax)*(PayEarnValues)),SUMPRODUCT((PayEmp=$C68)*(PayDate&lt;=$AC68)*(ISERROR(SEARCH(PayEarnCode,N$4)))*(PayEarnValues))),IF(ISNUMBER(N$3),N$3/12*$AA68,IgnoreMin)))*IF(COUNTIFS(EmpNo,$C68,OFFSET(Emp!$R$4,1,MATCH(N$5,DedListItem,0)-1,EmpCount,1),"&lt;&gt;")&gt;0,VLOOKUP($C68,EmpAll,COLUMN(Emp!$R$4)+MATCH(N$5,DedListItem,0)-1,0),OFFSET(Setup!$E$73,MATCH(N$5,DedListItem,0),0,1,1)))-SUMIFS(OFFSET(N$6,1,0,PayCount,1),PayDate,"&lt;"&amp;$AC68,PayEmp,$C68))))))</f>
        <v>177.12</v>
      </c>
      <c r="O68" s="133" cm="1">
        <f t="array" aca="1" ref="O68" ca="1">IF($F68="Terminated",0,IF($AA68=0,0,IF(ISNA(MATCH(O$5,DedListItem,0)),0,IF(COUNTIFS(OverEmp,$C68,OverDeduct,O$5,OverDate,"&lt;"&amp;DATE(YEAR($AC68),MONTH($AC68)+1,1),OverEnd,"&gt;="&amp;DATE(YEAR($AC68),MONTH($AC68),1))&gt;0,SUMIFS(OverValue,OverEmp,$C68,OverDeduct,O$5,OverDate,"&lt;"&amp;DATE(YEAR($AC68),MONTH($AC68)+1,1),OverEnd,"&gt;="&amp;DATE(YEAR($AC68),MONTH($AC68),1)),IF(OR(O$2="Fixed",O$2="Not Used"),(IF(COUNTIFS(EmpNo,$C68,OFFSET(Emp!$R$4,1,MATCH(O$5,DedListItem,0)-1,EmpCount,1),"&lt;&gt;")&gt;0,VLOOKUP($C68,EmpAll,COLUMN(Emp!$R$4)+MATCH(O$5,DedListItem,0)-1,0),OFFSET(Setup!$E$73,MATCH(O$5,DedListItem,0),0,1,1))*$AA68)-SUMIFS(OFFSET(O$6,1,0,PayCount,1),PayDate,"&lt;"&amp;$AC68,PayEmp,$C68),IF(ISNA(MATCH(O$2,EarnListItem,0))=FALSE,IF(OFFSET(Setup!$G$73,MATCH(O$5,DedListItem,0),0,1,1)="Taxable",SUMPRODUCT((PayEmp=$C68)*(PayDate&lt;=$AC68)*(PayEarnCode=O$2)*(PayEarnTax)*(PayEarnValues)),SUMPRODUCT((PayEmp=$C68)*(PayDate&lt;=$AC68)*(PayEarnCode=O$2)*(PayEarnValues)))*IF(COUNTIFS(EmpNo,$C68,OFFSET(Emp!$R$4,1,MATCH(O$5,DedListItem,0)-1,EmpCount,1),"&lt;&gt;")&gt;0,VLOOKUP($C68,EmpAll,COLUMN(Emp!$R$4)+MATCH(O$5,DedListItem,0)-1,0),OFFSET(Setup!$E$73,MATCH(O$5,DedListItem,0),0,1,1)),(MIN(IF(OFFSET(Setup!$G$73,MATCH(O$5,DedListItem,0),0,1,1)="Taxable",SUMPRODUCT((PayEmp=$C68)*(PayDate&lt;=$AC68)*(ISERROR(SEARCH(PayEarnCode,O$4)))*(PayEarnTax)*(PayEarnValues)),SUMPRODUCT((PayEmp=$C68)*(PayDate&lt;=$AC68)*(ISERROR(SEARCH(PayEarnCode,O$4)))*(PayEarnValues))),IF(ISNUMBER(O$3),O$3/12*$AA68,IgnoreMin)))*IF(COUNTIFS(EmpNo,$C68,OFFSET(Emp!$R$4,1,MATCH(O$5,DedListItem,0)-1,EmpCount,1),"&lt;&gt;")&gt;0,VLOOKUP($C68,EmpAll,COLUMN(Emp!$R$4)+MATCH(O$5,DedListItem,0)-1,0),OFFSET(Setup!$E$73,MATCH(O$5,DedListItem,0),0,1,1)))-SUMIFS(OFFSET(O$6,1,0,PayCount,1),PayDate,"&lt;"&amp;$AC68,PayEmp,$C68))))))</f>
        <v>0</v>
      </c>
      <c r="P68" s="133" cm="1">
        <f t="array" aca="1" ref="P68" ca="1">IF($F68="Terminated",0,IF($AA68=0,0,IF(ISNA(MATCH(P$5,DedListItem,0)),0,IF(COUNTIFS(OverEmp,$C68,OverDeduct,P$5,OverDate,"&lt;"&amp;DATE(YEAR($AC68),MONTH($AC68)+1,1),OverEnd,"&gt;="&amp;DATE(YEAR($AC68),MONTH($AC68),1))&gt;0,SUMIFS(OverValue,OverEmp,$C68,OverDeduct,P$5,OverDate,"&lt;"&amp;DATE(YEAR($AC68),MONTH($AC68)+1,1),OverEnd,"&gt;="&amp;DATE(YEAR($AC68),MONTH($AC68),1)),IF(OR(P$2="Fixed",P$2="Not Used"),(IF(COUNTIFS(EmpNo,$C68,OFFSET(Emp!$R$4,1,MATCH(P$5,DedListItem,0)-1,EmpCount,1),"&lt;&gt;")&gt;0,VLOOKUP($C68,EmpAll,COLUMN(Emp!$R$4)+MATCH(P$5,DedListItem,0)-1,0),OFFSET(Setup!$E$73,MATCH(P$5,DedListItem,0),0,1,1))*$AA68)-SUMIFS(OFFSET(P$6,1,0,PayCount,1),PayDate,"&lt;"&amp;$AC68,PayEmp,$C68),IF(ISNA(MATCH(P$2,EarnListItem,0))=FALSE,IF(OFFSET(Setup!$G$73,MATCH(P$5,DedListItem,0),0,1,1)="Taxable",SUMPRODUCT((PayEmp=$C68)*(PayDate&lt;=$AC68)*(PayEarnCode=P$2)*(PayEarnTax)*(PayEarnValues)),SUMPRODUCT((PayEmp=$C68)*(PayDate&lt;=$AC68)*(PayEarnCode=P$2)*(PayEarnValues)))*IF(COUNTIFS(EmpNo,$C68,OFFSET(Emp!$R$4,1,MATCH(P$5,DedListItem,0)-1,EmpCount,1),"&lt;&gt;")&gt;0,VLOOKUP($C68,EmpAll,COLUMN(Emp!$R$4)+MATCH(P$5,DedListItem,0)-1,0),OFFSET(Setup!$E$73,MATCH(P$5,DedListItem,0),0,1,1)),(MIN(IF(OFFSET(Setup!$G$73,MATCH(P$5,DedListItem,0),0,1,1)="Taxable",SUMPRODUCT((PayEmp=$C68)*(PayDate&lt;=$AC68)*(ISERROR(SEARCH(PayEarnCode,P$4)))*(PayEarnTax)*(PayEarnValues)),SUMPRODUCT((PayEmp=$C68)*(PayDate&lt;=$AC68)*(ISERROR(SEARCH(PayEarnCode,P$4)))*(PayEarnValues))),IF(ISNUMBER(P$3),P$3/12*$AA68,IgnoreMin)))*IF(COUNTIFS(EmpNo,$C68,OFFSET(Emp!$R$4,1,MATCH(P$5,DedListItem,0)-1,EmpCount,1),"&lt;&gt;")&gt;0,VLOOKUP($C68,EmpAll,COLUMN(Emp!$R$4)+MATCH(P$5,DedListItem,0)-1,0),OFFSET(Setup!$E$73,MATCH(P$5,DedListItem,0),0,1,1)))-SUMIFS(OFFSET(P$6,1,0,PayCount,1),PayDate,"&lt;"&amp;$AC68,PayEmp,$C68))))))</f>
        <v>0</v>
      </c>
      <c r="Q68" s="133" cm="1">
        <f t="array" aca="1" ref="Q68" ca="1">IF($F68="Terminated",0,IF($AA68=0,0,IF(ISNA(MATCH(Q$5,DedListItem,0)),0,IF(COUNTIFS(OverEmp,$C68,OverDeduct,Q$5,OverDate,"&lt;"&amp;DATE(YEAR($AC68),MONTH($AC68)+1,1),OverEnd,"&gt;="&amp;DATE(YEAR($AC68),MONTH($AC68),1))&gt;0,SUMIFS(OverValue,OverEmp,$C68,OverDeduct,Q$5,OverDate,"&lt;"&amp;DATE(YEAR($AC68),MONTH($AC68)+1,1),OverEnd,"&gt;="&amp;DATE(YEAR($AC68),MONTH($AC68),1)),IF(OR(Q$2="Fixed",Q$2="Not Used"),(IF(COUNTIFS(EmpNo,$C68,OFFSET(Emp!$R$4,1,MATCH(Q$5,DedListItem,0)-1,EmpCount,1),"&lt;&gt;")&gt;0,VLOOKUP($C68,EmpAll,COLUMN(Emp!$R$4)+MATCH(Q$5,DedListItem,0)-1,0),OFFSET(Setup!$E$73,MATCH(Q$5,DedListItem,0),0,1,1))*$AA68)-SUMIFS(OFFSET(Q$6,1,0,PayCount,1),PayDate,"&lt;"&amp;$AC68,PayEmp,$C68),IF(ISNA(MATCH(Q$2,EarnListItem,0))=FALSE,IF(OFFSET(Setup!$G$73,MATCH(Q$5,DedListItem,0),0,1,1)="Taxable",SUMPRODUCT((PayEmp=$C68)*(PayDate&lt;=$AC68)*(PayEarnCode=Q$2)*(PayEarnTax)*(PayEarnValues)),SUMPRODUCT((PayEmp=$C68)*(PayDate&lt;=$AC68)*(PayEarnCode=Q$2)*(PayEarnValues)))*IF(COUNTIFS(EmpNo,$C68,OFFSET(Emp!$R$4,1,MATCH(Q$5,DedListItem,0)-1,EmpCount,1),"&lt;&gt;")&gt;0,VLOOKUP($C68,EmpAll,COLUMN(Emp!$R$4)+MATCH(Q$5,DedListItem,0)-1,0),OFFSET(Setup!$E$73,MATCH(Q$5,DedListItem,0),0,1,1)),(MIN(IF(OFFSET(Setup!$G$73,MATCH(Q$5,DedListItem,0),0,1,1)="Taxable",SUMPRODUCT((PayEmp=$C68)*(PayDate&lt;=$AC68)*(ISERROR(SEARCH(PayEarnCode,Q$4)))*(PayEarnTax)*(PayEarnValues)),SUMPRODUCT((PayEmp=$C68)*(PayDate&lt;=$AC68)*(ISERROR(SEARCH(PayEarnCode,Q$4)))*(PayEarnValues))),IF(ISNUMBER(Q$3),Q$3/12*$AA68,IgnoreMin)))*IF(COUNTIFS(EmpNo,$C68,OFFSET(Emp!$R$4,1,MATCH(Q$5,DedListItem,0)-1,EmpCount,1),"&lt;&gt;")&gt;0,VLOOKUP($C68,EmpAll,COLUMN(Emp!$R$4)+MATCH(Q$5,DedListItem,0)-1,0),OFFSET(Setup!$E$73,MATCH(Q$5,DedListItem,0),0,1,1)))-SUMIFS(OFFSET(Q$6,1,0,PayCount,1),PayDate,"&lt;"&amp;$AC68,PayEmp,$C68))))))</f>
        <v>0</v>
      </c>
      <c r="R68" s="185">
        <f t="shared" ca="1" si="25"/>
        <v>38019.453333333346</v>
      </c>
      <c r="S68" s="139">
        <f t="shared" ca="1" si="26"/>
        <v>81980.55</v>
      </c>
      <c r="T68" s="133" cm="1">
        <f t="array" aca="1" ref="T68" ca="1">IF($F68="Terminated",0,IF($AA68=0,0,IF(ISNA(MATCH(T$5,CompListItem,0)),0,IF(COUNTIFS(OverEmp,$C68,OverComp,T$5,OverDate,"&lt;"&amp;DATE(YEAR($AC68),MONTH($AC68)+1,1),OverEnd,"&gt;="&amp;DATE(YEAR($AC68),MONTH($AC68),1))&gt;0,SUMIFS(OverValue,OverEmp,$C68,OverComp,T$5,OverDate,"&lt;"&amp;DATE(YEAR($AC68),MONTH($AC68)+1,1),OverEnd,"&gt;="&amp;DATE(YEAR($AC68),MONTH($AC68),1)),IF(OR(T$2="Fixed",T$2="Not Used"),(OFFSET(Setup!$E$81,MATCH(T$5,CompListItem,0),0,1,1)*$AA68)-SUMIFS(OFFSET(T$6,1,0,PayCount,1),PayDate,"&lt;"&amp;$AC68,PayEmp,$C68),IF(ISNA(MATCH(T$2,DedListItem,0))=FALSE,(SUMPRODUCT((PayEmp=$C68)*(PayDate&lt;=$AC68)*(PayDedList=T$2)*(PayDedValues))*OFFSET(Setup!$E$81,MATCH(T$5,CompListItem,0),0,1,1))-SUMIFS(OFFSET(T$6,1,0,PayCount,1),PayDate,"&lt;"&amp;$AC68,PayEmp,$C68),(MIN(IF(OFFSET(Setup!$G$81,MATCH(T$5,CompListItem,0),0,1,1)="Taxable",SUMPRODUCT((PayEmp=$C68)*(PayDate&lt;=$AC68)*(ISERROR(SEARCH(PayEarnCode,T$4)))*(PayEarnTax)*(PayEarnValues)),SUMPRODUCT((PayEmp=$C68)*(PayDate&lt;=$AC68)*(ISERROR(SEARCH(PayEarnCode,T$4)))*(PayEarnValues))),IF(ISNUMBER(T$3),T$3/12*$AA68,IgnoreMin)))*OFFSET(Setup!$E$81,MATCH(T$5,CompListItem,0),0,1,1)-SUMIFS(OFFSET(T$6,1,0,PayCount,1),PayDate,"&lt;"&amp;$AC68,PayEmp,$C68)))))))</f>
        <v>177.12</v>
      </c>
      <c r="U68" s="133" cm="1">
        <f t="array" aca="1" ref="U68" ca="1">IF($F68="Terminated",0,IF($AA68=0,0,IF(ISNA(MATCH(U$5,CompListItem,0)),0,IF(COUNTIFS(OverEmp,$C68,OverComp,U$5,OverDate,"&lt;"&amp;DATE(YEAR($AC68),MONTH($AC68)+1,1),OverEnd,"&gt;="&amp;DATE(YEAR($AC68),MONTH($AC68),1))&gt;0,SUMIFS(OverValue,OverEmp,$C68,OverComp,U$5,OverDate,"&lt;"&amp;DATE(YEAR($AC68),MONTH($AC68)+1,1),OverEnd,"&gt;="&amp;DATE(YEAR($AC68),MONTH($AC68),1)),IF(OR(U$2="Fixed",U$2="Not Used"),(OFFSET(Setup!$E$81,MATCH(U$5,CompListItem,0),0,1,1)*$AA68)-SUMIFS(OFFSET(U$6,1,0,PayCount,1),PayDate,"&lt;"&amp;$AC68,PayEmp,$C68),IF(ISNA(MATCH(U$2,DedListItem,0))=FALSE,(SUMPRODUCT((PayEmp=$C68)*(PayDate&lt;=$AC68)*(PayDedList=U$2)*(PayDedValues))*OFFSET(Setup!$E$81,MATCH(U$5,CompListItem,0),0,1,1))-SUMIFS(OFFSET(U$6,1,0,PayCount,1),PayDate,"&lt;"&amp;$AC68,PayEmp,$C68),(MIN(IF(OFFSET(Setup!$G$81,MATCH(U$5,CompListItem,0),0,1,1)="Taxable",SUMPRODUCT((PayEmp=$C68)*(PayDate&lt;=$AC68)*(ISERROR(SEARCH(PayEarnCode,U$4)))*(PayEarnTax)*(PayEarnValues)),SUMPRODUCT((PayEmp=$C68)*(PayDate&lt;=$AC68)*(ISERROR(SEARCH(PayEarnCode,U$4)))*(PayEarnValues))),IF(ISNUMBER(U$3),U$3/12*$AA68,IgnoreMin)))*OFFSET(Setup!$E$81,MATCH(U$5,CompListItem,0),0,1,1)-SUMIFS(OFFSET(U$6,1,0,PayCount,1),PayDate,"&lt;"&amp;$AC68,PayEmp,$C68)))))))</f>
        <v>1200</v>
      </c>
      <c r="V68" s="133" cm="1">
        <f t="array" aca="1" ref="V68" ca="1">IF($F68="Terminated",0,IF($AA68=0,0,IF(ISNA(MATCH(V$5,CompListItem,0)),0,IF(COUNTIFS(OverEmp,$C68,OverComp,V$5,OverDate,"&lt;"&amp;DATE(YEAR($AC68),MONTH($AC68)+1,1),OverEnd,"&gt;="&amp;DATE(YEAR($AC68),MONTH($AC68),1))&gt;0,SUMIFS(OverValue,OverEmp,$C68,OverComp,V$5,OverDate,"&lt;"&amp;DATE(YEAR($AC68),MONTH($AC68)+1,1),OverEnd,"&gt;="&amp;DATE(YEAR($AC68),MONTH($AC68),1)),IF(OR(V$2="Fixed",V$2="Not Used"),(OFFSET(Setup!$E$81,MATCH(V$5,CompListItem,0),0,1,1)*$AA68)-SUMIFS(OFFSET(V$6,1,0,PayCount,1),PayDate,"&lt;"&amp;$AC68,PayEmp,$C68),IF(ISNA(MATCH(V$2,DedListItem,0))=FALSE,(SUMPRODUCT((PayEmp=$C68)*(PayDate&lt;=$AC68)*(PayDedList=V$2)*(PayDedValues))*OFFSET(Setup!$E$81,MATCH(V$5,CompListItem,0),0,1,1))-SUMIFS(OFFSET(V$6,1,0,PayCount,1),PayDate,"&lt;"&amp;$AC68,PayEmp,$C68),(MIN(IF(OFFSET(Setup!$G$81,MATCH(V$5,CompListItem,0),0,1,1)="Taxable",SUMPRODUCT((PayEmp=$C68)*(PayDate&lt;=$AC68)*(ISERROR(SEARCH(PayEarnCode,V$4)))*(PayEarnTax)*(PayEarnValues)),SUMPRODUCT((PayEmp=$C68)*(PayDate&lt;=$AC68)*(ISERROR(SEARCH(PayEarnCode,V$4)))*(PayEarnValues))),IF(ISNUMBER(V$3),V$3/12*$AA68,IgnoreMin)))*OFFSET(Setup!$E$81,MATCH(V$5,CompListItem,0),0,1,1)-SUMIFS(OFFSET(V$6,1,0,PayCount,1),PayDate,"&lt;"&amp;$AC68,PayEmp,$C68)))))))</f>
        <v>0</v>
      </c>
      <c r="W68" s="133" cm="1">
        <f t="array" aca="1" ref="W68" ca="1">IF($F68="Terminated",0,IF($AA68=0,0,IF(ISNA(MATCH(W$5,CompListItem,0)),0,IF(COUNTIFS(OverEmp,$C68,OverComp,W$5,OverDate,"&lt;"&amp;DATE(YEAR($AC68),MONTH($AC68)+1,1),OverEnd,"&gt;="&amp;DATE(YEAR($AC68),MONTH($AC68),1))&gt;0,SUMIFS(OverValue,OverEmp,$C68,OverComp,W$5,OverDate,"&lt;"&amp;DATE(YEAR($AC68),MONTH($AC68)+1,1),OverEnd,"&gt;="&amp;DATE(YEAR($AC68),MONTH($AC68),1)),IF(OR(W$2="Fixed",W$2="Not Used"),(OFFSET(Setup!$E$81,MATCH(W$5,CompListItem,0),0,1,1)*$AA68)-SUMIFS(OFFSET(W$6,1,0,PayCount,1),PayDate,"&lt;"&amp;$AC68,PayEmp,$C68),IF(ISNA(MATCH(W$2,DedListItem,0))=FALSE,(SUMPRODUCT((PayEmp=$C68)*(PayDate&lt;=$AC68)*(PayDedList=W$2)*(PayDedValues))*OFFSET(Setup!$E$81,MATCH(W$5,CompListItem,0),0,1,1))-SUMIFS(OFFSET(W$6,1,0,PayCount,1),PayDate,"&lt;"&amp;$AC68,PayEmp,$C68),(MIN(IF(OFFSET(Setup!$G$81,MATCH(W$5,CompListItem,0),0,1,1)="Taxable",SUMPRODUCT((PayEmp=$C68)*(PayDate&lt;=$AC68)*(ISERROR(SEARCH(PayEarnCode,W$4)))*(PayEarnTax)*(PayEarnValues)),SUMPRODUCT((PayEmp=$C68)*(PayDate&lt;=$AC68)*(ISERROR(SEARCH(PayEarnCode,W$4)))*(PayEarnValues))),IF(ISNUMBER(W$3),W$3/12*$AA68,IgnoreMin)))*OFFSET(Setup!$E$81,MATCH(W$5,CompListItem,0),0,1,1)-SUMIFS(OFFSET(W$6,1,0,PayCount,1),PayDate,"&lt;"&amp;$AC68,PayEmp,$C68)))))))</f>
        <v>0</v>
      </c>
      <c r="X68" s="185">
        <f t="shared" ca="1" si="18"/>
        <v>1377.12</v>
      </c>
      <c r="Y68" s="139">
        <f t="shared" ca="1" si="27"/>
        <v>121377.12</v>
      </c>
      <c r="Z68" s="139">
        <f t="shared" ca="1" si="19"/>
        <v>39396.57</v>
      </c>
      <c r="AA68" s="146">
        <f ca="1">IF(OR($B68&lt;=Setup!$E$12,$B68&gt;=Setup!$D$12+1),0,IF($F68&lt;&gt;"Active",0,IF($AE68="Yes",$AB68,((YEAR($AC68)*12)+MONTH($AC68))-((YEAR($AD68)*12)+MONTH($AD68)-1))))</f>
        <v>5</v>
      </c>
      <c r="AB68" s="146">
        <f ca="1">IF(OR($B68&lt;=Setup!$E$12,$B68&gt;=Setup!$D$12+1),0,((YEAR($AC68)*12)+MONTH($AC68))-((YEAR(Setup!$E$12)*12)+MONTH(Setup!$E$12)))</f>
        <v>5</v>
      </c>
      <c r="AC68" s="186">
        <f t="shared" ca="1" si="20"/>
        <v>45132</v>
      </c>
      <c r="AD68" s="144">
        <f ca="1">IF(ISNA(VLOOKUP($C68,EmpAll,COLUMN(Emp!$E$4),0)),$AC68,IF(VLOOKUP($C68,EmpAll,COLUMN(Emp!$E$4),0)&lt;=Setup!$E$12,DATE(YEAR(Setup!$E$12),MONTH(Setup!$E$12)+1,1),VLOOKUP($C68,EmpAll,COLUMN(Emp!$E$4),0)))</f>
        <v>44986</v>
      </c>
      <c r="AE68" s="144" t="str">
        <f ca="1">IF(ISNA(VLOOKUP($C68,EmpAll,COLUMN(Emp!$G$1),0)),"-",IF(VLOOKUP($C68,EmpAll,COLUMN(Emp!$G$1),0)=0,"-",VLOOKUP($C68,EmpAll,COLUMN(Emp!$G$1),0)))</f>
        <v>-</v>
      </c>
      <c r="AF68" s="145">
        <f ca="1">IF(A68=PaySlip!$G$3,1,0)</f>
        <v>0</v>
      </c>
      <c r="AG68" s="130" cm="1">
        <f t="array" aca="1" ref="AG68" ca="1">IF(COUNTIFS(OverEmp,$C68,OverMed,"MED",OverDate,"&lt;"&amp;DATE(YEAR($AC68),MONTH($AC68)+1,1),OverEnd,"&gt;="&amp;DATE(YEAR($AC68),MONTH($AC68),1))&gt;0,SUMIFS(OverValue,OverEmp,$C68,OverMed,"MED",OverDate,"&lt;"&amp;DATE(YEAR($AC68),MONTH($AC68)+1,1),OverEnd,"&gt;="&amp;DATE(YEAR($AC68),MONTH($AC68),1)),IF(ISNA(VLOOKUP($C68,EmpAll,COLUMN(Emp!$N$4),0)),0,VLOOKUP($C68,EmpAll,COLUMN(Emp!$N$4),0)))</f>
        <v>3</v>
      </c>
      <c r="AH68" s="146">
        <f ca="1">VLOOKUP($AG68,MedList,COLUMN(Setup!$C$49),1)</f>
        <v>974</v>
      </c>
      <c r="AI68" s="146">
        <f t="shared" ca="1" si="7"/>
        <v>10704</v>
      </c>
      <c r="AJ68" s="101" t="str">
        <f ca="1">IF(ISNA(VLOOKUP($C68,EmpAll,COLUMN(Emp!$L$4),0)),"None!",VLOOKUP($C68,EmpAll,COLUMN(Emp!$L$4),0))</f>
        <v>A</v>
      </c>
      <c r="AK68" s="147">
        <f t="shared" ca="1" si="21"/>
        <v>17235</v>
      </c>
      <c r="AL68" s="101" t="str">
        <f ca="1">IF(ISNA(VLOOKUP($C68,Employees[],COLUMN(Emp!$M$4),0))=TRUE,"Error!",IF(VLOOKUP($C68,Employees[],COLUMN(Emp!$M$4),0)=0,"Yes",VLOOKUP($C68,Employees[],COLUMN(Emp!$M$4),0)))</f>
        <v>A</v>
      </c>
      <c r="AM68" s="148">
        <f t="shared" ca="1" si="9"/>
        <v>1440000</v>
      </c>
      <c r="AN68" s="148" cm="1">
        <f t="array" aca="1" ref="AN68" ca="1">-IF($F68="Terminated",0,IF($AA68=0,0,IF(ISNA(MATCH(AN$5,PayDedList,0)),0,MIN(IF(COUNTIFS(OverEmp,$C68,OverDeduct,AN$5,OverDate,"&lt;"&amp;DATE(YEAR($AC68),MONTH($AC68)+1,1),OverEnd,"&gt;="&amp;DATE(YEAR($AC68),MONTH($AC68),1))&gt;0,SUMPRODUCT((PayEmp=$C68)*(PayDate&lt;=$AC68)*(OFFSET($N$6,1,MATCH(AN$5,PayDedList,0)-1,PayCount,1)))/$AA68*12*AN$3,IF(OR(AN$1="Fixed",AN$1="Not Used"),SUMPRODUCT((PayEmp=$C68)*(PayDate&lt;=$AC68)*(OFFSET($N$6,1,MATCH(AN$5,PayDedList,0)-1,PayCount,1)))/$AA68*12*AN$3,IF(ISNA(MATCH(AN$1,EarnListItem,0))=FALSE,SUMPRODUCT((PayEmp=$C68)*(PayDate&lt;=$AC68)*(OFFSET($N$6,1,MATCH(AN$5,PayDedList,0)-1,PayCount,1)))/$AA68*12*AN$3,(MIN(((SUMPRODUCT((PayEmp=$C68)*(PayDate&lt;=$AC68)*(ISERROR(SEARCH(PayEarnCode,AN$2)))*(PayEarnType="Monthly")*(PayEarnValues))/$AA68*12)+(SUMPRODUCT((PayEmp=$C68)*(PayDate&lt;=$AC68)*(ISERROR(SEARCH(PayEarnCode,AN$2)))*(PayEarnType="Quarterly")*(PayEarnValues))/MAX(1,ROUNDDOWN($AB68/3,0))*4)+(SUMPRODUCT((PayEmp=$C68)*(PayDate&lt;=$AC68)*(ISERROR(SEARCH(PayEarnCode,AN$2)))*(PayEarnType="Bi-Annual")*(PayEarnValues))/MAX(1,ROUNDDOWN($AB68/6,0))*2)+(SUMPRODUCT((PayEmp=$C68)*(PayDate&lt;=$AC68)*(ISERROR(SEARCH(PayEarnCode,AN$2)))*(PayEarnType="Annual")*(PayEarnValues)))),IF(ISNUMBER(OFFSET($N$3,0,MATCH(AN$5,PayDedList,0)-1,1,1)),OFFSET($N$3,0,MATCH(AN$5,PayDedList,0)-1,1,1),IgnoreMin)))*IF(COUNTIFS(EmpNo,$C68,OFFSET(Emp!$R$4,1,MATCH(AN$5,DedListItem,0)-1,EmpCount,1),"&lt;&gt;")&gt;0,VLOOKUP($C68,EmpAll,COLUMN(Emp!$R$4)+MATCH(AN$5,DedListItem,0)-1,0),OFFSET(Setup!$E$73,MATCH(AN$5,DedListItem,0),0,1,1))*AN$3))),IF(ISNUMBER(AN$4),AN$4,IgnoreMin)))))</f>
        <v>0</v>
      </c>
      <c r="AO68" s="148" cm="1">
        <f t="array" aca="1" ref="AO68" ca="1">-IF($F68="Terminated",0,IF($AA68=0,0,IF(ISNA(MATCH(AO$5,PayDedList,0)),0,MIN(IF(COUNTIFS(OverEmp,$C68,OverDeduct,AO$5,OverDate,"&lt;"&amp;DATE(YEAR($AC68),MONTH($AC68)+1,1),OverEnd,"&gt;="&amp;DATE(YEAR($AC68),MONTH($AC68),1))&gt;0,SUMPRODUCT((PayEmp=$C68)*(PayDate&lt;=$AC68)*(OFFSET($N$6,1,MATCH(AO$5,PayDedList,0)-1,PayCount,1)))/$AA68*12*AO$3,IF(OR(AO$1="Fixed",AO$1="Not Used"),SUMPRODUCT((PayEmp=$C68)*(PayDate&lt;=$AC68)*(OFFSET($N$6,1,MATCH(AO$5,PayDedList,0)-1,PayCount,1)))/$AA68*12*AO$3,IF(ISNA(MATCH(AO$1,EarnListItem,0))=FALSE,SUMPRODUCT((PayEmp=$C68)*(PayDate&lt;=$AC68)*(OFFSET($N$6,1,MATCH(AO$5,PayDedList,0)-1,PayCount,1)))/$AA68*12*AO$3,(MIN(((SUMPRODUCT((PayEmp=$C68)*(PayDate&lt;=$AC68)*(ISERROR(SEARCH(PayEarnCode,AO$2)))*(PayEarnType="Monthly")*(PayEarnValues))/$AA68*12)+(SUMPRODUCT((PayEmp=$C68)*(PayDate&lt;=$AC68)*(ISERROR(SEARCH(PayEarnCode,AO$2)))*(PayEarnType="Quarterly")*(PayEarnValues))/MAX(1,ROUNDDOWN($AB68/3,0))*4)+(SUMPRODUCT((PayEmp=$C68)*(PayDate&lt;=$AC68)*(ISERROR(SEARCH(PayEarnCode,AO$2)))*(PayEarnType="Bi-Annual")*(PayEarnValues))/MAX(1,ROUNDDOWN($AB68/6,0))*2)+(SUMPRODUCT((PayEmp=$C68)*(PayDate&lt;=$AC68)*(ISERROR(SEARCH(PayEarnCode,AO$2)))*(PayEarnType="Annual")*(PayEarnValues)))),IF(ISNUMBER(OFFSET($N$3,0,MATCH(AO$5,PayDedList,0)-1,1,1)),OFFSET($N$3,0,MATCH(AO$5,PayDedList,0)-1,1,1),IgnoreMin)))*IF(COUNTIFS(EmpNo,$C68,OFFSET(Emp!$R$4,1,MATCH(AO$5,DedListItem,0)-1,EmpCount,1),"&lt;&gt;")&gt;0,VLOOKUP($C68,EmpAll,COLUMN(Emp!$R$4)+MATCH(AO$5,DedListItem,0)-1,0),OFFSET(Setup!$E$73,MATCH(AO$5,DedListItem,0),0,1,1))*AO$3))),IF(ISNUMBER(AO$4),AO$4,IgnoreMin)))))</f>
        <v>0</v>
      </c>
      <c r="AP68" s="148" cm="1">
        <f t="array" aca="1" ref="AP68" ca="1">-IF($F68="Terminated",0,IF($AA68=0,0,IF(ISNA(MATCH(AP$5,PayDedList,0)),0,MIN(IF(COUNTIFS(OverEmp,$C68,OverDeduct,AP$5,OverDate,"&lt;"&amp;DATE(YEAR($AC68),MONTH($AC68)+1,1),OverEnd,"&gt;="&amp;DATE(YEAR($AC68),MONTH($AC68),1))&gt;0,SUMPRODUCT((PayEmp=$C68)*(PayDate&lt;=$AC68)*(OFFSET($N$6,1,MATCH(AP$5,PayDedList,0)-1,PayCount,1)))/$AA68*12*AP$3,IF(OR(AP$1="Fixed",AP$1="Not Used"),SUMPRODUCT((PayEmp=$C68)*(PayDate&lt;=$AC68)*(OFFSET($N$6,1,MATCH(AP$5,PayDedList,0)-1,PayCount,1)))/$AA68*12*AP$3,IF(ISNA(MATCH(AP$1,EarnListItem,0))=FALSE,SUMPRODUCT((PayEmp=$C68)*(PayDate&lt;=$AC68)*(OFFSET($N$6,1,MATCH(AP$5,PayDedList,0)-1,PayCount,1)))/$AA68*12*AP$3,(MIN(((SUMPRODUCT((PayEmp=$C68)*(PayDate&lt;=$AC68)*(ISERROR(SEARCH(PayEarnCode,AP$2)))*(PayEarnType="Monthly")*(PayEarnValues))/$AA68*12)+(SUMPRODUCT((PayEmp=$C68)*(PayDate&lt;=$AC68)*(ISERROR(SEARCH(PayEarnCode,AP$2)))*(PayEarnType="Quarterly")*(PayEarnValues))/MAX(1,ROUNDDOWN($AB68/3,0))*4)+(SUMPRODUCT((PayEmp=$C68)*(PayDate&lt;=$AC68)*(ISERROR(SEARCH(PayEarnCode,AP$2)))*(PayEarnType="Bi-Annual")*(PayEarnValues))/MAX(1,ROUNDDOWN($AB68/6,0))*2)+(SUMPRODUCT((PayEmp=$C68)*(PayDate&lt;=$AC68)*(ISERROR(SEARCH(PayEarnCode,AP$2)))*(PayEarnType="Annual")*(PayEarnValues)))),IF(ISNUMBER(OFFSET($N$3,0,MATCH(AP$5,PayDedList,0)-1,1,1)),OFFSET($N$3,0,MATCH(AP$5,PayDedList,0)-1,1,1),IgnoreMin)))*IF(COUNTIFS(EmpNo,$C68,OFFSET(Emp!$R$4,1,MATCH(AP$5,DedListItem,0)-1,EmpCount,1),"&lt;&gt;")&gt;0,VLOOKUP($C68,EmpAll,COLUMN(Emp!$R$4)+MATCH(AP$5,DedListItem,0)-1,0),OFFSET(Setup!$E$73,MATCH(AP$5,DedListItem,0),0,1,1))*AP$3))),IF(ISNUMBER(AP$4),AP$4,IgnoreMin)))))</f>
        <v>0</v>
      </c>
      <c r="AQ68" s="148" cm="1">
        <f t="array" aca="1" ref="AQ68" ca="1">-IF($F68="Terminated",0,IF($AA68=0,0,IF(ISNA(MATCH(AQ$5,PayDedList,0)),0,MIN(IF(COUNTIFS(OverEmp,$C68,OverDeduct,AQ$5,OverDate,"&lt;"&amp;DATE(YEAR($AC68),MONTH($AC68)+1,1),OverEnd,"&gt;="&amp;DATE(YEAR($AC68),MONTH($AC68),1))&gt;0,SUMPRODUCT((PayEmp=$C68)*(PayDate&lt;=$AC68)*(OFFSET($N$6,1,MATCH(AQ$5,PayDedList,0)-1,PayCount,1)))/$AA68*12*AQ$3,IF(OR(AQ$1="Fixed",AQ$1="Not Used"),SUMPRODUCT((PayEmp=$C68)*(PayDate&lt;=$AC68)*(OFFSET($N$6,1,MATCH(AQ$5,PayDedList,0)-1,PayCount,1)))/$AA68*12*AQ$3,IF(ISNA(MATCH(AQ$1,EarnListItem,0))=FALSE,SUMPRODUCT((PayEmp=$C68)*(PayDate&lt;=$AC68)*(OFFSET($N$6,1,MATCH(AQ$5,PayDedList,0)-1,PayCount,1)))/$AA68*12*AQ$3,(MIN(((SUMPRODUCT((PayEmp=$C68)*(PayDate&lt;=$AC68)*(ISERROR(SEARCH(PayEarnCode,AQ$2)))*(PayEarnType="Monthly")*(PayEarnValues))/$AA68*12)+(SUMPRODUCT((PayEmp=$C68)*(PayDate&lt;=$AC68)*(ISERROR(SEARCH(PayEarnCode,AQ$2)))*(PayEarnType="Quarterly")*(PayEarnValues))/MAX(1,ROUNDDOWN($AB68/3,0))*4)+(SUMPRODUCT((PayEmp=$C68)*(PayDate&lt;=$AC68)*(ISERROR(SEARCH(PayEarnCode,AQ$2)))*(PayEarnType="Bi-Annual")*(PayEarnValues))/MAX(1,ROUNDDOWN($AB68/6,0))*2)+(SUMPRODUCT((PayEmp=$C68)*(PayDate&lt;=$AC68)*(ISERROR(SEARCH(PayEarnCode,AQ$2)))*(PayEarnType="Annual")*(PayEarnValues)))),IF(ISNUMBER(OFFSET($N$3,0,MATCH(AQ$5,PayDedList,0)-1,1,1)),OFFSET($N$3,0,MATCH(AQ$5,PayDedList,0)-1,1,1),IgnoreMin)))*IF(COUNTIFS(EmpNo,$C68,OFFSET(Emp!$R$4,1,MATCH(AQ$5,DedListItem,0)-1,EmpCount,1),"&lt;&gt;")&gt;0,VLOOKUP($C68,EmpAll,COLUMN(Emp!$R$4)+MATCH(AQ$5,DedListItem,0)-1,0),OFFSET(Setup!$E$73,MATCH(AQ$5,DedListItem,0),0,1,1))*AQ$3))),IF(ISNUMBER(AQ$4),AQ$4,IgnoreMin)))))</f>
        <v>0</v>
      </c>
      <c r="AR68" s="148">
        <f t="shared" ca="1" si="22"/>
        <v>1440000</v>
      </c>
      <c r="AS68" s="148">
        <f t="shared" ca="1" si="11"/>
        <v>1440000</v>
      </c>
      <c r="AT68" s="148" cm="1">
        <f t="array" aca="1" ref="AT68" ca="1">-IF($F68="Terminated",0,IF($AA68=0,0,IF(ISNA(MATCH(AT$5,PayDedList,0)),0,MIN(IF(COUNTIFS(OverEmp,$C68,OverDeduct,AT$5,OverDate,"&lt;"&amp;DATE(YEAR($AC68),MONTH($AC68)+1,1),OverEnd,"&gt;="&amp;DATE(YEAR($AC68),MONTH($AC68),1))&gt;0,SUMPRODUCT((PayEmp=$C68)*(PayDate&lt;=$AC68)*(OFFSET($N$6,1,MATCH(AT$5,PayDedList,0)-1,PayCount,1)))/$AA68*12*AT$3,IF(OR(AT$1="Fixed",AT$1="Not Used"),SUMPRODUCT((PayEmp=$C68)*(PayDate&lt;=$AC68)*(OFFSET($N$6,1,MATCH(AT$5,PayDedList,0)-1,PayCount,1)))/$AA68*12*AT$3,IF(ISNA(MATCH(OFFSET($N$2,0,MATCH(AT$5,PayDedList,0)-1,1,1),EarnListItem,0))=FALSE,SUMPRODUCT((PayEmp=$C68)*(PayDate&lt;=$AC68)*(OFFSET($N$6,1,MATCH(AT$5,PayDedList,0)-1,PayCount,1)))/$AA68*12*AT$3,(MIN(SUMPRODUCT((PayEmp=$C68)*(PayDate&lt;=$AC68)*(ISERROR(SEARCH(PayEarnCode,AT$2)))*(PayEarnType="Monthly")*(PayEarnValues))/$AA68*12,IF(ISNUMBER(OFFSET($N$3,0,MATCH(AT$5,PayDedList,0)-1,1,1)),OFFSET($N$3,0,MATCH(AT$5,PayDedList,0)-1,1,1),IgnoreMin)))*IF(COUNTIFS(EmpNo,$C68,OFFSET(Emp!$R$4,1,MATCH(AT$5,DedListItem,0)-1,EmpCount,1),"&lt;&gt;")&gt;0,VLOOKUP($C68,EmpAll,COLUMN(Emp!$R$4)+MATCH(AT$5,DedListItem,0)-1,0),OFFSET(Setup!$E$73,MATCH(AT$5,DedListItem,0),0,1,1))*AT$3))),IF(ISNUMBER(AT$4),AT$4,IgnoreMin)))))</f>
        <v>0</v>
      </c>
      <c r="AU68" s="148" cm="1">
        <f t="array" aca="1" ref="AU68" ca="1">-IF($F68="Terminated",0,IF($AA68=0,0,IF(ISNA(MATCH(AU$5,PayDedList,0)),0,MIN(IF(COUNTIFS(OverEmp,$C68,OverDeduct,AU$5,OverDate,"&lt;"&amp;DATE(YEAR($AC68),MONTH($AC68)+1,1),OverEnd,"&gt;="&amp;DATE(YEAR($AC68),MONTH($AC68),1))&gt;0,SUMPRODUCT((PayEmp=$C68)*(PayDate&lt;=$AC68)*(OFFSET($N$6,1,MATCH(AU$5,PayDedList,0)-1,PayCount,1)))/$AA68*12*AU$3,IF(OR(AU$1="Fixed",AU$1="Not Used"),SUMPRODUCT((PayEmp=$C68)*(PayDate&lt;=$AC68)*(OFFSET($N$6,1,MATCH(AU$5,PayDedList,0)-1,PayCount,1)))/$AA68*12*AU$3,IF(ISNA(MATCH(OFFSET($N$2,0,MATCH(AU$5,PayDedList,0)-1,1,1),EarnListItem,0))=FALSE,SUMPRODUCT((PayEmp=$C68)*(PayDate&lt;=$AC68)*(OFFSET($N$6,1,MATCH(AU$5,PayDedList,0)-1,PayCount,1)))/$AA68*12*AU$3,(MIN(SUMPRODUCT((PayEmp=$C68)*(PayDate&lt;=$AC68)*(ISERROR(SEARCH(PayEarnCode,AU$2)))*(PayEarnType="Monthly")*(PayEarnValues))/$AA68*12,IF(ISNUMBER(OFFSET($N$3,0,MATCH(AU$5,PayDedList,0)-1,1,1)),OFFSET($N$3,0,MATCH(AU$5,PayDedList,0)-1,1,1),IgnoreMin)))*IF(COUNTIFS(EmpNo,$C68,OFFSET(Emp!$R$4,1,MATCH(AU$5,DedListItem,0)-1,EmpCount,1),"&lt;&gt;")&gt;0,VLOOKUP($C68,EmpAll,COLUMN(Emp!$R$4)+MATCH(AU$5,DedListItem,0)-1,0),OFFSET(Setup!$E$73,MATCH(AU$5,DedListItem,0),0,1,1))*AU$3))),IF(ISNUMBER(AU$4),AU$4,IgnoreMin)))))</f>
        <v>0</v>
      </c>
      <c r="AV68" s="148" cm="1">
        <f t="array" aca="1" ref="AV68" ca="1">-IF($F68="Terminated",0,IF($AA68=0,0,IF(ISNA(MATCH(AV$5,PayDedList,0)),0,MIN(IF(COUNTIFS(OverEmp,$C68,OverDeduct,AV$5,OverDate,"&lt;"&amp;DATE(YEAR($AC68),MONTH($AC68)+1,1),OverEnd,"&gt;="&amp;DATE(YEAR($AC68),MONTH($AC68),1))&gt;0,SUMPRODUCT((PayEmp=$C68)*(PayDate&lt;=$AC68)*(OFFSET($N$6,1,MATCH(AV$5,PayDedList,0)-1,PayCount,1)))/$AA68*12*AV$3,IF(OR(AV$1="Fixed",AV$1="Not Used"),SUMPRODUCT((PayEmp=$C68)*(PayDate&lt;=$AC68)*(OFFSET($N$6,1,MATCH(AV$5,PayDedList,0)-1,PayCount,1)))/$AA68*12*AV$3,IF(ISNA(MATCH(OFFSET($N$2,0,MATCH(AV$5,PayDedList,0)-1,1,1),EarnListItem,0))=FALSE,SUMPRODUCT((PayEmp=$C68)*(PayDate&lt;=$AC68)*(OFFSET($N$6,1,MATCH(AV$5,PayDedList,0)-1,PayCount,1)))/$AA68*12*AV$3,(MIN(SUMPRODUCT((PayEmp=$C68)*(PayDate&lt;=$AC68)*(ISERROR(SEARCH(PayEarnCode,AV$2)))*(PayEarnType="Monthly")*(PayEarnValues))/$AA68*12,IF(ISNUMBER(OFFSET($N$3,0,MATCH(AV$5,PayDedList,0)-1,1,1)),OFFSET($N$3,0,MATCH(AV$5,PayDedList,0)-1,1,1),IgnoreMin)))*IF(COUNTIFS(EmpNo,$C68,OFFSET(Emp!$R$4,1,MATCH(AV$5,DedListItem,0)-1,EmpCount,1),"&lt;&gt;")&gt;0,VLOOKUP($C68,EmpAll,COLUMN(Emp!$R$4)+MATCH(AV$5,DedListItem,0)-1,0),OFFSET(Setup!$E$73,MATCH(AV$5,DedListItem,0),0,1,1))*AV$3))),IF(ISNUMBER(AV$4),AV$4,IgnoreMin)))))</f>
        <v>0</v>
      </c>
      <c r="AW68" s="148" cm="1">
        <f t="array" aca="1" ref="AW68" ca="1">-IF($F68="Terminated",0,IF($AA68=0,0,IF(ISNA(MATCH(AW$5,PayDedList,0)),0,MIN(IF(COUNTIFS(OverEmp,$C68,OverDeduct,AW$5,OverDate,"&lt;"&amp;DATE(YEAR($AC68),MONTH($AC68)+1,1),OverEnd,"&gt;="&amp;DATE(YEAR($AC68),MONTH($AC68),1))&gt;0,SUMPRODUCT((PayEmp=$C68)*(PayDate&lt;=$AC68)*(OFFSET($N$6,1,MATCH(AW$5,PayDedList,0)-1,PayCount,1)))/$AA68*12*AW$3,IF(OR(AW$1="Fixed",AW$1="Not Used"),SUMPRODUCT((PayEmp=$C68)*(PayDate&lt;=$AC68)*(OFFSET($N$6,1,MATCH(AW$5,PayDedList,0)-1,PayCount,1)))/$AA68*12*AW$3,IF(ISNA(MATCH(OFFSET($N$2,0,MATCH(AW$5,PayDedList,0)-1,1,1),EarnListItem,0))=FALSE,SUMPRODUCT((PayEmp=$C68)*(PayDate&lt;=$AC68)*(OFFSET($N$6,1,MATCH(AW$5,PayDedList,0)-1,PayCount,1)))/$AA68*12*AW$3,(MIN(SUMPRODUCT((PayEmp=$C68)*(PayDate&lt;=$AC68)*(ISERROR(SEARCH(PayEarnCode,AW$2)))*(PayEarnType="Monthly")*(PayEarnValues))/$AA68*12,IF(ISNUMBER(OFFSET($N$3,0,MATCH(AW$5,PayDedList,0)-1,1,1)),OFFSET($N$3,0,MATCH(AW$5,PayDedList,0)-1,1,1),IgnoreMin)))*IF(COUNTIFS(EmpNo,$C68,OFFSET(Emp!$R$4,1,MATCH(AW$5,DedListItem,0)-1,EmpCount,1),"&lt;&gt;")&gt;0,VLOOKUP($C68,EmpAll,COLUMN(Emp!$R$4)+MATCH(AW$5,DedListItem,0)-1,0),OFFSET(Setup!$E$73,MATCH(AW$5,DedListItem,0),0,1,1))*AW$3))),IF(ISNUMBER(AW$4),AW$4,IgnoreMin)))))</f>
        <v>0</v>
      </c>
      <c r="AX68" s="148">
        <f t="shared" ca="1" si="28"/>
        <v>1440000</v>
      </c>
      <c r="AY68" s="148">
        <f t="shared" ca="1" si="29"/>
        <v>0</v>
      </c>
      <c r="AZ68" s="148">
        <f ca="1">IF(ISNUMBER($AL68),($AR68*$AL68)-$AI68-$AK68,MAX(0,IF($AL68="B",IF($AR68&lt;Setup!$C$32,($AR68*Setup!$D$32)-$AI68-$AK68,(($AR68-VLOOKUP($AR68,TaxAll2,1,1))*OFFSET(Setup!$D$32,MATCH($AR68,TaxBracket2,1),0,1,1))+OFFSET(Setup!$E$31,MATCH($AR68,TaxBracket2,1),0,1,1)-$AI68-$AK68),IF($AR68&lt;Setup!$C$21,($AR68*Setup!$D$21)-$AI68-$AK68,(($AR68-VLOOKUP($AR68,TaxAll1,1,1))*OFFSET(Setup!$D$21,MATCH($AR68,TaxBracket1,1),0,1,1))+OFFSET(Setup!$E$20,MATCH($AR68,TaxBracket1,1),0,1,1)-$AI68-$AK68))))</f>
        <v>461980</v>
      </c>
      <c r="BA68" s="148">
        <f ca="1">IF(ISNUMBER($AL68),($AX68*$AL68)-$AI68-$AK68,MAX(0,IF($AL68="B",IF($AX68&lt;Setup!$C$32,($AX68*Setup!$D$32)-$AI68-$AK68,(($AX68-VLOOKUP($AX68,TaxAll2,1,1))*OFFSET(Setup!$D$32,MATCH($AX68,TaxBracket2,1),0,1,1))+OFFSET(Setup!$E$31,MATCH($AX68,TaxBracket2,1),0,1,1)-$AI68-$AK68),IF($AX68&lt;Setup!$C$21,($AX68*Setup!$D$21)-$AI68-$AK68,(($AX68-VLOOKUP($AX68,TaxAll1,1,1))*OFFSET(Setup!$D$21,MATCH($AX68,TaxBracket1,1),0,1,1))+OFFSET(Setup!$E$20,MATCH($AX68,TaxBracket1,1),0,1,1)-$AI68-$AK68))))</f>
        <v>461980</v>
      </c>
      <c r="BB68" s="148">
        <f t="shared" ca="1" si="23"/>
        <v>0</v>
      </c>
      <c r="BC68" s="150">
        <f t="shared" ca="1" si="15"/>
        <v>1</v>
      </c>
      <c r="BD68" s="150">
        <f t="shared" ca="1" si="16"/>
        <v>0</v>
      </c>
      <c r="BE68" s="148">
        <f t="shared" ca="1" si="17"/>
        <v>1440000</v>
      </c>
    </row>
    <row r="69" spans="1:57" ht="16.149999999999999" customHeight="1" x14ac:dyDescent="0.25">
      <c r="A69" s="10" t="str" cm="1">
        <f t="array" aca="1" ref="A69" ca="1">IF(ROW($A69)-ROW($A$6)&gt;EmpCount*12,"-",TEXT($B69,"yyyy")&amp;TEXT($B69,"mm")&amp;"-"&amp;$C69)</f>
        <v>202307-EXS003</v>
      </c>
      <c r="B69" s="137" cm="1">
        <f t="array" aca="1" ref="B69" ca="1">IF(ROW($A69)-ROW($A$6)&gt;EmpCount*12,Setup!$D$12,DATE(YEAR(Setup!$F$12),MONTH(Setup!$F$12)+ROUNDDOWN((ROW($A69)-ROW($A$6)-1)/EmpCount,0),IF(Setup!$C$14&gt;DAY(DATE(YEAR(Setup!$F$12),MONTH(Setup!$F$12)+ROUNDDOWN((ROW($A69)-ROW($A$6)-1)/EmpCount,0)+1,0)),DAY(DATE(YEAR(Setup!$F$12),MONTH(Setup!$F$12)+ROUNDDOWN((ROW($A69)-ROW($A$6)-1)/EmpCount,0)+1,0)),Setup!$C$14)))</f>
        <v>45132</v>
      </c>
      <c r="C69" s="101" t="str" cm="1">
        <f t="array" aca="1" ref="C69" ca="1">IF(ROW($A69)-ROW($A$6)&gt;EmpCount*12,"-",OFFSET(Emp!$A$4,ROW($A69)-ROW($A$6)-IF(ROW($A69)-ROW($A$6)&gt;EmpCount,ROUNDDOWN((ROW($A69)-ROW($A$6)-1)/EmpCount,0)*EmpCount,0),0,1,1))</f>
        <v>EXS003</v>
      </c>
      <c r="D69" s="10" t="str">
        <f ca="1">IF(ISNA(VLOOKUP($C69,EmpAll,COLUMN(Emp!$B$4),0)),"-",VLOOKUP($C69,EmpAll,COLUMN(Emp!$B$4),0))</f>
        <v>Wilson PG</v>
      </c>
      <c r="E69" s="145" t="str">
        <f ca="1">IF(ISNA(VLOOKUP($C69,EmpAll,COLUMN(Emp!$C$4),0)),"-",VLOOKUP($C69,EmpAll,COLUMN(Emp!$C$4),0))</f>
        <v>S</v>
      </c>
      <c r="F69" s="101" t="str">
        <f ca="1">IF(ISNA(VLOOKUP($C69,EmpAll,COLUMN(Emp!$A$4),0)),"-",IF(AND(VLOOKUP($C69,EmpAll,COLUMN(Emp!$E$4),0)&lt;&gt;0,VLOOKUP($C69,EmpAll,COLUMN(Emp!$E$4),0)&gt;=DATE(YEAR($AC69),MONTH($AC69)+1,0)),"Inactive",IF(AND(VLOOKUP($C69,EmpAll,COLUMN(Emp!$F$4),0)&lt;&gt;0,VLOOKUP($C69,EmpAll,COLUMN(Emp!$F$4),0)&lt;=DATE(YEAR($AC69),MONTH($AC69),0)),"Terminated","Active")))</f>
        <v>Active</v>
      </c>
      <c r="G69" s="133" cm="1">
        <f t="array" aca="1" ref="G69" ca="1">IF($F69&lt;&gt;"Active",0,IF(COUNTIFS(OverEmp,$C69,OverEarn,G$2,OverDate,"&lt;"&amp;DATE(YEAR($AC69),MONTH($AC69)+1,1),OverEnd,"&gt;="&amp;DATE(YEAR($AC69),MONTH($AC69),1))&gt;0,SUMIFS(OverValue,OverEmp,$C69,OverEarn,G$2,OverDate,"&lt;"&amp;DATE(YEAR($AC69),MONTH($AC69)+1,1),OverEnd,"&gt;="&amp;DATE(YEAR($AC69),MONTH($AC69),1)),IF(AND($AC69&gt;=Setup!$E$10,SUMIFS(EmpIncrease,EmpCode,$C69)&gt;0),SUMIFS(EmpIncrease,EmpCode,$C69),SUMIFS(EmpSalary,EmpCode,$C69))))</f>
        <v>15000</v>
      </c>
      <c r="H69" s="133" cm="1">
        <f t="array" aca="1" ref="H69" ca="1">IF($F69&lt;&gt;"Active",0,IF(COUNTIFS(OverEmp,$C69,OverEarn,H$2,OverDate,"&lt;"&amp;DATE(YEAR($AC69),MONTH($AC69)+1,1),OverEnd,"&gt;="&amp;DATE(YEAR($AC69),MONTH($AC69),1))&gt;0,SUMIFS(OverValue,OverEmp,$C69,OverEarn,H$2,OverDate,"&lt;"&amp;DATE(YEAR($AC69),MONTH($AC69)+1,1),OverEnd,"&gt;="&amp;DATE(YEAR($AC69),MONTH($AC69),1)),0))</f>
        <v>0</v>
      </c>
      <c r="I69" s="133" cm="1">
        <f t="array" aca="1" ref="I69" ca="1">IF($F69&lt;&gt;"Active",0,IF(COUNTIFS(OverEmp,$C69,OverEarn,I$2,OverDate,"&lt;"&amp;DATE(YEAR($AC69),MONTH($AC69)+1,1),OverEnd,"&gt;="&amp;DATE(YEAR($AC69),MONTH($AC69),1))&gt;0,SUMIFS(OverValue,OverEmp,$C69,OverEarn,I$2,OverDate,"&lt;"&amp;DATE(YEAR($AC69),MONTH($AC69)+1,1),OverEnd,"&gt;="&amp;DATE(YEAR($AC69),MONTH($AC69),1)),IF(MONTH(B69)=Setup!$C$15,SUMIFS(EmpBonus,EmpCode,$C69),0)))</f>
        <v>0</v>
      </c>
      <c r="J69" s="133" cm="1">
        <f t="array" aca="1" ref="J69" ca="1">IF($F69&lt;&gt;"Active",0,IF(COUNTIFS(OverEmp,$C69,OverEarn,J$2,OverDate,"&lt;"&amp;DATE(YEAR($AC69),MONTH($AC69)+1,1),OverEnd,"&gt;="&amp;DATE(YEAR($AC69),MONTH($AC69),1))&gt;0,SUMIFS(OverValue,OverEmp,$C69,OverEarn,J$2,OverDate,"&lt;"&amp;DATE(YEAR($AC69),MONTH($AC69)+1,1),OverEnd,"&gt;="&amp;DATE(YEAR($AC69),MONTH($AC69),1)),0))</f>
        <v>0</v>
      </c>
      <c r="K69" s="133" cm="1">
        <f t="array" aca="1" ref="K69" ca="1">IF($F69&lt;&gt;"Active",0,IF(COUNTIFS(OverEmp,$C69,OverEarn,K$2,OverDate,"&lt;"&amp;DATE(YEAR($AC69),MONTH($AC69)+1,1),OverEnd,"&gt;="&amp;DATE(YEAR($AC69),MONTH($AC69),1))&gt;0,SUMIFS(OverValue,OverEmp,$C69,OverEarn,K$2,OverDate,"&lt;"&amp;DATE(YEAR($AC69),MONTH($AC69)+1,1),OverEnd,"&gt;="&amp;DATE(YEAR($AC69),MONTH($AC69),1)),0))</f>
        <v>0</v>
      </c>
      <c r="L69" s="185">
        <f t="shared" ca="1" si="24"/>
        <v>15000</v>
      </c>
      <c r="M69" s="182" cm="1">
        <f t="array" aca="1" ref="M69" ca="1">IF(COUNTIFS(OverEmp,$C69,OverTax,M$5,OverDate,"&lt;"&amp;DATE(YEAR($AC69),MONTH($AC69)+1,1),OverEnd,"&gt;="&amp;DATE(YEAR($AC69),MONTH($AC69),1))&gt;0,SUMIFS(OverValue,OverEmp,$C69,OverTax,M$5,OverDate,"&lt;"&amp;DATE(YEAR($AC69),MONTH($AC69)+1,1),OverEnd,"&gt;="&amp;DATE(YEAR($AC69),MONTH($AC69),1)),(($BA69/12*$AA69)+(BB69*IF(1-$BC69=0,0,BD69/(1-$BC69))))-IF($F69="Terminated",0,SUMIFS(PayTaxDeduct,PayDate,"&lt;"&amp;$AC69,PayEmp,$C69)))</f>
        <v>899.75</v>
      </c>
      <c r="N69" s="133" cm="1">
        <f t="array" aca="1" ref="N69" ca="1">IF($F69="Terminated",0,IF($AA69=0,0,IF(ISNA(MATCH(N$5,DedListItem,0)),0,IF(COUNTIFS(OverEmp,$C69,OverDeduct,N$5,OverDate,"&lt;"&amp;DATE(YEAR($AC69),MONTH($AC69)+1,1),OverEnd,"&gt;="&amp;DATE(YEAR($AC69),MONTH($AC69),1))&gt;0,SUMIFS(OverValue,OverEmp,$C69,OverDeduct,N$5,OverDate,"&lt;"&amp;DATE(YEAR($AC69),MONTH($AC69)+1,1),OverEnd,"&gt;="&amp;DATE(YEAR($AC69),MONTH($AC69),1)),IF(OR(N$2="Fixed",N$2="Not Used"),(IF(COUNTIFS(EmpNo,$C69,OFFSET(Emp!$R$4,1,MATCH(N$5,DedListItem,0)-1,EmpCount,1),"&lt;&gt;")&gt;0,VLOOKUP($C69,EmpAll,COLUMN(Emp!$R$4)+MATCH(N$5,DedListItem,0)-1,0),OFFSET(Setup!$E$73,MATCH(N$5,DedListItem,0),0,1,1))*$AA69)-SUMIFS(OFFSET(N$6,1,0,PayCount,1),PayDate,"&lt;"&amp;$AC69,PayEmp,$C69),IF(ISNA(MATCH(N$2,EarnListItem,0))=FALSE,IF(OFFSET(Setup!$G$73,MATCH(N$5,DedListItem,0),0,1,1)="Taxable",SUMPRODUCT((PayEmp=$C69)*(PayDate&lt;=$AC69)*(PayEarnCode=N$2)*(PayEarnTax)*(PayEarnValues)),SUMPRODUCT((PayEmp=$C69)*(PayDate&lt;=$AC69)*(PayEarnCode=N$2)*(PayEarnValues)))*IF(COUNTIFS(EmpNo,$C69,OFFSET(Emp!$R$4,1,MATCH(N$5,DedListItem,0)-1,EmpCount,1),"&lt;&gt;")&gt;0,VLOOKUP($C69,EmpAll,COLUMN(Emp!$R$4)+MATCH(N$5,DedListItem,0)-1,0),OFFSET(Setup!$E$73,MATCH(N$5,DedListItem,0),0,1,1)),(MIN(IF(OFFSET(Setup!$G$73,MATCH(N$5,DedListItem,0),0,1,1)="Taxable",SUMPRODUCT((PayEmp=$C69)*(PayDate&lt;=$AC69)*(ISERROR(SEARCH(PayEarnCode,N$4)))*(PayEarnTax)*(PayEarnValues)),SUMPRODUCT((PayEmp=$C69)*(PayDate&lt;=$AC69)*(ISERROR(SEARCH(PayEarnCode,N$4)))*(PayEarnValues))),IF(ISNUMBER(N$3),N$3/12*$AA69,IgnoreMin)))*IF(COUNTIFS(EmpNo,$C69,OFFSET(Emp!$R$4,1,MATCH(N$5,DedListItem,0)-1,EmpCount,1),"&lt;&gt;")&gt;0,VLOOKUP($C69,EmpAll,COLUMN(Emp!$R$4)+MATCH(N$5,DedListItem,0)-1,0),OFFSET(Setup!$E$73,MATCH(N$5,DedListItem,0),0,1,1)))-SUMIFS(OFFSET(N$6,1,0,PayCount,1),PayDate,"&lt;"&amp;$AC69,PayEmp,$C69))))))</f>
        <v>150</v>
      </c>
      <c r="O69" s="133" cm="1">
        <f t="array" aca="1" ref="O69" ca="1">IF($F69="Terminated",0,IF($AA69=0,0,IF(ISNA(MATCH(O$5,DedListItem,0)),0,IF(COUNTIFS(OverEmp,$C69,OverDeduct,O$5,OverDate,"&lt;"&amp;DATE(YEAR($AC69),MONTH($AC69)+1,1),OverEnd,"&gt;="&amp;DATE(YEAR($AC69),MONTH($AC69),1))&gt;0,SUMIFS(OverValue,OverEmp,$C69,OverDeduct,O$5,OverDate,"&lt;"&amp;DATE(YEAR($AC69),MONTH($AC69)+1,1),OverEnd,"&gt;="&amp;DATE(YEAR($AC69),MONTH($AC69),1)),IF(OR(O$2="Fixed",O$2="Not Used"),(IF(COUNTIFS(EmpNo,$C69,OFFSET(Emp!$R$4,1,MATCH(O$5,DedListItem,0)-1,EmpCount,1),"&lt;&gt;")&gt;0,VLOOKUP($C69,EmpAll,COLUMN(Emp!$R$4)+MATCH(O$5,DedListItem,0)-1,0),OFFSET(Setup!$E$73,MATCH(O$5,DedListItem,0),0,1,1))*$AA69)-SUMIFS(OFFSET(O$6,1,0,PayCount,1),PayDate,"&lt;"&amp;$AC69,PayEmp,$C69),IF(ISNA(MATCH(O$2,EarnListItem,0))=FALSE,IF(OFFSET(Setup!$G$73,MATCH(O$5,DedListItem,0),0,1,1)="Taxable",SUMPRODUCT((PayEmp=$C69)*(PayDate&lt;=$AC69)*(PayEarnCode=O$2)*(PayEarnTax)*(PayEarnValues)),SUMPRODUCT((PayEmp=$C69)*(PayDate&lt;=$AC69)*(PayEarnCode=O$2)*(PayEarnValues)))*IF(COUNTIFS(EmpNo,$C69,OFFSET(Emp!$R$4,1,MATCH(O$5,DedListItem,0)-1,EmpCount,1),"&lt;&gt;")&gt;0,VLOOKUP($C69,EmpAll,COLUMN(Emp!$R$4)+MATCH(O$5,DedListItem,0)-1,0),OFFSET(Setup!$E$73,MATCH(O$5,DedListItem,0),0,1,1)),(MIN(IF(OFFSET(Setup!$G$73,MATCH(O$5,DedListItem,0),0,1,1)="Taxable",SUMPRODUCT((PayEmp=$C69)*(PayDate&lt;=$AC69)*(ISERROR(SEARCH(PayEarnCode,O$4)))*(PayEarnTax)*(PayEarnValues)),SUMPRODUCT((PayEmp=$C69)*(PayDate&lt;=$AC69)*(ISERROR(SEARCH(PayEarnCode,O$4)))*(PayEarnValues))),IF(ISNUMBER(O$3),O$3/12*$AA69,IgnoreMin)))*IF(COUNTIFS(EmpNo,$C69,OFFSET(Emp!$R$4,1,MATCH(O$5,DedListItem,0)-1,EmpCount,1),"&lt;&gt;")&gt;0,VLOOKUP($C69,EmpAll,COLUMN(Emp!$R$4)+MATCH(O$5,DedListItem,0)-1,0),OFFSET(Setup!$E$73,MATCH(O$5,DedListItem,0),0,1,1)))-SUMIFS(OFFSET(O$6,1,0,PayCount,1),PayDate,"&lt;"&amp;$AC69,PayEmp,$C69))))))</f>
        <v>0</v>
      </c>
      <c r="P69" s="133" cm="1">
        <f t="array" aca="1" ref="P69" ca="1">IF($F69="Terminated",0,IF($AA69=0,0,IF(ISNA(MATCH(P$5,DedListItem,0)),0,IF(COUNTIFS(OverEmp,$C69,OverDeduct,P$5,OverDate,"&lt;"&amp;DATE(YEAR($AC69),MONTH($AC69)+1,1),OverEnd,"&gt;="&amp;DATE(YEAR($AC69),MONTH($AC69),1))&gt;0,SUMIFS(OverValue,OverEmp,$C69,OverDeduct,P$5,OverDate,"&lt;"&amp;DATE(YEAR($AC69),MONTH($AC69)+1,1),OverEnd,"&gt;="&amp;DATE(YEAR($AC69),MONTH($AC69),1)),IF(OR(P$2="Fixed",P$2="Not Used"),(IF(COUNTIFS(EmpNo,$C69,OFFSET(Emp!$R$4,1,MATCH(P$5,DedListItem,0)-1,EmpCount,1),"&lt;&gt;")&gt;0,VLOOKUP($C69,EmpAll,COLUMN(Emp!$R$4)+MATCH(P$5,DedListItem,0)-1,0),OFFSET(Setup!$E$73,MATCH(P$5,DedListItem,0),0,1,1))*$AA69)-SUMIFS(OFFSET(P$6,1,0,PayCount,1),PayDate,"&lt;"&amp;$AC69,PayEmp,$C69),IF(ISNA(MATCH(P$2,EarnListItem,0))=FALSE,IF(OFFSET(Setup!$G$73,MATCH(P$5,DedListItem,0),0,1,1)="Taxable",SUMPRODUCT((PayEmp=$C69)*(PayDate&lt;=$AC69)*(PayEarnCode=P$2)*(PayEarnTax)*(PayEarnValues)),SUMPRODUCT((PayEmp=$C69)*(PayDate&lt;=$AC69)*(PayEarnCode=P$2)*(PayEarnValues)))*IF(COUNTIFS(EmpNo,$C69,OFFSET(Emp!$R$4,1,MATCH(P$5,DedListItem,0)-1,EmpCount,1),"&lt;&gt;")&gt;0,VLOOKUP($C69,EmpAll,COLUMN(Emp!$R$4)+MATCH(P$5,DedListItem,0)-1,0),OFFSET(Setup!$E$73,MATCH(P$5,DedListItem,0),0,1,1)),(MIN(IF(OFFSET(Setup!$G$73,MATCH(P$5,DedListItem,0),0,1,1)="Taxable",SUMPRODUCT((PayEmp=$C69)*(PayDate&lt;=$AC69)*(ISERROR(SEARCH(PayEarnCode,P$4)))*(PayEarnTax)*(PayEarnValues)),SUMPRODUCT((PayEmp=$C69)*(PayDate&lt;=$AC69)*(ISERROR(SEARCH(PayEarnCode,P$4)))*(PayEarnValues))),IF(ISNUMBER(P$3),P$3/12*$AA69,IgnoreMin)))*IF(COUNTIFS(EmpNo,$C69,OFFSET(Emp!$R$4,1,MATCH(P$5,DedListItem,0)-1,EmpCount,1),"&lt;&gt;")&gt;0,VLOOKUP($C69,EmpAll,COLUMN(Emp!$R$4)+MATCH(P$5,DedListItem,0)-1,0),OFFSET(Setup!$E$73,MATCH(P$5,DedListItem,0),0,1,1)))-SUMIFS(OFFSET(P$6,1,0,PayCount,1),PayDate,"&lt;"&amp;$AC69,PayEmp,$C69))))))</f>
        <v>0</v>
      </c>
      <c r="Q69" s="133" cm="1">
        <f t="array" aca="1" ref="Q69" ca="1">IF($F69="Terminated",0,IF($AA69=0,0,IF(ISNA(MATCH(Q$5,DedListItem,0)),0,IF(COUNTIFS(OverEmp,$C69,OverDeduct,Q$5,OverDate,"&lt;"&amp;DATE(YEAR($AC69),MONTH($AC69)+1,1),OverEnd,"&gt;="&amp;DATE(YEAR($AC69),MONTH($AC69),1))&gt;0,SUMIFS(OverValue,OverEmp,$C69,OverDeduct,Q$5,OverDate,"&lt;"&amp;DATE(YEAR($AC69),MONTH($AC69)+1,1),OverEnd,"&gt;="&amp;DATE(YEAR($AC69),MONTH($AC69),1)),IF(OR(Q$2="Fixed",Q$2="Not Used"),(IF(COUNTIFS(EmpNo,$C69,OFFSET(Emp!$R$4,1,MATCH(Q$5,DedListItem,0)-1,EmpCount,1),"&lt;&gt;")&gt;0,VLOOKUP($C69,EmpAll,COLUMN(Emp!$R$4)+MATCH(Q$5,DedListItem,0)-1,0),OFFSET(Setup!$E$73,MATCH(Q$5,DedListItem,0),0,1,1))*$AA69)-SUMIFS(OFFSET(Q$6,1,0,PayCount,1),PayDate,"&lt;"&amp;$AC69,PayEmp,$C69),IF(ISNA(MATCH(Q$2,EarnListItem,0))=FALSE,IF(OFFSET(Setup!$G$73,MATCH(Q$5,DedListItem,0),0,1,1)="Taxable",SUMPRODUCT((PayEmp=$C69)*(PayDate&lt;=$AC69)*(PayEarnCode=Q$2)*(PayEarnTax)*(PayEarnValues)),SUMPRODUCT((PayEmp=$C69)*(PayDate&lt;=$AC69)*(PayEarnCode=Q$2)*(PayEarnValues)))*IF(COUNTIFS(EmpNo,$C69,OFFSET(Emp!$R$4,1,MATCH(Q$5,DedListItem,0)-1,EmpCount,1),"&lt;&gt;")&gt;0,VLOOKUP($C69,EmpAll,COLUMN(Emp!$R$4)+MATCH(Q$5,DedListItem,0)-1,0),OFFSET(Setup!$E$73,MATCH(Q$5,DedListItem,0),0,1,1)),(MIN(IF(OFFSET(Setup!$G$73,MATCH(Q$5,DedListItem,0),0,1,1)="Taxable",SUMPRODUCT((PayEmp=$C69)*(PayDate&lt;=$AC69)*(ISERROR(SEARCH(PayEarnCode,Q$4)))*(PayEarnTax)*(PayEarnValues)),SUMPRODUCT((PayEmp=$C69)*(PayDate&lt;=$AC69)*(ISERROR(SEARCH(PayEarnCode,Q$4)))*(PayEarnValues))),IF(ISNUMBER(Q$3),Q$3/12*$AA69,IgnoreMin)))*IF(COUNTIFS(EmpNo,$C69,OFFSET(Emp!$R$4,1,MATCH(Q$5,DedListItem,0)-1,EmpCount,1),"&lt;&gt;")&gt;0,VLOOKUP($C69,EmpAll,COLUMN(Emp!$R$4)+MATCH(Q$5,DedListItem,0)-1,0),OFFSET(Setup!$E$73,MATCH(Q$5,DedListItem,0),0,1,1)))-SUMIFS(OFFSET(Q$6,1,0,PayCount,1),PayDate,"&lt;"&amp;$AC69,PayEmp,$C69))))))</f>
        <v>0</v>
      </c>
      <c r="R69" s="185">
        <f t="shared" ca="1" si="25"/>
        <v>1049.75</v>
      </c>
      <c r="S69" s="139">
        <f t="shared" ca="1" si="26"/>
        <v>13950.25</v>
      </c>
      <c r="T69" s="133" cm="1">
        <f t="array" aca="1" ref="T69" ca="1">IF($F69="Terminated",0,IF($AA69=0,0,IF(ISNA(MATCH(T$5,CompListItem,0)),0,IF(COUNTIFS(OverEmp,$C69,OverComp,T$5,OverDate,"&lt;"&amp;DATE(YEAR($AC69),MONTH($AC69)+1,1),OverEnd,"&gt;="&amp;DATE(YEAR($AC69),MONTH($AC69),1))&gt;0,SUMIFS(OverValue,OverEmp,$C69,OverComp,T$5,OverDate,"&lt;"&amp;DATE(YEAR($AC69),MONTH($AC69)+1,1),OverEnd,"&gt;="&amp;DATE(YEAR($AC69),MONTH($AC69),1)),IF(OR(T$2="Fixed",T$2="Not Used"),(OFFSET(Setup!$E$81,MATCH(T$5,CompListItem,0),0,1,1)*$AA69)-SUMIFS(OFFSET(T$6,1,0,PayCount,1),PayDate,"&lt;"&amp;$AC69,PayEmp,$C69),IF(ISNA(MATCH(T$2,DedListItem,0))=FALSE,(SUMPRODUCT((PayEmp=$C69)*(PayDate&lt;=$AC69)*(PayDedList=T$2)*(PayDedValues))*OFFSET(Setup!$E$81,MATCH(T$5,CompListItem,0),0,1,1))-SUMIFS(OFFSET(T$6,1,0,PayCount,1),PayDate,"&lt;"&amp;$AC69,PayEmp,$C69),(MIN(IF(OFFSET(Setup!$G$81,MATCH(T$5,CompListItem,0),0,1,1)="Taxable",SUMPRODUCT((PayEmp=$C69)*(PayDate&lt;=$AC69)*(ISERROR(SEARCH(PayEarnCode,T$4)))*(PayEarnTax)*(PayEarnValues)),SUMPRODUCT((PayEmp=$C69)*(PayDate&lt;=$AC69)*(ISERROR(SEARCH(PayEarnCode,T$4)))*(PayEarnValues))),IF(ISNUMBER(T$3),T$3/12*$AA69,IgnoreMin)))*OFFSET(Setup!$E$81,MATCH(T$5,CompListItem,0),0,1,1)-SUMIFS(OFFSET(T$6,1,0,PayCount,1),PayDate,"&lt;"&amp;$AC69,PayEmp,$C69)))))))</f>
        <v>150</v>
      </c>
      <c r="U69" s="133" cm="1">
        <f t="array" aca="1" ref="U69" ca="1">IF($F69="Terminated",0,IF($AA69=0,0,IF(ISNA(MATCH(U$5,CompListItem,0)),0,IF(COUNTIFS(OverEmp,$C69,OverComp,U$5,OverDate,"&lt;"&amp;DATE(YEAR($AC69),MONTH($AC69)+1,1),OverEnd,"&gt;="&amp;DATE(YEAR($AC69),MONTH($AC69),1))&gt;0,SUMIFS(OverValue,OverEmp,$C69,OverComp,U$5,OverDate,"&lt;"&amp;DATE(YEAR($AC69),MONTH($AC69)+1,1),OverEnd,"&gt;="&amp;DATE(YEAR($AC69),MONTH($AC69),1)),IF(OR(U$2="Fixed",U$2="Not Used"),(OFFSET(Setup!$E$81,MATCH(U$5,CompListItem,0),0,1,1)*$AA69)-SUMIFS(OFFSET(U$6,1,0,PayCount,1),PayDate,"&lt;"&amp;$AC69,PayEmp,$C69),IF(ISNA(MATCH(U$2,DedListItem,0))=FALSE,(SUMPRODUCT((PayEmp=$C69)*(PayDate&lt;=$AC69)*(PayDedList=U$2)*(PayDedValues))*OFFSET(Setup!$E$81,MATCH(U$5,CompListItem,0),0,1,1))-SUMIFS(OFFSET(U$6,1,0,PayCount,1),PayDate,"&lt;"&amp;$AC69,PayEmp,$C69),(MIN(IF(OFFSET(Setup!$G$81,MATCH(U$5,CompListItem,0),0,1,1)="Taxable",SUMPRODUCT((PayEmp=$C69)*(PayDate&lt;=$AC69)*(ISERROR(SEARCH(PayEarnCode,U$4)))*(PayEarnTax)*(PayEarnValues)),SUMPRODUCT((PayEmp=$C69)*(PayDate&lt;=$AC69)*(ISERROR(SEARCH(PayEarnCode,U$4)))*(PayEarnValues))),IF(ISNUMBER(U$3),U$3/12*$AA69,IgnoreMin)))*OFFSET(Setup!$E$81,MATCH(U$5,CompListItem,0),0,1,1)-SUMIFS(OFFSET(U$6,1,0,PayCount,1),PayDate,"&lt;"&amp;$AC69,PayEmp,$C69)))))))</f>
        <v>150</v>
      </c>
      <c r="V69" s="133" cm="1">
        <f t="array" aca="1" ref="V69" ca="1">IF($F69="Terminated",0,IF($AA69=0,0,IF(ISNA(MATCH(V$5,CompListItem,0)),0,IF(COUNTIFS(OverEmp,$C69,OverComp,V$5,OverDate,"&lt;"&amp;DATE(YEAR($AC69),MONTH($AC69)+1,1),OverEnd,"&gt;="&amp;DATE(YEAR($AC69),MONTH($AC69),1))&gt;0,SUMIFS(OverValue,OverEmp,$C69,OverComp,V$5,OverDate,"&lt;"&amp;DATE(YEAR($AC69),MONTH($AC69)+1,1),OverEnd,"&gt;="&amp;DATE(YEAR($AC69),MONTH($AC69),1)),IF(OR(V$2="Fixed",V$2="Not Used"),(OFFSET(Setup!$E$81,MATCH(V$5,CompListItem,0),0,1,1)*$AA69)-SUMIFS(OFFSET(V$6,1,0,PayCount,1),PayDate,"&lt;"&amp;$AC69,PayEmp,$C69),IF(ISNA(MATCH(V$2,DedListItem,0))=FALSE,(SUMPRODUCT((PayEmp=$C69)*(PayDate&lt;=$AC69)*(PayDedList=V$2)*(PayDedValues))*OFFSET(Setup!$E$81,MATCH(V$5,CompListItem,0),0,1,1))-SUMIFS(OFFSET(V$6,1,0,PayCount,1),PayDate,"&lt;"&amp;$AC69,PayEmp,$C69),(MIN(IF(OFFSET(Setup!$G$81,MATCH(V$5,CompListItem,0),0,1,1)="Taxable",SUMPRODUCT((PayEmp=$C69)*(PayDate&lt;=$AC69)*(ISERROR(SEARCH(PayEarnCode,V$4)))*(PayEarnTax)*(PayEarnValues)),SUMPRODUCT((PayEmp=$C69)*(PayDate&lt;=$AC69)*(ISERROR(SEARCH(PayEarnCode,V$4)))*(PayEarnValues))),IF(ISNUMBER(V$3),V$3/12*$AA69,IgnoreMin)))*OFFSET(Setup!$E$81,MATCH(V$5,CompListItem,0),0,1,1)-SUMIFS(OFFSET(V$6,1,0,PayCount,1),PayDate,"&lt;"&amp;$AC69,PayEmp,$C69)))))))</f>
        <v>0</v>
      </c>
      <c r="W69" s="133" cm="1">
        <f t="array" aca="1" ref="W69" ca="1">IF($F69="Terminated",0,IF($AA69=0,0,IF(ISNA(MATCH(W$5,CompListItem,0)),0,IF(COUNTIFS(OverEmp,$C69,OverComp,W$5,OverDate,"&lt;"&amp;DATE(YEAR($AC69),MONTH($AC69)+1,1),OverEnd,"&gt;="&amp;DATE(YEAR($AC69),MONTH($AC69),1))&gt;0,SUMIFS(OverValue,OverEmp,$C69,OverComp,W$5,OverDate,"&lt;"&amp;DATE(YEAR($AC69),MONTH($AC69)+1,1),OverEnd,"&gt;="&amp;DATE(YEAR($AC69),MONTH($AC69),1)),IF(OR(W$2="Fixed",W$2="Not Used"),(OFFSET(Setup!$E$81,MATCH(W$5,CompListItem,0),0,1,1)*$AA69)-SUMIFS(OFFSET(W$6,1,0,PayCount,1),PayDate,"&lt;"&amp;$AC69,PayEmp,$C69),IF(ISNA(MATCH(W$2,DedListItem,0))=FALSE,(SUMPRODUCT((PayEmp=$C69)*(PayDate&lt;=$AC69)*(PayDedList=W$2)*(PayDedValues))*OFFSET(Setup!$E$81,MATCH(W$5,CompListItem,0),0,1,1))-SUMIFS(OFFSET(W$6,1,0,PayCount,1),PayDate,"&lt;"&amp;$AC69,PayEmp,$C69),(MIN(IF(OFFSET(Setup!$G$81,MATCH(W$5,CompListItem,0),0,1,1)="Taxable",SUMPRODUCT((PayEmp=$C69)*(PayDate&lt;=$AC69)*(ISERROR(SEARCH(PayEarnCode,W$4)))*(PayEarnTax)*(PayEarnValues)),SUMPRODUCT((PayEmp=$C69)*(PayDate&lt;=$AC69)*(ISERROR(SEARCH(PayEarnCode,W$4)))*(PayEarnValues))),IF(ISNUMBER(W$3),W$3/12*$AA69,IgnoreMin)))*OFFSET(Setup!$E$81,MATCH(W$5,CompListItem,0),0,1,1)-SUMIFS(OFFSET(W$6,1,0,PayCount,1),PayDate,"&lt;"&amp;$AC69,PayEmp,$C69)))))))</f>
        <v>0</v>
      </c>
      <c r="X69" s="185">
        <f t="shared" ref="X69:X100" ca="1" si="30">SUM(OFFSET($T69,0,0,1,COLUMN($X$6)-COLUMN($T$7)))</f>
        <v>300</v>
      </c>
      <c r="Y69" s="139">
        <f t="shared" ca="1" si="27"/>
        <v>15300</v>
      </c>
      <c r="Z69" s="139">
        <f t="shared" ref="Z69:Z100" ca="1" si="31">ROUND(SUM(R69,X69),2)</f>
        <v>1349.75</v>
      </c>
      <c r="AA69" s="146">
        <f ca="1">IF(OR($B69&lt;=Setup!$E$12,$B69&gt;=Setup!$D$12+1),0,IF($F69&lt;&gt;"Active",0,IF($AE69="Yes",$AB69,((YEAR($AC69)*12)+MONTH($AC69))-((YEAR($AD69)*12)+MONTH($AD69)-1))))</f>
        <v>5</v>
      </c>
      <c r="AB69" s="146">
        <f ca="1">IF(OR($B69&lt;=Setup!$E$12,$B69&gt;=Setup!$D$12+1),0,((YEAR($AC69)*12)+MONTH($AC69))-((YEAR(Setup!$E$12)*12)+MONTH(Setup!$E$12)))</f>
        <v>5</v>
      </c>
      <c r="AC69" s="186">
        <f t="shared" ref="AC69:AC100" ca="1" si="32">DATE(YEAR($B69),MONTH($B69),DAY($B69))</f>
        <v>45132</v>
      </c>
      <c r="AD69" s="144">
        <f ca="1">IF(ISNA(VLOOKUP($C69,EmpAll,COLUMN(Emp!$E$4),0)),$AC69,IF(VLOOKUP($C69,EmpAll,COLUMN(Emp!$E$4),0)&lt;=Setup!$E$12,DATE(YEAR(Setup!$E$12),MONTH(Setup!$E$12)+1,1),VLOOKUP($C69,EmpAll,COLUMN(Emp!$E$4),0)))</f>
        <v>44986</v>
      </c>
      <c r="AE69" s="144" t="str">
        <f ca="1">IF(ISNA(VLOOKUP($C69,EmpAll,COLUMN(Emp!$G$1),0)),"-",IF(VLOOKUP($C69,EmpAll,COLUMN(Emp!$G$1),0)=0,"-",VLOOKUP($C69,EmpAll,COLUMN(Emp!$G$1),0)))</f>
        <v>-</v>
      </c>
      <c r="AF69" s="145">
        <f ca="1">IF(A69=PaySlip!$G$3,1,0)</f>
        <v>0</v>
      </c>
      <c r="AG69" s="130" cm="1">
        <f t="array" aca="1" ref="AG69" ca="1">IF(COUNTIFS(OverEmp,$C69,OverMed,"MED",OverDate,"&lt;"&amp;DATE(YEAR($AC69),MONTH($AC69)+1,1),OverEnd,"&gt;="&amp;DATE(YEAR($AC69),MONTH($AC69),1))&gt;0,SUMIFS(OverValue,OverEmp,$C69,OverMed,"MED",OverDate,"&lt;"&amp;DATE(YEAR($AC69),MONTH($AC69)+1,1),OverEnd,"&gt;="&amp;DATE(YEAR($AC69),MONTH($AC69),1)),IF(ISNA(VLOOKUP($C69,EmpAll,COLUMN(Emp!$N$4),0)),0,VLOOKUP($C69,EmpAll,COLUMN(Emp!$N$4),0)))</f>
        <v>1</v>
      </c>
      <c r="AH69" s="146">
        <f ca="1">VLOOKUP($AG69,MedList,COLUMN(Setup!$C$49),1)</f>
        <v>364</v>
      </c>
      <c r="AI69" s="146">
        <f t="shared" ca="1" si="7"/>
        <v>4368</v>
      </c>
      <c r="AJ69" s="101" t="str">
        <f ca="1">IF(ISNA(VLOOKUP($C69,EmpAll,COLUMN(Emp!$L$4),0)),"None!",VLOOKUP($C69,EmpAll,COLUMN(Emp!$L$4),0))</f>
        <v>A</v>
      </c>
      <c r="AK69" s="147">
        <f t="shared" ref="AK69:AK100" ca="1" si="33">IF(ISNA(VLOOKUP($AJ69,RebateList,4,0)),VLOOKUP("A",RebateList,3,0),VLOOKUP($AJ69,RebateList,4,0))</f>
        <v>17235</v>
      </c>
      <c r="AL69" s="101" t="str">
        <f ca="1">IF(ISNA(VLOOKUP($C69,Employees[],COLUMN(Emp!$M$4),0))=TRUE,"Error!",IF(VLOOKUP($C69,Employees[],COLUMN(Emp!$M$4),0)=0,"Yes",VLOOKUP($C69,Employees[],COLUMN(Emp!$M$4),0)))</f>
        <v>A</v>
      </c>
      <c r="AM69" s="148">
        <f t="shared" ca="1" si="9"/>
        <v>180000</v>
      </c>
      <c r="AN69" s="148" cm="1">
        <f t="array" aca="1" ref="AN69" ca="1">-IF($F69="Terminated",0,IF($AA69=0,0,IF(ISNA(MATCH(AN$5,PayDedList,0)),0,MIN(IF(COUNTIFS(OverEmp,$C69,OverDeduct,AN$5,OverDate,"&lt;"&amp;DATE(YEAR($AC69),MONTH($AC69)+1,1),OverEnd,"&gt;="&amp;DATE(YEAR($AC69),MONTH($AC69),1))&gt;0,SUMPRODUCT((PayEmp=$C69)*(PayDate&lt;=$AC69)*(OFFSET($N$6,1,MATCH(AN$5,PayDedList,0)-1,PayCount,1)))/$AA69*12*AN$3,IF(OR(AN$1="Fixed",AN$1="Not Used"),SUMPRODUCT((PayEmp=$C69)*(PayDate&lt;=$AC69)*(OFFSET($N$6,1,MATCH(AN$5,PayDedList,0)-1,PayCount,1)))/$AA69*12*AN$3,IF(ISNA(MATCH(AN$1,EarnListItem,0))=FALSE,SUMPRODUCT((PayEmp=$C69)*(PayDate&lt;=$AC69)*(OFFSET($N$6,1,MATCH(AN$5,PayDedList,0)-1,PayCount,1)))/$AA69*12*AN$3,(MIN(((SUMPRODUCT((PayEmp=$C69)*(PayDate&lt;=$AC69)*(ISERROR(SEARCH(PayEarnCode,AN$2)))*(PayEarnType="Monthly")*(PayEarnValues))/$AA69*12)+(SUMPRODUCT((PayEmp=$C69)*(PayDate&lt;=$AC69)*(ISERROR(SEARCH(PayEarnCode,AN$2)))*(PayEarnType="Quarterly")*(PayEarnValues))/MAX(1,ROUNDDOWN($AB69/3,0))*4)+(SUMPRODUCT((PayEmp=$C69)*(PayDate&lt;=$AC69)*(ISERROR(SEARCH(PayEarnCode,AN$2)))*(PayEarnType="Bi-Annual")*(PayEarnValues))/MAX(1,ROUNDDOWN($AB69/6,0))*2)+(SUMPRODUCT((PayEmp=$C69)*(PayDate&lt;=$AC69)*(ISERROR(SEARCH(PayEarnCode,AN$2)))*(PayEarnType="Annual")*(PayEarnValues)))),IF(ISNUMBER(OFFSET($N$3,0,MATCH(AN$5,PayDedList,0)-1,1,1)),OFFSET($N$3,0,MATCH(AN$5,PayDedList,0)-1,1,1),IgnoreMin)))*IF(COUNTIFS(EmpNo,$C69,OFFSET(Emp!$R$4,1,MATCH(AN$5,DedListItem,0)-1,EmpCount,1),"&lt;&gt;")&gt;0,VLOOKUP($C69,EmpAll,COLUMN(Emp!$R$4)+MATCH(AN$5,DedListItem,0)-1,0),OFFSET(Setup!$E$73,MATCH(AN$5,DedListItem,0),0,1,1))*AN$3))),IF(ISNUMBER(AN$4),AN$4,IgnoreMin)))))</f>
        <v>0</v>
      </c>
      <c r="AO69" s="148" cm="1">
        <f t="array" aca="1" ref="AO69" ca="1">-IF($F69="Terminated",0,IF($AA69=0,0,IF(ISNA(MATCH(AO$5,PayDedList,0)),0,MIN(IF(COUNTIFS(OverEmp,$C69,OverDeduct,AO$5,OverDate,"&lt;"&amp;DATE(YEAR($AC69),MONTH($AC69)+1,1),OverEnd,"&gt;="&amp;DATE(YEAR($AC69),MONTH($AC69),1))&gt;0,SUMPRODUCT((PayEmp=$C69)*(PayDate&lt;=$AC69)*(OFFSET($N$6,1,MATCH(AO$5,PayDedList,0)-1,PayCount,1)))/$AA69*12*AO$3,IF(OR(AO$1="Fixed",AO$1="Not Used"),SUMPRODUCT((PayEmp=$C69)*(PayDate&lt;=$AC69)*(OFFSET($N$6,1,MATCH(AO$5,PayDedList,0)-1,PayCount,1)))/$AA69*12*AO$3,IF(ISNA(MATCH(AO$1,EarnListItem,0))=FALSE,SUMPRODUCT((PayEmp=$C69)*(PayDate&lt;=$AC69)*(OFFSET($N$6,1,MATCH(AO$5,PayDedList,0)-1,PayCount,1)))/$AA69*12*AO$3,(MIN(((SUMPRODUCT((PayEmp=$C69)*(PayDate&lt;=$AC69)*(ISERROR(SEARCH(PayEarnCode,AO$2)))*(PayEarnType="Monthly")*(PayEarnValues))/$AA69*12)+(SUMPRODUCT((PayEmp=$C69)*(PayDate&lt;=$AC69)*(ISERROR(SEARCH(PayEarnCode,AO$2)))*(PayEarnType="Quarterly")*(PayEarnValues))/MAX(1,ROUNDDOWN($AB69/3,0))*4)+(SUMPRODUCT((PayEmp=$C69)*(PayDate&lt;=$AC69)*(ISERROR(SEARCH(PayEarnCode,AO$2)))*(PayEarnType="Bi-Annual")*(PayEarnValues))/MAX(1,ROUNDDOWN($AB69/6,0))*2)+(SUMPRODUCT((PayEmp=$C69)*(PayDate&lt;=$AC69)*(ISERROR(SEARCH(PayEarnCode,AO$2)))*(PayEarnType="Annual")*(PayEarnValues)))),IF(ISNUMBER(OFFSET($N$3,0,MATCH(AO$5,PayDedList,0)-1,1,1)),OFFSET($N$3,0,MATCH(AO$5,PayDedList,0)-1,1,1),IgnoreMin)))*IF(COUNTIFS(EmpNo,$C69,OFFSET(Emp!$R$4,1,MATCH(AO$5,DedListItem,0)-1,EmpCount,1),"&lt;&gt;")&gt;0,VLOOKUP($C69,EmpAll,COLUMN(Emp!$R$4)+MATCH(AO$5,DedListItem,0)-1,0),OFFSET(Setup!$E$73,MATCH(AO$5,DedListItem,0),0,1,1))*AO$3))),IF(ISNUMBER(AO$4),AO$4,IgnoreMin)))))</f>
        <v>0</v>
      </c>
      <c r="AP69" s="148" cm="1">
        <f t="array" aca="1" ref="AP69" ca="1">-IF($F69="Terminated",0,IF($AA69=0,0,IF(ISNA(MATCH(AP$5,PayDedList,0)),0,MIN(IF(COUNTIFS(OverEmp,$C69,OverDeduct,AP$5,OverDate,"&lt;"&amp;DATE(YEAR($AC69),MONTH($AC69)+1,1),OverEnd,"&gt;="&amp;DATE(YEAR($AC69),MONTH($AC69),1))&gt;0,SUMPRODUCT((PayEmp=$C69)*(PayDate&lt;=$AC69)*(OFFSET($N$6,1,MATCH(AP$5,PayDedList,0)-1,PayCount,1)))/$AA69*12*AP$3,IF(OR(AP$1="Fixed",AP$1="Not Used"),SUMPRODUCT((PayEmp=$C69)*(PayDate&lt;=$AC69)*(OFFSET($N$6,1,MATCH(AP$5,PayDedList,0)-1,PayCount,1)))/$AA69*12*AP$3,IF(ISNA(MATCH(AP$1,EarnListItem,0))=FALSE,SUMPRODUCT((PayEmp=$C69)*(PayDate&lt;=$AC69)*(OFFSET($N$6,1,MATCH(AP$5,PayDedList,0)-1,PayCount,1)))/$AA69*12*AP$3,(MIN(((SUMPRODUCT((PayEmp=$C69)*(PayDate&lt;=$AC69)*(ISERROR(SEARCH(PayEarnCode,AP$2)))*(PayEarnType="Monthly")*(PayEarnValues))/$AA69*12)+(SUMPRODUCT((PayEmp=$C69)*(PayDate&lt;=$AC69)*(ISERROR(SEARCH(PayEarnCode,AP$2)))*(PayEarnType="Quarterly")*(PayEarnValues))/MAX(1,ROUNDDOWN($AB69/3,0))*4)+(SUMPRODUCT((PayEmp=$C69)*(PayDate&lt;=$AC69)*(ISERROR(SEARCH(PayEarnCode,AP$2)))*(PayEarnType="Bi-Annual")*(PayEarnValues))/MAX(1,ROUNDDOWN($AB69/6,0))*2)+(SUMPRODUCT((PayEmp=$C69)*(PayDate&lt;=$AC69)*(ISERROR(SEARCH(PayEarnCode,AP$2)))*(PayEarnType="Annual")*(PayEarnValues)))),IF(ISNUMBER(OFFSET($N$3,0,MATCH(AP$5,PayDedList,0)-1,1,1)),OFFSET($N$3,0,MATCH(AP$5,PayDedList,0)-1,1,1),IgnoreMin)))*IF(COUNTIFS(EmpNo,$C69,OFFSET(Emp!$R$4,1,MATCH(AP$5,DedListItem,0)-1,EmpCount,1),"&lt;&gt;")&gt;0,VLOOKUP($C69,EmpAll,COLUMN(Emp!$R$4)+MATCH(AP$5,DedListItem,0)-1,0),OFFSET(Setup!$E$73,MATCH(AP$5,DedListItem,0),0,1,1))*AP$3))),IF(ISNUMBER(AP$4),AP$4,IgnoreMin)))))</f>
        <v>0</v>
      </c>
      <c r="AQ69" s="148" cm="1">
        <f t="array" aca="1" ref="AQ69" ca="1">-IF($F69="Terminated",0,IF($AA69=0,0,IF(ISNA(MATCH(AQ$5,PayDedList,0)),0,MIN(IF(COUNTIFS(OverEmp,$C69,OverDeduct,AQ$5,OverDate,"&lt;"&amp;DATE(YEAR($AC69),MONTH($AC69)+1,1),OverEnd,"&gt;="&amp;DATE(YEAR($AC69),MONTH($AC69),1))&gt;0,SUMPRODUCT((PayEmp=$C69)*(PayDate&lt;=$AC69)*(OFFSET($N$6,1,MATCH(AQ$5,PayDedList,0)-1,PayCount,1)))/$AA69*12*AQ$3,IF(OR(AQ$1="Fixed",AQ$1="Not Used"),SUMPRODUCT((PayEmp=$C69)*(PayDate&lt;=$AC69)*(OFFSET($N$6,1,MATCH(AQ$5,PayDedList,0)-1,PayCount,1)))/$AA69*12*AQ$3,IF(ISNA(MATCH(AQ$1,EarnListItem,0))=FALSE,SUMPRODUCT((PayEmp=$C69)*(PayDate&lt;=$AC69)*(OFFSET($N$6,1,MATCH(AQ$5,PayDedList,0)-1,PayCount,1)))/$AA69*12*AQ$3,(MIN(((SUMPRODUCT((PayEmp=$C69)*(PayDate&lt;=$AC69)*(ISERROR(SEARCH(PayEarnCode,AQ$2)))*(PayEarnType="Monthly")*(PayEarnValues))/$AA69*12)+(SUMPRODUCT((PayEmp=$C69)*(PayDate&lt;=$AC69)*(ISERROR(SEARCH(PayEarnCode,AQ$2)))*(PayEarnType="Quarterly")*(PayEarnValues))/MAX(1,ROUNDDOWN($AB69/3,0))*4)+(SUMPRODUCT((PayEmp=$C69)*(PayDate&lt;=$AC69)*(ISERROR(SEARCH(PayEarnCode,AQ$2)))*(PayEarnType="Bi-Annual")*(PayEarnValues))/MAX(1,ROUNDDOWN($AB69/6,0))*2)+(SUMPRODUCT((PayEmp=$C69)*(PayDate&lt;=$AC69)*(ISERROR(SEARCH(PayEarnCode,AQ$2)))*(PayEarnType="Annual")*(PayEarnValues)))),IF(ISNUMBER(OFFSET($N$3,0,MATCH(AQ$5,PayDedList,0)-1,1,1)),OFFSET($N$3,0,MATCH(AQ$5,PayDedList,0)-1,1,1),IgnoreMin)))*IF(COUNTIFS(EmpNo,$C69,OFFSET(Emp!$R$4,1,MATCH(AQ$5,DedListItem,0)-1,EmpCount,1),"&lt;&gt;")&gt;0,VLOOKUP($C69,EmpAll,COLUMN(Emp!$R$4)+MATCH(AQ$5,DedListItem,0)-1,0),OFFSET(Setup!$E$73,MATCH(AQ$5,DedListItem,0),0,1,1))*AQ$3))),IF(ISNUMBER(AQ$4),AQ$4,IgnoreMin)))))</f>
        <v>0</v>
      </c>
      <c r="AR69" s="148">
        <f t="shared" ref="AR69:AR100" ca="1" si="34">$AM69+SUM(OFFSET($AM69,0,1,1,COLUMN($AR$2)-COLUMN($AM$2)-1))</f>
        <v>180000</v>
      </c>
      <c r="AS69" s="148">
        <f t="shared" ca="1" si="11"/>
        <v>180000</v>
      </c>
      <c r="AT69" s="148" cm="1">
        <f t="array" aca="1" ref="AT69" ca="1">-IF($F69="Terminated",0,IF($AA69=0,0,IF(ISNA(MATCH(AT$5,PayDedList,0)),0,MIN(IF(COUNTIFS(OverEmp,$C69,OverDeduct,AT$5,OverDate,"&lt;"&amp;DATE(YEAR($AC69),MONTH($AC69)+1,1),OverEnd,"&gt;="&amp;DATE(YEAR($AC69),MONTH($AC69),1))&gt;0,SUMPRODUCT((PayEmp=$C69)*(PayDate&lt;=$AC69)*(OFFSET($N$6,1,MATCH(AT$5,PayDedList,0)-1,PayCount,1)))/$AA69*12*AT$3,IF(OR(AT$1="Fixed",AT$1="Not Used"),SUMPRODUCT((PayEmp=$C69)*(PayDate&lt;=$AC69)*(OFFSET($N$6,1,MATCH(AT$5,PayDedList,0)-1,PayCount,1)))/$AA69*12*AT$3,IF(ISNA(MATCH(OFFSET($N$2,0,MATCH(AT$5,PayDedList,0)-1,1,1),EarnListItem,0))=FALSE,SUMPRODUCT((PayEmp=$C69)*(PayDate&lt;=$AC69)*(OFFSET($N$6,1,MATCH(AT$5,PayDedList,0)-1,PayCount,1)))/$AA69*12*AT$3,(MIN(SUMPRODUCT((PayEmp=$C69)*(PayDate&lt;=$AC69)*(ISERROR(SEARCH(PayEarnCode,AT$2)))*(PayEarnType="Monthly")*(PayEarnValues))/$AA69*12,IF(ISNUMBER(OFFSET($N$3,0,MATCH(AT$5,PayDedList,0)-1,1,1)),OFFSET($N$3,0,MATCH(AT$5,PayDedList,0)-1,1,1),IgnoreMin)))*IF(COUNTIFS(EmpNo,$C69,OFFSET(Emp!$R$4,1,MATCH(AT$5,DedListItem,0)-1,EmpCount,1),"&lt;&gt;")&gt;0,VLOOKUP($C69,EmpAll,COLUMN(Emp!$R$4)+MATCH(AT$5,DedListItem,0)-1,0),OFFSET(Setup!$E$73,MATCH(AT$5,DedListItem,0),0,1,1))*AT$3))),IF(ISNUMBER(AT$4),AT$4,IgnoreMin)))))</f>
        <v>0</v>
      </c>
      <c r="AU69" s="148" cm="1">
        <f t="array" aca="1" ref="AU69" ca="1">-IF($F69="Terminated",0,IF($AA69=0,0,IF(ISNA(MATCH(AU$5,PayDedList,0)),0,MIN(IF(COUNTIFS(OverEmp,$C69,OverDeduct,AU$5,OverDate,"&lt;"&amp;DATE(YEAR($AC69),MONTH($AC69)+1,1),OverEnd,"&gt;="&amp;DATE(YEAR($AC69),MONTH($AC69),1))&gt;0,SUMPRODUCT((PayEmp=$C69)*(PayDate&lt;=$AC69)*(OFFSET($N$6,1,MATCH(AU$5,PayDedList,0)-1,PayCount,1)))/$AA69*12*AU$3,IF(OR(AU$1="Fixed",AU$1="Not Used"),SUMPRODUCT((PayEmp=$C69)*(PayDate&lt;=$AC69)*(OFFSET($N$6,1,MATCH(AU$5,PayDedList,0)-1,PayCount,1)))/$AA69*12*AU$3,IF(ISNA(MATCH(OFFSET($N$2,0,MATCH(AU$5,PayDedList,0)-1,1,1),EarnListItem,0))=FALSE,SUMPRODUCT((PayEmp=$C69)*(PayDate&lt;=$AC69)*(OFFSET($N$6,1,MATCH(AU$5,PayDedList,0)-1,PayCount,1)))/$AA69*12*AU$3,(MIN(SUMPRODUCT((PayEmp=$C69)*(PayDate&lt;=$AC69)*(ISERROR(SEARCH(PayEarnCode,AU$2)))*(PayEarnType="Monthly")*(PayEarnValues))/$AA69*12,IF(ISNUMBER(OFFSET($N$3,0,MATCH(AU$5,PayDedList,0)-1,1,1)),OFFSET($N$3,0,MATCH(AU$5,PayDedList,0)-1,1,1),IgnoreMin)))*IF(COUNTIFS(EmpNo,$C69,OFFSET(Emp!$R$4,1,MATCH(AU$5,DedListItem,0)-1,EmpCount,1),"&lt;&gt;")&gt;0,VLOOKUP($C69,EmpAll,COLUMN(Emp!$R$4)+MATCH(AU$5,DedListItem,0)-1,0),OFFSET(Setup!$E$73,MATCH(AU$5,DedListItem,0),0,1,1))*AU$3))),IF(ISNUMBER(AU$4),AU$4,IgnoreMin)))))</f>
        <v>0</v>
      </c>
      <c r="AV69" s="148" cm="1">
        <f t="array" aca="1" ref="AV69" ca="1">-IF($F69="Terminated",0,IF($AA69=0,0,IF(ISNA(MATCH(AV$5,PayDedList,0)),0,MIN(IF(COUNTIFS(OverEmp,$C69,OverDeduct,AV$5,OverDate,"&lt;"&amp;DATE(YEAR($AC69),MONTH($AC69)+1,1),OverEnd,"&gt;="&amp;DATE(YEAR($AC69),MONTH($AC69),1))&gt;0,SUMPRODUCT((PayEmp=$C69)*(PayDate&lt;=$AC69)*(OFFSET($N$6,1,MATCH(AV$5,PayDedList,0)-1,PayCount,1)))/$AA69*12*AV$3,IF(OR(AV$1="Fixed",AV$1="Not Used"),SUMPRODUCT((PayEmp=$C69)*(PayDate&lt;=$AC69)*(OFFSET($N$6,1,MATCH(AV$5,PayDedList,0)-1,PayCount,1)))/$AA69*12*AV$3,IF(ISNA(MATCH(OFFSET($N$2,0,MATCH(AV$5,PayDedList,0)-1,1,1),EarnListItem,0))=FALSE,SUMPRODUCT((PayEmp=$C69)*(PayDate&lt;=$AC69)*(OFFSET($N$6,1,MATCH(AV$5,PayDedList,0)-1,PayCount,1)))/$AA69*12*AV$3,(MIN(SUMPRODUCT((PayEmp=$C69)*(PayDate&lt;=$AC69)*(ISERROR(SEARCH(PayEarnCode,AV$2)))*(PayEarnType="Monthly")*(PayEarnValues))/$AA69*12,IF(ISNUMBER(OFFSET($N$3,0,MATCH(AV$5,PayDedList,0)-1,1,1)),OFFSET($N$3,0,MATCH(AV$5,PayDedList,0)-1,1,1),IgnoreMin)))*IF(COUNTIFS(EmpNo,$C69,OFFSET(Emp!$R$4,1,MATCH(AV$5,DedListItem,0)-1,EmpCount,1),"&lt;&gt;")&gt;0,VLOOKUP($C69,EmpAll,COLUMN(Emp!$R$4)+MATCH(AV$5,DedListItem,0)-1,0),OFFSET(Setup!$E$73,MATCH(AV$5,DedListItem,0),0,1,1))*AV$3))),IF(ISNUMBER(AV$4),AV$4,IgnoreMin)))))</f>
        <v>0</v>
      </c>
      <c r="AW69" s="148" cm="1">
        <f t="array" aca="1" ref="AW69" ca="1">-IF($F69="Terminated",0,IF($AA69=0,0,IF(ISNA(MATCH(AW$5,PayDedList,0)),0,MIN(IF(COUNTIFS(OverEmp,$C69,OverDeduct,AW$5,OverDate,"&lt;"&amp;DATE(YEAR($AC69),MONTH($AC69)+1,1),OverEnd,"&gt;="&amp;DATE(YEAR($AC69),MONTH($AC69),1))&gt;0,SUMPRODUCT((PayEmp=$C69)*(PayDate&lt;=$AC69)*(OFFSET($N$6,1,MATCH(AW$5,PayDedList,0)-1,PayCount,1)))/$AA69*12*AW$3,IF(OR(AW$1="Fixed",AW$1="Not Used"),SUMPRODUCT((PayEmp=$C69)*(PayDate&lt;=$AC69)*(OFFSET($N$6,1,MATCH(AW$5,PayDedList,0)-1,PayCount,1)))/$AA69*12*AW$3,IF(ISNA(MATCH(OFFSET($N$2,0,MATCH(AW$5,PayDedList,0)-1,1,1),EarnListItem,0))=FALSE,SUMPRODUCT((PayEmp=$C69)*(PayDate&lt;=$AC69)*(OFFSET($N$6,1,MATCH(AW$5,PayDedList,0)-1,PayCount,1)))/$AA69*12*AW$3,(MIN(SUMPRODUCT((PayEmp=$C69)*(PayDate&lt;=$AC69)*(ISERROR(SEARCH(PayEarnCode,AW$2)))*(PayEarnType="Monthly")*(PayEarnValues))/$AA69*12,IF(ISNUMBER(OFFSET($N$3,0,MATCH(AW$5,PayDedList,0)-1,1,1)),OFFSET($N$3,0,MATCH(AW$5,PayDedList,0)-1,1,1),IgnoreMin)))*IF(COUNTIFS(EmpNo,$C69,OFFSET(Emp!$R$4,1,MATCH(AW$5,DedListItem,0)-1,EmpCount,1),"&lt;&gt;")&gt;0,VLOOKUP($C69,EmpAll,COLUMN(Emp!$R$4)+MATCH(AW$5,DedListItem,0)-1,0),OFFSET(Setup!$E$73,MATCH(AW$5,DedListItem,0),0,1,1))*AW$3))),IF(ISNUMBER(AW$4),AW$4,IgnoreMin)))))</f>
        <v>0</v>
      </c>
      <c r="AX69" s="148">
        <f t="shared" ca="1" si="28"/>
        <v>180000</v>
      </c>
      <c r="AY69" s="148">
        <f t="shared" ca="1" si="29"/>
        <v>0</v>
      </c>
      <c r="AZ69" s="148">
        <f ca="1">IF(ISNUMBER($AL69),($AR69*$AL69)-$AI69-$AK69,MAX(0,IF($AL69="B",IF($AR69&lt;Setup!$C$32,($AR69*Setup!$D$32)-$AI69-$AK69,(($AR69-VLOOKUP($AR69,TaxAll2,1,1))*OFFSET(Setup!$D$32,MATCH($AR69,TaxBracket2,1),0,1,1))+OFFSET(Setup!$E$31,MATCH($AR69,TaxBracket2,1),0,1,1)-$AI69-$AK69),IF($AR69&lt;Setup!$C$21,($AR69*Setup!$D$21)-$AI69-$AK69,(($AR69-VLOOKUP($AR69,TaxAll1,1,1))*OFFSET(Setup!$D$21,MATCH($AR69,TaxBracket1,1),0,1,1))+OFFSET(Setup!$E$20,MATCH($AR69,TaxBracket1,1),0,1,1)-$AI69-$AK69))))</f>
        <v>10797</v>
      </c>
      <c r="BA69" s="148">
        <f ca="1">IF(ISNUMBER($AL69),($AX69*$AL69)-$AI69-$AK69,MAX(0,IF($AL69="B",IF($AX69&lt;Setup!$C$32,($AX69*Setup!$D$32)-$AI69-$AK69,(($AX69-VLOOKUP($AX69,TaxAll2,1,1))*OFFSET(Setup!$D$32,MATCH($AX69,TaxBracket2,1),0,1,1))+OFFSET(Setup!$E$31,MATCH($AX69,TaxBracket2,1),0,1,1)-$AI69-$AK69),IF($AX69&lt;Setup!$C$21,($AX69*Setup!$D$21)-$AI69-$AK69,(($AX69-VLOOKUP($AX69,TaxAll1,1,1))*OFFSET(Setup!$D$21,MATCH($AX69,TaxBracket1,1),0,1,1))+OFFSET(Setup!$E$20,MATCH($AX69,TaxBracket1,1),0,1,1)-$AI69-$AK69))))</f>
        <v>10797</v>
      </c>
      <c r="BB69" s="148">
        <f t="shared" ref="BB69:BB100" ca="1" si="35">AZ69-BA69</f>
        <v>0</v>
      </c>
      <c r="BC69" s="150">
        <f t="shared" ca="1" si="15"/>
        <v>1</v>
      </c>
      <c r="BD69" s="150">
        <f t="shared" ca="1" si="16"/>
        <v>0</v>
      </c>
      <c r="BE69" s="148">
        <f t="shared" ca="1" si="17"/>
        <v>180000</v>
      </c>
    </row>
    <row r="70" spans="1:57" ht="16.149999999999999" customHeight="1" x14ac:dyDescent="0.25">
      <c r="A70" s="10" t="str" cm="1">
        <f t="array" aca="1" ref="A70" ca="1">IF(ROW($A70)-ROW($A$6)&gt;EmpCount*12,"-",TEXT($B70,"yyyy")&amp;TEXT($B70,"mm")&amp;"-"&amp;$C70)</f>
        <v>202307-EXS004</v>
      </c>
      <c r="B70" s="137" cm="1">
        <f t="array" aca="1" ref="B70" ca="1">IF(ROW($A70)-ROW($A$6)&gt;EmpCount*12,Setup!$D$12,DATE(YEAR(Setup!$F$12),MONTH(Setup!$F$12)+ROUNDDOWN((ROW($A70)-ROW($A$6)-1)/EmpCount,0),IF(Setup!$C$14&gt;DAY(DATE(YEAR(Setup!$F$12),MONTH(Setup!$F$12)+ROUNDDOWN((ROW($A70)-ROW($A$6)-1)/EmpCount,0)+1,0)),DAY(DATE(YEAR(Setup!$F$12),MONTH(Setup!$F$12)+ROUNDDOWN((ROW($A70)-ROW($A$6)-1)/EmpCount,0)+1,0)),Setup!$C$14)))</f>
        <v>45132</v>
      </c>
      <c r="C70" s="101" t="str" cm="1">
        <f t="array" aca="1" ref="C70" ca="1">IF(ROW($A70)-ROW($A$6)&gt;EmpCount*12,"-",OFFSET(Emp!$A$4,ROW($A70)-ROW($A$6)-IF(ROW($A70)-ROW($A$6)&gt;EmpCount,ROUNDDOWN((ROW($A70)-ROW($A$6)-1)/EmpCount,0)*EmpCount,0),0,1,1))</f>
        <v>EXS004</v>
      </c>
      <c r="D70" s="10" t="str">
        <f ca="1">IF(ISNA(VLOOKUP($C70,EmpAll,COLUMN(Emp!$B$4),0)),"-",VLOOKUP($C70,EmpAll,COLUMN(Emp!$B$4),0))</f>
        <v>Osborne S</v>
      </c>
      <c r="E70" s="145" t="str">
        <f ca="1">IF(ISNA(VLOOKUP($C70,EmpAll,COLUMN(Emp!$C$4),0)),"-",VLOOKUP($C70,EmpAll,COLUMN(Emp!$C$4),0))</f>
        <v>S</v>
      </c>
      <c r="F70" s="101" t="str">
        <f ca="1">IF(ISNA(VLOOKUP($C70,EmpAll,COLUMN(Emp!$A$4),0)),"-",IF(AND(VLOOKUP($C70,EmpAll,COLUMN(Emp!$E$4),0)&lt;&gt;0,VLOOKUP($C70,EmpAll,COLUMN(Emp!$E$4),0)&gt;=DATE(YEAR($AC70),MONTH($AC70)+1,0)),"Inactive",IF(AND(VLOOKUP($C70,EmpAll,COLUMN(Emp!$F$4),0)&lt;&gt;0,VLOOKUP($C70,EmpAll,COLUMN(Emp!$F$4),0)&lt;=DATE(YEAR($AC70),MONTH($AC70),0)),"Terminated","Active")))</f>
        <v>Active</v>
      </c>
      <c r="G70" s="133" cm="1">
        <f t="array" aca="1" ref="G70" ca="1">IF($F70&lt;&gt;"Active",0,IF(COUNTIFS(OverEmp,$C70,OverEarn,G$2,OverDate,"&lt;"&amp;DATE(YEAR($AC70),MONTH($AC70)+1,1),OverEnd,"&gt;="&amp;DATE(YEAR($AC70),MONTH($AC70),1))&gt;0,SUMIFS(OverValue,OverEmp,$C70,OverEarn,G$2,OverDate,"&lt;"&amp;DATE(YEAR($AC70),MONTH($AC70)+1,1),OverEnd,"&gt;="&amp;DATE(YEAR($AC70),MONTH($AC70),1)),IF(AND($AC70&gt;=Setup!$E$10,SUMIFS(EmpIncrease,EmpCode,$C70)&gt;0),SUMIFS(EmpIncrease,EmpCode,$C70),SUMIFS(EmpSalary,EmpCode,$C70))))</f>
        <v>15000</v>
      </c>
      <c r="H70" s="133" cm="1">
        <f t="array" aca="1" ref="H70" ca="1">IF($F70&lt;&gt;"Active",0,IF(COUNTIFS(OverEmp,$C70,OverEarn,H$2,OverDate,"&lt;"&amp;DATE(YEAR($AC70),MONTH($AC70)+1,1),OverEnd,"&gt;="&amp;DATE(YEAR($AC70),MONTH($AC70),1))&gt;0,SUMIFS(OverValue,OverEmp,$C70,OverEarn,H$2,OverDate,"&lt;"&amp;DATE(YEAR($AC70),MONTH($AC70)+1,1),OverEnd,"&gt;="&amp;DATE(YEAR($AC70),MONTH($AC70),1)),0))</f>
        <v>0</v>
      </c>
      <c r="I70" s="133" cm="1">
        <f t="array" aca="1" ref="I70" ca="1">IF($F70&lt;&gt;"Active",0,IF(COUNTIFS(OverEmp,$C70,OverEarn,I$2,OverDate,"&lt;"&amp;DATE(YEAR($AC70),MONTH($AC70)+1,1),OverEnd,"&gt;="&amp;DATE(YEAR($AC70),MONTH($AC70),1))&gt;0,SUMIFS(OverValue,OverEmp,$C70,OverEarn,I$2,OverDate,"&lt;"&amp;DATE(YEAR($AC70),MONTH($AC70)+1,1),OverEnd,"&gt;="&amp;DATE(YEAR($AC70),MONTH($AC70),1)),IF(MONTH(B70)=Setup!$C$15,SUMIFS(EmpBonus,EmpCode,$C70),0)))</f>
        <v>0</v>
      </c>
      <c r="J70" s="133" cm="1">
        <f t="array" aca="1" ref="J70" ca="1">IF($F70&lt;&gt;"Active",0,IF(COUNTIFS(OverEmp,$C70,OverEarn,J$2,OverDate,"&lt;"&amp;DATE(YEAR($AC70),MONTH($AC70)+1,1),OverEnd,"&gt;="&amp;DATE(YEAR($AC70),MONTH($AC70),1))&gt;0,SUMIFS(OverValue,OverEmp,$C70,OverEarn,J$2,OverDate,"&lt;"&amp;DATE(YEAR($AC70),MONTH($AC70)+1,1),OverEnd,"&gt;="&amp;DATE(YEAR($AC70),MONTH($AC70),1)),0))</f>
        <v>0</v>
      </c>
      <c r="K70" s="133" cm="1">
        <f t="array" aca="1" ref="K70" ca="1">IF($F70&lt;&gt;"Active",0,IF(COUNTIFS(OverEmp,$C70,OverEarn,K$2,OverDate,"&lt;"&amp;DATE(YEAR($AC70),MONTH($AC70)+1,1),OverEnd,"&gt;="&amp;DATE(YEAR($AC70),MONTH($AC70),1))&gt;0,SUMIFS(OverValue,OverEmp,$C70,OverEarn,K$2,OverDate,"&lt;"&amp;DATE(YEAR($AC70),MONTH($AC70)+1,1),OverEnd,"&gt;="&amp;DATE(YEAR($AC70),MONTH($AC70),1)),0))</f>
        <v>0</v>
      </c>
      <c r="L70" s="185">
        <f t="shared" ca="1" si="24"/>
        <v>15000</v>
      </c>
      <c r="M70" s="182" cm="1">
        <f t="array" aca="1" ref="M70" ca="1">IF(COUNTIFS(OverEmp,$C70,OverTax,M$5,OverDate,"&lt;"&amp;DATE(YEAR($AC70),MONTH($AC70)+1,1),OverEnd,"&gt;="&amp;DATE(YEAR($AC70),MONTH($AC70),1))&gt;0,SUMIFS(OverValue,OverEmp,$C70,OverTax,M$5,OverDate,"&lt;"&amp;DATE(YEAR($AC70),MONTH($AC70)+1,1),OverEnd,"&gt;="&amp;DATE(YEAR($AC70),MONTH($AC70),1)),(($BA70/12*$AA70)+(BB70*IF(1-$BC70=0,0,BD70/(1-$BC70))))-IF($F70="Terminated",0,SUMIFS(PayTaxDeduct,PayDate,"&lt;"&amp;$AC70,PayEmp,$C70)))</f>
        <v>899.75</v>
      </c>
      <c r="N70" s="133" cm="1">
        <f t="array" aca="1" ref="N70" ca="1">IF($F70="Terminated",0,IF($AA70=0,0,IF(ISNA(MATCH(N$5,DedListItem,0)),0,IF(COUNTIFS(OverEmp,$C70,OverDeduct,N$5,OverDate,"&lt;"&amp;DATE(YEAR($AC70),MONTH($AC70)+1,1),OverEnd,"&gt;="&amp;DATE(YEAR($AC70),MONTH($AC70),1))&gt;0,SUMIFS(OverValue,OverEmp,$C70,OverDeduct,N$5,OverDate,"&lt;"&amp;DATE(YEAR($AC70),MONTH($AC70)+1,1),OverEnd,"&gt;="&amp;DATE(YEAR($AC70),MONTH($AC70),1)),IF(OR(N$2="Fixed",N$2="Not Used"),(IF(COUNTIFS(EmpNo,$C70,OFFSET(Emp!$R$4,1,MATCH(N$5,DedListItem,0)-1,EmpCount,1),"&lt;&gt;")&gt;0,VLOOKUP($C70,EmpAll,COLUMN(Emp!$R$4)+MATCH(N$5,DedListItem,0)-1,0),OFFSET(Setup!$E$73,MATCH(N$5,DedListItem,0),0,1,1))*$AA70)-SUMIFS(OFFSET(N$6,1,0,PayCount,1),PayDate,"&lt;"&amp;$AC70,PayEmp,$C70),IF(ISNA(MATCH(N$2,EarnListItem,0))=FALSE,IF(OFFSET(Setup!$G$73,MATCH(N$5,DedListItem,0),0,1,1)="Taxable",SUMPRODUCT((PayEmp=$C70)*(PayDate&lt;=$AC70)*(PayEarnCode=N$2)*(PayEarnTax)*(PayEarnValues)),SUMPRODUCT((PayEmp=$C70)*(PayDate&lt;=$AC70)*(PayEarnCode=N$2)*(PayEarnValues)))*IF(COUNTIFS(EmpNo,$C70,OFFSET(Emp!$R$4,1,MATCH(N$5,DedListItem,0)-1,EmpCount,1),"&lt;&gt;")&gt;0,VLOOKUP($C70,EmpAll,COLUMN(Emp!$R$4)+MATCH(N$5,DedListItem,0)-1,0),OFFSET(Setup!$E$73,MATCH(N$5,DedListItem,0),0,1,1)),(MIN(IF(OFFSET(Setup!$G$73,MATCH(N$5,DedListItem,0),0,1,1)="Taxable",SUMPRODUCT((PayEmp=$C70)*(PayDate&lt;=$AC70)*(ISERROR(SEARCH(PayEarnCode,N$4)))*(PayEarnTax)*(PayEarnValues)),SUMPRODUCT((PayEmp=$C70)*(PayDate&lt;=$AC70)*(ISERROR(SEARCH(PayEarnCode,N$4)))*(PayEarnValues))),IF(ISNUMBER(N$3),N$3/12*$AA70,IgnoreMin)))*IF(COUNTIFS(EmpNo,$C70,OFFSET(Emp!$R$4,1,MATCH(N$5,DedListItem,0)-1,EmpCount,1),"&lt;&gt;")&gt;0,VLOOKUP($C70,EmpAll,COLUMN(Emp!$R$4)+MATCH(N$5,DedListItem,0)-1,0),OFFSET(Setup!$E$73,MATCH(N$5,DedListItem,0),0,1,1)))-SUMIFS(OFFSET(N$6,1,0,PayCount,1),PayDate,"&lt;"&amp;$AC70,PayEmp,$C70))))))</f>
        <v>150</v>
      </c>
      <c r="O70" s="133" cm="1">
        <f t="array" aca="1" ref="O70" ca="1">IF($F70="Terminated",0,IF($AA70=0,0,IF(ISNA(MATCH(O$5,DedListItem,0)),0,IF(COUNTIFS(OverEmp,$C70,OverDeduct,O$5,OverDate,"&lt;"&amp;DATE(YEAR($AC70),MONTH($AC70)+1,1),OverEnd,"&gt;="&amp;DATE(YEAR($AC70),MONTH($AC70),1))&gt;0,SUMIFS(OverValue,OverEmp,$C70,OverDeduct,O$5,OverDate,"&lt;"&amp;DATE(YEAR($AC70),MONTH($AC70)+1,1),OverEnd,"&gt;="&amp;DATE(YEAR($AC70),MONTH($AC70),1)),IF(OR(O$2="Fixed",O$2="Not Used"),(IF(COUNTIFS(EmpNo,$C70,OFFSET(Emp!$R$4,1,MATCH(O$5,DedListItem,0)-1,EmpCount,1),"&lt;&gt;")&gt;0,VLOOKUP($C70,EmpAll,COLUMN(Emp!$R$4)+MATCH(O$5,DedListItem,0)-1,0),OFFSET(Setup!$E$73,MATCH(O$5,DedListItem,0),0,1,1))*$AA70)-SUMIFS(OFFSET(O$6,1,0,PayCount,1),PayDate,"&lt;"&amp;$AC70,PayEmp,$C70),IF(ISNA(MATCH(O$2,EarnListItem,0))=FALSE,IF(OFFSET(Setup!$G$73,MATCH(O$5,DedListItem,0),0,1,1)="Taxable",SUMPRODUCT((PayEmp=$C70)*(PayDate&lt;=$AC70)*(PayEarnCode=O$2)*(PayEarnTax)*(PayEarnValues)),SUMPRODUCT((PayEmp=$C70)*(PayDate&lt;=$AC70)*(PayEarnCode=O$2)*(PayEarnValues)))*IF(COUNTIFS(EmpNo,$C70,OFFSET(Emp!$R$4,1,MATCH(O$5,DedListItem,0)-1,EmpCount,1),"&lt;&gt;")&gt;0,VLOOKUP($C70,EmpAll,COLUMN(Emp!$R$4)+MATCH(O$5,DedListItem,0)-1,0),OFFSET(Setup!$E$73,MATCH(O$5,DedListItem,0),0,1,1)),(MIN(IF(OFFSET(Setup!$G$73,MATCH(O$5,DedListItem,0),0,1,1)="Taxable",SUMPRODUCT((PayEmp=$C70)*(PayDate&lt;=$AC70)*(ISERROR(SEARCH(PayEarnCode,O$4)))*(PayEarnTax)*(PayEarnValues)),SUMPRODUCT((PayEmp=$C70)*(PayDate&lt;=$AC70)*(ISERROR(SEARCH(PayEarnCode,O$4)))*(PayEarnValues))),IF(ISNUMBER(O$3),O$3/12*$AA70,IgnoreMin)))*IF(COUNTIFS(EmpNo,$C70,OFFSET(Emp!$R$4,1,MATCH(O$5,DedListItem,0)-1,EmpCount,1),"&lt;&gt;")&gt;0,VLOOKUP($C70,EmpAll,COLUMN(Emp!$R$4)+MATCH(O$5,DedListItem,0)-1,0),OFFSET(Setup!$E$73,MATCH(O$5,DedListItem,0),0,1,1)))-SUMIFS(OFFSET(O$6,1,0,PayCount,1),PayDate,"&lt;"&amp;$AC70,PayEmp,$C70))))))</f>
        <v>0</v>
      </c>
      <c r="P70" s="133" cm="1">
        <f t="array" aca="1" ref="P70" ca="1">IF($F70="Terminated",0,IF($AA70=0,0,IF(ISNA(MATCH(P$5,DedListItem,0)),0,IF(COUNTIFS(OverEmp,$C70,OverDeduct,P$5,OverDate,"&lt;"&amp;DATE(YEAR($AC70),MONTH($AC70)+1,1),OverEnd,"&gt;="&amp;DATE(YEAR($AC70),MONTH($AC70),1))&gt;0,SUMIFS(OverValue,OverEmp,$C70,OverDeduct,P$5,OverDate,"&lt;"&amp;DATE(YEAR($AC70),MONTH($AC70)+1,1),OverEnd,"&gt;="&amp;DATE(YEAR($AC70),MONTH($AC70),1)),IF(OR(P$2="Fixed",P$2="Not Used"),(IF(COUNTIFS(EmpNo,$C70,OFFSET(Emp!$R$4,1,MATCH(P$5,DedListItem,0)-1,EmpCount,1),"&lt;&gt;")&gt;0,VLOOKUP($C70,EmpAll,COLUMN(Emp!$R$4)+MATCH(P$5,DedListItem,0)-1,0),OFFSET(Setup!$E$73,MATCH(P$5,DedListItem,0),0,1,1))*$AA70)-SUMIFS(OFFSET(P$6,1,0,PayCount,1),PayDate,"&lt;"&amp;$AC70,PayEmp,$C70),IF(ISNA(MATCH(P$2,EarnListItem,0))=FALSE,IF(OFFSET(Setup!$G$73,MATCH(P$5,DedListItem,0),0,1,1)="Taxable",SUMPRODUCT((PayEmp=$C70)*(PayDate&lt;=$AC70)*(PayEarnCode=P$2)*(PayEarnTax)*(PayEarnValues)),SUMPRODUCT((PayEmp=$C70)*(PayDate&lt;=$AC70)*(PayEarnCode=P$2)*(PayEarnValues)))*IF(COUNTIFS(EmpNo,$C70,OFFSET(Emp!$R$4,1,MATCH(P$5,DedListItem,0)-1,EmpCount,1),"&lt;&gt;")&gt;0,VLOOKUP($C70,EmpAll,COLUMN(Emp!$R$4)+MATCH(P$5,DedListItem,0)-1,0),OFFSET(Setup!$E$73,MATCH(P$5,DedListItem,0),0,1,1)),(MIN(IF(OFFSET(Setup!$G$73,MATCH(P$5,DedListItem,0),0,1,1)="Taxable",SUMPRODUCT((PayEmp=$C70)*(PayDate&lt;=$AC70)*(ISERROR(SEARCH(PayEarnCode,P$4)))*(PayEarnTax)*(PayEarnValues)),SUMPRODUCT((PayEmp=$C70)*(PayDate&lt;=$AC70)*(ISERROR(SEARCH(PayEarnCode,P$4)))*(PayEarnValues))),IF(ISNUMBER(P$3),P$3/12*$AA70,IgnoreMin)))*IF(COUNTIFS(EmpNo,$C70,OFFSET(Emp!$R$4,1,MATCH(P$5,DedListItem,0)-1,EmpCount,1),"&lt;&gt;")&gt;0,VLOOKUP($C70,EmpAll,COLUMN(Emp!$R$4)+MATCH(P$5,DedListItem,0)-1,0),OFFSET(Setup!$E$73,MATCH(P$5,DedListItem,0),0,1,1)))-SUMIFS(OFFSET(P$6,1,0,PayCount,1),PayDate,"&lt;"&amp;$AC70,PayEmp,$C70))))))</f>
        <v>500</v>
      </c>
      <c r="Q70" s="133" cm="1">
        <f t="array" aca="1" ref="Q70" ca="1">IF($F70="Terminated",0,IF($AA70=0,0,IF(ISNA(MATCH(Q$5,DedListItem,0)),0,IF(COUNTIFS(OverEmp,$C70,OverDeduct,Q$5,OverDate,"&lt;"&amp;DATE(YEAR($AC70),MONTH($AC70)+1,1),OverEnd,"&gt;="&amp;DATE(YEAR($AC70),MONTH($AC70),1))&gt;0,SUMIFS(OverValue,OverEmp,$C70,OverDeduct,Q$5,OverDate,"&lt;"&amp;DATE(YEAR($AC70),MONTH($AC70)+1,1),OverEnd,"&gt;="&amp;DATE(YEAR($AC70),MONTH($AC70),1)),IF(OR(Q$2="Fixed",Q$2="Not Used"),(IF(COUNTIFS(EmpNo,$C70,OFFSET(Emp!$R$4,1,MATCH(Q$5,DedListItem,0)-1,EmpCount,1),"&lt;&gt;")&gt;0,VLOOKUP($C70,EmpAll,COLUMN(Emp!$R$4)+MATCH(Q$5,DedListItem,0)-1,0),OFFSET(Setup!$E$73,MATCH(Q$5,DedListItem,0),0,1,1))*$AA70)-SUMIFS(OFFSET(Q$6,1,0,PayCount,1),PayDate,"&lt;"&amp;$AC70,PayEmp,$C70),IF(ISNA(MATCH(Q$2,EarnListItem,0))=FALSE,IF(OFFSET(Setup!$G$73,MATCH(Q$5,DedListItem,0),0,1,1)="Taxable",SUMPRODUCT((PayEmp=$C70)*(PayDate&lt;=$AC70)*(PayEarnCode=Q$2)*(PayEarnTax)*(PayEarnValues)),SUMPRODUCT((PayEmp=$C70)*(PayDate&lt;=$AC70)*(PayEarnCode=Q$2)*(PayEarnValues)))*IF(COUNTIFS(EmpNo,$C70,OFFSET(Emp!$R$4,1,MATCH(Q$5,DedListItem,0)-1,EmpCount,1),"&lt;&gt;")&gt;0,VLOOKUP($C70,EmpAll,COLUMN(Emp!$R$4)+MATCH(Q$5,DedListItem,0)-1,0),OFFSET(Setup!$E$73,MATCH(Q$5,DedListItem,0),0,1,1)),(MIN(IF(OFFSET(Setup!$G$73,MATCH(Q$5,DedListItem,0),0,1,1)="Taxable",SUMPRODUCT((PayEmp=$C70)*(PayDate&lt;=$AC70)*(ISERROR(SEARCH(PayEarnCode,Q$4)))*(PayEarnTax)*(PayEarnValues)),SUMPRODUCT((PayEmp=$C70)*(PayDate&lt;=$AC70)*(ISERROR(SEARCH(PayEarnCode,Q$4)))*(PayEarnValues))),IF(ISNUMBER(Q$3),Q$3/12*$AA70,IgnoreMin)))*IF(COUNTIFS(EmpNo,$C70,OFFSET(Emp!$R$4,1,MATCH(Q$5,DedListItem,0)-1,EmpCount,1),"&lt;&gt;")&gt;0,VLOOKUP($C70,EmpAll,COLUMN(Emp!$R$4)+MATCH(Q$5,DedListItem,0)-1,0),OFFSET(Setup!$E$73,MATCH(Q$5,DedListItem,0),0,1,1)))-SUMIFS(OFFSET(Q$6,1,0,PayCount,1),PayDate,"&lt;"&amp;$AC70,PayEmp,$C70))))))</f>
        <v>0</v>
      </c>
      <c r="R70" s="185">
        <f t="shared" ca="1" si="25"/>
        <v>1549.75</v>
      </c>
      <c r="S70" s="139">
        <f t="shared" ca="1" si="26"/>
        <v>13450.25</v>
      </c>
      <c r="T70" s="133" cm="1">
        <f t="array" aca="1" ref="T70" ca="1">IF($F70="Terminated",0,IF($AA70=0,0,IF(ISNA(MATCH(T$5,CompListItem,0)),0,IF(COUNTIFS(OverEmp,$C70,OverComp,T$5,OverDate,"&lt;"&amp;DATE(YEAR($AC70),MONTH($AC70)+1,1),OverEnd,"&gt;="&amp;DATE(YEAR($AC70),MONTH($AC70),1))&gt;0,SUMIFS(OverValue,OverEmp,$C70,OverComp,T$5,OverDate,"&lt;"&amp;DATE(YEAR($AC70),MONTH($AC70)+1,1),OverEnd,"&gt;="&amp;DATE(YEAR($AC70),MONTH($AC70),1)),IF(OR(T$2="Fixed",T$2="Not Used"),(OFFSET(Setup!$E$81,MATCH(T$5,CompListItem,0),0,1,1)*$AA70)-SUMIFS(OFFSET(T$6,1,0,PayCount,1),PayDate,"&lt;"&amp;$AC70,PayEmp,$C70),IF(ISNA(MATCH(T$2,DedListItem,0))=FALSE,(SUMPRODUCT((PayEmp=$C70)*(PayDate&lt;=$AC70)*(PayDedList=T$2)*(PayDedValues))*OFFSET(Setup!$E$81,MATCH(T$5,CompListItem,0),0,1,1))-SUMIFS(OFFSET(T$6,1,0,PayCount,1),PayDate,"&lt;"&amp;$AC70,PayEmp,$C70),(MIN(IF(OFFSET(Setup!$G$81,MATCH(T$5,CompListItem,0),0,1,1)="Taxable",SUMPRODUCT((PayEmp=$C70)*(PayDate&lt;=$AC70)*(ISERROR(SEARCH(PayEarnCode,T$4)))*(PayEarnTax)*(PayEarnValues)),SUMPRODUCT((PayEmp=$C70)*(PayDate&lt;=$AC70)*(ISERROR(SEARCH(PayEarnCode,T$4)))*(PayEarnValues))),IF(ISNUMBER(T$3),T$3/12*$AA70,IgnoreMin)))*OFFSET(Setup!$E$81,MATCH(T$5,CompListItem,0),0,1,1)-SUMIFS(OFFSET(T$6,1,0,PayCount,1),PayDate,"&lt;"&amp;$AC70,PayEmp,$C70)))))))</f>
        <v>150</v>
      </c>
      <c r="U70" s="133" cm="1">
        <f t="array" aca="1" ref="U70" ca="1">IF($F70="Terminated",0,IF($AA70=0,0,IF(ISNA(MATCH(U$5,CompListItem,0)),0,IF(COUNTIFS(OverEmp,$C70,OverComp,U$5,OverDate,"&lt;"&amp;DATE(YEAR($AC70),MONTH($AC70)+1,1),OverEnd,"&gt;="&amp;DATE(YEAR($AC70),MONTH($AC70),1))&gt;0,SUMIFS(OverValue,OverEmp,$C70,OverComp,U$5,OverDate,"&lt;"&amp;DATE(YEAR($AC70),MONTH($AC70)+1,1),OverEnd,"&gt;="&amp;DATE(YEAR($AC70),MONTH($AC70),1)),IF(OR(U$2="Fixed",U$2="Not Used"),(OFFSET(Setup!$E$81,MATCH(U$5,CompListItem,0),0,1,1)*$AA70)-SUMIFS(OFFSET(U$6,1,0,PayCount,1),PayDate,"&lt;"&amp;$AC70,PayEmp,$C70),IF(ISNA(MATCH(U$2,DedListItem,0))=FALSE,(SUMPRODUCT((PayEmp=$C70)*(PayDate&lt;=$AC70)*(PayDedList=U$2)*(PayDedValues))*OFFSET(Setup!$E$81,MATCH(U$5,CompListItem,0),0,1,1))-SUMIFS(OFFSET(U$6,1,0,PayCount,1),PayDate,"&lt;"&amp;$AC70,PayEmp,$C70),(MIN(IF(OFFSET(Setup!$G$81,MATCH(U$5,CompListItem,0),0,1,1)="Taxable",SUMPRODUCT((PayEmp=$C70)*(PayDate&lt;=$AC70)*(ISERROR(SEARCH(PayEarnCode,U$4)))*(PayEarnTax)*(PayEarnValues)),SUMPRODUCT((PayEmp=$C70)*(PayDate&lt;=$AC70)*(ISERROR(SEARCH(PayEarnCode,U$4)))*(PayEarnValues))),IF(ISNUMBER(U$3),U$3/12*$AA70,IgnoreMin)))*OFFSET(Setup!$E$81,MATCH(U$5,CompListItem,0),0,1,1)-SUMIFS(OFFSET(U$6,1,0,PayCount,1),PayDate,"&lt;"&amp;$AC70,PayEmp,$C70)))))))</f>
        <v>150</v>
      </c>
      <c r="V70" s="133" cm="1">
        <f t="array" aca="1" ref="V70" ca="1">IF($F70="Terminated",0,IF($AA70=0,0,IF(ISNA(MATCH(V$5,CompListItem,0)),0,IF(COUNTIFS(OverEmp,$C70,OverComp,V$5,OverDate,"&lt;"&amp;DATE(YEAR($AC70),MONTH($AC70)+1,1),OverEnd,"&gt;="&amp;DATE(YEAR($AC70),MONTH($AC70),1))&gt;0,SUMIFS(OverValue,OverEmp,$C70,OverComp,V$5,OverDate,"&lt;"&amp;DATE(YEAR($AC70),MONTH($AC70)+1,1),OverEnd,"&gt;="&amp;DATE(YEAR($AC70),MONTH($AC70),1)),IF(OR(V$2="Fixed",V$2="Not Used"),(OFFSET(Setup!$E$81,MATCH(V$5,CompListItem,0),0,1,1)*$AA70)-SUMIFS(OFFSET(V$6,1,0,PayCount,1),PayDate,"&lt;"&amp;$AC70,PayEmp,$C70),IF(ISNA(MATCH(V$2,DedListItem,0))=FALSE,(SUMPRODUCT((PayEmp=$C70)*(PayDate&lt;=$AC70)*(PayDedList=V$2)*(PayDedValues))*OFFSET(Setup!$E$81,MATCH(V$5,CompListItem,0),0,1,1))-SUMIFS(OFFSET(V$6,1,0,PayCount,1),PayDate,"&lt;"&amp;$AC70,PayEmp,$C70),(MIN(IF(OFFSET(Setup!$G$81,MATCH(V$5,CompListItem,0),0,1,1)="Taxable",SUMPRODUCT((PayEmp=$C70)*(PayDate&lt;=$AC70)*(ISERROR(SEARCH(PayEarnCode,V$4)))*(PayEarnTax)*(PayEarnValues)),SUMPRODUCT((PayEmp=$C70)*(PayDate&lt;=$AC70)*(ISERROR(SEARCH(PayEarnCode,V$4)))*(PayEarnValues))),IF(ISNUMBER(V$3),V$3/12*$AA70,IgnoreMin)))*OFFSET(Setup!$E$81,MATCH(V$5,CompListItem,0),0,1,1)-SUMIFS(OFFSET(V$6,1,0,PayCount,1),PayDate,"&lt;"&amp;$AC70,PayEmp,$C70)))))))</f>
        <v>0</v>
      </c>
      <c r="W70" s="133" cm="1">
        <f t="array" aca="1" ref="W70" ca="1">IF($F70="Terminated",0,IF($AA70=0,0,IF(ISNA(MATCH(W$5,CompListItem,0)),0,IF(COUNTIFS(OverEmp,$C70,OverComp,W$5,OverDate,"&lt;"&amp;DATE(YEAR($AC70),MONTH($AC70)+1,1),OverEnd,"&gt;="&amp;DATE(YEAR($AC70),MONTH($AC70),1))&gt;0,SUMIFS(OverValue,OverEmp,$C70,OverComp,W$5,OverDate,"&lt;"&amp;DATE(YEAR($AC70),MONTH($AC70)+1,1),OverEnd,"&gt;="&amp;DATE(YEAR($AC70),MONTH($AC70),1)),IF(OR(W$2="Fixed",W$2="Not Used"),(OFFSET(Setup!$E$81,MATCH(W$5,CompListItem,0),0,1,1)*$AA70)-SUMIFS(OFFSET(W$6,1,0,PayCount,1),PayDate,"&lt;"&amp;$AC70,PayEmp,$C70),IF(ISNA(MATCH(W$2,DedListItem,0))=FALSE,(SUMPRODUCT((PayEmp=$C70)*(PayDate&lt;=$AC70)*(PayDedList=W$2)*(PayDedValues))*OFFSET(Setup!$E$81,MATCH(W$5,CompListItem,0),0,1,1))-SUMIFS(OFFSET(W$6,1,0,PayCount,1),PayDate,"&lt;"&amp;$AC70,PayEmp,$C70),(MIN(IF(OFFSET(Setup!$G$81,MATCH(W$5,CompListItem,0),0,1,1)="Taxable",SUMPRODUCT((PayEmp=$C70)*(PayDate&lt;=$AC70)*(ISERROR(SEARCH(PayEarnCode,W$4)))*(PayEarnTax)*(PayEarnValues)),SUMPRODUCT((PayEmp=$C70)*(PayDate&lt;=$AC70)*(ISERROR(SEARCH(PayEarnCode,W$4)))*(PayEarnValues))),IF(ISNUMBER(W$3),W$3/12*$AA70,IgnoreMin)))*OFFSET(Setup!$E$81,MATCH(W$5,CompListItem,0),0,1,1)-SUMIFS(OFFSET(W$6,1,0,PayCount,1),PayDate,"&lt;"&amp;$AC70,PayEmp,$C70)))))))</f>
        <v>0</v>
      </c>
      <c r="X70" s="185">
        <f t="shared" ca="1" si="30"/>
        <v>300</v>
      </c>
      <c r="Y70" s="139">
        <f t="shared" ca="1" si="27"/>
        <v>15300</v>
      </c>
      <c r="Z70" s="139">
        <f t="shared" ca="1" si="31"/>
        <v>1849.75</v>
      </c>
      <c r="AA70" s="146">
        <f ca="1">IF(OR($B70&lt;=Setup!$E$12,$B70&gt;=Setup!$D$12+1),0,IF($F70&lt;&gt;"Active",0,IF($AE70="Yes",$AB70,((YEAR($AC70)*12)+MONTH($AC70))-((YEAR($AD70)*12)+MONTH($AD70)-1))))</f>
        <v>5</v>
      </c>
      <c r="AB70" s="146">
        <f ca="1">IF(OR($B70&lt;=Setup!$E$12,$B70&gt;=Setup!$D$12+1),0,((YEAR($AC70)*12)+MONTH($AC70))-((YEAR(Setup!$E$12)*12)+MONTH(Setup!$E$12)))</f>
        <v>5</v>
      </c>
      <c r="AC70" s="186">
        <f t="shared" ca="1" si="32"/>
        <v>45132</v>
      </c>
      <c r="AD70" s="144">
        <f ca="1">IF(ISNA(VLOOKUP($C70,EmpAll,COLUMN(Emp!$E$4),0)),$AC70,IF(VLOOKUP($C70,EmpAll,COLUMN(Emp!$E$4),0)&lt;=Setup!$E$12,DATE(YEAR(Setup!$E$12),MONTH(Setup!$E$12)+1,1),VLOOKUP($C70,EmpAll,COLUMN(Emp!$E$4),0)))</f>
        <v>44986</v>
      </c>
      <c r="AE70" s="144" t="str">
        <f ca="1">IF(ISNA(VLOOKUP($C70,EmpAll,COLUMN(Emp!$G$1),0)),"-",IF(VLOOKUP($C70,EmpAll,COLUMN(Emp!$G$1),0)=0,"-",VLOOKUP($C70,EmpAll,COLUMN(Emp!$G$1),0)))</f>
        <v>-</v>
      </c>
      <c r="AF70" s="145">
        <f ca="1">IF(A70=PaySlip!$G$3,1,0)</f>
        <v>0</v>
      </c>
      <c r="AG70" s="130" cm="1">
        <f t="array" aca="1" ref="AG70" ca="1">IF(COUNTIFS(OverEmp,$C70,OverMed,"MED",OverDate,"&lt;"&amp;DATE(YEAR($AC70),MONTH($AC70)+1,1),OverEnd,"&gt;="&amp;DATE(YEAR($AC70),MONTH($AC70),1))&gt;0,SUMIFS(OverValue,OverEmp,$C70,OverMed,"MED",OverDate,"&lt;"&amp;DATE(YEAR($AC70),MONTH($AC70)+1,1),OverEnd,"&gt;="&amp;DATE(YEAR($AC70),MONTH($AC70),1)),IF(ISNA(VLOOKUP($C70,EmpAll,COLUMN(Emp!$N$4),0)),0,VLOOKUP($C70,EmpAll,COLUMN(Emp!$N$4),0)))</f>
        <v>1</v>
      </c>
      <c r="AH70" s="146">
        <f ca="1">VLOOKUP($AG70,MedList,COLUMN(Setup!$C$49),1)</f>
        <v>364</v>
      </c>
      <c r="AI70" s="146">
        <f t="shared" ca="1" si="7"/>
        <v>4368</v>
      </c>
      <c r="AJ70" s="101" t="str">
        <f ca="1">IF(ISNA(VLOOKUP($C70,EmpAll,COLUMN(Emp!$L$4),0)),"None!",VLOOKUP($C70,EmpAll,COLUMN(Emp!$L$4),0))</f>
        <v>A</v>
      </c>
      <c r="AK70" s="147">
        <f t="shared" ca="1" si="33"/>
        <v>17235</v>
      </c>
      <c r="AL70" s="101" t="str">
        <f ca="1">IF(ISNA(VLOOKUP($C70,Employees[],COLUMN(Emp!$M$4),0))=TRUE,"Error!",IF(VLOOKUP($C70,Employees[],COLUMN(Emp!$M$4),0)=0,"Yes",VLOOKUP($C70,Employees[],COLUMN(Emp!$M$4),0)))</f>
        <v>A</v>
      </c>
      <c r="AM70" s="148">
        <f t="shared" ca="1" si="9"/>
        <v>183600</v>
      </c>
      <c r="AN70" s="148" cm="1">
        <f t="array" aca="1" ref="AN70" ca="1">-IF($F70="Terminated",0,IF($AA70=0,0,IF(ISNA(MATCH(AN$5,PayDedList,0)),0,MIN(IF(COUNTIFS(OverEmp,$C70,OverDeduct,AN$5,OverDate,"&lt;"&amp;DATE(YEAR($AC70),MONTH($AC70)+1,1),OverEnd,"&gt;="&amp;DATE(YEAR($AC70),MONTH($AC70),1))&gt;0,SUMPRODUCT((PayEmp=$C70)*(PayDate&lt;=$AC70)*(OFFSET($N$6,1,MATCH(AN$5,PayDedList,0)-1,PayCount,1)))/$AA70*12*AN$3,IF(OR(AN$1="Fixed",AN$1="Not Used"),SUMPRODUCT((PayEmp=$C70)*(PayDate&lt;=$AC70)*(OFFSET($N$6,1,MATCH(AN$5,PayDedList,0)-1,PayCount,1)))/$AA70*12*AN$3,IF(ISNA(MATCH(AN$1,EarnListItem,0))=FALSE,SUMPRODUCT((PayEmp=$C70)*(PayDate&lt;=$AC70)*(OFFSET($N$6,1,MATCH(AN$5,PayDedList,0)-1,PayCount,1)))/$AA70*12*AN$3,(MIN(((SUMPRODUCT((PayEmp=$C70)*(PayDate&lt;=$AC70)*(ISERROR(SEARCH(PayEarnCode,AN$2)))*(PayEarnType="Monthly")*(PayEarnValues))/$AA70*12)+(SUMPRODUCT((PayEmp=$C70)*(PayDate&lt;=$AC70)*(ISERROR(SEARCH(PayEarnCode,AN$2)))*(PayEarnType="Quarterly")*(PayEarnValues))/MAX(1,ROUNDDOWN($AB70/3,0))*4)+(SUMPRODUCT((PayEmp=$C70)*(PayDate&lt;=$AC70)*(ISERROR(SEARCH(PayEarnCode,AN$2)))*(PayEarnType="Bi-Annual")*(PayEarnValues))/MAX(1,ROUNDDOWN($AB70/6,0))*2)+(SUMPRODUCT((PayEmp=$C70)*(PayDate&lt;=$AC70)*(ISERROR(SEARCH(PayEarnCode,AN$2)))*(PayEarnType="Annual")*(PayEarnValues)))),IF(ISNUMBER(OFFSET($N$3,0,MATCH(AN$5,PayDedList,0)-1,1,1)),OFFSET($N$3,0,MATCH(AN$5,PayDedList,0)-1,1,1),IgnoreMin)))*IF(COUNTIFS(EmpNo,$C70,OFFSET(Emp!$R$4,1,MATCH(AN$5,DedListItem,0)-1,EmpCount,1),"&lt;&gt;")&gt;0,VLOOKUP($C70,EmpAll,COLUMN(Emp!$R$4)+MATCH(AN$5,DedListItem,0)-1,0),OFFSET(Setup!$E$73,MATCH(AN$5,DedListItem,0),0,1,1))*AN$3))),IF(ISNUMBER(AN$4),AN$4,IgnoreMin)))))</f>
        <v>0</v>
      </c>
      <c r="AO70" s="148" cm="1">
        <f t="array" aca="1" ref="AO70" ca="1">-IF($F70="Terminated",0,IF($AA70=0,0,IF(ISNA(MATCH(AO$5,PayDedList,0)),0,MIN(IF(COUNTIFS(OverEmp,$C70,OverDeduct,AO$5,OverDate,"&lt;"&amp;DATE(YEAR($AC70),MONTH($AC70)+1,1),OverEnd,"&gt;="&amp;DATE(YEAR($AC70),MONTH($AC70),1))&gt;0,SUMPRODUCT((PayEmp=$C70)*(PayDate&lt;=$AC70)*(OFFSET($N$6,1,MATCH(AO$5,PayDedList,0)-1,PayCount,1)))/$AA70*12*AO$3,IF(OR(AO$1="Fixed",AO$1="Not Used"),SUMPRODUCT((PayEmp=$C70)*(PayDate&lt;=$AC70)*(OFFSET($N$6,1,MATCH(AO$5,PayDedList,0)-1,PayCount,1)))/$AA70*12*AO$3,IF(ISNA(MATCH(AO$1,EarnListItem,0))=FALSE,SUMPRODUCT((PayEmp=$C70)*(PayDate&lt;=$AC70)*(OFFSET($N$6,1,MATCH(AO$5,PayDedList,0)-1,PayCount,1)))/$AA70*12*AO$3,(MIN(((SUMPRODUCT((PayEmp=$C70)*(PayDate&lt;=$AC70)*(ISERROR(SEARCH(PayEarnCode,AO$2)))*(PayEarnType="Monthly")*(PayEarnValues))/$AA70*12)+(SUMPRODUCT((PayEmp=$C70)*(PayDate&lt;=$AC70)*(ISERROR(SEARCH(PayEarnCode,AO$2)))*(PayEarnType="Quarterly")*(PayEarnValues))/MAX(1,ROUNDDOWN($AB70/3,0))*4)+(SUMPRODUCT((PayEmp=$C70)*(PayDate&lt;=$AC70)*(ISERROR(SEARCH(PayEarnCode,AO$2)))*(PayEarnType="Bi-Annual")*(PayEarnValues))/MAX(1,ROUNDDOWN($AB70/6,0))*2)+(SUMPRODUCT((PayEmp=$C70)*(PayDate&lt;=$AC70)*(ISERROR(SEARCH(PayEarnCode,AO$2)))*(PayEarnType="Annual")*(PayEarnValues)))),IF(ISNUMBER(OFFSET($N$3,0,MATCH(AO$5,PayDedList,0)-1,1,1)),OFFSET($N$3,0,MATCH(AO$5,PayDedList,0)-1,1,1),IgnoreMin)))*IF(COUNTIFS(EmpNo,$C70,OFFSET(Emp!$R$4,1,MATCH(AO$5,DedListItem,0)-1,EmpCount,1),"&lt;&gt;")&gt;0,VLOOKUP($C70,EmpAll,COLUMN(Emp!$R$4)+MATCH(AO$5,DedListItem,0)-1,0),OFFSET(Setup!$E$73,MATCH(AO$5,DedListItem,0),0,1,1))*AO$3))),IF(ISNUMBER(AO$4),AO$4,IgnoreMin)))))</f>
        <v>0</v>
      </c>
      <c r="AP70" s="148" cm="1">
        <f t="array" aca="1" ref="AP70" ca="1">-IF($F70="Terminated",0,IF($AA70=0,0,IF(ISNA(MATCH(AP$5,PayDedList,0)),0,MIN(IF(COUNTIFS(OverEmp,$C70,OverDeduct,AP$5,OverDate,"&lt;"&amp;DATE(YEAR($AC70),MONTH($AC70)+1,1),OverEnd,"&gt;="&amp;DATE(YEAR($AC70),MONTH($AC70),1))&gt;0,SUMPRODUCT((PayEmp=$C70)*(PayDate&lt;=$AC70)*(OFFSET($N$6,1,MATCH(AP$5,PayDedList,0)-1,PayCount,1)))/$AA70*12*AP$3,IF(OR(AP$1="Fixed",AP$1="Not Used"),SUMPRODUCT((PayEmp=$C70)*(PayDate&lt;=$AC70)*(OFFSET($N$6,1,MATCH(AP$5,PayDedList,0)-1,PayCount,1)))/$AA70*12*AP$3,IF(ISNA(MATCH(AP$1,EarnListItem,0))=FALSE,SUMPRODUCT((PayEmp=$C70)*(PayDate&lt;=$AC70)*(OFFSET($N$6,1,MATCH(AP$5,PayDedList,0)-1,PayCount,1)))/$AA70*12*AP$3,(MIN(((SUMPRODUCT((PayEmp=$C70)*(PayDate&lt;=$AC70)*(ISERROR(SEARCH(PayEarnCode,AP$2)))*(PayEarnType="Monthly")*(PayEarnValues))/$AA70*12)+(SUMPRODUCT((PayEmp=$C70)*(PayDate&lt;=$AC70)*(ISERROR(SEARCH(PayEarnCode,AP$2)))*(PayEarnType="Quarterly")*(PayEarnValues))/MAX(1,ROUNDDOWN($AB70/3,0))*4)+(SUMPRODUCT((PayEmp=$C70)*(PayDate&lt;=$AC70)*(ISERROR(SEARCH(PayEarnCode,AP$2)))*(PayEarnType="Bi-Annual")*(PayEarnValues))/MAX(1,ROUNDDOWN($AB70/6,0))*2)+(SUMPRODUCT((PayEmp=$C70)*(PayDate&lt;=$AC70)*(ISERROR(SEARCH(PayEarnCode,AP$2)))*(PayEarnType="Annual")*(PayEarnValues)))),IF(ISNUMBER(OFFSET($N$3,0,MATCH(AP$5,PayDedList,0)-1,1,1)),OFFSET($N$3,0,MATCH(AP$5,PayDedList,0)-1,1,1),IgnoreMin)))*IF(COUNTIFS(EmpNo,$C70,OFFSET(Emp!$R$4,1,MATCH(AP$5,DedListItem,0)-1,EmpCount,1),"&lt;&gt;")&gt;0,VLOOKUP($C70,EmpAll,COLUMN(Emp!$R$4)+MATCH(AP$5,DedListItem,0)-1,0),OFFSET(Setup!$E$73,MATCH(AP$5,DedListItem,0),0,1,1))*AP$3))),IF(ISNUMBER(AP$4),AP$4,IgnoreMin)))))</f>
        <v>0</v>
      </c>
      <c r="AQ70" s="148" cm="1">
        <f t="array" aca="1" ref="AQ70" ca="1">-IF($F70="Terminated",0,IF($AA70=0,0,IF(ISNA(MATCH(AQ$5,PayDedList,0)),0,MIN(IF(COUNTIFS(OverEmp,$C70,OverDeduct,AQ$5,OverDate,"&lt;"&amp;DATE(YEAR($AC70),MONTH($AC70)+1,1),OverEnd,"&gt;="&amp;DATE(YEAR($AC70),MONTH($AC70),1))&gt;0,SUMPRODUCT((PayEmp=$C70)*(PayDate&lt;=$AC70)*(OFFSET($N$6,1,MATCH(AQ$5,PayDedList,0)-1,PayCount,1)))/$AA70*12*AQ$3,IF(OR(AQ$1="Fixed",AQ$1="Not Used"),SUMPRODUCT((PayEmp=$C70)*(PayDate&lt;=$AC70)*(OFFSET($N$6,1,MATCH(AQ$5,PayDedList,0)-1,PayCount,1)))/$AA70*12*AQ$3,IF(ISNA(MATCH(AQ$1,EarnListItem,0))=FALSE,SUMPRODUCT((PayEmp=$C70)*(PayDate&lt;=$AC70)*(OFFSET($N$6,1,MATCH(AQ$5,PayDedList,0)-1,PayCount,1)))/$AA70*12*AQ$3,(MIN(((SUMPRODUCT((PayEmp=$C70)*(PayDate&lt;=$AC70)*(ISERROR(SEARCH(PayEarnCode,AQ$2)))*(PayEarnType="Monthly")*(PayEarnValues))/$AA70*12)+(SUMPRODUCT((PayEmp=$C70)*(PayDate&lt;=$AC70)*(ISERROR(SEARCH(PayEarnCode,AQ$2)))*(PayEarnType="Quarterly")*(PayEarnValues))/MAX(1,ROUNDDOWN($AB70/3,0))*4)+(SUMPRODUCT((PayEmp=$C70)*(PayDate&lt;=$AC70)*(ISERROR(SEARCH(PayEarnCode,AQ$2)))*(PayEarnType="Bi-Annual")*(PayEarnValues))/MAX(1,ROUNDDOWN($AB70/6,0))*2)+(SUMPRODUCT((PayEmp=$C70)*(PayDate&lt;=$AC70)*(ISERROR(SEARCH(PayEarnCode,AQ$2)))*(PayEarnType="Annual")*(PayEarnValues)))),IF(ISNUMBER(OFFSET($N$3,0,MATCH(AQ$5,PayDedList,0)-1,1,1)),OFFSET($N$3,0,MATCH(AQ$5,PayDedList,0)-1,1,1),IgnoreMin)))*IF(COUNTIFS(EmpNo,$C70,OFFSET(Emp!$R$4,1,MATCH(AQ$5,DedListItem,0)-1,EmpCount,1),"&lt;&gt;")&gt;0,VLOOKUP($C70,EmpAll,COLUMN(Emp!$R$4)+MATCH(AQ$5,DedListItem,0)-1,0),OFFSET(Setup!$E$73,MATCH(AQ$5,DedListItem,0),0,1,1))*AQ$3))),IF(ISNUMBER(AQ$4),AQ$4,IgnoreMin)))))</f>
        <v>0</v>
      </c>
      <c r="AR70" s="148">
        <f t="shared" ca="1" si="34"/>
        <v>183600</v>
      </c>
      <c r="AS70" s="148">
        <f t="shared" ca="1" si="11"/>
        <v>180000</v>
      </c>
      <c r="AT70" s="148" cm="1">
        <f t="array" aca="1" ref="AT70" ca="1">-IF($F70="Terminated",0,IF($AA70=0,0,IF(ISNA(MATCH(AT$5,PayDedList,0)),0,MIN(IF(COUNTIFS(OverEmp,$C70,OverDeduct,AT$5,OverDate,"&lt;"&amp;DATE(YEAR($AC70),MONTH($AC70)+1,1),OverEnd,"&gt;="&amp;DATE(YEAR($AC70),MONTH($AC70),1))&gt;0,SUMPRODUCT((PayEmp=$C70)*(PayDate&lt;=$AC70)*(OFFSET($N$6,1,MATCH(AT$5,PayDedList,0)-1,PayCount,1)))/$AA70*12*AT$3,IF(OR(AT$1="Fixed",AT$1="Not Used"),SUMPRODUCT((PayEmp=$C70)*(PayDate&lt;=$AC70)*(OFFSET($N$6,1,MATCH(AT$5,PayDedList,0)-1,PayCount,1)))/$AA70*12*AT$3,IF(ISNA(MATCH(OFFSET($N$2,0,MATCH(AT$5,PayDedList,0)-1,1,1),EarnListItem,0))=FALSE,SUMPRODUCT((PayEmp=$C70)*(PayDate&lt;=$AC70)*(OFFSET($N$6,1,MATCH(AT$5,PayDedList,0)-1,PayCount,1)))/$AA70*12*AT$3,(MIN(SUMPRODUCT((PayEmp=$C70)*(PayDate&lt;=$AC70)*(ISERROR(SEARCH(PayEarnCode,AT$2)))*(PayEarnType="Monthly")*(PayEarnValues))/$AA70*12,IF(ISNUMBER(OFFSET($N$3,0,MATCH(AT$5,PayDedList,0)-1,1,1)),OFFSET($N$3,0,MATCH(AT$5,PayDedList,0)-1,1,1),IgnoreMin)))*IF(COUNTIFS(EmpNo,$C70,OFFSET(Emp!$R$4,1,MATCH(AT$5,DedListItem,0)-1,EmpCount,1),"&lt;&gt;")&gt;0,VLOOKUP($C70,EmpAll,COLUMN(Emp!$R$4)+MATCH(AT$5,DedListItem,0)-1,0),OFFSET(Setup!$E$73,MATCH(AT$5,DedListItem,0),0,1,1))*AT$3))),IF(ISNUMBER(AT$4),AT$4,IgnoreMin)))))</f>
        <v>0</v>
      </c>
      <c r="AU70" s="148" cm="1">
        <f t="array" aca="1" ref="AU70" ca="1">-IF($F70="Terminated",0,IF($AA70=0,0,IF(ISNA(MATCH(AU$5,PayDedList,0)),0,MIN(IF(COUNTIFS(OverEmp,$C70,OverDeduct,AU$5,OverDate,"&lt;"&amp;DATE(YEAR($AC70),MONTH($AC70)+1,1),OverEnd,"&gt;="&amp;DATE(YEAR($AC70),MONTH($AC70),1))&gt;0,SUMPRODUCT((PayEmp=$C70)*(PayDate&lt;=$AC70)*(OFFSET($N$6,1,MATCH(AU$5,PayDedList,0)-1,PayCount,1)))/$AA70*12*AU$3,IF(OR(AU$1="Fixed",AU$1="Not Used"),SUMPRODUCT((PayEmp=$C70)*(PayDate&lt;=$AC70)*(OFFSET($N$6,1,MATCH(AU$5,PayDedList,0)-1,PayCount,1)))/$AA70*12*AU$3,IF(ISNA(MATCH(OFFSET($N$2,0,MATCH(AU$5,PayDedList,0)-1,1,1),EarnListItem,0))=FALSE,SUMPRODUCT((PayEmp=$C70)*(PayDate&lt;=$AC70)*(OFFSET($N$6,1,MATCH(AU$5,PayDedList,0)-1,PayCount,1)))/$AA70*12*AU$3,(MIN(SUMPRODUCT((PayEmp=$C70)*(PayDate&lt;=$AC70)*(ISERROR(SEARCH(PayEarnCode,AU$2)))*(PayEarnType="Monthly")*(PayEarnValues))/$AA70*12,IF(ISNUMBER(OFFSET($N$3,0,MATCH(AU$5,PayDedList,0)-1,1,1)),OFFSET($N$3,0,MATCH(AU$5,PayDedList,0)-1,1,1),IgnoreMin)))*IF(COUNTIFS(EmpNo,$C70,OFFSET(Emp!$R$4,1,MATCH(AU$5,DedListItem,0)-1,EmpCount,1),"&lt;&gt;")&gt;0,VLOOKUP($C70,EmpAll,COLUMN(Emp!$R$4)+MATCH(AU$5,DedListItem,0)-1,0),OFFSET(Setup!$E$73,MATCH(AU$5,DedListItem,0),0,1,1))*AU$3))),IF(ISNUMBER(AU$4),AU$4,IgnoreMin)))))</f>
        <v>0</v>
      </c>
      <c r="AV70" s="148" cm="1">
        <f t="array" aca="1" ref="AV70" ca="1">-IF($F70="Terminated",0,IF($AA70=0,0,IF(ISNA(MATCH(AV$5,PayDedList,0)),0,MIN(IF(COUNTIFS(OverEmp,$C70,OverDeduct,AV$5,OverDate,"&lt;"&amp;DATE(YEAR($AC70),MONTH($AC70)+1,1),OverEnd,"&gt;="&amp;DATE(YEAR($AC70),MONTH($AC70),1))&gt;0,SUMPRODUCT((PayEmp=$C70)*(PayDate&lt;=$AC70)*(OFFSET($N$6,1,MATCH(AV$5,PayDedList,0)-1,PayCount,1)))/$AA70*12*AV$3,IF(OR(AV$1="Fixed",AV$1="Not Used"),SUMPRODUCT((PayEmp=$C70)*(PayDate&lt;=$AC70)*(OFFSET($N$6,1,MATCH(AV$5,PayDedList,0)-1,PayCount,1)))/$AA70*12*AV$3,IF(ISNA(MATCH(OFFSET($N$2,0,MATCH(AV$5,PayDedList,0)-1,1,1),EarnListItem,0))=FALSE,SUMPRODUCT((PayEmp=$C70)*(PayDate&lt;=$AC70)*(OFFSET($N$6,1,MATCH(AV$5,PayDedList,0)-1,PayCount,1)))/$AA70*12*AV$3,(MIN(SUMPRODUCT((PayEmp=$C70)*(PayDate&lt;=$AC70)*(ISERROR(SEARCH(PayEarnCode,AV$2)))*(PayEarnType="Monthly")*(PayEarnValues))/$AA70*12,IF(ISNUMBER(OFFSET($N$3,0,MATCH(AV$5,PayDedList,0)-1,1,1)),OFFSET($N$3,0,MATCH(AV$5,PayDedList,0)-1,1,1),IgnoreMin)))*IF(COUNTIFS(EmpNo,$C70,OFFSET(Emp!$R$4,1,MATCH(AV$5,DedListItem,0)-1,EmpCount,1),"&lt;&gt;")&gt;0,VLOOKUP($C70,EmpAll,COLUMN(Emp!$R$4)+MATCH(AV$5,DedListItem,0)-1,0),OFFSET(Setup!$E$73,MATCH(AV$5,DedListItem,0),0,1,1))*AV$3))),IF(ISNUMBER(AV$4),AV$4,IgnoreMin)))))</f>
        <v>0</v>
      </c>
      <c r="AW70" s="148" cm="1">
        <f t="array" aca="1" ref="AW70" ca="1">-IF($F70="Terminated",0,IF($AA70=0,0,IF(ISNA(MATCH(AW$5,PayDedList,0)),0,MIN(IF(COUNTIFS(OverEmp,$C70,OverDeduct,AW$5,OverDate,"&lt;"&amp;DATE(YEAR($AC70),MONTH($AC70)+1,1),OverEnd,"&gt;="&amp;DATE(YEAR($AC70),MONTH($AC70),1))&gt;0,SUMPRODUCT((PayEmp=$C70)*(PayDate&lt;=$AC70)*(OFFSET($N$6,1,MATCH(AW$5,PayDedList,0)-1,PayCount,1)))/$AA70*12*AW$3,IF(OR(AW$1="Fixed",AW$1="Not Used"),SUMPRODUCT((PayEmp=$C70)*(PayDate&lt;=$AC70)*(OFFSET($N$6,1,MATCH(AW$5,PayDedList,0)-1,PayCount,1)))/$AA70*12*AW$3,IF(ISNA(MATCH(OFFSET($N$2,0,MATCH(AW$5,PayDedList,0)-1,1,1),EarnListItem,0))=FALSE,SUMPRODUCT((PayEmp=$C70)*(PayDate&lt;=$AC70)*(OFFSET($N$6,1,MATCH(AW$5,PayDedList,0)-1,PayCount,1)))/$AA70*12*AW$3,(MIN(SUMPRODUCT((PayEmp=$C70)*(PayDate&lt;=$AC70)*(ISERROR(SEARCH(PayEarnCode,AW$2)))*(PayEarnType="Monthly")*(PayEarnValues))/$AA70*12,IF(ISNUMBER(OFFSET($N$3,0,MATCH(AW$5,PayDedList,0)-1,1,1)),OFFSET($N$3,0,MATCH(AW$5,PayDedList,0)-1,1,1),IgnoreMin)))*IF(COUNTIFS(EmpNo,$C70,OFFSET(Emp!$R$4,1,MATCH(AW$5,DedListItem,0)-1,EmpCount,1),"&lt;&gt;")&gt;0,VLOOKUP($C70,EmpAll,COLUMN(Emp!$R$4)+MATCH(AW$5,DedListItem,0)-1,0),OFFSET(Setup!$E$73,MATCH(AW$5,DedListItem,0),0,1,1))*AW$3))),IF(ISNUMBER(AW$4),AW$4,IgnoreMin)))))</f>
        <v>0</v>
      </c>
      <c r="AX70" s="148">
        <f t="shared" ca="1" si="28"/>
        <v>180000</v>
      </c>
      <c r="AY70" s="148">
        <f t="shared" ca="1" si="29"/>
        <v>3600</v>
      </c>
      <c r="AZ70" s="148">
        <f ca="1">IF(ISNUMBER($AL70),($AR70*$AL70)-$AI70-$AK70,MAX(0,IF($AL70="B",IF($AR70&lt;Setup!$C$32,($AR70*Setup!$D$32)-$AI70-$AK70,(($AR70-VLOOKUP($AR70,TaxAll2,1,1))*OFFSET(Setup!$D$32,MATCH($AR70,TaxBracket2,1),0,1,1))+OFFSET(Setup!$E$31,MATCH($AR70,TaxBracket2,1),0,1,1)-$AI70-$AK70),IF($AR70&lt;Setup!$C$21,($AR70*Setup!$D$21)-$AI70-$AK70,(($AR70-VLOOKUP($AR70,TaxAll1,1,1))*OFFSET(Setup!$D$21,MATCH($AR70,TaxBracket1,1),0,1,1))+OFFSET(Setup!$E$20,MATCH($AR70,TaxBracket1,1),0,1,1)-$AI70-$AK70))))</f>
        <v>11445</v>
      </c>
      <c r="BA70" s="148">
        <f ca="1">IF(ISNUMBER($AL70),($AX70*$AL70)-$AI70-$AK70,MAX(0,IF($AL70="B",IF($AX70&lt;Setup!$C$32,($AX70*Setup!$D$32)-$AI70-$AK70,(($AX70-VLOOKUP($AX70,TaxAll2,1,1))*OFFSET(Setup!$D$32,MATCH($AX70,TaxBracket2,1),0,1,1))+OFFSET(Setup!$E$31,MATCH($AX70,TaxBracket2,1),0,1,1)-$AI70-$AK70),IF($AX70&lt;Setup!$C$21,($AX70*Setup!$D$21)-$AI70-$AK70,(($AX70-VLOOKUP($AX70,TaxAll1,1,1))*OFFSET(Setup!$D$21,MATCH($AX70,TaxBracket1,1),0,1,1))+OFFSET(Setup!$E$20,MATCH($AX70,TaxBracket1,1),0,1,1)-$AI70-$AK70))))</f>
        <v>10797</v>
      </c>
      <c r="BB70" s="148">
        <f t="shared" ca="1" si="35"/>
        <v>648</v>
      </c>
      <c r="BC70" s="150">
        <f t="shared" ca="1" si="15"/>
        <v>0.98039215686274506</v>
      </c>
      <c r="BD70" s="150">
        <f t="shared" ca="1" si="16"/>
        <v>1.9607843137254902E-2</v>
      </c>
      <c r="BE70" s="148">
        <f t="shared" ca="1" si="17"/>
        <v>183600</v>
      </c>
    </row>
    <row r="71" spans="1:57" ht="16.149999999999999" customHeight="1" x14ac:dyDescent="0.25">
      <c r="A71" s="10" t="str" cm="1">
        <f t="array" aca="1" ref="A71" ca="1">IF(ROW($A71)-ROW($A$6)&gt;EmpCount*12,"-",TEXT($B71,"yyyy")&amp;TEXT($B71,"mm")&amp;"-"&amp;$C71)</f>
        <v>202307-EXS005</v>
      </c>
      <c r="B71" s="137" cm="1">
        <f t="array" aca="1" ref="B71" ca="1">IF(ROW($A71)-ROW($A$6)&gt;EmpCount*12,Setup!$D$12,DATE(YEAR(Setup!$F$12),MONTH(Setup!$F$12)+ROUNDDOWN((ROW($A71)-ROW($A$6)-1)/EmpCount,0),IF(Setup!$C$14&gt;DAY(DATE(YEAR(Setup!$F$12),MONTH(Setup!$F$12)+ROUNDDOWN((ROW($A71)-ROW($A$6)-1)/EmpCount,0)+1,0)),DAY(DATE(YEAR(Setup!$F$12),MONTH(Setup!$F$12)+ROUNDDOWN((ROW($A71)-ROW($A$6)-1)/EmpCount,0)+1,0)),Setup!$C$14)))</f>
        <v>45132</v>
      </c>
      <c r="C71" s="101" t="str" cm="1">
        <f t="array" aca="1" ref="C71" ca="1">IF(ROW($A71)-ROW($A$6)&gt;EmpCount*12,"-",OFFSET(Emp!$A$4,ROW($A71)-ROW($A$6)-IF(ROW($A71)-ROW($A$6)&gt;EmpCount,ROUNDDOWN((ROW($A71)-ROW($A$6)-1)/EmpCount,0)*EmpCount,0),0,1,1))</f>
        <v>EXS005</v>
      </c>
      <c r="D71" s="10" t="str">
        <f ca="1">IF(ISNA(VLOOKUP($C71,EmpAll,COLUMN(Emp!$B$4),0)),"-",VLOOKUP($C71,EmpAll,COLUMN(Emp!$B$4),0))</f>
        <v>Miller R</v>
      </c>
      <c r="E71" s="145" t="str">
        <f ca="1">IF(ISNA(VLOOKUP($C71,EmpAll,COLUMN(Emp!$C$4),0)),"-",VLOOKUP($C71,EmpAll,COLUMN(Emp!$C$4),0))</f>
        <v>S</v>
      </c>
      <c r="F71" s="101" t="str">
        <f ca="1">IF(ISNA(VLOOKUP($C71,EmpAll,COLUMN(Emp!$A$4),0)),"-",IF(AND(VLOOKUP($C71,EmpAll,COLUMN(Emp!$E$4),0)&lt;&gt;0,VLOOKUP($C71,EmpAll,COLUMN(Emp!$E$4),0)&gt;=DATE(YEAR($AC71),MONTH($AC71)+1,0)),"Inactive",IF(AND(VLOOKUP($C71,EmpAll,COLUMN(Emp!$F$4),0)&lt;&gt;0,VLOOKUP($C71,EmpAll,COLUMN(Emp!$F$4),0)&lt;=DATE(YEAR($AC71),MONTH($AC71),0)),"Terminated","Active")))</f>
        <v>Active</v>
      </c>
      <c r="G71" s="133" cm="1">
        <f t="array" aca="1" ref="G71" ca="1">IF($F71&lt;&gt;"Active",0,IF(COUNTIFS(OverEmp,$C71,OverEarn,G$2,OverDate,"&lt;"&amp;DATE(YEAR($AC71),MONTH($AC71)+1,1),OverEnd,"&gt;="&amp;DATE(YEAR($AC71),MONTH($AC71),1))&gt;0,SUMIFS(OverValue,OverEmp,$C71,OverEarn,G$2,OverDate,"&lt;"&amp;DATE(YEAR($AC71),MONTH($AC71)+1,1),OverEnd,"&gt;="&amp;DATE(YEAR($AC71),MONTH($AC71),1)),IF(AND($AC71&gt;=Setup!$E$10,SUMIFS(EmpIncrease,EmpCode,$C71)&gt;0),SUMIFS(EmpIncrease,EmpCode,$C71),SUMIFS(EmpSalary,EmpCode,$C71))))</f>
        <v>10000</v>
      </c>
      <c r="H71" s="133" cm="1">
        <f t="array" aca="1" ref="H71" ca="1">IF($F71&lt;&gt;"Active",0,IF(COUNTIFS(OverEmp,$C71,OverEarn,H$2,OverDate,"&lt;"&amp;DATE(YEAR($AC71),MONTH($AC71)+1,1),OverEnd,"&gt;="&amp;DATE(YEAR($AC71),MONTH($AC71),1))&gt;0,SUMIFS(OverValue,OverEmp,$C71,OverEarn,H$2,OverDate,"&lt;"&amp;DATE(YEAR($AC71),MONTH($AC71)+1,1),OverEnd,"&gt;="&amp;DATE(YEAR($AC71),MONTH($AC71),1)),0))</f>
        <v>0</v>
      </c>
      <c r="I71" s="133" cm="1">
        <f t="array" aca="1" ref="I71" ca="1">IF($F71&lt;&gt;"Active",0,IF(COUNTIFS(OverEmp,$C71,OverEarn,I$2,OverDate,"&lt;"&amp;DATE(YEAR($AC71),MONTH($AC71)+1,1),OverEnd,"&gt;="&amp;DATE(YEAR($AC71),MONTH($AC71),1))&gt;0,SUMIFS(OverValue,OverEmp,$C71,OverEarn,I$2,OverDate,"&lt;"&amp;DATE(YEAR($AC71),MONTH($AC71)+1,1),OverEnd,"&gt;="&amp;DATE(YEAR($AC71),MONTH($AC71),1)),IF(MONTH(B71)=Setup!$C$15,SUMIFS(EmpBonus,EmpCode,$C71),0)))</f>
        <v>0</v>
      </c>
      <c r="J71" s="133" cm="1">
        <f t="array" aca="1" ref="J71" ca="1">IF($F71&lt;&gt;"Active",0,IF(COUNTIFS(OverEmp,$C71,OverEarn,J$2,OverDate,"&lt;"&amp;DATE(YEAR($AC71),MONTH($AC71)+1,1),OverEnd,"&gt;="&amp;DATE(YEAR($AC71),MONTH($AC71),1))&gt;0,SUMIFS(OverValue,OverEmp,$C71,OverEarn,J$2,OverDate,"&lt;"&amp;DATE(YEAR($AC71),MONTH($AC71)+1,1),OverEnd,"&gt;="&amp;DATE(YEAR($AC71),MONTH($AC71),1)),0))</f>
        <v>0</v>
      </c>
      <c r="K71" s="133" cm="1">
        <f t="array" aca="1" ref="K71" ca="1">IF($F71&lt;&gt;"Active",0,IF(COUNTIFS(OverEmp,$C71,OverEarn,K$2,OverDate,"&lt;"&amp;DATE(YEAR($AC71),MONTH($AC71)+1,1),OverEnd,"&gt;="&amp;DATE(YEAR($AC71),MONTH($AC71),1))&gt;0,SUMIFS(OverValue,OverEmp,$C71,OverEarn,K$2,OverDate,"&lt;"&amp;DATE(YEAR($AC71),MONTH($AC71)+1,1),OverEnd,"&gt;="&amp;DATE(YEAR($AC71),MONTH($AC71),1)),0))</f>
        <v>0</v>
      </c>
      <c r="L71" s="185">
        <f t="shared" ref="L71:L102" ca="1" si="36">IF($AA71=0,0,SUM(OFFSET($G71,0,0,1,COLUMN($L$6)-COLUMN($G$6))))</f>
        <v>10000</v>
      </c>
      <c r="M71" s="182" cm="1">
        <f t="array" aca="1" ref="M71" ca="1">IF(COUNTIFS(OverEmp,$C71,OverTax,M$5,OverDate,"&lt;"&amp;DATE(YEAR($AC71),MONTH($AC71)+1,1),OverEnd,"&gt;="&amp;DATE(YEAR($AC71),MONTH($AC71),1))&gt;0,SUMIFS(OverValue,OverEmp,$C71,OverTax,M$5,OverDate,"&lt;"&amp;DATE(YEAR($AC71),MONTH($AC71)+1,1),OverEnd,"&gt;="&amp;DATE(YEAR($AC71),MONTH($AC71),1)),(($BA71/12*$AA71)+(BB71*IF(1-$BC71=0,0,BD71/(1-$BC71))))-IF($F71="Terminated",0,SUMIFS(PayTaxDeduct,PayDate,"&lt;"&amp;$AC71,PayEmp,$C71)))</f>
        <v>0</v>
      </c>
      <c r="N71" s="133" cm="1">
        <f t="array" aca="1" ref="N71" ca="1">IF($F71="Terminated",0,IF($AA71=0,0,IF(ISNA(MATCH(N$5,DedListItem,0)),0,IF(COUNTIFS(OverEmp,$C71,OverDeduct,N$5,OverDate,"&lt;"&amp;DATE(YEAR($AC71),MONTH($AC71)+1,1),OverEnd,"&gt;="&amp;DATE(YEAR($AC71),MONTH($AC71),1))&gt;0,SUMIFS(OverValue,OverEmp,$C71,OverDeduct,N$5,OverDate,"&lt;"&amp;DATE(YEAR($AC71),MONTH($AC71)+1,1),OverEnd,"&gt;="&amp;DATE(YEAR($AC71),MONTH($AC71),1)),IF(OR(N$2="Fixed",N$2="Not Used"),(IF(COUNTIFS(EmpNo,$C71,OFFSET(Emp!$R$4,1,MATCH(N$5,DedListItem,0)-1,EmpCount,1),"&lt;&gt;")&gt;0,VLOOKUP($C71,EmpAll,COLUMN(Emp!$R$4)+MATCH(N$5,DedListItem,0)-1,0),OFFSET(Setup!$E$73,MATCH(N$5,DedListItem,0),0,1,1))*$AA71)-SUMIFS(OFFSET(N$6,1,0,PayCount,1),PayDate,"&lt;"&amp;$AC71,PayEmp,$C71),IF(ISNA(MATCH(N$2,EarnListItem,0))=FALSE,IF(OFFSET(Setup!$G$73,MATCH(N$5,DedListItem,0),0,1,1)="Taxable",SUMPRODUCT((PayEmp=$C71)*(PayDate&lt;=$AC71)*(PayEarnCode=N$2)*(PayEarnTax)*(PayEarnValues)),SUMPRODUCT((PayEmp=$C71)*(PayDate&lt;=$AC71)*(PayEarnCode=N$2)*(PayEarnValues)))*IF(COUNTIFS(EmpNo,$C71,OFFSET(Emp!$R$4,1,MATCH(N$5,DedListItem,0)-1,EmpCount,1),"&lt;&gt;")&gt;0,VLOOKUP($C71,EmpAll,COLUMN(Emp!$R$4)+MATCH(N$5,DedListItem,0)-1,0),OFFSET(Setup!$E$73,MATCH(N$5,DedListItem,0),0,1,1)),(MIN(IF(OFFSET(Setup!$G$73,MATCH(N$5,DedListItem,0),0,1,1)="Taxable",SUMPRODUCT((PayEmp=$C71)*(PayDate&lt;=$AC71)*(ISERROR(SEARCH(PayEarnCode,N$4)))*(PayEarnTax)*(PayEarnValues)),SUMPRODUCT((PayEmp=$C71)*(PayDate&lt;=$AC71)*(ISERROR(SEARCH(PayEarnCode,N$4)))*(PayEarnValues))),IF(ISNUMBER(N$3),N$3/12*$AA71,IgnoreMin)))*IF(COUNTIFS(EmpNo,$C71,OFFSET(Emp!$R$4,1,MATCH(N$5,DedListItem,0)-1,EmpCount,1),"&lt;&gt;")&gt;0,VLOOKUP($C71,EmpAll,COLUMN(Emp!$R$4)+MATCH(N$5,DedListItem,0)-1,0),OFFSET(Setup!$E$73,MATCH(N$5,DedListItem,0),0,1,1)))-SUMIFS(OFFSET(N$6,1,0,PayCount,1),PayDate,"&lt;"&amp;$AC71,PayEmp,$C71))))))</f>
        <v>100</v>
      </c>
      <c r="O71" s="133" cm="1">
        <f t="array" aca="1" ref="O71" ca="1">IF($F71="Terminated",0,IF($AA71=0,0,IF(ISNA(MATCH(O$5,DedListItem,0)),0,IF(COUNTIFS(OverEmp,$C71,OverDeduct,O$5,OverDate,"&lt;"&amp;DATE(YEAR($AC71),MONTH($AC71)+1,1),OverEnd,"&gt;="&amp;DATE(YEAR($AC71),MONTH($AC71),1))&gt;0,SUMIFS(OverValue,OverEmp,$C71,OverDeduct,O$5,OverDate,"&lt;"&amp;DATE(YEAR($AC71),MONTH($AC71)+1,1),OverEnd,"&gt;="&amp;DATE(YEAR($AC71),MONTH($AC71),1)),IF(OR(O$2="Fixed",O$2="Not Used"),(IF(COUNTIFS(EmpNo,$C71,OFFSET(Emp!$R$4,1,MATCH(O$5,DedListItem,0)-1,EmpCount,1),"&lt;&gt;")&gt;0,VLOOKUP($C71,EmpAll,COLUMN(Emp!$R$4)+MATCH(O$5,DedListItem,0)-1,0),OFFSET(Setup!$E$73,MATCH(O$5,DedListItem,0),0,1,1))*$AA71)-SUMIFS(OFFSET(O$6,1,0,PayCount,1),PayDate,"&lt;"&amp;$AC71,PayEmp,$C71),IF(ISNA(MATCH(O$2,EarnListItem,0))=FALSE,IF(OFFSET(Setup!$G$73,MATCH(O$5,DedListItem,0),0,1,1)="Taxable",SUMPRODUCT((PayEmp=$C71)*(PayDate&lt;=$AC71)*(PayEarnCode=O$2)*(PayEarnTax)*(PayEarnValues)),SUMPRODUCT((PayEmp=$C71)*(PayDate&lt;=$AC71)*(PayEarnCode=O$2)*(PayEarnValues)))*IF(COUNTIFS(EmpNo,$C71,OFFSET(Emp!$R$4,1,MATCH(O$5,DedListItem,0)-1,EmpCount,1),"&lt;&gt;")&gt;0,VLOOKUP($C71,EmpAll,COLUMN(Emp!$R$4)+MATCH(O$5,DedListItem,0)-1,0),OFFSET(Setup!$E$73,MATCH(O$5,DedListItem,0),0,1,1)),(MIN(IF(OFFSET(Setup!$G$73,MATCH(O$5,DedListItem,0),0,1,1)="Taxable",SUMPRODUCT((PayEmp=$C71)*(PayDate&lt;=$AC71)*(ISERROR(SEARCH(PayEarnCode,O$4)))*(PayEarnTax)*(PayEarnValues)),SUMPRODUCT((PayEmp=$C71)*(PayDate&lt;=$AC71)*(ISERROR(SEARCH(PayEarnCode,O$4)))*(PayEarnValues))),IF(ISNUMBER(O$3),O$3/12*$AA71,IgnoreMin)))*IF(COUNTIFS(EmpNo,$C71,OFFSET(Emp!$R$4,1,MATCH(O$5,DedListItem,0)-1,EmpCount,1),"&lt;&gt;")&gt;0,VLOOKUP($C71,EmpAll,COLUMN(Emp!$R$4)+MATCH(O$5,DedListItem,0)-1,0),OFFSET(Setup!$E$73,MATCH(O$5,DedListItem,0),0,1,1)))-SUMIFS(OFFSET(O$6,1,0,PayCount,1),PayDate,"&lt;"&amp;$AC71,PayEmp,$C71))))))</f>
        <v>0</v>
      </c>
      <c r="P71" s="133" cm="1">
        <f t="array" aca="1" ref="P71" ca="1">IF($F71="Terminated",0,IF($AA71=0,0,IF(ISNA(MATCH(P$5,DedListItem,0)),0,IF(COUNTIFS(OverEmp,$C71,OverDeduct,P$5,OverDate,"&lt;"&amp;DATE(YEAR($AC71),MONTH($AC71)+1,1),OverEnd,"&gt;="&amp;DATE(YEAR($AC71),MONTH($AC71),1))&gt;0,SUMIFS(OverValue,OverEmp,$C71,OverDeduct,P$5,OverDate,"&lt;"&amp;DATE(YEAR($AC71),MONTH($AC71)+1,1),OverEnd,"&gt;="&amp;DATE(YEAR($AC71),MONTH($AC71),1)),IF(OR(P$2="Fixed",P$2="Not Used"),(IF(COUNTIFS(EmpNo,$C71,OFFSET(Emp!$R$4,1,MATCH(P$5,DedListItem,0)-1,EmpCount,1),"&lt;&gt;")&gt;0,VLOOKUP($C71,EmpAll,COLUMN(Emp!$R$4)+MATCH(P$5,DedListItem,0)-1,0),OFFSET(Setup!$E$73,MATCH(P$5,DedListItem,0),0,1,1))*$AA71)-SUMIFS(OFFSET(P$6,1,0,PayCount,1),PayDate,"&lt;"&amp;$AC71,PayEmp,$C71),IF(ISNA(MATCH(P$2,EarnListItem,0))=FALSE,IF(OFFSET(Setup!$G$73,MATCH(P$5,DedListItem,0),0,1,1)="Taxable",SUMPRODUCT((PayEmp=$C71)*(PayDate&lt;=$AC71)*(PayEarnCode=P$2)*(PayEarnTax)*(PayEarnValues)),SUMPRODUCT((PayEmp=$C71)*(PayDate&lt;=$AC71)*(PayEarnCode=P$2)*(PayEarnValues)))*IF(COUNTIFS(EmpNo,$C71,OFFSET(Emp!$R$4,1,MATCH(P$5,DedListItem,0)-1,EmpCount,1),"&lt;&gt;")&gt;0,VLOOKUP($C71,EmpAll,COLUMN(Emp!$R$4)+MATCH(P$5,DedListItem,0)-1,0),OFFSET(Setup!$E$73,MATCH(P$5,DedListItem,0),0,1,1)),(MIN(IF(OFFSET(Setup!$G$73,MATCH(P$5,DedListItem,0),0,1,1)="Taxable",SUMPRODUCT((PayEmp=$C71)*(PayDate&lt;=$AC71)*(ISERROR(SEARCH(PayEarnCode,P$4)))*(PayEarnTax)*(PayEarnValues)),SUMPRODUCT((PayEmp=$C71)*(PayDate&lt;=$AC71)*(ISERROR(SEARCH(PayEarnCode,P$4)))*(PayEarnValues))),IF(ISNUMBER(P$3),P$3/12*$AA71,IgnoreMin)))*IF(COUNTIFS(EmpNo,$C71,OFFSET(Emp!$R$4,1,MATCH(P$5,DedListItem,0)-1,EmpCount,1),"&lt;&gt;")&gt;0,VLOOKUP($C71,EmpAll,COLUMN(Emp!$R$4)+MATCH(P$5,DedListItem,0)-1,0),OFFSET(Setup!$E$73,MATCH(P$5,DedListItem,0),0,1,1)))-SUMIFS(OFFSET(P$6,1,0,PayCount,1),PayDate,"&lt;"&amp;$AC71,PayEmp,$C71))))))</f>
        <v>0</v>
      </c>
      <c r="Q71" s="133" cm="1">
        <f t="array" aca="1" ref="Q71" ca="1">IF($F71="Terminated",0,IF($AA71=0,0,IF(ISNA(MATCH(Q$5,DedListItem,0)),0,IF(COUNTIFS(OverEmp,$C71,OverDeduct,Q$5,OverDate,"&lt;"&amp;DATE(YEAR($AC71),MONTH($AC71)+1,1),OverEnd,"&gt;="&amp;DATE(YEAR($AC71),MONTH($AC71),1))&gt;0,SUMIFS(OverValue,OverEmp,$C71,OverDeduct,Q$5,OverDate,"&lt;"&amp;DATE(YEAR($AC71),MONTH($AC71)+1,1),OverEnd,"&gt;="&amp;DATE(YEAR($AC71),MONTH($AC71),1)),IF(OR(Q$2="Fixed",Q$2="Not Used"),(IF(COUNTIFS(EmpNo,$C71,OFFSET(Emp!$R$4,1,MATCH(Q$5,DedListItem,0)-1,EmpCount,1),"&lt;&gt;")&gt;0,VLOOKUP($C71,EmpAll,COLUMN(Emp!$R$4)+MATCH(Q$5,DedListItem,0)-1,0),OFFSET(Setup!$E$73,MATCH(Q$5,DedListItem,0),0,1,1))*$AA71)-SUMIFS(OFFSET(Q$6,1,0,PayCount,1),PayDate,"&lt;"&amp;$AC71,PayEmp,$C71),IF(ISNA(MATCH(Q$2,EarnListItem,0))=FALSE,IF(OFFSET(Setup!$G$73,MATCH(Q$5,DedListItem,0),0,1,1)="Taxable",SUMPRODUCT((PayEmp=$C71)*(PayDate&lt;=$AC71)*(PayEarnCode=Q$2)*(PayEarnTax)*(PayEarnValues)),SUMPRODUCT((PayEmp=$C71)*(PayDate&lt;=$AC71)*(PayEarnCode=Q$2)*(PayEarnValues)))*IF(COUNTIFS(EmpNo,$C71,OFFSET(Emp!$R$4,1,MATCH(Q$5,DedListItem,0)-1,EmpCount,1),"&lt;&gt;")&gt;0,VLOOKUP($C71,EmpAll,COLUMN(Emp!$R$4)+MATCH(Q$5,DedListItem,0)-1,0),OFFSET(Setup!$E$73,MATCH(Q$5,DedListItem,0),0,1,1)),(MIN(IF(OFFSET(Setup!$G$73,MATCH(Q$5,DedListItem,0),0,1,1)="Taxable",SUMPRODUCT((PayEmp=$C71)*(PayDate&lt;=$AC71)*(ISERROR(SEARCH(PayEarnCode,Q$4)))*(PayEarnTax)*(PayEarnValues)),SUMPRODUCT((PayEmp=$C71)*(PayDate&lt;=$AC71)*(ISERROR(SEARCH(PayEarnCode,Q$4)))*(PayEarnValues))),IF(ISNUMBER(Q$3),Q$3/12*$AA71,IgnoreMin)))*IF(COUNTIFS(EmpNo,$C71,OFFSET(Emp!$R$4,1,MATCH(Q$5,DedListItem,0)-1,EmpCount,1),"&lt;&gt;")&gt;0,VLOOKUP($C71,EmpAll,COLUMN(Emp!$R$4)+MATCH(Q$5,DedListItem,0)-1,0),OFFSET(Setup!$E$73,MATCH(Q$5,DedListItem,0),0,1,1)))-SUMIFS(OFFSET(Q$6,1,0,PayCount,1),PayDate,"&lt;"&amp;$AC71,PayEmp,$C71))))))</f>
        <v>0</v>
      </c>
      <c r="R71" s="185">
        <f t="shared" ref="R71:R102" ca="1" si="37">SUM(OFFSET(M71,0,0,1,COLUMN($R$6)-COLUMN($M$6)))</f>
        <v>100</v>
      </c>
      <c r="S71" s="139">
        <f t="shared" ref="S71:S102" ca="1" si="38">ROUND(SUM(L71,-R71),2)</f>
        <v>9900</v>
      </c>
      <c r="T71" s="133" cm="1">
        <f t="array" aca="1" ref="T71" ca="1">IF($F71="Terminated",0,IF($AA71=0,0,IF(ISNA(MATCH(T$5,CompListItem,0)),0,IF(COUNTIFS(OverEmp,$C71,OverComp,T$5,OverDate,"&lt;"&amp;DATE(YEAR($AC71),MONTH($AC71)+1,1),OverEnd,"&gt;="&amp;DATE(YEAR($AC71),MONTH($AC71),1))&gt;0,SUMIFS(OverValue,OverEmp,$C71,OverComp,T$5,OverDate,"&lt;"&amp;DATE(YEAR($AC71),MONTH($AC71)+1,1),OverEnd,"&gt;="&amp;DATE(YEAR($AC71),MONTH($AC71),1)),IF(OR(T$2="Fixed",T$2="Not Used"),(OFFSET(Setup!$E$81,MATCH(T$5,CompListItem,0),0,1,1)*$AA71)-SUMIFS(OFFSET(T$6,1,0,PayCount,1),PayDate,"&lt;"&amp;$AC71,PayEmp,$C71),IF(ISNA(MATCH(T$2,DedListItem,0))=FALSE,(SUMPRODUCT((PayEmp=$C71)*(PayDate&lt;=$AC71)*(PayDedList=T$2)*(PayDedValues))*OFFSET(Setup!$E$81,MATCH(T$5,CompListItem,0),0,1,1))-SUMIFS(OFFSET(T$6,1,0,PayCount,1),PayDate,"&lt;"&amp;$AC71,PayEmp,$C71),(MIN(IF(OFFSET(Setup!$G$81,MATCH(T$5,CompListItem,0),0,1,1)="Taxable",SUMPRODUCT((PayEmp=$C71)*(PayDate&lt;=$AC71)*(ISERROR(SEARCH(PayEarnCode,T$4)))*(PayEarnTax)*(PayEarnValues)),SUMPRODUCT((PayEmp=$C71)*(PayDate&lt;=$AC71)*(ISERROR(SEARCH(PayEarnCode,T$4)))*(PayEarnValues))),IF(ISNUMBER(T$3),T$3/12*$AA71,IgnoreMin)))*OFFSET(Setup!$E$81,MATCH(T$5,CompListItem,0),0,1,1)-SUMIFS(OFFSET(T$6,1,0,PayCount,1),PayDate,"&lt;"&amp;$AC71,PayEmp,$C71)))))))</f>
        <v>100</v>
      </c>
      <c r="U71" s="133" cm="1">
        <f t="array" aca="1" ref="U71" ca="1">IF($F71="Terminated",0,IF($AA71=0,0,IF(ISNA(MATCH(U$5,CompListItem,0)),0,IF(COUNTIFS(OverEmp,$C71,OverComp,U$5,OverDate,"&lt;"&amp;DATE(YEAR($AC71),MONTH($AC71)+1,1),OverEnd,"&gt;="&amp;DATE(YEAR($AC71),MONTH($AC71),1))&gt;0,SUMIFS(OverValue,OverEmp,$C71,OverComp,U$5,OverDate,"&lt;"&amp;DATE(YEAR($AC71),MONTH($AC71)+1,1),OverEnd,"&gt;="&amp;DATE(YEAR($AC71),MONTH($AC71),1)),IF(OR(U$2="Fixed",U$2="Not Used"),(OFFSET(Setup!$E$81,MATCH(U$5,CompListItem,0),0,1,1)*$AA71)-SUMIFS(OFFSET(U$6,1,0,PayCount,1),PayDate,"&lt;"&amp;$AC71,PayEmp,$C71),IF(ISNA(MATCH(U$2,DedListItem,0))=FALSE,(SUMPRODUCT((PayEmp=$C71)*(PayDate&lt;=$AC71)*(PayDedList=U$2)*(PayDedValues))*OFFSET(Setup!$E$81,MATCH(U$5,CompListItem,0),0,1,1))-SUMIFS(OFFSET(U$6,1,0,PayCount,1),PayDate,"&lt;"&amp;$AC71,PayEmp,$C71),(MIN(IF(OFFSET(Setup!$G$81,MATCH(U$5,CompListItem,0),0,1,1)="Taxable",SUMPRODUCT((PayEmp=$C71)*(PayDate&lt;=$AC71)*(ISERROR(SEARCH(PayEarnCode,U$4)))*(PayEarnTax)*(PayEarnValues)),SUMPRODUCT((PayEmp=$C71)*(PayDate&lt;=$AC71)*(ISERROR(SEARCH(PayEarnCode,U$4)))*(PayEarnValues))),IF(ISNUMBER(U$3),U$3/12*$AA71,IgnoreMin)))*OFFSET(Setup!$E$81,MATCH(U$5,CompListItem,0),0,1,1)-SUMIFS(OFFSET(U$6,1,0,PayCount,1),PayDate,"&lt;"&amp;$AC71,PayEmp,$C71)))))))</f>
        <v>100</v>
      </c>
      <c r="V71" s="133" cm="1">
        <f t="array" aca="1" ref="V71" ca="1">IF($F71="Terminated",0,IF($AA71=0,0,IF(ISNA(MATCH(V$5,CompListItem,0)),0,IF(COUNTIFS(OverEmp,$C71,OverComp,V$5,OverDate,"&lt;"&amp;DATE(YEAR($AC71),MONTH($AC71)+1,1),OverEnd,"&gt;="&amp;DATE(YEAR($AC71),MONTH($AC71),1))&gt;0,SUMIFS(OverValue,OverEmp,$C71,OverComp,V$5,OverDate,"&lt;"&amp;DATE(YEAR($AC71),MONTH($AC71)+1,1),OverEnd,"&gt;="&amp;DATE(YEAR($AC71),MONTH($AC71),1)),IF(OR(V$2="Fixed",V$2="Not Used"),(OFFSET(Setup!$E$81,MATCH(V$5,CompListItem,0),0,1,1)*$AA71)-SUMIFS(OFFSET(V$6,1,0,PayCount,1),PayDate,"&lt;"&amp;$AC71,PayEmp,$C71),IF(ISNA(MATCH(V$2,DedListItem,0))=FALSE,(SUMPRODUCT((PayEmp=$C71)*(PayDate&lt;=$AC71)*(PayDedList=V$2)*(PayDedValues))*OFFSET(Setup!$E$81,MATCH(V$5,CompListItem,0),0,1,1))-SUMIFS(OFFSET(V$6,1,0,PayCount,1),PayDate,"&lt;"&amp;$AC71,PayEmp,$C71),(MIN(IF(OFFSET(Setup!$G$81,MATCH(V$5,CompListItem,0),0,1,1)="Taxable",SUMPRODUCT((PayEmp=$C71)*(PayDate&lt;=$AC71)*(ISERROR(SEARCH(PayEarnCode,V$4)))*(PayEarnTax)*(PayEarnValues)),SUMPRODUCT((PayEmp=$C71)*(PayDate&lt;=$AC71)*(ISERROR(SEARCH(PayEarnCode,V$4)))*(PayEarnValues))),IF(ISNUMBER(V$3),V$3/12*$AA71,IgnoreMin)))*OFFSET(Setup!$E$81,MATCH(V$5,CompListItem,0),0,1,1)-SUMIFS(OFFSET(V$6,1,0,PayCount,1),PayDate,"&lt;"&amp;$AC71,PayEmp,$C71)))))))</f>
        <v>0</v>
      </c>
      <c r="W71" s="133" cm="1">
        <f t="array" aca="1" ref="W71" ca="1">IF($F71="Terminated",0,IF($AA71=0,0,IF(ISNA(MATCH(W$5,CompListItem,0)),0,IF(COUNTIFS(OverEmp,$C71,OverComp,W$5,OverDate,"&lt;"&amp;DATE(YEAR($AC71),MONTH($AC71)+1,1),OverEnd,"&gt;="&amp;DATE(YEAR($AC71),MONTH($AC71),1))&gt;0,SUMIFS(OverValue,OverEmp,$C71,OverComp,W$5,OverDate,"&lt;"&amp;DATE(YEAR($AC71),MONTH($AC71)+1,1),OverEnd,"&gt;="&amp;DATE(YEAR($AC71),MONTH($AC71),1)),IF(OR(W$2="Fixed",W$2="Not Used"),(OFFSET(Setup!$E$81,MATCH(W$5,CompListItem,0),0,1,1)*$AA71)-SUMIFS(OFFSET(W$6,1,0,PayCount,1),PayDate,"&lt;"&amp;$AC71,PayEmp,$C71),IF(ISNA(MATCH(W$2,DedListItem,0))=FALSE,(SUMPRODUCT((PayEmp=$C71)*(PayDate&lt;=$AC71)*(PayDedList=W$2)*(PayDedValues))*OFFSET(Setup!$E$81,MATCH(W$5,CompListItem,0),0,1,1))-SUMIFS(OFFSET(W$6,1,0,PayCount,1),PayDate,"&lt;"&amp;$AC71,PayEmp,$C71),(MIN(IF(OFFSET(Setup!$G$81,MATCH(W$5,CompListItem,0),0,1,1)="Taxable",SUMPRODUCT((PayEmp=$C71)*(PayDate&lt;=$AC71)*(ISERROR(SEARCH(PayEarnCode,W$4)))*(PayEarnTax)*(PayEarnValues)),SUMPRODUCT((PayEmp=$C71)*(PayDate&lt;=$AC71)*(ISERROR(SEARCH(PayEarnCode,W$4)))*(PayEarnValues))),IF(ISNUMBER(W$3),W$3/12*$AA71,IgnoreMin)))*OFFSET(Setup!$E$81,MATCH(W$5,CompListItem,0),0,1,1)-SUMIFS(OFFSET(W$6,1,0,PayCount,1),PayDate,"&lt;"&amp;$AC71,PayEmp,$C71)))))))</f>
        <v>0</v>
      </c>
      <c r="X71" s="185">
        <f t="shared" ca="1" si="30"/>
        <v>200</v>
      </c>
      <c r="Y71" s="139">
        <f t="shared" ref="Y71:Y102" ca="1" si="39">L71+X71</f>
        <v>10200</v>
      </c>
      <c r="Z71" s="139">
        <f t="shared" ca="1" si="31"/>
        <v>300</v>
      </c>
      <c r="AA71" s="146">
        <f ca="1">IF(OR($B71&lt;=Setup!$E$12,$B71&gt;=Setup!$D$12+1),0,IF($F71&lt;&gt;"Active",0,IF($AE71="Yes",$AB71,((YEAR($AC71)*12)+MONTH($AC71))-((YEAR($AD71)*12)+MONTH($AD71)-1))))</f>
        <v>5</v>
      </c>
      <c r="AB71" s="146">
        <f ca="1">IF(OR($B71&lt;=Setup!$E$12,$B71&gt;=Setup!$D$12+1),0,((YEAR($AC71)*12)+MONTH($AC71))-((YEAR(Setup!$E$12)*12)+MONTH(Setup!$E$12)))</f>
        <v>5</v>
      </c>
      <c r="AC71" s="186">
        <f t="shared" ca="1" si="32"/>
        <v>45132</v>
      </c>
      <c r="AD71" s="144">
        <f ca="1">IF(ISNA(VLOOKUP($C71,EmpAll,COLUMN(Emp!$E$4),0)),$AC71,IF(VLOOKUP($C71,EmpAll,COLUMN(Emp!$E$4),0)&lt;=Setup!$E$12,DATE(YEAR(Setup!$E$12),MONTH(Setup!$E$12)+1,1),VLOOKUP($C71,EmpAll,COLUMN(Emp!$E$4),0)))</f>
        <v>44986</v>
      </c>
      <c r="AE71" s="144" t="str">
        <f ca="1">IF(ISNA(VLOOKUP($C71,EmpAll,COLUMN(Emp!$G$1),0)),"-",IF(VLOOKUP($C71,EmpAll,COLUMN(Emp!$G$1),0)=0,"-",VLOOKUP($C71,EmpAll,COLUMN(Emp!$G$1),0)))</f>
        <v>-</v>
      </c>
      <c r="AF71" s="145">
        <f ca="1">IF(A71=PaySlip!$G$3,1,0)</f>
        <v>0</v>
      </c>
      <c r="AG71" s="130" cm="1">
        <f t="array" aca="1" ref="AG71" ca="1">IF(COUNTIFS(OverEmp,$C71,OverMed,"MED",OverDate,"&lt;"&amp;DATE(YEAR($AC71),MONTH($AC71)+1,1),OverEnd,"&gt;="&amp;DATE(YEAR($AC71),MONTH($AC71),1))&gt;0,SUMIFS(OverValue,OverEmp,$C71,OverMed,"MED",OverDate,"&lt;"&amp;DATE(YEAR($AC71),MONTH($AC71)+1,1),OverEnd,"&gt;="&amp;DATE(YEAR($AC71),MONTH($AC71),1)),IF(ISNA(VLOOKUP($C71,EmpAll,COLUMN(Emp!$N$4),0)),0,VLOOKUP($C71,EmpAll,COLUMN(Emp!$N$4),0)))</f>
        <v>1</v>
      </c>
      <c r="AH71" s="146">
        <f ca="1">VLOOKUP($AG71,MedList,COLUMN(Setup!$C$49),1)</f>
        <v>364</v>
      </c>
      <c r="AI71" s="146">
        <f t="shared" ref="AI71:AI134" ca="1" si="40">SUMIFS(PayMedDeduct,PayDate,"&lt;"&amp;$AC71,PayEmp,$C71)+$AH71+($AH71*(12-$AA71))</f>
        <v>4368</v>
      </c>
      <c r="AJ71" s="101" t="str">
        <f ca="1">IF(ISNA(VLOOKUP($C71,EmpAll,COLUMN(Emp!$L$4),0)),"None!",VLOOKUP($C71,EmpAll,COLUMN(Emp!$L$4),0))</f>
        <v>A</v>
      </c>
      <c r="AK71" s="147">
        <f t="shared" ca="1" si="33"/>
        <v>17235</v>
      </c>
      <c r="AL71" s="101" t="str">
        <f ca="1">IF(ISNA(VLOOKUP($C71,Employees[],COLUMN(Emp!$M$4),0))=TRUE,"Error!",IF(VLOOKUP($C71,Employees[],COLUMN(Emp!$M$4),0)=0,"Yes",VLOOKUP($C71,Employees[],COLUMN(Emp!$M$4),0)))</f>
        <v>A</v>
      </c>
      <c r="AM71" s="148">
        <f t="shared" ref="AM71:AM134" ca="1" si="41">IF($AA71=0,0,((SUMPRODUCT((PayEmp=$C71)*(PayDate&lt;=$AC71)*(PayEarnType="Monthly")*(PayEarnTax)*(PayEarnValues))/$AA71*12)+(SUMPRODUCT((PayEmp=$C71)*(PayDate&lt;=$AC71)*(PayEarnType="Quarterly")*(PayEarnTax)*(PayEarnValues))/MAX(1,ROUNDDOWN($AB71/3,0))*4)+(SUMPRODUCT((PayEmp=$C71)*(PayDate&lt;=$AC71)*(PayEarnType="Bi-Annual")*(PayEarnTax)*(PayEarnValues))/MAX(1,ROUNDDOWN($AB71/6,0))*2)+(SUMPRODUCT((PayEmp=$C71)*(PayDate&lt;=$AC71)*(PayEarnType="Annual")*(PayEarnTax)*(PayEarnValues)))))</f>
        <v>120000</v>
      </c>
      <c r="AN71" s="148" cm="1">
        <f t="array" aca="1" ref="AN71" ca="1">-IF($F71="Terminated",0,IF($AA71=0,0,IF(ISNA(MATCH(AN$5,PayDedList,0)),0,MIN(IF(COUNTIFS(OverEmp,$C71,OverDeduct,AN$5,OverDate,"&lt;"&amp;DATE(YEAR($AC71),MONTH($AC71)+1,1),OverEnd,"&gt;="&amp;DATE(YEAR($AC71),MONTH($AC71),1))&gt;0,SUMPRODUCT((PayEmp=$C71)*(PayDate&lt;=$AC71)*(OFFSET($N$6,1,MATCH(AN$5,PayDedList,0)-1,PayCount,1)))/$AA71*12*AN$3,IF(OR(AN$1="Fixed",AN$1="Not Used"),SUMPRODUCT((PayEmp=$C71)*(PayDate&lt;=$AC71)*(OFFSET($N$6,1,MATCH(AN$5,PayDedList,0)-1,PayCount,1)))/$AA71*12*AN$3,IF(ISNA(MATCH(AN$1,EarnListItem,0))=FALSE,SUMPRODUCT((PayEmp=$C71)*(PayDate&lt;=$AC71)*(OFFSET($N$6,1,MATCH(AN$5,PayDedList,0)-1,PayCount,1)))/$AA71*12*AN$3,(MIN(((SUMPRODUCT((PayEmp=$C71)*(PayDate&lt;=$AC71)*(ISERROR(SEARCH(PayEarnCode,AN$2)))*(PayEarnType="Monthly")*(PayEarnValues))/$AA71*12)+(SUMPRODUCT((PayEmp=$C71)*(PayDate&lt;=$AC71)*(ISERROR(SEARCH(PayEarnCode,AN$2)))*(PayEarnType="Quarterly")*(PayEarnValues))/MAX(1,ROUNDDOWN($AB71/3,0))*4)+(SUMPRODUCT((PayEmp=$C71)*(PayDate&lt;=$AC71)*(ISERROR(SEARCH(PayEarnCode,AN$2)))*(PayEarnType="Bi-Annual")*(PayEarnValues))/MAX(1,ROUNDDOWN($AB71/6,0))*2)+(SUMPRODUCT((PayEmp=$C71)*(PayDate&lt;=$AC71)*(ISERROR(SEARCH(PayEarnCode,AN$2)))*(PayEarnType="Annual")*(PayEarnValues)))),IF(ISNUMBER(OFFSET($N$3,0,MATCH(AN$5,PayDedList,0)-1,1,1)),OFFSET($N$3,0,MATCH(AN$5,PayDedList,0)-1,1,1),IgnoreMin)))*IF(COUNTIFS(EmpNo,$C71,OFFSET(Emp!$R$4,1,MATCH(AN$5,DedListItem,0)-1,EmpCount,1),"&lt;&gt;")&gt;0,VLOOKUP($C71,EmpAll,COLUMN(Emp!$R$4)+MATCH(AN$5,DedListItem,0)-1,0),OFFSET(Setup!$E$73,MATCH(AN$5,DedListItem,0),0,1,1))*AN$3))),IF(ISNUMBER(AN$4),AN$4,IgnoreMin)))))</f>
        <v>0</v>
      </c>
      <c r="AO71" s="148" cm="1">
        <f t="array" aca="1" ref="AO71" ca="1">-IF($F71="Terminated",0,IF($AA71=0,0,IF(ISNA(MATCH(AO$5,PayDedList,0)),0,MIN(IF(COUNTIFS(OverEmp,$C71,OverDeduct,AO$5,OverDate,"&lt;"&amp;DATE(YEAR($AC71),MONTH($AC71)+1,1),OverEnd,"&gt;="&amp;DATE(YEAR($AC71),MONTH($AC71),1))&gt;0,SUMPRODUCT((PayEmp=$C71)*(PayDate&lt;=$AC71)*(OFFSET($N$6,1,MATCH(AO$5,PayDedList,0)-1,PayCount,1)))/$AA71*12*AO$3,IF(OR(AO$1="Fixed",AO$1="Not Used"),SUMPRODUCT((PayEmp=$C71)*(PayDate&lt;=$AC71)*(OFFSET($N$6,1,MATCH(AO$5,PayDedList,0)-1,PayCount,1)))/$AA71*12*AO$3,IF(ISNA(MATCH(AO$1,EarnListItem,0))=FALSE,SUMPRODUCT((PayEmp=$C71)*(PayDate&lt;=$AC71)*(OFFSET($N$6,1,MATCH(AO$5,PayDedList,0)-1,PayCount,1)))/$AA71*12*AO$3,(MIN(((SUMPRODUCT((PayEmp=$C71)*(PayDate&lt;=$AC71)*(ISERROR(SEARCH(PayEarnCode,AO$2)))*(PayEarnType="Monthly")*(PayEarnValues))/$AA71*12)+(SUMPRODUCT((PayEmp=$C71)*(PayDate&lt;=$AC71)*(ISERROR(SEARCH(PayEarnCode,AO$2)))*(PayEarnType="Quarterly")*(PayEarnValues))/MAX(1,ROUNDDOWN($AB71/3,0))*4)+(SUMPRODUCT((PayEmp=$C71)*(PayDate&lt;=$AC71)*(ISERROR(SEARCH(PayEarnCode,AO$2)))*(PayEarnType="Bi-Annual")*(PayEarnValues))/MAX(1,ROUNDDOWN($AB71/6,0))*2)+(SUMPRODUCT((PayEmp=$C71)*(PayDate&lt;=$AC71)*(ISERROR(SEARCH(PayEarnCode,AO$2)))*(PayEarnType="Annual")*(PayEarnValues)))),IF(ISNUMBER(OFFSET($N$3,0,MATCH(AO$5,PayDedList,0)-1,1,1)),OFFSET($N$3,0,MATCH(AO$5,PayDedList,0)-1,1,1),IgnoreMin)))*IF(COUNTIFS(EmpNo,$C71,OFFSET(Emp!$R$4,1,MATCH(AO$5,DedListItem,0)-1,EmpCount,1),"&lt;&gt;")&gt;0,VLOOKUP($C71,EmpAll,COLUMN(Emp!$R$4)+MATCH(AO$5,DedListItem,0)-1,0),OFFSET(Setup!$E$73,MATCH(AO$5,DedListItem,0),0,1,1))*AO$3))),IF(ISNUMBER(AO$4),AO$4,IgnoreMin)))))</f>
        <v>0</v>
      </c>
      <c r="AP71" s="148" cm="1">
        <f t="array" aca="1" ref="AP71" ca="1">-IF($F71="Terminated",0,IF($AA71=0,0,IF(ISNA(MATCH(AP$5,PayDedList,0)),0,MIN(IF(COUNTIFS(OverEmp,$C71,OverDeduct,AP$5,OverDate,"&lt;"&amp;DATE(YEAR($AC71),MONTH($AC71)+1,1),OverEnd,"&gt;="&amp;DATE(YEAR($AC71),MONTH($AC71),1))&gt;0,SUMPRODUCT((PayEmp=$C71)*(PayDate&lt;=$AC71)*(OFFSET($N$6,1,MATCH(AP$5,PayDedList,0)-1,PayCount,1)))/$AA71*12*AP$3,IF(OR(AP$1="Fixed",AP$1="Not Used"),SUMPRODUCT((PayEmp=$C71)*(PayDate&lt;=$AC71)*(OFFSET($N$6,1,MATCH(AP$5,PayDedList,0)-1,PayCount,1)))/$AA71*12*AP$3,IF(ISNA(MATCH(AP$1,EarnListItem,0))=FALSE,SUMPRODUCT((PayEmp=$C71)*(PayDate&lt;=$AC71)*(OFFSET($N$6,1,MATCH(AP$5,PayDedList,0)-1,PayCount,1)))/$AA71*12*AP$3,(MIN(((SUMPRODUCT((PayEmp=$C71)*(PayDate&lt;=$AC71)*(ISERROR(SEARCH(PayEarnCode,AP$2)))*(PayEarnType="Monthly")*(PayEarnValues))/$AA71*12)+(SUMPRODUCT((PayEmp=$C71)*(PayDate&lt;=$AC71)*(ISERROR(SEARCH(PayEarnCode,AP$2)))*(PayEarnType="Quarterly")*(PayEarnValues))/MAX(1,ROUNDDOWN($AB71/3,0))*4)+(SUMPRODUCT((PayEmp=$C71)*(PayDate&lt;=$AC71)*(ISERROR(SEARCH(PayEarnCode,AP$2)))*(PayEarnType="Bi-Annual")*(PayEarnValues))/MAX(1,ROUNDDOWN($AB71/6,0))*2)+(SUMPRODUCT((PayEmp=$C71)*(PayDate&lt;=$AC71)*(ISERROR(SEARCH(PayEarnCode,AP$2)))*(PayEarnType="Annual")*(PayEarnValues)))),IF(ISNUMBER(OFFSET($N$3,0,MATCH(AP$5,PayDedList,0)-1,1,1)),OFFSET($N$3,0,MATCH(AP$5,PayDedList,0)-1,1,1),IgnoreMin)))*IF(COUNTIFS(EmpNo,$C71,OFFSET(Emp!$R$4,1,MATCH(AP$5,DedListItem,0)-1,EmpCount,1),"&lt;&gt;")&gt;0,VLOOKUP($C71,EmpAll,COLUMN(Emp!$R$4)+MATCH(AP$5,DedListItem,0)-1,0),OFFSET(Setup!$E$73,MATCH(AP$5,DedListItem,0),0,1,1))*AP$3))),IF(ISNUMBER(AP$4),AP$4,IgnoreMin)))))</f>
        <v>0</v>
      </c>
      <c r="AQ71" s="148" cm="1">
        <f t="array" aca="1" ref="AQ71" ca="1">-IF($F71="Terminated",0,IF($AA71=0,0,IF(ISNA(MATCH(AQ$5,PayDedList,0)),0,MIN(IF(COUNTIFS(OverEmp,$C71,OverDeduct,AQ$5,OverDate,"&lt;"&amp;DATE(YEAR($AC71),MONTH($AC71)+1,1),OverEnd,"&gt;="&amp;DATE(YEAR($AC71),MONTH($AC71),1))&gt;0,SUMPRODUCT((PayEmp=$C71)*(PayDate&lt;=$AC71)*(OFFSET($N$6,1,MATCH(AQ$5,PayDedList,0)-1,PayCount,1)))/$AA71*12*AQ$3,IF(OR(AQ$1="Fixed",AQ$1="Not Used"),SUMPRODUCT((PayEmp=$C71)*(PayDate&lt;=$AC71)*(OFFSET($N$6,1,MATCH(AQ$5,PayDedList,0)-1,PayCount,1)))/$AA71*12*AQ$3,IF(ISNA(MATCH(AQ$1,EarnListItem,0))=FALSE,SUMPRODUCT((PayEmp=$C71)*(PayDate&lt;=$AC71)*(OFFSET($N$6,1,MATCH(AQ$5,PayDedList,0)-1,PayCount,1)))/$AA71*12*AQ$3,(MIN(((SUMPRODUCT((PayEmp=$C71)*(PayDate&lt;=$AC71)*(ISERROR(SEARCH(PayEarnCode,AQ$2)))*(PayEarnType="Monthly")*(PayEarnValues))/$AA71*12)+(SUMPRODUCT((PayEmp=$C71)*(PayDate&lt;=$AC71)*(ISERROR(SEARCH(PayEarnCode,AQ$2)))*(PayEarnType="Quarterly")*(PayEarnValues))/MAX(1,ROUNDDOWN($AB71/3,0))*4)+(SUMPRODUCT((PayEmp=$C71)*(PayDate&lt;=$AC71)*(ISERROR(SEARCH(PayEarnCode,AQ$2)))*(PayEarnType="Bi-Annual")*(PayEarnValues))/MAX(1,ROUNDDOWN($AB71/6,0))*2)+(SUMPRODUCT((PayEmp=$C71)*(PayDate&lt;=$AC71)*(ISERROR(SEARCH(PayEarnCode,AQ$2)))*(PayEarnType="Annual")*(PayEarnValues)))),IF(ISNUMBER(OFFSET($N$3,0,MATCH(AQ$5,PayDedList,0)-1,1,1)),OFFSET($N$3,0,MATCH(AQ$5,PayDedList,0)-1,1,1),IgnoreMin)))*IF(COUNTIFS(EmpNo,$C71,OFFSET(Emp!$R$4,1,MATCH(AQ$5,DedListItem,0)-1,EmpCount,1),"&lt;&gt;")&gt;0,VLOOKUP($C71,EmpAll,COLUMN(Emp!$R$4)+MATCH(AQ$5,DedListItem,0)-1,0),OFFSET(Setup!$E$73,MATCH(AQ$5,DedListItem,0),0,1,1))*AQ$3))),IF(ISNUMBER(AQ$4),AQ$4,IgnoreMin)))))</f>
        <v>0</v>
      </c>
      <c r="AR71" s="148">
        <f t="shared" ca="1" si="34"/>
        <v>120000</v>
      </c>
      <c r="AS71" s="148">
        <f t="shared" ref="AS71:AS134" ca="1" si="42">IF($AA71=0,0,(SUMPRODUCT((PayEmp=$C71)*(PayDate&lt;=$AC71)*(PayEarnType="Monthly")*(PayEarnTax)*(PayEarnValues))/$AA71*12))</f>
        <v>120000</v>
      </c>
      <c r="AT71" s="148" cm="1">
        <f t="array" aca="1" ref="AT71" ca="1">-IF($F71="Terminated",0,IF($AA71=0,0,IF(ISNA(MATCH(AT$5,PayDedList,0)),0,MIN(IF(COUNTIFS(OverEmp,$C71,OverDeduct,AT$5,OverDate,"&lt;"&amp;DATE(YEAR($AC71),MONTH($AC71)+1,1),OverEnd,"&gt;="&amp;DATE(YEAR($AC71),MONTH($AC71),1))&gt;0,SUMPRODUCT((PayEmp=$C71)*(PayDate&lt;=$AC71)*(OFFSET($N$6,1,MATCH(AT$5,PayDedList,0)-1,PayCount,1)))/$AA71*12*AT$3,IF(OR(AT$1="Fixed",AT$1="Not Used"),SUMPRODUCT((PayEmp=$C71)*(PayDate&lt;=$AC71)*(OFFSET($N$6,1,MATCH(AT$5,PayDedList,0)-1,PayCount,1)))/$AA71*12*AT$3,IF(ISNA(MATCH(OFFSET($N$2,0,MATCH(AT$5,PayDedList,0)-1,1,1),EarnListItem,0))=FALSE,SUMPRODUCT((PayEmp=$C71)*(PayDate&lt;=$AC71)*(OFFSET($N$6,1,MATCH(AT$5,PayDedList,0)-1,PayCount,1)))/$AA71*12*AT$3,(MIN(SUMPRODUCT((PayEmp=$C71)*(PayDate&lt;=$AC71)*(ISERROR(SEARCH(PayEarnCode,AT$2)))*(PayEarnType="Monthly")*(PayEarnValues))/$AA71*12,IF(ISNUMBER(OFFSET($N$3,0,MATCH(AT$5,PayDedList,0)-1,1,1)),OFFSET($N$3,0,MATCH(AT$5,PayDedList,0)-1,1,1),IgnoreMin)))*IF(COUNTIFS(EmpNo,$C71,OFFSET(Emp!$R$4,1,MATCH(AT$5,DedListItem,0)-1,EmpCount,1),"&lt;&gt;")&gt;0,VLOOKUP($C71,EmpAll,COLUMN(Emp!$R$4)+MATCH(AT$5,DedListItem,0)-1,0),OFFSET(Setup!$E$73,MATCH(AT$5,DedListItem,0),0,1,1))*AT$3))),IF(ISNUMBER(AT$4),AT$4,IgnoreMin)))))</f>
        <v>0</v>
      </c>
      <c r="AU71" s="148" cm="1">
        <f t="array" aca="1" ref="AU71" ca="1">-IF($F71="Terminated",0,IF($AA71=0,0,IF(ISNA(MATCH(AU$5,PayDedList,0)),0,MIN(IF(COUNTIFS(OverEmp,$C71,OverDeduct,AU$5,OverDate,"&lt;"&amp;DATE(YEAR($AC71),MONTH($AC71)+1,1),OverEnd,"&gt;="&amp;DATE(YEAR($AC71),MONTH($AC71),1))&gt;0,SUMPRODUCT((PayEmp=$C71)*(PayDate&lt;=$AC71)*(OFFSET($N$6,1,MATCH(AU$5,PayDedList,0)-1,PayCount,1)))/$AA71*12*AU$3,IF(OR(AU$1="Fixed",AU$1="Not Used"),SUMPRODUCT((PayEmp=$C71)*(PayDate&lt;=$AC71)*(OFFSET($N$6,1,MATCH(AU$5,PayDedList,0)-1,PayCount,1)))/$AA71*12*AU$3,IF(ISNA(MATCH(OFFSET($N$2,0,MATCH(AU$5,PayDedList,0)-1,1,1),EarnListItem,0))=FALSE,SUMPRODUCT((PayEmp=$C71)*(PayDate&lt;=$AC71)*(OFFSET($N$6,1,MATCH(AU$5,PayDedList,0)-1,PayCount,1)))/$AA71*12*AU$3,(MIN(SUMPRODUCT((PayEmp=$C71)*(PayDate&lt;=$AC71)*(ISERROR(SEARCH(PayEarnCode,AU$2)))*(PayEarnType="Monthly")*(PayEarnValues))/$AA71*12,IF(ISNUMBER(OFFSET($N$3,0,MATCH(AU$5,PayDedList,0)-1,1,1)),OFFSET($N$3,0,MATCH(AU$5,PayDedList,0)-1,1,1),IgnoreMin)))*IF(COUNTIFS(EmpNo,$C71,OFFSET(Emp!$R$4,1,MATCH(AU$5,DedListItem,0)-1,EmpCount,1),"&lt;&gt;")&gt;0,VLOOKUP($C71,EmpAll,COLUMN(Emp!$R$4)+MATCH(AU$5,DedListItem,0)-1,0),OFFSET(Setup!$E$73,MATCH(AU$5,DedListItem,0),0,1,1))*AU$3))),IF(ISNUMBER(AU$4),AU$4,IgnoreMin)))))</f>
        <v>0</v>
      </c>
      <c r="AV71" s="148" cm="1">
        <f t="array" aca="1" ref="AV71" ca="1">-IF($F71="Terminated",0,IF($AA71=0,0,IF(ISNA(MATCH(AV$5,PayDedList,0)),0,MIN(IF(COUNTIFS(OverEmp,$C71,OverDeduct,AV$5,OverDate,"&lt;"&amp;DATE(YEAR($AC71),MONTH($AC71)+1,1),OverEnd,"&gt;="&amp;DATE(YEAR($AC71),MONTH($AC71),1))&gt;0,SUMPRODUCT((PayEmp=$C71)*(PayDate&lt;=$AC71)*(OFFSET($N$6,1,MATCH(AV$5,PayDedList,0)-1,PayCount,1)))/$AA71*12*AV$3,IF(OR(AV$1="Fixed",AV$1="Not Used"),SUMPRODUCT((PayEmp=$C71)*(PayDate&lt;=$AC71)*(OFFSET($N$6,1,MATCH(AV$5,PayDedList,0)-1,PayCount,1)))/$AA71*12*AV$3,IF(ISNA(MATCH(OFFSET($N$2,0,MATCH(AV$5,PayDedList,0)-1,1,1),EarnListItem,0))=FALSE,SUMPRODUCT((PayEmp=$C71)*(PayDate&lt;=$AC71)*(OFFSET($N$6,1,MATCH(AV$5,PayDedList,0)-1,PayCount,1)))/$AA71*12*AV$3,(MIN(SUMPRODUCT((PayEmp=$C71)*(PayDate&lt;=$AC71)*(ISERROR(SEARCH(PayEarnCode,AV$2)))*(PayEarnType="Monthly")*(PayEarnValues))/$AA71*12,IF(ISNUMBER(OFFSET($N$3,0,MATCH(AV$5,PayDedList,0)-1,1,1)),OFFSET($N$3,0,MATCH(AV$5,PayDedList,0)-1,1,1),IgnoreMin)))*IF(COUNTIFS(EmpNo,$C71,OFFSET(Emp!$R$4,1,MATCH(AV$5,DedListItem,0)-1,EmpCount,1),"&lt;&gt;")&gt;0,VLOOKUP($C71,EmpAll,COLUMN(Emp!$R$4)+MATCH(AV$5,DedListItem,0)-1,0),OFFSET(Setup!$E$73,MATCH(AV$5,DedListItem,0),0,1,1))*AV$3))),IF(ISNUMBER(AV$4),AV$4,IgnoreMin)))))</f>
        <v>0</v>
      </c>
      <c r="AW71" s="148" cm="1">
        <f t="array" aca="1" ref="AW71" ca="1">-IF($F71="Terminated",0,IF($AA71=0,0,IF(ISNA(MATCH(AW$5,PayDedList,0)),0,MIN(IF(COUNTIFS(OverEmp,$C71,OverDeduct,AW$5,OverDate,"&lt;"&amp;DATE(YEAR($AC71),MONTH($AC71)+1,1),OverEnd,"&gt;="&amp;DATE(YEAR($AC71),MONTH($AC71),1))&gt;0,SUMPRODUCT((PayEmp=$C71)*(PayDate&lt;=$AC71)*(OFFSET($N$6,1,MATCH(AW$5,PayDedList,0)-1,PayCount,1)))/$AA71*12*AW$3,IF(OR(AW$1="Fixed",AW$1="Not Used"),SUMPRODUCT((PayEmp=$C71)*(PayDate&lt;=$AC71)*(OFFSET($N$6,1,MATCH(AW$5,PayDedList,0)-1,PayCount,1)))/$AA71*12*AW$3,IF(ISNA(MATCH(OFFSET($N$2,0,MATCH(AW$5,PayDedList,0)-1,1,1),EarnListItem,0))=FALSE,SUMPRODUCT((PayEmp=$C71)*(PayDate&lt;=$AC71)*(OFFSET($N$6,1,MATCH(AW$5,PayDedList,0)-1,PayCount,1)))/$AA71*12*AW$3,(MIN(SUMPRODUCT((PayEmp=$C71)*(PayDate&lt;=$AC71)*(ISERROR(SEARCH(PayEarnCode,AW$2)))*(PayEarnType="Monthly")*(PayEarnValues))/$AA71*12,IF(ISNUMBER(OFFSET($N$3,0,MATCH(AW$5,PayDedList,0)-1,1,1)),OFFSET($N$3,0,MATCH(AW$5,PayDedList,0)-1,1,1),IgnoreMin)))*IF(COUNTIFS(EmpNo,$C71,OFFSET(Emp!$R$4,1,MATCH(AW$5,DedListItem,0)-1,EmpCount,1),"&lt;&gt;")&gt;0,VLOOKUP($C71,EmpAll,COLUMN(Emp!$R$4)+MATCH(AW$5,DedListItem,0)-1,0),OFFSET(Setup!$E$73,MATCH(AW$5,DedListItem,0),0,1,1))*AW$3))),IF(ISNUMBER(AW$4),AW$4,IgnoreMin)))))</f>
        <v>0</v>
      </c>
      <c r="AX71" s="148">
        <f t="shared" ref="AX71:AX102" ca="1" si="43">$AS71+SUM(OFFSET($AT71,0,0,1,COLUMN($AX$2)-COLUMN($AT$2)))</f>
        <v>120000</v>
      </c>
      <c r="AY71" s="148">
        <f t="shared" ref="AY71:AY102" ca="1" si="44">AR71-AX71</f>
        <v>0</v>
      </c>
      <c r="AZ71" s="148">
        <f ca="1">IF(ISNUMBER($AL71),($AR71*$AL71)-$AI71-$AK71,MAX(0,IF($AL71="B",IF($AR71&lt;Setup!$C$32,($AR71*Setup!$D$32)-$AI71-$AK71,(($AR71-VLOOKUP($AR71,TaxAll2,1,1))*OFFSET(Setup!$D$32,MATCH($AR71,TaxBracket2,1),0,1,1))+OFFSET(Setup!$E$31,MATCH($AR71,TaxBracket2,1),0,1,1)-$AI71-$AK71),IF($AR71&lt;Setup!$C$21,($AR71*Setup!$D$21)-$AI71-$AK71,(($AR71-VLOOKUP($AR71,TaxAll1,1,1))*OFFSET(Setup!$D$21,MATCH($AR71,TaxBracket1,1),0,1,1))+OFFSET(Setup!$E$20,MATCH($AR71,TaxBracket1,1),0,1,1)-$AI71-$AK71))))</f>
        <v>0</v>
      </c>
      <c r="BA71" s="148">
        <f ca="1">IF(ISNUMBER($AL71),($AX71*$AL71)-$AI71-$AK71,MAX(0,IF($AL71="B",IF($AX71&lt;Setup!$C$32,($AX71*Setup!$D$32)-$AI71-$AK71,(($AX71-VLOOKUP($AX71,TaxAll2,1,1))*OFFSET(Setup!$D$32,MATCH($AX71,TaxBracket2,1),0,1,1))+OFFSET(Setup!$E$31,MATCH($AX71,TaxBracket2,1),0,1,1)-$AI71-$AK71),IF($AX71&lt;Setup!$C$21,($AX71*Setup!$D$21)-$AI71-$AK71,(($AX71-VLOOKUP($AX71,TaxAll1,1,1))*OFFSET(Setup!$D$21,MATCH($AX71,TaxBracket1,1),0,1,1))+OFFSET(Setup!$E$20,MATCH($AX71,TaxBracket1,1),0,1,1)-$AI71-$AK71))))</f>
        <v>0</v>
      </c>
      <c r="BB71" s="148">
        <f t="shared" ca="1" si="35"/>
        <v>0</v>
      </c>
      <c r="BC71" s="150">
        <f t="shared" ref="BC71:BC134" ca="1" si="45">IF($AA71=0,0,IF($BE71=0,0,(SUMPRODUCT((PayEmp=$C71)*(PayDate&lt;=$AC71)*(ISERROR(SEARCH(PayEarnCode,O$4)))*(PayEarnType="Monthly")*(PayEarnValues))/$AA71*12)/$BE71))</f>
        <v>1</v>
      </c>
      <c r="BD71" s="150">
        <f t="shared" ref="BD71:BD134" ca="1" si="46">IF($BE71=0,0,(SUMPRODUCT((PayEmp=$C71)*(PayDate&lt;=$AC71)*(ISERROR(SEARCH(PayEarnCode,N$4)))*(PayEarnType="Annual")*(PayEarnValues)))/$BE71)</f>
        <v>0</v>
      </c>
      <c r="BE71" s="148">
        <f t="shared" ref="BE71:BE134" ca="1" si="47">IF($AA71=0,0,((SUMPRODUCT((PayEmp=$C71)*(PayDate&lt;=$AC71)*(ISERROR(SEARCH(PayEarnCode,O$4)))*(PayEarnType="Monthly")*(PayEarnValues))/$AA71*12)+(SUMPRODUCT((PayEmp=$C71)*(PayDate&lt;=$AC71)*(ISERROR(SEARCH(PayEarnCode,N$4)))*(PayEarnType="Annual")*(PayEarnValues)))))</f>
        <v>120000</v>
      </c>
    </row>
    <row r="72" spans="1:57" ht="16.149999999999999" customHeight="1" x14ac:dyDescent="0.25">
      <c r="A72" s="10" t="str" cm="1">
        <f t="array" aca="1" ref="A72" ca="1">IF(ROW($A72)-ROW($A$6)&gt;EmpCount*12,"-",TEXT($B72,"yyyy")&amp;TEXT($B72,"mm")&amp;"-"&amp;$C72)</f>
        <v>202307-EXS006</v>
      </c>
      <c r="B72" s="137" cm="1">
        <f t="array" aca="1" ref="B72" ca="1">IF(ROW($A72)-ROW($A$6)&gt;EmpCount*12,Setup!$D$12,DATE(YEAR(Setup!$F$12),MONTH(Setup!$F$12)+ROUNDDOWN((ROW($A72)-ROW($A$6)-1)/EmpCount,0),IF(Setup!$C$14&gt;DAY(DATE(YEAR(Setup!$F$12),MONTH(Setup!$F$12)+ROUNDDOWN((ROW($A72)-ROW($A$6)-1)/EmpCount,0)+1,0)),DAY(DATE(YEAR(Setup!$F$12),MONTH(Setup!$F$12)+ROUNDDOWN((ROW($A72)-ROW($A$6)-1)/EmpCount,0)+1,0)),Setup!$C$14)))</f>
        <v>45132</v>
      </c>
      <c r="C72" s="101" t="str" cm="1">
        <f t="array" aca="1" ref="C72" ca="1">IF(ROW($A72)-ROW($A$6)&gt;EmpCount*12,"-",OFFSET(Emp!$A$4,ROW($A72)-ROW($A$6)-IF(ROW($A72)-ROW($A$6)&gt;EmpCount,ROUNDDOWN((ROW($A72)-ROW($A$6)-1)/EmpCount,0)*EmpCount,0),0,1,1))</f>
        <v>EXS006</v>
      </c>
      <c r="D72" s="10" t="str">
        <f ca="1">IF(ISNA(VLOOKUP($C72,EmpAll,COLUMN(Emp!$B$4),0)),"-",VLOOKUP($C72,EmpAll,COLUMN(Emp!$B$4),0))</f>
        <v>Andrews MS</v>
      </c>
      <c r="E72" s="145" t="str">
        <f ca="1">IF(ISNA(VLOOKUP($C72,EmpAll,COLUMN(Emp!$C$4),0)),"-",VLOOKUP($C72,EmpAll,COLUMN(Emp!$C$4),0))</f>
        <v>S</v>
      </c>
      <c r="F72" s="101" t="str">
        <f ca="1">IF(ISNA(VLOOKUP($C72,EmpAll,COLUMN(Emp!$A$4),0)),"-",IF(AND(VLOOKUP($C72,EmpAll,COLUMN(Emp!$E$4),0)&lt;&gt;0,VLOOKUP($C72,EmpAll,COLUMN(Emp!$E$4),0)&gt;=DATE(YEAR($AC72),MONTH($AC72)+1,0)),"Inactive",IF(AND(VLOOKUP($C72,EmpAll,COLUMN(Emp!$F$4),0)&lt;&gt;0,VLOOKUP($C72,EmpAll,COLUMN(Emp!$F$4),0)&lt;=DATE(YEAR($AC72),MONTH($AC72),0)),"Terminated","Active")))</f>
        <v>Active</v>
      </c>
      <c r="G72" s="133" cm="1">
        <f t="array" aca="1" ref="G72" ca="1">IF($F72&lt;&gt;"Active",0,IF(COUNTIFS(OverEmp,$C72,OverEarn,G$2,OverDate,"&lt;"&amp;DATE(YEAR($AC72),MONTH($AC72)+1,1),OverEnd,"&gt;="&amp;DATE(YEAR($AC72),MONTH($AC72),1))&gt;0,SUMIFS(OverValue,OverEmp,$C72,OverEarn,G$2,OverDate,"&lt;"&amp;DATE(YEAR($AC72),MONTH($AC72)+1,1),OverEnd,"&gt;="&amp;DATE(YEAR($AC72),MONTH($AC72),1)),IF(AND($AC72&gt;=Setup!$E$10,SUMIFS(EmpIncrease,EmpCode,$C72)&gt;0),SUMIFS(EmpIncrease,EmpCode,$C72),SUMIFS(EmpSalary,EmpCode,$C72))))</f>
        <v>10000</v>
      </c>
      <c r="H72" s="133" cm="1">
        <f t="array" aca="1" ref="H72" ca="1">IF($F72&lt;&gt;"Active",0,IF(COUNTIFS(OverEmp,$C72,OverEarn,H$2,OverDate,"&lt;"&amp;DATE(YEAR($AC72),MONTH($AC72)+1,1),OverEnd,"&gt;="&amp;DATE(YEAR($AC72),MONTH($AC72),1))&gt;0,SUMIFS(OverValue,OverEmp,$C72,OverEarn,H$2,OverDate,"&lt;"&amp;DATE(YEAR($AC72),MONTH($AC72)+1,1),OverEnd,"&gt;="&amp;DATE(YEAR($AC72),MONTH($AC72),1)),0))</f>
        <v>0</v>
      </c>
      <c r="I72" s="133" cm="1">
        <f t="array" aca="1" ref="I72" ca="1">IF($F72&lt;&gt;"Active",0,IF(COUNTIFS(OverEmp,$C72,OverEarn,I$2,OverDate,"&lt;"&amp;DATE(YEAR($AC72),MONTH($AC72)+1,1),OverEnd,"&gt;="&amp;DATE(YEAR($AC72),MONTH($AC72),1))&gt;0,SUMIFS(OverValue,OverEmp,$C72,OverEarn,I$2,OverDate,"&lt;"&amp;DATE(YEAR($AC72),MONTH($AC72)+1,1),OverEnd,"&gt;="&amp;DATE(YEAR($AC72),MONTH($AC72),1)),IF(MONTH(B72)=Setup!$C$15,SUMIFS(EmpBonus,EmpCode,$C72),0)))</f>
        <v>0</v>
      </c>
      <c r="J72" s="133" cm="1">
        <f t="array" aca="1" ref="J72" ca="1">IF($F72&lt;&gt;"Active",0,IF(COUNTIFS(OverEmp,$C72,OverEarn,J$2,OverDate,"&lt;"&amp;DATE(YEAR($AC72),MONTH($AC72)+1,1),OverEnd,"&gt;="&amp;DATE(YEAR($AC72),MONTH($AC72),1))&gt;0,SUMIFS(OverValue,OverEmp,$C72,OverEarn,J$2,OverDate,"&lt;"&amp;DATE(YEAR($AC72),MONTH($AC72)+1,1),OverEnd,"&gt;="&amp;DATE(YEAR($AC72),MONTH($AC72),1)),0))</f>
        <v>0</v>
      </c>
      <c r="K72" s="133" cm="1">
        <f t="array" aca="1" ref="K72" ca="1">IF($F72&lt;&gt;"Active",0,IF(COUNTIFS(OverEmp,$C72,OverEarn,K$2,OverDate,"&lt;"&amp;DATE(YEAR($AC72),MONTH($AC72)+1,1),OverEnd,"&gt;="&amp;DATE(YEAR($AC72),MONTH($AC72),1))&gt;0,SUMIFS(OverValue,OverEmp,$C72,OverEarn,K$2,OverDate,"&lt;"&amp;DATE(YEAR($AC72),MONTH($AC72)+1,1),OverEnd,"&gt;="&amp;DATE(YEAR($AC72),MONTH($AC72),1)),0))</f>
        <v>0</v>
      </c>
      <c r="L72" s="185">
        <f t="shared" ca="1" si="36"/>
        <v>10000</v>
      </c>
      <c r="M72" s="182" cm="1">
        <f t="array" aca="1" ref="M72" ca="1">IF(COUNTIFS(OverEmp,$C72,OverTax,M$5,OverDate,"&lt;"&amp;DATE(YEAR($AC72),MONTH($AC72)+1,1),OverEnd,"&gt;="&amp;DATE(YEAR($AC72),MONTH($AC72),1))&gt;0,SUMIFS(OverValue,OverEmp,$C72,OverTax,M$5,OverDate,"&lt;"&amp;DATE(YEAR($AC72),MONTH($AC72)+1,1),OverEnd,"&gt;="&amp;DATE(YEAR($AC72),MONTH($AC72),1)),(($BA72/12*$AA72)+(BB72*IF(1-$BC72=0,0,BD72/(1-$BC72))))-IF($F72="Terminated",0,SUMIFS(PayTaxDeduct,PayDate,"&lt;"&amp;$AC72,PayEmp,$C72)))</f>
        <v>0</v>
      </c>
      <c r="N72" s="133" cm="1">
        <f t="array" aca="1" ref="N72" ca="1">IF($F72="Terminated",0,IF($AA72=0,0,IF(ISNA(MATCH(N$5,DedListItem,0)),0,IF(COUNTIFS(OverEmp,$C72,OverDeduct,N$5,OverDate,"&lt;"&amp;DATE(YEAR($AC72),MONTH($AC72)+1,1),OverEnd,"&gt;="&amp;DATE(YEAR($AC72),MONTH($AC72),1))&gt;0,SUMIFS(OverValue,OverEmp,$C72,OverDeduct,N$5,OverDate,"&lt;"&amp;DATE(YEAR($AC72),MONTH($AC72)+1,1),OverEnd,"&gt;="&amp;DATE(YEAR($AC72),MONTH($AC72),1)),IF(OR(N$2="Fixed",N$2="Not Used"),(IF(COUNTIFS(EmpNo,$C72,OFFSET(Emp!$R$4,1,MATCH(N$5,DedListItem,0)-1,EmpCount,1),"&lt;&gt;")&gt;0,VLOOKUP($C72,EmpAll,COLUMN(Emp!$R$4)+MATCH(N$5,DedListItem,0)-1,0),OFFSET(Setup!$E$73,MATCH(N$5,DedListItem,0),0,1,1))*$AA72)-SUMIFS(OFFSET(N$6,1,0,PayCount,1),PayDate,"&lt;"&amp;$AC72,PayEmp,$C72),IF(ISNA(MATCH(N$2,EarnListItem,0))=FALSE,IF(OFFSET(Setup!$G$73,MATCH(N$5,DedListItem,0),0,1,1)="Taxable",SUMPRODUCT((PayEmp=$C72)*(PayDate&lt;=$AC72)*(PayEarnCode=N$2)*(PayEarnTax)*(PayEarnValues)),SUMPRODUCT((PayEmp=$C72)*(PayDate&lt;=$AC72)*(PayEarnCode=N$2)*(PayEarnValues)))*IF(COUNTIFS(EmpNo,$C72,OFFSET(Emp!$R$4,1,MATCH(N$5,DedListItem,0)-1,EmpCount,1),"&lt;&gt;")&gt;0,VLOOKUP($C72,EmpAll,COLUMN(Emp!$R$4)+MATCH(N$5,DedListItem,0)-1,0),OFFSET(Setup!$E$73,MATCH(N$5,DedListItem,0),0,1,1)),(MIN(IF(OFFSET(Setup!$G$73,MATCH(N$5,DedListItem,0),0,1,1)="Taxable",SUMPRODUCT((PayEmp=$C72)*(PayDate&lt;=$AC72)*(ISERROR(SEARCH(PayEarnCode,N$4)))*(PayEarnTax)*(PayEarnValues)),SUMPRODUCT((PayEmp=$C72)*(PayDate&lt;=$AC72)*(ISERROR(SEARCH(PayEarnCode,N$4)))*(PayEarnValues))),IF(ISNUMBER(N$3),N$3/12*$AA72,IgnoreMin)))*IF(COUNTIFS(EmpNo,$C72,OFFSET(Emp!$R$4,1,MATCH(N$5,DedListItem,0)-1,EmpCount,1),"&lt;&gt;")&gt;0,VLOOKUP($C72,EmpAll,COLUMN(Emp!$R$4)+MATCH(N$5,DedListItem,0)-1,0),OFFSET(Setup!$E$73,MATCH(N$5,DedListItem,0),0,1,1)))-SUMIFS(OFFSET(N$6,1,0,PayCount,1),PayDate,"&lt;"&amp;$AC72,PayEmp,$C72))))))</f>
        <v>100</v>
      </c>
      <c r="O72" s="133" cm="1">
        <f t="array" aca="1" ref="O72" ca="1">IF($F72="Terminated",0,IF($AA72=0,0,IF(ISNA(MATCH(O$5,DedListItem,0)),0,IF(COUNTIFS(OverEmp,$C72,OverDeduct,O$5,OverDate,"&lt;"&amp;DATE(YEAR($AC72),MONTH($AC72)+1,1),OverEnd,"&gt;="&amp;DATE(YEAR($AC72),MONTH($AC72),1))&gt;0,SUMIFS(OverValue,OverEmp,$C72,OverDeduct,O$5,OverDate,"&lt;"&amp;DATE(YEAR($AC72),MONTH($AC72)+1,1),OverEnd,"&gt;="&amp;DATE(YEAR($AC72),MONTH($AC72),1)),IF(OR(O$2="Fixed",O$2="Not Used"),(IF(COUNTIFS(EmpNo,$C72,OFFSET(Emp!$R$4,1,MATCH(O$5,DedListItem,0)-1,EmpCount,1),"&lt;&gt;")&gt;0,VLOOKUP($C72,EmpAll,COLUMN(Emp!$R$4)+MATCH(O$5,DedListItem,0)-1,0),OFFSET(Setup!$E$73,MATCH(O$5,DedListItem,0),0,1,1))*$AA72)-SUMIFS(OFFSET(O$6,1,0,PayCount,1),PayDate,"&lt;"&amp;$AC72,PayEmp,$C72),IF(ISNA(MATCH(O$2,EarnListItem,0))=FALSE,IF(OFFSET(Setup!$G$73,MATCH(O$5,DedListItem,0),0,1,1)="Taxable",SUMPRODUCT((PayEmp=$C72)*(PayDate&lt;=$AC72)*(PayEarnCode=O$2)*(PayEarnTax)*(PayEarnValues)),SUMPRODUCT((PayEmp=$C72)*(PayDate&lt;=$AC72)*(PayEarnCode=O$2)*(PayEarnValues)))*IF(COUNTIFS(EmpNo,$C72,OFFSET(Emp!$R$4,1,MATCH(O$5,DedListItem,0)-1,EmpCount,1),"&lt;&gt;")&gt;0,VLOOKUP($C72,EmpAll,COLUMN(Emp!$R$4)+MATCH(O$5,DedListItem,0)-1,0),OFFSET(Setup!$E$73,MATCH(O$5,DedListItem,0),0,1,1)),(MIN(IF(OFFSET(Setup!$G$73,MATCH(O$5,DedListItem,0),0,1,1)="Taxable",SUMPRODUCT((PayEmp=$C72)*(PayDate&lt;=$AC72)*(ISERROR(SEARCH(PayEarnCode,O$4)))*(PayEarnTax)*(PayEarnValues)),SUMPRODUCT((PayEmp=$C72)*(PayDate&lt;=$AC72)*(ISERROR(SEARCH(PayEarnCode,O$4)))*(PayEarnValues))),IF(ISNUMBER(O$3),O$3/12*$AA72,IgnoreMin)))*IF(COUNTIFS(EmpNo,$C72,OFFSET(Emp!$R$4,1,MATCH(O$5,DedListItem,0)-1,EmpCount,1),"&lt;&gt;")&gt;0,VLOOKUP($C72,EmpAll,COLUMN(Emp!$R$4)+MATCH(O$5,DedListItem,0)-1,0),OFFSET(Setup!$E$73,MATCH(O$5,DedListItem,0),0,1,1)))-SUMIFS(OFFSET(O$6,1,0,PayCount,1),PayDate,"&lt;"&amp;$AC72,PayEmp,$C72))))))</f>
        <v>0</v>
      </c>
      <c r="P72" s="133" cm="1">
        <f t="array" aca="1" ref="P72" ca="1">IF($F72="Terminated",0,IF($AA72=0,0,IF(ISNA(MATCH(P$5,DedListItem,0)),0,IF(COUNTIFS(OverEmp,$C72,OverDeduct,P$5,OverDate,"&lt;"&amp;DATE(YEAR($AC72),MONTH($AC72)+1,1),OverEnd,"&gt;="&amp;DATE(YEAR($AC72),MONTH($AC72),1))&gt;0,SUMIFS(OverValue,OverEmp,$C72,OverDeduct,P$5,OverDate,"&lt;"&amp;DATE(YEAR($AC72),MONTH($AC72)+1,1),OverEnd,"&gt;="&amp;DATE(YEAR($AC72),MONTH($AC72),1)),IF(OR(P$2="Fixed",P$2="Not Used"),(IF(COUNTIFS(EmpNo,$C72,OFFSET(Emp!$R$4,1,MATCH(P$5,DedListItem,0)-1,EmpCount,1),"&lt;&gt;")&gt;0,VLOOKUP($C72,EmpAll,COLUMN(Emp!$R$4)+MATCH(P$5,DedListItem,0)-1,0),OFFSET(Setup!$E$73,MATCH(P$5,DedListItem,0),0,1,1))*$AA72)-SUMIFS(OFFSET(P$6,1,0,PayCount,1),PayDate,"&lt;"&amp;$AC72,PayEmp,$C72),IF(ISNA(MATCH(P$2,EarnListItem,0))=FALSE,IF(OFFSET(Setup!$G$73,MATCH(P$5,DedListItem,0),0,1,1)="Taxable",SUMPRODUCT((PayEmp=$C72)*(PayDate&lt;=$AC72)*(PayEarnCode=P$2)*(PayEarnTax)*(PayEarnValues)),SUMPRODUCT((PayEmp=$C72)*(PayDate&lt;=$AC72)*(PayEarnCode=P$2)*(PayEarnValues)))*IF(COUNTIFS(EmpNo,$C72,OFFSET(Emp!$R$4,1,MATCH(P$5,DedListItem,0)-1,EmpCount,1),"&lt;&gt;")&gt;0,VLOOKUP($C72,EmpAll,COLUMN(Emp!$R$4)+MATCH(P$5,DedListItem,0)-1,0),OFFSET(Setup!$E$73,MATCH(P$5,DedListItem,0),0,1,1)),(MIN(IF(OFFSET(Setup!$G$73,MATCH(P$5,DedListItem,0),0,1,1)="Taxable",SUMPRODUCT((PayEmp=$C72)*(PayDate&lt;=$AC72)*(ISERROR(SEARCH(PayEarnCode,P$4)))*(PayEarnTax)*(PayEarnValues)),SUMPRODUCT((PayEmp=$C72)*(PayDate&lt;=$AC72)*(ISERROR(SEARCH(PayEarnCode,P$4)))*(PayEarnValues))),IF(ISNUMBER(P$3),P$3/12*$AA72,IgnoreMin)))*IF(COUNTIFS(EmpNo,$C72,OFFSET(Emp!$R$4,1,MATCH(P$5,DedListItem,0)-1,EmpCount,1),"&lt;&gt;")&gt;0,VLOOKUP($C72,EmpAll,COLUMN(Emp!$R$4)+MATCH(P$5,DedListItem,0)-1,0),OFFSET(Setup!$E$73,MATCH(P$5,DedListItem,0),0,1,1)))-SUMIFS(OFFSET(P$6,1,0,PayCount,1),PayDate,"&lt;"&amp;$AC72,PayEmp,$C72))))))</f>
        <v>0</v>
      </c>
      <c r="Q72" s="133" cm="1">
        <f t="array" aca="1" ref="Q72" ca="1">IF($F72="Terminated",0,IF($AA72=0,0,IF(ISNA(MATCH(Q$5,DedListItem,0)),0,IF(COUNTIFS(OverEmp,$C72,OverDeduct,Q$5,OverDate,"&lt;"&amp;DATE(YEAR($AC72),MONTH($AC72)+1,1),OverEnd,"&gt;="&amp;DATE(YEAR($AC72),MONTH($AC72),1))&gt;0,SUMIFS(OverValue,OverEmp,$C72,OverDeduct,Q$5,OverDate,"&lt;"&amp;DATE(YEAR($AC72),MONTH($AC72)+1,1),OverEnd,"&gt;="&amp;DATE(YEAR($AC72),MONTH($AC72),1)),IF(OR(Q$2="Fixed",Q$2="Not Used"),(IF(COUNTIFS(EmpNo,$C72,OFFSET(Emp!$R$4,1,MATCH(Q$5,DedListItem,0)-1,EmpCount,1),"&lt;&gt;")&gt;0,VLOOKUP($C72,EmpAll,COLUMN(Emp!$R$4)+MATCH(Q$5,DedListItem,0)-1,0),OFFSET(Setup!$E$73,MATCH(Q$5,DedListItem,0),0,1,1))*$AA72)-SUMIFS(OFFSET(Q$6,1,0,PayCount,1),PayDate,"&lt;"&amp;$AC72,PayEmp,$C72),IF(ISNA(MATCH(Q$2,EarnListItem,0))=FALSE,IF(OFFSET(Setup!$G$73,MATCH(Q$5,DedListItem,0),0,1,1)="Taxable",SUMPRODUCT((PayEmp=$C72)*(PayDate&lt;=$AC72)*(PayEarnCode=Q$2)*(PayEarnTax)*(PayEarnValues)),SUMPRODUCT((PayEmp=$C72)*(PayDate&lt;=$AC72)*(PayEarnCode=Q$2)*(PayEarnValues)))*IF(COUNTIFS(EmpNo,$C72,OFFSET(Emp!$R$4,1,MATCH(Q$5,DedListItem,0)-1,EmpCount,1),"&lt;&gt;")&gt;0,VLOOKUP($C72,EmpAll,COLUMN(Emp!$R$4)+MATCH(Q$5,DedListItem,0)-1,0),OFFSET(Setup!$E$73,MATCH(Q$5,DedListItem,0),0,1,1)),(MIN(IF(OFFSET(Setup!$G$73,MATCH(Q$5,DedListItem,0),0,1,1)="Taxable",SUMPRODUCT((PayEmp=$C72)*(PayDate&lt;=$AC72)*(ISERROR(SEARCH(PayEarnCode,Q$4)))*(PayEarnTax)*(PayEarnValues)),SUMPRODUCT((PayEmp=$C72)*(PayDate&lt;=$AC72)*(ISERROR(SEARCH(PayEarnCode,Q$4)))*(PayEarnValues))),IF(ISNUMBER(Q$3),Q$3/12*$AA72,IgnoreMin)))*IF(COUNTIFS(EmpNo,$C72,OFFSET(Emp!$R$4,1,MATCH(Q$5,DedListItem,0)-1,EmpCount,1),"&lt;&gt;")&gt;0,VLOOKUP($C72,EmpAll,COLUMN(Emp!$R$4)+MATCH(Q$5,DedListItem,0)-1,0),OFFSET(Setup!$E$73,MATCH(Q$5,DedListItem,0),0,1,1)))-SUMIFS(OFFSET(Q$6,1,0,PayCount,1),PayDate,"&lt;"&amp;$AC72,PayEmp,$C72))))))</f>
        <v>0</v>
      </c>
      <c r="R72" s="185">
        <f t="shared" ca="1" si="37"/>
        <v>100</v>
      </c>
      <c r="S72" s="139">
        <f t="shared" ca="1" si="38"/>
        <v>9900</v>
      </c>
      <c r="T72" s="133" cm="1">
        <f t="array" aca="1" ref="T72" ca="1">IF($F72="Terminated",0,IF($AA72=0,0,IF(ISNA(MATCH(T$5,CompListItem,0)),0,IF(COUNTIFS(OverEmp,$C72,OverComp,T$5,OverDate,"&lt;"&amp;DATE(YEAR($AC72),MONTH($AC72)+1,1),OverEnd,"&gt;="&amp;DATE(YEAR($AC72),MONTH($AC72),1))&gt;0,SUMIFS(OverValue,OverEmp,$C72,OverComp,T$5,OverDate,"&lt;"&amp;DATE(YEAR($AC72),MONTH($AC72)+1,1),OverEnd,"&gt;="&amp;DATE(YEAR($AC72),MONTH($AC72),1)),IF(OR(T$2="Fixed",T$2="Not Used"),(OFFSET(Setup!$E$81,MATCH(T$5,CompListItem,0),0,1,1)*$AA72)-SUMIFS(OFFSET(T$6,1,0,PayCount,1),PayDate,"&lt;"&amp;$AC72,PayEmp,$C72),IF(ISNA(MATCH(T$2,DedListItem,0))=FALSE,(SUMPRODUCT((PayEmp=$C72)*(PayDate&lt;=$AC72)*(PayDedList=T$2)*(PayDedValues))*OFFSET(Setup!$E$81,MATCH(T$5,CompListItem,0),0,1,1))-SUMIFS(OFFSET(T$6,1,0,PayCount,1),PayDate,"&lt;"&amp;$AC72,PayEmp,$C72),(MIN(IF(OFFSET(Setup!$G$81,MATCH(T$5,CompListItem,0),0,1,1)="Taxable",SUMPRODUCT((PayEmp=$C72)*(PayDate&lt;=$AC72)*(ISERROR(SEARCH(PayEarnCode,T$4)))*(PayEarnTax)*(PayEarnValues)),SUMPRODUCT((PayEmp=$C72)*(PayDate&lt;=$AC72)*(ISERROR(SEARCH(PayEarnCode,T$4)))*(PayEarnValues))),IF(ISNUMBER(T$3),T$3/12*$AA72,IgnoreMin)))*OFFSET(Setup!$E$81,MATCH(T$5,CompListItem,0),0,1,1)-SUMIFS(OFFSET(T$6,1,0,PayCount,1),PayDate,"&lt;"&amp;$AC72,PayEmp,$C72)))))))</f>
        <v>100</v>
      </c>
      <c r="U72" s="133" cm="1">
        <f t="array" aca="1" ref="U72" ca="1">IF($F72="Terminated",0,IF($AA72=0,0,IF(ISNA(MATCH(U$5,CompListItem,0)),0,IF(COUNTIFS(OverEmp,$C72,OverComp,U$5,OverDate,"&lt;"&amp;DATE(YEAR($AC72),MONTH($AC72)+1,1),OverEnd,"&gt;="&amp;DATE(YEAR($AC72),MONTH($AC72),1))&gt;0,SUMIFS(OverValue,OverEmp,$C72,OverComp,U$5,OverDate,"&lt;"&amp;DATE(YEAR($AC72),MONTH($AC72)+1,1),OverEnd,"&gt;="&amp;DATE(YEAR($AC72),MONTH($AC72),1)),IF(OR(U$2="Fixed",U$2="Not Used"),(OFFSET(Setup!$E$81,MATCH(U$5,CompListItem,0),0,1,1)*$AA72)-SUMIFS(OFFSET(U$6,1,0,PayCount,1),PayDate,"&lt;"&amp;$AC72,PayEmp,$C72),IF(ISNA(MATCH(U$2,DedListItem,0))=FALSE,(SUMPRODUCT((PayEmp=$C72)*(PayDate&lt;=$AC72)*(PayDedList=U$2)*(PayDedValues))*OFFSET(Setup!$E$81,MATCH(U$5,CompListItem,0),0,1,1))-SUMIFS(OFFSET(U$6,1,0,PayCount,1),PayDate,"&lt;"&amp;$AC72,PayEmp,$C72),(MIN(IF(OFFSET(Setup!$G$81,MATCH(U$5,CompListItem,0),0,1,1)="Taxable",SUMPRODUCT((PayEmp=$C72)*(PayDate&lt;=$AC72)*(ISERROR(SEARCH(PayEarnCode,U$4)))*(PayEarnTax)*(PayEarnValues)),SUMPRODUCT((PayEmp=$C72)*(PayDate&lt;=$AC72)*(ISERROR(SEARCH(PayEarnCode,U$4)))*(PayEarnValues))),IF(ISNUMBER(U$3),U$3/12*$AA72,IgnoreMin)))*OFFSET(Setup!$E$81,MATCH(U$5,CompListItem,0),0,1,1)-SUMIFS(OFFSET(U$6,1,0,PayCount,1),PayDate,"&lt;"&amp;$AC72,PayEmp,$C72)))))))</f>
        <v>100</v>
      </c>
      <c r="V72" s="133" cm="1">
        <f t="array" aca="1" ref="V72" ca="1">IF($F72="Terminated",0,IF($AA72=0,0,IF(ISNA(MATCH(V$5,CompListItem,0)),0,IF(COUNTIFS(OverEmp,$C72,OverComp,V$5,OverDate,"&lt;"&amp;DATE(YEAR($AC72),MONTH($AC72)+1,1),OverEnd,"&gt;="&amp;DATE(YEAR($AC72),MONTH($AC72),1))&gt;0,SUMIFS(OverValue,OverEmp,$C72,OverComp,V$5,OverDate,"&lt;"&amp;DATE(YEAR($AC72),MONTH($AC72)+1,1),OverEnd,"&gt;="&amp;DATE(YEAR($AC72),MONTH($AC72),1)),IF(OR(V$2="Fixed",V$2="Not Used"),(OFFSET(Setup!$E$81,MATCH(V$5,CompListItem,0),0,1,1)*$AA72)-SUMIFS(OFFSET(V$6,1,0,PayCount,1),PayDate,"&lt;"&amp;$AC72,PayEmp,$C72),IF(ISNA(MATCH(V$2,DedListItem,0))=FALSE,(SUMPRODUCT((PayEmp=$C72)*(PayDate&lt;=$AC72)*(PayDedList=V$2)*(PayDedValues))*OFFSET(Setup!$E$81,MATCH(V$5,CompListItem,0),0,1,1))-SUMIFS(OFFSET(V$6,1,0,PayCount,1),PayDate,"&lt;"&amp;$AC72,PayEmp,$C72),(MIN(IF(OFFSET(Setup!$G$81,MATCH(V$5,CompListItem,0),0,1,1)="Taxable",SUMPRODUCT((PayEmp=$C72)*(PayDate&lt;=$AC72)*(ISERROR(SEARCH(PayEarnCode,V$4)))*(PayEarnTax)*(PayEarnValues)),SUMPRODUCT((PayEmp=$C72)*(PayDate&lt;=$AC72)*(ISERROR(SEARCH(PayEarnCode,V$4)))*(PayEarnValues))),IF(ISNUMBER(V$3),V$3/12*$AA72,IgnoreMin)))*OFFSET(Setup!$E$81,MATCH(V$5,CompListItem,0),0,1,1)-SUMIFS(OFFSET(V$6,1,0,PayCount,1),PayDate,"&lt;"&amp;$AC72,PayEmp,$C72)))))))</f>
        <v>0</v>
      </c>
      <c r="W72" s="133" cm="1">
        <f t="array" aca="1" ref="W72" ca="1">IF($F72="Terminated",0,IF($AA72=0,0,IF(ISNA(MATCH(W$5,CompListItem,0)),0,IF(COUNTIFS(OverEmp,$C72,OverComp,W$5,OverDate,"&lt;"&amp;DATE(YEAR($AC72),MONTH($AC72)+1,1),OverEnd,"&gt;="&amp;DATE(YEAR($AC72),MONTH($AC72),1))&gt;0,SUMIFS(OverValue,OverEmp,$C72,OverComp,W$5,OverDate,"&lt;"&amp;DATE(YEAR($AC72),MONTH($AC72)+1,1),OverEnd,"&gt;="&amp;DATE(YEAR($AC72),MONTH($AC72),1)),IF(OR(W$2="Fixed",W$2="Not Used"),(OFFSET(Setup!$E$81,MATCH(W$5,CompListItem,0),0,1,1)*$AA72)-SUMIFS(OFFSET(W$6,1,0,PayCount,1),PayDate,"&lt;"&amp;$AC72,PayEmp,$C72),IF(ISNA(MATCH(W$2,DedListItem,0))=FALSE,(SUMPRODUCT((PayEmp=$C72)*(PayDate&lt;=$AC72)*(PayDedList=W$2)*(PayDedValues))*OFFSET(Setup!$E$81,MATCH(W$5,CompListItem,0),0,1,1))-SUMIFS(OFFSET(W$6,1,0,PayCount,1),PayDate,"&lt;"&amp;$AC72,PayEmp,$C72),(MIN(IF(OFFSET(Setup!$G$81,MATCH(W$5,CompListItem,0),0,1,1)="Taxable",SUMPRODUCT((PayEmp=$C72)*(PayDate&lt;=$AC72)*(ISERROR(SEARCH(PayEarnCode,W$4)))*(PayEarnTax)*(PayEarnValues)),SUMPRODUCT((PayEmp=$C72)*(PayDate&lt;=$AC72)*(ISERROR(SEARCH(PayEarnCode,W$4)))*(PayEarnValues))),IF(ISNUMBER(W$3),W$3/12*$AA72,IgnoreMin)))*OFFSET(Setup!$E$81,MATCH(W$5,CompListItem,0),0,1,1)-SUMIFS(OFFSET(W$6,1,0,PayCount,1),PayDate,"&lt;"&amp;$AC72,PayEmp,$C72)))))))</f>
        <v>0</v>
      </c>
      <c r="X72" s="185">
        <f t="shared" ca="1" si="30"/>
        <v>200</v>
      </c>
      <c r="Y72" s="139">
        <f t="shared" ca="1" si="39"/>
        <v>10200</v>
      </c>
      <c r="Z72" s="139">
        <f t="shared" ca="1" si="31"/>
        <v>300</v>
      </c>
      <c r="AA72" s="146">
        <f ca="1">IF(OR($B72&lt;=Setup!$E$12,$B72&gt;=Setup!$D$12+1),0,IF($F72&lt;&gt;"Active",0,IF($AE72="Yes",$AB72,((YEAR($AC72)*12)+MONTH($AC72))-((YEAR($AD72)*12)+MONTH($AD72)-1))))</f>
        <v>5</v>
      </c>
      <c r="AB72" s="146">
        <f ca="1">IF(OR($B72&lt;=Setup!$E$12,$B72&gt;=Setup!$D$12+1),0,((YEAR($AC72)*12)+MONTH($AC72))-((YEAR(Setup!$E$12)*12)+MONTH(Setup!$E$12)))</f>
        <v>5</v>
      </c>
      <c r="AC72" s="186">
        <f t="shared" ca="1" si="32"/>
        <v>45132</v>
      </c>
      <c r="AD72" s="144">
        <f ca="1">IF(ISNA(VLOOKUP($C72,EmpAll,COLUMN(Emp!$E$4),0)),$AC72,IF(VLOOKUP($C72,EmpAll,COLUMN(Emp!$E$4),0)&lt;=Setup!$E$12,DATE(YEAR(Setup!$E$12),MONTH(Setup!$E$12)+1,1),VLOOKUP($C72,EmpAll,COLUMN(Emp!$E$4),0)))</f>
        <v>44986</v>
      </c>
      <c r="AE72" s="144" t="str">
        <f ca="1">IF(ISNA(VLOOKUP($C72,EmpAll,COLUMN(Emp!$G$1),0)),"-",IF(VLOOKUP($C72,EmpAll,COLUMN(Emp!$G$1),0)=0,"-",VLOOKUP($C72,EmpAll,COLUMN(Emp!$G$1),0)))</f>
        <v>-</v>
      </c>
      <c r="AF72" s="145">
        <f ca="1">IF(A72=PaySlip!$G$3,1,0)</f>
        <v>0</v>
      </c>
      <c r="AG72" s="130" cm="1">
        <f t="array" aca="1" ref="AG72" ca="1">IF(COUNTIFS(OverEmp,$C72,OverMed,"MED",OverDate,"&lt;"&amp;DATE(YEAR($AC72),MONTH($AC72)+1,1),OverEnd,"&gt;="&amp;DATE(YEAR($AC72),MONTH($AC72),1))&gt;0,SUMIFS(OverValue,OverEmp,$C72,OverMed,"MED",OverDate,"&lt;"&amp;DATE(YEAR($AC72),MONTH($AC72)+1,1),OverEnd,"&gt;="&amp;DATE(YEAR($AC72),MONTH($AC72),1)),IF(ISNA(VLOOKUP($C72,EmpAll,COLUMN(Emp!$N$4),0)),0,VLOOKUP($C72,EmpAll,COLUMN(Emp!$N$4),0)))</f>
        <v>1</v>
      </c>
      <c r="AH72" s="146">
        <f ca="1">VLOOKUP($AG72,MedList,COLUMN(Setup!$C$49),1)</f>
        <v>364</v>
      </c>
      <c r="AI72" s="146">
        <f t="shared" ca="1" si="40"/>
        <v>4368</v>
      </c>
      <c r="AJ72" s="101" t="str">
        <f ca="1">IF(ISNA(VLOOKUP($C72,EmpAll,COLUMN(Emp!$L$4),0)),"None!",VLOOKUP($C72,EmpAll,COLUMN(Emp!$L$4),0))</f>
        <v>A</v>
      </c>
      <c r="AK72" s="147">
        <f t="shared" ca="1" si="33"/>
        <v>17235</v>
      </c>
      <c r="AL72" s="101" t="str">
        <f ca="1">IF(ISNA(VLOOKUP($C72,Employees[],COLUMN(Emp!$M$4),0))=TRUE,"Error!",IF(VLOOKUP($C72,Employees[],COLUMN(Emp!$M$4),0)=0,"Yes",VLOOKUP($C72,Employees[],COLUMN(Emp!$M$4),0)))</f>
        <v>A</v>
      </c>
      <c r="AM72" s="148">
        <f t="shared" ca="1" si="41"/>
        <v>120000</v>
      </c>
      <c r="AN72" s="148" cm="1">
        <f t="array" aca="1" ref="AN72" ca="1">-IF($F72="Terminated",0,IF($AA72=0,0,IF(ISNA(MATCH(AN$5,PayDedList,0)),0,MIN(IF(COUNTIFS(OverEmp,$C72,OverDeduct,AN$5,OverDate,"&lt;"&amp;DATE(YEAR($AC72),MONTH($AC72)+1,1),OverEnd,"&gt;="&amp;DATE(YEAR($AC72),MONTH($AC72),1))&gt;0,SUMPRODUCT((PayEmp=$C72)*(PayDate&lt;=$AC72)*(OFFSET($N$6,1,MATCH(AN$5,PayDedList,0)-1,PayCount,1)))/$AA72*12*AN$3,IF(OR(AN$1="Fixed",AN$1="Not Used"),SUMPRODUCT((PayEmp=$C72)*(PayDate&lt;=$AC72)*(OFFSET($N$6,1,MATCH(AN$5,PayDedList,0)-1,PayCount,1)))/$AA72*12*AN$3,IF(ISNA(MATCH(AN$1,EarnListItem,0))=FALSE,SUMPRODUCT((PayEmp=$C72)*(PayDate&lt;=$AC72)*(OFFSET($N$6,1,MATCH(AN$5,PayDedList,0)-1,PayCount,1)))/$AA72*12*AN$3,(MIN(((SUMPRODUCT((PayEmp=$C72)*(PayDate&lt;=$AC72)*(ISERROR(SEARCH(PayEarnCode,AN$2)))*(PayEarnType="Monthly")*(PayEarnValues))/$AA72*12)+(SUMPRODUCT((PayEmp=$C72)*(PayDate&lt;=$AC72)*(ISERROR(SEARCH(PayEarnCode,AN$2)))*(PayEarnType="Quarterly")*(PayEarnValues))/MAX(1,ROUNDDOWN($AB72/3,0))*4)+(SUMPRODUCT((PayEmp=$C72)*(PayDate&lt;=$AC72)*(ISERROR(SEARCH(PayEarnCode,AN$2)))*(PayEarnType="Bi-Annual")*(PayEarnValues))/MAX(1,ROUNDDOWN($AB72/6,0))*2)+(SUMPRODUCT((PayEmp=$C72)*(PayDate&lt;=$AC72)*(ISERROR(SEARCH(PayEarnCode,AN$2)))*(PayEarnType="Annual")*(PayEarnValues)))),IF(ISNUMBER(OFFSET($N$3,0,MATCH(AN$5,PayDedList,0)-1,1,1)),OFFSET($N$3,0,MATCH(AN$5,PayDedList,0)-1,1,1),IgnoreMin)))*IF(COUNTIFS(EmpNo,$C72,OFFSET(Emp!$R$4,1,MATCH(AN$5,DedListItem,0)-1,EmpCount,1),"&lt;&gt;")&gt;0,VLOOKUP($C72,EmpAll,COLUMN(Emp!$R$4)+MATCH(AN$5,DedListItem,0)-1,0),OFFSET(Setup!$E$73,MATCH(AN$5,DedListItem,0),0,1,1))*AN$3))),IF(ISNUMBER(AN$4),AN$4,IgnoreMin)))))</f>
        <v>0</v>
      </c>
      <c r="AO72" s="148" cm="1">
        <f t="array" aca="1" ref="AO72" ca="1">-IF($F72="Terminated",0,IF($AA72=0,0,IF(ISNA(MATCH(AO$5,PayDedList,0)),0,MIN(IF(COUNTIFS(OverEmp,$C72,OverDeduct,AO$5,OverDate,"&lt;"&amp;DATE(YEAR($AC72),MONTH($AC72)+1,1),OverEnd,"&gt;="&amp;DATE(YEAR($AC72),MONTH($AC72),1))&gt;0,SUMPRODUCT((PayEmp=$C72)*(PayDate&lt;=$AC72)*(OFFSET($N$6,1,MATCH(AO$5,PayDedList,0)-1,PayCount,1)))/$AA72*12*AO$3,IF(OR(AO$1="Fixed",AO$1="Not Used"),SUMPRODUCT((PayEmp=$C72)*(PayDate&lt;=$AC72)*(OFFSET($N$6,1,MATCH(AO$5,PayDedList,0)-1,PayCount,1)))/$AA72*12*AO$3,IF(ISNA(MATCH(AO$1,EarnListItem,0))=FALSE,SUMPRODUCT((PayEmp=$C72)*(PayDate&lt;=$AC72)*(OFFSET($N$6,1,MATCH(AO$5,PayDedList,0)-1,PayCount,1)))/$AA72*12*AO$3,(MIN(((SUMPRODUCT((PayEmp=$C72)*(PayDate&lt;=$AC72)*(ISERROR(SEARCH(PayEarnCode,AO$2)))*(PayEarnType="Monthly")*(PayEarnValues))/$AA72*12)+(SUMPRODUCT((PayEmp=$C72)*(PayDate&lt;=$AC72)*(ISERROR(SEARCH(PayEarnCode,AO$2)))*(PayEarnType="Quarterly")*(PayEarnValues))/MAX(1,ROUNDDOWN($AB72/3,0))*4)+(SUMPRODUCT((PayEmp=$C72)*(PayDate&lt;=$AC72)*(ISERROR(SEARCH(PayEarnCode,AO$2)))*(PayEarnType="Bi-Annual")*(PayEarnValues))/MAX(1,ROUNDDOWN($AB72/6,0))*2)+(SUMPRODUCT((PayEmp=$C72)*(PayDate&lt;=$AC72)*(ISERROR(SEARCH(PayEarnCode,AO$2)))*(PayEarnType="Annual")*(PayEarnValues)))),IF(ISNUMBER(OFFSET($N$3,0,MATCH(AO$5,PayDedList,0)-1,1,1)),OFFSET($N$3,0,MATCH(AO$5,PayDedList,0)-1,1,1),IgnoreMin)))*IF(COUNTIFS(EmpNo,$C72,OFFSET(Emp!$R$4,1,MATCH(AO$5,DedListItem,0)-1,EmpCount,1),"&lt;&gt;")&gt;0,VLOOKUP($C72,EmpAll,COLUMN(Emp!$R$4)+MATCH(AO$5,DedListItem,0)-1,0),OFFSET(Setup!$E$73,MATCH(AO$5,DedListItem,0),0,1,1))*AO$3))),IF(ISNUMBER(AO$4),AO$4,IgnoreMin)))))</f>
        <v>0</v>
      </c>
      <c r="AP72" s="148" cm="1">
        <f t="array" aca="1" ref="AP72" ca="1">-IF($F72="Terminated",0,IF($AA72=0,0,IF(ISNA(MATCH(AP$5,PayDedList,0)),0,MIN(IF(COUNTIFS(OverEmp,$C72,OverDeduct,AP$5,OverDate,"&lt;"&amp;DATE(YEAR($AC72),MONTH($AC72)+1,1),OverEnd,"&gt;="&amp;DATE(YEAR($AC72),MONTH($AC72),1))&gt;0,SUMPRODUCT((PayEmp=$C72)*(PayDate&lt;=$AC72)*(OFFSET($N$6,1,MATCH(AP$5,PayDedList,0)-1,PayCount,1)))/$AA72*12*AP$3,IF(OR(AP$1="Fixed",AP$1="Not Used"),SUMPRODUCT((PayEmp=$C72)*(PayDate&lt;=$AC72)*(OFFSET($N$6,1,MATCH(AP$5,PayDedList,0)-1,PayCount,1)))/$AA72*12*AP$3,IF(ISNA(MATCH(AP$1,EarnListItem,0))=FALSE,SUMPRODUCT((PayEmp=$C72)*(PayDate&lt;=$AC72)*(OFFSET($N$6,1,MATCH(AP$5,PayDedList,0)-1,PayCount,1)))/$AA72*12*AP$3,(MIN(((SUMPRODUCT((PayEmp=$C72)*(PayDate&lt;=$AC72)*(ISERROR(SEARCH(PayEarnCode,AP$2)))*(PayEarnType="Monthly")*(PayEarnValues))/$AA72*12)+(SUMPRODUCT((PayEmp=$C72)*(PayDate&lt;=$AC72)*(ISERROR(SEARCH(PayEarnCode,AP$2)))*(PayEarnType="Quarterly")*(PayEarnValues))/MAX(1,ROUNDDOWN($AB72/3,0))*4)+(SUMPRODUCT((PayEmp=$C72)*(PayDate&lt;=$AC72)*(ISERROR(SEARCH(PayEarnCode,AP$2)))*(PayEarnType="Bi-Annual")*(PayEarnValues))/MAX(1,ROUNDDOWN($AB72/6,0))*2)+(SUMPRODUCT((PayEmp=$C72)*(PayDate&lt;=$AC72)*(ISERROR(SEARCH(PayEarnCode,AP$2)))*(PayEarnType="Annual")*(PayEarnValues)))),IF(ISNUMBER(OFFSET($N$3,0,MATCH(AP$5,PayDedList,0)-1,1,1)),OFFSET($N$3,0,MATCH(AP$5,PayDedList,0)-1,1,1),IgnoreMin)))*IF(COUNTIFS(EmpNo,$C72,OFFSET(Emp!$R$4,1,MATCH(AP$5,DedListItem,0)-1,EmpCount,1),"&lt;&gt;")&gt;0,VLOOKUP($C72,EmpAll,COLUMN(Emp!$R$4)+MATCH(AP$5,DedListItem,0)-1,0),OFFSET(Setup!$E$73,MATCH(AP$5,DedListItem,0),0,1,1))*AP$3))),IF(ISNUMBER(AP$4),AP$4,IgnoreMin)))))</f>
        <v>0</v>
      </c>
      <c r="AQ72" s="148" cm="1">
        <f t="array" aca="1" ref="AQ72" ca="1">-IF($F72="Terminated",0,IF($AA72=0,0,IF(ISNA(MATCH(AQ$5,PayDedList,0)),0,MIN(IF(COUNTIFS(OverEmp,$C72,OverDeduct,AQ$5,OverDate,"&lt;"&amp;DATE(YEAR($AC72),MONTH($AC72)+1,1),OverEnd,"&gt;="&amp;DATE(YEAR($AC72),MONTH($AC72),1))&gt;0,SUMPRODUCT((PayEmp=$C72)*(PayDate&lt;=$AC72)*(OFFSET($N$6,1,MATCH(AQ$5,PayDedList,0)-1,PayCount,1)))/$AA72*12*AQ$3,IF(OR(AQ$1="Fixed",AQ$1="Not Used"),SUMPRODUCT((PayEmp=$C72)*(PayDate&lt;=$AC72)*(OFFSET($N$6,1,MATCH(AQ$5,PayDedList,0)-1,PayCount,1)))/$AA72*12*AQ$3,IF(ISNA(MATCH(AQ$1,EarnListItem,0))=FALSE,SUMPRODUCT((PayEmp=$C72)*(PayDate&lt;=$AC72)*(OFFSET($N$6,1,MATCH(AQ$5,PayDedList,0)-1,PayCount,1)))/$AA72*12*AQ$3,(MIN(((SUMPRODUCT((PayEmp=$C72)*(PayDate&lt;=$AC72)*(ISERROR(SEARCH(PayEarnCode,AQ$2)))*(PayEarnType="Monthly")*(PayEarnValues))/$AA72*12)+(SUMPRODUCT((PayEmp=$C72)*(PayDate&lt;=$AC72)*(ISERROR(SEARCH(PayEarnCode,AQ$2)))*(PayEarnType="Quarterly")*(PayEarnValues))/MAX(1,ROUNDDOWN($AB72/3,0))*4)+(SUMPRODUCT((PayEmp=$C72)*(PayDate&lt;=$AC72)*(ISERROR(SEARCH(PayEarnCode,AQ$2)))*(PayEarnType="Bi-Annual")*(PayEarnValues))/MAX(1,ROUNDDOWN($AB72/6,0))*2)+(SUMPRODUCT((PayEmp=$C72)*(PayDate&lt;=$AC72)*(ISERROR(SEARCH(PayEarnCode,AQ$2)))*(PayEarnType="Annual")*(PayEarnValues)))),IF(ISNUMBER(OFFSET($N$3,0,MATCH(AQ$5,PayDedList,0)-1,1,1)),OFFSET($N$3,0,MATCH(AQ$5,PayDedList,0)-1,1,1),IgnoreMin)))*IF(COUNTIFS(EmpNo,$C72,OFFSET(Emp!$R$4,1,MATCH(AQ$5,DedListItem,0)-1,EmpCount,1),"&lt;&gt;")&gt;0,VLOOKUP($C72,EmpAll,COLUMN(Emp!$R$4)+MATCH(AQ$5,DedListItem,0)-1,0),OFFSET(Setup!$E$73,MATCH(AQ$5,DedListItem,0),0,1,1))*AQ$3))),IF(ISNUMBER(AQ$4),AQ$4,IgnoreMin)))))</f>
        <v>0</v>
      </c>
      <c r="AR72" s="148">
        <f t="shared" ca="1" si="34"/>
        <v>120000</v>
      </c>
      <c r="AS72" s="148">
        <f t="shared" ca="1" si="42"/>
        <v>120000</v>
      </c>
      <c r="AT72" s="148" cm="1">
        <f t="array" aca="1" ref="AT72" ca="1">-IF($F72="Terminated",0,IF($AA72=0,0,IF(ISNA(MATCH(AT$5,PayDedList,0)),0,MIN(IF(COUNTIFS(OverEmp,$C72,OverDeduct,AT$5,OverDate,"&lt;"&amp;DATE(YEAR($AC72),MONTH($AC72)+1,1),OverEnd,"&gt;="&amp;DATE(YEAR($AC72),MONTH($AC72),1))&gt;0,SUMPRODUCT((PayEmp=$C72)*(PayDate&lt;=$AC72)*(OFFSET($N$6,1,MATCH(AT$5,PayDedList,0)-1,PayCount,1)))/$AA72*12*AT$3,IF(OR(AT$1="Fixed",AT$1="Not Used"),SUMPRODUCT((PayEmp=$C72)*(PayDate&lt;=$AC72)*(OFFSET($N$6,1,MATCH(AT$5,PayDedList,0)-1,PayCount,1)))/$AA72*12*AT$3,IF(ISNA(MATCH(OFFSET($N$2,0,MATCH(AT$5,PayDedList,0)-1,1,1),EarnListItem,0))=FALSE,SUMPRODUCT((PayEmp=$C72)*(PayDate&lt;=$AC72)*(OFFSET($N$6,1,MATCH(AT$5,PayDedList,0)-1,PayCount,1)))/$AA72*12*AT$3,(MIN(SUMPRODUCT((PayEmp=$C72)*(PayDate&lt;=$AC72)*(ISERROR(SEARCH(PayEarnCode,AT$2)))*(PayEarnType="Monthly")*(PayEarnValues))/$AA72*12,IF(ISNUMBER(OFFSET($N$3,0,MATCH(AT$5,PayDedList,0)-1,1,1)),OFFSET($N$3,0,MATCH(AT$5,PayDedList,0)-1,1,1),IgnoreMin)))*IF(COUNTIFS(EmpNo,$C72,OFFSET(Emp!$R$4,1,MATCH(AT$5,DedListItem,0)-1,EmpCount,1),"&lt;&gt;")&gt;0,VLOOKUP($C72,EmpAll,COLUMN(Emp!$R$4)+MATCH(AT$5,DedListItem,0)-1,0),OFFSET(Setup!$E$73,MATCH(AT$5,DedListItem,0),0,1,1))*AT$3))),IF(ISNUMBER(AT$4),AT$4,IgnoreMin)))))</f>
        <v>0</v>
      </c>
      <c r="AU72" s="148" cm="1">
        <f t="array" aca="1" ref="AU72" ca="1">-IF($F72="Terminated",0,IF($AA72=0,0,IF(ISNA(MATCH(AU$5,PayDedList,0)),0,MIN(IF(COUNTIFS(OverEmp,$C72,OverDeduct,AU$5,OverDate,"&lt;"&amp;DATE(YEAR($AC72),MONTH($AC72)+1,1),OverEnd,"&gt;="&amp;DATE(YEAR($AC72),MONTH($AC72),1))&gt;0,SUMPRODUCT((PayEmp=$C72)*(PayDate&lt;=$AC72)*(OFFSET($N$6,1,MATCH(AU$5,PayDedList,0)-1,PayCount,1)))/$AA72*12*AU$3,IF(OR(AU$1="Fixed",AU$1="Not Used"),SUMPRODUCT((PayEmp=$C72)*(PayDate&lt;=$AC72)*(OFFSET($N$6,1,MATCH(AU$5,PayDedList,0)-1,PayCount,1)))/$AA72*12*AU$3,IF(ISNA(MATCH(OFFSET($N$2,0,MATCH(AU$5,PayDedList,0)-1,1,1),EarnListItem,0))=FALSE,SUMPRODUCT((PayEmp=$C72)*(PayDate&lt;=$AC72)*(OFFSET($N$6,1,MATCH(AU$5,PayDedList,0)-1,PayCount,1)))/$AA72*12*AU$3,(MIN(SUMPRODUCT((PayEmp=$C72)*(PayDate&lt;=$AC72)*(ISERROR(SEARCH(PayEarnCode,AU$2)))*(PayEarnType="Monthly")*(PayEarnValues))/$AA72*12,IF(ISNUMBER(OFFSET($N$3,0,MATCH(AU$5,PayDedList,0)-1,1,1)),OFFSET($N$3,0,MATCH(AU$5,PayDedList,0)-1,1,1),IgnoreMin)))*IF(COUNTIFS(EmpNo,$C72,OFFSET(Emp!$R$4,1,MATCH(AU$5,DedListItem,0)-1,EmpCount,1),"&lt;&gt;")&gt;0,VLOOKUP($C72,EmpAll,COLUMN(Emp!$R$4)+MATCH(AU$5,DedListItem,0)-1,0),OFFSET(Setup!$E$73,MATCH(AU$5,DedListItem,0),0,1,1))*AU$3))),IF(ISNUMBER(AU$4),AU$4,IgnoreMin)))))</f>
        <v>0</v>
      </c>
      <c r="AV72" s="148" cm="1">
        <f t="array" aca="1" ref="AV72" ca="1">-IF($F72="Terminated",0,IF($AA72=0,0,IF(ISNA(MATCH(AV$5,PayDedList,0)),0,MIN(IF(COUNTIFS(OverEmp,$C72,OverDeduct,AV$5,OverDate,"&lt;"&amp;DATE(YEAR($AC72),MONTH($AC72)+1,1),OverEnd,"&gt;="&amp;DATE(YEAR($AC72),MONTH($AC72),1))&gt;0,SUMPRODUCT((PayEmp=$C72)*(PayDate&lt;=$AC72)*(OFFSET($N$6,1,MATCH(AV$5,PayDedList,0)-1,PayCount,1)))/$AA72*12*AV$3,IF(OR(AV$1="Fixed",AV$1="Not Used"),SUMPRODUCT((PayEmp=$C72)*(PayDate&lt;=$AC72)*(OFFSET($N$6,1,MATCH(AV$5,PayDedList,0)-1,PayCount,1)))/$AA72*12*AV$3,IF(ISNA(MATCH(OFFSET($N$2,0,MATCH(AV$5,PayDedList,0)-1,1,1),EarnListItem,0))=FALSE,SUMPRODUCT((PayEmp=$C72)*(PayDate&lt;=$AC72)*(OFFSET($N$6,1,MATCH(AV$5,PayDedList,0)-1,PayCount,1)))/$AA72*12*AV$3,(MIN(SUMPRODUCT((PayEmp=$C72)*(PayDate&lt;=$AC72)*(ISERROR(SEARCH(PayEarnCode,AV$2)))*(PayEarnType="Monthly")*(PayEarnValues))/$AA72*12,IF(ISNUMBER(OFFSET($N$3,0,MATCH(AV$5,PayDedList,0)-1,1,1)),OFFSET($N$3,0,MATCH(AV$5,PayDedList,0)-1,1,1),IgnoreMin)))*IF(COUNTIFS(EmpNo,$C72,OFFSET(Emp!$R$4,1,MATCH(AV$5,DedListItem,0)-1,EmpCount,1),"&lt;&gt;")&gt;0,VLOOKUP($C72,EmpAll,COLUMN(Emp!$R$4)+MATCH(AV$5,DedListItem,0)-1,0),OFFSET(Setup!$E$73,MATCH(AV$5,DedListItem,0),0,1,1))*AV$3))),IF(ISNUMBER(AV$4),AV$4,IgnoreMin)))))</f>
        <v>0</v>
      </c>
      <c r="AW72" s="148" cm="1">
        <f t="array" aca="1" ref="AW72" ca="1">-IF($F72="Terminated",0,IF($AA72=0,0,IF(ISNA(MATCH(AW$5,PayDedList,0)),0,MIN(IF(COUNTIFS(OverEmp,$C72,OverDeduct,AW$5,OverDate,"&lt;"&amp;DATE(YEAR($AC72),MONTH($AC72)+1,1),OverEnd,"&gt;="&amp;DATE(YEAR($AC72),MONTH($AC72),1))&gt;0,SUMPRODUCT((PayEmp=$C72)*(PayDate&lt;=$AC72)*(OFFSET($N$6,1,MATCH(AW$5,PayDedList,0)-1,PayCount,1)))/$AA72*12*AW$3,IF(OR(AW$1="Fixed",AW$1="Not Used"),SUMPRODUCT((PayEmp=$C72)*(PayDate&lt;=$AC72)*(OFFSET($N$6,1,MATCH(AW$5,PayDedList,0)-1,PayCount,1)))/$AA72*12*AW$3,IF(ISNA(MATCH(OFFSET($N$2,0,MATCH(AW$5,PayDedList,0)-1,1,1),EarnListItem,0))=FALSE,SUMPRODUCT((PayEmp=$C72)*(PayDate&lt;=$AC72)*(OFFSET($N$6,1,MATCH(AW$5,PayDedList,0)-1,PayCount,1)))/$AA72*12*AW$3,(MIN(SUMPRODUCT((PayEmp=$C72)*(PayDate&lt;=$AC72)*(ISERROR(SEARCH(PayEarnCode,AW$2)))*(PayEarnType="Monthly")*(PayEarnValues))/$AA72*12,IF(ISNUMBER(OFFSET($N$3,0,MATCH(AW$5,PayDedList,0)-1,1,1)),OFFSET($N$3,0,MATCH(AW$5,PayDedList,0)-1,1,1),IgnoreMin)))*IF(COUNTIFS(EmpNo,$C72,OFFSET(Emp!$R$4,1,MATCH(AW$5,DedListItem,0)-1,EmpCount,1),"&lt;&gt;")&gt;0,VLOOKUP($C72,EmpAll,COLUMN(Emp!$R$4)+MATCH(AW$5,DedListItem,0)-1,0),OFFSET(Setup!$E$73,MATCH(AW$5,DedListItem,0),0,1,1))*AW$3))),IF(ISNUMBER(AW$4),AW$4,IgnoreMin)))))</f>
        <v>0</v>
      </c>
      <c r="AX72" s="148">
        <f t="shared" ca="1" si="43"/>
        <v>120000</v>
      </c>
      <c r="AY72" s="148">
        <f t="shared" ca="1" si="44"/>
        <v>0</v>
      </c>
      <c r="AZ72" s="148">
        <f ca="1">IF(ISNUMBER($AL72),($AR72*$AL72)-$AI72-$AK72,MAX(0,IF($AL72="B",IF($AR72&lt;Setup!$C$32,($AR72*Setup!$D$32)-$AI72-$AK72,(($AR72-VLOOKUP($AR72,TaxAll2,1,1))*OFFSET(Setup!$D$32,MATCH($AR72,TaxBracket2,1),0,1,1))+OFFSET(Setup!$E$31,MATCH($AR72,TaxBracket2,1),0,1,1)-$AI72-$AK72),IF($AR72&lt;Setup!$C$21,($AR72*Setup!$D$21)-$AI72-$AK72,(($AR72-VLOOKUP($AR72,TaxAll1,1,1))*OFFSET(Setup!$D$21,MATCH($AR72,TaxBracket1,1),0,1,1))+OFFSET(Setup!$E$20,MATCH($AR72,TaxBracket1,1),0,1,1)-$AI72-$AK72))))</f>
        <v>0</v>
      </c>
      <c r="BA72" s="148">
        <f ca="1">IF(ISNUMBER($AL72),($AX72*$AL72)-$AI72-$AK72,MAX(0,IF($AL72="B",IF($AX72&lt;Setup!$C$32,($AX72*Setup!$D$32)-$AI72-$AK72,(($AX72-VLOOKUP($AX72,TaxAll2,1,1))*OFFSET(Setup!$D$32,MATCH($AX72,TaxBracket2,1),0,1,1))+OFFSET(Setup!$E$31,MATCH($AX72,TaxBracket2,1),0,1,1)-$AI72-$AK72),IF($AX72&lt;Setup!$C$21,($AX72*Setup!$D$21)-$AI72-$AK72,(($AX72-VLOOKUP($AX72,TaxAll1,1,1))*OFFSET(Setup!$D$21,MATCH($AX72,TaxBracket1,1),0,1,1))+OFFSET(Setup!$E$20,MATCH($AX72,TaxBracket1,1),0,1,1)-$AI72-$AK72))))</f>
        <v>0</v>
      </c>
      <c r="BB72" s="148">
        <f t="shared" ca="1" si="35"/>
        <v>0</v>
      </c>
      <c r="BC72" s="150">
        <f t="shared" ca="1" si="45"/>
        <v>1</v>
      </c>
      <c r="BD72" s="150">
        <f t="shared" ca="1" si="46"/>
        <v>0</v>
      </c>
      <c r="BE72" s="148">
        <f t="shared" ca="1" si="47"/>
        <v>120000</v>
      </c>
    </row>
    <row r="73" spans="1:57" ht="16.149999999999999" customHeight="1" x14ac:dyDescent="0.25">
      <c r="A73" s="10" t="str" cm="1">
        <f t="array" aca="1" ref="A73" ca="1">IF(ROW($A73)-ROW($A$6)&gt;EmpCount*12,"-",TEXT($B73,"yyyy")&amp;TEXT($B73,"mm")&amp;"-"&amp;$C73)</f>
        <v>202307-EXS007</v>
      </c>
      <c r="B73" s="137" cm="1">
        <f t="array" aca="1" ref="B73" ca="1">IF(ROW($A73)-ROW($A$6)&gt;EmpCount*12,Setup!$D$12,DATE(YEAR(Setup!$F$12),MONTH(Setup!$F$12)+ROUNDDOWN((ROW($A73)-ROW($A$6)-1)/EmpCount,0),IF(Setup!$C$14&gt;DAY(DATE(YEAR(Setup!$F$12),MONTH(Setup!$F$12)+ROUNDDOWN((ROW($A73)-ROW($A$6)-1)/EmpCount,0)+1,0)),DAY(DATE(YEAR(Setup!$F$12),MONTH(Setup!$F$12)+ROUNDDOWN((ROW($A73)-ROW($A$6)-1)/EmpCount,0)+1,0)),Setup!$C$14)))</f>
        <v>45132</v>
      </c>
      <c r="C73" s="101" t="str" cm="1">
        <f t="array" aca="1" ref="C73" ca="1">IF(ROW($A73)-ROW($A$6)&gt;EmpCount*12,"-",OFFSET(Emp!$A$4,ROW($A73)-ROW($A$6)-IF(ROW($A73)-ROW($A$6)&gt;EmpCount,ROUNDDOWN((ROW($A73)-ROW($A$6)-1)/EmpCount,0)*EmpCount,0),0,1,1))</f>
        <v>EXS007</v>
      </c>
      <c r="D73" s="10" t="str">
        <f ca="1">IF(ISNA(VLOOKUP($C73,EmpAll,COLUMN(Emp!$B$4),0)),"-",VLOOKUP($C73,EmpAll,COLUMN(Emp!$B$4),0))</f>
        <v>Phillips KE</v>
      </c>
      <c r="E73" s="145" t="str">
        <f ca="1">IF(ISNA(VLOOKUP($C73,EmpAll,COLUMN(Emp!$C$4),0)),"-",VLOOKUP($C73,EmpAll,COLUMN(Emp!$C$4),0))</f>
        <v>A</v>
      </c>
      <c r="F73" s="101" t="str">
        <f ca="1">IF(ISNA(VLOOKUP($C73,EmpAll,COLUMN(Emp!$A$4),0)),"-",IF(AND(VLOOKUP($C73,EmpAll,COLUMN(Emp!$E$4),0)&lt;&gt;0,VLOOKUP($C73,EmpAll,COLUMN(Emp!$E$4),0)&gt;=DATE(YEAR($AC73),MONTH($AC73)+1,0)),"Inactive",IF(AND(VLOOKUP($C73,EmpAll,COLUMN(Emp!$F$4),0)&lt;&gt;0,VLOOKUP($C73,EmpAll,COLUMN(Emp!$F$4),0)&lt;=DATE(YEAR($AC73),MONTH($AC73),0)),"Terminated","Active")))</f>
        <v>Terminated</v>
      </c>
      <c r="G73" s="133" cm="1">
        <f t="array" aca="1" ref="G73" ca="1">IF($F73&lt;&gt;"Active",0,IF(COUNTIFS(OverEmp,$C73,OverEarn,G$2,OverDate,"&lt;"&amp;DATE(YEAR($AC73),MONTH($AC73)+1,1),OverEnd,"&gt;="&amp;DATE(YEAR($AC73),MONTH($AC73),1))&gt;0,SUMIFS(OverValue,OverEmp,$C73,OverEarn,G$2,OverDate,"&lt;"&amp;DATE(YEAR($AC73),MONTH($AC73)+1,1),OverEnd,"&gt;="&amp;DATE(YEAR($AC73),MONTH($AC73),1)),IF(AND($AC73&gt;=Setup!$E$10,SUMIFS(EmpIncrease,EmpCode,$C73)&gt;0),SUMIFS(EmpIncrease,EmpCode,$C73),SUMIFS(EmpSalary,EmpCode,$C73))))</f>
        <v>0</v>
      </c>
      <c r="H73" s="133" cm="1">
        <f t="array" aca="1" ref="H73" ca="1">IF($F73&lt;&gt;"Active",0,IF(COUNTIFS(OverEmp,$C73,OverEarn,H$2,OverDate,"&lt;"&amp;DATE(YEAR($AC73),MONTH($AC73)+1,1),OverEnd,"&gt;="&amp;DATE(YEAR($AC73),MONTH($AC73),1))&gt;0,SUMIFS(OverValue,OverEmp,$C73,OverEarn,H$2,OverDate,"&lt;"&amp;DATE(YEAR($AC73),MONTH($AC73)+1,1),OverEnd,"&gt;="&amp;DATE(YEAR($AC73),MONTH($AC73),1)),0))</f>
        <v>0</v>
      </c>
      <c r="I73" s="133" cm="1">
        <f t="array" aca="1" ref="I73" ca="1">IF($F73&lt;&gt;"Active",0,IF(COUNTIFS(OverEmp,$C73,OverEarn,I$2,OverDate,"&lt;"&amp;DATE(YEAR($AC73),MONTH($AC73)+1,1),OverEnd,"&gt;="&amp;DATE(YEAR($AC73),MONTH($AC73),1))&gt;0,SUMIFS(OverValue,OverEmp,$C73,OverEarn,I$2,OverDate,"&lt;"&amp;DATE(YEAR($AC73),MONTH($AC73)+1,1),OverEnd,"&gt;="&amp;DATE(YEAR($AC73),MONTH($AC73),1)),IF(MONTH(B73)=Setup!$C$15,SUMIFS(EmpBonus,EmpCode,$C73),0)))</f>
        <v>0</v>
      </c>
      <c r="J73" s="133" cm="1">
        <f t="array" aca="1" ref="J73" ca="1">IF($F73&lt;&gt;"Active",0,IF(COUNTIFS(OverEmp,$C73,OverEarn,J$2,OverDate,"&lt;"&amp;DATE(YEAR($AC73),MONTH($AC73)+1,1),OverEnd,"&gt;="&amp;DATE(YEAR($AC73),MONTH($AC73),1))&gt;0,SUMIFS(OverValue,OverEmp,$C73,OverEarn,J$2,OverDate,"&lt;"&amp;DATE(YEAR($AC73),MONTH($AC73)+1,1),OverEnd,"&gt;="&amp;DATE(YEAR($AC73),MONTH($AC73),1)),0))</f>
        <v>0</v>
      </c>
      <c r="K73" s="133" cm="1">
        <f t="array" aca="1" ref="K73" ca="1">IF($F73&lt;&gt;"Active",0,IF(COUNTIFS(OverEmp,$C73,OverEarn,K$2,OverDate,"&lt;"&amp;DATE(YEAR($AC73),MONTH($AC73)+1,1),OverEnd,"&gt;="&amp;DATE(YEAR($AC73),MONTH($AC73),1))&gt;0,SUMIFS(OverValue,OverEmp,$C73,OverEarn,K$2,OverDate,"&lt;"&amp;DATE(YEAR($AC73),MONTH($AC73)+1,1),OverEnd,"&gt;="&amp;DATE(YEAR($AC73),MONTH($AC73),1)),0))</f>
        <v>0</v>
      </c>
      <c r="L73" s="185">
        <f t="shared" ca="1" si="36"/>
        <v>0</v>
      </c>
      <c r="M73" s="182" cm="1">
        <f t="array" aca="1" ref="M73" ca="1">IF(COUNTIFS(OverEmp,$C73,OverTax,M$5,OverDate,"&lt;"&amp;DATE(YEAR($AC73),MONTH($AC73)+1,1),OverEnd,"&gt;="&amp;DATE(YEAR($AC73),MONTH($AC73),1))&gt;0,SUMIFS(OverValue,OverEmp,$C73,OverTax,M$5,OverDate,"&lt;"&amp;DATE(YEAR($AC73),MONTH($AC73)+1,1),OverEnd,"&gt;="&amp;DATE(YEAR($AC73),MONTH($AC73),1)),(($BA73/12*$AA73)+(BB73*IF(1-$BC73=0,0,BD73/(1-$BC73))))-IF($F73="Terminated",0,SUMIFS(PayTaxDeduct,PayDate,"&lt;"&amp;$AC73,PayEmp,$C73)))</f>
        <v>0</v>
      </c>
      <c r="N73" s="133" cm="1">
        <f t="array" aca="1" ref="N73" ca="1">IF($F73="Terminated",0,IF($AA73=0,0,IF(ISNA(MATCH(N$5,DedListItem,0)),0,IF(COUNTIFS(OverEmp,$C73,OverDeduct,N$5,OverDate,"&lt;"&amp;DATE(YEAR($AC73),MONTH($AC73)+1,1),OverEnd,"&gt;="&amp;DATE(YEAR($AC73),MONTH($AC73),1))&gt;0,SUMIFS(OverValue,OverEmp,$C73,OverDeduct,N$5,OverDate,"&lt;"&amp;DATE(YEAR($AC73),MONTH($AC73)+1,1),OverEnd,"&gt;="&amp;DATE(YEAR($AC73),MONTH($AC73),1)),IF(OR(N$2="Fixed",N$2="Not Used"),(IF(COUNTIFS(EmpNo,$C73,OFFSET(Emp!$R$4,1,MATCH(N$5,DedListItem,0)-1,EmpCount,1),"&lt;&gt;")&gt;0,VLOOKUP($C73,EmpAll,COLUMN(Emp!$R$4)+MATCH(N$5,DedListItem,0)-1,0),OFFSET(Setup!$E$73,MATCH(N$5,DedListItem,0),0,1,1))*$AA73)-SUMIFS(OFFSET(N$6,1,0,PayCount,1),PayDate,"&lt;"&amp;$AC73,PayEmp,$C73),IF(ISNA(MATCH(N$2,EarnListItem,0))=FALSE,IF(OFFSET(Setup!$G$73,MATCH(N$5,DedListItem,0),0,1,1)="Taxable",SUMPRODUCT((PayEmp=$C73)*(PayDate&lt;=$AC73)*(PayEarnCode=N$2)*(PayEarnTax)*(PayEarnValues)),SUMPRODUCT((PayEmp=$C73)*(PayDate&lt;=$AC73)*(PayEarnCode=N$2)*(PayEarnValues)))*IF(COUNTIFS(EmpNo,$C73,OFFSET(Emp!$R$4,1,MATCH(N$5,DedListItem,0)-1,EmpCount,1),"&lt;&gt;")&gt;0,VLOOKUP($C73,EmpAll,COLUMN(Emp!$R$4)+MATCH(N$5,DedListItem,0)-1,0),OFFSET(Setup!$E$73,MATCH(N$5,DedListItem,0),0,1,1)),(MIN(IF(OFFSET(Setup!$G$73,MATCH(N$5,DedListItem,0),0,1,1)="Taxable",SUMPRODUCT((PayEmp=$C73)*(PayDate&lt;=$AC73)*(ISERROR(SEARCH(PayEarnCode,N$4)))*(PayEarnTax)*(PayEarnValues)),SUMPRODUCT((PayEmp=$C73)*(PayDate&lt;=$AC73)*(ISERROR(SEARCH(PayEarnCode,N$4)))*(PayEarnValues))),IF(ISNUMBER(N$3),N$3/12*$AA73,IgnoreMin)))*IF(COUNTIFS(EmpNo,$C73,OFFSET(Emp!$R$4,1,MATCH(N$5,DedListItem,0)-1,EmpCount,1),"&lt;&gt;")&gt;0,VLOOKUP($C73,EmpAll,COLUMN(Emp!$R$4)+MATCH(N$5,DedListItem,0)-1,0),OFFSET(Setup!$E$73,MATCH(N$5,DedListItem,0),0,1,1)))-SUMIFS(OFFSET(N$6,1,0,PayCount,1),PayDate,"&lt;"&amp;$AC73,PayEmp,$C73))))))</f>
        <v>0</v>
      </c>
      <c r="O73" s="133" cm="1">
        <f t="array" aca="1" ref="O73" ca="1">IF($F73="Terminated",0,IF($AA73=0,0,IF(ISNA(MATCH(O$5,DedListItem,0)),0,IF(COUNTIFS(OverEmp,$C73,OverDeduct,O$5,OverDate,"&lt;"&amp;DATE(YEAR($AC73),MONTH($AC73)+1,1),OverEnd,"&gt;="&amp;DATE(YEAR($AC73),MONTH($AC73),1))&gt;0,SUMIFS(OverValue,OverEmp,$C73,OverDeduct,O$5,OverDate,"&lt;"&amp;DATE(YEAR($AC73),MONTH($AC73)+1,1),OverEnd,"&gt;="&amp;DATE(YEAR($AC73),MONTH($AC73),1)),IF(OR(O$2="Fixed",O$2="Not Used"),(IF(COUNTIFS(EmpNo,$C73,OFFSET(Emp!$R$4,1,MATCH(O$5,DedListItem,0)-1,EmpCount,1),"&lt;&gt;")&gt;0,VLOOKUP($C73,EmpAll,COLUMN(Emp!$R$4)+MATCH(O$5,DedListItem,0)-1,0),OFFSET(Setup!$E$73,MATCH(O$5,DedListItem,0),0,1,1))*$AA73)-SUMIFS(OFFSET(O$6,1,0,PayCount,1),PayDate,"&lt;"&amp;$AC73,PayEmp,$C73),IF(ISNA(MATCH(O$2,EarnListItem,0))=FALSE,IF(OFFSET(Setup!$G$73,MATCH(O$5,DedListItem,0),0,1,1)="Taxable",SUMPRODUCT((PayEmp=$C73)*(PayDate&lt;=$AC73)*(PayEarnCode=O$2)*(PayEarnTax)*(PayEarnValues)),SUMPRODUCT((PayEmp=$C73)*(PayDate&lt;=$AC73)*(PayEarnCode=O$2)*(PayEarnValues)))*IF(COUNTIFS(EmpNo,$C73,OFFSET(Emp!$R$4,1,MATCH(O$5,DedListItem,0)-1,EmpCount,1),"&lt;&gt;")&gt;0,VLOOKUP($C73,EmpAll,COLUMN(Emp!$R$4)+MATCH(O$5,DedListItem,0)-1,0),OFFSET(Setup!$E$73,MATCH(O$5,DedListItem,0),0,1,1)),(MIN(IF(OFFSET(Setup!$G$73,MATCH(O$5,DedListItem,0),0,1,1)="Taxable",SUMPRODUCT((PayEmp=$C73)*(PayDate&lt;=$AC73)*(ISERROR(SEARCH(PayEarnCode,O$4)))*(PayEarnTax)*(PayEarnValues)),SUMPRODUCT((PayEmp=$C73)*(PayDate&lt;=$AC73)*(ISERROR(SEARCH(PayEarnCode,O$4)))*(PayEarnValues))),IF(ISNUMBER(O$3),O$3/12*$AA73,IgnoreMin)))*IF(COUNTIFS(EmpNo,$C73,OFFSET(Emp!$R$4,1,MATCH(O$5,DedListItem,0)-1,EmpCount,1),"&lt;&gt;")&gt;0,VLOOKUP($C73,EmpAll,COLUMN(Emp!$R$4)+MATCH(O$5,DedListItem,0)-1,0),OFFSET(Setup!$E$73,MATCH(O$5,DedListItem,0),0,1,1)))-SUMIFS(OFFSET(O$6,1,0,PayCount,1),PayDate,"&lt;"&amp;$AC73,PayEmp,$C73))))))</f>
        <v>0</v>
      </c>
      <c r="P73" s="133" cm="1">
        <f t="array" aca="1" ref="P73" ca="1">IF($F73="Terminated",0,IF($AA73=0,0,IF(ISNA(MATCH(P$5,DedListItem,0)),0,IF(COUNTIFS(OverEmp,$C73,OverDeduct,P$5,OverDate,"&lt;"&amp;DATE(YEAR($AC73),MONTH($AC73)+1,1),OverEnd,"&gt;="&amp;DATE(YEAR($AC73),MONTH($AC73),1))&gt;0,SUMIFS(OverValue,OverEmp,$C73,OverDeduct,P$5,OverDate,"&lt;"&amp;DATE(YEAR($AC73),MONTH($AC73)+1,1),OverEnd,"&gt;="&amp;DATE(YEAR($AC73),MONTH($AC73),1)),IF(OR(P$2="Fixed",P$2="Not Used"),(IF(COUNTIFS(EmpNo,$C73,OFFSET(Emp!$R$4,1,MATCH(P$5,DedListItem,0)-1,EmpCount,1),"&lt;&gt;")&gt;0,VLOOKUP($C73,EmpAll,COLUMN(Emp!$R$4)+MATCH(P$5,DedListItem,0)-1,0),OFFSET(Setup!$E$73,MATCH(P$5,DedListItem,0),0,1,1))*$AA73)-SUMIFS(OFFSET(P$6,1,0,PayCount,1),PayDate,"&lt;"&amp;$AC73,PayEmp,$C73),IF(ISNA(MATCH(P$2,EarnListItem,0))=FALSE,IF(OFFSET(Setup!$G$73,MATCH(P$5,DedListItem,0),0,1,1)="Taxable",SUMPRODUCT((PayEmp=$C73)*(PayDate&lt;=$AC73)*(PayEarnCode=P$2)*(PayEarnTax)*(PayEarnValues)),SUMPRODUCT((PayEmp=$C73)*(PayDate&lt;=$AC73)*(PayEarnCode=P$2)*(PayEarnValues)))*IF(COUNTIFS(EmpNo,$C73,OFFSET(Emp!$R$4,1,MATCH(P$5,DedListItem,0)-1,EmpCount,1),"&lt;&gt;")&gt;0,VLOOKUP($C73,EmpAll,COLUMN(Emp!$R$4)+MATCH(P$5,DedListItem,0)-1,0),OFFSET(Setup!$E$73,MATCH(P$5,DedListItem,0),0,1,1)),(MIN(IF(OFFSET(Setup!$G$73,MATCH(P$5,DedListItem,0),0,1,1)="Taxable",SUMPRODUCT((PayEmp=$C73)*(PayDate&lt;=$AC73)*(ISERROR(SEARCH(PayEarnCode,P$4)))*(PayEarnTax)*(PayEarnValues)),SUMPRODUCT((PayEmp=$C73)*(PayDate&lt;=$AC73)*(ISERROR(SEARCH(PayEarnCode,P$4)))*(PayEarnValues))),IF(ISNUMBER(P$3),P$3/12*$AA73,IgnoreMin)))*IF(COUNTIFS(EmpNo,$C73,OFFSET(Emp!$R$4,1,MATCH(P$5,DedListItem,0)-1,EmpCount,1),"&lt;&gt;")&gt;0,VLOOKUP($C73,EmpAll,COLUMN(Emp!$R$4)+MATCH(P$5,DedListItem,0)-1,0),OFFSET(Setup!$E$73,MATCH(P$5,DedListItem,0),0,1,1)))-SUMIFS(OFFSET(P$6,1,0,PayCount,1),PayDate,"&lt;"&amp;$AC73,PayEmp,$C73))))))</f>
        <v>0</v>
      </c>
      <c r="Q73" s="133" cm="1">
        <f t="array" aca="1" ref="Q73" ca="1">IF($F73="Terminated",0,IF($AA73=0,0,IF(ISNA(MATCH(Q$5,DedListItem,0)),0,IF(COUNTIFS(OverEmp,$C73,OverDeduct,Q$5,OverDate,"&lt;"&amp;DATE(YEAR($AC73),MONTH($AC73)+1,1),OverEnd,"&gt;="&amp;DATE(YEAR($AC73),MONTH($AC73),1))&gt;0,SUMIFS(OverValue,OverEmp,$C73,OverDeduct,Q$5,OverDate,"&lt;"&amp;DATE(YEAR($AC73),MONTH($AC73)+1,1),OverEnd,"&gt;="&amp;DATE(YEAR($AC73),MONTH($AC73),1)),IF(OR(Q$2="Fixed",Q$2="Not Used"),(IF(COUNTIFS(EmpNo,$C73,OFFSET(Emp!$R$4,1,MATCH(Q$5,DedListItem,0)-1,EmpCount,1),"&lt;&gt;")&gt;0,VLOOKUP($C73,EmpAll,COLUMN(Emp!$R$4)+MATCH(Q$5,DedListItem,0)-1,0),OFFSET(Setup!$E$73,MATCH(Q$5,DedListItem,0),0,1,1))*$AA73)-SUMIFS(OFFSET(Q$6,1,0,PayCount,1),PayDate,"&lt;"&amp;$AC73,PayEmp,$C73),IF(ISNA(MATCH(Q$2,EarnListItem,0))=FALSE,IF(OFFSET(Setup!$G$73,MATCH(Q$5,DedListItem,0),0,1,1)="Taxable",SUMPRODUCT((PayEmp=$C73)*(PayDate&lt;=$AC73)*(PayEarnCode=Q$2)*(PayEarnTax)*(PayEarnValues)),SUMPRODUCT((PayEmp=$C73)*(PayDate&lt;=$AC73)*(PayEarnCode=Q$2)*(PayEarnValues)))*IF(COUNTIFS(EmpNo,$C73,OFFSET(Emp!$R$4,1,MATCH(Q$5,DedListItem,0)-1,EmpCount,1),"&lt;&gt;")&gt;0,VLOOKUP($C73,EmpAll,COLUMN(Emp!$R$4)+MATCH(Q$5,DedListItem,0)-1,0),OFFSET(Setup!$E$73,MATCH(Q$5,DedListItem,0),0,1,1)),(MIN(IF(OFFSET(Setup!$G$73,MATCH(Q$5,DedListItem,0),0,1,1)="Taxable",SUMPRODUCT((PayEmp=$C73)*(PayDate&lt;=$AC73)*(ISERROR(SEARCH(PayEarnCode,Q$4)))*(PayEarnTax)*(PayEarnValues)),SUMPRODUCT((PayEmp=$C73)*(PayDate&lt;=$AC73)*(ISERROR(SEARCH(PayEarnCode,Q$4)))*(PayEarnValues))),IF(ISNUMBER(Q$3),Q$3/12*$AA73,IgnoreMin)))*IF(COUNTIFS(EmpNo,$C73,OFFSET(Emp!$R$4,1,MATCH(Q$5,DedListItem,0)-1,EmpCount,1),"&lt;&gt;")&gt;0,VLOOKUP($C73,EmpAll,COLUMN(Emp!$R$4)+MATCH(Q$5,DedListItem,0)-1,0),OFFSET(Setup!$E$73,MATCH(Q$5,DedListItem,0),0,1,1)))-SUMIFS(OFFSET(Q$6,1,0,PayCount,1),PayDate,"&lt;"&amp;$AC73,PayEmp,$C73))))))</f>
        <v>0</v>
      </c>
      <c r="R73" s="185">
        <f t="shared" ca="1" si="37"/>
        <v>0</v>
      </c>
      <c r="S73" s="139">
        <f t="shared" ca="1" si="38"/>
        <v>0</v>
      </c>
      <c r="T73" s="133" cm="1">
        <f t="array" aca="1" ref="T73" ca="1">IF($F73="Terminated",0,IF($AA73=0,0,IF(ISNA(MATCH(T$5,CompListItem,0)),0,IF(COUNTIFS(OverEmp,$C73,OverComp,T$5,OverDate,"&lt;"&amp;DATE(YEAR($AC73),MONTH($AC73)+1,1),OverEnd,"&gt;="&amp;DATE(YEAR($AC73),MONTH($AC73),1))&gt;0,SUMIFS(OverValue,OverEmp,$C73,OverComp,T$5,OverDate,"&lt;"&amp;DATE(YEAR($AC73),MONTH($AC73)+1,1),OverEnd,"&gt;="&amp;DATE(YEAR($AC73),MONTH($AC73),1)),IF(OR(T$2="Fixed",T$2="Not Used"),(OFFSET(Setup!$E$81,MATCH(T$5,CompListItem,0),0,1,1)*$AA73)-SUMIFS(OFFSET(T$6,1,0,PayCount,1),PayDate,"&lt;"&amp;$AC73,PayEmp,$C73),IF(ISNA(MATCH(T$2,DedListItem,0))=FALSE,(SUMPRODUCT((PayEmp=$C73)*(PayDate&lt;=$AC73)*(PayDedList=T$2)*(PayDedValues))*OFFSET(Setup!$E$81,MATCH(T$5,CompListItem,0),0,1,1))-SUMIFS(OFFSET(T$6,1,0,PayCount,1),PayDate,"&lt;"&amp;$AC73,PayEmp,$C73),(MIN(IF(OFFSET(Setup!$G$81,MATCH(T$5,CompListItem,0),0,1,1)="Taxable",SUMPRODUCT((PayEmp=$C73)*(PayDate&lt;=$AC73)*(ISERROR(SEARCH(PayEarnCode,T$4)))*(PayEarnTax)*(PayEarnValues)),SUMPRODUCT((PayEmp=$C73)*(PayDate&lt;=$AC73)*(ISERROR(SEARCH(PayEarnCode,T$4)))*(PayEarnValues))),IF(ISNUMBER(T$3),T$3/12*$AA73,IgnoreMin)))*OFFSET(Setup!$E$81,MATCH(T$5,CompListItem,0),0,1,1)-SUMIFS(OFFSET(T$6,1,0,PayCount,1),PayDate,"&lt;"&amp;$AC73,PayEmp,$C73)))))))</f>
        <v>0</v>
      </c>
      <c r="U73" s="133" cm="1">
        <f t="array" aca="1" ref="U73" ca="1">IF($F73="Terminated",0,IF($AA73=0,0,IF(ISNA(MATCH(U$5,CompListItem,0)),0,IF(COUNTIFS(OverEmp,$C73,OverComp,U$5,OverDate,"&lt;"&amp;DATE(YEAR($AC73),MONTH($AC73)+1,1),OverEnd,"&gt;="&amp;DATE(YEAR($AC73),MONTH($AC73),1))&gt;0,SUMIFS(OverValue,OverEmp,$C73,OverComp,U$5,OverDate,"&lt;"&amp;DATE(YEAR($AC73),MONTH($AC73)+1,1),OverEnd,"&gt;="&amp;DATE(YEAR($AC73),MONTH($AC73),1)),IF(OR(U$2="Fixed",U$2="Not Used"),(OFFSET(Setup!$E$81,MATCH(U$5,CompListItem,0),0,1,1)*$AA73)-SUMIFS(OFFSET(U$6,1,0,PayCount,1),PayDate,"&lt;"&amp;$AC73,PayEmp,$C73),IF(ISNA(MATCH(U$2,DedListItem,0))=FALSE,(SUMPRODUCT((PayEmp=$C73)*(PayDate&lt;=$AC73)*(PayDedList=U$2)*(PayDedValues))*OFFSET(Setup!$E$81,MATCH(U$5,CompListItem,0),0,1,1))-SUMIFS(OFFSET(U$6,1,0,PayCount,1),PayDate,"&lt;"&amp;$AC73,PayEmp,$C73),(MIN(IF(OFFSET(Setup!$G$81,MATCH(U$5,CompListItem,0),0,1,1)="Taxable",SUMPRODUCT((PayEmp=$C73)*(PayDate&lt;=$AC73)*(ISERROR(SEARCH(PayEarnCode,U$4)))*(PayEarnTax)*(PayEarnValues)),SUMPRODUCT((PayEmp=$C73)*(PayDate&lt;=$AC73)*(ISERROR(SEARCH(PayEarnCode,U$4)))*(PayEarnValues))),IF(ISNUMBER(U$3),U$3/12*$AA73,IgnoreMin)))*OFFSET(Setup!$E$81,MATCH(U$5,CompListItem,0),0,1,1)-SUMIFS(OFFSET(U$6,1,0,PayCount,1),PayDate,"&lt;"&amp;$AC73,PayEmp,$C73)))))))</f>
        <v>0</v>
      </c>
      <c r="V73" s="133" cm="1">
        <f t="array" aca="1" ref="V73" ca="1">IF($F73="Terminated",0,IF($AA73=0,0,IF(ISNA(MATCH(V$5,CompListItem,0)),0,IF(COUNTIFS(OverEmp,$C73,OverComp,V$5,OverDate,"&lt;"&amp;DATE(YEAR($AC73),MONTH($AC73)+1,1),OverEnd,"&gt;="&amp;DATE(YEAR($AC73),MONTH($AC73),1))&gt;0,SUMIFS(OverValue,OverEmp,$C73,OverComp,V$5,OverDate,"&lt;"&amp;DATE(YEAR($AC73),MONTH($AC73)+1,1),OverEnd,"&gt;="&amp;DATE(YEAR($AC73),MONTH($AC73),1)),IF(OR(V$2="Fixed",V$2="Not Used"),(OFFSET(Setup!$E$81,MATCH(V$5,CompListItem,0),0,1,1)*$AA73)-SUMIFS(OFFSET(V$6,1,0,PayCount,1),PayDate,"&lt;"&amp;$AC73,PayEmp,$C73),IF(ISNA(MATCH(V$2,DedListItem,0))=FALSE,(SUMPRODUCT((PayEmp=$C73)*(PayDate&lt;=$AC73)*(PayDedList=V$2)*(PayDedValues))*OFFSET(Setup!$E$81,MATCH(V$5,CompListItem,0),0,1,1))-SUMIFS(OFFSET(V$6,1,0,PayCount,1),PayDate,"&lt;"&amp;$AC73,PayEmp,$C73),(MIN(IF(OFFSET(Setup!$G$81,MATCH(V$5,CompListItem,0),0,1,1)="Taxable",SUMPRODUCT((PayEmp=$C73)*(PayDate&lt;=$AC73)*(ISERROR(SEARCH(PayEarnCode,V$4)))*(PayEarnTax)*(PayEarnValues)),SUMPRODUCT((PayEmp=$C73)*(PayDate&lt;=$AC73)*(ISERROR(SEARCH(PayEarnCode,V$4)))*(PayEarnValues))),IF(ISNUMBER(V$3),V$3/12*$AA73,IgnoreMin)))*OFFSET(Setup!$E$81,MATCH(V$5,CompListItem,0),0,1,1)-SUMIFS(OFFSET(V$6,1,0,PayCount,1),PayDate,"&lt;"&amp;$AC73,PayEmp,$C73)))))))</f>
        <v>0</v>
      </c>
      <c r="W73" s="133" cm="1">
        <f t="array" aca="1" ref="W73" ca="1">IF($F73="Terminated",0,IF($AA73=0,0,IF(ISNA(MATCH(W$5,CompListItem,0)),0,IF(COUNTIFS(OverEmp,$C73,OverComp,W$5,OverDate,"&lt;"&amp;DATE(YEAR($AC73),MONTH($AC73)+1,1),OverEnd,"&gt;="&amp;DATE(YEAR($AC73),MONTH($AC73),1))&gt;0,SUMIFS(OverValue,OverEmp,$C73,OverComp,W$5,OverDate,"&lt;"&amp;DATE(YEAR($AC73),MONTH($AC73)+1,1),OverEnd,"&gt;="&amp;DATE(YEAR($AC73),MONTH($AC73),1)),IF(OR(W$2="Fixed",W$2="Not Used"),(OFFSET(Setup!$E$81,MATCH(W$5,CompListItem,0),0,1,1)*$AA73)-SUMIFS(OFFSET(W$6,1,0,PayCount,1),PayDate,"&lt;"&amp;$AC73,PayEmp,$C73),IF(ISNA(MATCH(W$2,DedListItem,0))=FALSE,(SUMPRODUCT((PayEmp=$C73)*(PayDate&lt;=$AC73)*(PayDedList=W$2)*(PayDedValues))*OFFSET(Setup!$E$81,MATCH(W$5,CompListItem,0),0,1,1))-SUMIFS(OFFSET(W$6,1,0,PayCount,1),PayDate,"&lt;"&amp;$AC73,PayEmp,$C73),(MIN(IF(OFFSET(Setup!$G$81,MATCH(W$5,CompListItem,0),0,1,1)="Taxable",SUMPRODUCT((PayEmp=$C73)*(PayDate&lt;=$AC73)*(ISERROR(SEARCH(PayEarnCode,W$4)))*(PayEarnTax)*(PayEarnValues)),SUMPRODUCT((PayEmp=$C73)*(PayDate&lt;=$AC73)*(ISERROR(SEARCH(PayEarnCode,W$4)))*(PayEarnValues))),IF(ISNUMBER(W$3),W$3/12*$AA73,IgnoreMin)))*OFFSET(Setup!$E$81,MATCH(W$5,CompListItem,0),0,1,1)-SUMIFS(OFFSET(W$6,1,0,PayCount,1),PayDate,"&lt;"&amp;$AC73,PayEmp,$C73)))))))</f>
        <v>0</v>
      </c>
      <c r="X73" s="185">
        <f t="shared" ca="1" si="30"/>
        <v>0</v>
      </c>
      <c r="Y73" s="139">
        <f t="shared" ca="1" si="39"/>
        <v>0</v>
      </c>
      <c r="Z73" s="139">
        <f t="shared" ca="1" si="31"/>
        <v>0</v>
      </c>
      <c r="AA73" s="146">
        <f ca="1">IF(OR($B73&lt;=Setup!$E$12,$B73&gt;=Setup!$D$12+1),0,IF($F73&lt;&gt;"Active",0,IF($AE73="Yes",$AB73,((YEAR($AC73)*12)+MONTH($AC73))-((YEAR($AD73)*12)+MONTH($AD73)-1))))</f>
        <v>0</v>
      </c>
      <c r="AB73" s="146">
        <f ca="1">IF(OR($B73&lt;=Setup!$E$12,$B73&gt;=Setup!$D$12+1),0,((YEAR($AC73)*12)+MONTH($AC73))-((YEAR(Setup!$E$12)*12)+MONTH(Setup!$E$12)))</f>
        <v>5</v>
      </c>
      <c r="AC73" s="186">
        <f t="shared" ca="1" si="32"/>
        <v>45132</v>
      </c>
      <c r="AD73" s="144">
        <f ca="1">IF(ISNA(VLOOKUP($C73,EmpAll,COLUMN(Emp!$E$4),0)),$AC73,IF(VLOOKUP($C73,EmpAll,COLUMN(Emp!$E$4),0)&lt;=Setup!$E$12,DATE(YEAR(Setup!$E$12),MONTH(Setup!$E$12)+1,1),VLOOKUP($C73,EmpAll,COLUMN(Emp!$E$4),0)))</f>
        <v>44986</v>
      </c>
      <c r="AE73" s="144" t="str">
        <f ca="1">IF(ISNA(VLOOKUP($C73,EmpAll,COLUMN(Emp!$G$1),0)),"-",IF(VLOOKUP($C73,EmpAll,COLUMN(Emp!$G$1),0)=0,"-",VLOOKUP($C73,EmpAll,COLUMN(Emp!$G$1),0)))</f>
        <v>-</v>
      </c>
      <c r="AF73" s="145">
        <f ca="1">IF(A73=PaySlip!$G$3,1,0)</f>
        <v>0</v>
      </c>
      <c r="AG73" s="130" cm="1">
        <f t="array" aca="1" ref="AG73" ca="1">IF(COUNTIFS(OverEmp,$C73,OverMed,"MED",OverDate,"&lt;"&amp;DATE(YEAR($AC73),MONTH($AC73)+1,1),OverEnd,"&gt;="&amp;DATE(YEAR($AC73),MONTH($AC73),1))&gt;0,SUMIFS(OverValue,OverEmp,$C73,OverMed,"MED",OverDate,"&lt;"&amp;DATE(YEAR($AC73),MONTH($AC73)+1,1),OverEnd,"&gt;="&amp;DATE(YEAR($AC73),MONTH($AC73),1)),IF(ISNA(VLOOKUP($C73,EmpAll,COLUMN(Emp!$N$4),0)),0,VLOOKUP($C73,EmpAll,COLUMN(Emp!$N$4),0)))</f>
        <v>0</v>
      </c>
      <c r="AH73" s="146">
        <f ca="1">VLOOKUP($AG73,MedList,COLUMN(Setup!$C$49),1)</f>
        <v>0</v>
      </c>
      <c r="AI73" s="146">
        <f t="shared" ca="1" si="40"/>
        <v>0</v>
      </c>
      <c r="AJ73" s="101" t="str">
        <f ca="1">IF(ISNA(VLOOKUP($C73,EmpAll,COLUMN(Emp!$L$4),0)),"None!",VLOOKUP($C73,EmpAll,COLUMN(Emp!$L$4),0))</f>
        <v>A</v>
      </c>
      <c r="AK73" s="147">
        <f t="shared" ca="1" si="33"/>
        <v>17235</v>
      </c>
      <c r="AL73" s="101" t="str">
        <f ca="1">IF(ISNA(VLOOKUP($C73,Employees[],COLUMN(Emp!$M$4),0))=TRUE,"Error!",IF(VLOOKUP($C73,Employees[],COLUMN(Emp!$M$4),0)=0,"Yes",VLOOKUP($C73,Employees[],COLUMN(Emp!$M$4),0)))</f>
        <v>A</v>
      </c>
      <c r="AM73" s="148">
        <f t="shared" ca="1" si="41"/>
        <v>0</v>
      </c>
      <c r="AN73" s="148" cm="1">
        <f t="array" aca="1" ref="AN73" ca="1">-IF($F73="Terminated",0,IF($AA73=0,0,IF(ISNA(MATCH(AN$5,PayDedList,0)),0,MIN(IF(COUNTIFS(OverEmp,$C73,OverDeduct,AN$5,OverDate,"&lt;"&amp;DATE(YEAR($AC73),MONTH($AC73)+1,1),OverEnd,"&gt;="&amp;DATE(YEAR($AC73),MONTH($AC73),1))&gt;0,SUMPRODUCT((PayEmp=$C73)*(PayDate&lt;=$AC73)*(OFFSET($N$6,1,MATCH(AN$5,PayDedList,0)-1,PayCount,1)))/$AA73*12*AN$3,IF(OR(AN$1="Fixed",AN$1="Not Used"),SUMPRODUCT((PayEmp=$C73)*(PayDate&lt;=$AC73)*(OFFSET($N$6,1,MATCH(AN$5,PayDedList,0)-1,PayCount,1)))/$AA73*12*AN$3,IF(ISNA(MATCH(AN$1,EarnListItem,0))=FALSE,SUMPRODUCT((PayEmp=$C73)*(PayDate&lt;=$AC73)*(OFFSET($N$6,1,MATCH(AN$5,PayDedList,0)-1,PayCount,1)))/$AA73*12*AN$3,(MIN(((SUMPRODUCT((PayEmp=$C73)*(PayDate&lt;=$AC73)*(ISERROR(SEARCH(PayEarnCode,AN$2)))*(PayEarnType="Monthly")*(PayEarnValues))/$AA73*12)+(SUMPRODUCT((PayEmp=$C73)*(PayDate&lt;=$AC73)*(ISERROR(SEARCH(PayEarnCode,AN$2)))*(PayEarnType="Quarterly")*(PayEarnValues))/MAX(1,ROUNDDOWN($AB73/3,0))*4)+(SUMPRODUCT((PayEmp=$C73)*(PayDate&lt;=$AC73)*(ISERROR(SEARCH(PayEarnCode,AN$2)))*(PayEarnType="Bi-Annual")*(PayEarnValues))/MAX(1,ROUNDDOWN($AB73/6,0))*2)+(SUMPRODUCT((PayEmp=$C73)*(PayDate&lt;=$AC73)*(ISERROR(SEARCH(PayEarnCode,AN$2)))*(PayEarnType="Annual")*(PayEarnValues)))),IF(ISNUMBER(OFFSET($N$3,0,MATCH(AN$5,PayDedList,0)-1,1,1)),OFFSET($N$3,0,MATCH(AN$5,PayDedList,0)-1,1,1),IgnoreMin)))*IF(COUNTIFS(EmpNo,$C73,OFFSET(Emp!$R$4,1,MATCH(AN$5,DedListItem,0)-1,EmpCount,1),"&lt;&gt;")&gt;0,VLOOKUP($C73,EmpAll,COLUMN(Emp!$R$4)+MATCH(AN$5,DedListItem,0)-1,0),OFFSET(Setup!$E$73,MATCH(AN$5,DedListItem,0),0,1,1))*AN$3))),IF(ISNUMBER(AN$4),AN$4,IgnoreMin)))))</f>
        <v>0</v>
      </c>
      <c r="AO73" s="148" cm="1">
        <f t="array" aca="1" ref="AO73" ca="1">-IF($F73="Terminated",0,IF($AA73=0,0,IF(ISNA(MATCH(AO$5,PayDedList,0)),0,MIN(IF(COUNTIFS(OverEmp,$C73,OverDeduct,AO$5,OverDate,"&lt;"&amp;DATE(YEAR($AC73),MONTH($AC73)+1,1),OverEnd,"&gt;="&amp;DATE(YEAR($AC73),MONTH($AC73),1))&gt;0,SUMPRODUCT((PayEmp=$C73)*(PayDate&lt;=$AC73)*(OFFSET($N$6,1,MATCH(AO$5,PayDedList,0)-1,PayCount,1)))/$AA73*12*AO$3,IF(OR(AO$1="Fixed",AO$1="Not Used"),SUMPRODUCT((PayEmp=$C73)*(PayDate&lt;=$AC73)*(OFFSET($N$6,1,MATCH(AO$5,PayDedList,0)-1,PayCount,1)))/$AA73*12*AO$3,IF(ISNA(MATCH(AO$1,EarnListItem,0))=FALSE,SUMPRODUCT((PayEmp=$C73)*(PayDate&lt;=$AC73)*(OFFSET($N$6,1,MATCH(AO$5,PayDedList,0)-1,PayCount,1)))/$AA73*12*AO$3,(MIN(((SUMPRODUCT((PayEmp=$C73)*(PayDate&lt;=$AC73)*(ISERROR(SEARCH(PayEarnCode,AO$2)))*(PayEarnType="Monthly")*(PayEarnValues))/$AA73*12)+(SUMPRODUCT((PayEmp=$C73)*(PayDate&lt;=$AC73)*(ISERROR(SEARCH(PayEarnCode,AO$2)))*(PayEarnType="Quarterly")*(PayEarnValues))/MAX(1,ROUNDDOWN($AB73/3,0))*4)+(SUMPRODUCT((PayEmp=$C73)*(PayDate&lt;=$AC73)*(ISERROR(SEARCH(PayEarnCode,AO$2)))*(PayEarnType="Bi-Annual")*(PayEarnValues))/MAX(1,ROUNDDOWN($AB73/6,0))*2)+(SUMPRODUCT((PayEmp=$C73)*(PayDate&lt;=$AC73)*(ISERROR(SEARCH(PayEarnCode,AO$2)))*(PayEarnType="Annual")*(PayEarnValues)))),IF(ISNUMBER(OFFSET($N$3,0,MATCH(AO$5,PayDedList,0)-1,1,1)),OFFSET($N$3,0,MATCH(AO$5,PayDedList,0)-1,1,1),IgnoreMin)))*IF(COUNTIFS(EmpNo,$C73,OFFSET(Emp!$R$4,1,MATCH(AO$5,DedListItem,0)-1,EmpCount,1),"&lt;&gt;")&gt;0,VLOOKUP($C73,EmpAll,COLUMN(Emp!$R$4)+MATCH(AO$5,DedListItem,0)-1,0),OFFSET(Setup!$E$73,MATCH(AO$5,DedListItem,0),0,1,1))*AO$3))),IF(ISNUMBER(AO$4),AO$4,IgnoreMin)))))</f>
        <v>0</v>
      </c>
      <c r="AP73" s="148" cm="1">
        <f t="array" aca="1" ref="AP73" ca="1">-IF($F73="Terminated",0,IF($AA73=0,0,IF(ISNA(MATCH(AP$5,PayDedList,0)),0,MIN(IF(COUNTIFS(OverEmp,$C73,OverDeduct,AP$5,OverDate,"&lt;"&amp;DATE(YEAR($AC73),MONTH($AC73)+1,1),OverEnd,"&gt;="&amp;DATE(YEAR($AC73),MONTH($AC73),1))&gt;0,SUMPRODUCT((PayEmp=$C73)*(PayDate&lt;=$AC73)*(OFFSET($N$6,1,MATCH(AP$5,PayDedList,0)-1,PayCount,1)))/$AA73*12*AP$3,IF(OR(AP$1="Fixed",AP$1="Not Used"),SUMPRODUCT((PayEmp=$C73)*(PayDate&lt;=$AC73)*(OFFSET($N$6,1,MATCH(AP$5,PayDedList,0)-1,PayCount,1)))/$AA73*12*AP$3,IF(ISNA(MATCH(AP$1,EarnListItem,0))=FALSE,SUMPRODUCT((PayEmp=$C73)*(PayDate&lt;=$AC73)*(OFFSET($N$6,1,MATCH(AP$5,PayDedList,0)-1,PayCount,1)))/$AA73*12*AP$3,(MIN(((SUMPRODUCT((PayEmp=$C73)*(PayDate&lt;=$AC73)*(ISERROR(SEARCH(PayEarnCode,AP$2)))*(PayEarnType="Monthly")*(PayEarnValues))/$AA73*12)+(SUMPRODUCT((PayEmp=$C73)*(PayDate&lt;=$AC73)*(ISERROR(SEARCH(PayEarnCode,AP$2)))*(PayEarnType="Quarterly")*(PayEarnValues))/MAX(1,ROUNDDOWN($AB73/3,0))*4)+(SUMPRODUCT((PayEmp=$C73)*(PayDate&lt;=$AC73)*(ISERROR(SEARCH(PayEarnCode,AP$2)))*(PayEarnType="Bi-Annual")*(PayEarnValues))/MAX(1,ROUNDDOWN($AB73/6,0))*2)+(SUMPRODUCT((PayEmp=$C73)*(PayDate&lt;=$AC73)*(ISERROR(SEARCH(PayEarnCode,AP$2)))*(PayEarnType="Annual")*(PayEarnValues)))),IF(ISNUMBER(OFFSET($N$3,0,MATCH(AP$5,PayDedList,0)-1,1,1)),OFFSET($N$3,0,MATCH(AP$5,PayDedList,0)-1,1,1),IgnoreMin)))*IF(COUNTIFS(EmpNo,$C73,OFFSET(Emp!$R$4,1,MATCH(AP$5,DedListItem,0)-1,EmpCount,1),"&lt;&gt;")&gt;0,VLOOKUP($C73,EmpAll,COLUMN(Emp!$R$4)+MATCH(AP$5,DedListItem,0)-1,0),OFFSET(Setup!$E$73,MATCH(AP$5,DedListItem,0),0,1,1))*AP$3))),IF(ISNUMBER(AP$4),AP$4,IgnoreMin)))))</f>
        <v>0</v>
      </c>
      <c r="AQ73" s="148" cm="1">
        <f t="array" aca="1" ref="AQ73" ca="1">-IF($F73="Terminated",0,IF($AA73=0,0,IF(ISNA(MATCH(AQ$5,PayDedList,0)),0,MIN(IF(COUNTIFS(OverEmp,$C73,OverDeduct,AQ$5,OverDate,"&lt;"&amp;DATE(YEAR($AC73),MONTH($AC73)+1,1),OverEnd,"&gt;="&amp;DATE(YEAR($AC73),MONTH($AC73),1))&gt;0,SUMPRODUCT((PayEmp=$C73)*(PayDate&lt;=$AC73)*(OFFSET($N$6,1,MATCH(AQ$5,PayDedList,0)-1,PayCount,1)))/$AA73*12*AQ$3,IF(OR(AQ$1="Fixed",AQ$1="Not Used"),SUMPRODUCT((PayEmp=$C73)*(PayDate&lt;=$AC73)*(OFFSET($N$6,1,MATCH(AQ$5,PayDedList,0)-1,PayCount,1)))/$AA73*12*AQ$3,IF(ISNA(MATCH(AQ$1,EarnListItem,0))=FALSE,SUMPRODUCT((PayEmp=$C73)*(PayDate&lt;=$AC73)*(OFFSET($N$6,1,MATCH(AQ$5,PayDedList,0)-1,PayCount,1)))/$AA73*12*AQ$3,(MIN(((SUMPRODUCT((PayEmp=$C73)*(PayDate&lt;=$AC73)*(ISERROR(SEARCH(PayEarnCode,AQ$2)))*(PayEarnType="Monthly")*(PayEarnValues))/$AA73*12)+(SUMPRODUCT((PayEmp=$C73)*(PayDate&lt;=$AC73)*(ISERROR(SEARCH(PayEarnCode,AQ$2)))*(PayEarnType="Quarterly")*(PayEarnValues))/MAX(1,ROUNDDOWN($AB73/3,0))*4)+(SUMPRODUCT((PayEmp=$C73)*(PayDate&lt;=$AC73)*(ISERROR(SEARCH(PayEarnCode,AQ$2)))*(PayEarnType="Bi-Annual")*(PayEarnValues))/MAX(1,ROUNDDOWN($AB73/6,0))*2)+(SUMPRODUCT((PayEmp=$C73)*(PayDate&lt;=$AC73)*(ISERROR(SEARCH(PayEarnCode,AQ$2)))*(PayEarnType="Annual")*(PayEarnValues)))),IF(ISNUMBER(OFFSET($N$3,0,MATCH(AQ$5,PayDedList,0)-1,1,1)),OFFSET($N$3,0,MATCH(AQ$5,PayDedList,0)-1,1,1),IgnoreMin)))*IF(COUNTIFS(EmpNo,$C73,OFFSET(Emp!$R$4,1,MATCH(AQ$5,DedListItem,0)-1,EmpCount,1),"&lt;&gt;")&gt;0,VLOOKUP($C73,EmpAll,COLUMN(Emp!$R$4)+MATCH(AQ$5,DedListItem,0)-1,0),OFFSET(Setup!$E$73,MATCH(AQ$5,DedListItem,0),0,1,1))*AQ$3))),IF(ISNUMBER(AQ$4),AQ$4,IgnoreMin)))))</f>
        <v>0</v>
      </c>
      <c r="AR73" s="148">
        <f t="shared" ca="1" si="34"/>
        <v>0</v>
      </c>
      <c r="AS73" s="148">
        <f t="shared" ca="1" si="42"/>
        <v>0</v>
      </c>
      <c r="AT73" s="148" cm="1">
        <f t="array" aca="1" ref="AT73" ca="1">-IF($F73="Terminated",0,IF($AA73=0,0,IF(ISNA(MATCH(AT$5,PayDedList,0)),0,MIN(IF(COUNTIFS(OverEmp,$C73,OverDeduct,AT$5,OverDate,"&lt;"&amp;DATE(YEAR($AC73),MONTH($AC73)+1,1),OverEnd,"&gt;="&amp;DATE(YEAR($AC73),MONTH($AC73),1))&gt;0,SUMPRODUCT((PayEmp=$C73)*(PayDate&lt;=$AC73)*(OFFSET($N$6,1,MATCH(AT$5,PayDedList,0)-1,PayCount,1)))/$AA73*12*AT$3,IF(OR(AT$1="Fixed",AT$1="Not Used"),SUMPRODUCT((PayEmp=$C73)*(PayDate&lt;=$AC73)*(OFFSET($N$6,1,MATCH(AT$5,PayDedList,0)-1,PayCount,1)))/$AA73*12*AT$3,IF(ISNA(MATCH(OFFSET($N$2,0,MATCH(AT$5,PayDedList,0)-1,1,1),EarnListItem,0))=FALSE,SUMPRODUCT((PayEmp=$C73)*(PayDate&lt;=$AC73)*(OFFSET($N$6,1,MATCH(AT$5,PayDedList,0)-1,PayCount,1)))/$AA73*12*AT$3,(MIN(SUMPRODUCT((PayEmp=$C73)*(PayDate&lt;=$AC73)*(ISERROR(SEARCH(PayEarnCode,AT$2)))*(PayEarnType="Monthly")*(PayEarnValues))/$AA73*12,IF(ISNUMBER(OFFSET($N$3,0,MATCH(AT$5,PayDedList,0)-1,1,1)),OFFSET($N$3,0,MATCH(AT$5,PayDedList,0)-1,1,1),IgnoreMin)))*IF(COUNTIFS(EmpNo,$C73,OFFSET(Emp!$R$4,1,MATCH(AT$5,DedListItem,0)-1,EmpCount,1),"&lt;&gt;")&gt;0,VLOOKUP($C73,EmpAll,COLUMN(Emp!$R$4)+MATCH(AT$5,DedListItem,0)-1,0),OFFSET(Setup!$E$73,MATCH(AT$5,DedListItem,0),0,1,1))*AT$3))),IF(ISNUMBER(AT$4),AT$4,IgnoreMin)))))</f>
        <v>0</v>
      </c>
      <c r="AU73" s="148" cm="1">
        <f t="array" aca="1" ref="AU73" ca="1">-IF($F73="Terminated",0,IF($AA73=0,0,IF(ISNA(MATCH(AU$5,PayDedList,0)),0,MIN(IF(COUNTIFS(OverEmp,$C73,OverDeduct,AU$5,OverDate,"&lt;"&amp;DATE(YEAR($AC73),MONTH($AC73)+1,1),OverEnd,"&gt;="&amp;DATE(YEAR($AC73),MONTH($AC73),1))&gt;0,SUMPRODUCT((PayEmp=$C73)*(PayDate&lt;=$AC73)*(OFFSET($N$6,1,MATCH(AU$5,PayDedList,0)-1,PayCount,1)))/$AA73*12*AU$3,IF(OR(AU$1="Fixed",AU$1="Not Used"),SUMPRODUCT((PayEmp=$C73)*(PayDate&lt;=$AC73)*(OFFSET($N$6,1,MATCH(AU$5,PayDedList,0)-1,PayCount,1)))/$AA73*12*AU$3,IF(ISNA(MATCH(OFFSET($N$2,0,MATCH(AU$5,PayDedList,0)-1,1,1),EarnListItem,0))=FALSE,SUMPRODUCT((PayEmp=$C73)*(PayDate&lt;=$AC73)*(OFFSET($N$6,1,MATCH(AU$5,PayDedList,0)-1,PayCount,1)))/$AA73*12*AU$3,(MIN(SUMPRODUCT((PayEmp=$C73)*(PayDate&lt;=$AC73)*(ISERROR(SEARCH(PayEarnCode,AU$2)))*(PayEarnType="Monthly")*(PayEarnValues))/$AA73*12,IF(ISNUMBER(OFFSET($N$3,0,MATCH(AU$5,PayDedList,0)-1,1,1)),OFFSET($N$3,0,MATCH(AU$5,PayDedList,0)-1,1,1),IgnoreMin)))*IF(COUNTIFS(EmpNo,$C73,OFFSET(Emp!$R$4,1,MATCH(AU$5,DedListItem,0)-1,EmpCount,1),"&lt;&gt;")&gt;0,VLOOKUP($C73,EmpAll,COLUMN(Emp!$R$4)+MATCH(AU$5,DedListItem,0)-1,0),OFFSET(Setup!$E$73,MATCH(AU$5,DedListItem,0),0,1,1))*AU$3))),IF(ISNUMBER(AU$4),AU$4,IgnoreMin)))))</f>
        <v>0</v>
      </c>
      <c r="AV73" s="148" cm="1">
        <f t="array" aca="1" ref="AV73" ca="1">-IF($F73="Terminated",0,IF($AA73=0,0,IF(ISNA(MATCH(AV$5,PayDedList,0)),0,MIN(IF(COUNTIFS(OverEmp,$C73,OverDeduct,AV$5,OverDate,"&lt;"&amp;DATE(YEAR($AC73),MONTH($AC73)+1,1),OverEnd,"&gt;="&amp;DATE(YEAR($AC73),MONTH($AC73),1))&gt;0,SUMPRODUCT((PayEmp=$C73)*(PayDate&lt;=$AC73)*(OFFSET($N$6,1,MATCH(AV$5,PayDedList,0)-1,PayCount,1)))/$AA73*12*AV$3,IF(OR(AV$1="Fixed",AV$1="Not Used"),SUMPRODUCT((PayEmp=$C73)*(PayDate&lt;=$AC73)*(OFFSET($N$6,1,MATCH(AV$5,PayDedList,0)-1,PayCount,1)))/$AA73*12*AV$3,IF(ISNA(MATCH(OFFSET($N$2,0,MATCH(AV$5,PayDedList,0)-1,1,1),EarnListItem,0))=FALSE,SUMPRODUCT((PayEmp=$C73)*(PayDate&lt;=$AC73)*(OFFSET($N$6,1,MATCH(AV$5,PayDedList,0)-1,PayCount,1)))/$AA73*12*AV$3,(MIN(SUMPRODUCT((PayEmp=$C73)*(PayDate&lt;=$AC73)*(ISERROR(SEARCH(PayEarnCode,AV$2)))*(PayEarnType="Monthly")*(PayEarnValues))/$AA73*12,IF(ISNUMBER(OFFSET($N$3,0,MATCH(AV$5,PayDedList,0)-1,1,1)),OFFSET($N$3,0,MATCH(AV$5,PayDedList,0)-1,1,1),IgnoreMin)))*IF(COUNTIFS(EmpNo,$C73,OFFSET(Emp!$R$4,1,MATCH(AV$5,DedListItem,0)-1,EmpCount,1),"&lt;&gt;")&gt;0,VLOOKUP($C73,EmpAll,COLUMN(Emp!$R$4)+MATCH(AV$5,DedListItem,0)-1,0),OFFSET(Setup!$E$73,MATCH(AV$5,DedListItem,0),0,1,1))*AV$3))),IF(ISNUMBER(AV$4),AV$4,IgnoreMin)))))</f>
        <v>0</v>
      </c>
      <c r="AW73" s="148" cm="1">
        <f t="array" aca="1" ref="AW73" ca="1">-IF($F73="Terminated",0,IF($AA73=0,0,IF(ISNA(MATCH(AW$5,PayDedList,0)),0,MIN(IF(COUNTIFS(OverEmp,$C73,OverDeduct,AW$5,OverDate,"&lt;"&amp;DATE(YEAR($AC73),MONTH($AC73)+1,1),OverEnd,"&gt;="&amp;DATE(YEAR($AC73),MONTH($AC73),1))&gt;0,SUMPRODUCT((PayEmp=$C73)*(PayDate&lt;=$AC73)*(OFFSET($N$6,1,MATCH(AW$5,PayDedList,0)-1,PayCount,1)))/$AA73*12*AW$3,IF(OR(AW$1="Fixed",AW$1="Not Used"),SUMPRODUCT((PayEmp=$C73)*(PayDate&lt;=$AC73)*(OFFSET($N$6,1,MATCH(AW$5,PayDedList,0)-1,PayCount,1)))/$AA73*12*AW$3,IF(ISNA(MATCH(OFFSET($N$2,0,MATCH(AW$5,PayDedList,0)-1,1,1),EarnListItem,0))=FALSE,SUMPRODUCT((PayEmp=$C73)*(PayDate&lt;=$AC73)*(OFFSET($N$6,1,MATCH(AW$5,PayDedList,0)-1,PayCount,1)))/$AA73*12*AW$3,(MIN(SUMPRODUCT((PayEmp=$C73)*(PayDate&lt;=$AC73)*(ISERROR(SEARCH(PayEarnCode,AW$2)))*(PayEarnType="Monthly")*(PayEarnValues))/$AA73*12,IF(ISNUMBER(OFFSET($N$3,0,MATCH(AW$5,PayDedList,0)-1,1,1)),OFFSET($N$3,0,MATCH(AW$5,PayDedList,0)-1,1,1),IgnoreMin)))*IF(COUNTIFS(EmpNo,$C73,OFFSET(Emp!$R$4,1,MATCH(AW$5,DedListItem,0)-1,EmpCount,1),"&lt;&gt;")&gt;0,VLOOKUP($C73,EmpAll,COLUMN(Emp!$R$4)+MATCH(AW$5,DedListItem,0)-1,0),OFFSET(Setup!$E$73,MATCH(AW$5,DedListItem,0),0,1,1))*AW$3))),IF(ISNUMBER(AW$4),AW$4,IgnoreMin)))))</f>
        <v>0</v>
      </c>
      <c r="AX73" s="148">
        <f t="shared" ca="1" si="43"/>
        <v>0</v>
      </c>
      <c r="AY73" s="148">
        <f t="shared" ca="1" si="44"/>
        <v>0</v>
      </c>
      <c r="AZ73" s="148">
        <f ca="1">IF(ISNUMBER($AL73),($AR73*$AL73)-$AI73-$AK73,MAX(0,IF($AL73="B",IF($AR73&lt;Setup!$C$32,($AR73*Setup!$D$32)-$AI73-$AK73,(($AR73-VLOOKUP($AR73,TaxAll2,1,1))*OFFSET(Setup!$D$32,MATCH($AR73,TaxBracket2,1),0,1,1))+OFFSET(Setup!$E$31,MATCH($AR73,TaxBracket2,1),0,1,1)-$AI73-$AK73),IF($AR73&lt;Setup!$C$21,($AR73*Setup!$D$21)-$AI73-$AK73,(($AR73-VLOOKUP($AR73,TaxAll1,1,1))*OFFSET(Setup!$D$21,MATCH($AR73,TaxBracket1,1),0,1,1))+OFFSET(Setup!$E$20,MATCH($AR73,TaxBracket1,1),0,1,1)-$AI73-$AK73))))</f>
        <v>0</v>
      </c>
      <c r="BA73" s="148">
        <f ca="1">IF(ISNUMBER($AL73),($AX73*$AL73)-$AI73-$AK73,MAX(0,IF($AL73="B",IF($AX73&lt;Setup!$C$32,($AX73*Setup!$D$32)-$AI73-$AK73,(($AX73-VLOOKUP($AX73,TaxAll2,1,1))*OFFSET(Setup!$D$32,MATCH($AX73,TaxBracket2,1),0,1,1))+OFFSET(Setup!$E$31,MATCH($AX73,TaxBracket2,1),0,1,1)-$AI73-$AK73),IF($AX73&lt;Setup!$C$21,($AX73*Setup!$D$21)-$AI73-$AK73,(($AX73-VLOOKUP($AX73,TaxAll1,1,1))*OFFSET(Setup!$D$21,MATCH($AX73,TaxBracket1,1),0,1,1))+OFFSET(Setup!$E$20,MATCH($AX73,TaxBracket1,1),0,1,1)-$AI73-$AK73))))</f>
        <v>0</v>
      </c>
      <c r="BB73" s="148">
        <f t="shared" ca="1" si="35"/>
        <v>0</v>
      </c>
      <c r="BC73" s="150">
        <f t="shared" ca="1" si="45"/>
        <v>0</v>
      </c>
      <c r="BD73" s="150">
        <f t="shared" ca="1" si="46"/>
        <v>0</v>
      </c>
      <c r="BE73" s="148">
        <f t="shared" ca="1" si="47"/>
        <v>0</v>
      </c>
    </row>
    <row r="74" spans="1:57" ht="16.149999999999999" customHeight="1" x14ac:dyDescent="0.25">
      <c r="A74" s="10" t="str" cm="1">
        <f t="array" aca="1" ref="A74" ca="1">IF(ROW($A74)-ROW($A$6)&gt;EmpCount*12,"-",TEXT($B74,"yyyy")&amp;TEXT($B74,"mm")&amp;"-"&amp;$C74)</f>
        <v>202307-EXS008</v>
      </c>
      <c r="B74" s="137" cm="1">
        <f t="array" aca="1" ref="B74" ca="1">IF(ROW($A74)-ROW($A$6)&gt;EmpCount*12,Setup!$D$12,DATE(YEAR(Setup!$F$12),MONTH(Setup!$F$12)+ROUNDDOWN((ROW($A74)-ROW($A$6)-1)/EmpCount,0),IF(Setup!$C$14&gt;DAY(DATE(YEAR(Setup!$F$12),MONTH(Setup!$F$12)+ROUNDDOWN((ROW($A74)-ROW($A$6)-1)/EmpCount,0)+1,0)),DAY(DATE(YEAR(Setup!$F$12),MONTH(Setup!$F$12)+ROUNDDOWN((ROW($A74)-ROW($A$6)-1)/EmpCount,0)+1,0)),Setup!$C$14)))</f>
        <v>45132</v>
      </c>
      <c r="C74" s="101" t="str" cm="1">
        <f t="array" aca="1" ref="C74" ca="1">IF(ROW($A74)-ROW($A$6)&gt;EmpCount*12,"-",OFFSET(Emp!$A$4,ROW($A74)-ROW($A$6)-IF(ROW($A74)-ROW($A$6)&gt;EmpCount,ROUNDDOWN((ROW($A74)-ROW($A$6)-1)/EmpCount,0)*EmpCount,0),0,1,1))</f>
        <v>EXS008</v>
      </c>
      <c r="D74" s="10" t="str">
        <f ca="1">IF(ISNA(VLOOKUP($C74,EmpAll,COLUMN(Emp!$B$4),0)),"-",VLOOKUP($C74,EmpAll,COLUMN(Emp!$B$4),0))</f>
        <v>Matthews B</v>
      </c>
      <c r="E74" s="145" t="str">
        <f ca="1">IF(ISNA(VLOOKUP($C74,EmpAll,COLUMN(Emp!$C$4),0)),"-",VLOOKUP($C74,EmpAll,COLUMN(Emp!$C$4),0))</f>
        <v>A</v>
      </c>
      <c r="F74" s="101" t="str">
        <f ca="1">IF(ISNA(VLOOKUP($C74,EmpAll,COLUMN(Emp!$A$4),0)),"-",IF(AND(VLOOKUP($C74,EmpAll,COLUMN(Emp!$E$4),0)&lt;&gt;0,VLOOKUP($C74,EmpAll,COLUMN(Emp!$E$4),0)&gt;=DATE(YEAR($AC74),MONTH($AC74)+1,0)),"Inactive",IF(AND(VLOOKUP($C74,EmpAll,COLUMN(Emp!$F$4),0)&lt;&gt;0,VLOOKUP($C74,EmpAll,COLUMN(Emp!$F$4),0)&lt;=DATE(YEAR($AC74),MONTH($AC74),0)),"Terminated","Active")))</f>
        <v>Active</v>
      </c>
      <c r="G74" s="133" cm="1">
        <f t="array" aca="1" ref="G74" ca="1">IF($F74&lt;&gt;"Active",0,IF(COUNTIFS(OverEmp,$C74,OverEarn,G$2,OverDate,"&lt;"&amp;DATE(YEAR($AC74),MONTH($AC74)+1,1),OverEnd,"&gt;="&amp;DATE(YEAR($AC74),MONTH($AC74),1))&gt;0,SUMIFS(OverValue,OverEmp,$C74,OverEarn,G$2,OverDate,"&lt;"&amp;DATE(YEAR($AC74),MONTH($AC74)+1,1),OverEnd,"&gt;="&amp;DATE(YEAR($AC74),MONTH($AC74),1)),IF(AND($AC74&gt;=Setup!$E$10,SUMIFS(EmpIncrease,EmpCode,$C74)&gt;0),SUMIFS(EmpIncrease,EmpCode,$C74),SUMIFS(EmpSalary,EmpCode,$C74))))</f>
        <v>9000</v>
      </c>
      <c r="H74" s="133" cm="1">
        <f t="array" aca="1" ref="H74" ca="1">IF($F74&lt;&gt;"Active",0,IF(COUNTIFS(OverEmp,$C74,OverEarn,H$2,OverDate,"&lt;"&amp;DATE(YEAR($AC74),MONTH($AC74)+1,1),OverEnd,"&gt;="&amp;DATE(YEAR($AC74),MONTH($AC74),1))&gt;0,SUMIFS(OverValue,OverEmp,$C74,OverEarn,H$2,OverDate,"&lt;"&amp;DATE(YEAR($AC74),MONTH($AC74)+1,1),OverEnd,"&gt;="&amp;DATE(YEAR($AC74),MONTH($AC74),1)),0))</f>
        <v>0</v>
      </c>
      <c r="I74" s="133" cm="1">
        <f t="array" aca="1" ref="I74" ca="1">IF($F74&lt;&gt;"Active",0,IF(COUNTIFS(OverEmp,$C74,OverEarn,I$2,OverDate,"&lt;"&amp;DATE(YEAR($AC74),MONTH($AC74)+1,1),OverEnd,"&gt;="&amp;DATE(YEAR($AC74),MONTH($AC74),1))&gt;0,SUMIFS(OverValue,OverEmp,$C74,OverEarn,I$2,OverDate,"&lt;"&amp;DATE(YEAR($AC74),MONTH($AC74)+1,1),OverEnd,"&gt;="&amp;DATE(YEAR($AC74),MONTH($AC74),1)),IF(MONTH(B74)=Setup!$C$15,SUMIFS(EmpBonus,EmpCode,$C74),0)))</f>
        <v>0</v>
      </c>
      <c r="J74" s="133" cm="1">
        <f t="array" aca="1" ref="J74" ca="1">IF($F74&lt;&gt;"Active",0,IF(COUNTIFS(OverEmp,$C74,OverEarn,J$2,OverDate,"&lt;"&amp;DATE(YEAR($AC74),MONTH($AC74)+1,1),OverEnd,"&gt;="&amp;DATE(YEAR($AC74),MONTH($AC74),1))&gt;0,SUMIFS(OverValue,OverEmp,$C74,OverEarn,J$2,OverDate,"&lt;"&amp;DATE(YEAR($AC74),MONTH($AC74)+1,1),OverEnd,"&gt;="&amp;DATE(YEAR($AC74),MONTH($AC74),1)),0))</f>
        <v>0</v>
      </c>
      <c r="K74" s="133" cm="1">
        <f t="array" aca="1" ref="K74" ca="1">IF($F74&lt;&gt;"Active",0,IF(COUNTIFS(OverEmp,$C74,OverEarn,K$2,OverDate,"&lt;"&amp;DATE(YEAR($AC74),MONTH($AC74)+1,1),OverEnd,"&gt;="&amp;DATE(YEAR($AC74),MONTH($AC74),1))&gt;0,SUMIFS(OverValue,OverEmp,$C74,OverEarn,K$2,OverDate,"&lt;"&amp;DATE(YEAR($AC74),MONTH($AC74)+1,1),OverEnd,"&gt;="&amp;DATE(YEAR($AC74),MONTH($AC74),1)),0))</f>
        <v>0</v>
      </c>
      <c r="L74" s="185">
        <f t="shared" ca="1" si="36"/>
        <v>9000</v>
      </c>
      <c r="M74" s="182" cm="1">
        <f t="array" aca="1" ref="M74" ca="1">IF(COUNTIFS(OverEmp,$C74,OverTax,M$5,OverDate,"&lt;"&amp;DATE(YEAR($AC74),MONTH($AC74)+1,1),OverEnd,"&gt;="&amp;DATE(YEAR($AC74),MONTH($AC74),1))&gt;0,SUMIFS(OverValue,OverEmp,$C74,OverTax,M$5,OverDate,"&lt;"&amp;DATE(YEAR($AC74),MONTH($AC74)+1,1),OverEnd,"&gt;="&amp;DATE(YEAR($AC74),MONTH($AC74),1)),(($BA74/12*$AA74)+(BB74*IF(1-$BC74=0,0,BD74/(1-$BC74))))-IF($F74="Terminated",0,SUMIFS(PayTaxDeduct,PayDate,"&lt;"&amp;$AC74,PayEmp,$C74)))</f>
        <v>183.75</v>
      </c>
      <c r="N74" s="133" cm="1">
        <f t="array" aca="1" ref="N74" ca="1">IF($F74="Terminated",0,IF($AA74=0,0,IF(ISNA(MATCH(N$5,DedListItem,0)),0,IF(COUNTIFS(OverEmp,$C74,OverDeduct,N$5,OverDate,"&lt;"&amp;DATE(YEAR($AC74),MONTH($AC74)+1,1),OverEnd,"&gt;="&amp;DATE(YEAR($AC74),MONTH($AC74),1))&gt;0,SUMIFS(OverValue,OverEmp,$C74,OverDeduct,N$5,OverDate,"&lt;"&amp;DATE(YEAR($AC74),MONTH($AC74)+1,1),OverEnd,"&gt;="&amp;DATE(YEAR($AC74),MONTH($AC74),1)),IF(OR(N$2="Fixed",N$2="Not Used"),(IF(COUNTIFS(EmpNo,$C74,OFFSET(Emp!$R$4,1,MATCH(N$5,DedListItem,0)-1,EmpCount,1),"&lt;&gt;")&gt;0,VLOOKUP($C74,EmpAll,COLUMN(Emp!$R$4)+MATCH(N$5,DedListItem,0)-1,0),OFFSET(Setup!$E$73,MATCH(N$5,DedListItem,0),0,1,1))*$AA74)-SUMIFS(OFFSET(N$6,1,0,PayCount,1),PayDate,"&lt;"&amp;$AC74,PayEmp,$C74),IF(ISNA(MATCH(N$2,EarnListItem,0))=FALSE,IF(OFFSET(Setup!$G$73,MATCH(N$5,DedListItem,0),0,1,1)="Taxable",SUMPRODUCT((PayEmp=$C74)*(PayDate&lt;=$AC74)*(PayEarnCode=N$2)*(PayEarnTax)*(PayEarnValues)),SUMPRODUCT((PayEmp=$C74)*(PayDate&lt;=$AC74)*(PayEarnCode=N$2)*(PayEarnValues)))*IF(COUNTIFS(EmpNo,$C74,OFFSET(Emp!$R$4,1,MATCH(N$5,DedListItem,0)-1,EmpCount,1),"&lt;&gt;")&gt;0,VLOOKUP($C74,EmpAll,COLUMN(Emp!$R$4)+MATCH(N$5,DedListItem,0)-1,0),OFFSET(Setup!$E$73,MATCH(N$5,DedListItem,0),0,1,1)),(MIN(IF(OFFSET(Setup!$G$73,MATCH(N$5,DedListItem,0),0,1,1)="Taxable",SUMPRODUCT((PayEmp=$C74)*(PayDate&lt;=$AC74)*(ISERROR(SEARCH(PayEarnCode,N$4)))*(PayEarnTax)*(PayEarnValues)),SUMPRODUCT((PayEmp=$C74)*(PayDate&lt;=$AC74)*(ISERROR(SEARCH(PayEarnCode,N$4)))*(PayEarnValues))),IF(ISNUMBER(N$3),N$3/12*$AA74,IgnoreMin)))*IF(COUNTIFS(EmpNo,$C74,OFFSET(Emp!$R$4,1,MATCH(N$5,DedListItem,0)-1,EmpCount,1),"&lt;&gt;")&gt;0,VLOOKUP($C74,EmpAll,COLUMN(Emp!$R$4)+MATCH(N$5,DedListItem,0)-1,0),OFFSET(Setup!$E$73,MATCH(N$5,DedListItem,0),0,1,1)))-SUMIFS(OFFSET(N$6,1,0,PayCount,1),PayDate,"&lt;"&amp;$AC74,PayEmp,$C74))))))</f>
        <v>90</v>
      </c>
      <c r="O74" s="133" cm="1">
        <f t="array" aca="1" ref="O74" ca="1">IF($F74="Terminated",0,IF($AA74=0,0,IF(ISNA(MATCH(O$5,DedListItem,0)),0,IF(COUNTIFS(OverEmp,$C74,OverDeduct,O$5,OverDate,"&lt;"&amp;DATE(YEAR($AC74),MONTH($AC74)+1,1),OverEnd,"&gt;="&amp;DATE(YEAR($AC74),MONTH($AC74),1))&gt;0,SUMIFS(OverValue,OverEmp,$C74,OverDeduct,O$5,OverDate,"&lt;"&amp;DATE(YEAR($AC74),MONTH($AC74)+1,1),OverEnd,"&gt;="&amp;DATE(YEAR($AC74),MONTH($AC74),1)),IF(OR(O$2="Fixed",O$2="Not Used"),(IF(COUNTIFS(EmpNo,$C74,OFFSET(Emp!$R$4,1,MATCH(O$5,DedListItem,0)-1,EmpCount,1),"&lt;&gt;")&gt;0,VLOOKUP($C74,EmpAll,COLUMN(Emp!$R$4)+MATCH(O$5,DedListItem,0)-1,0),OFFSET(Setup!$E$73,MATCH(O$5,DedListItem,0),0,1,1))*$AA74)-SUMIFS(OFFSET(O$6,1,0,PayCount,1),PayDate,"&lt;"&amp;$AC74,PayEmp,$C74),IF(ISNA(MATCH(O$2,EarnListItem,0))=FALSE,IF(OFFSET(Setup!$G$73,MATCH(O$5,DedListItem,0),0,1,1)="Taxable",SUMPRODUCT((PayEmp=$C74)*(PayDate&lt;=$AC74)*(PayEarnCode=O$2)*(PayEarnTax)*(PayEarnValues)),SUMPRODUCT((PayEmp=$C74)*(PayDate&lt;=$AC74)*(PayEarnCode=O$2)*(PayEarnValues)))*IF(COUNTIFS(EmpNo,$C74,OFFSET(Emp!$R$4,1,MATCH(O$5,DedListItem,0)-1,EmpCount,1),"&lt;&gt;")&gt;0,VLOOKUP($C74,EmpAll,COLUMN(Emp!$R$4)+MATCH(O$5,DedListItem,0)-1,0),OFFSET(Setup!$E$73,MATCH(O$5,DedListItem,0),0,1,1)),(MIN(IF(OFFSET(Setup!$G$73,MATCH(O$5,DedListItem,0),0,1,1)="Taxable",SUMPRODUCT((PayEmp=$C74)*(PayDate&lt;=$AC74)*(ISERROR(SEARCH(PayEarnCode,O$4)))*(PayEarnTax)*(PayEarnValues)),SUMPRODUCT((PayEmp=$C74)*(PayDate&lt;=$AC74)*(ISERROR(SEARCH(PayEarnCode,O$4)))*(PayEarnValues))),IF(ISNUMBER(O$3),O$3/12*$AA74,IgnoreMin)))*IF(COUNTIFS(EmpNo,$C74,OFFSET(Emp!$R$4,1,MATCH(O$5,DedListItem,0)-1,EmpCount,1),"&lt;&gt;")&gt;0,VLOOKUP($C74,EmpAll,COLUMN(Emp!$R$4)+MATCH(O$5,DedListItem,0)-1,0),OFFSET(Setup!$E$73,MATCH(O$5,DedListItem,0),0,1,1)))-SUMIFS(OFFSET(O$6,1,0,PayCount,1),PayDate,"&lt;"&amp;$AC74,PayEmp,$C74))))))</f>
        <v>0</v>
      </c>
      <c r="P74" s="133" cm="1">
        <f t="array" aca="1" ref="P74" ca="1">IF($F74="Terminated",0,IF($AA74=0,0,IF(ISNA(MATCH(P$5,DedListItem,0)),0,IF(COUNTIFS(OverEmp,$C74,OverDeduct,P$5,OverDate,"&lt;"&amp;DATE(YEAR($AC74),MONTH($AC74)+1,1),OverEnd,"&gt;="&amp;DATE(YEAR($AC74),MONTH($AC74),1))&gt;0,SUMIFS(OverValue,OverEmp,$C74,OverDeduct,P$5,OverDate,"&lt;"&amp;DATE(YEAR($AC74),MONTH($AC74)+1,1),OverEnd,"&gt;="&amp;DATE(YEAR($AC74),MONTH($AC74),1)),IF(OR(P$2="Fixed",P$2="Not Used"),(IF(COUNTIFS(EmpNo,$C74,OFFSET(Emp!$R$4,1,MATCH(P$5,DedListItem,0)-1,EmpCount,1),"&lt;&gt;")&gt;0,VLOOKUP($C74,EmpAll,COLUMN(Emp!$R$4)+MATCH(P$5,DedListItem,0)-1,0),OFFSET(Setup!$E$73,MATCH(P$5,DedListItem,0),0,1,1))*$AA74)-SUMIFS(OFFSET(P$6,1,0,PayCount,1),PayDate,"&lt;"&amp;$AC74,PayEmp,$C74),IF(ISNA(MATCH(P$2,EarnListItem,0))=FALSE,IF(OFFSET(Setup!$G$73,MATCH(P$5,DedListItem,0),0,1,1)="Taxable",SUMPRODUCT((PayEmp=$C74)*(PayDate&lt;=$AC74)*(PayEarnCode=P$2)*(PayEarnTax)*(PayEarnValues)),SUMPRODUCT((PayEmp=$C74)*(PayDate&lt;=$AC74)*(PayEarnCode=P$2)*(PayEarnValues)))*IF(COUNTIFS(EmpNo,$C74,OFFSET(Emp!$R$4,1,MATCH(P$5,DedListItem,0)-1,EmpCount,1),"&lt;&gt;")&gt;0,VLOOKUP($C74,EmpAll,COLUMN(Emp!$R$4)+MATCH(P$5,DedListItem,0)-1,0),OFFSET(Setup!$E$73,MATCH(P$5,DedListItem,0),0,1,1)),(MIN(IF(OFFSET(Setup!$G$73,MATCH(P$5,DedListItem,0),0,1,1)="Taxable",SUMPRODUCT((PayEmp=$C74)*(PayDate&lt;=$AC74)*(ISERROR(SEARCH(PayEarnCode,P$4)))*(PayEarnTax)*(PayEarnValues)),SUMPRODUCT((PayEmp=$C74)*(PayDate&lt;=$AC74)*(ISERROR(SEARCH(PayEarnCode,P$4)))*(PayEarnValues))),IF(ISNUMBER(P$3),P$3/12*$AA74,IgnoreMin)))*IF(COUNTIFS(EmpNo,$C74,OFFSET(Emp!$R$4,1,MATCH(P$5,DedListItem,0)-1,EmpCount,1),"&lt;&gt;")&gt;0,VLOOKUP($C74,EmpAll,COLUMN(Emp!$R$4)+MATCH(P$5,DedListItem,0)-1,0),OFFSET(Setup!$E$73,MATCH(P$5,DedListItem,0),0,1,1)))-SUMIFS(OFFSET(P$6,1,0,PayCount,1),PayDate,"&lt;"&amp;$AC74,PayEmp,$C74))))))</f>
        <v>0</v>
      </c>
      <c r="Q74" s="133" cm="1">
        <f t="array" aca="1" ref="Q74" ca="1">IF($F74="Terminated",0,IF($AA74=0,0,IF(ISNA(MATCH(Q$5,DedListItem,0)),0,IF(COUNTIFS(OverEmp,$C74,OverDeduct,Q$5,OverDate,"&lt;"&amp;DATE(YEAR($AC74),MONTH($AC74)+1,1),OverEnd,"&gt;="&amp;DATE(YEAR($AC74),MONTH($AC74),1))&gt;0,SUMIFS(OverValue,OverEmp,$C74,OverDeduct,Q$5,OverDate,"&lt;"&amp;DATE(YEAR($AC74),MONTH($AC74)+1,1),OverEnd,"&gt;="&amp;DATE(YEAR($AC74),MONTH($AC74),1)),IF(OR(Q$2="Fixed",Q$2="Not Used"),(IF(COUNTIFS(EmpNo,$C74,OFFSET(Emp!$R$4,1,MATCH(Q$5,DedListItem,0)-1,EmpCount,1),"&lt;&gt;")&gt;0,VLOOKUP($C74,EmpAll,COLUMN(Emp!$R$4)+MATCH(Q$5,DedListItem,0)-1,0),OFFSET(Setup!$E$73,MATCH(Q$5,DedListItem,0),0,1,1))*$AA74)-SUMIFS(OFFSET(Q$6,1,0,PayCount,1),PayDate,"&lt;"&amp;$AC74,PayEmp,$C74),IF(ISNA(MATCH(Q$2,EarnListItem,0))=FALSE,IF(OFFSET(Setup!$G$73,MATCH(Q$5,DedListItem,0),0,1,1)="Taxable",SUMPRODUCT((PayEmp=$C74)*(PayDate&lt;=$AC74)*(PayEarnCode=Q$2)*(PayEarnTax)*(PayEarnValues)),SUMPRODUCT((PayEmp=$C74)*(PayDate&lt;=$AC74)*(PayEarnCode=Q$2)*(PayEarnValues)))*IF(COUNTIFS(EmpNo,$C74,OFFSET(Emp!$R$4,1,MATCH(Q$5,DedListItem,0)-1,EmpCount,1),"&lt;&gt;")&gt;0,VLOOKUP($C74,EmpAll,COLUMN(Emp!$R$4)+MATCH(Q$5,DedListItem,0)-1,0),OFFSET(Setup!$E$73,MATCH(Q$5,DedListItem,0),0,1,1)),(MIN(IF(OFFSET(Setup!$G$73,MATCH(Q$5,DedListItem,0),0,1,1)="Taxable",SUMPRODUCT((PayEmp=$C74)*(PayDate&lt;=$AC74)*(ISERROR(SEARCH(PayEarnCode,Q$4)))*(PayEarnTax)*(PayEarnValues)),SUMPRODUCT((PayEmp=$C74)*(PayDate&lt;=$AC74)*(ISERROR(SEARCH(PayEarnCode,Q$4)))*(PayEarnValues))),IF(ISNUMBER(Q$3),Q$3/12*$AA74,IgnoreMin)))*IF(COUNTIFS(EmpNo,$C74,OFFSET(Emp!$R$4,1,MATCH(Q$5,DedListItem,0)-1,EmpCount,1),"&lt;&gt;")&gt;0,VLOOKUP($C74,EmpAll,COLUMN(Emp!$R$4)+MATCH(Q$5,DedListItem,0)-1,0),OFFSET(Setup!$E$73,MATCH(Q$5,DedListItem,0),0,1,1)))-SUMIFS(OFFSET(Q$6,1,0,PayCount,1),PayDate,"&lt;"&amp;$AC74,PayEmp,$C74))))))</f>
        <v>0</v>
      </c>
      <c r="R74" s="185">
        <f t="shared" ca="1" si="37"/>
        <v>273.75</v>
      </c>
      <c r="S74" s="139">
        <f t="shared" ca="1" si="38"/>
        <v>8726.25</v>
      </c>
      <c r="T74" s="133" cm="1">
        <f t="array" aca="1" ref="T74" ca="1">IF($F74="Terminated",0,IF($AA74=0,0,IF(ISNA(MATCH(T$5,CompListItem,0)),0,IF(COUNTIFS(OverEmp,$C74,OverComp,T$5,OverDate,"&lt;"&amp;DATE(YEAR($AC74),MONTH($AC74)+1,1),OverEnd,"&gt;="&amp;DATE(YEAR($AC74),MONTH($AC74),1))&gt;0,SUMIFS(OverValue,OverEmp,$C74,OverComp,T$5,OverDate,"&lt;"&amp;DATE(YEAR($AC74),MONTH($AC74)+1,1),OverEnd,"&gt;="&amp;DATE(YEAR($AC74),MONTH($AC74),1)),IF(OR(T$2="Fixed",T$2="Not Used"),(OFFSET(Setup!$E$81,MATCH(T$5,CompListItem,0),0,1,1)*$AA74)-SUMIFS(OFFSET(T$6,1,0,PayCount,1),PayDate,"&lt;"&amp;$AC74,PayEmp,$C74),IF(ISNA(MATCH(T$2,DedListItem,0))=FALSE,(SUMPRODUCT((PayEmp=$C74)*(PayDate&lt;=$AC74)*(PayDedList=T$2)*(PayDedValues))*OFFSET(Setup!$E$81,MATCH(T$5,CompListItem,0),0,1,1))-SUMIFS(OFFSET(T$6,1,0,PayCount,1),PayDate,"&lt;"&amp;$AC74,PayEmp,$C74),(MIN(IF(OFFSET(Setup!$G$81,MATCH(T$5,CompListItem,0),0,1,1)="Taxable",SUMPRODUCT((PayEmp=$C74)*(PayDate&lt;=$AC74)*(ISERROR(SEARCH(PayEarnCode,T$4)))*(PayEarnTax)*(PayEarnValues)),SUMPRODUCT((PayEmp=$C74)*(PayDate&lt;=$AC74)*(ISERROR(SEARCH(PayEarnCode,T$4)))*(PayEarnValues))),IF(ISNUMBER(T$3),T$3/12*$AA74,IgnoreMin)))*OFFSET(Setup!$E$81,MATCH(T$5,CompListItem,0),0,1,1)-SUMIFS(OFFSET(T$6,1,0,PayCount,1),PayDate,"&lt;"&amp;$AC74,PayEmp,$C74)))))))</f>
        <v>90</v>
      </c>
      <c r="U74" s="133" cm="1">
        <f t="array" aca="1" ref="U74" ca="1">IF($F74="Terminated",0,IF($AA74=0,0,IF(ISNA(MATCH(U$5,CompListItem,0)),0,IF(COUNTIFS(OverEmp,$C74,OverComp,U$5,OverDate,"&lt;"&amp;DATE(YEAR($AC74),MONTH($AC74)+1,1),OverEnd,"&gt;="&amp;DATE(YEAR($AC74),MONTH($AC74),1))&gt;0,SUMIFS(OverValue,OverEmp,$C74,OverComp,U$5,OverDate,"&lt;"&amp;DATE(YEAR($AC74),MONTH($AC74)+1,1),OverEnd,"&gt;="&amp;DATE(YEAR($AC74),MONTH($AC74),1)),IF(OR(U$2="Fixed",U$2="Not Used"),(OFFSET(Setup!$E$81,MATCH(U$5,CompListItem,0),0,1,1)*$AA74)-SUMIFS(OFFSET(U$6,1,0,PayCount,1),PayDate,"&lt;"&amp;$AC74,PayEmp,$C74),IF(ISNA(MATCH(U$2,DedListItem,0))=FALSE,(SUMPRODUCT((PayEmp=$C74)*(PayDate&lt;=$AC74)*(PayDedList=U$2)*(PayDedValues))*OFFSET(Setup!$E$81,MATCH(U$5,CompListItem,0),0,1,1))-SUMIFS(OFFSET(U$6,1,0,PayCount,1),PayDate,"&lt;"&amp;$AC74,PayEmp,$C74),(MIN(IF(OFFSET(Setup!$G$81,MATCH(U$5,CompListItem,0),0,1,1)="Taxable",SUMPRODUCT((PayEmp=$C74)*(PayDate&lt;=$AC74)*(ISERROR(SEARCH(PayEarnCode,U$4)))*(PayEarnTax)*(PayEarnValues)),SUMPRODUCT((PayEmp=$C74)*(PayDate&lt;=$AC74)*(ISERROR(SEARCH(PayEarnCode,U$4)))*(PayEarnValues))),IF(ISNUMBER(U$3),U$3/12*$AA74,IgnoreMin)))*OFFSET(Setup!$E$81,MATCH(U$5,CompListItem,0),0,1,1)-SUMIFS(OFFSET(U$6,1,0,PayCount,1),PayDate,"&lt;"&amp;$AC74,PayEmp,$C74)))))))</f>
        <v>90</v>
      </c>
      <c r="V74" s="133" cm="1">
        <f t="array" aca="1" ref="V74" ca="1">IF($F74="Terminated",0,IF($AA74=0,0,IF(ISNA(MATCH(V$5,CompListItem,0)),0,IF(COUNTIFS(OverEmp,$C74,OverComp,V$5,OverDate,"&lt;"&amp;DATE(YEAR($AC74),MONTH($AC74)+1,1),OverEnd,"&gt;="&amp;DATE(YEAR($AC74),MONTH($AC74),1))&gt;0,SUMIFS(OverValue,OverEmp,$C74,OverComp,V$5,OverDate,"&lt;"&amp;DATE(YEAR($AC74),MONTH($AC74)+1,1),OverEnd,"&gt;="&amp;DATE(YEAR($AC74),MONTH($AC74),1)),IF(OR(V$2="Fixed",V$2="Not Used"),(OFFSET(Setup!$E$81,MATCH(V$5,CompListItem,0),0,1,1)*$AA74)-SUMIFS(OFFSET(V$6,1,0,PayCount,1),PayDate,"&lt;"&amp;$AC74,PayEmp,$C74),IF(ISNA(MATCH(V$2,DedListItem,0))=FALSE,(SUMPRODUCT((PayEmp=$C74)*(PayDate&lt;=$AC74)*(PayDedList=V$2)*(PayDedValues))*OFFSET(Setup!$E$81,MATCH(V$5,CompListItem,0),0,1,1))-SUMIFS(OFFSET(V$6,1,0,PayCount,1),PayDate,"&lt;"&amp;$AC74,PayEmp,$C74),(MIN(IF(OFFSET(Setup!$G$81,MATCH(V$5,CompListItem,0),0,1,1)="Taxable",SUMPRODUCT((PayEmp=$C74)*(PayDate&lt;=$AC74)*(ISERROR(SEARCH(PayEarnCode,V$4)))*(PayEarnTax)*(PayEarnValues)),SUMPRODUCT((PayEmp=$C74)*(PayDate&lt;=$AC74)*(ISERROR(SEARCH(PayEarnCode,V$4)))*(PayEarnValues))),IF(ISNUMBER(V$3),V$3/12*$AA74,IgnoreMin)))*OFFSET(Setup!$E$81,MATCH(V$5,CompListItem,0),0,1,1)-SUMIFS(OFFSET(V$6,1,0,PayCount,1),PayDate,"&lt;"&amp;$AC74,PayEmp,$C74)))))))</f>
        <v>0</v>
      </c>
      <c r="W74" s="133" cm="1">
        <f t="array" aca="1" ref="W74" ca="1">IF($F74="Terminated",0,IF($AA74=0,0,IF(ISNA(MATCH(W$5,CompListItem,0)),0,IF(COUNTIFS(OverEmp,$C74,OverComp,W$5,OverDate,"&lt;"&amp;DATE(YEAR($AC74),MONTH($AC74)+1,1),OverEnd,"&gt;="&amp;DATE(YEAR($AC74),MONTH($AC74),1))&gt;0,SUMIFS(OverValue,OverEmp,$C74,OverComp,W$5,OverDate,"&lt;"&amp;DATE(YEAR($AC74),MONTH($AC74)+1,1),OverEnd,"&gt;="&amp;DATE(YEAR($AC74),MONTH($AC74),1)),IF(OR(W$2="Fixed",W$2="Not Used"),(OFFSET(Setup!$E$81,MATCH(W$5,CompListItem,0),0,1,1)*$AA74)-SUMIFS(OFFSET(W$6,1,0,PayCount,1),PayDate,"&lt;"&amp;$AC74,PayEmp,$C74),IF(ISNA(MATCH(W$2,DedListItem,0))=FALSE,(SUMPRODUCT((PayEmp=$C74)*(PayDate&lt;=$AC74)*(PayDedList=W$2)*(PayDedValues))*OFFSET(Setup!$E$81,MATCH(W$5,CompListItem,0),0,1,1))-SUMIFS(OFFSET(W$6,1,0,PayCount,1),PayDate,"&lt;"&amp;$AC74,PayEmp,$C74),(MIN(IF(OFFSET(Setup!$G$81,MATCH(W$5,CompListItem,0),0,1,1)="Taxable",SUMPRODUCT((PayEmp=$C74)*(PayDate&lt;=$AC74)*(ISERROR(SEARCH(PayEarnCode,W$4)))*(PayEarnTax)*(PayEarnValues)),SUMPRODUCT((PayEmp=$C74)*(PayDate&lt;=$AC74)*(ISERROR(SEARCH(PayEarnCode,W$4)))*(PayEarnValues))),IF(ISNUMBER(W$3),W$3/12*$AA74,IgnoreMin)))*OFFSET(Setup!$E$81,MATCH(W$5,CompListItem,0),0,1,1)-SUMIFS(OFFSET(W$6,1,0,PayCount,1),PayDate,"&lt;"&amp;$AC74,PayEmp,$C74)))))))</f>
        <v>0</v>
      </c>
      <c r="X74" s="185">
        <f t="shared" ca="1" si="30"/>
        <v>180</v>
      </c>
      <c r="Y74" s="139">
        <f t="shared" ca="1" si="39"/>
        <v>9180</v>
      </c>
      <c r="Z74" s="139">
        <f t="shared" ca="1" si="31"/>
        <v>453.75</v>
      </c>
      <c r="AA74" s="146">
        <f ca="1">IF(OR($B74&lt;=Setup!$E$12,$B74&gt;=Setup!$D$12+1),0,IF($F74&lt;&gt;"Active",0,IF($AE74="Yes",$AB74,((YEAR($AC74)*12)+MONTH($AC74))-((YEAR($AD74)*12)+MONTH($AD74)-1))))</f>
        <v>5</v>
      </c>
      <c r="AB74" s="146">
        <f ca="1">IF(OR($B74&lt;=Setup!$E$12,$B74&gt;=Setup!$D$12+1),0,((YEAR($AC74)*12)+MONTH($AC74))-((YEAR(Setup!$E$12)*12)+MONTH(Setup!$E$12)))</f>
        <v>5</v>
      </c>
      <c r="AC74" s="186">
        <f t="shared" ca="1" si="32"/>
        <v>45132</v>
      </c>
      <c r="AD74" s="144">
        <f ca="1">IF(ISNA(VLOOKUP($C74,EmpAll,COLUMN(Emp!$E$4),0)),$AC74,IF(VLOOKUP($C74,EmpAll,COLUMN(Emp!$E$4),0)&lt;=Setup!$E$12,DATE(YEAR(Setup!$E$12),MONTH(Setup!$E$12)+1,1),VLOOKUP($C74,EmpAll,COLUMN(Emp!$E$4),0)))</f>
        <v>44986</v>
      </c>
      <c r="AE74" s="144" t="str">
        <f ca="1">IF(ISNA(VLOOKUP($C74,EmpAll,COLUMN(Emp!$G$1),0)),"-",IF(VLOOKUP($C74,EmpAll,COLUMN(Emp!$G$1),0)=0,"-",VLOOKUP($C74,EmpAll,COLUMN(Emp!$G$1),0)))</f>
        <v>-</v>
      </c>
      <c r="AF74" s="145">
        <f ca="1">IF(A74=PaySlip!$G$3,1,0)</f>
        <v>0</v>
      </c>
      <c r="AG74" s="130" cm="1">
        <f t="array" aca="1" ref="AG74" ca="1">IF(COUNTIFS(OverEmp,$C74,OverMed,"MED",OverDate,"&lt;"&amp;DATE(YEAR($AC74),MONTH($AC74)+1,1),OverEnd,"&gt;="&amp;DATE(YEAR($AC74),MONTH($AC74),1))&gt;0,SUMIFS(OverValue,OverEmp,$C74,OverMed,"MED",OverDate,"&lt;"&amp;DATE(YEAR($AC74),MONTH($AC74)+1,1),OverEnd,"&gt;="&amp;DATE(YEAR($AC74),MONTH($AC74),1)),IF(ISNA(VLOOKUP($C74,EmpAll,COLUMN(Emp!$N$4),0)),0,VLOOKUP($C74,EmpAll,COLUMN(Emp!$N$4),0)))</f>
        <v>0</v>
      </c>
      <c r="AH74" s="146">
        <f ca="1">VLOOKUP($AG74,MedList,COLUMN(Setup!$C$49),1)</f>
        <v>0</v>
      </c>
      <c r="AI74" s="146">
        <f t="shared" ca="1" si="40"/>
        <v>0</v>
      </c>
      <c r="AJ74" s="101" t="str">
        <f ca="1">IF(ISNA(VLOOKUP($C74,EmpAll,COLUMN(Emp!$L$4),0)),"None!",VLOOKUP($C74,EmpAll,COLUMN(Emp!$L$4),0))</f>
        <v>A</v>
      </c>
      <c r="AK74" s="147">
        <f t="shared" ca="1" si="33"/>
        <v>17235</v>
      </c>
      <c r="AL74" s="101" t="str">
        <f ca="1">IF(ISNA(VLOOKUP($C74,Employees[],COLUMN(Emp!$M$4),0))=TRUE,"Error!",IF(VLOOKUP($C74,Employees[],COLUMN(Emp!$M$4),0)=0,"Yes",VLOOKUP($C74,Employees[],COLUMN(Emp!$M$4),0)))</f>
        <v>A</v>
      </c>
      <c r="AM74" s="148">
        <f t="shared" ca="1" si="41"/>
        <v>108000</v>
      </c>
      <c r="AN74" s="148" cm="1">
        <f t="array" aca="1" ref="AN74" ca="1">-IF($F74="Terminated",0,IF($AA74=0,0,IF(ISNA(MATCH(AN$5,PayDedList,0)),0,MIN(IF(COUNTIFS(OverEmp,$C74,OverDeduct,AN$5,OverDate,"&lt;"&amp;DATE(YEAR($AC74),MONTH($AC74)+1,1),OverEnd,"&gt;="&amp;DATE(YEAR($AC74),MONTH($AC74),1))&gt;0,SUMPRODUCT((PayEmp=$C74)*(PayDate&lt;=$AC74)*(OFFSET($N$6,1,MATCH(AN$5,PayDedList,0)-1,PayCount,1)))/$AA74*12*AN$3,IF(OR(AN$1="Fixed",AN$1="Not Used"),SUMPRODUCT((PayEmp=$C74)*(PayDate&lt;=$AC74)*(OFFSET($N$6,1,MATCH(AN$5,PayDedList,0)-1,PayCount,1)))/$AA74*12*AN$3,IF(ISNA(MATCH(AN$1,EarnListItem,0))=FALSE,SUMPRODUCT((PayEmp=$C74)*(PayDate&lt;=$AC74)*(OFFSET($N$6,1,MATCH(AN$5,PayDedList,0)-1,PayCount,1)))/$AA74*12*AN$3,(MIN(((SUMPRODUCT((PayEmp=$C74)*(PayDate&lt;=$AC74)*(ISERROR(SEARCH(PayEarnCode,AN$2)))*(PayEarnType="Monthly")*(PayEarnValues))/$AA74*12)+(SUMPRODUCT((PayEmp=$C74)*(PayDate&lt;=$AC74)*(ISERROR(SEARCH(PayEarnCode,AN$2)))*(PayEarnType="Quarterly")*(PayEarnValues))/MAX(1,ROUNDDOWN($AB74/3,0))*4)+(SUMPRODUCT((PayEmp=$C74)*(PayDate&lt;=$AC74)*(ISERROR(SEARCH(PayEarnCode,AN$2)))*(PayEarnType="Bi-Annual")*(PayEarnValues))/MAX(1,ROUNDDOWN($AB74/6,0))*2)+(SUMPRODUCT((PayEmp=$C74)*(PayDate&lt;=$AC74)*(ISERROR(SEARCH(PayEarnCode,AN$2)))*(PayEarnType="Annual")*(PayEarnValues)))),IF(ISNUMBER(OFFSET($N$3,0,MATCH(AN$5,PayDedList,0)-1,1,1)),OFFSET($N$3,0,MATCH(AN$5,PayDedList,0)-1,1,1),IgnoreMin)))*IF(COUNTIFS(EmpNo,$C74,OFFSET(Emp!$R$4,1,MATCH(AN$5,DedListItem,0)-1,EmpCount,1),"&lt;&gt;")&gt;0,VLOOKUP($C74,EmpAll,COLUMN(Emp!$R$4)+MATCH(AN$5,DedListItem,0)-1,0),OFFSET(Setup!$E$73,MATCH(AN$5,DedListItem,0),0,1,1))*AN$3))),IF(ISNUMBER(AN$4),AN$4,IgnoreMin)))))</f>
        <v>0</v>
      </c>
      <c r="AO74" s="148" cm="1">
        <f t="array" aca="1" ref="AO74" ca="1">-IF($F74="Terminated",0,IF($AA74=0,0,IF(ISNA(MATCH(AO$5,PayDedList,0)),0,MIN(IF(COUNTIFS(OverEmp,$C74,OverDeduct,AO$5,OverDate,"&lt;"&amp;DATE(YEAR($AC74),MONTH($AC74)+1,1),OverEnd,"&gt;="&amp;DATE(YEAR($AC74),MONTH($AC74),1))&gt;0,SUMPRODUCT((PayEmp=$C74)*(PayDate&lt;=$AC74)*(OFFSET($N$6,1,MATCH(AO$5,PayDedList,0)-1,PayCount,1)))/$AA74*12*AO$3,IF(OR(AO$1="Fixed",AO$1="Not Used"),SUMPRODUCT((PayEmp=$C74)*(PayDate&lt;=$AC74)*(OFFSET($N$6,1,MATCH(AO$5,PayDedList,0)-1,PayCount,1)))/$AA74*12*AO$3,IF(ISNA(MATCH(AO$1,EarnListItem,0))=FALSE,SUMPRODUCT((PayEmp=$C74)*(PayDate&lt;=$AC74)*(OFFSET($N$6,1,MATCH(AO$5,PayDedList,0)-1,PayCount,1)))/$AA74*12*AO$3,(MIN(((SUMPRODUCT((PayEmp=$C74)*(PayDate&lt;=$AC74)*(ISERROR(SEARCH(PayEarnCode,AO$2)))*(PayEarnType="Monthly")*(PayEarnValues))/$AA74*12)+(SUMPRODUCT((PayEmp=$C74)*(PayDate&lt;=$AC74)*(ISERROR(SEARCH(PayEarnCode,AO$2)))*(PayEarnType="Quarterly")*(PayEarnValues))/MAX(1,ROUNDDOWN($AB74/3,0))*4)+(SUMPRODUCT((PayEmp=$C74)*(PayDate&lt;=$AC74)*(ISERROR(SEARCH(PayEarnCode,AO$2)))*(PayEarnType="Bi-Annual")*(PayEarnValues))/MAX(1,ROUNDDOWN($AB74/6,0))*2)+(SUMPRODUCT((PayEmp=$C74)*(PayDate&lt;=$AC74)*(ISERROR(SEARCH(PayEarnCode,AO$2)))*(PayEarnType="Annual")*(PayEarnValues)))),IF(ISNUMBER(OFFSET($N$3,0,MATCH(AO$5,PayDedList,0)-1,1,1)),OFFSET($N$3,0,MATCH(AO$5,PayDedList,0)-1,1,1),IgnoreMin)))*IF(COUNTIFS(EmpNo,$C74,OFFSET(Emp!$R$4,1,MATCH(AO$5,DedListItem,0)-1,EmpCount,1),"&lt;&gt;")&gt;0,VLOOKUP($C74,EmpAll,COLUMN(Emp!$R$4)+MATCH(AO$5,DedListItem,0)-1,0),OFFSET(Setup!$E$73,MATCH(AO$5,DedListItem,0),0,1,1))*AO$3))),IF(ISNUMBER(AO$4),AO$4,IgnoreMin)))))</f>
        <v>0</v>
      </c>
      <c r="AP74" s="148" cm="1">
        <f t="array" aca="1" ref="AP74" ca="1">-IF($F74="Terminated",0,IF($AA74=0,0,IF(ISNA(MATCH(AP$5,PayDedList,0)),0,MIN(IF(COUNTIFS(OverEmp,$C74,OverDeduct,AP$5,OverDate,"&lt;"&amp;DATE(YEAR($AC74),MONTH($AC74)+1,1),OverEnd,"&gt;="&amp;DATE(YEAR($AC74),MONTH($AC74),1))&gt;0,SUMPRODUCT((PayEmp=$C74)*(PayDate&lt;=$AC74)*(OFFSET($N$6,1,MATCH(AP$5,PayDedList,0)-1,PayCount,1)))/$AA74*12*AP$3,IF(OR(AP$1="Fixed",AP$1="Not Used"),SUMPRODUCT((PayEmp=$C74)*(PayDate&lt;=$AC74)*(OFFSET($N$6,1,MATCH(AP$5,PayDedList,0)-1,PayCount,1)))/$AA74*12*AP$3,IF(ISNA(MATCH(AP$1,EarnListItem,0))=FALSE,SUMPRODUCT((PayEmp=$C74)*(PayDate&lt;=$AC74)*(OFFSET($N$6,1,MATCH(AP$5,PayDedList,0)-1,PayCount,1)))/$AA74*12*AP$3,(MIN(((SUMPRODUCT((PayEmp=$C74)*(PayDate&lt;=$AC74)*(ISERROR(SEARCH(PayEarnCode,AP$2)))*(PayEarnType="Monthly")*(PayEarnValues))/$AA74*12)+(SUMPRODUCT((PayEmp=$C74)*(PayDate&lt;=$AC74)*(ISERROR(SEARCH(PayEarnCode,AP$2)))*(PayEarnType="Quarterly")*(PayEarnValues))/MAX(1,ROUNDDOWN($AB74/3,0))*4)+(SUMPRODUCT((PayEmp=$C74)*(PayDate&lt;=$AC74)*(ISERROR(SEARCH(PayEarnCode,AP$2)))*(PayEarnType="Bi-Annual")*(PayEarnValues))/MAX(1,ROUNDDOWN($AB74/6,0))*2)+(SUMPRODUCT((PayEmp=$C74)*(PayDate&lt;=$AC74)*(ISERROR(SEARCH(PayEarnCode,AP$2)))*(PayEarnType="Annual")*(PayEarnValues)))),IF(ISNUMBER(OFFSET($N$3,0,MATCH(AP$5,PayDedList,0)-1,1,1)),OFFSET($N$3,0,MATCH(AP$5,PayDedList,0)-1,1,1),IgnoreMin)))*IF(COUNTIFS(EmpNo,$C74,OFFSET(Emp!$R$4,1,MATCH(AP$5,DedListItem,0)-1,EmpCount,1),"&lt;&gt;")&gt;0,VLOOKUP($C74,EmpAll,COLUMN(Emp!$R$4)+MATCH(AP$5,DedListItem,0)-1,0),OFFSET(Setup!$E$73,MATCH(AP$5,DedListItem,0),0,1,1))*AP$3))),IF(ISNUMBER(AP$4),AP$4,IgnoreMin)))))</f>
        <v>0</v>
      </c>
      <c r="AQ74" s="148" cm="1">
        <f t="array" aca="1" ref="AQ74" ca="1">-IF($F74="Terminated",0,IF($AA74=0,0,IF(ISNA(MATCH(AQ$5,PayDedList,0)),0,MIN(IF(COUNTIFS(OverEmp,$C74,OverDeduct,AQ$5,OverDate,"&lt;"&amp;DATE(YEAR($AC74),MONTH($AC74)+1,1),OverEnd,"&gt;="&amp;DATE(YEAR($AC74),MONTH($AC74),1))&gt;0,SUMPRODUCT((PayEmp=$C74)*(PayDate&lt;=$AC74)*(OFFSET($N$6,1,MATCH(AQ$5,PayDedList,0)-1,PayCount,1)))/$AA74*12*AQ$3,IF(OR(AQ$1="Fixed",AQ$1="Not Used"),SUMPRODUCT((PayEmp=$C74)*(PayDate&lt;=$AC74)*(OFFSET($N$6,1,MATCH(AQ$5,PayDedList,0)-1,PayCount,1)))/$AA74*12*AQ$3,IF(ISNA(MATCH(AQ$1,EarnListItem,0))=FALSE,SUMPRODUCT((PayEmp=$C74)*(PayDate&lt;=$AC74)*(OFFSET($N$6,1,MATCH(AQ$5,PayDedList,0)-1,PayCount,1)))/$AA74*12*AQ$3,(MIN(((SUMPRODUCT((PayEmp=$C74)*(PayDate&lt;=$AC74)*(ISERROR(SEARCH(PayEarnCode,AQ$2)))*(PayEarnType="Monthly")*(PayEarnValues))/$AA74*12)+(SUMPRODUCT((PayEmp=$C74)*(PayDate&lt;=$AC74)*(ISERROR(SEARCH(PayEarnCode,AQ$2)))*(PayEarnType="Quarterly")*(PayEarnValues))/MAX(1,ROUNDDOWN($AB74/3,0))*4)+(SUMPRODUCT((PayEmp=$C74)*(PayDate&lt;=$AC74)*(ISERROR(SEARCH(PayEarnCode,AQ$2)))*(PayEarnType="Bi-Annual")*(PayEarnValues))/MAX(1,ROUNDDOWN($AB74/6,0))*2)+(SUMPRODUCT((PayEmp=$C74)*(PayDate&lt;=$AC74)*(ISERROR(SEARCH(PayEarnCode,AQ$2)))*(PayEarnType="Annual")*(PayEarnValues)))),IF(ISNUMBER(OFFSET($N$3,0,MATCH(AQ$5,PayDedList,0)-1,1,1)),OFFSET($N$3,0,MATCH(AQ$5,PayDedList,0)-1,1,1),IgnoreMin)))*IF(COUNTIFS(EmpNo,$C74,OFFSET(Emp!$R$4,1,MATCH(AQ$5,DedListItem,0)-1,EmpCount,1),"&lt;&gt;")&gt;0,VLOOKUP($C74,EmpAll,COLUMN(Emp!$R$4)+MATCH(AQ$5,DedListItem,0)-1,0),OFFSET(Setup!$E$73,MATCH(AQ$5,DedListItem,0),0,1,1))*AQ$3))),IF(ISNUMBER(AQ$4),AQ$4,IgnoreMin)))))</f>
        <v>0</v>
      </c>
      <c r="AR74" s="148">
        <f t="shared" ca="1" si="34"/>
        <v>108000</v>
      </c>
      <c r="AS74" s="148">
        <f t="shared" ca="1" si="42"/>
        <v>108000</v>
      </c>
      <c r="AT74" s="148" cm="1">
        <f t="array" aca="1" ref="AT74" ca="1">-IF($F74="Terminated",0,IF($AA74=0,0,IF(ISNA(MATCH(AT$5,PayDedList,0)),0,MIN(IF(COUNTIFS(OverEmp,$C74,OverDeduct,AT$5,OverDate,"&lt;"&amp;DATE(YEAR($AC74),MONTH($AC74)+1,1),OverEnd,"&gt;="&amp;DATE(YEAR($AC74),MONTH($AC74),1))&gt;0,SUMPRODUCT((PayEmp=$C74)*(PayDate&lt;=$AC74)*(OFFSET($N$6,1,MATCH(AT$5,PayDedList,0)-1,PayCount,1)))/$AA74*12*AT$3,IF(OR(AT$1="Fixed",AT$1="Not Used"),SUMPRODUCT((PayEmp=$C74)*(PayDate&lt;=$AC74)*(OFFSET($N$6,1,MATCH(AT$5,PayDedList,0)-1,PayCount,1)))/$AA74*12*AT$3,IF(ISNA(MATCH(OFFSET($N$2,0,MATCH(AT$5,PayDedList,0)-1,1,1),EarnListItem,0))=FALSE,SUMPRODUCT((PayEmp=$C74)*(PayDate&lt;=$AC74)*(OFFSET($N$6,1,MATCH(AT$5,PayDedList,0)-1,PayCount,1)))/$AA74*12*AT$3,(MIN(SUMPRODUCT((PayEmp=$C74)*(PayDate&lt;=$AC74)*(ISERROR(SEARCH(PayEarnCode,AT$2)))*(PayEarnType="Monthly")*(PayEarnValues))/$AA74*12,IF(ISNUMBER(OFFSET($N$3,0,MATCH(AT$5,PayDedList,0)-1,1,1)),OFFSET($N$3,0,MATCH(AT$5,PayDedList,0)-1,1,1),IgnoreMin)))*IF(COUNTIFS(EmpNo,$C74,OFFSET(Emp!$R$4,1,MATCH(AT$5,DedListItem,0)-1,EmpCount,1),"&lt;&gt;")&gt;0,VLOOKUP($C74,EmpAll,COLUMN(Emp!$R$4)+MATCH(AT$5,DedListItem,0)-1,0),OFFSET(Setup!$E$73,MATCH(AT$5,DedListItem,0),0,1,1))*AT$3))),IF(ISNUMBER(AT$4),AT$4,IgnoreMin)))))</f>
        <v>0</v>
      </c>
      <c r="AU74" s="148" cm="1">
        <f t="array" aca="1" ref="AU74" ca="1">-IF($F74="Terminated",0,IF($AA74=0,0,IF(ISNA(MATCH(AU$5,PayDedList,0)),0,MIN(IF(COUNTIFS(OverEmp,$C74,OverDeduct,AU$5,OverDate,"&lt;"&amp;DATE(YEAR($AC74),MONTH($AC74)+1,1),OverEnd,"&gt;="&amp;DATE(YEAR($AC74),MONTH($AC74),1))&gt;0,SUMPRODUCT((PayEmp=$C74)*(PayDate&lt;=$AC74)*(OFFSET($N$6,1,MATCH(AU$5,PayDedList,0)-1,PayCount,1)))/$AA74*12*AU$3,IF(OR(AU$1="Fixed",AU$1="Not Used"),SUMPRODUCT((PayEmp=$C74)*(PayDate&lt;=$AC74)*(OFFSET($N$6,1,MATCH(AU$5,PayDedList,0)-1,PayCount,1)))/$AA74*12*AU$3,IF(ISNA(MATCH(OFFSET($N$2,0,MATCH(AU$5,PayDedList,0)-1,1,1),EarnListItem,0))=FALSE,SUMPRODUCT((PayEmp=$C74)*(PayDate&lt;=$AC74)*(OFFSET($N$6,1,MATCH(AU$5,PayDedList,0)-1,PayCount,1)))/$AA74*12*AU$3,(MIN(SUMPRODUCT((PayEmp=$C74)*(PayDate&lt;=$AC74)*(ISERROR(SEARCH(PayEarnCode,AU$2)))*(PayEarnType="Monthly")*(PayEarnValues))/$AA74*12,IF(ISNUMBER(OFFSET($N$3,0,MATCH(AU$5,PayDedList,0)-1,1,1)),OFFSET($N$3,0,MATCH(AU$5,PayDedList,0)-1,1,1),IgnoreMin)))*IF(COUNTIFS(EmpNo,$C74,OFFSET(Emp!$R$4,1,MATCH(AU$5,DedListItem,0)-1,EmpCount,1),"&lt;&gt;")&gt;0,VLOOKUP($C74,EmpAll,COLUMN(Emp!$R$4)+MATCH(AU$5,DedListItem,0)-1,0),OFFSET(Setup!$E$73,MATCH(AU$5,DedListItem,0),0,1,1))*AU$3))),IF(ISNUMBER(AU$4),AU$4,IgnoreMin)))))</f>
        <v>0</v>
      </c>
      <c r="AV74" s="148" cm="1">
        <f t="array" aca="1" ref="AV74" ca="1">-IF($F74="Terminated",0,IF($AA74=0,0,IF(ISNA(MATCH(AV$5,PayDedList,0)),0,MIN(IF(COUNTIFS(OverEmp,$C74,OverDeduct,AV$5,OverDate,"&lt;"&amp;DATE(YEAR($AC74),MONTH($AC74)+1,1),OverEnd,"&gt;="&amp;DATE(YEAR($AC74),MONTH($AC74),1))&gt;0,SUMPRODUCT((PayEmp=$C74)*(PayDate&lt;=$AC74)*(OFFSET($N$6,1,MATCH(AV$5,PayDedList,0)-1,PayCount,1)))/$AA74*12*AV$3,IF(OR(AV$1="Fixed",AV$1="Not Used"),SUMPRODUCT((PayEmp=$C74)*(PayDate&lt;=$AC74)*(OFFSET($N$6,1,MATCH(AV$5,PayDedList,0)-1,PayCount,1)))/$AA74*12*AV$3,IF(ISNA(MATCH(OFFSET($N$2,0,MATCH(AV$5,PayDedList,0)-1,1,1),EarnListItem,0))=FALSE,SUMPRODUCT((PayEmp=$C74)*(PayDate&lt;=$AC74)*(OFFSET($N$6,1,MATCH(AV$5,PayDedList,0)-1,PayCount,1)))/$AA74*12*AV$3,(MIN(SUMPRODUCT((PayEmp=$C74)*(PayDate&lt;=$AC74)*(ISERROR(SEARCH(PayEarnCode,AV$2)))*(PayEarnType="Monthly")*(PayEarnValues))/$AA74*12,IF(ISNUMBER(OFFSET($N$3,0,MATCH(AV$5,PayDedList,0)-1,1,1)),OFFSET($N$3,0,MATCH(AV$5,PayDedList,0)-1,1,1),IgnoreMin)))*IF(COUNTIFS(EmpNo,$C74,OFFSET(Emp!$R$4,1,MATCH(AV$5,DedListItem,0)-1,EmpCount,1),"&lt;&gt;")&gt;0,VLOOKUP($C74,EmpAll,COLUMN(Emp!$R$4)+MATCH(AV$5,DedListItem,0)-1,0),OFFSET(Setup!$E$73,MATCH(AV$5,DedListItem,0),0,1,1))*AV$3))),IF(ISNUMBER(AV$4),AV$4,IgnoreMin)))))</f>
        <v>0</v>
      </c>
      <c r="AW74" s="148" cm="1">
        <f t="array" aca="1" ref="AW74" ca="1">-IF($F74="Terminated",0,IF($AA74=0,0,IF(ISNA(MATCH(AW$5,PayDedList,0)),0,MIN(IF(COUNTIFS(OverEmp,$C74,OverDeduct,AW$5,OverDate,"&lt;"&amp;DATE(YEAR($AC74),MONTH($AC74)+1,1),OverEnd,"&gt;="&amp;DATE(YEAR($AC74),MONTH($AC74),1))&gt;0,SUMPRODUCT((PayEmp=$C74)*(PayDate&lt;=$AC74)*(OFFSET($N$6,1,MATCH(AW$5,PayDedList,0)-1,PayCount,1)))/$AA74*12*AW$3,IF(OR(AW$1="Fixed",AW$1="Not Used"),SUMPRODUCT((PayEmp=$C74)*(PayDate&lt;=$AC74)*(OFFSET($N$6,1,MATCH(AW$5,PayDedList,0)-1,PayCount,1)))/$AA74*12*AW$3,IF(ISNA(MATCH(OFFSET($N$2,0,MATCH(AW$5,PayDedList,0)-1,1,1),EarnListItem,0))=FALSE,SUMPRODUCT((PayEmp=$C74)*(PayDate&lt;=$AC74)*(OFFSET($N$6,1,MATCH(AW$5,PayDedList,0)-1,PayCount,1)))/$AA74*12*AW$3,(MIN(SUMPRODUCT((PayEmp=$C74)*(PayDate&lt;=$AC74)*(ISERROR(SEARCH(PayEarnCode,AW$2)))*(PayEarnType="Monthly")*(PayEarnValues))/$AA74*12,IF(ISNUMBER(OFFSET($N$3,0,MATCH(AW$5,PayDedList,0)-1,1,1)),OFFSET($N$3,0,MATCH(AW$5,PayDedList,0)-1,1,1),IgnoreMin)))*IF(COUNTIFS(EmpNo,$C74,OFFSET(Emp!$R$4,1,MATCH(AW$5,DedListItem,0)-1,EmpCount,1),"&lt;&gt;")&gt;0,VLOOKUP($C74,EmpAll,COLUMN(Emp!$R$4)+MATCH(AW$5,DedListItem,0)-1,0),OFFSET(Setup!$E$73,MATCH(AW$5,DedListItem,0),0,1,1))*AW$3))),IF(ISNUMBER(AW$4),AW$4,IgnoreMin)))))</f>
        <v>0</v>
      </c>
      <c r="AX74" s="148">
        <f t="shared" ca="1" si="43"/>
        <v>108000</v>
      </c>
      <c r="AY74" s="148">
        <f t="shared" ca="1" si="44"/>
        <v>0</v>
      </c>
      <c r="AZ74" s="148">
        <f ca="1">IF(ISNUMBER($AL74),($AR74*$AL74)-$AI74-$AK74,MAX(0,IF($AL74="B",IF($AR74&lt;Setup!$C$32,($AR74*Setup!$D$32)-$AI74-$AK74,(($AR74-VLOOKUP($AR74,TaxAll2,1,1))*OFFSET(Setup!$D$32,MATCH($AR74,TaxBracket2,1),0,1,1))+OFFSET(Setup!$E$31,MATCH($AR74,TaxBracket2,1),0,1,1)-$AI74-$AK74),IF($AR74&lt;Setup!$C$21,($AR74*Setup!$D$21)-$AI74-$AK74,(($AR74-VLOOKUP($AR74,TaxAll1,1,1))*OFFSET(Setup!$D$21,MATCH($AR74,TaxBracket1,1),0,1,1))+OFFSET(Setup!$E$20,MATCH($AR74,TaxBracket1,1),0,1,1)-$AI74-$AK74))))</f>
        <v>2205</v>
      </c>
      <c r="BA74" s="148">
        <f ca="1">IF(ISNUMBER($AL74),($AX74*$AL74)-$AI74-$AK74,MAX(0,IF($AL74="B",IF($AX74&lt;Setup!$C$32,($AX74*Setup!$D$32)-$AI74-$AK74,(($AX74-VLOOKUP($AX74,TaxAll2,1,1))*OFFSET(Setup!$D$32,MATCH($AX74,TaxBracket2,1),0,1,1))+OFFSET(Setup!$E$31,MATCH($AX74,TaxBracket2,1),0,1,1)-$AI74-$AK74),IF($AX74&lt;Setup!$C$21,($AX74*Setup!$D$21)-$AI74-$AK74,(($AX74-VLOOKUP($AX74,TaxAll1,1,1))*OFFSET(Setup!$D$21,MATCH($AX74,TaxBracket1,1),0,1,1))+OFFSET(Setup!$E$20,MATCH($AX74,TaxBracket1,1),0,1,1)-$AI74-$AK74))))</f>
        <v>2205</v>
      </c>
      <c r="BB74" s="148">
        <f t="shared" ca="1" si="35"/>
        <v>0</v>
      </c>
      <c r="BC74" s="150">
        <f t="shared" ca="1" si="45"/>
        <v>1</v>
      </c>
      <c r="BD74" s="150">
        <f t="shared" ca="1" si="46"/>
        <v>0</v>
      </c>
      <c r="BE74" s="148">
        <f t="shared" ca="1" si="47"/>
        <v>108000</v>
      </c>
    </row>
    <row r="75" spans="1:57" ht="16.149999999999999" customHeight="1" x14ac:dyDescent="0.25">
      <c r="A75" s="10" t="str" cm="1">
        <f t="array" aca="1" ref="A75" ca="1">IF(ROW($A75)-ROW($A$6)&gt;EmpCount*12,"-",TEXT($B75,"yyyy")&amp;TEXT($B75,"mm")&amp;"-"&amp;$C75)</f>
        <v>202307-EXS009</v>
      </c>
      <c r="B75" s="137" cm="1">
        <f t="array" aca="1" ref="B75" ca="1">IF(ROW($A75)-ROW($A$6)&gt;EmpCount*12,Setup!$D$12,DATE(YEAR(Setup!$F$12),MONTH(Setup!$F$12)+ROUNDDOWN((ROW($A75)-ROW($A$6)-1)/EmpCount,0),IF(Setup!$C$14&gt;DAY(DATE(YEAR(Setup!$F$12),MONTH(Setup!$F$12)+ROUNDDOWN((ROW($A75)-ROW($A$6)-1)/EmpCount,0)+1,0)),DAY(DATE(YEAR(Setup!$F$12),MONTH(Setup!$F$12)+ROUNDDOWN((ROW($A75)-ROW($A$6)-1)/EmpCount,0)+1,0)),Setup!$C$14)))</f>
        <v>45132</v>
      </c>
      <c r="C75" s="101" t="str" cm="1">
        <f t="array" aca="1" ref="C75" ca="1">IF(ROW($A75)-ROW($A$6)&gt;EmpCount*12,"-",OFFSET(Emp!$A$4,ROW($A75)-ROW($A$6)-IF(ROW($A75)-ROW($A$6)&gt;EmpCount,ROUNDDOWN((ROW($A75)-ROW($A$6)-1)/EmpCount,0)*EmpCount,0),0,1,1))</f>
        <v>EXS009</v>
      </c>
      <c r="D75" s="10" t="str">
        <f ca="1">IF(ISNA(VLOOKUP($C75,EmpAll,COLUMN(Emp!$B$4),0)),"-",VLOOKUP($C75,EmpAll,COLUMN(Emp!$B$4),0))</f>
        <v>Brown JT</v>
      </c>
      <c r="E75" s="145" t="str">
        <f ca="1">IF(ISNA(VLOOKUP($C75,EmpAll,COLUMN(Emp!$C$4),0)),"-",VLOOKUP($C75,EmpAll,COLUMN(Emp!$C$4),0))</f>
        <v>A</v>
      </c>
      <c r="F75" s="101" t="str">
        <f ca="1">IF(ISNA(VLOOKUP($C75,EmpAll,COLUMN(Emp!$A$4),0)),"-",IF(AND(VLOOKUP($C75,EmpAll,COLUMN(Emp!$E$4),0)&lt;&gt;0,VLOOKUP($C75,EmpAll,COLUMN(Emp!$E$4),0)&gt;=DATE(YEAR($AC75),MONTH($AC75)+1,0)),"Inactive",IF(AND(VLOOKUP($C75,EmpAll,COLUMN(Emp!$F$4),0)&lt;&gt;0,VLOOKUP($C75,EmpAll,COLUMN(Emp!$F$4),0)&lt;=DATE(YEAR($AC75),MONTH($AC75),0)),"Terminated","Active")))</f>
        <v>Active</v>
      </c>
      <c r="G75" s="133" cm="1">
        <f t="array" aca="1" ref="G75" ca="1">IF($F75&lt;&gt;"Active",0,IF(COUNTIFS(OverEmp,$C75,OverEarn,G$2,OverDate,"&lt;"&amp;DATE(YEAR($AC75),MONTH($AC75)+1,1),OverEnd,"&gt;="&amp;DATE(YEAR($AC75),MONTH($AC75),1))&gt;0,SUMIFS(OverValue,OverEmp,$C75,OverEarn,G$2,OverDate,"&lt;"&amp;DATE(YEAR($AC75),MONTH($AC75)+1,1),OverEnd,"&gt;="&amp;DATE(YEAR($AC75),MONTH($AC75),1)),IF(AND($AC75&gt;=Setup!$E$10,SUMIFS(EmpIncrease,EmpCode,$C75)&gt;0),SUMIFS(EmpIncrease,EmpCode,$C75),SUMIFS(EmpSalary,EmpCode,$C75))))</f>
        <v>9000</v>
      </c>
      <c r="H75" s="133" cm="1">
        <f t="array" aca="1" ref="H75" ca="1">IF($F75&lt;&gt;"Active",0,IF(COUNTIFS(OverEmp,$C75,OverEarn,H$2,OverDate,"&lt;"&amp;DATE(YEAR($AC75),MONTH($AC75)+1,1),OverEnd,"&gt;="&amp;DATE(YEAR($AC75),MONTH($AC75),1))&gt;0,SUMIFS(OverValue,OverEmp,$C75,OverEarn,H$2,OverDate,"&lt;"&amp;DATE(YEAR($AC75),MONTH($AC75)+1,1),OverEnd,"&gt;="&amp;DATE(YEAR($AC75),MONTH($AC75),1)),0))</f>
        <v>0</v>
      </c>
      <c r="I75" s="133" cm="1">
        <f t="array" aca="1" ref="I75" ca="1">IF($F75&lt;&gt;"Active",0,IF(COUNTIFS(OverEmp,$C75,OverEarn,I$2,OverDate,"&lt;"&amp;DATE(YEAR($AC75),MONTH($AC75)+1,1),OverEnd,"&gt;="&amp;DATE(YEAR($AC75),MONTH($AC75),1))&gt;0,SUMIFS(OverValue,OverEmp,$C75,OverEarn,I$2,OverDate,"&lt;"&amp;DATE(YEAR($AC75),MONTH($AC75)+1,1),OverEnd,"&gt;="&amp;DATE(YEAR($AC75),MONTH($AC75),1)),IF(MONTH(B75)=Setup!$C$15,SUMIFS(EmpBonus,EmpCode,$C75),0)))</f>
        <v>0</v>
      </c>
      <c r="J75" s="133" cm="1">
        <f t="array" aca="1" ref="J75" ca="1">IF($F75&lt;&gt;"Active",0,IF(COUNTIFS(OverEmp,$C75,OverEarn,J$2,OverDate,"&lt;"&amp;DATE(YEAR($AC75),MONTH($AC75)+1,1),OverEnd,"&gt;="&amp;DATE(YEAR($AC75),MONTH($AC75),1))&gt;0,SUMIFS(OverValue,OverEmp,$C75,OverEarn,J$2,OverDate,"&lt;"&amp;DATE(YEAR($AC75),MONTH($AC75)+1,1),OverEnd,"&gt;="&amp;DATE(YEAR($AC75),MONTH($AC75),1)),0))</f>
        <v>0</v>
      </c>
      <c r="K75" s="133" cm="1">
        <f t="array" aca="1" ref="K75" ca="1">IF($F75&lt;&gt;"Active",0,IF(COUNTIFS(OverEmp,$C75,OverEarn,K$2,OverDate,"&lt;"&amp;DATE(YEAR($AC75),MONTH($AC75)+1,1),OverEnd,"&gt;="&amp;DATE(YEAR($AC75),MONTH($AC75),1))&gt;0,SUMIFS(OverValue,OverEmp,$C75,OverEarn,K$2,OverDate,"&lt;"&amp;DATE(YEAR($AC75),MONTH($AC75)+1,1),OverEnd,"&gt;="&amp;DATE(YEAR($AC75),MONTH($AC75),1)),0))</f>
        <v>0</v>
      </c>
      <c r="L75" s="185">
        <f t="shared" ca="1" si="36"/>
        <v>9000</v>
      </c>
      <c r="M75" s="182" cm="1">
        <f t="array" aca="1" ref="M75" ca="1">IF(COUNTIFS(OverEmp,$C75,OverTax,M$5,OverDate,"&lt;"&amp;DATE(YEAR($AC75),MONTH($AC75)+1,1),OverEnd,"&gt;="&amp;DATE(YEAR($AC75),MONTH($AC75),1))&gt;0,SUMIFS(OverValue,OverEmp,$C75,OverTax,M$5,OverDate,"&lt;"&amp;DATE(YEAR($AC75),MONTH($AC75)+1,1),OverEnd,"&gt;="&amp;DATE(YEAR($AC75),MONTH($AC75),1)),(($BA75/12*$AA75)+(BB75*IF(1-$BC75=0,0,BD75/(1-$BC75))))-IF($F75="Terminated",0,SUMIFS(PayTaxDeduct,PayDate,"&lt;"&amp;$AC75,PayEmp,$C75)))</f>
        <v>183.75</v>
      </c>
      <c r="N75" s="133" cm="1">
        <f t="array" aca="1" ref="N75" ca="1">IF($F75="Terminated",0,IF($AA75=0,0,IF(ISNA(MATCH(N$5,DedListItem,0)),0,IF(COUNTIFS(OverEmp,$C75,OverDeduct,N$5,OverDate,"&lt;"&amp;DATE(YEAR($AC75),MONTH($AC75)+1,1),OverEnd,"&gt;="&amp;DATE(YEAR($AC75),MONTH($AC75),1))&gt;0,SUMIFS(OverValue,OverEmp,$C75,OverDeduct,N$5,OverDate,"&lt;"&amp;DATE(YEAR($AC75),MONTH($AC75)+1,1),OverEnd,"&gt;="&amp;DATE(YEAR($AC75),MONTH($AC75),1)),IF(OR(N$2="Fixed",N$2="Not Used"),(IF(COUNTIFS(EmpNo,$C75,OFFSET(Emp!$R$4,1,MATCH(N$5,DedListItem,0)-1,EmpCount,1),"&lt;&gt;")&gt;0,VLOOKUP($C75,EmpAll,COLUMN(Emp!$R$4)+MATCH(N$5,DedListItem,0)-1,0),OFFSET(Setup!$E$73,MATCH(N$5,DedListItem,0),0,1,1))*$AA75)-SUMIFS(OFFSET(N$6,1,0,PayCount,1),PayDate,"&lt;"&amp;$AC75,PayEmp,$C75),IF(ISNA(MATCH(N$2,EarnListItem,0))=FALSE,IF(OFFSET(Setup!$G$73,MATCH(N$5,DedListItem,0),0,1,1)="Taxable",SUMPRODUCT((PayEmp=$C75)*(PayDate&lt;=$AC75)*(PayEarnCode=N$2)*(PayEarnTax)*(PayEarnValues)),SUMPRODUCT((PayEmp=$C75)*(PayDate&lt;=$AC75)*(PayEarnCode=N$2)*(PayEarnValues)))*IF(COUNTIFS(EmpNo,$C75,OFFSET(Emp!$R$4,1,MATCH(N$5,DedListItem,0)-1,EmpCount,1),"&lt;&gt;")&gt;0,VLOOKUP($C75,EmpAll,COLUMN(Emp!$R$4)+MATCH(N$5,DedListItem,0)-1,0),OFFSET(Setup!$E$73,MATCH(N$5,DedListItem,0),0,1,1)),(MIN(IF(OFFSET(Setup!$G$73,MATCH(N$5,DedListItem,0),0,1,1)="Taxable",SUMPRODUCT((PayEmp=$C75)*(PayDate&lt;=$AC75)*(ISERROR(SEARCH(PayEarnCode,N$4)))*(PayEarnTax)*(PayEarnValues)),SUMPRODUCT((PayEmp=$C75)*(PayDate&lt;=$AC75)*(ISERROR(SEARCH(PayEarnCode,N$4)))*(PayEarnValues))),IF(ISNUMBER(N$3),N$3/12*$AA75,IgnoreMin)))*IF(COUNTIFS(EmpNo,$C75,OFFSET(Emp!$R$4,1,MATCH(N$5,DedListItem,0)-1,EmpCount,1),"&lt;&gt;")&gt;0,VLOOKUP($C75,EmpAll,COLUMN(Emp!$R$4)+MATCH(N$5,DedListItem,0)-1,0),OFFSET(Setup!$E$73,MATCH(N$5,DedListItem,0),0,1,1)))-SUMIFS(OFFSET(N$6,1,0,PayCount,1),PayDate,"&lt;"&amp;$AC75,PayEmp,$C75))))))</f>
        <v>90</v>
      </c>
      <c r="O75" s="133" cm="1">
        <f t="array" aca="1" ref="O75" ca="1">IF($F75="Terminated",0,IF($AA75=0,0,IF(ISNA(MATCH(O$5,DedListItem,0)),0,IF(COUNTIFS(OverEmp,$C75,OverDeduct,O$5,OverDate,"&lt;"&amp;DATE(YEAR($AC75),MONTH($AC75)+1,1),OverEnd,"&gt;="&amp;DATE(YEAR($AC75),MONTH($AC75),1))&gt;0,SUMIFS(OverValue,OverEmp,$C75,OverDeduct,O$5,OverDate,"&lt;"&amp;DATE(YEAR($AC75),MONTH($AC75)+1,1),OverEnd,"&gt;="&amp;DATE(YEAR($AC75),MONTH($AC75),1)),IF(OR(O$2="Fixed",O$2="Not Used"),(IF(COUNTIFS(EmpNo,$C75,OFFSET(Emp!$R$4,1,MATCH(O$5,DedListItem,0)-1,EmpCount,1),"&lt;&gt;")&gt;0,VLOOKUP($C75,EmpAll,COLUMN(Emp!$R$4)+MATCH(O$5,DedListItem,0)-1,0),OFFSET(Setup!$E$73,MATCH(O$5,DedListItem,0),0,1,1))*$AA75)-SUMIFS(OFFSET(O$6,1,0,PayCount,1),PayDate,"&lt;"&amp;$AC75,PayEmp,$C75),IF(ISNA(MATCH(O$2,EarnListItem,0))=FALSE,IF(OFFSET(Setup!$G$73,MATCH(O$5,DedListItem,0),0,1,1)="Taxable",SUMPRODUCT((PayEmp=$C75)*(PayDate&lt;=$AC75)*(PayEarnCode=O$2)*(PayEarnTax)*(PayEarnValues)),SUMPRODUCT((PayEmp=$C75)*(PayDate&lt;=$AC75)*(PayEarnCode=O$2)*(PayEarnValues)))*IF(COUNTIFS(EmpNo,$C75,OFFSET(Emp!$R$4,1,MATCH(O$5,DedListItem,0)-1,EmpCount,1),"&lt;&gt;")&gt;0,VLOOKUP($C75,EmpAll,COLUMN(Emp!$R$4)+MATCH(O$5,DedListItem,0)-1,0),OFFSET(Setup!$E$73,MATCH(O$5,DedListItem,0),0,1,1)),(MIN(IF(OFFSET(Setup!$G$73,MATCH(O$5,DedListItem,0),0,1,1)="Taxable",SUMPRODUCT((PayEmp=$C75)*(PayDate&lt;=$AC75)*(ISERROR(SEARCH(PayEarnCode,O$4)))*(PayEarnTax)*(PayEarnValues)),SUMPRODUCT((PayEmp=$C75)*(PayDate&lt;=$AC75)*(ISERROR(SEARCH(PayEarnCode,O$4)))*(PayEarnValues))),IF(ISNUMBER(O$3),O$3/12*$AA75,IgnoreMin)))*IF(COUNTIFS(EmpNo,$C75,OFFSET(Emp!$R$4,1,MATCH(O$5,DedListItem,0)-1,EmpCount,1),"&lt;&gt;")&gt;0,VLOOKUP($C75,EmpAll,COLUMN(Emp!$R$4)+MATCH(O$5,DedListItem,0)-1,0),OFFSET(Setup!$E$73,MATCH(O$5,DedListItem,0),0,1,1)))-SUMIFS(OFFSET(O$6,1,0,PayCount,1),PayDate,"&lt;"&amp;$AC75,PayEmp,$C75))))))</f>
        <v>0</v>
      </c>
      <c r="P75" s="133" cm="1">
        <f t="array" aca="1" ref="P75" ca="1">IF($F75="Terminated",0,IF($AA75=0,0,IF(ISNA(MATCH(P$5,DedListItem,0)),0,IF(COUNTIFS(OverEmp,$C75,OverDeduct,P$5,OverDate,"&lt;"&amp;DATE(YEAR($AC75),MONTH($AC75)+1,1),OverEnd,"&gt;="&amp;DATE(YEAR($AC75),MONTH($AC75),1))&gt;0,SUMIFS(OverValue,OverEmp,$C75,OverDeduct,P$5,OverDate,"&lt;"&amp;DATE(YEAR($AC75),MONTH($AC75)+1,1),OverEnd,"&gt;="&amp;DATE(YEAR($AC75),MONTH($AC75),1)),IF(OR(P$2="Fixed",P$2="Not Used"),(IF(COUNTIFS(EmpNo,$C75,OFFSET(Emp!$R$4,1,MATCH(P$5,DedListItem,0)-1,EmpCount,1),"&lt;&gt;")&gt;0,VLOOKUP($C75,EmpAll,COLUMN(Emp!$R$4)+MATCH(P$5,DedListItem,0)-1,0),OFFSET(Setup!$E$73,MATCH(P$5,DedListItem,0),0,1,1))*$AA75)-SUMIFS(OFFSET(P$6,1,0,PayCount,1),PayDate,"&lt;"&amp;$AC75,PayEmp,$C75),IF(ISNA(MATCH(P$2,EarnListItem,0))=FALSE,IF(OFFSET(Setup!$G$73,MATCH(P$5,DedListItem,0),0,1,1)="Taxable",SUMPRODUCT((PayEmp=$C75)*(PayDate&lt;=$AC75)*(PayEarnCode=P$2)*(PayEarnTax)*(PayEarnValues)),SUMPRODUCT((PayEmp=$C75)*(PayDate&lt;=$AC75)*(PayEarnCode=P$2)*(PayEarnValues)))*IF(COUNTIFS(EmpNo,$C75,OFFSET(Emp!$R$4,1,MATCH(P$5,DedListItem,0)-1,EmpCount,1),"&lt;&gt;")&gt;0,VLOOKUP($C75,EmpAll,COLUMN(Emp!$R$4)+MATCH(P$5,DedListItem,0)-1,0),OFFSET(Setup!$E$73,MATCH(P$5,DedListItem,0),0,1,1)),(MIN(IF(OFFSET(Setup!$G$73,MATCH(P$5,DedListItem,0),0,1,1)="Taxable",SUMPRODUCT((PayEmp=$C75)*(PayDate&lt;=$AC75)*(ISERROR(SEARCH(PayEarnCode,P$4)))*(PayEarnTax)*(PayEarnValues)),SUMPRODUCT((PayEmp=$C75)*(PayDate&lt;=$AC75)*(ISERROR(SEARCH(PayEarnCode,P$4)))*(PayEarnValues))),IF(ISNUMBER(P$3),P$3/12*$AA75,IgnoreMin)))*IF(COUNTIFS(EmpNo,$C75,OFFSET(Emp!$R$4,1,MATCH(P$5,DedListItem,0)-1,EmpCount,1),"&lt;&gt;")&gt;0,VLOOKUP($C75,EmpAll,COLUMN(Emp!$R$4)+MATCH(P$5,DedListItem,0)-1,0),OFFSET(Setup!$E$73,MATCH(P$5,DedListItem,0),0,1,1)))-SUMIFS(OFFSET(P$6,1,0,PayCount,1),PayDate,"&lt;"&amp;$AC75,PayEmp,$C75))))))</f>
        <v>0</v>
      </c>
      <c r="Q75" s="133" cm="1">
        <f t="array" aca="1" ref="Q75" ca="1">IF($F75="Terminated",0,IF($AA75=0,0,IF(ISNA(MATCH(Q$5,DedListItem,0)),0,IF(COUNTIFS(OverEmp,$C75,OverDeduct,Q$5,OverDate,"&lt;"&amp;DATE(YEAR($AC75),MONTH($AC75)+1,1),OverEnd,"&gt;="&amp;DATE(YEAR($AC75),MONTH($AC75),1))&gt;0,SUMIFS(OverValue,OverEmp,$C75,OverDeduct,Q$5,OverDate,"&lt;"&amp;DATE(YEAR($AC75),MONTH($AC75)+1,1),OverEnd,"&gt;="&amp;DATE(YEAR($AC75),MONTH($AC75),1)),IF(OR(Q$2="Fixed",Q$2="Not Used"),(IF(COUNTIFS(EmpNo,$C75,OFFSET(Emp!$R$4,1,MATCH(Q$5,DedListItem,0)-1,EmpCount,1),"&lt;&gt;")&gt;0,VLOOKUP($C75,EmpAll,COLUMN(Emp!$R$4)+MATCH(Q$5,DedListItem,0)-1,0),OFFSET(Setup!$E$73,MATCH(Q$5,DedListItem,0),0,1,1))*$AA75)-SUMIFS(OFFSET(Q$6,1,0,PayCount,1),PayDate,"&lt;"&amp;$AC75,PayEmp,$C75),IF(ISNA(MATCH(Q$2,EarnListItem,0))=FALSE,IF(OFFSET(Setup!$G$73,MATCH(Q$5,DedListItem,0),0,1,1)="Taxable",SUMPRODUCT((PayEmp=$C75)*(PayDate&lt;=$AC75)*(PayEarnCode=Q$2)*(PayEarnTax)*(PayEarnValues)),SUMPRODUCT((PayEmp=$C75)*(PayDate&lt;=$AC75)*(PayEarnCode=Q$2)*(PayEarnValues)))*IF(COUNTIFS(EmpNo,$C75,OFFSET(Emp!$R$4,1,MATCH(Q$5,DedListItem,0)-1,EmpCount,1),"&lt;&gt;")&gt;0,VLOOKUP($C75,EmpAll,COLUMN(Emp!$R$4)+MATCH(Q$5,DedListItem,0)-1,0),OFFSET(Setup!$E$73,MATCH(Q$5,DedListItem,0),0,1,1)),(MIN(IF(OFFSET(Setup!$G$73,MATCH(Q$5,DedListItem,0),0,1,1)="Taxable",SUMPRODUCT((PayEmp=$C75)*(PayDate&lt;=$AC75)*(ISERROR(SEARCH(PayEarnCode,Q$4)))*(PayEarnTax)*(PayEarnValues)),SUMPRODUCT((PayEmp=$C75)*(PayDate&lt;=$AC75)*(ISERROR(SEARCH(PayEarnCode,Q$4)))*(PayEarnValues))),IF(ISNUMBER(Q$3),Q$3/12*$AA75,IgnoreMin)))*IF(COUNTIFS(EmpNo,$C75,OFFSET(Emp!$R$4,1,MATCH(Q$5,DedListItem,0)-1,EmpCount,1),"&lt;&gt;")&gt;0,VLOOKUP($C75,EmpAll,COLUMN(Emp!$R$4)+MATCH(Q$5,DedListItem,0)-1,0),OFFSET(Setup!$E$73,MATCH(Q$5,DedListItem,0),0,1,1)))-SUMIFS(OFFSET(Q$6,1,0,PayCount,1),PayDate,"&lt;"&amp;$AC75,PayEmp,$C75))))))</f>
        <v>0</v>
      </c>
      <c r="R75" s="185">
        <f t="shared" ca="1" si="37"/>
        <v>273.75</v>
      </c>
      <c r="S75" s="139">
        <f t="shared" ca="1" si="38"/>
        <v>8726.25</v>
      </c>
      <c r="T75" s="133" cm="1">
        <f t="array" aca="1" ref="T75" ca="1">IF($F75="Terminated",0,IF($AA75=0,0,IF(ISNA(MATCH(T$5,CompListItem,0)),0,IF(COUNTIFS(OverEmp,$C75,OverComp,T$5,OverDate,"&lt;"&amp;DATE(YEAR($AC75),MONTH($AC75)+1,1),OverEnd,"&gt;="&amp;DATE(YEAR($AC75),MONTH($AC75),1))&gt;0,SUMIFS(OverValue,OverEmp,$C75,OverComp,T$5,OverDate,"&lt;"&amp;DATE(YEAR($AC75),MONTH($AC75)+1,1),OverEnd,"&gt;="&amp;DATE(YEAR($AC75),MONTH($AC75),1)),IF(OR(T$2="Fixed",T$2="Not Used"),(OFFSET(Setup!$E$81,MATCH(T$5,CompListItem,0),0,1,1)*$AA75)-SUMIFS(OFFSET(T$6,1,0,PayCount,1),PayDate,"&lt;"&amp;$AC75,PayEmp,$C75),IF(ISNA(MATCH(T$2,DedListItem,0))=FALSE,(SUMPRODUCT((PayEmp=$C75)*(PayDate&lt;=$AC75)*(PayDedList=T$2)*(PayDedValues))*OFFSET(Setup!$E$81,MATCH(T$5,CompListItem,0),0,1,1))-SUMIFS(OFFSET(T$6,1,0,PayCount,1),PayDate,"&lt;"&amp;$AC75,PayEmp,$C75),(MIN(IF(OFFSET(Setup!$G$81,MATCH(T$5,CompListItem,0),0,1,1)="Taxable",SUMPRODUCT((PayEmp=$C75)*(PayDate&lt;=$AC75)*(ISERROR(SEARCH(PayEarnCode,T$4)))*(PayEarnTax)*(PayEarnValues)),SUMPRODUCT((PayEmp=$C75)*(PayDate&lt;=$AC75)*(ISERROR(SEARCH(PayEarnCode,T$4)))*(PayEarnValues))),IF(ISNUMBER(T$3),T$3/12*$AA75,IgnoreMin)))*OFFSET(Setup!$E$81,MATCH(T$5,CompListItem,0),0,1,1)-SUMIFS(OFFSET(T$6,1,0,PayCount,1),PayDate,"&lt;"&amp;$AC75,PayEmp,$C75)))))))</f>
        <v>90</v>
      </c>
      <c r="U75" s="133" cm="1">
        <f t="array" aca="1" ref="U75" ca="1">IF($F75="Terminated",0,IF($AA75=0,0,IF(ISNA(MATCH(U$5,CompListItem,0)),0,IF(COUNTIFS(OverEmp,$C75,OverComp,U$5,OverDate,"&lt;"&amp;DATE(YEAR($AC75),MONTH($AC75)+1,1),OverEnd,"&gt;="&amp;DATE(YEAR($AC75),MONTH($AC75),1))&gt;0,SUMIFS(OverValue,OverEmp,$C75,OverComp,U$5,OverDate,"&lt;"&amp;DATE(YEAR($AC75),MONTH($AC75)+1,1),OverEnd,"&gt;="&amp;DATE(YEAR($AC75),MONTH($AC75),1)),IF(OR(U$2="Fixed",U$2="Not Used"),(OFFSET(Setup!$E$81,MATCH(U$5,CompListItem,0),0,1,1)*$AA75)-SUMIFS(OFFSET(U$6,1,0,PayCount,1),PayDate,"&lt;"&amp;$AC75,PayEmp,$C75),IF(ISNA(MATCH(U$2,DedListItem,0))=FALSE,(SUMPRODUCT((PayEmp=$C75)*(PayDate&lt;=$AC75)*(PayDedList=U$2)*(PayDedValues))*OFFSET(Setup!$E$81,MATCH(U$5,CompListItem,0),0,1,1))-SUMIFS(OFFSET(U$6,1,0,PayCount,1),PayDate,"&lt;"&amp;$AC75,PayEmp,$C75),(MIN(IF(OFFSET(Setup!$G$81,MATCH(U$5,CompListItem,0),0,1,1)="Taxable",SUMPRODUCT((PayEmp=$C75)*(PayDate&lt;=$AC75)*(ISERROR(SEARCH(PayEarnCode,U$4)))*(PayEarnTax)*(PayEarnValues)),SUMPRODUCT((PayEmp=$C75)*(PayDate&lt;=$AC75)*(ISERROR(SEARCH(PayEarnCode,U$4)))*(PayEarnValues))),IF(ISNUMBER(U$3),U$3/12*$AA75,IgnoreMin)))*OFFSET(Setup!$E$81,MATCH(U$5,CompListItem,0),0,1,1)-SUMIFS(OFFSET(U$6,1,0,PayCount,1),PayDate,"&lt;"&amp;$AC75,PayEmp,$C75)))))))</f>
        <v>90</v>
      </c>
      <c r="V75" s="133" cm="1">
        <f t="array" aca="1" ref="V75" ca="1">IF($F75="Terminated",0,IF($AA75=0,0,IF(ISNA(MATCH(V$5,CompListItem,0)),0,IF(COUNTIFS(OverEmp,$C75,OverComp,V$5,OverDate,"&lt;"&amp;DATE(YEAR($AC75),MONTH($AC75)+1,1),OverEnd,"&gt;="&amp;DATE(YEAR($AC75),MONTH($AC75),1))&gt;0,SUMIFS(OverValue,OverEmp,$C75,OverComp,V$5,OverDate,"&lt;"&amp;DATE(YEAR($AC75),MONTH($AC75)+1,1),OverEnd,"&gt;="&amp;DATE(YEAR($AC75),MONTH($AC75),1)),IF(OR(V$2="Fixed",V$2="Not Used"),(OFFSET(Setup!$E$81,MATCH(V$5,CompListItem,0),0,1,1)*$AA75)-SUMIFS(OFFSET(V$6,1,0,PayCount,1),PayDate,"&lt;"&amp;$AC75,PayEmp,$C75),IF(ISNA(MATCH(V$2,DedListItem,0))=FALSE,(SUMPRODUCT((PayEmp=$C75)*(PayDate&lt;=$AC75)*(PayDedList=V$2)*(PayDedValues))*OFFSET(Setup!$E$81,MATCH(V$5,CompListItem,0),0,1,1))-SUMIFS(OFFSET(V$6,1,0,PayCount,1),PayDate,"&lt;"&amp;$AC75,PayEmp,$C75),(MIN(IF(OFFSET(Setup!$G$81,MATCH(V$5,CompListItem,0),0,1,1)="Taxable",SUMPRODUCT((PayEmp=$C75)*(PayDate&lt;=$AC75)*(ISERROR(SEARCH(PayEarnCode,V$4)))*(PayEarnTax)*(PayEarnValues)),SUMPRODUCT((PayEmp=$C75)*(PayDate&lt;=$AC75)*(ISERROR(SEARCH(PayEarnCode,V$4)))*(PayEarnValues))),IF(ISNUMBER(V$3),V$3/12*$AA75,IgnoreMin)))*OFFSET(Setup!$E$81,MATCH(V$5,CompListItem,0),0,1,1)-SUMIFS(OFFSET(V$6,1,0,PayCount,1),PayDate,"&lt;"&amp;$AC75,PayEmp,$C75)))))))</f>
        <v>0</v>
      </c>
      <c r="W75" s="133" cm="1">
        <f t="array" aca="1" ref="W75" ca="1">IF($F75="Terminated",0,IF($AA75=0,0,IF(ISNA(MATCH(W$5,CompListItem,0)),0,IF(COUNTIFS(OverEmp,$C75,OverComp,W$5,OverDate,"&lt;"&amp;DATE(YEAR($AC75),MONTH($AC75)+1,1),OverEnd,"&gt;="&amp;DATE(YEAR($AC75),MONTH($AC75),1))&gt;0,SUMIFS(OverValue,OverEmp,$C75,OverComp,W$5,OverDate,"&lt;"&amp;DATE(YEAR($AC75),MONTH($AC75)+1,1),OverEnd,"&gt;="&amp;DATE(YEAR($AC75),MONTH($AC75),1)),IF(OR(W$2="Fixed",W$2="Not Used"),(OFFSET(Setup!$E$81,MATCH(W$5,CompListItem,0),0,1,1)*$AA75)-SUMIFS(OFFSET(W$6,1,0,PayCount,1),PayDate,"&lt;"&amp;$AC75,PayEmp,$C75),IF(ISNA(MATCH(W$2,DedListItem,0))=FALSE,(SUMPRODUCT((PayEmp=$C75)*(PayDate&lt;=$AC75)*(PayDedList=W$2)*(PayDedValues))*OFFSET(Setup!$E$81,MATCH(W$5,CompListItem,0),0,1,1))-SUMIFS(OFFSET(W$6,1,0,PayCount,1),PayDate,"&lt;"&amp;$AC75,PayEmp,$C75),(MIN(IF(OFFSET(Setup!$G$81,MATCH(W$5,CompListItem,0),0,1,1)="Taxable",SUMPRODUCT((PayEmp=$C75)*(PayDate&lt;=$AC75)*(ISERROR(SEARCH(PayEarnCode,W$4)))*(PayEarnTax)*(PayEarnValues)),SUMPRODUCT((PayEmp=$C75)*(PayDate&lt;=$AC75)*(ISERROR(SEARCH(PayEarnCode,W$4)))*(PayEarnValues))),IF(ISNUMBER(W$3),W$3/12*$AA75,IgnoreMin)))*OFFSET(Setup!$E$81,MATCH(W$5,CompListItem,0),0,1,1)-SUMIFS(OFFSET(W$6,1,0,PayCount,1),PayDate,"&lt;"&amp;$AC75,PayEmp,$C75)))))))</f>
        <v>0</v>
      </c>
      <c r="X75" s="185">
        <f t="shared" ca="1" si="30"/>
        <v>180</v>
      </c>
      <c r="Y75" s="139">
        <f t="shared" ca="1" si="39"/>
        <v>9180</v>
      </c>
      <c r="Z75" s="139">
        <f t="shared" ca="1" si="31"/>
        <v>453.75</v>
      </c>
      <c r="AA75" s="146">
        <f ca="1">IF(OR($B75&lt;=Setup!$E$12,$B75&gt;=Setup!$D$12+1),0,IF($F75&lt;&gt;"Active",0,IF($AE75="Yes",$AB75,((YEAR($AC75)*12)+MONTH($AC75))-((YEAR($AD75)*12)+MONTH($AD75)-1))))</f>
        <v>5</v>
      </c>
      <c r="AB75" s="146">
        <f ca="1">IF(OR($B75&lt;=Setup!$E$12,$B75&gt;=Setup!$D$12+1),0,((YEAR($AC75)*12)+MONTH($AC75))-((YEAR(Setup!$E$12)*12)+MONTH(Setup!$E$12)))</f>
        <v>5</v>
      </c>
      <c r="AC75" s="186">
        <f t="shared" ca="1" si="32"/>
        <v>45132</v>
      </c>
      <c r="AD75" s="144">
        <f ca="1">IF(ISNA(VLOOKUP($C75,EmpAll,COLUMN(Emp!$E$4),0)),$AC75,IF(VLOOKUP($C75,EmpAll,COLUMN(Emp!$E$4),0)&lt;=Setup!$E$12,DATE(YEAR(Setup!$E$12),MONTH(Setup!$E$12)+1,1),VLOOKUP($C75,EmpAll,COLUMN(Emp!$E$4),0)))</f>
        <v>44986</v>
      </c>
      <c r="AE75" s="144" t="str">
        <f ca="1">IF(ISNA(VLOOKUP($C75,EmpAll,COLUMN(Emp!$G$1),0)),"-",IF(VLOOKUP($C75,EmpAll,COLUMN(Emp!$G$1),0)=0,"-",VLOOKUP($C75,EmpAll,COLUMN(Emp!$G$1),0)))</f>
        <v>-</v>
      </c>
      <c r="AF75" s="145">
        <f ca="1">IF(A75=PaySlip!$G$3,1,0)</f>
        <v>0</v>
      </c>
      <c r="AG75" s="130" cm="1">
        <f t="array" aca="1" ref="AG75" ca="1">IF(COUNTIFS(OverEmp,$C75,OverMed,"MED",OverDate,"&lt;"&amp;DATE(YEAR($AC75),MONTH($AC75)+1,1),OverEnd,"&gt;="&amp;DATE(YEAR($AC75),MONTH($AC75),1))&gt;0,SUMIFS(OverValue,OverEmp,$C75,OverMed,"MED",OverDate,"&lt;"&amp;DATE(YEAR($AC75),MONTH($AC75)+1,1),OverEnd,"&gt;="&amp;DATE(YEAR($AC75),MONTH($AC75),1)),IF(ISNA(VLOOKUP($C75,EmpAll,COLUMN(Emp!$N$4),0)),0,VLOOKUP($C75,EmpAll,COLUMN(Emp!$N$4),0)))</f>
        <v>0</v>
      </c>
      <c r="AH75" s="146">
        <f ca="1">VLOOKUP($AG75,MedList,COLUMN(Setup!$C$49),1)</f>
        <v>0</v>
      </c>
      <c r="AI75" s="146">
        <f t="shared" ca="1" si="40"/>
        <v>0</v>
      </c>
      <c r="AJ75" s="101" t="str">
        <f ca="1">IF(ISNA(VLOOKUP($C75,EmpAll,COLUMN(Emp!$L$4),0)),"None!",VLOOKUP($C75,EmpAll,COLUMN(Emp!$L$4),0))</f>
        <v>A</v>
      </c>
      <c r="AK75" s="147">
        <f t="shared" ca="1" si="33"/>
        <v>17235</v>
      </c>
      <c r="AL75" s="101" t="str">
        <f ca="1">IF(ISNA(VLOOKUP($C75,Employees[],COLUMN(Emp!$M$4),0))=TRUE,"Error!",IF(VLOOKUP($C75,Employees[],COLUMN(Emp!$M$4),0)=0,"Yes",VLOOKUP($C75,Employees[],COLUMN(Emp!$M$4),0)))</f>
        <v>A</v>
      </c>
      <c r="AM75" s="148">
        <f t="shared" ca="1" si="41"/>
        <v>108000</v>
      </c>
      <c r="AN75" s="148" cm="1">
        <f t="array" aca="1" ref="AN75" ca="1">-IF($F75="Terminated",0,IF($AA75=0,0,IF(ISNA(MATCH(AN$5,PayDedList,0)),0,MIN(IF(COUNTIFS(OverEmp,$C75,OverDeduct,AN$5,OverDate,"&lt;"&amp;DATE(YEAR($AC75),MONTH($AC75)+1,1),OverEnd,"&gt;="&amp;DATE(YEAR($AC75),MONTH($AC75),1))&gt;0,SUMPRODUCT((PayEmp=$C75)*(PayDate&lt;=$AC75)*(OFFSET($N$6,1,MATCH(AN$5,PayDedList,0)-1,PayCount,1)))/$AA75*12*AN$3,IF(OR(AN$1="Fixed",AN$1="Not Used"),SUMPRODUCT((PayEmp=$C75)*(PayDate&lt;=$AC75)*(OFFSET($N$6,1,MATCH(AN$5,PayDedList,0)-1,PayCount,1)))/$AA75*12*AN$3,IF(ISNA(MATCH(AN$1,EarnListItem,0))=FALSE,SUMPRODUCT((PayEmp=$C75)*(PayDate&lt;=$AC75)*(OFFSET($N$6,1,MATCH(AN$5,PayDedList,0)-1,PayCount,1)))/$AA75*12*AN$3,(MIN(((SUMPRODUCT((PayEmp=$C75)*(PayDate&lt;=$AC75)*(ISERROR(SEARCH(PayEarnCode,AN$2)))*(PayEarnType="Monthly")*(PayEarnValues))/$AA75*12)+(SUMPRODUCT((PayEmp=$C75)*(PayDate&lt;=$AC75)*(ISERROR(SEARCH(PayEarnCode,AN$2)))*(PayEarnType="Quarterly")*(PayEarnValues))/MAX(1,ROUNDDOWN($AB75/3,0))*4)+(SUMPRODUCT((PayEmp=$C75)*(PayDate&lt;=$AC75)*(ISERROR(SEARCH(PayEarnCode,AN$2)))*(PayEarnType="Bi-Annual")*(PayEarnValues))/MAX(1,ROUNDDOWN($AB75/6,0))*2)+(SUMPRODUCT((PayEmp=$C75)*(PayDate&lt;=$AC75)*(ISERROR(SEARCH(PayEarnCode,AN$2)))*(PayEarnType="Annual")*(PayEarnValues)))),IF(ISNUMBER(OFFSET($N$3,0,MATCH(AN$5,PayDedList,0)-1,1,1)),OFFSET($N$3,0,MATCH(AN$5,PayDedList,0)-1,1,1),IgnoreMin)))*IF(COUNTIFS(EmpNo,$C75,OFFSET(Emp!$R$4,1,MATCH(AN$5,DedListItem,0)-1,EmpCount,1),"&lt;&gt;")&gt;0,VLOOKUP($C75,EmpAll,COLUMN(Emp!$R$4)+MATCH(AN$5,DedListItem,0)-1,0),OFFSET(Setup!$E$73,MATCH(AN$5,DedListItem,0),0,1,1))*AN$3))),IF(ISNUMBER(AN$4),AN$4,IgnoreMin)))))</f>
        <v>0</v>
      </c>
      <c r="AO75" s="148" cm="1">
        <f t="array" aca="1" ref="AO75" ca="1">-IF($F75="Terminated",0,IF($AA75=0,0,IF(ISNA(MATCH(AO$5,PayDedList,0)),0,MIN(IF(COUNTIFS(OverEmp,$C75,OverDeduct,AO$5,OverDate,"&lt;"&amp;DATE(YEAR($AC75),MONTH($AC75)+1,1),OverEnd,"&gt;="&amp;DATE(YEAR($AC75),MONTH($AC75),1))&gt;0,SUMPRODUCT((PayEmp=$C75)*(PayDate&lt;=$AC75)*(OFFSET($N$6,1,MATCH(AO$5,PayDedList,0)-1,PayCount,1)))/$AA75*12*AO$3,IF(OR(AO$1="Fixed",AO$1="Not Used"),SUMPRODUCT((PayEmp=$C75)*(PayDate&lt;=$AC75)*(OFFSET($N$6,1,MATCH(AO$5,PayDedList,0)-1,PayCount,1)))/$AA75*12*AO$3,IF(ISNA(MATCH(AO$1,EarnListItem,0))=FALSE,SUMPRODUCT((PayEmp=$C75)*(PayDate&lt;=$AC75)*(OFFSET($N$6,1,MATCH(AO$5,PayDedList,0)-1,PayCount,1)))/$AA75*12*AO$3,(MIN(((SUMPRODUCT((PayEmp=$C75)*(PayDate&lt;=$AC75)*(ISERROR(SEARCH(PayEarnCode,AO$2)))*(PayEarnType="Monthly")*(PayEarnValues))/$AA75*12)+(SUMPRODUCT((PayEmp=$C75)*(PayDate&lt;=$AC75)*(ISERROR(SEARCH(PayEarnCode,AO$2)))*(PayEarnType="Quarterly")*(PayEarnValues))/MAX(1,ROUNDDOWN($AB75/3,0))*4)+(SUMPRODUCT((PayEmp=$C75)*(PayDate&lt;=$AC75)*(ISERROR(SEARCH(PayEarnCode,AO$2)))*(PayEarnType="Bi-Annual")*(PayEarnValues))/MAX(1,ROUNDDOWN($AB75/6,0))*2)+(SUMPRODUCT((PayEmp=$C75)*(PayDate&lt;=$AC75)*(ISERROR(SEARCH(PayEarnCode,AO$2)))*(PayEarnType="Annual")*(PayEarnValues)))),IF(ISNUMBER(OFFSET($N$3,0,MATCH(AO$5,PayDedList,0)-1,1,1)),OFFSET($N$3,0,MATCH(AO$5,PayDedList,0)-1,1,1),IgnoreMin)))*IF(COUNTIFS(EmpNo,$C75,OFFSET(Emp!$R$4,1,MATCH(AO$5,DedListItem,0)-1,EmpCount,1),"&lt;&gt;")&gt;0,VLOOKUP($C75,EmpAll,COLUMN(Emp!$R$4)+MATCH(AO$5,DedListItem,0)-1,0),OFFSET(Setup!$E$73,MATCH(AO$5,DedListItem,0),0,1,1))*AO$3))),IF(ISNUMBER(AO$4),AO$4,IgnoreMin)))))</f>
        <v>0</v>
      </c>
      <c r="AP75" s="148" cm="1">
        <f t="array" aca="1" ref="AP75" ca="1">-IF($F75="Terminated",0,IF($AA75=0,0,IF(ISNA(MATCH(AP$5,PayDedList,0)),0,MIN(IF(COUNTIFS(OverEmp,$C75,OverDeduct,AP$5,OverDate,"&lt;"&amp;DATE(YEAR($AC75),MONTH($AC75)+1,1),OverEnd,"&gt;="&amp;DATE(YEAR($AC75),MONTH($AC75),1))&gt;0,SUMPRODUCT((PayEmp=$C75)*(PayDate&lt;=$AC75)*(OFFSET($N$6,1,MATCH(AP$5,PayDedList,0)-1,PayCount,1)))/$AA75*12*AP$3,IF(OR(AP$1="Fixed",AP$1="Not Used"),SUMPRODUCT((PayEmp=$C75)*(PayDate&lt;=$AC75)*(OFFSET($N$6,1,MATCH(AP$5,PayDedList,0)-1,PayCount,1)))/$AA75*12*AP$3,IF(ISNA(MATCH(AP$1,EarnListItem,0))=FALSE,SUMPRODUCT((PayEmp=$C75)*(PayDate&lt;=$AC75)*(OFFSET($N$6,1,MATCH(AP$5,PayDedList,0)-1,PayCount,1)))/$AA75*12*AP$3,(MIN(((SUMPRODUCT((PayEmp=$C75)*(PayDate&lt;=$AC75)*(ISERROR(SEARCH(PayEarnCode,AP$2)))*(PayEarnType="Monthly")*(PayEarnValues))/$AA75*12)+(SUMPRODUCT((PayEmp=$C75)*(PayDate&lt;=$AC75)*(ISERROR(SEARCH(PayEarnCode,AP$2)))*(PayEarnType="Quarterly")*(PayEarnValues))/MAX(1,ROUNDDOWN($AB75/3,0))*4)+(SUMPRODUCT((PayEmp=$C75)*(PayDate&lt;=$AC75)*(ISERROR(SEARCH(PayEarnCode,AP$2)))*(PayEarnType="Bi-Annual")*(PayEarnValues))/MAX(1,ROUNDDOWN($AB75/6,0))*2)+(SUMPRODUCT((PayEmp=$C75)*(PayDate&lt;=$AC75)*(ISERROR(SEARCH(PayEarnCode,AP$2)))*(PayEarnType="Annual")*(PayEarnValues)))),IF(ISNUMBER(OFFSET($N$3,0,MATCH(AP$5,PayDedList,0)-1,1,1)),OFFSET($N$3,0,MATCH(AP$5,PayDedList,0)-1,1,1),IgnoreMin)))*IF(COUNTIFS(EmpNo,$C75,OFFSET(Emp!$R$4,1,MATCH(AP$5,DedListItem,0)-1,EmpCount,1),"&lt;&gt;")&gt;0,VLOOKUP($C75,EmpAll,COLUMN(Emp!$R$4)+MATCH(AP$5,DedListItem,0)-1,0),OFFSET(Setup!$E$73,MATCH(AP$5,DedListItem,0),0,1,1))*AP$3))),IF(ISNUMBER(AP$4),AP$4,IgnoreMin)))))</f>
        <v>0</v>
      </c>
      <c r="AQ75" s="148" cm="1">
        <f t="array" aca="1" ref="AQ75" ca="1">-IF($F75="Terminated",0,IF($AA75=0,0,IF(ISNA(MATCH(AQ$5,PayDedList,0)),0,MIN(IF(COUNTIFS(OverEmp,$C75,OverDeduct,AQ$5,OverDate,"&lt;"&amp;DATE(YEAR($AC75),MONTH($AC75)+1,1),OverEnd,"&gt;="&amp;DATE(YEAR($AC75),MONTH($AC75),1))&gt;0,SUMPRODUCT((PayEmp=$C75)*(PayDate&lt;=$AC75)*(OFFSET($N$6,1,MATCH(AQ$5,PayDedList,0)-1,PayCount,1)))/$AA75*12*AQ$3,IF(OR(AQ$1="Fixed",AQ$1="Not Used"),SUMPRODUCT((PayEmp=$C75)*(PayDate&lt;=$AC75)*(OFFSET($N$6,1,MATCH(AQ$5,PayDedList,0)-1,PayCount,1)))/$AA75*12*AQ$3,IF(ISNA(MATCH(AQ$1,EarnListItem,0))=FALSE,SUMPRODUCT((PayEmp=$C75)*(PayDate&lt;=$AC75)*(OFFSET($N$6,1,MATCH(AQ$5,PayDedList,0)-1,PayCount,1)))/$AA75*12*AQ$3,(MIN(((SUMPRODUCT((PayEmp=$C75)*(PayDate&lt;=$AC75)*(ISERROR(SEARCH(PayEarnCode,AQ$2)))*(PayEarnType="Monthly")*(PayEarnValues))/$AA75*12)+(SUMPRODUCT((PayEmp=$C75)*(PayDate&lt;=$AC75)*(ISERROR(SEARCH(PayEarnCode,AQ$2)))*(PayEarnType="Quarterly")*(PayEarnValues))/MAX(1,ROUNDDOWN($AB75/3,0))*4)+(SUMPRODUCT((PayEmp=$C75)*(PayDate&lt;=$AC75)*(ISERROR(SEARCH(PayEarnCode,AQ$2)))*(PayEarnType="Bi-Annual")*(PayEarnValues))/MAX(1,ROUNDDOWN($AB75/6,0))*2)+(SUMPRODUCT((PayEmp=$C75)*(PayDate&lt;=$AC75)*(ISERROR(SEARCH(PayEarnCode,AQ$2)))*(PayEarnType="Annual")*(PayEarnValues)))),IF(ISNUMBER(OFFSET($N$3,0,MATCH(AQ$5,PayDedList,0)-1,1,1)),OFFSET($N$3,0,MATCH(AQ$5,PayDedList,0)-1,1,1),IgnoreMin)))*IF(COUNTIFS(EmpNo,$C75,OFFSET(Emp!$R$4,1,MATCH(AQ$5,DedListItem,0)-1,EmpCount,1),"&lt;&gt;")&gt;0,VLOOKUP($C75,EmpAll,COLUMN(Emp!$R$4)+MATCH(AQ$5,DedListItem,0)-1,0),OFFSET(Setup!$E$73,MATCH(AQ$5,DedListItem,0),0,1,1))*AQ$3))),IF(ISNUMBER(AQ$4),AQ$4,IgnoreMin)))))</f>
        <v>0</v>
      </c>
      <c r="AR75" s="148">
        <f t="shared" ca="1" si="34"/>
        <v>108000</v>
      </c>
      <c r="AS75" s="148">
        <f t="shared" ca="1" si="42"/>
        <v>108000</v>
      </c>
      <c r="AT75" s="148" cm="1">
        <f t="array" aca="1" ref="AT75" ca="1">-IF($F75="Terminated",0,IF($AA75=0,0,IF(ISNA(MATCH(AT$5,PayDedList,0)),0,MIN(IF(COUNTIFS(OverEmp,$C75,OverDeduct,AT$5,OverDate,"&lt;"&amp;DATE(YEAR($AC75),MONTH($AC75)+1,1),OverEnd,"&gt;="&amp;DATE(YEAR($AC75),MONTH($AC75),1))&gt;0,SUMPRODUCT((PayEmp=$C75)*(PayDate&lt;=$AC75)*(OFFSET($N$6,1,MATCH(AT$5,PayDedList,0)-1,PayCount,1)))/$AA75*12*AT$3,IF(OR(AT$1="Fixed",AT$1="Not Used"),SUMPRODUCT((PayEmp=$C75)*(PayDate&lt;=$AC75)*(OFFSET($N$6,1,MATCH(AT$5,PayDedList,0)-1,PayCount,1)))/$AA75*12*AT$3,IF(ISNA(MATCH(OFFSET($N$2,0,MATCH(AT$5,PayDedList,0)-1,1,1),EarnListItem,0))=FALSE,SUMPRODUCT((PayEmp=$C75)*(PayDate&lt;=$AC75)*(OFFSET($N$6,1,MATCH(AT$5,PayDedList,0)-1,PayCount,1)))/$AA75*12*AT$3,(MIN(SUMPRODUCT((PayEmp=$C75)*(PayDate&lt;=$AC75)*(ISERROR(SEARCH(PayEarnCode,AT$2)))*(PayEarnType="Monthly")*(PayEarnValues))/$AA75*12,IF(ISNUMBER(OFFSET($N$3,0,MATCH(AT$5,PayDedList,0)-1,1,1)),OFFSET($N$3,0,MATCH(AT$5,PayDedList,0)-1,1,1),IgnoreMin)))*IF(COUNTIFS(EmpNo,$C75,OFFSET(Emp!$R$4,1,MATCH(AT$5,DedListItem,0)-1,EmpCount,1),"&lt;&gt;")&gt;0,VLOOKUP($C75,EmpAll,COLUMN(Emp!$R$4)+MATCH(AT$5,DedListItem,0)-1,0),OFFSET(Setup!$E$73,MATCH(AT$5,DedListItem,0),0,1,1))*AT$3))),IF(ISNUMBER(AT$4),AT$4,IgnoreMin)))))</f>
        <v>0</v>
      </c>
      <c r="AU75" s="148" cm="1">
        <f t="array" aca="1" ref="AU75" ca="1">-IF($F75="Terminated",0,IF($AA75=0,0,IF(ISNA(MATCH(AU$5,PayDedList,0)),0,MIN(IF(COUNTIFS(OverEmp,$C75,OverDeduct,AU$5,OverDate,"&lt;"&amp;DATE(YEAR($AC75),MONTH($AC75)+1,1),OverEnd,"&gt;="&amp;DATE(YEAR($AC75),MONTH($AC75),1))&gt;0,SUMPRODUCT((PayEmp=$C75)*(PayDate&lt;=$AC75)*(OFFSET($N$6,1,MATCH(AU$5,PayDedList,0)-1,PayCount,1)))/$AA75*12*AU$3,IF(OR(AU$1="Fixed",AU$1="Not Used"),SUMPRODUCT((PayEmp=$C75)*(PayDate&lt;=$AC75)*(OFFSET($N$6,1,MATCH(AU$5,PayDedList,0)-1,PayCount,1)))/$AA75*12*AU$3,IF(ISNA(MATCH(OFFSET($N$2,0,MATCH(AU$5,PayDedList,0)-1,1,1),EarnListItem,0))=FALSE,SUMPRODUCT((PayEmp=$C75)*(PayDate&lt;=$AC75)*(OFFSET($N$6,1,MATCH(AU$5,PayDedList,0)-1,PayCount,1)))/$AA75*12*AU$3,(MIN(SUMPRODUCT((PayEmp=$C75)*(PayDate&lt;=$AC75)*(ISERROR(SEARCH(PayEarnCode,AU$2)))*(PayEarnType="Monthly")*(PayEarnValues))/$AA75*12,IF(ISNUMBER(OFFSET($N$3,0,MATCH(AU$5,PayDedList,0)-1,1,1)),OFFSET($N$3,0,MATCH(AU$5,PayDedList,0)-1,1,1),IgnoreMin)))*IF(COUNTIFS(EmpNo,$C75,OFFSET(Emp!$R$4,1,MATCH(AU$5,DedListItem,0)-1,EmpCount,1),"&lt;&gt;")&gt;0,VLOOKUP($C75,EmpAll,COLUMN(Emp!$R$4)+MATCH(AU$5,DedListItem,0)-1,0),OFFSET(Setup!$E$73,MATCH(AU$5,DedListItem,0),0,1,1))*AU$3))),IF(ISNUMBER(AU$4),AU$4,IgnoreMin)))))</f>
        <v>0</v>
      </c>
      <c r="AV75" s="148" cm="1">
        <f t="array" aca="1" ref="AV75" ca="1">-IF($F75="Terminated",0,IF($AA75=0,0,IF(ISNA(MATCH(AV$5,PayDedList,0)),0,MIN(IF(COUNTIFS(OverEmp,$C75,OverDeduct,AV$5,OverDate,"&lt;"&amp;DATE(YEAR($AC75),MONTH($AC75)+1,1),OverEnd,"&gt;="&amp;DATE(YEAR($AC75),MONTH($AC75),1))&gt;0,SUMPRODUCT((PayEmp=$C75)*(PayDate&lt;=$AC75)*(OFFSET($N$6,1,MATCH(AV$5,PayDedList,0)-1,PayCount,1)))/$AA75*12*AV$3,IF(OR(AV$1="Fixed",AV$1="Not Used"),SUMPRODUCT((PayEmp=$C75)*(PayDate&lt;=$AC75)*(OFFSET($N$6,1,MATCH(AV$5,PayDedList,0)-1,PayCount,1)))/$AA75*12*AV$3,IF(ISNA(MATCH(OFFSET($N$2,0,MATCH(AV$5,PayDedList,0)-1,1,1),EarnListItem,0))=FALSE,SUMPRODUCT((PayEmp=$C75)*(PayDate&lt;=$AC75)*(OFFSET($N$6,1,MATCH(AV$5,PayDedList,0)-1,PayCount,1)))/$AA75*12*AV$3,(MIN(SUMPRODUCT((PayEmp=$C75)*(PayDate&lt;=$AC75)*(ISERROR(SEARCH(PayEarnCode,AV$2)))*(PayEarnType="Monthly")*(PayEarnValues))/$AA75*12,IF(ISNUMBER(OFFSET($N$3,0,MATCH(AV$5,PayDedList,0)-1,1,1)),OFFSET($N$3,0,MATCH(AV$5,PayDedList,0)-1,1,1),IgnoreMin)))*IF(COUNTIFS(EmpNo,$C75,OFFSET(Emp!$R$4,1,MATCH(AV$5,DedListItem,0)-1,EmpCount,1),"&lt;&gt;")&gt;0,VLOOKUP($C75,EmpAll,COLUMN(Emp!$R$4)+MATCH(AV$5,DedListItem,0)-1,0),OFFSET(Setup!$E$73,MATCH(AV$5,DedListItem,0),0,1,1))*AV$3))),IF(ISNUMBER(AV$4),AV$4,IgnoreMin)))))</f>
        <v>0</v>
      </c>
      <c r="AW75" s="148" cm="1">
        <f t="array" aca="1" ref="AW75" ca="1">-IF($F75="Terminated",0,IF($AA75=0,0,IF(ISNA(MATCH(AW$5,PayDedList,0)),0,MIN(IF(COUNTIFS(OverEmp,$C75,OverDeduct,AW$5,OverDate,"&lt;"&amp;DATE(YEAR($AC75),MONTH($AC75)+1,1),OverEnd,"&gt;="&amp;DATE(YEAR($AC75),MONTH($AC75),1))&gt;0,SUMPRODUCT((PayEmp=$C75)*(PayDate&lt;=$AC75)*(OFFSET($N$6,1,MATCH(AW$5,PayDedList,0)-1,PayCount,1)))/$AA75*12*AW$3,IF(OR(AW$1="Fixed",AW$1="Not Used"),SUMPRODUCT((PayEmp=$C75)*(PayDate&lt;=$AC75)*(OFFSET($N$6,1,MATCH(AW$5,PayDedList,0)-1,PayCount,1)))/$AA75*12*AW$3,IF(ISNA(MATCH(OFFSET($N$2,0,MATCH(AW$5,PayDedList,0)-1,1,1),EarnListItem,0))=FALSE,SUMPRODUCT((PayEmp=$C75)*(PayDate&lt;=$AC75)*(OFFSET($N$6,1,MATCH(AW$5,PayDedList,0)-1,PayCount,1)))/$AA75*12*AW$3,(MIN(SUMPRODUCT((PayEmp=$C75)*(PayDate&lt;=$AC75)*(ISERROR(SEARCH(PayEarnCode,AW$2)))*(PayEarnType="Monthly")*(PayEarnValues))/$AA75*12,IF(ISNUMBER(OFFSET($N$3,0,MATCH(AW$5,PayDedList,0)-1,1,1)),OFFSET($N$3,0,MATCH(AW$5,PayDedList,0)-1,1,1),IgnoreMin)))*IF(COUNTIFS(EmpNo,$C75,OFFSET(Emp!$R$4,1,MATCH(AW$5,DedListItem,0)-1,EmpCount,1),"&lt;&gt;")&gt;0,VLOOKUP($C75,EmpAll,COLUMN(Emp!$R$4)+MATCH(AW$5,DedListItem,0)-1,0),OFFSET(Setup!$E$73,MATCH(AW$5,DedListItem,0),0,1,1))*AW$3))),IF(ISNUMBER(AW$4),AW$4,IgnoreMin)))))</f>
        <v>0</v>
      </c>
      <c r="AX75" s="148">
        <f t="shared" ca="1" si="43"/>
        <v>108000</v>
      </c>
      <c r="AY75" s="148">
        <f t="shared" ca="1" si="44"/>
        <v>0</v>
      </c>
      <c r="AZ75" s="148">
        <f ca="1">IF(ISNUMBER($AL75),($AR75*$AL75)-$AI75-$AK75,MAX(0,IF($AL75="B",IF($AR75&lt;Setup!$C$32,($AR75*Setup!$D$32)-$AI75-$AK75,(($AR75-VLOOKUP($AR75,TaxAll2,1,1))*OFFSET(Setup!$D$32,MATCH($AR75,TaxBracket2,1),0,1,1))+OFFSET(Setup!$E$31,MATCH($AR75,TaxBracket2,1),0,1,1)-$AI75-$AK75),IF($AR75&lt;Setup!$C$21,($AR75*Setup!$D$21)-$AI75-$AK75,(($AR75-VLOOKUP($AR75,TaxAll1,1,1))*OFFSET(Setup!$D$21,MATCH($AR75,TaxBracket1,1),0,1,1))+OFFSET(Setup!$E$20,MATCH($AR75,TaxBracket1,1),0,1,1)-$AI75-$AK75))))</f>
        <v>2205</v>
      </c>
      <c r="BA75" s="148">
        <f ca="1">IF(ISNUMBER($AL75),($AX75*$AL75)-$AI75-$AK75,MAX(0,IF($AL75="B",IF($AX75&lt;Setup!$C$32,($AX75*Setup!$D$32)-$AI75-$AK75,(($AX75-VLOOKUP($AX75,TaxAll2,1,1))*OFFSET(Setup!$D$32,MATCH($AX75,TaxBracket2,1),0,1,1))+OFFSET(Setup!$E$31,MATCH($AX75,TaxBracket2,1),0,1,1)-$AI75-$AK75),IF($AX75&lt;Setup!$C$21,($AX75*Setup!$D$21)-$AI75-$AK75,(($AX75-VLOOKUP($AX75,TaxAll1,1,1))*OFFSET(Setup!$D$21,MATCH($AX75,TaxBracket1,1),0,1,1))+OFFSET(Setup!$E$20,MATCH($AX75,TaxBracket1,1),0,1,1)-$AI75-$AK75))))</f>
        <v>2205</v>
      </c>
      <c r="BB75" s="148">
        <f t="shared" ca="1" si="35"/>
        <v>0</v>
      </c>
      <c r="BC75" s="150">
        <f t="shared" ca="1" si="45"/>
        <v>1</v>
      </c>
      <c r="BD75" s="150">
        <f t="shared" ca="1" si="46"/>
        <v>0</v>
      </c>
      <c r="BE75" s="148">
        <f t="shared" ca="1" si="47"/>
        <v>108000</v>
      </c>
    </row>
    <row r="76" spans="1:57" ht="16.149999999999999" customHeight="1" x14ac:dyDescent="0.25">
      <c r="A76" s="10" t="str" cm="1">
        <f t="array" aca="1" ref="A76" ca="1">IF(ROW($A76)-ROW($A$6)&gt;EmpCount*12,"-",TEXT($B76,"yyyy")&amp;TEXT($B76,"mm")&amp;"-"&amp;$C76)</f>
        <v>202307-EXS010</v>
      </c>
      <c r="B76" s="137" cm="1">
        <f t="array" aca="1" ref="B76" ca="1">IF(ROW($A76)-ROW($A$6)&gt;EmpCount*12,Setup!$D$12,DATE(YEAR(Setup!$F$12),MONTH(Setup!$F$12)+ROUNDDOWN((ROW($A76)-ROW($A$6)-1)/EmpCount,0),IF(Setup!$C$14&gt;DAY(DATE(YEAR(Setup!$F$12),MONTH(Setup!$F$12)+ROUNDDOWN((ROW($A76)-ROW($A$6)-1)/EmpCount,0)+1,0)),DAY(DATE(YEAR(Setup!$F$12),MONTH(Setup!$F$12)+ROUNDDOWN((ROW($A76)-ROW($A$6)-1)/EmpCount,0)+1,0)),Setup!$C$14)))</f>
        <v>45132</v>
      </c>
      <c r="C76" s="101" t="str" cm="1">
        <f t="array" aca="1" ref="C76" ca="1">IF(ROW($A76)-ROW($A$6)&gt;EmpCount*12,"-",OFFSET(Emp!$A$4,ROW($A76)-ROW($A$6)-IF(ROW($A76)-ROW($A$6)&gt;EmpCount,ROUNDDOWN((ROW($A76)-ROW($A$6)-1)/EmpCount,0)*EmpCount,0),0,1,1))</f>
        <v>EXS010</v>
      </c>
      <c r="D76" s="10" t="str">
        <f ca="1">IF(ISNA(VLOOKUP($C76,EmpAll,COLUMN(Emp!$B$4),0)),"-",VLOOKUP($C76,EmpAll,COLUMN(Emp!$B$4),0))</f>
        <v>Lewis I</v>
      </c>
      <c r="E76" s="145" t="str">
        <f ca="1">IF(ISNA(VLOOKUP($C76,EmpAll,COLUMN(Emp!$C$4),0)),"-",VLOOKUP($C76,EmpAll,COLUMN(Emp!$C$4),0))</f>
        <v>A</v>
      </c>
      <c r="F76" s="101" t="str">
        <f ca="1">IF(ISNA(VLOOKUP($C76,EmpAll,COLUMN(Emp!$A$4),0)),"-",IF(AND(VLOOKUP($C76,EmpAll,COLUMN(Emp!$E$4),0)&lt;&gt;0,VLOOKUP($C76,EmpAll,COLUMN(Emp!$E$4),0)&gt;=DATE(YEAR($AC76),MONTH($AC76)+1,0)),"Inactive",IF(AND(VLOOKUP($C76,EmpAll,COLUMN(Emp!$F$4),0)&lt;&gt;0,VLOOKUP($C76,EmpAll,COLUMN(Emp!$F$4),0)&lt;=DATE(YEAR($AC76),MONTH($AC76),0)),"Terminated","Active")))</f>
        <v>Active</v>
      </c>
      <c r="G76" s="133" cm="1">
        <f t="array" aca="1" ref="G76" ca="1">IF($F76&lt;&gt;"Active",0,IF(COUNTIFS(OverEmp,$C76,OverEarn,G$2,OverDate,"&lt;"&amp;DATE(YEAR($AC76),MONTH($AC76)+1,1),OverEnd,"&gt;="&amp;DATE(YEAR($AC76),MONTH($AC76),1))&gt;0,SUMIFS(OverValue,OverEmp,$C76,OverEarn,G$2,OverDate,"&lt;"&amp;DATE(YEAR($AC76),MONTH($AC76)+1,1),OverEnd,"&gt;="&amp;DATE(YEAR($AC76),MONTH($AC76),1)),IF(AND($AC76&gt;=Setup!$E$10,SUMIFS(EmpIncrease,EmpCode,$C76)&gt;0),SUMIFS(EmpIncrease,EmpCode,$C76),SUMIFS(EmpSalary,EmpCode,$C76))))</f>
        <v>9000</v>
      </c>
      <c r="H76" s="133" cm="1">
        <f t="array" aca="1" ref="H76" ca="1">IF($F76&lt;&gt;"Active",0,IF(COUNTIFS(OverEmp,$C76,OverEarn,H$2,OverDate,"&lt;"&amp;DATE(YEAR($AC76),MONTH($AC76)+1,1),OverEnd,"&gt;="&amp;DATE(YEAR($AC76),MONTH($AC76),1))&gt;0,SUMIFS(OverValue,OverEmp,$C76,OverEarn,H$2,OverDate,"&lt;"&amp;DATE(YEAR($AC76),MONTH($AC76)+1,1),OverEnd,"&gt;="&amp;DATE(YEAR($AC76),MONTH($AC76),1)),0))</f>
        <v>0</v>
      </c>
      <c r="I76" s="133" cm="1">
        <f t="array" aca="1" ref="I76" ca="1">IF($F76&lt;&gt;"Active",0,IF(COUNTIFS(OverEmp,$C76,OverEarn,I$2,OverDate,"&lt;"&amp;DATE(YEAR($AC76),MONTH($AC76)+1,1),OverEnd,"&gt;="&amp;DATE(YEAR($AC76),MONTH($AC76),1))&gt;0,SUMIFS(OverValue,OverEmp,$C76,OverEarn,I$2,OverDate,"&lt;"&amp;DATE(YEAR($AC76),MONTH($AC76)+1,1),OverEnd,"&gt;="&amp;DATE(YEAR($AC76),MONTH($AC76),1)),IF(MONTH(B76)=Setup!$C$15,SUMIFS(EmpBonus,EmpCode,$C76),0)))</f>
        <v>0</v>
      </c>
      <c r="J76" s="133" cm="1">
        <f t="array" aca="1" ref="J76" ca="1">IF($F76&lt;&gt;"Active",0,IF(COUNTIFS(OverEmp,$C76,OverEarn,J$2,OverDate,"&lt;"&amp;DATE(YEAR($AC76),MONTH($AC76)+1,1),OverEnd,"&gt;="&amp;DATE(YEAR($AC76),MONTH($AC76),1))&gt;0,SUMIFS(OverValue,OverEmp,$C76,OverEarn,J$2,OverDate,"&lt;"&amp;DATE(YEAR($AC76),MONTH($AC76)+1,1),OverEnd,"&gt;="&amp;DATE(YEAR($AC76),MONTH($AC76),1)),0))</f>
        <v>0</v>
      </c>
      <c r="K76" s="133" cm="1">
        <f t="array" aca="1" ref="K76" ca="1">IF($F76&lt;&gt;"Active",0,IF(COUNTIFS(OverEmp,$C76,OverEarn,K$2,OverDate,"&lt;"&amp;DATE(YEAR($AC76),MONTH($AC76)+1,1),OverEnd,"&gt;="&amp;DATE(YEAR($AC76),MONTH($AC76),1))&gt;0,SUMIFS(OverValue,OverEmp,$C76,OverEarn,K$2,OverDate,"&lt;"&amp;DATE(YEAR($AC76),MONTH($AC76)+1,1),OverEnd,"&gt;="&amp;DATE(YEAR($AC76),MONTH($AC76),1)),0))</f>
        <v>0</v>
      </c>
      <c r="L76" s="185">
        <f t="shared" ca="1" si="36"/>
        <v>9000</v>
      </c>
      <c r="M76" s="182" cm="1">
        <f t="array" aca="1" ref="M76" ca="1">IF(COUNTIFS(OverEmp,$C76,OverTax,M$5,OverDate,"&lt;"&amp;DATE(YEAR($AC76),MONTH($AC76)+1,1),OverEnd,"&gt;="&amp;DATE(YEAR($AC76),MONTH($AC76),1))&gt;0,SUMIFS(OverValue,OverEmp,$C76,OverTax,M$5,OverDate,"&lt;"&amp;DATE(YEAR($AC76),MONTH($AC76)+1,1),OverEnd,"&gt;="&amp;DATE(YEAR($AC76),MONTH($AC76),1)),(($BA76/12*$AA76)+(BB76*IF(1-$BC76=0,0,BD76/(1-$BC76))))-IF($F76="Terminated",0,SUMIFS(PayTaxDeduct,PayDate,"&lt;"&amp;$AC76,PayEmp,$C76)))</f>
        <v>183.75</v>
      </c>
      <c r="N76" s="133" cm="1">
        <f t="array" aca="1" ref="N76" ca="1">IF($F76="Terminated",0,IF($AA76=0,0,IF(ISNA(MATCH(N$5,DedListItem,0)),0,IF(COUNTIFS(OverEmp,$C76,OverDeduct,N$5,OverDate,"&lt;"&amp;DATE(YEAR($AC76),MONTH($AC76)+1,1),OverEnd,"&gt;="&amp;DATE(YEAR($AC76),MONTH($AC76),1))&gt;0,SUMIFS(OverValue,OverEmp,$C76,OverDeduct,N$5,OverDate,"&lt;"&amp;DATE(YEAR($AC76),MONTH($AC76)+1,1),OverEnd,"&gt;="&amp;DATE(YEAR($AC76),MONTH($AC76),1)),IF(OR(N$2="Fixed",N$2="Not Used"),(IF(COUNTIFS(EmpNo,$C76,OFFSET(Emp!$R$4,1,MATCH(N$5,DedListItem,0)-1,EmpCount,1),"&lt;&gt;")&gt;0,VLOOKUP($C76,EmpAll,COLUMN(Emp!$R$4)+MATCH(N$5,DedListItem,0)-1,0),OFFSET(Setup!$E$73,MATCH(N$5,DedListItem,0),0,1,1))*$AA76)-SUMIFS(OFFSET(N$6,1,0,PayCount,1),PayDate,"&lt;"&amp;$AC76,PayEmp,$C76),IF(ISNA(MATCH(N$2,EarnListItem,0))=FALSE,IF(OFFSET(Setup!$G$73,MATCH(N$5,DedListItem,0),0,1,1)="Taxable",SUMPRODUCT((PayEmp=$C76)*(PayDate&lt;=$AC76)*(PayEarnCode=N$2)*(PayEarnTax)*(PayEarnValues)),SUMPRODUCT((PayEmp=$C76)*(PayDate&lt;=$AC76)*(PayEarnCode=N$2)*(PayEarnValues)))*IF(COUNTIFS(EmpNo,$C76,OFFSET(Emp!$R$4,1,MATCH(N$5,DedListItem,0)-1,EmpCount,1),"&lt;&gt;")&gt;0,VLOOKUP($C76,EmpAll,COLUMN(Emp!$R$4)+MATCH(N$5,DedListItem,0)-1,0),OFFSET(Setup!$E$73,MATCH(N$5,DedListItem,0),0,1,1)),(MIN(IF(OFFSET(Setup!$G$73,MATCH(N$5,DedListItem,0),0,1,1)="Taxable",SUMPRODUCT((PayEmp=$C76)*(PayDate&lt;=$AC76)*(ISERROR(SEARCH(PayEarnCode,N$4)))*(PayEarnTax)*(PayEarnValues)),SUMPRODUCT((PayEmp=$C76)*(PayDate&lt;=$AC76)*(ISERROR(SEARCH(PayEarnCode,N$4)))*(PayEarnValues))),IF(ISNUMBER(N$3),N$3/12*$AA76,IgnoreMin)))*IF(COUNTIFS(EmpNo,$C76,OFFSET(Emp!$R$4,1,MATCH(N$5,DedListItem,0)-1,EmpCount,1),"&lt;&gt;")&gt;0,VLOOKUP($C76,EmpAll,COLUMN(Emp!$R$4)+MATCH(N$5,DedListItem,0)-1,0),OFFSET(Setup!$E$73,MATCH(N$5,DedListItem,0),0,1,1)))-SUMIFS(OFFSET(N$6,1,0,PayCount,1),PayDate,"&lt;"&amp;$AC76,PayEmp,$C76))))))</f>
        <v>90</v>
      </c>
      <c r="O76" s="133" cm="1">
        <f t="array" aca="1" ref="O76" ca="1">IF($F76="Terminated",0,IF($AA76=0,0,IF(ISNA(MATCH(O$5,DedListItem,0)),0,IF(COUNTIFS(OverEmp,$C76,OverDeduct,O$5,OverDate,"&lt;"&amp;DATE(YEAR($AC76),MONTH($AC76)+1,1),OverEnd,"&gt;="&amp;DATE(YEAR($AC76),MONTH($AC76),1))&gt;0,SUMIFS(OverValue,OverEmp,$C76,OverDeduct,O$5,OverDate,"&lt;"&amp;DATE(YEAR($AC76),MONTH($AC76)+1,1),OverEnd,"&gt;="&amp;DATE(YEAR($AC76),MONTH($AC76),1)),IF(OR(O$2="Fixed",O$2="Not Used"),(IF(COUNTIFS(EmpNo,$C76,OFFSET(Emp!$R$4,1,MATCH(O$5,DedListItem,0)-1,EmpCount,1),"&lt;&gt;")&gt;0,VLOOKUP($C76,EmpAll,COLUMN(Emp!$R$4)+MATCH(O$5,DedListItem,0)-1,0),OFFSET(Setup!$E$73,MATCH(O$5,DedListItem,0),0,1,1))*$AA76)-SUMIFS(OFFSET(O$6,1,0,PayCount,1),PayDate,"&lt;"&amp;$AC76,PayEmp,$C76),IF(ISNA(MATCH(O$2,EarnListItem,0))=FALSE,IF(OFFSET(Setup!$G$73,MATCH(O$5,DedListItem,0),0,1,1)="Taxable",SUMPRODUCT((PayEmp=$C76)*(PayDate&lt;=$AC76)*(PayEarnCode=O$2)*(PayEarnTax)*(PayEarnValues)),SUMPRODUCT((PayEmp=$C76)*(PayDate&lt;=$AC76)*(PayEarnCode=O$2)*(PayEarnValues)))*IF(COUNTIFS(EmpNo,$C76,OFFSET(Emp!$R$4,1,MATCH(O$5,DedListItem,0)-1,EmpCount,1),"&lt;&gt;")&gt;0,VLOOKUP($C76,EmpAll,COLUMN(Emp!$R$4)+MATCH(O$5,DedListItem,0)-1,0),OFFSET(Setup!$E$73,MATCH(O$5,DedListItem,0),0,1,1)),(MIN(IF(OFFSET(Setup!$G$73,MATCH(O$5,DedListItem,0),0,1,1)="Taxable",SUMPRODUCT((PayEmp=$C76)*(PayDate&lt;=$AC76)*(ISERROR(SEARCH(PayEarnCode,O$4)))*(PayEarnTax)*(PayEarnValues)),SUMPRODUCT((PayEmp=$C76)*(PayDate&lt;=$AC76)*(ISERROR(SEARCH(PayEarnCode,O$4)))*(PayEarnValues))),IF(ISNUMBER(O$3),O$3/12*$AA76,IgnoreMin)))*IF(COUNTIFS(EmpNo,$C76,OFFSET(Emp!$R$4,1,MATCH(O$5,DedListItem,0)-1,EmpCount,1),"&lt;&gt;")&gt;0,VLOOKUP($C76,EmpAll,COLUMN(Emp!$R$4)+MATCH(O$5,DedListItem,0)-1,0),OFFSET(Setup!$E$73,MATCH(O$5,DedListItem,0),0,1,1)))-SUMIFS(OFFSET(O$6,1,0,PayCount,1),PayDate,"&lt;"&amp;$AC76,PayEmp,$C76))))))</f>
        <v>0</v>
      </c>
      <c r="P76" s="133" cm="1">
        <f t="array" aca="1" ref="P76" ca="1">IF($F76="Terminated",0,IF($AA76=0,0,IF(ISNA(MATCH(P$5,DedListItem,0)),0,IF(COUNTIFS(OverEmp,$C76,OverDeduct,P$5,OverDate,"&lt;"&amp;DATE(YEAR($AC76),MONTH($AC76)+1,1),OverEnd,"&gt;="&amp;DATE(YEAR($AC76),MONTH($AC76),1))&gt;0,SUMIFS(OverValue,OverEmp,$C76,OverDeduct,P$5,OverDate,"&lt;"&amp;DATE(YEAR($AC76),MONTH($AC76)+1,1),OverEnd,"&gt;="&amp;DATE(YEAR($AC76),MONTH($AC76),1)),IF(OR(P$2="Fixed",P$2="Not Used"),(IF(COUNTIFS(EmpNo,$C76,OFFSET(Emp!$R$4,1,MATCH(P$5,DedListItem,0)-1,EmpCount,1),"&lt;&gt;")&gt;0,VLOOKUP($C76,EmpAll,COLUMN(Emp!$R$4)+MATCH(P$5,DedListItem,0)-1,0),OFFSET(Setup!$E$73,MATCH(P$5,DedListItem,0),0,1,1))*$AA76)-SUMIFS(OFFSET(P$6,1,0,PayCount,1),PayDate,"&lt;"&amp;$AC76,PayEmp,$C76),IF(ISNA(MATCH(P$2,EarnListItem,0))=FALSE,IF(OFFSET(Setup!$G$73,MATCH(P$5,DedListItem,0),0,1,1)="Taxable",SUMPRODUCT((PayEmp=$C76)*(PayDate&lt;=$AC76)*(PayEarnCode=P$2)*(PayEarnTax)*(PayEarnValues)),SUMPRODUCT((PayEmp=$C76)*(PayDate&lt;=$AC76)*(PayEarnCode=P$2)*(PayEarnValues)))*IF(COUNTIFS(EmpNo,$C76,OFFSET(Emp!$R$4,1,MATCH(P$5,DedListItem,0)-1,EmpCount,1),"&lt;&gt;")&gt;0,VLOOKUP($C76,EmpAll,COLUMN(Emp!$R$4)+MATCH(P$5,DedListItem,0)-1,0),OFFSET(Setup!$E$73,MATCH(P$5,DedListItem,0),0,1,1)),(MIN(IF(OFFSET(Setup!$G$73,MATCH(P$5,DedListItem,0),0,1,1)="Taxable",SUMPRODUCT((PayEmp=$C76)*(PayDate&lt;=$AC76)*(ISERROR(SEARCH(PayEarnCode,P$4)))*(PayEarnTax)*(PayEarnValues)),SUMPRODUCT((PayEmp=$C76)*(PayDate&lt;=$AC76)*(ISERROR(SEARCH(PayEarnCode,P$4)))*(PayEarnValues))),IF(ISNUMBER(P$3),P$3/12*$AA76,IgnoreMin)))*IF(COUNTIFS(EmpNo,$C76,OFFSET(Emp!$R$4,1,MATCH(P$5,DedListItem,0)-1,EmpCount,1),"&lt;&gt;")&gt;0,VLOOKUP($C76,EmpAll,COLUMN(Emp!$R$4)+MATCH(P$5,DedListItem,0)-1,0),OFFSET(Setup!$E$73,MATCH(P$5,DedListItem,0),0,1,1)))-SUMIFS(OFFSET(P$6,1,0,PayCount,1),PayDate,"&lt;"&amp;$AC76,PayEmp,$C76))))))</f>
        <v>0</v>
      </c>
      <c r="Q76" s="133" cm="1">
        <f t="array" aca="1" ref="Q76" ca="1">IF($F76="Terminated",0,IF($AA76=0,0,IF(ISNA(MATCH(Q$5,DedListItem,0)),0,IF(COUNTIFS(OverEmp,$C76,OverDeduct,Q$5,OverDate,"&lt;"&amp;DATE(YEAR($AC76),MONTH($AC76)+1,1),OverEnd,"&gt;="&amp;DATE(YEAR($AC76),MONTH($AC76),1))&gt;0,SUMIFS(OverValue,OverEmp,$C76,OverDeduct,Q$5,OverDate,"&lt;"&amp;DATE(YEAR($AC76),MONTH($AC76)+1,1),OverEnd,"&gt;="&amp;DATE(YEAR($AC76),MONTH($AC76),1)),IF(OR(Q$2="Fixed",Q$2="Not Used"),(IF(COUNTIFS(EmpNo,$C76,OFFSET(Emp!$R$4,1,MATCH(Q$5,DedListItem,0)-1,EmpCount,1),"&lt;&gt;")&gt;0,VLOOKUP($C76,EmpAll,COLUMN(Emp!$R$4)+MATCH(Q$5,DedListItem,0)-1,0),OFFSET(Setup!$E$73,MATCH(Q$5,DedListItem,0),0,1,1))*$AA76)-SUMIFS(OFFSET(Q$6,1,0,PayCount,1),PayDate,"&lt;"&amp;$AC76,PayEmp,$C76),IF(ISNA(MATCH(Q$2,EarnListItem,0))=FALSE,IF(OFFSET(Setup!$G$73,MATCH(Q$5,DedListItem,0),0,1,1)="Taxable",SUMPRODUCT((PayEmp=$C76)*(PayDate&lt;=$AC76)*(PayEarnCode=Q$2)*(PayEarnTax)*(PayEarnValues)),SUMPRODUCT((PayEmp=$C76)*(PayDate&lt;=$AC76)*(PayEarnCode=Q$2)*(PayEarnValues)))*IF(COUNTIFS(EmpNo,$C76,OFFSET(Emp!$R$4,1,MATCH(Q$5,DedListItem,0)-1,EmpCount,1),"&lt;&gt;")&gt;0,VLOOKUP($C76,EmpAll,COLUMN(Emp!$R$4)+MATCH(Q$5,DedListItem,0)-1,0),OFFSET(Setup!$E$73,MATCH(Q$5,DedListItem,0),0,1,1)),(MIN(IF(OFFSET(Setup!$G$73,MATCH(Q$5,DedListItem,0),0,1,1)="Taxable",SUMPRODUCT((PayEmp=$C76)*(PayDate&lt;=$AC76)*(ISERROR(SEARCH(PayEarnCode,Q$4)))*(PayEarnTax)*(PayEarnValues)),SUMPRODUCT((PayEmp=$C76)*(PayDate&lt;=$AC76)*(ISERROR(SEARCH(PayEarnCode,Q$4)))*(PayEarnValues))),IF(ISNUMBER(Q$3),Q$3/12*$AA76,IgnoreMin)))*IF(COUNTIFS(EmpNo,$C76,OFFSET(Emp!$R$4,1,MATCH(Q$5,DedListItem,0)-1,EmpCount,1),"&lt;&gt;")&gt;0,VLOOKUP($C76,EmpAll,COLUMN(Emp!$R$4)+MATCH(Q$5,DedListItem,0)-1,0),OFFSET(Setup!$E$73,MATCH(Q$5,DedListItem,0),0,1,1)))-SUMIFS(OFFSET(Q$6,1,0,PayCount,1),PayDate,"&lt;"&amp;$AC76,PayEmp,$C76))))))</f>
        <v>0</v>
      </c>
      <c r="R76" s="185">
        <f t="shared" ca="1" si="37"/>
        <v>273.75</v>
      </c>
      <c r="S76" s="139">
        <f t="shared" ca="1" si="38"/>
        <v>8726.25</v>
      </c>
      <c r="T76" s="133" cm="1">
        <f t="array" aca="1" ref="T76" ca="1">IF($F76="Terminated",0,IF($AA76=0,0,IF(ISNA(MATCH(T$5,CompListItem,0)),0,IF(COUNTIFS(OverEmp,$C76,OverComp,T$5,OverDate,"&lt;"&amp;DATE(YEAR($AC76),MONTH($AC76)+1,1),OverEnd,"&gt;="&amp;DATE(YEAR($AC76),MONTH($AC76),1))&gt;0,SUMIFS(OverValue,OverEmp,$C76,OverComp,T$5,OverDate,"&lt;"&amp;DATE(YEAR($AC76),MONTH($AC76)+1,1),OverEnd,"&gt;="&amp;DATE(YEAR($AC76),MONTH($AC76),1)),IF(OR(T$2="Fixed",T$2="Not Used"),(OFFSET(Setup!$E$81,MATCH(T$5,CompListItem,0),0,1,1)*$AA76)-SUMIFS(OFFSET(T$6,1,0,PayCount,1),PayDate,"&lt;"&amp;$AC76,PayEmp,$C76),IF(ISNA(MATCH(T$2,DedListItem,0))=FALSE,(SUMPRODUCT((PayEmp=$C76)*(PayDate&lt;=$AC76)*(PayDedList=T$2)*(PayDedValues))*OFFSET(Setup!$E$81,MATCH(T$5,CompListItem,0),0,1,1))-SUMIFS(OFFSET(T$6,1,0,PayCount,1),PayDate,"&lt;"&amp;$AC76,PayEmp,$C76),(MIN(IF(OFFSET(Setup!$G$81,MATCH(T$5,CompListItem,0),0,1,1)="Taxable",SUMPRODUCT((PayEmp=$C76)*(PayDate&lt;=$AC76)*(ISERROR(SEARCH(PayEarnCode,T$4)))*(PayEarnTax)*(PayEarnValues)),SUMPRODUCT((PayEmp=$C76)*(PayDate&lt;=$AC76)*(ISERROR(SEARCH(PayEarnCode,T$4)))*(PayEarnValues))),IF(ISNUMBER(T$3),T$3/12*$AA76,IgnoreMin)))*OFFSET(Setup!$E$81,MATCH(T$5,CompListItem,0),0,1,1)-SUMIFS(OFFSET(T$6,1,0,PayCount,1),PayDate,"&lt;"&amp;$AC76,PayEmp,$C76)))))))</f>
        <v>90</v>
      </c>
      <c r="U76" s="133" cm="1">
        <f t="array" aca="1" ref="U76" ca="1">IF($F76="Terminated",0,IF($AA76=0,0,IF(ISNA(MATCH(U$5,CompListItem,0)),0,IF(COUNTIFS(OverEmp,$C76,OverComp,U$5,OverDate,"&lt;"&amp;DATE(YEAR($AC76),MONTH($AC76)+1,1),OverEnd,"&gt;="&amp;DATE(YEAR($AC76),MONTH($AC76),1))&gt;0,SUMIFS(OverValue,OverEmp,$C76,OverComp,U$5,OverDate,"&lt;"&amp;DATE(YEAR($AC76),MONTH($AC76)+1,1),OverEnd,"&gt;="&amp;DATE(YEAR($AC76),MONTH($AC76),1)),IF(OR(U$2="Fixed",U$2="Not Used"),(OFFSET(Setup!$E$81,MATCH(U$5,CompListItem,0),0,1,1)*$AA76)-SUMIFS(OFFSET(U$6,1,0,PayCount,1),PayDate,"&lt;"&amp;$AC76,PayEmp,$C76),IF(ISNA(MATCH(U$2,DedListItem,0))=FALSE,(SUMPRODUCT((PayEmp=$C76)*(PayDate&lt;=$AC76)*(PayDedList=U$2)*(PayDedValues))*OFFSET(Setup!$E$81,MATCH(U$5,CompListItem,0),0,1,1))-SUMIFS(OFFSET(U$6,1,0,PayCount,1),PayDate,"&lt;"&amp;$AC76,PayEmp,$C76),(MIN(IF(OFFSET(Setup!$G$81,MATCH(U$5,CompListItem,0),0,1,1)="Taxable",SUMPRODUCT((PayEmp=$C76)*(PayDate&lt;=$AC76)*(ISERROR(SEARCH(PayEarnCode,U$4)))*(PayEarnTax)*(PayEarnValues)),SUMPRODUCT((PayEmp=$C76)*(PayDate&lt;=$AC76)*(ISERROR(SEARCH(PayEarnCode,U$4)))*(PayEarnValues))),IF(ISNUMBER(U$3),U$3/12*$AA76,IgnoreMin)))*OFFSET(Setup!$E$81,MATCH(U$5,CompListItem,0),0,1,1)-SUMIFS(OFFSET(U$6,1,0,PayCount,1),PayDate,"&lt;"&amp;$AC76,PayEmp,$C76)))))))</f>
        <v>90</v>
      </c>
      <c r="V76" s="133" cm="1">
        <f t="array" aca="1" ref="V76" ca="1">IF($F76="Terminated",0,IF($AA76=0,0,IF(ISNA(MATCH(V$5,CompListItem,0)),0,IF(COUNTIFS(OverEmp,$C76,OverComp,V$5,OverDate,"&lt;"&amp;DATE(YEAR($AC76),MONTH($AC76)+1,1),OverEnd,"&gt;="&amp;DATE(YEAR($AC76),MONTH($AC76),1))&gt;0,SUMIFS(OverValue,OverEmp,$C76,OverComp,V$5,OverDate,"&lt;"&amp;DATE(YEAR($AC76),MONTH($AC76)+1,1),OverEnd,"&gt;="&amp;DATE(YEAR($AC76),MONTH($AC76),1)),IF(OR(V$2="Fixed",V$2="Not Used"),(OFFSET(Setup!$E$81,MATCH(V$5,CompListItem,0),0,1,1)*$AA76)-SUMIFS(OFFSET(V$6,1,0,PayCount,1),PayDate,"&lt;"&amp;$AC76,PayEmp,$C76),IF(ISNA(MATCH(V$2,DedListItem,0))=FALSE,(SUMPRODUCT((PayEmp=$C76)*(PayDate&lt;=$AC76)*(PayDedList=V$2)*(PayDedValues))*OFFSET(Setup!$E$81,MATCH(V$5,CompListItem,0),0,1,1))-SUMIFS(OFFSET(V$6,1,0,PayCount,1),PayDate,"&lt;"&amp;$AC76,PayEmp,$C76),(MIN(IF(OFFSET(Setup!$G$81,MATCH(V$5,CompListItem,0),0,1,1)="Taxable",SUMPRODUCT((PayEmp=$C76)*(PayDate&lt;=$AC76)*(ISERROR(SEARCH(PayEarnCode,V$4)))*(PayEarnTax)*(PayEarnValues)),SUMPRODUCT((PayEmp=$C76)*(PayDate&lt;=$AC76)*(ISERROR(SEARCH(PayEarnCode,V$4)))*(PayEarnValues))),IF(ISNUMBER(V$3),V$3/12*$AA76,IgnoreMin)))*OFFSET(Setup!$E$81,MATCH(V$5,CompListItem,0),0,1,1)-SUMIFS(OFFSET(V$6,1,0,PayCount,1),PayDate,"&lt;"&amp;$AC76,PayEmp,$C76)))))))</f>
        <v>0</v>
      </c>
      <c r="W76" s="133" cm="1">
        <f t="array" aca="1" ref="W76" ca="1">IF($F76="Terminated",0,IF($AA76=0,0,IF(ISNA(MATCH(W$5,CompListItem,0)),0,IF(COUNTIFS(OverEmp,$C76,OverComp,W$5,OverDate,"&lt;"&amp;DATE(YEAR($AC76),MONTH($AC76)+1,1),OverEnd,"&gt;="&amp;DATE(YEAR($AC76),MONTH($AC76),1))&gt;0,SUMIFS(OverValue,OverEmp,$C76,OverComp,W$5,OverDate,"&lt;"&amp;DATE(YEAR($AC76),MONTH($AC76)+1,1),OverEnd,"&gt;="&amp;DATE(YEAR($AC76),MONTH($AC76),1)),IF(OR(W$2="Fixed",W$2="Not Used"),(OFFSET(Setup!$E$81,MATCH(W$5,CompListItem,0),0,1,1)*$AA76)-SUMIFS(OFFSET(W$6,1,0,PayCount,1),PayDate,"&lt;"&amp;$AC76,PayEmp,$C76),IF(ISNA(MATCH(W$2,DedListItem,0))=FALSE,(SUMPRODUCT((PayEmp=$C76)*(PayDate&lt;=$AC76)*(PayDedList=W$2)*(PayDedValues))*OFFSET(Setup!$E$81,MATCH(W$5,CompListItem,0),0,1,1))-SUMIFS(OFFSET(W$6,1,0,PayCount,1),PayDate,"&lt;"&amp;$AC76,PayEmp,$C76),(MIN(IF(OFFSET(Setup!$G$81,MATCH(W$5,CompListItem,0),0,1,1)="Taxable",SUMPRODUCT((PayEmp=$C76)*(PayDate&lt;=$AC76)*(ISERROR(SEARCH(PayEarnCode,W$4)))*(PayEarnTax)*(PayEarnValues)),SUMPRODUCT((PayEmp=$C76)*(PayDate&lt;=$AC76)*(ISERROR(SEARCH(PayEarnCode,W$4)))*(PayEarnValues))),IF(ISNUMBER(W$3),W$3/12*$AA76,IgnoreMin)))*OFFSET(Setup!$E$81,MATCH(W$5,CompListItem,0),0,1,1)-SUMIFS(OFFSET(W$6,1,0,PayCount,1),PayDate,"&lt;"&amp;$AC76,PayEmp,$C76)))))))</f>
        <v>0</v>
      </c>
      <c r="X76" s="185">
        <f t="shared" ca="1" si="30"/>
        <v>180</v>
      </c>
      <c r="Y76" s="139">
        <f t="shared" ca="1" si="39"/>
        <v>9180</v>
      </c>
      <c r="Z76" s="139">
        <f t="shared" ca="1" si="31"/>
        <v>453.75</v>
      </c>
      <c r="AA76" s="146">
        <f ca="1">IF(OR($B76&lt;=Setup!$E$12,$B76&gt;=Setup!$D$12+1),0,IF($F76&lt;&gt;"Active",0,IF($AE76="Yes",$AB76,((YEAR($AC76)*12)+MONTH($AC76))-((YEAR($AD76)*12)+MONTH($AD76)-1))))</f>
        <v>5</v>
      </c>
      <c r="AB76" s="146">
        <f ca="1">IF(OR($B76&lt;=Setup!$E$12,$B76&gt;=Setup!$D$12+1),0,((YEAR($AC76)*12)+MONTH($AC76))-((YEAR(Setup!$E$12)*12)+MONTH(Setup!$E$12)))</f>
        <v>5</v>
      </c>
      <c r="AC76" s="186">
        <f t="shared" ca="1" si="32"/>
        <v>45132</v>
      </c>
      <c r="AD76" s="144">
        <f ca="1">IF(ISNA(VLOOKUP($C76,EmpAll,COLUMN(Emp!$E$4),0)),$AC76,IF(VLOOKUP($C76,EmpAll,COLUMN(Emp!$E$4),0)&lt;=Setup!$E$12,DATE(YEAR(Setup!$E$12),MONTH(Setup!$E$12)+1,1),VLOOKUP($C76,EmpAll,COLUMN(Emp!$E$4),0)))</f>
        <v>44986</v>
      </c>
      <c r="AE76" s="144" t="str">
        <f ca="1">IF(ISNA(VLOOKUP($C76,EmpAll,COLUMN(Emp!$G$1),0)),"-",IF(VLOOKUP($C76,EmpAll,COLUMN(Emp!$G$1),0)=0,"-",VLOOKUP($C76,EmpAll,COLUMN(Emp!$G$1),0)))</f>
        <v>-</v>
      </c>
      <c r="AF76" s="145">
        <f ca="1">IF(A76=PaySlip!$G$3,1,0)</f>
        <v>0</v>
      </c>
      <c r="AG76" s="130" cm="1">
        <f t="array" aca="1" ref="AG76" ca="1">IF(COUNTIFS(OverEmp,$C76,OverMed,"MED",OverDate,"&lt;"&amp;DATE(YEAR($AC76),MONTH($AC76)+1,1),OverEnd,"&gt;="&amp;DATE(YEAR($AC76),MONTH($AC76),1))&gt;0,SUMIFS(OverValue,OverEmp,$C76,OverMed,"MED",OverDate,"&lt;"&amp;DATE(YEAR($AC76),MONTH($AC76)+1,1),OverEnd,"&gt;="&amp;DATE(YEAR($AC76),MONTH($AC76),1)),IF(ISNA(VLOOKUP($C76,EmpAll,COLUMN(Emp!$N$4),0)),0,VLOOKUP($C76,EmpAll,COLUMN(Emp!$N$4),0)))</f>
        <v>0</v>
      </c>
      <c r="AH76" s="146">
        <f ca="1">VLOOKUP($AG76,MedList,COLUMN(Setup!$C$49),1)</f>
        <v>0</v>
      </c>
      <c r="AI76" s="146">
        <f t="shared" ca="1" si="40"/>
        <v>0</v>
      </c>
      <c r="AJ76" s="101" t="str">
        <f ca="1">IF(ISNA(VLOOKUP($C76,EmpAll,COLUMN(Emp!$L$4),0)),"None!",VLOOKUP($C76,EmpAll,COLUMN(Emp!$L$4),0))</f>
        <v>A</v>
      </c>
      <c r="AK76" s="147">
        <f t="shared" ca="1" si="33"/>
        <v>17235</v>
      </c>
      <c r="AL76" s="101" t="str">
        <f ca="1">IF(ISNA(VLOOKUP($C76,Employees[],COLUMN(Emp!$M$4),0))=TRUE,"Error!",IF(VLOOKUP($C76,Employees[],COLUMN(Emp!$M$4),0)=0,"Yes",VLOOKUP($C76,Employees[],COLUMN(Emp!$M$4),0)))</f>
        <v>A</v>
      </c>
      <c r="AM76" s="148">
        <f t="shared" ca="1" si="41"/>
        <v>108000</v>
      </c>
      <c r="AN76" s="148" cm="1">
        <f t="array" aca="1" ref="AN76" ca="1">-IF($F76="Terminated",0,IF($AA76=0,0,IF(ISNA(MATCH(AN$5,PayDedList,0)),0,MIN(IF(COUNTIFS(OverEmp,$C76,OverDeduct,AN$5,OverDate,"&lt;"&amp;DATE(YEAR($AC76),MONTH($AC76)+1,1),OverEnd,"&gt;="&amp;DATE(YEAR($AC76),MONTH($AC76),1))&gt;0,SUMPRODUCT((PayEmp=$C76)*(PayDate&lt;=$AC76)*(OFFSET($N$6,1,MATCH(AN$5,PayDedList,0)-1,PayCount,1)))/$AA76*12*AN$3,IF(OR(AN$1="Fixed",AN$1="Not Used"),SUMPRODUCT((PayEmp=$C76)*(PayDate&lt;=$AC76)*(OFFSET($N$6,1,MATCH(AN$5,PayDedList,0)-1,PayCount,1)))/$AA76*12*AN$3,IF(ISNA(MATCH(AN$1,EarnListItem,0))=FALSE,SUMPRODUCT((PayEmp=$C76)*(PayDate&lt;=$AC76)*(OFFSET($N$6,1,MATCH(AN$5,PayDedList,0)-1,PayCount,1)))/$AA76*12*AN$3,(MIN(((SUMPRODUCT((PayEmp=$C76)*(PayDate&lt;=$AC76)*(ISERROR(SEARCH(PayEarnCode,AN$2)))*(PayEarnType="Monthly")*(PayEarnValues))/$AA76*12)+(SUMPRODUCT((PayEmp=$C76)*(PayDate&lt;=$AC76)*(ISERROR(SEARCH(PayEarnCode,AN$2)))*(PayEarnType="Quarterly")*(PayEarnValues))/MAX(1,ROUNDDOWN($AB76/3,0))*4)+(SUMPRODUCT((PayEmp=$C76)*(PayDate&lt;=$AC76)*(ISERROR(SEARCH(PayEarnCode,AN$2)))*(PayEarnType="Bi-Annual")*(PayEarnValues))/MAX(1,ROUNDDOWN($AB76/6,0))*2)+(SUMPRODUCT((PayEmp=$C76)*(PayDate&lt;=$AC76)*(ISERROR(SEARCH(PayEarnCode,AN$2)))*(PayEarnType="Annual")*(PayEarnValues)))),IF(ISNUMBER(OFFSET($N$3,0,MATCH(AN$5,PayDedList,0)-1,1,1)),OFFSET($N$3,0,MATCH(AN$5,PayDedList,0)-1,1,1),IgnoreMin)))*IF(COUNTIFS(EmpNo,$C76,OFFSET(Emp!$R$4,1,MATCH(AN$5,DedListItem,0)-1,EmpCount,1),"&lt;&gt;")&gt;0,VLOOKUP($C76,EmpAll,COLUMN(Emp!$R$4)+MATCH(AN$5,DedListItem,0)-1,0),OFFSET(Setup!$E$73,MATCH(AN$5,DedListItem,0),0,1,1))*AN$3))),IF(ISNUMBER(AN$4),AN$4,IgnoreMin)))))</f>
        <v>0</v>
      </c>
      <c r="AO76" s="148" cm="1">
        <f t="array" aca="1" ref="AO76" ca="1">-IF($F76="Terminated",0,IF($AA76=0,0,IF(ISNA(MATCH(AO$5,PayDedList,0)),0,MIN(IF(COUNTIFS(OverEmp,$C76,OverDeduct,AO$5,OverDate,"&lt;"&amp;DATE(YEAR($AC76),MONTH($AC76)+1,1),OverEnd,"&gt;="&amp;DATE(YEAR($AC76),MONTH($AC76),1))&gt;0,SUMPRODUCT((PayEmp=$C76)*(PayDate&lt;=$AC76)*(OFFSET($N$6,1,MATCH(AO$5,PayDedList,0)-1,PayCount,1)))/$AA76*12*AO$3,IF(OR(AO$1="Fixed",AO$1="Not Used"),SUMPRODUCT((PayEmp=$C76)*(PayDate&lt;=$AC76)*(OFFSET($N$6,1,MATCH(AO$5,PayDedList,0)-1,PayCount,1)))/$AA76*12*AO$3,IF(ISNA(MATCH(AO$1,EarnListItem,0))=FALSE,SUMPRODUCT((PayEmp=$C76)*(PayDate&lt;=$AC76)*(OFFSET($N$6,1,MATCH(AO$5,PayDedList,0)-1,PayCount,1)))/$AA76*12*AO$3,(MIN(((SUMPRODUCT((PayEmp=$C76)*(PayDate&lt;=$AC76)*(ISERROR(SEARCH(PayEarnCode,AO$2)))*(PayEarnType="Monthly")*(PayEarnValues))/$AA76*12)+(SUMPRODUCT((PayEmp=$C76)*(PayDate&lt;=$AC76)*(ISERROR(SEARCH(PayEarnCode,AO$2)))*(PayEarnType="Quarterly")*(PayEarnValues))/MAX(1,ROUNDDOWN($AB76/3,0))*4)+(SUMPRODUCT((PayEmp=$C76)*(PayDate&lt;=$AC76)*(ISERROR(SEARCH(PayEarnCode,AO$2)))*(PayEarnType="Bi-Annual")*(PayEarnValues))/MAX(1,ROUNDDOWN($AB76/6,0))*2)+(SUMPRODUCT((PayEmp=$C76)*(PayDate&lt;=$AC76)*(ISERROR(SEARCH(PayEarnCode,AO$2)))*(PayEarnType="Annual")*(PayEarnValues)))),IF(ISNUMBER(OFFSET($N$3,0,MATCH(AO$5,PayDedList,0)-1,1,1)),OFFSET($N$3,0,MATCH(AO$5,PayDedList,0)-1,1,1),IgnoreMin)))*IF(COUNTIFS(EmpNo,$C76,OFFSET(Emp!$R$4,1,MATCH(AO$5,DedListItem,0)-1,EmpCount,1),"&lt;&gt;")&gt;0,VLOOKUP($C76,EmpAll,COLUMN(Emp!$R$4)+MATCH(AO$5,DedListItem,0)-1,0),OFFSET(Setup!$E$73,MATCH(AO$5,DedListItem,0),0,1,1))*AO$3))),IF(ISNUMBER(AO$4),AO$4,IgnoreMin)))))</f>
        <v>0</v>
      </c>
      <c r="AP76" s="148" cm="1">
        <f t="array" aca="1" ref="AP76" ca="1">-IF($F76="Terminated",0,IF($AA76=0,0,IF(ISNA(MATCH(AP$5,PayDedList,0)),0,MIN(IF(COUNTIFS(OverEmp,$C76,OverDeduct,AP$5,OverDate,"&lt;"&amp;DATE(YEAR($AC76),MONTH($AC76)+1,1),OverEnd,"&gt;="&amp;DATE(YEAR($AC76),MONTH($AC76),1))&gt;0,SUMPRODUCT((PayEmp=$C76)*(PayDate&lt;=$AC76)*(OFFSET($N$6,1,MATCH(AP$5,PayDedList,0)-1,PayCount,1)))/$AA76*12*AP$3,IF(OR(AP$1="Fixed",AP$1="Not Used"),SUMPRODUCT((PayEmp=$C76)*(PayDate&lt;=$AC76)*(OFFSET($N$6,1,MATCH(AP$5,PayDedList,0)-1,PayCount,1)))/$AA76*12*AP$3,IF(ISNA(MATCH(AP$1,EarnListItem,0))=FALSE,SUMPRODUCT((PayEmp=$C76)*(PayDate&lt;=$AC76)*(OFFSET($N$6,1,MATCH(AP$5,PayDedList,0)-1,PayCount,1)))/$AA76*12*AP$3,(MIN(((SUMPRODUCT((PayEmp=$C76)*(PayDate&lt;=$AC76)*(ISERROR(SEARCH(PayEarnCode,AP$2)))*(PayEarnType="Monthly")*(PayEarnValues))/$AA76*12)+(SUMPRODUCT((PayEmp=$C76)*(PayDate&lt;=$AC76)*(ISERROR(SEARCH(PayEarnCode,AP$2)))*(PayEarnType="Quarterly")*(PayEarnValues))/MAX(1,ROUNDDOWN($AB76/3,0))*4)+(SUMPRODUCT((PayEmp=$C76)*(PayDate&lt;=$AC76)*(ISERROR(SEARCH(PayEarnCode,AP$2)))*(PayEarnType="Bi-Annual")*(PayEarnValues))/MAX(1,ROUNDDOWN($AB76/6,0))*2)+(SUMPRODUCT((PayEmp=$C76)*(PayDate&lt;=$AC76)*(ISERROR(SEARCH(PayEarnCode,AP$2)))*(PayEarnType="Annual")*(PayEarnValues)))),IF(ISNUMBER(OFFSET($N$3,0,MATCH(AP$5,PayDedList,0)-1,1,1)),OFFSET($N$3,0,MATCH(AP$5,PayDedList,0)-1,1,1),IgnoreMin)))*IF(COUNTIFS(EmpNo,$C76,OFFSET(Emp!$R$4,1,MATCH(AP$5,DedListItem,0)-1,EmpCount,1),"&lt;&gt;")&gt;0,VLOOKUP($C76,EmpAll,COLUMN(Emp!$R$4)+MATCH(AP$5,DedListItem,0)-1,0),OFFSET(Setup!$E$73,MATCH(AP$5,DedListItem,0),0,1,1))*AP$3))),IF(ISNUMBER(AP$4),AP$4,IgnoreMin)))))</f>
        <v>0</v>
      </c>
      <c r="AQ76" s="148" cm="1">
        <f t="array" aca="1" ref="AQ76" ca="1">-IF($F76="Terminated",0,IF($AA76=0,0,IF(ISNA(MATCH(AQ$5,PayDedList,0)),0,MIN(IF(COUNTIFS(OverEmp,$C76,OverDeduct,AQ$5,OverDate,"&lt;"&amp;DATE(YEAR($AC76),MONTH($AC76)+1,1),OverEnd,"&gt;="&amp;DATE(YEAR($AC76),MONTH($AC76),1))&gt;0,SUMPRODUCT((PayEmp=$C76)*(PayDate&lt;=$AC76)*(OFFSET($N$6,1,MATCH(AQ$5,PayDedList,0)-1,PayCount,1)))/$AA76*12*AQ$3,IF(OR(AQ$1="Fixed",AQ$1="Not Used"),SUMPRODUCT((PayEmp=$C76)*(PayDate&lt;=$AC76)*(OFFSET($N$6,1,MATCH(AQ$5,PayDedList,0)-1,PayCount,1)))/$AA76*12*AQ$3,IF(ISNA(MATCH(AQ$1,EarnListItem,0))=FALSE,SUMPRODUCT((PayEmp=$C76)*(PayDate&lt;=$AC76)*(OFFSET($N$6,1,MATCH(AQ$5,PayDedList,0)-1,PayCount,1)))/$AA76*12*AQ$3,(MIN(((SUMPRODUCT((PayEmp=$C76)*(PayDate&lt;=$AC76)*(ISERROR(SEARCH(PayEarnCode,AQ$2)))*(PayEarnType="Monthly")*(PayEarnValues))/$AA76*12)+(SUMPRODUCT((PayEmp=$C76)*(PayDate&lt;=$AC76)*(ISERROR(SEARCH(PayEarnCode,AQ$2)))*(PayEarnType="Quarterly")*(PayEarnValues))/MAX(1,ROUNDDOWN($AB76/3,0))*4)+(SUMPRODUCT((PayEmp=$C76)*(PayDate&lt;=$AC76)*(ISERROR(SEARCH(PayEarnCode,AQ$2)))*(PayEarnType="Bi-Annual")*(PayEarnValues))/MAX(1,ROUNDDOWN($AB76/6,0))*2)+(SUMPRODUCT((PayEmp=$C76)*(PayDate&lt;=$AC76)*(ISERROR(SEARCH(PayEarnCode,AQ$2)))*(PayEarnType="Annual")*(PayEarnValues)))),IF(ISNUMBER(OFFSET($N$3,0,MATCH(AQ$5,PayDedList,0)-1,1,1)),OFFSET($N$3,0,MATCH(AQ$5,PayDedList,0)-1,1,1),IgnoreMin)))*IF(COUNTIFS(EmpNo,$C76,OFFSET(Emp!$R$4,1,MATCH(AQ$5,DedListItem,0)-1,EmpCount,1),"&lt;&gt;")&gt;0,VLOOKUP($C76,EmpAll,COLUMN(Emp!$R$4)+MATCH(AQ$5,DedListItem,0)-1,0),OFFSET(Setup!$E$73,MATCH(AQ$5,DedListItem,0),0,1,1))*AQ$3))),IF(ISNUMBER(AQ$4),AQ$4,IgnoreMin)))))</f>
        <v>0</v>
      </c>
      <c r="AR76" s="148">
        <f t="shared" ca="1" si="34"/>
        <v>108000</v>
      </c>
      <c r="AS76" s="148">
        <f t="shared" ca="1" si="42"/>
        <v>108000</v>
      </c>
      <c r="AT76" s="148" cm="1">
        <f t="array" aca="1" ref="AT76" ca="1">-IF($F76="Terminated",0,IF($AA76=0,0,IF(ISNA(MATCH(AT$5,PayDedList,0)),0,MIN(IF(COUNTIFS(OverEmp,$C76,OverDeduct,AT$5,OverDate,"&lt;"&amp;DATE(YEAR($AC76),MONTH($AC76)+1,1),OverEnd,"&gt;="&amp;DATE(YEAR($AC76),MONTH($AC76),1))&gt;0,SUMPRODUCT((PayEmp=$C76)*(PayDate&lt;=$AC76)*(OFFSET($N$6,1,MATCH(AT$5,PayDedList,0)-1,PayCount,1)))/$AA76*12*AT$3,IF(OR(AT$1="Fixed",AT$1="Not Used"),SUMPRODUCT((PayEmp=$C76)*(PayDate&lt;=$AC76)*(OFFSET($N$6,1,MATCH(AT$5,PayDedList,0)-1,PayCount,1)))/$AA76*12*AT$3,IF(ISNA(MATCH(OFFSET($N$2,0,MATCH(AT$5,PayDedList,0)-1,1,1),EarnListItem,0))=FALSE,SUMPRODUCT((PayEmp=$C76)*(PayDate&lt;=$AC76)*(OFFSET($N$6,1,MATCH(AT$5,PayDedList,0)-1,PayCount,1)))/$AA76*12*AT$3,(MIN(SUMPRODUCT((PayEmp=$C76)*(PayDate&lt;=$AC76)*(ISERROR(SEARCH(PayEarnCode,AT$2)))*(PayEarnType="Monthly")*(PayEarnValues))/$AA76*12,IF(ISNUMBER(OFFSET($N$3,0,MATCH(AT$5,PayDedList,0)-1,1,1)),OFFSET($N$3,0,MATCH(AT$5,PayDedList,0)-1,1,1),IgnoreMin)))*IF(COUNTIFS(EmpNo,$C76,OFFSET(Emp!$R$4,1,MATCH(AT$5,DedListItem,0)-1,EmpCount,1),"&lt;&gt;")&gt;0,VLOOKUP($C76,EmpAll,COLUMN(Emp!$R$4)+MATCH(AT$5,DedListItem,0)-1,0),OFFSET(Setup!$E$73,MATCH(AT$5,DedListItem,0),0,1,1))*AT$3))),IF(ISNUMBER(AT$4),AT$4,IgnoreMin)))))</f>
        <v>0</v>
      </c>
      <c r="AU76" s="148" cm="1">
        <f t="array" aca="1" ref="AU76" ca="1">-IF($F76="Terminated",0,IF($AA76=0,0,IF(ISNA(MATCH(AU$5,PayDedList,0)),0,MIN(IF(COUNTIFS(OverEmp,$C76,OverDeduct,AU$5,OverDate,"&lt;"&amp;DATE(YEAR($AC76),MONTH($AC76)+1,1),OverEnd,"&gt;="&amp;DATE(YEAR($AC76),MONTH($AC76),1))&gt;0,SUMPRODUCT((PayEmp=$C76)*(PayDate&lt;=$AC76)*(OFFSET($N$6,1,MATCH(AU$5,PayDedList,0)-1,PayCount,1)))/$AA76*12*AU$3,IF(OR(AU$1="Fixed",AU$1="Not Used"),SUMPRODUCT((PayEmp=$C76)*(PayDate&lt;=$AC76)*(OFFSET($N$6,1,MATCH(AU$5,PayDedList,0)-1,PayCount,1)))/$AA76*12*AU$3,IF(ISNA(MATCH(OFFSET($N$2,0,MATCH(AU$5,PayDedList,0)-1,1,1),EarnListItem,0))=FALSE,SUMPRODUCT((PayEmp=$C76)*(PayDate&lt;=$AC76)*(OFFSET($N$6,1,MATCH(AU$5,PayDedList,0)-1,PayCount,1)))/$AA76*12*AU$3,(MIN(SUMPRODUCT((PayEmp=$C76)*(PayDate&lt;=$AC76)*(ISERROR(SEARCH(PayEarnCode,AU$2)))*(PayEarnType="Monthly")*(PayEarnValues))/$AA76*12,IF(ISNUMBER(OFFSET($N$3,0,MATCH(AU$5,PayDedList,0)-1,1,1)),OFFSET($N$3,0,MATCH(AU$5,PayDedList,0)-1,1,1),IgnoreMin)))*IF(COUNTIFS(EmpNo,$C76,OFFSET(Emp!$R$4,1,MATCH(AU$5,DedListItem,0)-1,EmpCount,1),"&lt;&gt;")&gt;0,VLOOKUP($C76,EmpAll,COLUMN(Emp!$R$4)+MATCH(AU$5,DedListItem,0)-1,0),OFFSET(Setup!$E$73,MATCH(AU$5,DedListItem,0),0,1,1))*AU$3))),IF(ISNUMBER(AU$4),AU$4,IgnoreMin)))))</f>
        <v>0</v>
      </c>
      <c r="AV76" s="148" cm="1">
        <f t="array" aca="1" ref="AV76" ca="1">-IF($F76="Terminated",0,IF($AA76=0,0,IF(ISNA(MATCH(AV$5,PayDedList,0)),0,MIN(IF(COUNTIFS(OverEmp,$C76,OverDeduct,AV$5,OverDate,"&lt;"&amp;DATE(YEAR($AC76),MONTH($AC76)+1,1),OverEnd,"&gt;="&amp;DATE(YEAR($AC76),MONTH($AC76),1))&gt;0,SUMPRODUCT((PayEmp=$C76)*(PayDate&lt;=$AC76)*(OFFSET($N$6,1,MATCH(AV$5,PayDedList,0)-1,PayCount,1)))/$AA76*12*AV$3,IF(OR(AV$1="Fixed",AV$1="Not Used"),SUMPRODUCT((PayEmp=$C76)*(PayDate&lt;=$AC76)*(OFFSET($N$6,1,MATCH(AV$5,PayDedList,0)-1,PayCount,1)))/$AA76*12*AV$3,IF(ISNA(MATCH(OFFSET($N$2,0,MATCH(AV$5,PayDedList,0)-1,1,1),EarnListItem,0))=FALSE,SUMPRODUCT((PayEmp=$C76)*(PayDate&lt;=$AC76)*(OFFSET($N$6,1,MATCH(AV$5,PayDedList,0)-1,PayCount,1)))/$AA76*12*AV$3,(MIN(SUMPRODUCT((PayEmp=$C76)*(PayDate&lt;=$AC76)*(ISERROR(SEARCH(PayEarnCode,AV$2)))*(PayEarnType="Monthly")*(PayEarnValues))/$AA76*12,IF(ISNUMBER(OFFSET($N$3,0,MATCH(AV$5,PayDedList,0)-1,1,1)),OFFSET($N$3,0,MATCH(AV$5,PayDedList,0)-1,1,1),IgnoreMin)))*IF(COUNTIFS(EmpNo,$C76,OFFSET(Emp!$R$4,1,MATCH(AV$5,DedListItem,0)-1,EmpCount,1),"&lt;&gt;")&gt;0,VLOOKUP($C76,EmpAll,COLUMN(Emp!$R$4)+MATCH(AV$5,DedListItem,0)-1,0),OFFSET(Setup!$E$73,MATCH(AV$5,DedListItem,0),0,1,1))*AV$3))),IF(ISNUMBER(AV$4),AV$4,IgnoreMin)))))</f>
        <v>0</v>
      </c>
      <c r="AW76" s="148" cm="1">
        <f t="array" aca="1" ref="AW76" ca="1">-IF($F76="Terminated",0,IF($AA76=0,0,IF(ISNA(MATCH(AW$5,PayDedList,0)),0,MIN(IF(COUNTIFS(OverEmp,$C76,OverDeduct,AW$5,OverDate,"&lt;"&amp;DATE(YEAR($AC76),MONTH($AC76)+1,1),OverEnd,"&gt;="&amp;DATE(YEAR($AC76),MONTH($AC76),1))&gt;0,SUMPRODUCT((PayEmp=$C76)*(PayDate&lt;=$AC76)*(OFFSET($N$6,1,MATCH(AW$5,PayDedList,0)-1,PayCount,1)))/$AA76*12*AW$3,IF(OR(AW$1="Fixed",AW$1="Not Used"),SUMPRODUCT((PayEmp=$C76)*(PayDate&lt;=$AC76)*(OFFSET($N$6,1,MATCH(AW$5,PayDedList,0)-1,PayCount,1)))/$AA76*12*AW$3,IF(ISNA(MATCH(OFFSET($N$2,0,MATCH(AW$5,PayDedList,0)-1,1,1),EarnListItem,0))=FALSE,SUMPRODUCT((PayEmp=$C76)*(PayDate&lt;=$AC76)*(OFFSET($N$6,1,MATCH(AW$5,PayDedList,0)-1,PayCount,1)))/$AA76*12*AW$3,(MIN(SUMPRODUCT((PayEmp=$C76)*(PayDate&lt;=$AC76)*(ISERROR(SEARCH(PayEarnCode,AW$2)))*(PayEarnType="Monthly")*(PayEarnValues))/$AA76*12,IF(ISNUMBER(OFFSET($N$3,0,MATCH(AW$5,PayDedList,0)-1,1,1)),OFFSET($N$3,0,MATCH(AW$5,PayDedList,0)-1,1,1),IgnoreMin)))*IF(COUNTIFS(EmpNo,$C76,OFFSET(Emp!$R$4,1,MATCH(AW$5,DedListItem,0)-1,EmpCount,1),"&lt;&gt;")&gt;0,VLOOKUP($C76,EmpAll,COLUMN(Emp!$R$4)+MATCH(AW$5,DedListItem,0)-1,0),OFFSET(Setup!$E$73,MATCH(AW$5,DedListItem,0),0,1,1))*AW$3))),IF(ISNUMBER(AW$4),AW$4,IgnoreMin)))))</f>
        <v>0</v>
      </c>
      <c r="AX76" s="148">
        <f t="shared" ca="1" si="43"/>
        <v>108000</v>
      </c>
      <c r="AY76" s="148">
        <f t="shared" ca="1" si="44"/>
        <v>0</v>
      </c>
      <c r="AZ76" s="148">
        <f ca="1">IF(ISNUMBER($AL76),($AR76*$AL76)-$AI76-$AK76,MAX(0,IF($AL76="B",IF($AR76&lt;Setup!$C$32,($AR76*Setup!$D$32)-$AI76-$AK76,(($AR76-VLOOKUP($AR76,TaxAll2,1,1))*OFFSET(Setup!$D$32,MATCH($AR76,TaxBracket2,1),0,1,1))+OFFSET(Setup!$E$31,MATCH($AR76,TaxBracket2,1),0,1,1)-$AI76-$AK76),IF($AR76&lt;Setup!$C$21,($AR76*Setup!$D$21)-$AI76-$AK76,(($AR76-VLOOKUP($AR76,TaxAll1,1,1))*OFFSET(Setup!$D$21,MATCH($AR76,TaxBracket1,1),0,1,1))+OFFSET(Setup!$E$20,MATCH($AR76,TaxBracket1,1),0,1,1)-$AI76-$AK76))))</f>
        <v>2205</v>
      </c>
      <c r="BA76" s="148">
        <f ca="1">IF(ISNUMBER($AL76),($AX76*$AL76)-$AI76-$AK76,MAX(0,IF($AL76="B",IF($AX76&lt;Setup!$C$32,($AX76*Setup!$D$32)-$AI76-$AK76,(($AX76-VLOOKUP($AX76,TaxAll2,1,1))*OFFSET(Setup!$D$32,MATCH($AX76,TaxBracket2,1),0,1,1))+OFFSET(Setup!$E$31,MATCH($AX76,TaxBracket2,1),0,1,1)-$AI76-$AK76),IF($AX76&lt;Setup!$C$21,($AX76*Setup!$D$21)-$AI76-$AK76,(($AX76-VLOOKUP($AX76,TaxAll1,1,1))*OFFSET(Setup!$D$21,MATCH($AX76,TaxBracket1,1),0,1,1))+OFFSET(Setup!$E$20,MATCH($AX76,TaxBracket1,1),0,1,1)-$AI76-$AK76))))</f>
        <v>2205</v>
      </c>
      <c r="BB76" s="148">
        <f t="shared" ca="1" si="35"/>
        <v>0</v>
      </c>
      <c r="BC76" s="150">
        <f t="shared" ca="1" si="45"/>
        <v>1</v>
      </c>
      <c r="BD76" s="150">
        <f t="shared" ca="1" si="46"/>
        <v>0</v>
      </c>
      <c r="BE76" s="148">
        <f t="shared" ca="1" si="47"/>
        <v>108000</v>
      </c>
    </row>
    <row r="77" spans="1:57" ht="16.149999999999999" customHeight="1" x14ac:dyDescent="0.25">
      <c r="A77" s="10" t="str" cm="1">
        <f t="array" aca="1" ref="A77" ca="1">IF(ROW($A77)-ROW($A$6)&gt;EmpCount*12,"-",TEXT($B77,"yyyy")&amp;TEXT($B77,"mm")&amp;"-"&amp;$C77)</f>
        <v>202307-EXS011</v>
      </c>
      <c r="B77" s="137" cm="1">
        <f t="array" aca="1" ref="B77" ca="1">IF(ROW($A77)-ROW($A$6)&gt;EmpCount*12,Setup!$D$12,DATE(YEAR(Setup!$F$12),MONTH(Setup!$F$12)+ROUNDDOWN((ROW($A77)-ROW($A$6)-1)/EmpCount,0),IF(Setup!$C$14&gt;DAY(DATE(YEAR(Setup!$F$12),MONTH(Setup!$F$12)+ROUNDDOWN((ROW($A77)-ROW($A$6)-1)/EmpCount,0)+1,0)),DAY(DATE(YEAR(Setup!$F$12),MONTH(Setup!$F$12)+ROUNDDOWN((ROW($A77)-ROW($A$6)-1)/EmpCount,0)+1,0)),Setup!$C$14)))</f>
        <v>45132</v>
      </c>
      <c r="C77" s="101" t="str" cm="1">
        <f t="array" aca="1" ref="C77" ca="1">IF(ROW($A77)-ROW($A$6)&gt;EmpCount*12,"-",OFFSET(Emp!$A$4,ROW($A77)-ROW($A$6)-IF(ROW($A77)-ROW($A$6)&gt;EmpCount,ROUNDDOWN((ROW($A77)-ROW($A$6)-1)/EmpCount,0)*EmpCount,0),0,1,1))</f>
        <v>EXS011</v>
      </c>
      <c r="D77" s="10" t="str">
        <f ca="1">IF(ISNA(VLOOKUP($C77,EmpAll,COLUMN(Emp!$B$4),0)),"-",VLOOKUP($C77,EmpAll,COLUMN(Emp!$B$4),0))</f>
        <v>Newport GD</v>
      </c>
      <c r="E77" s="145" t="str">
        <f ca="1">IF(ISNA(VLOOKUP($C77,EmpAll,COLUMN(Emp!$C$4),0)),"-",VLOOKUP($C77,EmpAll,COLUMN(Emp!$C$4),0))</f>
        <v>A</v>
      </c>
      <c r="F77" s="101" t="str">
        <f ca="1">IF(ISNA(VLOOKUP($C77,EmpAll,COLUMN(Emp!$A$4),0)),"-",IF(AND(VLOOKUP($C77,EmpAll,COLUMN(Emp!$E$4),0)&lt;&gt;0,VLOOKUP($C77,EmpAll,COLUMN(Emp!$E$4),0)&gt;=DATE(YEAR($AC77),MONTH($AC77)+1,0)),"Inactive",IF(AND(VLOOKUP($C77,EmpAll,COLUMN(Emp!$F$4),0)&lt;&gt;0,VLOOKUP($C77,EmpAll,COLUMN(Emp!$F$4),0)&lt;=DATE(YEAR($AC77),MONTH($AC77),0)),"Terminated","Active")))</f>
        <v>Active</v>
      </c>
      <c r="G77" s="133" cm="1">
        <f t="array" aca="1" ref="G77" ca="1">IF($F77&lt;&gt;"Active",0,IF(COUNTIFS(OverEmp,$C77,OverEarn,G$2,OverDate,"&lt;"&amp;DATE(YEAR($AC77),MONTH($AC77)+1,1),OverEnd,"&gt;="&amp;DATE(YEAR($AC77),MONTH($AC77),1))&gt;0,SUMIFS(OverValue,OverEmp,$C77,OverEarn,G$2,OverDate,"&lt;"&amp;DATE(YEAR($AC77),MONTH($AC77)+1,1),OverEnd,"&gt;="&amp;DATE(YEAR($AC77),MONTH($AC77),1)),IF(AND($AC77&gt;=Setup!$E$10,SUMIFS(EmpIncrease,EmpCode,$C77)&gt;0),SUMIFS(EmpIncrease,EmpCode,$C77),SUMIFS(EmpSalary,EmpCode,$C77))))</f>
        <v>5000</v>
      </c>
      <c r="H77" s="133" cm="1">
        <f t="array" aca="1" ref="H77" ca="1">IF($F77&lt;&gt;"Active",0,IF(COUNTIFS(OverEmp,$C77,OverEarn,H$2,OverDate,"&lt;"&amp;DATE(YEAR($AC77),MONTH($AC77)+1,1),OverEnd,"&gt;="&amp;DATE(YEAR($AC77),MONTH($AC77),1))&gt;0,SUMIFS(OverValue,OverEmp,$C77,OverEarn,H$2,OverDate,"&lt;"&amp;DATE(YEAR($AC77),MONTH($AC77)+1,1),OverEnd,"&gt;="&amp;DATE(YEAR($AC77),MONTH($AC77),1)),0))</f>
        <v>0</v>
      </c>
      <c r="I77" s="133" cm="1">
        <f t="array" aca="1" ref="I77" ca="1">IF($F77&lt;&gt;"Active",0,IF(COUNTIFS(OverEmp,$C77,OverEarn,I$2,OverDate,"&lt;"&amp;DATE(YEAR($AC77),MONTH($AC77)+1,1),OverEnd,"&gt;="&amp;DATE(YEAR($AC77),MONTH($AC77),1))&gt;0,SUMIFS(OverValue,OverEmp,$C77,OverEarn,I$2,OverDate,"&lt;"&amp;DATE(YEAR($AC77),MONTH($AC77)+1,1),OverEnd,"&gt;="&amp;DATE(YEAR($AC77),MONTH($AC77),1)),IF(MONTH(B77)=Setup!$C$15,SUMIFS(EmpBonus,EmpCode,$C77),0)))</f>
        <v>0</v>
      </c>
      <c r="J77" s="133" cm="1">
        <f t="array" aca="1" ref="J77" ca="1">IF($F77&lt;&gt;"Active",0,IF(COUNTIFS(OverEmp,$C77,OverEarn,J$2,OverDate,"&lt;"&amp;DATE(YEAR($AC77),MONTH($AC77)+1,1),OverEnd,"&gt;="&amp;DATE(YEAR($AC77),MONTH($AC77),1))&gt;0,SUMIFS(OverValue,OverEmp,$C77,OverEarn,J$2,OverDate,"&lt;"&amp;DATE(YEAR($AC77),MONTH($AC77)+1,1),OverEnd,"&gt;="&amp;DATE(YEAR($AC77),MONTH($AC77),1)),0))</f>
        <v>0</v>
      </c>
      <c r="K77" s="133" cm="1">
        <f t="array" aca="1" ref="K77" ca="1">IF($F77&lt;&gt;"Active",0,IF(COUNTIFS(OverEmp,$C77,OverEarn,K$2,OverDate,"&lt;"&amp;DATE(YEAR($AC77),MONTH($AC77)+1,1),OverEnd,"&gt;="&amp;DATE(YEAR($AC77),MONTH($AC77),1))&gt;0,SUMIFS(OverValue,OverEmp,$C77,OverEarn,K$2,OverDate,"&lt;"&amp;DATE(YEAR($AC77),MONTH($AC77)+1,1),OverEnd,"&gt;="&amp;DATE(YEAR($AC77),MONTH($AC77),1)),0))</f>
        <v>0</v>
      </c>
      <c r="L77" s="185">
        <f t="shared" ca="1" si="36"/>
        <v>5000</v>
      </c>
      <c r="M77" s="182" cm="1">
        <f t="array" aca="1" ref="M77" ca="1">IF(COUNTIFS(OverEmp,$C77,OverTax,M$5,OverDate,"&lt;"&amp;DATE(YEAR($AC77),MONTH($AC77)+1,1),OverEnd,"&gt;="&amp;DATE(YEAR($AC77),MONTH($AC77),1))&gt;0,SUMIFS(OverValue,OverEmp,$C77,OverTax,M$5,OverDate,"&lt;"&amp;DATE(YEAR($AC77),MONTH($AC77)+1,1),OverEnd,"&gt;="&amp;DATE(YEAR($AC77),MONTH($AC77),1)),(($BA77/12*$AA77)+(BB77*IF(1-$BC77=0,0,BD77/(1-$BC77))))-IF($F77="Terminated",0,SUMIFS(PayTaxDeduct,PayDate,"&lt;"&amp;$AC77,PayEmp,$C77)))</f>
        <v>0</v>
      </c>
      <c r="N77" s="133" cm="1">
        <f t="array" aca="1" ref="N77" ca="1">IF($F77="Terminated",0,IF($AA77=0,0,IF(ISNA(MATCH(N$5,DedListItem,0)),0,IF(COUNTIFS(OverEmp,$C77,OverDeduct,N$5,OverDate,"&lt;"&amp;DATE(YEAR($AC77),MONTH($AC77)+1,1),OverEnd,"&gt;="&amp;DATE(YEAR($AC77),MONTH($AC77),1))&gt;0,SUMIFS(OverValue,OverEmp,$C77,OverDeduct,N$5,OverDate,"&lt;"&amp;DATE(YEAR($AC77),MONTH($AC77)+1,1),OverEnd,"&gt;="&amp;DATE(YEAR($AC77),MONTH($AC77),1)),IF(OR(N$2="Fixed",N$2="Not Used"),(IF(COUNTIFS(EmpNo,$C77,OFFSET(Emp!$R$4,1,MATCH(N$5,DedListItem,0)-1,EmpCount,1),"&lt;&gt;")&gt;0,VLOOKUP($C77,EmpAll,COLUMN(Emp!$R$4)+MATCH(N$5,DedListItem,0)-1,0),OFFSET(Setup!$E$73,MATCH(N$5,DedListItem,0),0,1,1))*$AA77)-SUMIFS(OFFSET(N$6,1,0,PayCount,1),PayDate,"&lt;"&amp;$AC77,PayEmp,$C77),IF(ISNA(MATCH(N$2,EarnListItem,0))=FALSE,IF(OFFSET(Setup!$G$73,MATCH(N$5,DedListItem,0),0,1,1)="Taxable",SUMPRODUCT((PayEmp=$C77)*(PayDate&lt;=$AC77)*(PayEarnCode=N$2)*(PayEarnTax)*(PayEarnValues)),SUMPRODUCT((PayEmp=$C77)*(PayDate&lt;=$AC77)*(PayEarnCode=N$2)*(PayEarnValues)))*IF(COUNTIFS(EmpNo,$C77,OFFSET(Emp!$R$4,1,MATCH(N$5,DedListItem,0)-1,EmpCount,1),"&lt;&gt;")&gt;0,VLOOKUP($C77,EmpAll,COLUMN(Emp!$R$4)+MATCH(N$5,DedListItem,0)-1,0),OFFSET(Setup!$E$73,MATCH(N$5,DedListItem,0),0,1,1)),(MIN(IF(OFFSET(Setup!$G$73,MATCH(N$5,DedListItem,0),0,1,1)="Taxable",SUMPRODUCT((PayEmp=$C77)*(PayDate&lt;=$AC77)*(ISERROR(SEARCH(PayEarnCode,N$4)))*(PayEarnTax)*(PayEarnValues)),SUMPRODUCT((PayEmp=$C77)*(PayDate&lt;=$AC77)*(ISERROR(SEARCH(PayEarnCode,N$4)))*(PayEarnValues))),IF(ISNUMBER(N$3),N$3/12*$AA77,IgnoreMin)))*IF(COUNTIFS(EmpNo,$C77,OFFSET(Emp!$R$4,1,MATCH(N$5,DedListItem,0)-1,EmpCount,1),"&lt;&gt;")&gt;0,VLOOKUP($C77,EmpAll,COLUMN(Emp!$R$4)+MATCH(N$5,DedListItem,0)-1,0),OFFSET(Setup!$E$73,MATCH(N$5,DedListItem,0),0,1,1)))-SUMIFS(OFFSET(N$6,1,0,PayCount,1),PayDate,"&lt;"&amp;$AC77,PayEmp,$C77))))))</f>
        <v>50</v>
      </c>
      <c r="O77" s="133" cm="1">
        <f t="array" aca="1" ref="O77" ca="1">IF($F77="Terminated",0,IF($AA77=0,0,IF(ISNA(MATCH(O$5,DedListItem,0)),0,IF(COUNTIFS(OverEmp,$C77,OverDeduct,O$5,OverDate,"&lt;"&amp;DATE(YEAR($AC77),MONTH($AC77)+1,1),OverEnd,"&gt;="&amp;DATE(YEAR($AC77),MONTH($AC77),1))&gt;0,SUMIFS(OverValue,OverEmp,$C77,OverDeduct,O$5,OverDate,"&lt;"&amp;DATE(YEAR($AC77),MONTH($AC77)+1,1),OverEnd,"&gt;="&amp;DATE(YEAR($AC77),MONTH($AC77),1)),IF(OR(O$2="Fixed",O$2="Not Used"),(IF(COUNTIFS(EmpNo,$C77,OFFSET(Emp!$R$4,1,MATCH(O$5,DedListItem,0)-1,EmpCount,1),"&lt;&gt;")&gt;0,VLOOKUP($C77,EmpAll,COLUMN(Emp!$R$4)+MATCH(O$5,DedListItem,0)-1,0),OFFSET(Setup!$E$73,MATCH(O$5,DedListItem,0),0,1,1))*$AA77)-SUMIFS(OFFSET(O$6,1,0,PayCount,1),PayDate,"&lt;"&amp;$AC77,PayEmp,$C77),IF(ISNA(MATCH(O$2,EarnListItem,0))=FALSE,IF(OFFSET(Setup!$G$73,MATCH(O$5,DedListItem,0),0,1,1)="Taxable",SUMPRODUCT((PayEmp=$C77)*(PayDate&lt;=$AC77)*(PayEarnCode=O$2)*(PayEarnTax)*(PayEarnValues)),SUMPRODUCT((PayEmp=$C77)*(PayDate&lt;=$AC77)*(PayEarnCode=O$2)*(PayEarnValues)))*IF(COUNTIFS(EmpNo,$C77,OFFSET(Emp!$R$4,1,MATCH(O$5,DedListItem,0)-1,EmpCount,1),"&lt;&gt;")&gt;0,VLOOKUP($C77,EmpAll,COLUMN(Emp!$R$4)+MATCH(O$5,DedListItem,0)-1,0),OFFSET(Setup!$E$73,MATCH(O$5,DedListItem,0),0,1,1)),(MIN(IF(OFFSET(Setup!$G$73,MATCH(O$5,DedListItem,0),0,1,1)="Taxable",SUMPRODUCT((PayEmp=$C77)*(PayDate&lt;=$AC77)*(ISERROR(SEARCH(PayEarnCode,O$4)))*(PayEarnTax)*(PayEarnValues)),SUMPRODUCT((PayEmp=$C77)*(PayDate&lt;=$AC77)*(ISERROR(SEARCH(PayEarnCode,O$4)))*(PayEarnValues))),IF(ISNUMBER(O$3),O$3/12*$AA77,IgnoreMin)))*IF(COUNTIFS(EmpNo,$C77,OFFSET(Emp!$R$4,1,MATCH(O$5,DedListItem,0)-1,EmpCount,1),"&lt;&gt;")&gt;0,VLOOKUP($C77,EmpAll,COLUMN(Emp!$R$4)+MATCH(O$5,DedListItem,0)-1,0),OFFSET(Setup!$E$73,MATCH(O$5,DedListItem,0),0,1,1)))-SUMIFS(OFFSET(O$6,1,0,PayCount,1),PayDate,"&lt;"&amp;$AC77,PayEmp,$C77))))))</f>
        <v>0</v>
      </c>
      <c r="P77" s="133" cm="1">
        <f t="array" aca="1" ref="P77" ca="1">IF($F77="Terminated",0,IF($AA77=0,0,IF(ISNA(MATCH(P$5,DedListItem,0)),0,IF(COUNTIFS(OverEmp,$C77,OverDeduct,P$5,OverDate,"&lt;"&amp;DATE(YEAR($AC77),MONTH($AC77)+1,1),OverEnd,"&gt;="&amp;DATE(YEAR($AC77),MONTH($AC77),1))&gt;0,SUMIFS(OverValue,OverEmp,$C77,OverDeduct,P$5,OverDate,"&lt;"&amp;DATE(YEAR($AC77),MONTH($AC77)+1,1),OverEnd,"&gt;="&amp;DATE(YEAR($AC77),MONTH($AC77),1)),IF(OR(P$2="Fixed",P$2="Not Used"),(IF(COUNTIFS(EmpNo,$C77,OFFSET(Emp!$R$4,1,MATCH(P$5,DedListItem,0)-1,EmpCount,1),"&lt;&gt;")&gt;0,VLOOKUP($C77,EmpAll,COLUMN(Emp!$R$4)+MATCH(P$5,DedListItem,0)-1,0),OFFSET(Setup!$E$73,MATCH(P$5,DedListItem,0),0,1,1))*$AA77)-SUMIFS(OFFSET(P$6,1,0,PayCount,1),PayDate,"&lt;"&amp;$AC77,PayEmp,$C77),IF(ISNA(MATCH(P$2,EarnListItem,0))=FALSE,IF(OFFSET(Setup!$G$73,MATCH(P$5,DedListItem,0),0,1,1)="Taxable",SUMPRODUCT((PayEmp=$C77)*(PayDate&lt;=$AC77)*(PayEarnCode=P$2)*(PayEarnTax)*(PayEarnValues)),SUMPRODUCT((PayEmp=$C77)*(PayDate&lt;=$AC77)*(PayEarnCode=P$2)*(PayEarnValues)))*IF(COUNTIFS(EmpNo,$C77,OFFSET(Emp!$R$4,1,MATCH(P$5,DedListItem,0)-1,EmpCount,1),"&lt;&gt;")&gt;0,VLOOKUP($C77,EmpAll,COLUMN(Emp!$R$4)+MATCH(P$5,DedListItem,0)-1,0),OFFSET(Setup!$E$73,MATCH(P$5,DedListItem,0),0,1,1)),(MIN(IF(OFFSET(Setup!$G$73,MATCH(P$5,DedListItem,0),0,1,1)="Taxable",SUMPRODUCT((PayEmp=$C77)*(PayDate&lt;=$AC77)*(ISERROR(SEARCH(PayEarnCode,P$4)))*(PayEarnTax)*(PayEarnValues)),SUMPRODUCT((PayEmp=$C77)*(PayDate&lt;=$AC77)*(ISERROR(SEARCH(PayEarnCode,P$4)))*(PayEarnValues))),IF(ISNUMBER(P$3),P$3/12*$AA77,IgnoreMin)))*IF(COUNTIFS(EmpNo,$C77,OFFSET(Emp!$R$4,1,MATCH(P$5,DedListItem,0)-1,EmpCount,1),"&lt;&gt;")&gt;0,VLOOKUP($C77,EmpAll,COLUMN(Emp!$R$4)+MATCH(P$5,DedListItem,0)-1,0),OFFSET(Setup!$E$73,MATCH(P$5,DedListItem,0),0,1,1)))-SUMIFS(OFFSET(P$6,1,0,PayCount,1),PayDate,"&lt;"&amp;$AC77,PayEmp,$C77))))))</f>
        <v>0</v>
      </c>
      <c r="Q77" s="133" cm="1">
        <f t="array" aca="1" ref="Q77" ca="1">IF($F77="Terminated",0,IF($AA77=0,0,IF(ISNA(MATCH(Q$5,DedListItem,0)),0,IF(COUNTIFS(OverEmp,$C77,OverDeduct,Q$5,OverDate,"&lt;"&amp;DATE(YEAR($AC77),MONTH($AC77)+1,1),OverEnd,"&gt;="&amp;DATE(YEAR($AC77),MONTH($AC77),1))&gt;0,SUMIFS(OverValue,OverEmp,$C77,OverDeduct,Q$5,OverDate,"&lt;"&amp;DATE(YEAR($AC77),MONTH($AC77)+1,1),OverEnd,"&gt;="&amp;DATE(YEAR($AC77),MONTH($AC77),1)),IF(OR(Q$2="Fixed",Q$2="Not Used"),(IF(COUNTIFS(EmpNo,$C77,OFFSET(Emp!$R$4,1,MATCH(Q$5,DedListItem,0)-1,EmpCount,1),"&lt;&gt;")&gt;0,VLOOKUP($C77,EmpAll,COLUMN(Emp!$R$4)+MATCH(Q$5,DedListItem,0)-1,0),OFFSET(Setup!$E$73,MATCH(Q$5,DedListItem,0),0,1,1))*$AA77)-SUMIFS(OFFSET(Q$6,1,0,PayCount,1),PayDate,"&lt;"&amp;$AC77,PayEmp,$C77),IF(ISNA(MATCH(Q$2,EarnListItem,0))=FALSE,IF(OFFSET(Setup!$G$73,MATCH(Q$5,DedListItem,0),0,1,1)="Taxable",SUMPRODUCT((PayEmp=$C77)*(PayDate&lt;=$AC77)*(PayEarnCode=Q$2)*(PayEarnTax)*(PayEarnValues)),SUMPRODUCT((PayEmp=$C77)*(PayDate&lt;=$AC77)*(PayEarnCode=Q$2)*(PayEarnValues)))*IF(COUNTIFS(EmpNo,$C77,OFFSET(Emp!$R$4,1,MATCH(Q$5,DedListItem,0)-1,EmpCount,1),"&lt;&gt;")&gt;0,VLOOKUP($C77,EmpAll,COLUMN(Emp!$R$4)+MATCH(Q$5,DedListItem,0)-1,0),OFFSET(Setup!$E$73,MATCH(Q$5,DedListItem,0),0,1,1)),(MIN(IF(OFFSET(Setup!$G$73,MATCH(Q$5,DedListItem,0),0,1,1)="Taxable",SUMPRODUCT((PayEmp=$C77)*(PayDate&lt;=$AC77)*(ISERROR(SEARCH(PayEarnCode,Q$4)))*(PayEarnTax)*(PayEarnValues)),SUMPRODUCT((PayEmp=$C77)*(PayDate&lt;=$AC77)*(ISERROR(SEARCH(PayEarnCode,Q$4)))*(PayEarnValues))),IF(ISNUMBER(Q$3),Q$3/12*$AA77,IgnoreMin)))*IF(COUNTIFS(EmpNo,$C77,OFFSET(Emp!$R$4,1,MATCH(Q$5,DedListItem,0)-1,EmpCount,1),"&lt;&gt;")&gt;0,VLOOKUP($C77,EmpAll,COLUMN(Emp!$R$4)+MATCH(Q$5,DedListItem,0)-1,0),OFFSET(Setup!$E$73,MATCH(Q$5,DedListItem,0),0,1,1)))-SUMIFS(OFFSET(Q$6,1,0,PayCount,1),PayDate,"&lt;"&amp;$AC77,PayEmp,$C77))))))</f>
        <v>0</v>
      </c>
      <c r="R77" s="185">
        <f t="shared" ca="1" si="37"/>
        <v>50</v>
      </c>
      <c r="S77" s="139">
        <f t="shared" ca="1" si="38"/>
        <v>4950</v>
      </c>
      <c r="T77" s="133" cm="1">
        <f t="array" aca="1" ref="T77" ca="1">IF($F77="Terminated",0,IF($AA77=0,0,IF(ISNA(MATCH(T$5,CompListItem,0)),0,IF(COUNTIFS(OverEmp,$C77,OverComp,T$5,OverDate,"&lt;"&amp;DATE(YEAR($AC77),MONTH($AC77)+1,1),OverEnd,"&gt;="&amp;DATE(YEAR($AC77),MONTH($AC77),1))&gt;0,SUMIFS(OverValue,OverEmp,$C77,OverComp,T$5,OverDate,"&lt;"&amp;DATE(YEAR($AC77),MONTH($AC77)+1,1),OverEnd,"&gt;="&amp;DATE(YEAR($AC77),MONTH($AC77),1)),IF(OR(T$2="Fixed",T$2="Not Used"),(OFFSET(Setup!$E$81,MATCH(T$5,CompListItem,0),0,1,1)*$AA77)-SUMIFS(OFFSET(T$6,1,0,PayCount,1),PayDate,"&lt;"&amp;$AC77,PayEmp,$C77),IF(ISNA(MATCH(T$2,DedListItem,0))=FALSE,(SUMPRODUCT((PayEmp=$C77)*(PayDate&lt;=$AC77)*(PayDedList=T$2)*(PayDedValues))*OFFSET(Setup!$E$81,MATCH(T$5,CompListItem,0),0,1,1))-SUMIFS(OFFSET(T$6,1,0,PayCount,1),PayDate,"&lt;"&amp;$AC77,PayEmp,$C77),(MIN(IF(OFFSET(Setup!$G$81,MATCH(T$5,CompListItem,0),0,1,1)="Taxable",SUMPRODUCT((PayEmp=$C77)*(PayDate&lt;=$AC77)*(ISERROR(SEARCH(PayEarnCode,T$4)))*(PayEarnTax)*(PayEarnValues)),SUMPRODUCT((PayEmp=$C77)*(PayDate&lt;=$AC77)*(ISERROR(SEARCH(PayEarnCode,T$4)))*(PayEarnValues))),IF(ISNUMBER(T$3),T$3/12*$AA77,IgnoreMin)))*OFFSET(Setup!$E$81,MATCH(T$5,CompListItem,0),0,1,1)-SUMIFS(OFFSET(T$6,1,0,PayCount,1),PayDate,"&lt;"&amp;$AC77,PayEmp,$C77)))))))</f>
        <v>50</v>
      </c>
      <c r="U77" s="133" cm="1">
        <f t="array" aca="1" ref="U77" ca="1">IF($F77="Terminated",0,IF($AA77=0,0,IF(ISNA(MATCH(U$5,CompListItem,0)),0,IF(COUNTIFS(OverEmp,$C77,OverComp,U$5,OverDate,"&lt;"&amp;DATE(YEAR($AC77),MONTH($AC77)+1,1),OverEnd,"&gt;="&amp;DATE(YEAR($AC77),MONTH($AC77),1))&gt;0,SUMIFS(OverValue,OverEmp,$C77,OverComp,U$5,OverDate,"&lt;"&amp;DATE(YEAR($AC77),MONTH($AC77)+1,1),OverEnd,"&gt;="&amp;DATE(YEAR($AC77),MONTH($AC77),1)),IF(OR(U$2="Fixed",U$2="Not Used"),(OFFSET(Setup!$E$81,MATCH(U$5,CompListItem,0),0,1,1)*$AA77)-SUMIFS(OFFSET(U$6,1,0,PayCount,1),PayDate,"&lt;"&amp;$AC77,PayEmp,$C77),IF(ISNA(MATCH(U$2,DedListItem,0))=FALSE,(SUMPRODUCT((PayEmp=$C77)*(PayDate&lt;=$AC77)*(PayDedList=U$2)*(PayDedValues))*OFFSET(Setup!$E$81,MATCH(U$5,CompListItem,0),0,1,1))-SUMIFS(OFFSET(U$6,1,0,PayCount,1),PayDate,"&lt;"&amp;$AC77,PayEmp,$C77),(MIN(IF(OFFSET(Setup!$G$81,MATCH(U$5,CompListItem,0),0,1,1)="Taxable",SUMPRODUCT((PayEmp=$C77)*(PayDate&lt;=$AC77)*(ISERROR(SEARCH(PayEarnCode,U$4)))*(PayEarnTax)*(PayEarnValues)),SUMPRODUCT((PayEmp=$C77)*(PayDate&lt;=$AC77)*(ISERROR(SEARCH(PayEarnCode,U$4)))*(PayEarnValues))),IF(ISNUMBER(U$3),U$3/12*$AA77,IgnoreMin)))*OFFSET(Setup!$E$81,MATCH(U$5,CompListItem,0),0,1,1)-SUMIFS(OFFSET(U$6,1,0,PayCount,1),PayDate,"&lt;"&amp;$AC77,PayEmp,$C77)))))))</f>
        <v>50</v>
      </c>
      <c r="V77" s="133" cm="1">
        <f t="array" aca="1" ref="V77" ca="1">IF($F77="Terminated",0,IF($AA77=0,0,IF(ISNA(MATCH(V$5,CompListItem,0)),0,IF(COUNTIFS(OverEmp,$C77,OverComp,V$5,OverDate,"&lt;"&amp;DATE(YEAR($AC77),MONTH($AC77)+1,1),OverEnd,"&gt;="&amp;DATE(YEAR($AC77),MONTH($AC77),1))&gt;0,SUMIFS(OverValue,OverEmp,$C77,OverComp,V$5,OverDate,"&lt;"&amp;DATE(YEAR($AC77),MONTH($AC77)+1,1),OverEnd,"&gt;="&amp;DATE(YEAR($AC77),MONTH($AC77),1)),IF(OR(V$2="Fixed",V$2="Not Used"),(OFFSET(Setup!$E$81,MATCH(V$5,CompListItem,0),0,1,1)*$AA77)-SUMIFS(OFFSET(V$6,1,0,PayCount,1),PayDate,"&lt;"&amp;$AC77,PayEmp,$C77),IF(ISNA(MATCH(V$2,DedListItem,0))=FALSE,(SUMPRODUCT((PayEmp=$C77)*(PayDate&lt;=$AC77)*(PayDedList=V$2)*(PayDedValues))*OFFSET(Setup!$E$81,MATCH(V$5,CompListItem,0),0,1,1))-SUMIFS(OFFSET(V$6,1,0,PayCount,1),PayDate,"&lt;"&amp;$AC77,PayEmp,$C77),(MIN(IF(OFFSET(Setup!$G$81,MATCH(V$5,CompListItem,0),0,1,1)="Taxable",SUMPRODUCT((PayEmp=$C77)*(PayDate&lt;=$AC77)*(ISERROR(SEARCH(PayEarnCode,V$4)))*(PayEarnTax)*(PayEarnValues)),SUMPRODUCT((PayEmp=$C77)*(PayDate&lt;=$AC77)*(ISERROR(SEARCH(PayEarnCode,V$4)))*(PayEarnValues))),IF(ISNUMBER(V$3),V$3/12*$AA77,IgnoreMin)))*OFFSET(Setup!$E$81,MATCH(V$5,CompListItem,0),0,1,1)-SUMIFS(OFFSET(V$6,1,0,PayCount,1),PayDate,"&lt;"&amp;$AC77,PayEmp,$C77)))))))</f>
        <v>0</v>
      </c>
      <c r="W77" s="133" cm="1">
        <f t="array" aca="1" ref="W77" ca="1">IF($F77="Terminated",0,IF($AA77=0,0,IF(ISNA(MATCH(W$5,CompListItem,0)),0,IF(COUNTIFS(OverEmp,$C77,OverComp,W$5,OverDate,"&lt;"&amp;DATE(YEAR($AC77),MONTH($AC77)+1,1),OverEnd,"&gt;="&amp;DATE(YEAR($AC77),MONTH($AC77),1))&gt;0,SUMIFS(OverValue,OverEmp,$C77,OverComp,W$5,OverDate,"&lt;"&amp;DATE(YEAR($AC77),MONTH($AC77)+1,1),OverEnd,"&gt;="&amp;DATE(YEAR($AC77),MONTH($AC77),1)),IF(OR(W$2="Fixed",W$2="Not Used"),(OFFSET(Setup!$E$81,MATCH(W$5,CompListItem,0),0,1,1)*$AA77)-SUMIFS(OFFSET(W$6,1,0,PayCount,1),PayDate,"&lt;"&amp;$AC77,PayEmp,$C77),IF(ISNA(MATCH(W$2,DedListItem,0))=FALSE,(SUMPRODUCT((PayEmp=$C77)*(PayDate&lt;=$AC77)*(PayDedList=W$2)*(PayDedValues))*OFFSET(Setup!$E$81,MATCH(W$5,CompListItem,0),0,1,1))-SUMIFS(OFFSET(W$6,1,0,PayCount,1),PayDate,"&lt;"&amp;$AC77,PayEmp,$C77),(MIN(IF(OFFSET(Setup!$G$81,MATCH(W$5,CompListItem,0),0,1,1)="Taxable",SUMPRODUCT((PayEmp=$C77)*(PayDate&lt;=$AC77)*(ISERROR(SEARCH(PayEarnCode,W$4)))*(PayEarnTax)*(PayEarnValues)),SUMPRODUCT((PayEmp=$C77)*(PayDate&lt;=$AC77)*(ISERROR(SEARCH(PayEarnCode,W$4)))*(PayEarnValues))),IF(ISNUMBER(W$3),W$3/12*$AA77,IgnoreMin)))*OFFSET(Setup!$E$81,MATCH(W$5,CompListItem,0),0,1,1)-SUMIFS(OFFSET(W$6,1,0,PayCount,1),PayDate,"&lt;"&amp;$AC77,PayEmp,$C77)))))))</f>
        <v>0</v>
      </c>
      <c r="X77" s="185">
        <f t="shared" ca="1" si="30"/>
        <v>100</v>
      </c>
      <c r="Y77" s="139">
        <f t="shared" ca="1" si="39"/>
        <v>5100</v>
      </c>
      <c r="Z77" s="139">
        <f t="shared" ca="1" si="31"/>
        <v>150</v>
      </c>
      <c r="AA77" s="146">
        <f ca="1">IF(OR($B77&lt;=Setup!$E$12,$B77&gt;=Setup!$D$12+1),0,IF($F77&lt;&gt;"Active",0,IF($AE77="Yes",$AB77,((YEAR($AC77)*12)+MONTH($AC77))-((YEAR($AD77)*12)+MONTH($AD77)-1))))</f>
        <v>5</v>
      </c>
      <c r="AB77" s="146">
        <f ca="1">IF(OR($B77&lt;=Setup!$E$12,$B77&gt;=Setup!$D$12+1),0,((YEAR($AC77)*12)+MONTH($AC77))-((YEAR(Setup!$E$12)*12)+MONTH(Setup!$E$12)))</f>
        <v>5</v>
      </c>
      <c r="AC77" s="186">
        <f t="shared" ca="1" si="32"/>
        <v>45132</v>
      </c>
      <c r="AD77" s="144">
        <f ca="1">IF(ISNA(VLOOKUP($C77,EmpAll,COLUMN(Emp!$E$4),0)),$AC77,IF(VLOOKUP($C77,EmpAll,COLUMN(Emp!$E$4),0)&lt;=Setup!$E$12,DATE(YEAR(Setup!$E$12),MONTH(Setup!$E$12)+1,1),VLOOKUP($C77,EmpAll,COLUMN(Emp!$E$4),0)))</f>
        <v>44986</v>
      </c>
      <c r="AE77" s="144" t="str">
        <f ca="1">IF(ISNA(VLOOKUP($C77,EmpAll,COLUMN(Emp!$G$1),0)),"-",IF(VLOOKUP($C77,EmpAll,COLUMN(Emp!$G$1),0)=0,"-",VLOOKUP($C77,EmpAll,COLUMN(Emp!$G$1),0)))</f>
        <v>-</v>
      </c>
      <c r="AF77" s="145">
        <f ca="1">IF(A77=PaySlip!$G$3,1,0)</f>
        <v>0</v>
      </c>
      <c r="AG77" s="130" cm="1">
        <f t="array" aca="1" ref="AG77" ca="1">IF(COUNTIFS(OverEmp,$C77,OverMed,"MED",OverDate,"&lt;"&amp;DATE(YEAR($AC77),MONTH($AC77)+1,1),OverEnd,"&gt;="&amp;DATE(YEAR($AC77),MONTH($AC77),1))&gt;0,SUMIFS(OverValue,OverEmp,$C77,OverMed,"MED",OverDate,"&lt;"&amp;DATE(YEAR($AC77),MONTH($AC77)+1,1),OverEnd,"&gt;="&amp;DATE(YEAR($AC77),MONTH($AC77),1)),IF(ISNA(VLOOKUP($C77,EmpAll,COLUMN(Emp!$N$4),0)),0,VLOOKUP($C77,EmpAll,COLUMN(Emp!$N$4),0)))</f>
        <v>0</v>
      </c>
      <c r="AH77" s="146">
        <f ca="1">VLOOKUP($AG77,MedList,COLUMN(Setup!$C$49),1)</f>
        <v>0</v>
      </c>
      <c r="AI77" s="146">
        <f t="shared" ca="1" si="40"/>
        <v>0</v>
      </c>
      <c r="AJ77" s="101" t="str">
        <f ca="1">IF(ISNA(VLOOKUP($C77,EmpAll,COLUMN(Emp!$L$4),0)),"None!",VLOOKUP($C77,EmpAll,COLUMN(Emp!$L$4),0))</f>
        <v>A</v>
      </c>
      <c r="AK77" s="147">
        <f t="shared" ca="1" si="33"/>
        <v>17235</v>
      </c>
      <c r="AL77" s="101" t="str">
        <f ca="1">IF(ISNA(VLOOKUP($C77,Employees[],COLUMN(Emp!$M$4),0))=TRUE,"Error!",IF(VLOOKUP($C77,Employees[],COLUMN(Emp!$M$4),0)=0,"Yes",VLOOKUP($C77,Employees[],COLUMN(Emp!$M$4),0)))</f>
        <v>A</v>
      </c>
      <c r="AM77" s="148">
        <f t="shared" ca="1" si="41"/>
        <v>60000</v>
      </c>
      <c r="AN77" s="148" cm="1">
        <f t="array" aca="1" ref="AN77" ca="1">-IF($F77="Terminated",0,IF($AA77=0,0,IF(ISNA(MATCH(AN$5,PayDedList,0)),0,MIN(IF(COUNTIFS(OverEmp,$C77,OverDeduct,AN$5,OverDate,"&lt;"&amp;DATE(YEAR($AC77),MONTH($AC77)+1,1),OverEnd,"&gt;="&amp;DATE(YEAR($AC77),MONTH($AC77),1))&gt;0,SUMPRODUCT((PayEmp=$C77)*(PayDate&lt;=$AC77)*(OFFSET($N$6,1,MATCH(AN$5,PayDedList,0)-1,PayCount,1)))/$AA77*12*AN$3,IF(OR(AN$1="Fixed",AN$1="Not Used"),SUMPRODUCT((PayEmp=$C77)*(PayDate&lt;=$AC77)*(OFFSET($N$6,1,MATCH(AN$5,PayDedList,0)-1,PayCount,1)))/$AA77*12*AN$3,IF(ISNA(MATCH(AN$1,EarnListItem,0))=FALSE,SUMPRODUCT((PayEmp=$C77)*(PayDate&lt;=$AC77)*(OFFSET($N$6,1,MATCH(AN$5,PayDedList,0)-1,PayCount,1)))/$AA77*12*AN$3,(MIN(((SUMPRODUCT((PayEmp=$C77)*(PayDate&lt;=$AC77)*(ISERROR(SEARCH(PayEarnCode,AN$2)))*(PayEarnType="Monthly")*(PayEarnValues))/$AA77*12)+(SUMPRODUCT((PayEmp=$C77)*(PayDate&lt;=$AC77)*(ISERROR(SEARCH(PayEarnCode,AN$2)))*(PayEarnType="Quarterly")*(PayEarnValues))/MAX(1,ROUNDDOWN($AB77/3,0))*4)+(SUMPRODUCT((PayEmp=$C77)*(PayDate&lt;=$AC77)*(ISERROR(SEARCH(PayEarnCode,AN$2)))*(PayEarnType="Bi-Annual")*(PayEarnValues))/MAX(1,ROUNDDOWN($AB77/6,0))*2)+(SUMPRODUCT((PayEmp=$C77)*(PayDate&lt;=$AC77)*(ISERROR(SEARCH(PayEarnCode,AN$2)))*(PayEarnType="Annual")*(PayEarnValues)))),IF(ISNUMBER(OFFSET($N$3,0,MATCH(AN$5,PayDedList,0)-1,1,1)),OFFSET($N$3,0,MATCH(AN$5,PayDedList,0)-1,1,1),IgnoreMin)))*IF(COUNTIFS(EmpNo,$C77,OFFSET(Emp!$R$4,1,MATCH(AN$5,DedListItem,0)-1,EmpCount,1),"&lt;&gt;")&gt;0,VLOOKUP($C77,EmpAll,COLUMN(Emp!$R$4)+MATCH(AN$5,DedListItem,0)-1,0),OFFSET(Setup!$E$73,MATCH(AN$5,DedListItem,0),0,1,1))*AN$3))),IF(ISNUMBER(AN$4),AN$4,IgnoreMin)))))</f>
        <v>0</v>
      </c>
      <c r="AO77" s="148" cm="1">
        <f t="array" aca="1" ref="AO77" ca="1">-IF($F77="Terminated",0,IF($AA77=0,0,IF(ISNA(MATCH(AO$5,PayDedList,0)),0,MIN(IF(COUNTIFS(OverEmp,$C77,OverDeduct,AO$5,OverDate,"&lt;"&amp;DATE(YEAR($AC77),MONTH($AC77)+1,1),OverEnd,"&gt;="&amp;DATE(YEAR($AC77),MONTH($AC77),1))&gt;0,SUMPRODUCT((PayEmp=$C77)*(PayDate&lt;=$AC77)*(OFFSET($N$6,1,MATCH(AO$5,PayDedList,0)-1,PayCount,1)))/$AA77*12*AO$3,IF(OR(AO$1="Fixed",AO$1="Not Used"),SUMPRODUCT((PayEmp=$C77)*(PayDate&lt;=$AC77)*(OFFSET($N$6,1,MATCH(AO$5,PayDedList,0)-1,PayCount,1)))/$AA77*12*AO$3,IF(ISNA(MATCH(AO$1,EarnListItem,0))=FALSE,SUMPRODUCT((PayEmp=$C77)*(PayDate&lt;=$AC77)*(OFFSET($N$6,1,MATCH(AO$5,PayDedList,0)-1,PayCount,1)))/$AA77*12*AO$3,(MIN(((SUMPRODUCT((PayEmp=$C77)*(PayDate&lt;=$AC77)*(ISERROR(SEARCH(PayEarnCode,AO$2)))*(PayEarnType="Monthly")*(PayEarnValues))/$AA77*12)+(SUMPRODUCT((PayEmp=$C77)*(PayDate&lt;=$AC77)*(ISERROR(SEARCH(PayEarnCode,AO$2)))*(PayEarnType="Quarterly")*(PayEarnValues))/MAX(1,ROUNDDOWN($AB77/3,0))*4)+(SUMPRODUCT((PayEmp=$C77)*(PayDate&lt;=$AC77)*(ISERROR(SEARCH(PayEarnCode,AO$2)))*(PayEarnType="Bi-Annual")*(PayEarnValues))/MAX(1,ROUNDDOWN($AB77/6,0))*2)+(SUMPRODUCT((PayEmp=$C77)*(PayDate&lt;=$AC77)*(ISERROR(SEARCH(PayEarnCode,AO$2)))*(PayEarnType="Annual")*(PayEarnValues)))),IF(ISNUMBER(OFFSET($N$3,0,MATCH(AO$5,PayDedList,0)-1,1,1)),OFFSET($N$3,0,MATCH(AO$5,PayDedList,0)-1,1,1),IgnoreMin)))*IF(COUNTIFS(EmpNo,$C77,OFFSET(Emp!$R$4,1,MATCH(AO$5,DedListItem,0)-1,EmpCount,1),"&lt;&gt;")&gt;0,VLOOKUP($C77,EmpAll,COLUMN(Emp!$R$4)+MATCH(AO$5,DedListItem,0)-1,0),OFFSET(Setup!$E$73,MATCH(AO$5,DedListItem,0),0,1,1))*AO$3))),IF(ISNUMBER(AO$4),AO$4,IgnoreMin)))))</f>
        <v>0</v>
      </c>
      <c r="AP77" s="148" cm="1">
        <f t="array" aca="1" ref="AP77" ca="1">-IF($F77="Terminated",0,IF($AA77=0,0,IF(ISNA(MATCH(AP$5,PayDedList,0)),0,MIN(IF(COUNTIFS(OverEmp,$C77,OverDeduct,AP$5,OverDate,"&lt;"&amp;DATE(YEAR($AC77),MONTH($AC77)+1,1),OverEnd,"&gt;="&amp;DATE(YEAR($AC77),MONTH($AC77),1))&gt;0,SUMPRODUCT((PayEmp=$C77)*(PayDate&lt;=$AC77)*(OFFSET($N$6,1,MATCH(AP$5,PayDedList,0)-1,PayCount,1)))/$AA77*12*AP$3,IF(OR(AP$1="Fixed",AP$1="Not Used"),SUMPRODUCT((PayEmp=$C77)*(PayDate&lt;=$AC77)*(OFFSET($N$6,1,MATCH(AP$5,PayDedList,0)-1,PayCount,1)))/$AA77*12*AP$3,IF(ISNA(MATCH(AP$1,EarnListItem,0))=FALSE,SUMPRODUCT((PayEmp=$C77)*(PayDate&lt;=$AC77)*(OFFSET($N$6,1,MATCH(AP$5,PayDedList,0)-1,PayCount,1)))/$AA77*12*AP$3,(MIN(((SUMPRODUCT((PayEmp=$C77)*(PayDate&lt;=$AC77)*(ISERROR(SEARCH(PayEarnCode,AP$2)))*(PayEarnType="Monthly")*(PayEarnValues))/$AA77*12)+(SUMPRODUCT((PayEmp=$C77)*(PayDate&lt;=$AC77)*(ISERROR(SEARCH(PayEarnCode,AP$2)))*(PayEarnType="Quarterly")*(PayEarnValues))/MAX(1,ROUNDDOWN($AB77/3,0))*4)+(SUMPRODUCT((PayEmp=$C77)*(PayDate&lt;=$AC77)*(ISERROR(SEARCH(PayEarnCode,AP$2)))*(PayEarnType="Bi-Annual")*(PayEarnValues))/MAX(1,ROUNDDOWN($AB77/6,0))*2)+(SUMPRODUCT((PayEmp=$C77)*(PayDate&lt;=$AC77)*(ISERROR(SEARCH(PayEarnCode,AP$2)))*(PayEarnType="Annual")*(PayEarnValues)))),IF(ISNUMBER(OFFSET($N$3,0,MATCH(AP$5,PayDedList,0)-1,1,1)),OFFSET($N$3,0,MATCH(AP$5,PayDedList,0)-1,1,1),IgnoreMin)))*IF(COUNTIFS(EmpNo,$C77,OFFSET(Emp!$R$4,1,MATCH(AP$5,DedListItem,0)-1,EmpCount,1),"&lt;&gt;")&gt;0,VLOOKUP($C77,EmpAll,COLUMN(Emp!$R$4)+MATCH(AP$5,DedListItem,0)-1,0),OFFSET(Setup!$E$73,MATCH(AP$5,DedListItem,0),0,1,1))*AP$3))),IF(ISNUMBER(AP$4),AP$4,IgnoreMin)))))</f>
        <v>0</v>
      </c>
      <c r="AQ77" s="148" cm="1">
        <f t="array" aca="1" ref="AQ77" ca="1">-IF($F77="Terminated",0,IF($AA77=0,0,IF(ISNA(MATCH(AQ$5,PayDedList,0)),0,MIN(IF(COUNTIFS(OverEmp,$C77,OverDeduct,AQ$5,OverDate,"&lt;"&amp;DATE(YEAR($AC77),MONTH($AC77)+1,1),OverEnd,"&gt;="&amp;DATE(YEAR($AC77),MONTH($AC77),1))&gt;0,SUMPRODUCT((PayEmp=$C77)*(PayDate&lt;=$AC77)*(OFFSET($N$6,1,MATCH(AQ$5,PayDedList,0)-1,PayCount,1)))/$AA77*12*AQ$3,IF(OR(AQ$1="Fixed",AQ$1="Not Used"),SUMPRODUCT((PayEmp=$C77)*(PayDate&lt;=$AC77)*(OFFSET($N$6,1,MATCH(AQ$5,PayDedList,0)-1,PayCount,1)))/$AA77*12*AQ$3,IF(ISNA(MATCH(AQ$1,EarnListItem,0))=FALSE,SUMPRODUCT((PayEmp=$C77)*(PayDate&lt;=$AC77)*(OFFSET($N$6,1,MATCH(AQ$5,PayDedList,0)-1,PayCount,1)))/$AA77*12*AQ$3,(MIN(((SUMPRODUCT((PayEmp=$C77)*(PayDate&lt;=$AC77)*(ISERROR(SEARCH(PayEarnCode,AQ$2)))*(PayEarnType="Monthly")*(PayEarnValues))/$AA77*12)+(SUMPRODUCT((PayEmp=$C77)*(PayDate&lt;=$AC77)*(ISERROR(SEARCH(PayEarnCode,AQ$2)))*(PayEarnType="Quarterly")*(PayEarnValues))/MAX(1,ROUNDDOWN($AB77/3,0))*4)+(SUMPRODUCT((PayEmp=$C77)*(PayDate&lt;=$AC77)*(ISERROR(SEARCH(PayEarnCode,AQ$2)))*(PayEarnType="Bi-Annual")*(PayEarnValues))/MAX(1,ROUNDDOWN($AB77/6,0))*2)+(SUMPRODUCT((PayEmp=$C77)*(PayDate&lt;=$AC77)*(ISERROR(SEARCH(PayEarnCode,AQ$2)))*(PayEarnType="Annual")*(PayEarnValues)))),IF(ISNUMBER(OFFSET($N$3,0,MATCH(AQ$5,PayDedList,0)-1,1,1)),OFFSET($N$3,0,MATCH(AQ$5,PayDedList,0)-1,1,1),IgnoreMin)))*IF(COUNTIFS(EmpNo,$C77,OFFSET(Emp!$R$4,1,MATCH(AQ$5,DedListItem,0)-1,EmpCount,1),"&lt;&gt;")&gt;0,VLOOKUP($C77,EmpAll,COLUMN(Emp!$R$4)+MATCH(AQ$5,DedListItem,0)-1,0),OFFSET(Setup!$E$73,MATCH(AQ$5,DedListItem,0),0,1,1))*AQ$3))),IF(ISNUMBER(AQ$4),AQ$4,IgnoreMin)))))</f>
        <v>0</v>
      </c>
      <c r="AR77" s="148">
        <f t="shared" ca="1" si="34"/>
        <v>60000</v>
      </c>
      <c r="AS77" s="148">
        <f t="shared" ca="1" si="42"/>
        <v>60000</v>
      </c>
      <c r="AT77" s="148" cm="1">
        <f t="array" aca="1" ref="AT77" ca="1">-IF($F77="Terminated",0,IF($AA77=0,0,IF(ISNA(MATCH(AT$5,PayDedList,0)),0,MIN(IF(COUNTIFS(OverEmp,$C77,OverDeduct,AT$5,OverDate,"&lt;"&amp;DATE(YEAR($AC77),MONTH($AC77)+1,1),OverEnd,"&gt;="&amp;DATE(YEAR($AC77),MONTH($AC77),1))&gt;0,SUMPRODUCT((PayEmp=$C77)*(PayDate&lt;=$AC77)*(OFFSET($N$6,1,MATCH(AT$5,PayDedList,0)-1,PayCount,1)))/$AA77*12*AT$3,IF(OR(AT$1="Fixed",AT$1="Not Used"),SUMPRODUCT((PayEmp=$C77)*(PayDate&lt;=$AC77)*(OFFSET($N$6,1,MATCH(AT$5,PayDedList,0)-1,PayCount,1)))/$AA77*12*AT$3,IF(ISNA(MATCH(OFFSET($N$2,0,MATCH(AT$5,PayDedList,0)-1,1,1),EarnListItem,0))=FALSE,SUMPRODUCT((PayEmp=$C77)*(PayDate&lt;=$AC77)*(OFFSET($N$6,1,MATCH(AT$5,PayDedList,0)-1,PayCount,1)))/$AA77*12*AT$3,(MIN(SUMPRODUCT((PayEmp=$C77)*(PayDate&lt;=$AC77)*(ISERROR(SEARCH(PayEarnCode,AT$2)))*(PayEarnType="Monthly")*(PayEarnValues))/$AA77*12,IF(ISNUMBER(OFFSET($N$3,0,MATCH(AT$5,PayDedList,0)-1,1,1)),OFFSET($N$3,0,MATCH(AT$5,PayDedList,0)-1,1,1),IgnoreMin)))*IF(COUNTIFS(EmpNo,$C77,OFFSET(Emp!$R$4,1,MATCH(AT$5,DedListItem,0)-1,EmpCount,1),"&lt;&gt;")&gt;0,VLOOKUP($C77,EmpAll,COLUMN(Emp!$R$4)+MATCH(AT$5,DedListItem,0)-1,0),OFFSET(Setup!$E$73,MATCH(AT$5,DedListItem,0),0,1,1))*AT$3))),IF(ISNUMBER(AT$4),AT$4,IgnoreMin)))))</f>
        <v>0</v>
      </c>
      <c r="AU77" s="148" cm="1">
        <f t="array" aca="1" ref="AU77" ca="1">-IF($F77="Terminated",0,IF($AA77=0,0,IF(ISNA(MATCH(AU$5,PayDedList,0)),0,MIN(IF(COUNTIFS(OverEmp,$C77,OverDeduct,AU$5,OverDate,"&lt;"&amp;DATE(YEAR($AC77),MONTH($AC77)+1,1),OverEnd,"&gt;="&amp;DATE(YEAR($AC77),MONTH($AC77),1))&gt;0,SUMPRODUCT((PayEmp=$C77)*(PayDate&lt;=$AC77)*(OFFSET($N$6,1,MATCH(AU$5,PayDedList,0)-1,PayCount,1)))/$AA77*12*AU$3,IF(OR(AU$1="Fixed",AU$1="Not Used"),SUMPRODUCT((PayEmp=$C77)*(PayDate&lt;=$AC77)*(OFFSET($N$6,1,MATCH(AU$5,PayDedList,0)-1,PayCount,1)))/$AA77*12*AU$3,IF(ISNA(MATCH(OFFSET($N$2,0,MATCH(AU$5,PayDedList,0)-1,1,1),EarnListItem,0))=FALSE,SUMPRODUCT((PayEmp=$C77)*(PayDate&lt;=$AC77)*(OFFSET($N$6,1,MATCH(AU$5,PayDedList,0)-1,PayCount,1)))/$AA77*12*AU$3,(MIN(SUMPRODUCT((PayEmp=$C77)*(PayDate&lt;=$AC77)*(ISERROR(SEARCH(PayEarnCode,AU$2)))*(PayEarnType="Monthly")*(PayEarnValues))/$AA77*12,IF(ISNUMBER(OFFSET($N$3,0,MATCH(AU$5,PayDedList,0)-1,1,1)),OFFSET($N$3,0,MATCH(AU$5,PayDedList,0)-1,1,1),IgnoreMin)))*IF(COUNTIFS(EmpNo,$C77,OFFSET(Emp!$R$4,1,MATCH(AU$5,DedListItem,0)-1,EmpCount,1),"&lt;&gt;")&gt;0,VLOOKUP($C77,EmpAll,COLUMN(Emp!$R$4)+MATCH(AU$5,DedListItem,0)-1,0),OFFSET(Setup!$E$73,MATCH(AU$5,DedListItem,0),0,1,1))*AU$3))),IF(ISNUMBER(AU$4),AU$4,IgnoreMin)))))</f>
        <v>0</v>
      </c>
      <c r="AV77" s="148" cm="1">
        <f t="array" aca="1" ref="AV77" ca="1">-IF($F77="Terminated",0,IF($AA77=0,0,IF(ISNA(MATCH(AV$5,PayDedList,0)),0,MIN(IF(COUNTIFS(OverEmp,$C77,OverDeduct,AV$5,OverDate,"&lt;"&amp;DATE(YEAR($AC77),MONTH($AC77)+1,1),OverEnd,"&gt;="&amp;DATE(YEAR($AC77),MONTH($AC77),1))&gt;0,SUMPRODUCT((PayEmp=$C77)*(PayDate&lt;=$AC77)*(OFFSET($N$6,1,MATCH(AV$5,PayDedList,0)-1,PayCount,1)))/$AA77*12*AV$3,IF(OR(AV$1="Fixed",AV$1="Not Used"),SUMPRODUCT((PayEmp=$C77)*(PayDate&lt;=$AC77)*(OFFSET($N$6,1,MATCH(AV$5,PayDedList,0)-1,PayCount,1)))/$AA77*12*AV$3,IF(ISNA(MATCH(OFFSET($N$2,0,MATCH(AV$5,PayDedList,0)-1,1,1),EarnListItem,0))=FALSE,SUMPRODUCT((PayEmp=$C77)*(PayDate&lt;=$AC77)*(OFFSET($N$6,1,MATCH(AV$5,PayDedList,0)-1,PayCount,1)))/$AA77*12*AV$3,(MIN(SUMPRODUCT((PayEmp=$C77)*(PayDate&lt;=$AC77)*(ISERROR(SEARCH(PayEarnCode,AV$2)))*(PayEarnType="Monthly")*(PayEarnValues))/$AA77*12,IF(ISNUMBER(OFFSET($N$3,0,MATCH(AV$5,PayDedList,0)-1,1,1)),OFFSET($N$3,0,MATCH(AV$5,PayDedList,0)-1,1,1),IgnoreMin)))*IF(COUNTIFS(EmpNo,$C77,OFFSET(Emp!$R$4,1,MATCH(AV$5,DedListItem,0)-1,EmpCount,1),"&lt;&gt;")&gt;0,VLOOKUP($C77,EmpAll,COLUMN(Emp!$R$4)+MATCH(AV$5,DedListItem,0)-1,0),OFFSET(Setup!$E$73,MATCH(AV$5,DedListItem,0),0,1,1))*AV$3))),IF(ISNUMBER(AV$4),AV$4,IgnoreMin)))))</f>
        <v>0</v>
      </c>
      <c r="AW77" s="148" cm="1">
        <f t="array" aca="1" ref="AW77" ca="1">-IF($F77="Terminated",0,IF($AA77=0,0,IF(ISNA(MATCH(AW$5,PayDedList,0)),0,MIN(IF(COUNTIFS(OverEmp,$C77,OverDeduct,AW$5,OverDate,"&lt;"&amp;DATE(YEAR($AC77),MONTH($AC77)+1,1),OverEnd,"&gt;="&amp;DATE(YEAR($AC77),MONTH($AC77),1))&gt;0,SUMPRODUCT((PayEmp=$C77)*(PayDate&lt;=$AC77)*(OFFSET($N$6,1,MATCH(AW$5,PayDedList,0)-1,PayCount,1)))/$AA77*12*AW$3,IF(OR(AW$1="Fixed",AW$1="Not Used"),SUMPRODUCT((PayEmp=$C77)*(PayDate&lt;=$AC77)*(OFFSET($N$6,1,MATCH(AW$5,PayDedList,0)-1,PayCount,1)))/$AA77*12*AW$3,IF(ISNA(MATCH(OFFSET($N$2,0,MATCH(AW$5,PayDedList,0)-1,1,1),EarnListItem,0))=FALSE,SUMPRODUCT((PayEmp=$C77)*(PayDate&lt;=$AC77)*(OFFSET($N$6,1,MATCH(AW$5,PayDedList,0)-1,PayCount,1)))/$AA77*12*AW$3,(MIN(SUMPRODUCT((PayEmp=$C77)*(PayDate&lt;=$AC77)*(ISERROR(SEARCH(PayEarnCode,AW$2)))*(PayEarnType="Monthly")*(PayEarnValues))/$AA77*12,IF(ISNUMBER(OFFSET($N$3,0,MATCH(AW$5,PayDedList,0)-1,1,1)),OFFSET($N$3,0,MATCH(AW$5,PayDedList,0)-1,1,1),IgnoreMin)))*IF(COUNTIFS(EmpNo,$C77,OFFSET(Emp!$R$4,1,MATCH(AW$5,DedListItem,0)-1,EmpCount,1),"&lt;&gt;")&gt;0,VLOOKUP($C77,EmpAll,COLUMN(Emp!$R$4)+MATCH(AW$5,DedListItem,0)-1,0),OFFSET(Setup!$E$73,MATCH(AW$5,DedListItem,0),0,1,1))*AW$3))),IF(ISNUMBER(AW$4),AW$4,IgnoreMin)))))</f>
        <v>0</v>
      </c>
      <c r="AX77" s="148">
        <f t="shared" ca="1" si="43"/>
        <v>60000</v>
      </c>
      <c r="AY77" s="148">
        <f t="shared" ca="1" si="44"/>
        <v>0</v>
      </c>
      <c r="AZ77" s="148">
        <f ca="1">IF(ISNUMBER($AL77),($AR77*$AL77)-$AI77-$AK77,MAX(0,IF($AL77="B",IF($AR77&lt;Setup!$C$32,($AR77*Setup!$D$32)-$AI77-$AK77,(($AR77-VLOOKUP($AR77,TaxAll2,1,1))*OFFSET(Setup!$D$32,MATCH($AR77,TaxBracket2,1),0,1,1))+OFFSET(Setup!$E$31,MATCH($AR77,TaxBracket2,1),0,1,1)-$AI77-$AK77),IF($AR77&lt;Setup!$C$21,($AR77*Setup!$D$21)-$AI77-$AK77,(($AR77-VLOOKUP($AR77,TaxAll1,1,1))*OFFSET(Setup!$D$21,MATCH($AR77,TaxBracket1,1),0,1,1))+OFFSET(Setup!$E$20,MATCH($AR77,TaxBracket1,1),0,1,1)-$AI77-$AK77))))</f>
        <v>0</v>
      </c>
      <c r="BA77" s="148">
        <f ca="1">IF(ISNUMBER($AL77),($AX77*$AL77)-$AI77-$AK77,MAX(0,IF($AL77="B",IF($AX77&lt;Setup!$C$32,($AX77*Setup!$D$32)-$AI77-$AK77,(($AX77-VLOOKUP($AX77,TaxAll2,1,1))*OFFSET(Setup!$D$32,MATCH($AX77,TaxBracket2,1),0,1,1))+OFFSET(Setup!$E$31,MATCH($AX77,TaxBracket2,1),0,1,1)-$AI77-$AK77),IF($AX77&lt;Setup!$C$21,($AX77*Setup!$D$21)-$AI77-$AK77,(($AX77-VLOOKUP($AX77,TaxAll1,1,1))*OFFSET(Setup!$D$21,MATCH($AX77,TaxBracket1,1),0,1,1))+OFFSET(Setup!$E$20,MATCH($AX77,TaxBracket1,1),0,1,1)-$AI77-$AK77))))</f>
        <v>0</v>
      </c>
      <c r="BB77" s="148">
        <f t="shared" ca="1" si="35"/>
        <v>0</v>
      </c>
      <c r="BC77" s="150">
        <f t="shared" ca="1" si="45"/>
        <v>1</v>
      </c>
      <c r="BD77" s="150">
        <f t="shared" ca="1" si="46"/>
        <v>0</v>
      </c>
      <c r="BE77" s="148">
        <f t="shared" ca="1" si="47"/>
        <v>60000</v>
      </c>
    </row>
    <row r="78" spans="1:57" ht="16.149999999999999" customHeight="1" x14ac:dyDescent="0.25">
      <c r="A78" s="10" t="str" cm="1">
        <f t="array" aca="1" ref="A78" ca="1">IF(ROW($A78)-ROW($A$6)&gt;EmpCount*12,"-",TEXT($B78,"yyyy")&amp;TEXT($B78,"mm")&amp;"-"&amp;$C78)</f>
        <v>202307-EXS012</v>
      </c>
      <c r="B78" s="137" cm="1">
        <f t="array" aca="1" ref="B78" ca="1">IF(ROW($A78)-ROW($A$6)&gt;EmpCount*12,Setup!$D$12,DATE(YEAR(Setup!$F$12),MONTH(Setup!$F$12)+ROUNDDOWN((ROW($A78)-ROW($A$6)-1)/EmpCount,0),IF(Setup!$C$14&gt;DAY(DATE(YEAR(Setup!$F$12),MONTH(Setup!$F$12)+ROUNDDOWN((ROW($A78)-ROW($A$6)-1)/EmpCount,0)+1,0)),DAY(DATE(YEAR(Setup!$F$12),MONTH(Setup!$F$12)+ROUNDDOWN((ROW($A78)-ROW($A$6)-1)/EmpCount,0)+1,0)),Setup!$C$14)))</f>
        <v>45132</v>
      </c>
      <c r="C78" s="101" t="str" cm="1">
        <f t="array" aca="1" ref="C78" ca="1">IF(ROW($A78)-ROW($A$6)&gt;EmpCount*12,"-",OFFSET(Emp!$A$4,ROW($A78)-ROW($A$6)-IF(ROW($A78)-ROW($A$6)&gt;EmpCount,ROUNDDOWN((ROW($A78)-ROW($A$6)-1)/EmpCount,0)*EmpCount,0),0,1,1))</f>
        <v>EXS012</v>
      </c>
      <c r="D78" s="10" t="str">
        <f ca="1">IF(ISNA(VLOOKUP($C78,EmpAll,COLUMN(Emp!$B$4),0)),"-",VLOOKUP($C78,EmpAll,COLUMN(Emp!$B$4),0))</f>
        <v>Williams VS</v>
      </c>
      <c r="E78" s="145" t="str">
        <f ca="1">IF(ISNA(VLOOKUP($C78,EmpAll,COLUMN(Emp!$C$4),0)),"-",VLOOKUP($C78,EmpAll,COLUMN(Emp!$C$4),0))</f>
        <v>A</v>
      </c>
      <c r="F78" s="101" t="str">
        <f ca="1">IF(ISNA(VLOOKUP($C78,EmpAll,COLUMN(Emp!$A$4),0)),"-",IF(AND(VLOOKUP($C78,EmpAll,COLUMN(Emp!$E$4),0)&lt;&gt;0,VLOOKUP($C78,EmpAll,COLUMN(Emp!$E$4),0)&gt;=DATE(YEAR($AC78),MONTH($AC78)+1,0)),"Inactive",IF(AND(VLOOKUP($C78,EmpAll,COLUMN(Emp!$F$4),0)&lt;&gt;0,VLOOKUP($C78,EmpAll,COLUMN(Emp!$F$4),0)&lt;=DATE(YEAR($AC78),MONTH($AC78),0)),"Terminated","Active")))</f>
        <v>Active</v>
      </c>
      <c r="G78" s="133" cm="1">
        <f t="array" aca="1" ref="G78" ca="1">IF($F78&lt;&gt;"Active",0,IF(COUNTIFS(OverEmp,$C78,OverEarn,G$2,OverDate,"&lt;"&amp;DATE(YEAR($AC78),MONTH($AC78)+1,1),OverEnd,"&gt;="&amp;DATE(YEAR($AC78),MONTH($AC78),1))&gt;0,SUMIFS(OverValue,OverEmp,$C78,OverEarn,G$2,OverDate,"&lt;"&amp;DATE(YEAR($AC78),MONTH($AC78)+1,1),OverEnd,"&gt;="&amp;DATE(YEAR($AC78),MONTH($AC78),1)),IF(AND($AC78&gt;=Setup!$E$10,SUMIFS(EmpIncrease,EmpCode,$C78)&gt;0),SUMIFS(EmpIncrease,EmpCode,$C78),SUMIFS(EmpSalary,EmpCode,$C78))))</f>
        <v>5000</v>
      </c>
      <c r="H78" s="133" cm="1">
        <f t="array" aca="1" ref="H78" ca="1">IF($F78&lt;&gt;"Active",0,IF(COUNTIFS(OverEmp,$C78,OverEarn,H$2,OverDate,"&lt;"&amp;DATE(YEAR($AC78),MONTH($AC78)+1,1),OverEnd,"&gt;="&amp;DATE(YEAR($AC78),MONTH($AC78),1))&gt;0,SUMIFS(OverValue,OverEmp,$C78,OverEarn,H$2,OverDate,"&lt;"&amp;DATE(YEAR($AC78),MONTH($AC78)+1,1),OverEnd,"&gt;="&amp;DATE(YEAR($AC78),MONTH($AC78),1)),0))</f>
        <v>0</v>
      </c>
      <c r="I78" s="133" cm="1">
        <f t="array" aca="1" ref="I78" ca="1">IF($F78&lt;&gt;"Active",0,IF(COUNTIFS(OverEmp,$C78,OverEarn,I$2,OverDate,"&lt;"&amp;DATE(YEAR($AC78),MONTH($AC78)+1,1),OverEnd,"&gt;="&amp;DATE(YEAR($AC78),MONTH($AC78),1))&gt;0,SUMIFS(OverValue,OverEmp,$C78,OverEarn,I$2,OverDate,"&lt;"&amp;DATE(YEAR($AC78),MONTH($AC78)+1,1),OverEnd,"&gt;="&amp;DATE(YEAR($AC78),MONTH($AC78),1)),IF(MONTH(B78)=Setup!$C$15,SUMIFS(EmpBonus,EmpCode,$C78),0)))</f>
        <v>0</v>
      </c>
      <c r="J78" s="133" cm="1">
        <f t="array" aca="1" ref="J78" ca="1">IF($F78&lt;&gt;"Active",0,IF(COUNTIFS(OverEmp,$C78,OverEarn,J$2,OverDate,"&lt;"&amp;DATE(YEAR($AC78),MONTH($AC78)+1,1),OverEnd,"&gt;="&amp;DATE(YEAR($AC78),MONTH($AC78),1))&gt;0,SUMIFS(OverValue,OverEmp,$C78,OverEarn,J$2,OverDate,"&lt;"&amp;DATE(YEAR($AC78),MONTH($AC78)+1,1),OverEnd,"&gt;="&amp;DATE(YEAR($AC78),MONTH($AC78),1)),0))</f>
        <v>0</v>
      </c>
      <c r="K78" s="133" cm="1">
        <f t="array" aca="1" ref="K78" ca="1">IF($F78&lt;&gt;"Active",0,IF(COUNTIFS(OverEmp,$C78,OverEarn,K$2,OverDate,"&lt;"&amp;DATE(YEAR($AC78),MONTH($AC78)+1,1),OverEnd,"&gt;="&amp;DATE(YEAR($AC78),MONTH($AC78),1))&gt;0,SUMIFS(OverValue,OverEmp,$C78,OverEarn,K$2,OverDate,"&lt;"&amp;DATE(YEAR($AC78),MONTH($AC78)+1,1),OverEnd,"&gt;="&amp;DATE(YEAR($AC78),MONTH($AC78),1)),0))</f>
        <v>0</v>
      </c>
      <c r="L78" s="185">
        <f t="shared" ca="1" si="36"/>
        <v>5000</v>
      </c>
      <c r="M78" s="182" cm="1">
        <f t="array" aca="1" ref="M78" ca="1">IF(COUNTIFS(OverEmp,$C78,OverTax,M$5,OverDate,"&lt;"&amp;DATE(YEAR($AC78),MONTH($AC78)+1,1),OverEnd,"&gt;="&amp;DATE(YEAR($AC78),MONTH($AC78),1))&gt;0,SUMIFS(OverValue,OverEmp,$C78,OverTax,M$5,OverDate,"&lt;"&amp;DATE(YEAR($AC78),MONTH($AC78)+1,1),OverEnd,"&gt;="&amp;DATE(YEAR($AC78),MONTH($AC78),1)),(($BA78/12*$AA78)+(BB78*IF(1-$BC78=0,0,BD78/(1-$BC78))))-IF($F78="Terminated",0,SUMIFS(PayTaxDeduct,PayDate,"&lt;"&amp;$AC78,PayEmp,$C78)))</f>
        <v>0</v>
      </c>
      <c r="N78" s="133" cm="1">
        <f t="array" aca="1" ref="N78" ca="1">IF($F78="Terminated",0,IF($AA78=0,0,IF(ISNA(MATCH(N$5,DedListItem,0)),0,IF(COUNTIFS(OverEmp,$C78,OverDeduct,N$5,OverDate,"&lt;"&amp;DATE(YEAR($AC78),MONTH($AC78)+1,1),OverEnd,"&gt;="&amp;DATE(YEAR($AC78),MONTH($AC78),1))&gt;0,SUMIFS(OverValue,OverEmp,$C78,OverDeduct,N$5,OverDate,"&lt;"&amp;DATE(YEAR($AC78),MONTH($AC78)+1,1),OverEnd,"&gt;="&amp;DATE(YEAR($AC78),MONTH($AC78),1)),IF(OR(N$2="Fixed",N$2="Not Used"),(IF(COUNTIFS(EmpNo,$C78,OFFSET(Emp!$R$4,1,MATCH(N$5,DedListItem,0)-1,EmpCount,1),"&lt;&gt;")&gt;0,VLOOKUP($C78,EmpAll,COLUMN(Emp!$R$4)+MATCH(N$5,DedListItem,0)-1,0),OFFSET(Setup!$E$73,MATCH(N$5,DedListItem,0),0,1,1))*$AA78)-SUMIFS(OFFSET(N$6,1,0,PayCount,1),PayDate,"&lt;"&amp;$AC78,PayEmp,$C78),IF(ISNA(MATCH(N$2,EarnListItem,0))=FALSE,IF(OFFSET(Setup!$G$73,MATCH(N$5,DedListItem,0),0,1,1)="Taxable",SUMPRODUCT((PayEmp=$C78)*(PayDate&lt;=$AC78)*(PayEarnCode=N$2)*(PayEarnTax)*(PayEarnValues)),SUMPRODUCT((PayEmp=$C78)*(PayDate&lt;=$AC78)*(PayEarnCode=N$2)*(PayEarnValues)))*IF(COUNTIFS(EmpNo,$C78,OFFSET(Emp!$R$4,1,MATCH(N$5,DedListItem,0)-1,EmpCount,1),"&lt;&gt;")&gt;0,VLOOKUP($C78,EmpAll,COLUMN(Emp!$R$4)+MATCH(N$5,DedListItem,0)-1,0),OFFSET(Setup!$E$73,MATCH(N$5,DedListItem,0),0,1,1)),(MIN(IF(OFFSET(Setup!$G$73,MATCH(N$5,DedListItem,0),0,1,1)="Taxable",SUMPRODUCT((PayEmp=$C78)*(PayDate&lt;=$AC78)*(ISERROR(SEARCH(PayEarnCode,N$4)))*(PayEarnTax)*(PayEarnValues)),SUMPRODUCT((PayEmp=$C78)*(PayDate&lt;=$AC78)*(ISERROR(SEARCH(PayEarnCode,N$4)))*(PayEarnValues))),IF(ISNUMBER(N$3),N$3/12*$AA78,IgnoreMin)))*IF(COUNTIFS(EmpNo,$C78,OFFSET(Emp!$R$4,1,MATCH(N$5,DedListItem,0)-1,EmpCount,1),"&lt;&gt;")&gt;0,VLOOKUP($C78,EmpAll,COLUMN(Emp!$R$4)+MATCH(N$5,DedListItem,0)-1,0),OFFSET(Setup!$E$73,MATCH(N$5,DedListItem,0),0,1,1)))-SUMIFS(OFFSET(N$6,1,0,PayCount,1),PayDate,"&lt;"&amp;$AC78,PayEmp,$C78))))))</f>
        <v>50</v>
      </c>
      <c r="O78" s="133" cm="1">
        <f t="array" aca="1" ref="O78" ca="1">IF($F78="Terminated",0,IF($AA78=0,0,IF(ISNA(MATCH(O$5,DedListItem,0)),0,IF(COUNTIFS(OverEmp,$C78,OverDeduct,O$5,OverDate,"&lt;"&amp;DATE(YEAR($AC78),MONTH($AC78)+1,1),OverEnd,"&gt;="&amp;DATE(YEAR($AC78),MONTH($AC78),1))&gt;0,SUMIFS(OverValue,OverEmp,$C78,OverDeduct,O$5,OverDate,"&lt;"&amp;DATE(YEAR($AC78),MONTH($AC78)+1,1),OverEnd,"&gt;="&amp;DATE(YEAR($AC78),MONTH($AC78),1)),IF(OR(O$2="Fixed",O$2="Not Used"),(IF(COUNTIFS(EmpNo,$C78,OFFSET(Emp!$R$4,1,MATCH(O$5,DedListItem,0)-1,EmpCount,1),"&lt;&gt;")&gt;0,VLOOKUP($C78,EmpAll,COLUMN(Emp!$R$4)+MATCH(O$5,DedListItem,0)-1,0),OFFSET(Setup!$E$73,MATCH(O$5,DedListItem,0),0,1,1))*$AA78)-SUMIFS(OFFSET(O$6,1,0,PayCount,1),PayDate,"&lt;"&amp;$AC78,PayEmp,$C78),IF(ISNA(MATCH(O$2,EarnListItem,0))=FALSE,IF(OFFSET(Setup!$G$73,MATCH(O$5,DedListItem,0),0,1,1)="Taxable",SUMPRODUCT((PayEmp=$C78)*(PayDate&lt;=$AC78)*(PayEarnCode=O$2)*(PayEarnTax)*(PayEarnValues)),SUMPRODUCT((PayEmp=$C78)*(PayDate&lt;=$AC78)*(PayEarnCode=O$2)*(PayEarnValues)))*IF(COUNTIFS(EmpNo,$C78,OFFSET(Emp!$R$4,1,MATCH(O$5,DedListItem,0)-1,EmpCount,1),"&lt;&gt;")&gt;0,VLOOKUP($C78,EmpAll,COLUMN(Emp!$R$4)+MATCH(O$5,DedListItem,0)-1,0),OFFSET(Setup!$E$73,MATCH(O$5,DedListItem,0),0,1,1)),(MIN(IF(OFFSET(Setup!$G$73,MATCH(O$5,DedListItem,0),0,1,1)="Taxable",SUMPRODUCT((PayEmp=$C78)*(PayDate&lt;=$AC78)*(ISERROR(SEARCH(PayEarnCode,O$4)))*(PayEarnTax)*(PayEarnValues)),SUMPRODUCT((PayEmp=$C78)*(PayDate&lt;=$AC78)*(ISERROR(SEARCH(PayEarnCode,O$4)))*(PayEarnValues))),IF(ISNUMBER(O$3),O$3/12*$AA78,IgnoreMin)))*IF(COUNTIFS(EmpNo,$C78,OFFSET(Emp!$R$4,1,MATCH(O$5,DedListItem,0)-1,EmpCount,1),"&lt;&gt;")&gt;0,VLOOKUP($C78,EmpAll,COLUMN(Emp!$R$4)+MATCH(O$5,DedListItem,0)-1,0),OFFSET(Setup!$E$73,MATCH(O$5,DedListItem,0),0,1,1)))-SUMIFS(OFFSET(O$6,1,0,PayCount,1),PayDate,"&lt;"&amp;$AC78,PayEmp,$C78))))))</f>
        <v>0</v>
      </c>
      <c r="P78" s="133" cm="1">
        <f t="array" aca="1" ref="P78" ca="1">IF($F78="Terminated",0,IF($AA78=0,0,IF(ISNA(MATCH(P$5,DedListItem,0)),0,IF(COUNTIFS(OverEmp,$C78,OverDeduct,P$5,OverDate,"&lt;"&amp;DATE(YEAR($AC78),MONTH($AC78)+1,1),OverEnd,"&gt;="&amp;DATE(YEAR($AC78),MONTH($AC78),1))&gt;0,SUMIFS(OverValue,OverEmp,$C78,OverDeduct,P$5,OverDate,"&lt;"&amp;DATE(YEAR($AC78),MONTH($AC78)+1,1),OverEnd,"&gt;="&amp;DATE(YEAR($AC78),MONTH($AC78),1)),IF(OR(P$2="Fixed",P$2="Not Used"),(IF(COUNTIFS(EmpNo,$C78,OFFSET(Emp!$R$4,1,MATCH(P$5,DedListItem,0)-1,EmpCount,1),"&lt;&gt;")&gt;0,VLOOKUP($C78,EmpAll,COLUMN(Emp!$R$4)+MATCH(P$5,DedListItem,0)-1,0),OFFSET(Setup!$E$73,MATCH(P$5,DedListItem,0),0,1,1))*$AA78)-SUMIFS(OFFSET(P$6,1,0,PayCount,1),PayDate,"&lt;"&amp;$AC78,PayEmp,$C78),IF(ISNA(MATCH(P$2,EarnListItem,0))=FALSE,IF(OFFSET(Setup!$G$73,MATCH(P$5,DedListItem,0),0,1,1)="Taxable",SUMPRODUCT((PayEmp=$C78)*(PayDate&lt;=$AC78)*(PayEarnCode=P$2)*(PayEarnTax)*(PayEarnValues)),SUMPRODUCT((PayEmp=$C78)*(PayDate&lt;=$AC78)*(PayEarnCode=P$2)*(PayEarnValues)))*IF(COUNTIFS(EmpNo,$C78,OFFSET(Emp!$R$4,1,MATCH(P$5,DedListItem,0)-1,EmpCount,1),"&lt;&gt;")&gt;0,VLOOKUP($C78,EmpAll,COLUMN(Emp!$R$4)+MATCH(P$5,DedListItem,0)-1,0),OFFSET(Setup!$E$73,MATCH(P$5,DedListItem,0),0,1,1)),(MIN(IF(OFFSET(Setup!$G$73,MATCH(P$5,DedListItem,0),0,1,1)="Taxable",SUMPRODUCT((PayEmp=$C78)*(PayDate&lt;=$AC78)*(ISERROR(SEARCH(PayEarnCode,P$4)))*(PayEarnTax)*(PayEarnValues)),SUMPRODUCT((PayEmp=$C78)*(PayDate&lt;=$AC78)*(ISERROR(SEARCH(PayEarnCode,P$4)))*(PayEarnValues))),IF(ISNUMBER(P$3),P$3/12*$AA78,IgnoreMin)))*IF(COUNTIFS(EmpNo,$C78,OFFSET(Emp!$R$4,1,MATCH(P$5,DedListItem,0)-1,EmpCount,1),"&lt;&gt;")&gt;0,VLOOKUP($C78,EmpAll,COLUMN(Emp!$R$4)+MATCH(P$5,DedListItem,0)-1,0),OFFSET(Setup!$E$73,MATCH(P$5,DedListItem,0),0,1,1)))-SUMIFS(OFFSET(P$6,1,0,PayCount,1),PayDate,"&lt;"&amp;$AC78,PayEmp,$C78))))))</f>
        <v>0</v>
      </c>
      <c r="Q78" s="133" cm="1">
        <f t="array" aca="1" ref="Q78" ca="1">IF($F78="Terminated",0,IF($AA78=0,0,IF(ISNA(MATCH(Q$5,DedListItem,0)),0,IF(COUNTIFS(OverEmp,$C78,OverDeduct,Q$5,OverDate,"&lt;"&amp;DATE(YEAR($AC78),MONTH($AC78)+1,1),OverEnd,"&gt;="&amp;DATE(YEAR($AC78),MONTH($AC78),1))&gt;0,SUMIFS(OverValue,OverEmp,$C78,OverDeduct,Q$5,OverDate,"&lt;"&amp;DATE(YEAR($AC78),MONTH($AC78)+1,1),OverEnd,"&gt;="&amp;DATE(YEAR($AC78),MONTH($AC78),1)),IF(OR(Q$2="Fixed",Q$2="Not Used"),(IF(COUNTIFS(EmpNo,$C78,OFFSET(Emp!$R$4,1,MATCH(Q$5,DedListItem,0)-1,EmpCount,1),"&lt;&gt;")&gt;0,VLOOKUP($C78,EmpAll,COLUMN(Emp!$R$4)+MATCH(Q$5,DedListItem,0)-1,0),OFFSET(Setup!$E$73,MATCH(Q$5,DedListItem,0),0,1,1))*$AA78)-SUMIFS(OFFSET(Q$6,1,0,PayCount,1),PayDate,"&lt;"&amp;$AC78,PayEmp,$C78),IF(ISNA(MATCH(Q$2,EarnListItem,0))=FALSE,IF(OFFSET(Setup!$G$73,MATCH(Q$5,DedListItem,0),0,1,1)="Taxable",SUMPRODUCT((PayEmp=$C78)*(PayDate&lt;=$AC78)*(PayEarnCode=Q$2)*(PayEarnTax)*(PayEarnValues)),SUMPRODUCT((PayEmp=$C78)*(PayDate&lt;=$AC78)*(PayEarnCode=Q$2)*(PayEarnValues)))*IF(COUNTIFS(EmpNo,$C78,OFFSET(Emp!$R$4,1,MATCH(Q$5,DedListItem,0)-1,EmpCount,1),"&lt;&gt;")&gt;0,VLOOKUP($C78,EmpAll,COLUMN(Emp!$R$4)+MATCH(Q$5,DedListItem,0)-1,0),OFFSET(Setup!$E$73,MATCH(Q$5,DedListItem,0),0,1,1)),(MIN(IF(OFFSET(Setup!$G$73,MATCH(Q$5,DedListItem,0),0,1,1)="Taxable",SUMPRODUCT((PayEmp=$C78)*(PayDate&lt;=$AC78)*(ISERROR(SEARCH(PayEarnCode,Q$4)))*(PayEarnTax)*(PayEarnValues)),SUMPRODUCT((PayEmp=$C78)*(PayDate&lt;=$AC78)*(ISERROR(SEARCH(PayEarnCode,Q$4)))*(PayEarnValues))),IF(ISNUMBER(Q$3),Q$3/12*$AA78,IgnoreMin)))*IF(COUNTIFS(EmpNo,$C78,OFFSET(Emp!$R$4,1,MATCH(Q$5,DedListItem,0)-1,EmpCount,1),"&lt;&gt;")&gt;0,VLOOKUP($C78,EmpAll,COLUMN(Emp!$R$4)+MATCH(Q$5,DedListItem,0)-1,0),OFFSET(Setup!$E$73,MATCH(Q$5,DedListItem,0),0,1,1)))-SUMIFS(OFFSET(Q$6,1,0,PayCount,1),PayDate,"&lt;"&amp;$AC78,PayEmp,$C78))))))</f>
        <v>0</v>
      </c>
      <c r="R78" s="185">
        <f t="shared" ca="1" si="37"/>
        <v>50</v>
      </c>
      <c r="S78" s="139">
        <f t="shared" ca="1" si="38"/>
        <v>4950</v>
      </c>
      <c r="T78" s="133" cm="1">
        <f t="array" aca="1" ref="T78" ca="1">IF($F78="Terminated",0,IF($AA78=0,0,IF(ISNA(MATCH(T$5,CompListItem,0)),0,IF(COUNTIFS(OverEmp,$C78,OverComp,T$5,OverDate,"&lt;"&amp;DATE(YEAR($AC78),MONTH($AC78)+1,1),OverEnd,"&gt;="&amp;DATE(YEAR($AC78),MONTH($AC78),1))&gt;0,SUMIFS(OverValue,OverEmp,$C78,OverComp,T$5,OverDate,"&lt;"&amp;DATE(YEAR($AC78),MONTH($AC78)+1,1),OverEnd,"&gt;="&amp;DATE(YEAR($AC78),MONTH($AC78),1)),IF(OR(T$2="Fixed",T$2="Not Used"),(OFFSET(Setup!$E$81,MATCH(T$5,CompListItem,0),0,1,1)*$AA78)-SUMIFS(OFFSET(T$6,1,0,PayCount,1),PayDate,"&lt;"&amp;$AC78,PayEmp,$C78),IF(ISNA(MATCH(T$2,DedListItem,0))=FALSE,(SUMPRODUCT((PayEmp=$C78)*(PayDate&lt;=$AC78)*(PayDedList=T$2)*(PayDedValues))*OFFSET(Setup!$E$81,MATCH(T$5,CompListItem,0),0,1,1))-SUMIFS(OFFSET(T$6,1,0,PayCount,1),PayDate,"&lt;"&amp;$AC78,PayEmp,$C78),(MIN(IF(OFFSET(Setup!$G$81,MATCH(T$5,CompListItem,0),0,1,1)="Taxable",SUMPRODUCT((PayEmp=$C78)*(PayDate&lt;=$AC78)*(ISERROR(SEARCH(PayEarnCode,T$4)))*(PayEarnTax)*(PayEarnValues)),SUMPRODUCT((PayEmp=$C78)*(PayDate&lt;=$AC78)*(ISERROR(SEARCH(PayEarnCode,T$4)))*(PayEarnValues))),IF(ISNUMBER(T$3),T$3/12*$AA78,IgnoreMin)))*OFFSET(Setup!$E$81,MATCH(T$5,CompListItem,0),0,1,1)-SUMIFS(OFFSET(T$6,1,0,PayCount,1),PayDate,"&lt;"&amp;$AC78,PayEmp,$C78)))))))</f>
        <v>50</v>
      </c>
      <c r="U78" s="133" cm="1">
        <f t="array" aca="1" ref="U78" ca="1">IF($F78="Terminated",0,IF($AA78=0,0,IF(ISNA(MATCH(U$5,CompListItem,0)),0,IF(COUNTIFS(OverEmp,$C78,OverComp,U$5,OverDate,"&lt;"&amp;DATE(YEAR($AC78),MONTH($AC78)+1,1),OverEnd,"&gt;="&amp;DATE(YEAR($AC78),MONTH($AC78),1))&gt;0,SUMIFS(OverValue,OverEmp,$C78,OverComp,U$5,OverDate,"&lt;"&amp;DATE(YEAR($AC78),MONTH($AC78)+1,1),OverEnd,"&gt;="&amp;DATE(YEAR($AC78),MONTH($AC78),1)),IF(OR(U$2="Fixed",U$2="Not Used"),(OFFSET(Setup!$E$81,MATCH(U$5,CompListItem,0),0,1,1)*$AA78)-SUMIFS(OFFSET(U$6,1,0,PayCount,1),PayDate,"&lt;"&amp;$AC78,PayEmp,$C78),IF(ISNA(MATCH(U$2,DedListItem,0))=FALSE,(SUMPRODUCT((PayEmp=$C78)*(PayDate&lt;=$AC78)*(PayDedList=U$2)*(PayDedValues))*OFFSET(Setup!$E$81,MATCH(U$5,CompListItem,0),0,1,1))-SUMIFS(OFFSET(U$6,1,0,PayCount,1),PayDate,"&lt;"&amp;$AC78,PayEmp,$C78),(MIN(IF(OFFSET(Setup!$G$81,MATCH(U$5,CompListItem,0),0,1,1)="Taxable",SUMPRODUCT((PayEmp=$C78)*(PayDate&lt;=$AC78)*(ISERROR(SEARCH(PayEarnCode,U$4)))*(PayEarnTax)*(PayEarnValues)),SUMPRODUCT((PayEmp=$C78)*(PayDate&lt;=$AC78)*(ISERROR(SEARCH(PayEarnCode,U$4)))*(PayEarnValues))),IF(ISNUMBER(U$3),U$3/12*$AA78,IgnoreMin)))*OFFSET(Setup!$E$81,MATCH(U$5,CompListItem,0),0,1,1)-SUMIFS(OFFSET(U$6,1,0,PayCount,1),PayDate,"&lt;"&amp;$AC78,PayEmp,$C78)))))))</f>
        <v>50</v>
      </c>
      <c r="V78" s="133" cm="1">
        <f t="array" aca="1" ref="V78" ca="1">IF($F78="Terminated",0,IF($AA78=0,0,IF(ISNA(MATCH(V$5,CompListItem,0)),0,IF(COUNTIFS(OverEmp,$C78,OverComp,V$5,OverDate,"&lt;"&amp;DATE(YEAR($AC78),MONTH($AC78)+1,1),OverEnd,"&gt;="&amp;DATE(YEAR($AC78),MONTH($AC78),1))&gt;0,SUMIFS(OverValue,OverEmp,$C78,OverComp,V$5,OverDate,"&lt;"&amp;DATE(YEAR($AC78),MONTH($AC78)+1,1),OverEnd,"&gt;="&amp;DATE(YEAR($AC78),MONTH($AC78),1)),IF(OR(V$2="Fixed",V$2="Not Used"),(OFFSET(Setup!$E$81,MATCH(V$5,CompListItem,0),0,1,1)*$AA78)-SUMIFS(OFFSET(V$6,1,0,PayCount,1),PayDate,"&lt;"&amp;$AC78,PayEmp,$C78),IF(ISNA(MATCH(V$2,DedListItem,0))=FALSE,(SUMPRODUCT((PayEmp=$C78)*(PayDate&lt;=$AC78)*(PayDedList=V$2)*(PayDedValues))*OFFSET(Setup!$E$81,MATCH(V$5,CompListItem,0),0,1,1))-SUMIFS(OFFSET(V$6,1,0,PayCount,1),PayDate,"&lt;"&amp;$AC78,PayEmp,$C78),(MIN(IF(OFFSET(Setup!$G$81,MATCH(V$5,CompListItem,0),0,1,1)="Taxable",SUMPRODUCT((PayEmp=$C78)*(PayDate&lt;=$AC78)*(ISERROR(SEARCH(PayEarnCode,V$4)))*(PayEarnTax)*(PayEarnValues)),SUMPRODUCT((PayEmp=$C78)*(PayDate&lt;=$AC78)*(ISERROR(SEARCH(PayEarnCode,V$4)))*(PayEarnValues))),IF(ISNUMBER(V$3),V$3/12*$AA78,IgnoreMin)))*OFFSET(Setup!$E$81,MATCH(V$5,CompListItem,0),0,1,1)-SUMIFS(OFFSET(V$6,1,0,PayCount,1),PayDate,"&lt;"&amp;$AC78,PayEmp,$C78)))))))</f>
        <v>0</v>
      </c>
      <c r="W78" s="133" cm="1">
        <f t="array" aca="1" ref="W78" ca="1">IF($F78="Terminated",0,IF($AA78=0,0,IF(ISNA(MATCH(W$5,CompListItem,0)),0,IF(COUNTIFS(OverEmp,$C78,OverComp,W$5,OverDate,"&lt;"&amp;DATE(YEAR($AC78),MONTH($AC78)+1,1),OverEnd,"&gt;="&amp;DATE(YEAR($AC78),MONTH($AC78),1))&gt;0,SUMIFS(OverValue,OverEmp,$C78,OverComp,W$5,OverDate,"&lt;"&amp;DATE(YEAR($AC78),MONTH($AC78)+1,1),OverEnd,"&gt;="&amp;DATE(YEAR($AC78),MONTH($AC78),1)),IF(OR(W$2="Fixed",W$2="Not Used"),(OFFSET(Setup!$E$81,MATCH(W$5,CompListItem,0),0,1,1)*$AA78)-SUMIFS(OFFSET(W$6,1,0,PayCount,1),PayDate,"&lt;"&amp;$AC78,PayEmp,$C78),IF(ISNA(MATCH(W$2,DedListItem,0))=FALSE,(SUMPRODUCT((PayEmp=$C78)*(PayDate&lt;=$AC78)*(PayDedList=W$2)*(PayDedValues))*OFFSET(Setup!$E$81,MATCH(W$5,CompListItem,0),0,1,1))-SUMIFS(OFFSET(W$6,1,0,PayCount,1),PayDate,"&lt;"&amp;$AC78,PayEmp,$C78),(MIN(IF(OFFSET(Setup!$G$81,MATCH(W$5,CompListItem,0),0,1,1)="Taxable",SUMPRODUCT((PayEmp=$C78)*(PayDate&lt;=$AC78)*(ISERROR(SEARCH(PayEarnCode,W$4)))*(PayEarnTax)*(PayEarnValues)),SUMPRODUCT((PayEmp=$C78)*(PayDate&lt;=$AC78)*(ISERROR(SEARCH(PayEarnCode,W$4)))*(PayEarnValues))),IF(ISNUMBER(W$3),W$3/12*$AA78,IgnoreMin)))*OFFSET(Setup!$E$81,MATCH(W$5,CompListItem,0),0,1,1)-SUMIFS(OFFSET(W$6,1,0,PayCount,1),PayDate,"&lt;"&amp;$AC78,PayEmp,$C78)))))))</f>
        <v>0</v>
      </c>
      <c r="X78" s="185">
        <f t="shared" ca="1" si="30"/>
        <v>100</v>
      </c>
      <c r="Y78" s="139">
        <f t="shared" ca="1" si="39"/>
        <v>5100</v>
      </c>
      <c r="Z78" s="139">
        <f t="shared" ca="1" si="31"/>
        <v>150</v>
      </c>
      <c r="AA78" s="146">
        <f ca="1">IF(OR($B78&lt;=Setup!$E$12,$B78&gt;=Setup!$D$12+1),0,IF($F78&lt;&gt;"Active",0,IF($AE78="Yes",$AB78,((YEAR($AC78)*12)+MONTH($AC78))-((YEAR($AD78)*12)+MONTH($AD78)-1))))</f>
        <v>5</v>
      </c>
      <c r="AB78" s="146">
        <f ca="1">IF(OR($B78&lt;=Setup!$E$12,$B78&gt;=Setup!$D$12+1),0,((YEAR($AC78)*12)+MONTH($AC78))-((YEAR(Setup!$E$12)*12)+MONTH(Setup!$E$12)))</f>
        <v>5</v>
      </c>
      <c r="AC78" s="186">
        <f t="shared" ca="1" si="32"/>
        <v>45132</v>
      </c>
      <c r="AD78" s="144">
        <f ca="1">IF(ISNA(VLOOKUP($C78,EmpAll,COLUMN(Emp!$E$4),0)),$AC78,IF(VLOOKUP($C78,EmpAll,COLUMN(Emp!$E$4),0)&lt;=Setup!$E$12,DATE(YEAR(Setup!$E$12),MONTH(Setup!$E$12)+1,1),VLOOKUP($C78,EmpAll,COLUMN(Emp!$E$4),0)))</f>
        <v>44986</v>
      </c>
      <c r="AE78" s="144" t="str">
        <f ca="1">IF(ISNA(VLOOKUP($C78,EmpAll,COLUMN(Emp!$G$1),0)),"-",IF(VLOOKUP($C78,EmpAll,COLUMN(Emp!$G$1),0)=0,"-",VLOOKUP($C78,EmpAll,COLUMN(Emp!$G$1),0)))</f>
        <v>-</v>
      </c>
      <c r="AF78" s="145">
        <f ca="1">IF(A78=PaySlip!$G$3,1,0)</f>
        <v>0</v>
      </c>
      <c r="AG78" s="130" cm="1">
        <f t="array" aca="1" ref="AG78" ca="1">IF(COUNTIFS(OverEmp,$C78,OverMed,"MED",OverDate,"&lt;"&amp;DATE(YEAR($AC78),MONTH($AC78)+1,1),OverEnd,"&gt;="&amp;DATE(YEAR($AC78),MONTH($AC78),1))&gt;0,SUMIFS(OverValue,OverEmp,$C78,OverMed,"MED",OverDate,"&lt;"&amp;DATE(YEAR($AC78),MONTH($AC78)+1,1),OverEnd,"&gt;="&amp;DATE(YEAR($AC78),MONTH($AC78),1)),IF(ISNA(VLOOKUP($C78,EmpAll,COLUMN(Emp!$N$4),0)),0,VLOOKUP($C78,EmpAll,COLUMN(Emp!$N$4),0)))</f>
        <v>0</v>
      </c>
      <c r="AH78" s="146">
        <f ca="1">VLOOKUP($AG78,MedList,COLUMN(Setup!$C$49),1)</f>
        <v>0</v>
      </c>
      <c r="AI78" s="146">
        <f t="shared" ca="1" si="40"/>
        <v>0</v>
      </c>
      <c r="AJ78" s="101" t="str">
        <f ca="1">IF(ISNA(VLOOKUP($C78,EmpAll,COLUMN(Emp!$L$4),0)),"None!",VLOOKUP($C78,EmpAll,COLUMN(Emp!$L$4),0))</f>
        <v>A</v>
      </c>
      <c r="AK78" s="147">
        <f t="shared" ca="1" si="33"/>
        <v>17235</v>
      </c>
      <c r="AL78" s="101" t="str">
        <f ca="1">IF(ISNA(VLOOKUP($C78,Employees[],COLUMN(Emp!$M$4),0))=TRUE,"Error!",IF(VLOOKUP($C78,Employees[],COLUMN(Emp!$M$4),0)=0,"Yes",VLOOKUP($C78,Employees[],COLUMN(Emp!$M$4),0)))</f>
        <v>A</v>
      </c>
      <c r="AM78" s="148">
        <f t="shared" ca="1" si="41"/>
        <v>60000</v>
      </c>
      <c r="AN78" s="148" cm="1">
        <f t="array" aca="1" ref="AN78" ca="1">-IF($F78="Terminated",0,IF($AA78=0,0,IF(ISNA(MATCH(AN$5,PayDedList,0)),0,MIN(IF(COUNTIFS(OverEmp,$C78,OverDeduct,AN$5,OverDate,"&lt;"&amp;DATE(YEAR($AC78),MONTH($AC78)+1,1),OverEnd,"&gt;="&amp;DATE(YEAR($AC78),MONTH($AC78),1))&gt;0,SUMPRODUCT((PayEmp=$C78)*(PayDate&lt;=$AC78)*(OFFSET($N$6,1,MATCH(AN$5,PayDedList,0)-1,PayCount,1)))/$AA78*12*AN$3,IF(OR(AN$1="Fixed",AN$1="Not Used"),SUMPRODUCT((PayEmp=$C78)*(PayDate&lt;=$AC78)*(OFFSET($N$6,1,MATCH(AN$5,PayDedList,0)-1,PayCount,1)))/$AA78*12*AN$3,IF(ISNA(MATCH(AN$1,EarnListItem,0))=FALSE,SUMPRODUCT((PayEmp=$C78)*(PayDate&lt;=$AC78)*(OFFSET($N$6,1,MATCH(AN$5,PayDedList,0)-1,PayCount,1)))/$AA78*12*AN$3,(MIN(((SUMPRODUCT((PayEmp=$C78)*(PayDate&lt;=$AC78)*(ISERROR(SEARCH(PayEarnCode,AN$2)))*(PayEarnType="Monthly")*(PayEarnValues))/$AA78*12)+(SUMPRODUCT((PayEmp=$C78)*(PayDate&lt;=$AC78)*(ISERROR(SEARCH(PayEarnCode,AN$2)))*(PayEarnType="Quarterly")*(PayEarnValues))/MAX(1,ROUNDDOWN($AB78/3,0))*4)+(SUMPRODUCT((PayEmp=$C78)*(PayDate&lt;=$AC78)*(ISERROR(SEARCH(PayEarnCode,AN$2)))*(PayEarnType="Bi-Annual")*(PayEarnValues))/MAX(1,ROUNDDOWN($AB78/6,0))*2)+(SUMPRODUCT((PayEmp=$C78)*(PayDate&lt;=$AC78)*(ISERROR(SEARCH(PayEarnCode,AN$2)))*(PayEarnType="Annual")*(PayEarnValues)))),IF(ISNUMBER(OFFSET($N$3,0,MATCH(AN$5,PayDedList,0)-1,1,1)),OFFSET($N$3,0,MATCH(AN$5,PayDedList,0)-1,1,1),IgnoreMin)))*IF(COUNTIFS(EmpNo,$C78,OFFSET(Emp!$R$4,1,MATCH(AN$5,DedListItem,0)-1,EmpCount,1),"&lt;&gt;")&gt;0,VLOOKUP($C78,EmpAll,COLUMN(Emp!$R$4)+MATCH(AN$5,DedListItem,0)-1,0),OFFSET(Setup!$E$73,MATCH(AN$5,DedListItem,0),0,1,1))*AN$3))),IF(ISNUMBER(AN$4),AN$4,IgnoreMin)))))</f>
        <v>0</v>
      </c>
      <c r="AO78" s="148" cm="1">
        <f t="array" aca="1" ref="AO78" ca="1">-IF($F78="Terminated",0,IF($AA78=0,0,IF(ISNA(MATCH(AO$5,PayDedList,0)),0,MIN(IF(COUNTIFS(OverEmp,$C78,OverDeduct,AO$5,OverDate,"&lt;"&amp;DATE(YEAR($AC78),MONTH($AC78)+1,1),OverEnd,"&gt;="&amp;DATE(YEAR($AC78),MONTH($AC78),1))&gt;0,SUMPRODUCT((PayEmp=$C78)*(PayDate&lt;=$AC78)*(OFFSET($N$6,1,MATCH(AO$5,PayDedList,0)-1,PayCount,1)))/$AA78*12*AO$3,IF(OR(AO$1="Fixed",AO$1="Not Used"),SUMPRODUCT((PayEmp=$C78)*(PayDate&lt;=$AC78)*(OFFSET($N$6,1,MATCH(AO$5,PayDedList,0)-1,PayCount,1)))/$AA78*12*AO$3,IF(ISNA(MATCH(AO$1,EarnListItem,0))=FALSE,SUMPRODUCT((PayEmp=$C78)*(PayDate&lt;=$AC78)*(OFFSET($N$6,1,MATCH(AO$5,PayDedList,0)-1,PayCount,1)))/$AA78*12*AO$3,(MIN(((SUMPRODUCT((PayEmp=$C78)*(PayDate&lt;=$AC78)*(ISERROR(SEARCH(PayEarnCode,AO$2)))*(PayEarnType="Monthly")*(PayEarnValues))/$AA78*12)+(SUMPRODUCT((PayEmp=$C78)*(PayDate&lt;=$AC78)*(ISERROR(SEARCH(PayEarnCode,AO$2)))*(PayEarnType="Quarterly")*(PayEarnValues))/MAX(1,ROUNDDOWN($AB78/3,0))*4)+(SUMPRODUCT((PayEmp=$C78)*(PayDate&lt;=$AC78)*(ISERROR(SEARCH(PayEarnCode,AO$2)))*(PayEarnType="Bi-Annual")*(PayEarnValues))/MAX(1,ROUNDDOWN($AB78/6,0))*2)+(SUMPRODUCT((PayEmp=$C78)*(PayDate&lt;=$AC78)*(ISERROR(SEARCH(PayEarnCode,AO$2)))*(PayEarnType="Annual")*(PayEarnValues)))),IF(ISNUMBER(OFFSET($N$3,0,MATCH(AO$5,PayDedList,0)-1,1,1)),OFFSET($N$3,0,MATCH(AO$5,PayDedList,0)-1,1,1),IgnoreMin)))*IF(COUNTIFS(EmpNo,$C78,OFFSET(Emp!$R$4,1,MATCH(AO$5,DedListItem,0)-1,EmpCount,1),"&lt;&gt;")&gt;0,VLOOKUP($C78,EmpAll,COLUMN(Emp!$R$4)+MATCH(AO$5,DedListItem,0)-1,0),OFFSET(Setup!$E$73,MATCH(AO$5,DedListItem,0),0,1,1))*AO$3))),IF(ISNUMBER(AO$4),AO$4,IgnoreMin)))))</f>
        <v>0</v>
      </c>
      <c r="AP78" s="148" cm="1">
        <f t="array" aca="1" ref="AP78" ca="1">-IF($F78="Terminated",0,IF($AA78=0,0,IF(ISNA(MATCH(AP$5,PayDedList,0)),0,MIN(IF(COUNTIFS(OverEmp,$C78,OverDeduct,AP$5,OverDate,"&lt;"&amp;DATE(YEAR($AC78),MONTH($AC78)+1,1),OverEnd,"&gt;="&amp;DATE(YEAR($AC78),MONTH($AC78),1))&gt;0,SUMPRODUCT((PayEmp=$C78)*(PayDate&lt;=$AC78)*(OFFSET($N$6,1,MATCH(AP$5,PayDedList,0)-1,PayCount,1)))/$AA78*12*AP$3,IF(OR(AP$1="Fixed",AP$1="Not Used"),SUMPRODUCT((PayEmp=$C78)*(PayDate&lt;=$AC78)*(OFFSET($N$6,1,MATCH(AP$5,PayDedList,0)-1,PayCount,1)))/$AA78*12*AP$3,IF(ISNA(MATCH(AP$1,EarnListItem,0))=FALSE,SUMPRODUCT((PayEmp=$C78)*(PayDate&lt;=$AC78)*(OFFSET($N$6,1,MATCH(AP$5,PayDedList,0)-1,PayCount,1)))/$AA78*12*AP$3,(MIN(((SUMPRODUCT((PayEmp=$C78)*(PayDate&lt;=$AC78)*(ISERROR(SEARCH(PayEarnCode,AP$2)))*(PayEarnType="Monthly")*(PayEarnValues))/$AA78*12)+(SUMPRODUCT((PayEmp=$C78)*(PayDate&lt;=$AC78)*(ISERROR(SEARCH(PayEarnCode,AP$2)))*(PayEarnType="Quarterly")*(PayEarnValues))/MAX(1,ROUNDDOWN($AB78/3,0))*4)+(SUMPRODUCT((PayEmp=$C78)*(PayDate&lt;=$AC78)*(ISERROR(SEARCH(PayEarnCode,AP$2)))*(PayEarnType="Bi-Annual")*(PayEarnValues))/MAX(1,ROUNDDOWN($AB78/6,0))*2)+(SUMPRODUCT((PayEmp=$C78)*(PayDate&lt;=$AC78)*(ISERROR(SEARCH(PayEarnCode,AP$2)))*(PayEarnType="Annual")*(PayEarnValues)))),IF(ISNUMBER(OFFSET($N$3,0,MATCH(AP$5,PayDedList,0)-1,1,1)),OFFSET($N$3,0,MATCH(AP$5,PayDedList,0)-1,1,1),IgnoreMin)))*IF(COUNTIFS(EmpNo,$C78,OFFSET(Emp!$R$4,1,MATCH(AP$5,DedListItem,0)-1,EmpCount,1),"&lt;&gt;")&gt;0,VLOOKUP($C78,EmpAll,COLUMN(Emp!$R$4)+MATCH(AP$5,DedListItem,0)-1,0),OFFSET(Setup!$E$73,MATCH(AP$5,DedListItem,0),0,1,1))*AP$3))),IF(ISNUMBER(AP$4),AP$4,IgnoreMin)))))</f>
        <v>0</v>
      </c>
      <c r="AQ78" s="148" cm="1">
        <f t="array" aca="1" ref="AQ78" ca="1">-IF($F78="Terminated",0,IF($AA78=0,0,IF(ISNA(MATCH(AQ$5,PayDedList,0)),0,MIN(IF(COUNTIFS(OverEmp,$C78,OverDeduct,AQ$5,OverDate,"&lt;"&amp;DATE(YEAR($AC78),MONTH($AC78)+1,1),OverEnd,"&gt;="&amp;DATE(YEAR($AC78),MONTH($AC78),1))&gt;0,SUMPRODUCT((PayEmp=$C78)*(PayDate&lt;=$AC78)*(OFFSET($N$6,1,MATCH(AQ$5,PayDedList,0)-1,PayCount,1)))/$AA78*12*AQ$3,IF(OR(AQ$1="Fixed",AQ$1="Not Used"),SUMPRODUCT((PayEmp=$C78)*(PayDate&lt;=$AC78)*(OFFSET($N$6,1,MATCH(AQ$5,PayDedList,0)-1,PayCount,1)))/$AA78*12*AQ$3,IF(ISNA(MATCH(AQ$1,EarnListItem,0))=FALSE,SUMPRODUCT((PayEmp=$C78)*(PayDate&lt;=$AC78)*(OFFSET($N$6,1,MATCH(AQ$5,PayDedList,0)-1,PayCount,1)))/$AA78*12*AQ$3,(MIN(((SUMPRODUCT((PayEmp=$C78)*(PayDate&lt;=$AC78)*(ISERROR(SEARCH(PayEarnCode,AQ$2)))*(PayEarnType="Monthly")*(PayEarnValues))/$AA78*12)+(SUMPRODUCT((PayEmp=$C78)*(PayDate&lt;=$AC78)*(ISERROR(SEARCH(PayEarnCode,AQ$2)))*(PayEarnType="Quarterly")*(PayEarnValues))/MAX(1,ROUNDDOWN($AB78/3,0))*4)+(SUMPRODUCT((PayEmp=$C78)*(PayDate&lt;=$AC78)*(ISERROR(SEARCH(PayEarnCode,AQ$2)))*(PayEarnType="Bi-Annual")*(PayEarnValues))/MAX(1,ROUNDDOWN($AB78/6,0))*2)+(SUMPRODUCT((PayEmp=$C78)*(PayDate&lt;=$AC78)*(ISERROR(SEARCH(PayEarnCode,AQ$2)))*(PayEarnType="Annual")*(PayEarnValues)))),IF(ISNUMBER(OFFSET($N$3,0,MATCH(AQ$5,PayDedList,0)-1,1,1)),OFFSET($N$3,0,MATCH(AQ$5,PayDedList,0)-1,1,1),IgnoreMin)))*IF(COUNTIFS(EmpNo,$C78,OFFSET(Emp!$R$4,1,MATCH(AQ$5,DedListItem,0)-1,EmpCount,1),"&lt;&gt;")&gt;0,VLOOKUP($C78,EmpAll,COLUMN(Emp!$R$4)+MATCH(AQ$5,DedListItem,0)-1,0),OFFSET(Setup!$E$73,MATCH(AQ$5,DedListItem,0),0,1,1))*AQ$3))),IF(ISNUMBER(AQ$4),AQ$4,IgnoreMin)))))</f>
        <v>0</v>
      </c>
      <c r="AR78" s="148">
        <f t="shared" ca="1" si="34"/>
        <v>60000</v>
      </c>
      <c r="AS78" s="148">
        <f t="shared" ca="1" si="42"/>
        <v>60000</v>
      </c>
      <c r="AT78" s="148" cm="1">
        <f t="array" aca="1" ref="AT78" ca="1">-IF($F78="Terminated",0,IF($AA78=0,0,IF(ISNA(MATCH(AT$5,PayDedList,0)),0,MIN(IF(COUNTIFS(OverEmp,$C78,OverDeduct,AT$5,OverDate,"&lt;"&amp;DATE(YEAR($AC78),MONTH($AC78)+1,1),OverEnd,"&gt;="&amp;DATE(YEAR($AC78),MONTH($AC78),1))&gt;0,SUMPRODUCT((PayEmp=$C78)*(PayDate&lt;=$AC78)*(OFFSET($N$6,1,MATCH(AT$5,PayDedList,0)-1,PayCount,1)))/$AA78*12*AT$3,IF(OR(AT$1="Fixed",AT$1="Not Used"),SUMPRODUCT((PayEmp=$C78)*(PayDate&lt;=$AC78)*(OFFSET($N$6,1,MATCH(AT$5,PayDedList,0)-1,PayCount,1)))/$AA78*12*AT$3,IF(ISNA(MATCH(OFFSET($N$2,0,MATCH(AT$5,PayDedList,0)-1,1,1),EarnListItem,0))=FALSE,SUMPRODUCT((PayEmp=$C78)*(PayDate&lt;=$AC78)*(OFFSET($N$6,1,MATCH(AT$5,PayDedList,0)-1,PayCount,1)))/$AA78*12*AT$3,(MIN(SUMPRODUCT((PayEmp=$C78)*(PayDate&lt;=$AC78)*(ISERROR(SEARCH(PayEarnCode,AT$2)))*(PayEarnType="Monthly")*(PayEarnValues))/$AA78*12,IF(ISNUMBER(OFFSET($N$3,0,MATCH(AT$5,PayDedList,0)-1,1,1)),OFFSET($N$3,0,MATCH(AT$5,PayDedList,0)-1,1,1),IgnoreMin)))*IF(COUNTIFS(EmpNo,$C78,OFFSET(Emp!$R$4,1,MATCH(AT$5,DedListItem,0)-1,EmpCount,1),"&lt;&gt;")&gt;0,VLOOKUP($C78,EmpAll,COLUMN(Emp!$R$4)+MATCH(AT$5,DedListItem,0)-1,0),OFFSET(Setup!$E$73,MATCH(AT$5,DedListItem,0),0,1,1))*AT$3))),IF(ISNUMBER(AT$4),AT$4,IgnoreMin)))))</f>
        <v>0</v>
      </c>
      <c r="AU78" s="148" cm="1">
        <f t="array" aca="1" ref="AU78" ca="1">-IF($F78="Terminated",0,IF($AA78=0,0,IF(ISNA(MATCH(AU$5,PayDedList,0)),0,MIN(IF(COUNTIFS(OverEmp,$C78,OverDeduct,AU$5,OverDate,"&lt;"&amp;DATE(YEAR($AC78),MONTH($AC78)+1,1),OverEnd,"&gt;="&amp;DATE(YEAR($AC78),MONTH($AC78),1))&gt;0,SUMPRODUCT((PayEmp=$C78)*(PayDate&lt;=$AC78)*(OFFSET($N$6,1,MATCH(AU$5,PayDedList,0)-1,PayCount,1)))/$AA78*12*AU$3,IF(OR(AU$1="Fixed",AU$1="Not Used"),SUMPRODUCT((PayEmp=$C78)*(PayDate&lt;=$AC78)*(OFFSET($N$6,1,MATCH(AU$5,PayDedList,0)-1,PayCount,1)))/$AA78*12*AU$3,IF(ISNA(MATCH(OFFSET($N$2,0,MATCH(AU$5,PayDedList,0)-1,1,1),EarnListItem,0))=FALSE,SUMPRODUCT((PayEmp=$C78)*(PayDate&lt;=$AC78)*(OFFSET($N$6,1,MATCH(AU$5,PayDedList,0)-1,PayCount,1)))/$AA78*12*AU$3,(MIN(SUMPRODUCT((PayEmp=$C78)*(PayDate&lt;=$AC78)*(ISERROR(SEARCH(PayEarnCode,AU$2)))*(PayEarnType="Monthly")*(PayEarnValues))/$AA78*12,IF(ISNUMBER(OFFSET($N$3,0,MATCH(AU$5,PayDedList,0)-1,1,1)),OFFSET($N$3,0,MATCH(AU$5,PayDedList,0)-1,1,1),IgnoreMin)))*IF(COUNTIFS(EmpNo,$C78,OFFSET(Emp!$R$4,1,MATCH(AU$5,DedListItem,0)-1,EmpCount,1),"&lt;&gt;")&gt;0,VLOOKUP($C78,EmpAll,COLUMN(Emp!$R$4)+MATCH(AU$5,DedListItem,0)-1,0),OFFSET(Setup!$E$73,MATCH(AU$5,DedListItem,0),0,1,1))*AU$3))),IF(ISNUMBER(AU$4),AU$4,IgnoreMin)))))</f>
        <v>0</v>
      </c>
      <c r="AV78" s="148" cm="1">
        <f t="array" aca="1" ref="AV78" ca="1">-IF($F78="Terminated",0,IF($AA78=0,0,IF(ISNA(MATCH(AV$5,PayDedList,0)),0,MIN(IF(COUNTIFS(OverEmp,$C78,OverDeduct,AV$5,OverDate,"&lt;"&amp;DATE(YEAR($AC78),MONTH($AC78)+1,1),OverEnd,"&gt;="&amp;DATE(YEAR($AC78),MONTH($AC78),1))&gt;0,SUMPRODUCT((PayEmp=$C78)*(PayDate&lt;=$AC78)*(OFFSET($N$6,1,MATCH(AV$5,PayDedList,0)-1,PayCount,1)))/$AA78*12*AV$3,IF(OR(AV$1="Fixed",AV$1="Not Used"),SUMPRODUCT((PayEmp=$C78)*(PayDate&lt;=$AC78)*(OFFSET($N$6,1,MATCH(AV$5,PayDedList,0)-1,PayCount,1)))/$AA78*12*AV$3,IF(ISNA(MATCH(OFFSET($N$2,0,MATCH(AV$5,PayDedList,0)-1,1,1),EarnListItem,0))=FALSE,SUMPRODUCT((PayEmp=$C78)*(PayDate&lt;=$AC78)*(OFFSET($N$6,1,MATCH(AV$5,PayDedList,0)-1,PayCount,1)))/$AA78*12*AV$3,(MIN(SUMPRODUCT((PayEmp=$C78)*(PayDate&lt;=$AC78)*(ISERROR(SEARCH(PayEarnCode,AV$2)))*(PayEarnType="Monthly")*(PayEarnValues))/$AA78*12,IF(ISNUMBER(OFFSET($N$3,0,MATCH(AV$5,PayDedList,0)-1,1,1)),OFFSET($N$3,0,MATCH(AV$5,PayDedList,0)-1,1,1),IgnoreMin)))*IF(COUNTIFS(EmpNo,$C78,OFFSET(Emp!$R$4,1,MATCH(AV$5,DedListItem,0)-1,EmpCount,1),"&lt;&gt;")&gt;0,VLOOKUP($C78,EmpAll,COLUMN(Emp!$R$4)+MATCH(AV$5,DedListItem,0)-1,0),OFFSET(Setup!$E$73,MATCH(AV$5,DedListItem,0),0,1,1))*AV$3))),IF(ISNUMBER(AV$4),AV$4,IgnoreMin)))))</f>
        <v>0</v>
      </c>
      <c r="AW78" s="148" cm="1">
        <f t="array" aca="1" ref="AW78" ca="1">-IF($F78="Terminated",0,IF($AA78=0,0,IF(ISNA(MATCH(AW$5,PayDedList,0)),0,MIN(IF(COUNTIFS(OverEmp,$C78,OverDeduct,AW$5,OverDate,"&lt;"&amp;DATE(YEAR($AC78),MONTH($AC78)+1,1),OverEnd,"&gt;="&amp;DATE(YEAR($AC78),MONTH($AC78),1))&gt;0,SUMPRODUCT((PayEmp=$C78)*(PayDate&lt;=$AC78)*(OFFSET($N$6,1,MATCH(AW$5,PayDedList,0)-1,PayCount,1)))/$AA78*12*AW$3,IF(OR(AW$1="Fixed",AW$1="Not Used"),SUMPRODUCT((PayEmp=$C78)*(PayDate&lt;=$AC78)*(OFFSET($N$6,1,MATCH(AW$5,PayDedList,0)-1,PayCount,1)))/$AA78*12*AW$3,IF(ISNA(MATCH(OFFSET($N$2,0,MATCH(AW$5,PayDedList,0)-1,1,1),EarnListItem,0))=FALSE,SUMPRODUCT((PayEmp=$C78)*(PayDate&lt;=$AC78)*(OFFSET($N$6,1,MATCH(AW$5,PayDedList,0)-1,PayCount,1)))/$AA78*12*AW$3,(MIN(SUMPRODUCT((PayEmp=$C78)*(PayDate&lt;=$AC78)*(ISERROR(SEARCH(PayEarnCode,AW$2)))*(PayEarnType="Monthly")*(PayEarnValues))/$AA78*12,IF(ISNUMBER(OFFSET($N$3,0,MATCH(AW$5,PayDedList,0)-1,1,1)),OFFSET($N$3,0,MATCH(AW$5,PayDedList,0)-1,1,1),IgnoreMin)))*IF(COUNTIFS(EmpNo,$C78,OFFSET(Emp!$R$4,1,MATCH(AW$5,DedListItem,0)-1,EmpCount,1),"&lt;&gt;")&gt;0,VLOOKUP($C78,EmpAll,COLUMN(Emp!$R$4)+MATCH(AW$5,DedListItem,0)-1,0),OFFSET(Setup!$E$73,MATCH(AW$5,DedListItem,0),0,1,1))*AW$3))),IF(ISNUMBER(AW$4),AW$4,IgnoreMin)))))</f>
        <v>0</v>
      </c>
      <c r="AX78" s="148">
        <f t="shared" ca="1" si="43"/>
        <v>60000</v>
      </c>
      <c r="AY78" s="148">
        <f t="shared" ca="1" si="44"/>
        <v>0</v>
      </c>
      <c r="AZ78" s="148">
        <f ca="1">IF(ISNUMBER($AL78),($AR78*$AL78)-$AI78-$AK78,MAX(0,IF($AL78="B",IF($AR78&lt;Setup!$C$32,($AR78*Setup!$D$32)-$AI78-$AK78,(($AR78-VLOOKUP($AR78,TaxAll2,1,1))*OFFSET(Setup!$D$32,MATCH($AR78,TaxBracket2,1),0,1,1))+OFFSET(Setup!$E$31,MATCH($AR78,TaxBracket2,1),0,1,1)-$AI78-$AK78),IF($AR78&lt;Setup!$C$21,($AR78*Setup!$D$21)-$AI78-$AK78,(($AR78-VLOOKUP($AR78,TaxAll1,1,1))*OFFSET(Setup!$D$21,MATCH($AR78,TaxBracket1,1),0,1,1))+OFFSET(Setup!$E$20,MATCH($AR78,TaxBracket1,1),0,1,1)-$AI78-$AK78))))</f>
        <v>0</v>
      </c>
      <c r="BA78" s="148">
        <f ca="1">IF(ISNUMBER($AL78),($AX78*$AL78)-$AI78-$AK78,MAX(0,IF($AL78="B",IF($AX78&lt;Setup!$C$32,($AX78*Setup!$D$32)-$AI78-$AK78,(($AX78-VLOOKUP($AX78,TaxAll2,1,1))*OFFSET(Setup!$D$32,MATCH($AX78,TaxBracket2,1),0,1,1))+OFFSET(Setup!$E$31,MATCH($AX78,TaxBracket2,1),0,1,1)-$AI78-$AK78),IF($AX78&lt;Setup!$C$21,($AX78*Setup!$D$21)-$AI78-$AK78,(($AX78-VLOOKUP($AX78,TaxAll1,1,1))*OFFSET(Setup!$D$21,MATCH($AX78,TaxBracket1,1),0,1,1))+OFFSET(Setup!$E$20,MATCH($AX78,TaxBracket1,1),0,1,1)-$AI78-$AK78))))</f>
        <v>0</v>
      </c>
      <c r="BB78" s="148">
        <f t="shared" ca="1" si="35"/>
        <v>0</v>
      </c>
      <c r="BC78" s="150">
        <f t="shared" ca="1" si="45"/>
        <v>1</v>
      </c>
      <c r="BD78" s="150">
        <f t="shared" ca="1" si="46"/>
        <v>0</v>
      </c>
      <c r="BE78" s="148">
        <f t="shared" ca="1" si="47"/>
        <v>60000</v>
      </c>
    </row>
    <row r="79" spans="1:57" ht="16.149999999999999" customHeight="1" x14ac:dyDescent="0.25">
      <c r="A79" s="10" t="str" cm="1">
        <f t="array" aca="1" ref="A79" ca="1">IF(ROW($A79)-ROW($A$6)&gt;EmpCount*12,"-",TEXT($B79,"yyyy")&amp;TEXT($B79,"mm")&amp;"-"&amp;$C79)</f>
        <v>202307-EXS013</v>
      </c>
      <c r="B79" s="137" cm="1">
        <f t="array" aca="1" ref="B79" ca="1">IF(ROW($A79)-ROW($A$6)&gt;EmpCount*12,Setup!$D$12,DATE(YEAR(Setup!$F$12),MONTH(Setup!$F$12)+ROUNDDOWN((ROW($A79)-ROW($A$6)-1)/EmpCount,0),IF(Setup!$C$14&gt;DAY(DATE(YEAR(Setup!$F$12),MONTH(Setup!$F$12)+ROUNDDOWN((ROW($A79)-ROW($A$6)-1)/EmpCount,0)+1,0)),DAY(DATE(YEAR(Setup!$F$12),MONTH(Setup!$F$12)+ROUNDDOWN((ROW($A79)-ROW($A$6)-1)/EmpCount,0)+1,0)),Setup!$C$14)))</f>
        <v>45132</v>
      </c>
      <c r="C79" s="101" t="str" cm="1">
        <f t="array" aca="1" ref="C79" ca="1">IF(ROW($A79)-ROW($A$6)&gt;EmpCount*12,"-",OFFSET(Emp!$A$4,ROW($A79)-ROW($A$6)-IF(ROW($A79)-ROW($A$6)&gt;EmpCount,ROUNDDOWN((ROW($A79)-ROW($A$6)-1)/EmpCount,0)*EmpCount,0),0,1,1))</f>
        <v>EXS013</v>
      </c>
      <c r="D79" s="10" t="str">
        <f ca="1">IF(ISNA(VLOOKUP($C79,EmpAll,COLUMN(Emp!$B$4),0)),"-",VLOOKUP($C79,EmpAll,COLUMN(Emp!$B$4),0))</f>
        <v>East WD</v>
      </c>
      <c r="E79" s="145" t="str">
        <f ca="1">IF(ISNA(VLOOKUP($C79,EmpAll,COLUMN(Emp!$C$4),0)),"-",VLOOKUP($C79,EmpAll,COLUMN(Emp!$C$4),0))</f>
        <v>A</v>
      </c>
      <c r="F79" s="101" t="str">
        <f ca="1">IF(ISNA(VLOOKUP($C79,EmpAll,COLUMN(Emp!$A$4),0)),"-",IF(AND(VLOOKUP($C79,EmpAll,COLUMN(Emp!$E$4),0)&lt;&gt;0,VLOOKUP($C79,EmpAll,COLUMN(Emp!$E$4),0)&gt;=DATE(YEAR($AC79),MONTH($AC79)+1,0)),"Inactive",IF(AND(VLOOKUP($C79,EmpAll,COLUMN(Emp!$F$4),0)&lt;&gt;0,VLOOKUP($C79,EmpAll,COLUMN(Emp!$F$4),0)&lt;=DATE(YEAR($AC79),MONTH($AC79),0)),"Terminated","Active")))</f>
        <v>Active</v>
      </c>
      <c r="G79" s="133" cm="1">
        <f t="array" aca="1" ref="G79" ca="1">IF($F79&lt;&gt;"Active",0,IF(COUNTIFS(OverEmp,$C79,OverEarn,G$2,OverDate,"&lt;"&amp;DATE(YEAR($AC79),MONTH($AC79)+1,1),OverEnd,"&gt;="&amp;DATE(YEAR($AC79),MONTH($AC79),1))&gt;0,SUMIFS(OverValue,OverEmp,$C79,OverEarn,G$2,OverDate,"&lt;"&amp;DATE(YEAR($AC79),MONTH($AC79)+1,1),OverEnd,"&gt;="&amp;DATE(YEAR($AC79),MONTH($AC79),1)),IF(AND($AC79&gt;=Setup!$E$10,SUMIFS(EmpIncrease,EmpCode,$C79)&gt;0),SUMIFS(EmpIncrease,EmpCode,$C79),SUMIFS(EmpSalary,EmpCode,$C79))))</f>
        <v>5000</v>
      </c>
      <c r="H79" s="133" cm="1">
        <f t="array" aca="1" ref="H79" ca="1">IF($F79&lt;&gt;"Active",0,IF(COUNTIFS(OverEmp,$C79,OverEarn,H$2,OverDate,"&lt;"&amp;DATE(YEAR($AC79),MONTH($AC79)+1,1),OverEnd,"&gt;="&amp;DATE(YEAR($AC79),MONTH($AC79),1))&gt;0,SUMIFS(OverValue,OverEmp,$C79,OverEarn,H$2,OverDate,"&lt;"&amp;DATE(YEAR($AC79),MONTH($AC79)+1,1),OverEnd,"&gt;="&amp;DATE(YEAR($AC79),MONTH($AC79),1)),0))</f>
        <v>0</v>
      </c>
      <c r="I79" s="133" cm="1">
        <f t="array" aca="1" ref="I79" ca="1">IF($F79&lt;&gt;"Active",0,IF(COUNTIFS(OverEmp,$C79,OverEarn,I$2,OverDate,"&lt;"&amp;DATE(YEAR($AC79),MONTH($AC79)+1,1),OverEnd,"&gt;="&amp;DATE(YEAR($AC79),MONTH($AC79),1))&gt;0,SUMIFS(OverValue,OverEmp,$C79,OverEarn,I$2,OverDate,"&lt;"&amp;DATE(YEAR($AC79),MONTH($AC79)+1,1),OverEnd,"&gt;="&amp;DATE(YEAR($AC79),MONTH($AC79),1)),IF(MONTH(B79)=Setup!$C$15,SUMIFS(EmpBonus,EmpCode,$C79),0)))</f>
        <v>0</v>
      </c>
      <c r="J79" s="133" cm="1">
        <f t="array" aca="1" ref="J79" ca="1">IF($F79&lt;&gt;"Active",0,IF(COUNTIFS(OverEmp,$C79,OverEarn,J$2,OverDate,"&lt;"&amp;DATE(YEAR($AC79),MONTH($AC79)+1,1),OverEnd,"&gt;="&amp;DATE(YEAR($AC79),MONTH($AC79),1))&gt;0,SUMIFS(OverValue,OverEmp,$C79,OverEarn,J$2,OverDate,"&lt;"&amp;DATE(YEAR($AC79),MONTH($AC79)+1,1),OverEnd,"&gt;="&amp;DATE(YEAR($AC79),MONTH($AC79),1)),0))</f>
        <v>0</v>
      </c>
      <c r="K79" s="133" cm="1">
        <f t="array" aca="1" ref="K79" ca="1">IF($F79&lt;&gt;"Active",0,IF(COUNTIFS(OverEmp,$C79,OverEarn,K$2,OverDate,"&lt;"&amp;DATE(YEAR($AC79),MONTH($AC79)+1,1),OverEnd,"&gt;="&amp;DATE(YEAR($AC79),MONTH($AC79),1))&gt;0,SUMIFS(OverValue,OverEmp,$C79,OverEarn,K$2,OverDate,"&lt;"&amp;DATE(YEAR($AC79),MONTH($AC79)+1,1),OverEnd,"&gt;="&amp;DATE(YEAR($AC79),MONTH($AC79),1)),0))</f>
        <v>0</v>
      </c>
      <c r="L79" s="185">
        <f t="shared" ca="1" si="36"/>
        <v>5000</v>
      </c>
      <c r="M79" s="182" cm="1">
        <f t="array" aca="1" ref="M79" ca="1">IF(COUNTIFS(OverEmp,$C79,OverTax,M$5,OverDate,"&lt;"&amp;DATE(YEAR($AC79),MONTH($AC79)+1,1),OverEnd,"&gt;="&amp;DATE(YEAR($AC79),MONTH($AC79),1))&gt;0,SUMIFS(OverValue,OverEmp,$C79,OverTax,M$5,OverDate,"&lt;"&amp;DATE(YEAR($AC79),MONTH($AC79)+1,1),OverEnd,"&gt;="&amp;DATE(YEAR($AC79),MONTH($AC79),1)),(($BA79/12*$AA79)+(BB79*IF(1-$BC79=0,0,BD79/(1-$BC79))))-IF($F79="Terminated",0,SUMIFS(PayTaxDeduct,PayDate,"&lt;"&amp;$AC79,PayEmp,$C79)))</f>
        <v>0</v>
      </c>
      <c r="N79" s="133" cm="1">
        <f t="array" aca="1" ref="N79" ca="1">IF($F79="Terminated",0,IF($AA79=0,0,IF(ISNA(MATCH(N$5,DedListItem,0)),0,IF(COUNTIFS(OverEmp,$C79,OverDeduct,N$5,OverDate,"&lt;"&amp;DATE(YEAR($AC79),MONTH($AC79)+1,1),OverEnd,"&gt;="&amp;DATE(YEAR($AC79),MONTH($AC79),1))&gt;0,SUMIFS(OverValue,OverEmp,$C79,OverDeduct,N$5,OverDate,"&lt;"&amp;DATE(YEAR($AC79),MONTH($AC79)+1,1),OverEnd,"&gt;="&amp;DATE(YEAR($AC79),MONTH($AC79),1)),IF(OR(N$2="Fixed",N$2="Not Used"),(IF(COUNTIFS(EmpNo,$C79,OFFSET(Emp!$R$4,1,MATCH(N$5,DedListItem,0)-1,EmpCount,1),"&lt;&gt;")&gt;0,VLOOKUP($C79,EmpAll,COLUMN(Emp!$R$4)+MATCH(N$5,DedListItem,0)-1,0),OFFSET(Setup!$E$73,MATCH(N$5,DedListItem,0),0,1,1))*$AA79)-SUMIFS(OFFSET(N$6,1,0,PayCount,1),PayDate,"&lt;"&amp;$AC79,PayEmp,$C79),IF(ISNA(MATCH(N$2,EarnListItem,0))=FALSE,IF(OFFSET(Setup!$G$73,MATCH(N$5,DedListItem,0),0,1,1)="Taxable",SUMPRODUCT((PayEmp=$C79)*(PayDate&lt;=$AC79)*(PayEarnCode=N$2)*(PayEarnTax)*(PayEarnValues)),SUMPRODUCT((PayEmp=$C79)*(PayDate&lt;=$AC79)*(PayEarnCode=N$2)*(PayEarnValues)))*IF(COUNTIFS(EmpNo,$C79,OFFSET(Emp!$R$4,1,MATCH(N$5,DedListItem,0)-1,EmpCount,1),"&lt;&gt;")&gt;0,VLOOKUP($C79,EmpAll,COLUMN(Emp!$R$4)+MATCH(N$5,DedListItem,0)-1,0),OFFSET(Setup!$E$73,MATCH(N$5,DedListItem,0),0,1,1)),(MIN(IF(OFFSET(Setup!$G$73,MATCH(N$5,DedListItem,0),0,1,1)="Taxable",SUMPRODUCT((PayEmp=$C79)*(PayDate&lt;=$AC79)*(ISERROR(SEARCH(PayEarnCode,N$4)))*(PayEarnTax)*(PayEarnValues)),SUMPRODUCT((PayEmp=$C79)*(PayDate&lt;=$AC79)*(ISERROR(SEARCH(PayEarnCode,N$4)))*(PayEarnValues))),IF(ISNUMBER(N$3),N$3/12*$AA79,IgnoreMin)))*IF(COUNTIFS(EmpNo,$C79,OFFSET(Emp!$R$4,1,MATCH(N$5,DedListItem,0)-1,EmpCount,1),"&lt;&gt;")&gt;0,VLOOKUP($C79,EmpAll,COLUMN(Emp!$R$4)+MATCH(N$5,DedListItem,0)-1,0),OFFSET(Setup!$E$73,MATCH(N$5,DedListItem,0),0,1,1)))-SUMIFS(OFFSET(N$6,1,0,PayCount,1),PayDate,"&lt;"&amp;$AC79,PayEmp,$C79))))))</f>
        <v>50</v>
      </c>
      <c r="O79" s="133" cm="1">
        <f t="array" aca="1" ref="O79" ca="1">IF($F79="Terminated",0,IF($AA79=0,0,IF(ISNA(MATCH(O$5,DedListItem,0)),0,IF(COUNTIFS(OverEmp,$C79,OverDeduct,O$5,OverDate,"&lt;"&amp;DATE(YEAR($AC79),MONTH($AC79)+1,1),OverEnd,"&gt;="&amp;DATE(YEAR($AC79),MONTH($AC79),1))&gt;0,SUMIFS(OverValue,OverEmp,$C79,OverDeduct,O$5,OverDate,"&lt;"&amp;DATE(YEAR($AC79),MONTH($AC79)+1,1),OverEnd,"&gt;="&amp;DATE(YEAR($AC79),MONTH($AC79),1)),IF(OR(O$2="Fixed",O$2="Not Used"),(IF(COUNTIFS(EmpNo,$C79,OFFSET(Emp!$R$4,1,MATCH(O$5,DedListItem,0)-1,EmpCount,1),"&lt;&gt;")&gt;0,VLOOKUP($C79,EmpAll,COLUMN(Emp!$R$4)+MATCH(O$5,DedListItem,0)-1,0),OFFSET(Setup!$E$73,MATCH(O$5,DedListItem,0),0,1,1))*$AA79)-SUMIFS(OFFSET(O$6,1,0,PayCount,1),PayDate,"&lt;"&amp;$AC79,PayEmp,$C79),IF(ISNA(MATCH(O$2,EarnListItem,0))=FALSE,IF(OFFSET(Setup!$G$73,MATCH(O$5,DedListItem,0),0,1,1)="Taxable",SUMPRODUCT((PayEmp=$C79)*(PayDate&lt;=$AC79)*(PayEarnCode=O$2)*(PayEarnTax)*(PayEarnValues)),SUMPRODUCT((PayEmp=$C79)*(PayDate&lt;=$AC79)*(PayEarnCode=O$2)*(PayEarnValues)))*IF(COUNTIFS(EmpNo,$C79,OFFSET(Emp!$R$4,1,MATCH(O$5,DedListItem,0)-1,EmpCount,1),"&lt;&gt;")&gt;0,VLOOKUP($C79,EmpAll,COLUMN(Emp!$R$4)+MATCH(O$5,DedListItem,0)-1,0),OFFSET(Setup!$E$73,MATCH(O$5,DedListItem,0),0,1,1)),(MIN(IF(OFFSET(Setup!$G$73,MATCH(O$5,DedListItem,0),0,1,1)="Taxable",SUMPRODUCT((PayEmp=$C79)*(PayDate&lt;=$AC79)*(ISERROR(SEARCH(PayEarnCode,O$4)))*(PayEarnTax)*(PayEarnValues)),SUMPRODUCT((PayEmp=$C79)*(PayDate&lt;=$AC79)*(ISERROR(SEARCH(PayEarnCode,O$4)))*(PayEarnValues))),IF(ISNUMBER(O$3),O$3/12*$AA79,IgnoreMin)))*IF(COUNTIFS(EmpNo,$C79,OFFSET(Emp!$R$4,1,MATCH(O$5,DedListItem,0)-1,EmpCount,1),"&lt;&gt;")&gt;0,VLOOKUP($C79,EmpAll,COLUMN(Emp!$R$4)+MATCH(O$5,DedListItem,0)-1,0),OFFSET(Setup!$E$73,MATCH(O$5,DedListItem,0),0,1,1)))-SUMIFS(OFFSET(O$6,1,0,PayCount,1),PayDate,"&lt;"&amp;$AC79,PayEmp,$C79))))))</f>
        <v>0</v>
      </c>
      <c r="P79" s="133" cm="1">
        <f t="array" aca="1" ref="P79" ca="1">IF($F79="Terminated",0,IF($AA79=0,0,IF(ISNA(MATCH(P$5,DedListItem,0)),0,IF(COUNTIFS(OverEmp,$C79,OverDeduct,P$5,OverDate,"&lt;"&amp;DATE(YEAR($AC79),MONTH($AC79)+1,1),OverEnd,"&gt;="&amp;DATE(YEAR($AC79),MONTH($AC79),1))&gt;0,SUMIFS(OverValue,OverEmp,$C79,OverDeduct,P$5,OverDate,"&lt;"&amp;DATE(YEAR($AC79),MONTH($AC79)+1,1),OverEnd,"&gt;="&amp;DATE(YEAR($AC79),MONTH($AC79),1)),IF(OR(P$2="Fixed",P$2="Not Used"),(IF(COUNTIFS(EmpNo,$C79,OFFSET(Emp!$R$4,1,MATCH(P$5,DedListItem,0)-1,EmpCount,1),"&lt;&gt;")&gt;0,VLOOKUP($C79,EmpAll,COLUMN(Emp!$R$4)+MATCH(P$5,DedListItem,0)-1,0),OFFSET(Setup!$E$73,MATCH(P$5,DedListItem,0),0,1,1))*$AA79)-SUMIFS(OFFSET(P$6,1,0,PayCount,1),PayDate,"&lt;"&amp;$AC79,PayEmp,$C79),IF(ISNA(MATCH(P$2,EarnListItem,0))=FALSE,IF(OFFSET(Setup!$G$73,MATCH(P$5,DedListItem,0),0,1,1)="Taxable",SUMPRODUCT((PayEmp=$C79)*(PayDate&lt;=$AC79)*(PayEarnCode=P$2)*(PayEarnTax)*(PayEarnValues)),SUMPRODUCT((PayEmp=$C79)*(PayDate&lt;=$AC79)*(PayEarnCode=P$2)*(PayEarnValues)))*IF(COUNTIFS(EmpNo,$C79,OFFSET(Emp!$R$4,1,MATCH(P$5,DedListItem,0)-1,EmpCount,1),"&lt;&gt;")&gt;0,VLOOKUP($C79,EmpAll,COLUMN(Emp!$R$4)+MATCH(P$5,DedListItem,0)-1,0),OFFSET(Setup!$E$73,MATCH(P$5,DedListItem,0),0,1,1)),(MIN(IF(OFFSET(Setup!$G$73,MATCH(P$5,DedListItem,0),0,1,1)="Taxable",SUMPRODUCT((PayEmp=$C79)*(PayDate&lt;=$AC79)*(ISERROR(SEARCH(PayEarnCode,P$4)))*(PayEarnTax)*(PayEarnValues)),SUMPRODUCT((PayEmp=$C79)*(PayDate&lt;=$AC79)*(ISERROR(SEARCH(PayEarnCode,P$4)))*(PayEarnValues))),IF(ISNUMBER(P$3),P$3/12*$AA79,IgnoreMin)))*IF(COUNTIFS(EmpNo,$C79,OFFSET(Emp!$R$4,1,MATCH(P$5,DedListItem,0)-1,EmpCount,1),"&lt;&gt;")&gt;0,VLOOKUP($C79,EmpAll,COLUMN(Emp!$R$4)+MATCH(P$5,DedListItem,0)-1,0),OFFSET(Setup!$E$73,MATCH(P$5,DedListItem,0),0,1,1)))-SUMIFS(OFFSET(P$6,1,0,PayCount,1),PayDate,"&lt;"&amp;$AC79,PayEmp,$C79))))))</f>
        <v>0</v>
      </c>
      <c r="Q79" s="133" cm="1">
        <f t="array" aca="1" ref="Q79" ca="1">IF($F79="Terminated",0,IF($AA79=0,0,IF(ISNA(MATCH(Q$5,DedListItem,0)),0,IF(COUNTIFS(OverEmp,$C79,OverDeduct,Q$5,OverDate,"&lt;"&amp;DATE(YEAR($AC79),MONTH($AC79)+1,1),OverEnd,"&gt;="&amp;DATE(YEAR($AC79),MONTH($AC79),1))&gt;0,SUMIFS(OverValue,OverEmp,$C79,OverDeduct,Q$5,OverDate,"&lt;"&amp;DATE(YEAR($AC79),MONTH($AC79)+1,1),OverEnd,"&gt;="&amp;DATE(YEAR($AC79),MONTH($AC79),1)),IF(OR(Q$2="Fixed",Q$2="Not Used"),(IF(COUNTIFS(EmpNo,$C79,OFFSET(Emp!$R$4,1,MATCH(Q$5,DedListItem,0)-1,EmpCount,1),"&lt;&gt;")&gt;0,VLOOKUP($C79,EmpAll,COLUMN(Emp!$R$4)+MATCH(Q$5,DedListItem,0)-1,0),OFFSET(Setup!$E$73,MATCH(Q$5,DedListItem,0),0,1,1))*$AA79)-SUMIFS(OFFSET(Q$6,1,0,PayCount,1),PayDate,"&lt;"&amp;$AC79,PayEmp,$C79),IF(ISNA(MATCH(Q$2,EarnListItem,0))=FALSE,IF(OFFSET(Setup!$G$73,MATCH(Q$5,DedListItem,0),0,1,1)="Taxable",SUMPRODUCT((PayEmp=$C79)*(PayDate&lt;=$AC79)*(PayEarnCode=Q$2)*(PayEarnTax)*(PayEarnValues)),SUMPRODUCT((PayEmp=$C79)*(PayDate&lt;=$AC79)*(PayEarnCode=Q$2)*(PayEarnValues)))*IF(COUNTIFS(EmpNo,$C79,OFFSET(Emp!$R$4,1,MATCH(Q$5,DedListItem,0)-1,EmpCount,1),"&lt;&gt;")&gt;0,VLOOKUP($C79,EmpAll,COLUMN(Emp!$R$4)+MATCH(Q$5,DedListItem,0)-1,0),OFFSET(Setup!$E$73,MATCH(Q$5,DedListItem,0),0,1,1)),(MIN(IF(OFFSET(Setup!$G$73,MATCH(Q$5,DedListItem,0),0,1,1)="Taxable",SUMPRODUCT((PayEmp=$C79)*(PayDate&lt;=$AC79)*(ISERROR(SEARCH(PayEarnCode,Q$4)))*(PayEarnTax)*(PayEarnValues)),SUMPRODUCT((PayEmp=$C79)*(PayDate&lt;=$AC79)*(ISERROR(SEARCH(PayEarnCode,Q$4)))*(PayEarnValues))),IF(ISNUMBER(Q$3),Q$3/12*$AA79,IgnoreMin)))*IF(COUNTIFS(EmpNo,$C79,OFFSET(Emp!$R$4,1,MATCH(Q$5,DedListItem,0)-1,EmpCount,1),"&lt;&gt;")&gt;0,VLOOKUP($C79,EmpAll,COLUMN(Emp!$R$4)+MATCH(Q$5,DedListItem,0)-1,0),OFFSET(Setup!$E$73,MATCH(Q$5,DedListItem,0),0,1,1)))-SUMIFS(OFFSET(Q$6,1,0,PayCount,1),PayDate,"&lt;"&amp;$AC79,PayEmp,$C79))))))</f>
        <v>0</v>
      </c>
      <c r="R79" s="185">
        <f t="shared" ca="1" si="37"/>
        <v>50</v>
      </c>
      <c r="S79" s="139">
        <f t="shared" ca="1" si="38"/>
        <v>4950</v>
      </c>
      <c r="T79" s="133" cm="1">
        <f t="array" aca="1" ref="T79" ca="1">IF($F79="Terminated",0,IF($AA79=0,0,IF(ISNA(MATCH(T$5,CompListItem,0)),0,IF(COUNTIFS(OverEmp,$C79,OverComp,T$5,OverDate,"&lt;"&amp;DATE(YEAR($AC79),MONTH($AC79)+1,1),OverEnd,"&gt;="&amp;DATE(YEAR($AC79),MONTH($AC79),1))&gt;0,SUMIFS(OverValue,OverEmp,$C79,OverComp,T$5,OverDate,"&lt;"&amp;DATE(YEAR($AC79),MONTH($AC79)+1,1),OverEnd,"&gt;="&amp;DATE(YEAR($AC79),MONTH($AC79),1)),IF(OR(T$2="Fixed",T$2="Not Used"),(OFFSET(Setup!$E$81,MATCH(T$5,CompListItem,0),0,1,1)*$AA79)-SUMIFS(OFFSET(T$6,1,0,PayCount,1),PayDate,"&lt;"&amp;$AC79,PayEmp,$C79),IF(ISNA(MATCH(T$2,DedListItem,0))=FALSE,(SUMPRODUCT((PayEmp=$C79)*(PayDate&lt;=$AC79)*(PayDedList=T$2)*(PayDedValues))*OFFSET(Setup!$E$81,MATCH(T$5,CompListItem,0),0,1,1))-SUMIFS(OFFSET(T$6,1,0,PayCount,1),PayDate,"&lt;"&amp;$AC79,PayEmp,$C79),(MIN(IF(OFFSET(Setup!$G$81,MATCH(T$5,CompListItem,0),0,1,1)="Taxable",SUMPRODUCT((PayEmp=$C79)*(PayDate&lt;=$AC79)*(ISERROR(SEARCH(PayEarnCode,T$4)))*(PayEarnTax)*(PayEarnValues)),SUMPRODUCT((PayEmp=$C79)*(PayDate&lt;=$AC79)*(ISERROR(SEARCH(PayEarnCode,T$4)))*(PayEarnValues))),IF(ISNUMBER(T$3),T$3/12*$AA79,IgnoreMin)))*OFFSET(Setup!$E$81,MATCH(T$5,CompListItem,0),0,1,1)-SUMIFS(OFFSET(T$6,1,0,PayCount,1),PayDate,"&lt;"&amp;$AC79,PayEmp,$C79)))))))</f>
        <v>50</v>
      </c>
      <c r="U79" s="133" cm="1">
        <f t="array" aca="1" ref="U79" ca="1">IF($F79="Terminated",0,IF($AA79=0,0,IF(ISNA(MATCH(U$5,CompListItem,0)),0,IF(COUNTIFS(OverEmp,$C79,OverComp,U$5,OverDate,"&lt;"&amp;DATE(YEAR($AC79),MONTH($AC79)+1,1),OverEnd,"&gt;="&amp;DATE(YEAR($AC79),MONTH($AC79),1))&gt;0,SUMIFS(OverValue,OverEmp,$C79,OverComp,U$5,OverDate,"&lt;"&amp;DATE(YEAR($AC79),MONTH($AC79)+1,1),OverEnd,"&gt;="&amp;DATE(YEAR($AC79),MONTH($AC79),1)),IF(OR(U$2="Fixed",U$2="Not Used"),(OFFSET(Setup!$E$81,MATCH(U$5,CompListItem,0),0,1,1)*$AA79)-SUMIFS(OFFSET(U$6,1,0,PayCount,1),PayDate,"&lt;"&amp;$AC79,PayEmp,$C79),IF(ISNA(MATCH(U$2,DedListItem,0))=FALSE,(SUMPRODUCT((PayEmp=$C79)*(PayDate&lt;=$AC79)*(PayDedList=U$2)*(PayDedValues))*OFFSET(Setup!$E$81,MATCH(U$5,CompListItem,0),0,1,1))-SUMIFS(OFFSET(U$6,1,0,PayCount,1),PayDate,"&lt;"&amp;$AC79,PayEmp,$C79),(MIN(IF(OFFSET(Setup!$G$81,MATCH(U$5,CompListItem,0),0,1,1)="Taxable",SUMPRODUCT((PayEmp=$C79)*(PayDate&lt;=$AC79)*(ISERROR(SEARCH(PayEarnCode,U$4)))*(PayEarnTax)*(PayEarnValues)),SUMPRODUCT((PayEmp=$C79)*(PayDate&lt;=$AC79)*(ISERROR(SEARCH(PayEarnCode,U$4)))*(PayEarnValues))),IF(ISNUMBER(U$3),U$3/12*$AA79,IgnoreMin)))*OFFSET(Setup!$E$81,MATCH(U$5,CompListItem,0),0,1,1)-SUMIFS(OFFSET(U$6,1,0,PayCount,1),PayDate,"&lt;"&amp;$AC79,PayEmp,$C79)))))))</f>
        <v>50</v>
      </c>
      <c r="V79" s="133" cm="1">
        <f t="array" aca="1" ref="V79" ca="1">IF($F79="Terminated",0,IF($AA79=0,0,IF(ISNA(MATCH(V$5,CompListItem,0)),0,IF(COUNTIFS(OverEmp,$C79,OverComp,V$5,OverDate,"&lt;"&amp;DATE(YEAR($AC79),MONTH($AC79)+1,1),OverEnd,"&gt;="&amp;DATE(YEAR($AC79),MONTH($AC79),1))&gt;0,SUMIFS(OverValue,OverEmp,$C79,OverComp,V$5,OverDate,"&lt;"&amp;DATE(YEAR($AC79),MONTH($AC79)+1,1),OverEnd,"&gt;="&amp;DATE(YEAR($AC79),MONTH($AC79),1)),IF(OR(V$2="Fixed",V$2="Not Used"),(OFFSET(Setup!$E$81,MATCH(V$5,CompListItem,0),0,1,1)*$AA79)-SUMIFS(OFFSET(V$6,1,0,PayCount,1),PayDate,"&lt;"&amp;$AC79,PayEmp,$C79),IF(ISNA(MATCH(V$2,DedListItem,0))=FALSE,(SUMPRODUCT((PayEmp=$C79)*(PayDate&lt;=$AC79)*(PayDedList=V$2)*(PayDedValues))*OFFSET(Setup!$E$81,MATCH(V$5,CompListItem,0),0,1,1))-SUMIFS(OFFSET(V$6,1,0,PayCount,1),PayDate,"&lt;"&amp;$AC79,PayEmp,$C79),(MIN(IF(OFFSET(Setup!$G$81,MATCH(V$5,CompListItem,0),0,1,1)="Taxable",SUMPRODUCT((PayEmp=$C79)*(PayDate&lt;=$AC79)*(ISERROR(SEARCH(PayEarnCode,V$4)))*(PayEarnTax)*(PayEarnValues)),SUMPRODUCT((PayEmp=$C79)*(PayDate&lt;=$AC79)*(ISERROR(SEARCH(PayEarnCode,V$4)))*(PayEarnValues))),IF(ISNUMBER(V$3),V$3/12*$AA79,IgnoreMin)))*OFFSET(Setup!$E$81,MATCH(V$5,CompListItem,0),0,1,1)-SUMIFS(OFFSET(V$6,1,0,PayCount,1),PayDate,"&lt;"&amp;$AC79,PayEmp,$C79)))))))</f>
        <v>0</v>
      </c>
      <c r="W79" s="133" cm="1">
        <f t="array" aca="1" ref="W79" ca="1">IF($F79="Terminated",0,IF($AA79=0,0,IF(ISNA(MATCH(W$5,CompListItem,0)),0,IF(COUNTIFS(OverEmp,$C79,OverComp,W$5,OverDate,"&lt;"&amp;DATE(YEAR($AC79),MONTH($AC79)+1,1),OverEnd,"&gt;="&amp;DATE(YEAR($AC79),MONTH($AC79),1))&gt;0,SUMIFS(OverValue,OverEmp,$C79,OverComp,W$5,OverDate,"&lt;"&amp;DATE(YEAR($AC79),MONTH($AC79)+1,1),OverEnd,"&gt;="&amp;DATE(YEAR($AC79),MONTH($AC79),1)),IF(OR(W$2="Fixed",W$2="Not Used"),(OFFSET(Setup!$E$81,MATCH(W$5,CompListItem,0),0,1,1)*$AA79)-SUMIFS(OFFSET(W$6,1,0,PayCount,1),PayDate,"&lt;"&amp;$AC79,PayEmp,$C79),IF(ISNA(MATCH(W$2,DedListItem,0))=FALSE,(SUMPRODUCT((PayEmp=$C79)*(PayDate&lt;=$AC79)*(PayDedList=W$2)*(PayDedValues))*OFFSET(Setup!$E$81,MATCH(W$5,CompListItem,0),0,1,1))-SUMIFS(OFFSET(W$6,1,0,PayCount,1),PayDate,"&lt;"&amp;$AC79,PayEmp,$C79),(MIN(IF(OFFSET(Setup!$G$81,MATCH(W$5,CompListItem,0),0,1,1)="Taxable",SUMPRODUCT((PayEmp=$C79)*(PayDate&lt;=$AC79)*(ISERROR(SEARCH(PayEarnCode,W$4)))*(PayEarnTax)*(PayEarnValues)),SUMPRODUCT((PayEmp=$C79)*(PayDate&lt;=$AC79)*(ISERROR(SEARCH(PayEarnCode,W$4)))*(PayEarnValues))),IF(ISNUMBER(W$3),W$3/12*$AA79,IgnoreMin)))*OFFSET(Setup!$E$81,MATCH(W$5,CompListItem,0),0,1,1)-SUMIFS(OFFSET(W$6,1,0,PayCount,1),PayDate,"&lt;"&amp;$AC79,PayEmp,$C79)))))))</f>
        <v>0</v>
      </c>
      <c r="X79" s="185">
        <f t="shared" ca="1" si="30"/>
        <v>100</v>
      </c>
      <c r="Y79" s="139">
        <f t="shared" ca="1" si="39"/>
        <v>5100</v>
      </c>
      <c r="Z79" s="139">
        <f t="shared" ca="1" si="31"/>
        <v>150</v>
      </c>
      <c r="AA79" s="146">
        <f ca="1">IF(OR($B79&lt;=Setup!$E$12,$B79&gt;=Setup!$D$12+1),0,IF($F79&lt;&gt;"Active",0,IF($AE79="Yes",$AB79,((YEAR($AC79)*12)+MONTH($AC79))-((YEAR($AD79)*12)+MONTH($AD79)-1))))</f>
        <v>5</v>
      </c>
      <c r="AB79" s="146">
        <f ca="1">IF(OR($B79&lt;=Setup!$E$12,$B79&gt;=Setup!$D$12+1),0,((YEAR($AC79)*12)+MONTH($AC79))-((YEAR(Setup!$E$12)*12)+MONTH(Setup!$E$12)))</f>
        <v>5</v>
      </c>
      <c r="AC79" s="186">
        <f t="shared" ca="1" si="32"/>
        <v>45132</v>
      </c>
      <c r="AD79" s="144">
        <f ca="1">IF(ISNA(VLOOKUP($C79,EmpAll,COLUMN(Emp!$E$4),0)),$AC79,IF(VLOOKUP($C79,EmpAll,COLUMN(Emp!$E$4),0)&lt;=Setup!$E$12,DATE(YEAR(Setup!$E$12),MONTH(Setup!$E$12)+1,1),VLOOKUP($C79,EmpAll,COLUMN(Emp!$E$4),0)))</f>
        <v>44986</v>
      </c>
      <c r="AE79" s="144" t="str">
        <f ca="1">IF(ISNA(VLOOKUP($C79,EmpAll,COLUMN(Emp!$G$1),0)),"-",IF(VLOOKUP($C79,EmpAll,COLUMN(Emp!$G$1),0)=0,"-",VLOOKUP($C79,EmpAll,COLUMN(Emp!$G$1),0)))</f>
        <v>-</v>
      </c>
      <c r="AF79" s="145">
        <f ca="1">IF(A79=PaySlip!$G$3,1,0)</f>
        <v>0</v>
      </c>
      <c r="AG79" s="130" cm="1">
        <f t="array" aca="1" ref="AG79" ca="1">IF(COUNTIFS(OverEmp,$C79,OverMed,"MED",OverDate,"&lt;"&amp;DATE(YEAR($AC79),MONTH($AC79)+1,1),OverEnd,"&gt;="&amp;DATE(YEAR($AC79),MONTH($AC79),1))&gt;0,SUMIFS(OverValue,OverEmp,$C79,OverMed,"MED",OverDate,"&lt;"&amp;DATE(YEAR($AC79),MONTH($AC79)+1,1),OverEnd,"&gt;="&amp;DATE(YEAR($AC79),MONTH($AC79),1)),IF(ISNA(VLOOKUP($C79,EmpAll,COLUMN(Emp!$N$4),0)),0,VLOOKUP($C79,EmpAll,COLUMN(Emp!$N$4),0)))</f>
        <v>0</v>
      </c>
      <c r="AH79" s="146">
        <f ca="1">VLOOKUP($AG79,MedList,COLUMN(Setup!$C$49),1)</f>
        <v>0</v>
      </c>
      <c r="AI79" s="146">
        <f t="shared" ca="1" si="40"/>
        <v>0</v>
      </c>
      <c r="AJ79" s="101" t="str">
        <f ca="1">IF(ISNA(VLOOKUP($C79,EmpAll,COLUMN(Emp!$L$4),0)),"None!",VLOOKUP($C79,EmpAll,COLUMN(Emp!$L$4),0))</f>
        <v>A</v>
      </c>
      <c r="AK79" s="147">
        <f t="shared" ca="1" si="33"/>
        <v>17235</v>
      </c>
      <c r="AL79" s="101" t="str">
        <f ca="1">IF(ISNA(VLOOKUP($C79,Employees[],COLUMN(Emp!$M$4),0))=TRUE,"Error!",IF(VLOOKUP($C79,Employees[],COLUMN(Emp!$M$4),0)=0,"Yes",VLOOKUP($C79,Employees[],COLUMN(Emp!$M$4),0)))</f>
        <v>A</v>
      </c>
      <c r="AM79" s="148">
        <f t="shared" ca="1" si="41"/>
        <v>60000</v>
      </c>
      <c r="AN79" s="148" cm="1">
        <f t="array" aca="1" ref="AN79" ca="1">-IF($F79="Terminated",0,IF($AA79=0,0,IF(ISNA(MATCH(AN$5,PayDedList,0)),0,MIN(IF(COUNTIFS(OverEmp,$C79,OverDeduct,AN$5,OverDate,"&lt;"&amp;DATE(YEAR($AC79),MONTH($AC79)+1,1),OverEnd,"&gt;="&amp;DATE(YEAR($AC79),MONTH($AC79),1))&gt;0,SUMPRODUCT((PayEmp=$C79)*(PayDate&lt;=$AC79)*(OFFSET($N$6,1,MATCH(AN$5,PayDedList,0)-1,PayCount,1)))/$AA79*12*AN$3,IF(OR(AN$1="Fixed",AN$1="Not Used"),SUMPRODUCT((PayEmp=$C79)*(PayDate&lt;=$AC79)*(OFFSET($N$6,1,MATCH(AN$5,PayDedList,0)-1,PayCount,1)))/$AA79*12*AN$3,IF(ISNA(MATCH(AN$1,EarnListItem,0))=FALSE,SUMPRODUCT((PayEmp=$C79)*(PayDate&lt;=$AC79)*(OFFSET($N$6,1,MATCH(AN$5,PayDedList,0)-1,PayCount,1)))/$AA79*12*AN$3,(MIN(((SUMPRODUCT((PayEmp=$C79)*(PayDate&lt;=$AC79)*(ISERROR(SEARCH(PayEarnCode,AN$2)))*(PayEarnType="Monthly")*(PayEarnValues))/$AA79*12)+(SUMPRODUCT((PayEmp=$C79)*(PayDate&lt;=$AC79)*(ISERROR(SEARCH(PayEarnCode,AN$2)))*(PayEarnType="Quarterly")*(PayEarnValues))/MAX(1,ROUNDDOWN($AB79/3,0))*4)+(SUMPRODUCT((PayEmp=$C79)*(PayDate&lt;=$AC79)*(ISERROR(SEARCH(PayEarnCode,AN$2)))*(PayEarnType="Bi-Annual")*(PayEarnValues))/MAX(1,ROUNDDOWN($AB79/6,0))*2)+(SUMPRODUCT((PayEmp=$C79)*(PayDate&lt;=$AC79)*(ISERROR(SEARCH(PayEarnCode,AN$2)))*(PayEarnType="Annual")*(PayEarnValues)))),IF(ISNUMBER(OFFSET($N$3,0,MATCH(AN$5,PayDedList,0)-1,1,1)),OFFSET($N$3,0,MATCH(AN$5,PayDedList,0)-1,1,1),IgnoreMin)))*IF(COUNTIFS(EmpNo,$C79,OFFSET(Emp!$R$4,1,MATCH(AN$5,DedListItem,0)-1,EmpCount,1),"&lt;&gt;")&gt;0,VLOOKUP($C79,EmpAll,COLUMN(Emp!$R$4)+MATCH(AN$5,DedListItem,0)-1,0),OFFSET(Setup!$E$73,MATCH(AN$5,DedListItem,0),0,1,1))*AN$3))),IF(ISNUMBER(AN$4),AN$4,IgnoreMin)))))</f>
        <v>0</v>
      </c>
      <c r="AO79" s="148" cm="1">
        <f t="array" aca="1" ref="AO79" ca="1">-IF($F79="Terminated",0,IF($AA79=0,0,IF(ISNA(MATCH(AO$5,PayDedList,0)),0,MIN(IF(COUNTIFS(OverEmp,$C79,OverDeduct,AO$5,OverDate,"&lt;"&amp;DATE(YEAR($AC79),MONTH($AC79)+1,1),OverEnd,"&gt;="&amp;DATE(YEAR($AC79),MONTH($AC79),1))&gt;0,SUMPRODUCT((PayEmp=$C79)*(PayDate&lt;=$AC79)*(OFFSET($N$6,1,MATCH(AO$5,PayDedList,0)-1,PayCount,1)))/$AA79*12*AO$3,IF(OR(AO$1="Fixed",AO$1="Not Used"),SUMPRODUCT((PayEmp=$C79)*(PayDate&lt;=$AC79)*(OFFSET($N$6,1,MATCH(AO$5,PayDedList,0)-1,PayCount,1)))/$AA79*12*AO$3,IF(ISNA(MATCH(AO$1,EarnListItem,0))=FALSE,SUMPRODUCT((PayEmp=$C79)*(PayDate&lt;=$AC79)*(OFFSET($N$6,1,MATCH(AO$5,PayDedList,0)-1,PayCount,1)))/$AA79*12*AO$3,(MIN(((SUMPRODUCT((PayEmp=$C79)*(PayDate&lt;=$AC79)*(ISERROR(SEARCH(PayEarnCode,AO$2)))*(PayEarnType="Monthly")*(PayEarnValues))/$AA79*12)+(SUMPRODUCT((PayEmp=$C79)*(PayDate&lt;=$AC79)*(ISERROR(SEARCH(PayEarnCode,AO$2)))*(PayEarnType="Quarterly")*(PayEarnValues))/MAX(1,ROUNDDOWN($AB79/3,0))*4)+(SUMPRODUCT((PayEmp=$C79)*(PayDate&lt;=$AC79)*(ISERROR(SEARCH(PayEarnCode,AO$2)))*(PayEarnType="Bi-Annual")*(PayEarnValues))/MAX(1,ROUNDDOWN($AB79/6,0))*2)+(SUMPRODUCT((PayEmp=$C79)*(PayDate&lt;=$AC79)*(ISERROR(SEARCH(PayEarnCode,AO$2)))*(PayEarnType="Annual")*(PayEarnValues)))),IF(ISNUMBER(OFFSET($N$3,0,MATCH(AO$5,PayDedList,0)-1,1,1)),OFFSET($N$3,0,MATCH(AO$5,PayDedList,0)-1,1,1),IgnoreMin)))*IF(COUNTIFS(EmpNo,$C79,OFFSET(Emp!$R$4,1,MATCH(AO$5,DedListItem,0)-1,EmpCount,1),"&lt;&gt;")&gt;0,VLOOKUP($C79,EmpAll,COLUMN(Emp!$R$4)+MATCH(AO$5,DedListItem,0)-1,0),OFFSET(Setup!$E$73,MATCH(AO$5,DedListItem,0),0,1,1))*AO$3))),IF(ISNUMBER(AO$4),AO$4,IgnoreMin)))))</f>
        <v>0</v>
      </c>
      <c r="AP79" s="148" cm="1">
        <f t="array" aca="1" ref="AP79" ca="1">-IF($F79="Terminated",0,IF($AA79=0,0,IF(ISNA(MATCH(AP$5,PayDedList,0)),0,MIN(IF(COUNTIFS(OverEmp,$C79,OverDeduct,AP$5,OverDate,"&lt;"&amp;DATE(YEAR($AC79),MONTH($AC79)+1,1),OverEnd,"&gt;="&amp;DATE(YEAR($AC79),MONTH($AC79),1))&gt;0,SUMPRODUCT((PayEmp=$C79)*(PayDate&lt;=$AC79)*(OFFSET($N$6,1,MATCH(AP$5,PayDedList,0)-1,PayCount,1)))/$AA79*12*AP$3,IF(OR(AP$1="Fixed",AP$1="Not Used"),SUMPRODUCT((PayEmp=$C79)*(PayDate&lt;=$AC79)*(OFFSET($N$6,1,MATCH(AP$5,PayDedList,0)-1,PayCount,1)))/$AA79*12*AP$3,IF(ISNA(MATCH(AP$1,EarnListItem,0))=FALSE,SUMPRODUCT((PayEmp=$C79)*(PayDate&lt;=$AC79)*(OFFSET($N$6,1,MATCH(AP$5,PayDedList,0)-1,PayCount,1)))/$AA79*12*AP$3,(MIN(((SUMPRODUCT((PayEmp=$C79)*(PayDate&lt;=$AC79)*(ISERROR(SEARCH(PayEarnCode,AP$2)))*(PayEarnType="Monthly")*(PayEarnValues))/$AA79*12)+(SUMPRODUCT((PayEmp=$C79)*(PayDate&lt;=$AC79)*(ISERROR(SEARCH(PayEarnCode,AP$2)))*(PayEarnType="Quarterly")*(PayEarnValues))/MAX(1,ROUNDDOWN($AB79/3,0))*4)+(SUMPRODUCT((PayEmp=$C79)*(PayDate&lt;=$AC79)*(ISERROR(SEARCH(PayEarnCode,AP$2)))*(PayEarnType="Bi-Annual")*(PayEarnValues))/MAX(1,ROUNDDOWN($AB79/6,0))*2)+(SUMPRODUCT((PayEmp=$C79)*(PayDate&lt;=$AC79)*(ISERROR(SEARCH(PayEarnCode,AP$2)))*(PayEarnType="Annual")*(PayEarnValues)))),IF(ISNUMBER(OFFSET($N$3,0,MATCH(AP$5,PayDedList,0)-1,1,1)),OFFSET($N$3,0,MATCH(AP$5,PayDedList,0)-1,1,1),IgnoreMin)))*IF(COUNTIFS(EmpNo,$C79,OFFSET(Emp!$R$4,1,MATCH(AP$5,DedListItem,0)-1,EmpCount,1),"&lt;&gt;")&gt;0,VLOOKUP($C79,EmpAll,COLUMN(Emp!$R$4)+MATCH(AP$5,DedListItem,0)-1,0),OFFSET(Setup!$E$73,MATCH(AP$5,DedListItem,0),0,1,1))*AP$3))),IF(ISNUMBER(AP$4),AP$4,IgnoreMin)))))</f>
        <v>0</v>
      </c>
      <c r="AQ79" s="148" cm="1">
        <f t="array" aca="1" ref="AQ79" ca="1">-IF($F79="Terminated",0,IF($AA79=0,0,IF(ISNA(MATCH(AQ$5,PayDedList,0)),0,MIN(IF(COUNTIFS(OverEmp,$C79,OverDeduct,AQ$5,OverDate,"&lt;"&amp;DATE(YEAR($AC79),MONTH($AC79)+1,1),OverEnd,"&gt;="&amp;DATE(YEAR($AC79),MONTH($AC79),1))&gt;0,SUMPRODUCT((PayEmp=$C79)*(PayDate&lt;=$AC79)*(OFFSET($N$6,1,MATCH(AQ$5,PayDedList,0)-1,PayCount,1)))/$AA79*12*AQ$3,IF(OR(AQ$1="Fixed",AQ$1="Not Used"),SUMPRODUCT((PayEmp=$C79)*(PayDate&lt;=$AC79)*(OFFSET($N$6,1,MATCH(AQ$5,PayDedList,0)-1,PayCount,1)))/$AA79*12*AQ$3,IF(ISNA(MATCH(AQ$1,EarnListItem,0))=FALSE,SUMPRODUCT((PayEmp=$C79)*(PayDate&lt;=$AC79)*(OFFSET($N$6,1,MATCH(AQ$5,PayDedList,0)-1,PayCount,1)))/$AA79*12*AQ$3,(MIN(((SUMPRODUCT((PayEmp=$C79)*(PayDate&lt;=$AC79)*(ISERROR(SEARCH(PayEarnCode,AQ$2)))*(PayEarnType="Monthly")*(PayEarnValues))/$AA79*12)+(SUMPRODUCT((PayEmp=$C79)*(PayDate&lt;=$AC79)*(ISERROR(SEARCH(PayEarnCode,AQ$2)))*(PayEarnType="Quarterly")*(PayEarnValues))/MAX(1,ROUNDDOWN($AB79/3,0))*4)+(SUMPRODUCT((PayEmp=$C79)*(PayDate&lt;=$AC79)*(ISERROR(SEARCH(PayEarnCode,AQ$2)))*(PayEarnType="Bi-Annual")*(PayEarnValues))/MAX(1,ROUNDDOWN($AB79/6,0))*2)+(SUMPRODUCT((PayEmp=$C79)*(PayDate&lt;=$AC79)*(ISERROR(SEARCH(PayEarnCode,AQ$2)))*(PayEarnType="Annual")*(PayEarnValues)))),IF(ISNUMBER(OFFSET($N$3,0,MATCH(AQ$5,PayDedList,0)-1,1,1)),OFFSET($N$3,0,MATCH(AQ$5,PayDedList,0)-1,1,1),IgnoreMin)))*IF(COUNTIFS(EmpNo,$C79,OFFSET(Emp!$R$4,1,MATCH(AQ$5,DedListItem,0)-1,EmpCount,1),"&lt;&gt;")&gt;0,VLOOKUP($C79,EmpAll,COLUMN(Emp!$R$4)+MATCH(AQ$5,DedListItem,0)-1,0),OFFSET(Setup!$E$73,MATCH(AQ$5,DedListItem,0),0,1,1))*AQ$3))),IF(ISNUMBER(AQ$4),AQ$4,IgnoreMin)))))</f>
        <v>0</v>
      </c>
      <c r="AR79" s="148">
        <f t="shared" ca="1" si="34"/>
        <v>60000</v>
      </c>
      <c r="AS79" s="148">
        <f t="shared" ca="1" si="42"/>
        <v>60000</v>
      </c>
      <c r="AT79" s="148" cm="1">
        <f t="array" aca="1" ref="AT79" ca="1">-IF($F79="Terminated",0,IF($AA79=0,0,IF(ISNA(MATCH(AT$5,PayDedList,0)),0,MIN(IF(COUNTIFS(OverEmp,$C79,OverDeduct,AT$5,OverDate,"&lt;"&amp;DATE(YEAR($AC79),MONTH($AC79)+1,1),OverEnd,"&gt;="&amp;DATE(YEAR($AC79),MONTH($AC79),1))&gt;0,SUMPRODUCT((PayEmp=$C79)*(PayDate&lt;=$AC79)*(OFFSET($N$6,1,MATCH(AT$5,PayDedList,0)-1,PayCount,1)))/$AA79*12*AT$3,IF(OR(AT$1="Fixed",AT$1="Not Used"),SUMPRODUCT((PayEmp=$C79)*(PayDate&lt;=$AC79)*(OFFSET($N$6,1,MATCH(AT$5,PayDedList,0)-1,PayCount,1)))/$AA79*12*AT$3,IF(ISNA(MATCH(OFFSET($N$2,0,MATCH(AT$5,PayDedList,0)-1,1,1),EarnListItem,0))=FALSE,SUMPRODUCT((PayEmp=$C79)*(PayDate&lt;=$AC79)*(OFFSET($N$6,1,MATCH(AT$5,PayDedList,0)-1,PayCount,1)))/$AA79*12*AT$3,(MIN(SUMPRODUCT((PayEmp=$C79)*(PayDate&lt;=$AC79)*(ISERROR(SEARCH(PayEarnCode,AT$2)))*(PayEarnType="Monthly")*(PayEarnValues))/$AA79*12,IF(ISNUMBER(OFFSET($N$3,0,MATCH(AT$5,PayDedList,0)-1,1,1)),OFFSET($N$3,0,MATCH(AT$5,PayDedList,0)-1,1,1),IgnoreMin)))*IF(COUNTIFS(EmpNo,$C79,OFFSET(Emp!$R$4,1,MATCH(AT$5,DedListItem,0)-1,EmpCount,1),"&lt;&gt;")&gt;0,VLOOKUP($C79,EmpAll,COLUMN(Emp!$R$4)+MATCH(AT$5,DedListItem,0)-1,0),OFFSET(Setup!$E$73,MATCH(AT$5,DedListItem,0),0,1,1))*AT$3))),IF(ISNUMBER(AT$4),AT$4,IgnoreMin)))))</f>
        <v>0</v>
      </c>
      <c r="AU79" s="148" cm="1">
        <f t="array" aca="1" ref="AU79" ca="1">-IF($F79="Terminated",0,IF($AA79=0,0,IF(ISNA(MATCH(AU$5,PayDedList,0)),0,MIN(IF(COUNTIFS(OverEmp,$C79,OverDeduct,AU$5,OverDate,"&lt;"&amp;DATE(YEAR($AC79),MONTH($AC79)+1,1),OverEnd,"&gt;="&amp;DATE(YEAR($AC79),MONTH($AC79),1))&gt;0,SUMPRODUCT((PayEmp=$C79)*(PayDate&lt;=$AC79)*(OFFSET($N$6,1,MATCH(AU$5,PayDedList,0)-1,PayCount,1)))/$AA79*12*AU$3,IF(OR(AU$1="Fixed",AU$1="Not Used"),SUMPRODUCT((PayEmp=$C79)*(PayDate&lt;=$AC79)*(OFFSET($N$6,1,MATCH(AU$5,PayDedList,0)-1,PayCount,1)))/$AA79*12*AU$3,IF(ISNA(MATCH(OFFSET($N$2,0,MATCH(AU$5,PayDedList,0)-1,1,1),EarnListItem,0))=FALSE,SUMPRODUCT((PayEmp=$C79)*(PayDate&lt;=$AC79)*(OFFSET($N$6,1,MATCH(AU$5,PayDedList,0)-1,PayCount,1)))/$AA79*12*AU$3,(MIN(SUMPRODUCT((PayEmp=$C79)*(PayDate&lt;=$AC79)*(ISERROR(SEARCH(PayEarnCode,AU$2)))*(PayEarnType="Monthly")*(PayEarnValues))/$AA79*12,IF(ISNUMBER(OFFSET($N$3,0,MATCH(AU$5,PayDedList,0)-1,1,1)),OFFSET($N$3,0,MATCH(AU$5,PayDedList,0)-1,1,1),IgnoreMin)))*IF(COUNTIFS(EmpNo,$C79,OFFSET(Emp!$R$4,1,MATCH(AU$5,DedListItem,0)-1,EmpCount,1),"&lt;&gt;")&gt;0,VLOOKUP($C79,EmpAll,COLUMN(Emp!$R$4)+MATCH(AU$5,DedListItem,0)-1,0),OFFSET(Setup!$E$73,MATCH(AU$5,DedListItem,0),0,1,1))*AU$3))),IF(ISNUMBER(AU$4),AU$4,IgnoreMin)))))</f>
        <v>0</v>
      </c>
      <c r="AV79" s="148" cm="1">
        <f t="array" aca="1" ref="AV79" ca="1">-IF($F79="Terminated",0,IF($AA79=0,0,IF(ISNA(MATCH(AV$5,PayDedList,0)),0,MIN(IF(COUNTIFS(OverEmp,$C79,OverDeduct,AV$5,OverDate,"&lt;"&amp;DATE(YEAR($AC79),MONTH($AC79)+1,1),OverEnd,"&gt;="&amp;DATE(YEAR($AC79),MONTH($AC79),1))&gt;0,SUMPRODUCT((PayEmp=$C79)*(PayDate&lt;=$AC79)*(OFFSET($N$6,1,MATCH(AV$5,PayDedList,0)-1,PayCount,1)))/$AA79*12*AV$3,IF(OR(AV$1="Fixed",AV$1="Not Used"),SUMPRODUCT((PayEmp=$C79)*(PayDate&lt;=$AC79)*(OFFSET($N$6,1,MATCH(AV$5,PayDedList,0)-1,PayCount,1)))/$AA79*12*AV$3,IF(ISNA(MATCH(OFFSET($N$2,0,MATCH(AV$5,PayDedList,0)-1,1,1),EarnListItem,0))=FALSE,SUMPRODUCT((PayEmp=$C79)*(PayDate&lt;=$AC79)*(OFFSET($N$6,1,MATCH(AV$5,PayDedList,0)-1,PayCount,1)))/$AA79*12*AV$3,(MIN(SUMPRODUCT((PayEmp=$C79)*(PayDate&lt;=$AC79)*(ISERROR(SEARCH(PayEarnCode,AV$2)))*(PayEarnType="Monthly")*(PayEarnValues))/$AA79*12,IF(ISNUMBER(OFFSET($N$3,0,MATCH(AV$5,PayDedList,0)-1,1,1)),OFFSET($N$3,0,MATCH(AV$5,PayDedList,0)-1,1,1),IgnoreMin)))*IF(COUNTIFS(EmpNo,$C79,OFFSET(Emp!$R$4,1,MATCH(AV$5,DedListItem,0)-1,EmpCount,1),"&lt;&gt;")&gt;0,VLOOKUP($C79,EmpAll,COLUMN(Emp!$R$4)+MATCH(AV$5,DedListItem,0)-1,0),OFFSET(Setup!$E$73,MATCH(AV$5,DedListItem,0),0,1,1))*AV$3))),IF(ISNUMBER(AV$4),AV$4,IgnoreMin)))))</f>
        <v>0</v>
      </c>
      <c r="AW79" s="148" cm="1">
        <f t="array" aca="1" ref="AW79" ca="1">-IF($F79="Terminated",0,IF($AA79=0,0,IF(ISNA(MATCH(AW$5,PayDedList,0)),0,MIN(IF(COUNTIFS(OverEmp,$C79,OverDeduct,AW$5,OverDate,"&lt;"&amp;DATE(YEAR($AC79),MONTH($AC79)+1,1),OverEnd,"&gt;="&amp;DATE(YEAR($AC79),MONTH($AC79),1))&gt;0,SUMPRODUCT((PayEmp=$C79)*(PayDate&lt;=$AC79)*(OFFSET($N$6,1,MATCH(AW$5,PayDedList,0)-1,PayCount,1)))/$AA79*12*AW$3,IF(OR(AW$1="Fixed",AW$1="Not Used"),SUMPRODUCT((PayEmp=$C79)*(PayDate&lt;=$AC79)*(OFFSET($N$6,1,MATCH(AW$5,PayDedList,0)-1,PayCount,1)))/$AA79*12*AW$3,IF(ISNA(MATCH(OFFSET($N$2,0,MATCH(AW$5,PayDedList,0)-1,1,1),EarnListItem,0))=FALSE,SUMPRODUCT((PayEmp=$C79)*(PayDate&lt;=$AC79)*(OFFSET($N$6,1,MATCH(AW$5,PayDedList,0)-1,PayCount,1)))/$AA79*12*AW$3,(MIN(SUMPRODUCT((PayEmp=$C79)*(PayDate&lt;=$AC79)*(ISERROR(SEARCH(PayEarnCode,AW$2)))*(PayEarnType="Monthly")*(PayEarnValues))/$AA79*12,IF(ISNUMBER(OFFSET($N$3,0,MATCH(AW$5,PayDedList,0)-1,1,1)),OFFSET($N$3,0,MATCH(AW$5,PayDedList,0)-1,1,1),IgnoreMin)))*IF(COUNTIFS(EmpNo,$C79,OFFSET(Emp!$R$4,1,MATCH(AW$5,DedListItem,0)-1,EmpCount,1),"&lt;&gt;")&gt;0,VLOOKUP($C79,EmpAll,COLUMN(Emp!$R$4)+MATCH(AW$5,DedListItem,0)-1,0),OFFSET(Setup!$E$73,MATCH(AW$5,DedListItem,0),0,1,1))*AW$3))),IF(ISNUMBER(AW$4),AW$4,IgnoreMin)))))</f>
        <v>0</v>
      </c>
      <c r="AX79" s="148">
        <f t="shared" ca="1" si="43"/>
        <v>60000</v>
      </c>
      <c r="AY79" s="148">
        <f t="shared" ca="1" si="44"/>
        <v>0</v>
      </c>
      <c r="AZ79" s="148">
        <f ca="1">IF(ISNUMBER($AL79),($AR79*$AL79)-$AI79-$AK79,MAX(0,IF($AL79="B",IF($AR79&lt;Setup!$C$32,($AR79*Setup!$D$32)-$AI79-$AK79,(($AR79-VLOOKUP($AR79,TaxAll2,1,1))*OFFSET(Setup!$D$32,MATCH($AR79,TaxBracket2,1),0,1,1))+OFFSET(Setup!$E$31,MATCH($AR79,TaxBracket2,1),0,1,1)-$AI79-$AK79),IF($AR79&lt;Setup!$C$21,($AR79*Setup!$D$21)-$AI79-$AK79,(($AR79-VLOOKUP($AR79,TaxAll1,1,1))*OFFSET(Setup!$D$21,MATCH($AR79,TaxBracket1,1),0,1,1))+OFFSET(Setup!$E$20,MATCH($AR79,TaxBracket1,1),0,1,1)-$AI79-$AK79))))</f>
        <v>0</v>
      </c>
      <c r="BA79" s="148">
        <f ca="1">IF(ISNUMBER($AL79),($AX79*$AL79)-$AI79-$AK79,MAX(0,IF($AL79="B",IF($AX79&lt;Setup!$C$32,($AX79*Setup!$D$32)-$AI79-$AK79,(($AX79-VLOOKUP($AX79,TaxAll2,1,1))*OFFSET(Setup!$D$32,MATCH($AX79,TaxBracket2,1),0,1,1))+OFFSET(Setup!$E$31,MATCH($AX79,TaxBracket2,1),0,1,1)-$AI79-$AK79),IF($AX79&lt;Setup!$C$21,($AX79*Setup!$D$21)-$AI79-$AK79,(($AX79-VLOOKUP($AX79,TaxAll1,1,1))*OFFSET(Setup!$D$21,MATCH($AX79,TaxBracket1,1),0,1,1))+OFFSET(Setup!$E$20,MATCH($AX79,TaxBracket1,1),0,1,1)-$AI79-$AK79))))</f>
        <v>0</v>
      </c>
      <c r="BB79" s="148">
        <f t="shared" ca="1" si="35"/>
        <v>0</v>
      </c>
      <c r="BC79" s="150">
        <f t="shared" ca="1" si="45"/>
        <v>1</v>
      </c>
      <c r="BD79" s="150">
        <f t="shared" ca="1" si="46"/>
        <v>0</v>
      </c>
      <c r="BE79" s="148">
        <f t="shared" ca="1" si="47"/>
        <v>60000</v>
      </c>
    </row>
    <row r="80" spans="1:57" ht="16.149999999999999" customHeight="1" x14ac:dyDescent="0.25">
      <c r="A80" s="10" t="str" cm="1">
        <f t="array" aca="1" ref="A80" ca="1">IF(ROW($A80)-ROW($A$6)&gt;EmpCount*12,"-",TEXT($B80,"yyyy")&amp;TEXT($B80,"mm")&amp;"-"&amp;$C80)</f>
        <v>202307-EXS014</v>
      </c>
      <c r="B80" s="137" cm="1">
        <f t="array" aca="1" ref="B80" ca="1">IF(ROW($A80)-ROW($A$6)&gt;EmpCount*12,Setup!$D$12,DATE(YEAR(Setup!$F$12),MONTH(Setup!$F$12)+ROUNDDOWN((ROW($A80)-ROW($A$6)-1)/EmpCount,0),IF(Setup!$C$14&gt;DAY(DATE(YEAR(Setup!$F$12),MONTH(Setup!$F$12)+ROUNDDOWN((ROW($A80)-ROW($A$6)-1)/EmpCount,0)+1,0)),DAY(DATE(YEAR(Setup!$F$12),MONTH(Setup!$F$12)+ROUNDDOWN((ROW($A80)-ROW($A$6)-1)/EmpCount,0)+1,0)),Setup!$C$14)))</f>
        <v>45132</v>
      </c>
      <c r="C80" s="101" t="str" cm="1">
        <f t="array" aca="1" ref="C80" ca="1">IF(ROW($A80)-ROW($A$6)&gt;EmpCount*12,"-",OFFSET(Emp!$A$4,ROW($A80)-ROW($A$6)-IF(ROW($A80)-ROW($A$6)&gt;EmpCount,ROUNDDOWN((ROW($A80)-ROW($A$6)-1)/EmpCount,0)*EmpCount,0),0,1,1))</f>
        <v>EXS014</v>
      </c>
      <c r="D80" s="10" t="str">
        <f ca="1">IF(ISNA(VLOOKUP($C80,EmpAll,COLUMN(Emp!$B$4),0)),"-",VLOOKUP($C80,EmpAll,COLUMN(Emp!$B$4),0))</f>
        <v>Ross Q</v>
      </c>
      <c r="E80" s="145" t="str">
        <f ca="1">IF(ISNA(VLOOKUP($C80,EmpAll,COLUMN(Emp!$C$4),0)),"-",VLOOKUP($C80,EmpAll,COLUMN(Emp!$C$4),0))</f>
        <v>A</v>
      </c>
      <c r="F80" s="101" t="str">
        <f ca="1">IF(ISNA(VLOOKUP($C80,EmpAll,COLUMN(Emp!$A$4),0)),"-",IF(AND(VLOOKUP($C80,EmpAll,COLUMN(Emp!$E$4),0)&lt;&gt;0,VLOOKUP($C80,EmpAll,COLUMN(Emp!$E$4),0)&gt;=DATE(YEAR($AC80),MONTH($AC80)+1,0)),"Inactive",IF(AND(VLOOKUP($C80,EmpAll,COLUMN(Emp!$F$4),0)&lt;&gt;0,VLOOKUP($C80,EmpAll,COLUMN(Emp!$F$4),0)&lt;=DATE(YEAR($AC80),MONTH($AC80),0)),"Terminated","Active")))</f>
        <v>Active</v>
      </c>
      <c r="G80" s="133" cm="1">
        <f t="array" aca="1" ref="G80" ca="1">IF($F80&lt;&gt;"Active",0,IF(COUNTIFS(OverEmp,$C80,OverEarn,G$2,OverDate,"&lt;"&amp;DATE(YEAR($AC80),MONTH($AC80)+1,1),OverEnd,"&gt;="&amp;DATE(YEAR($AC80),MONTH($AC80),1))&gt;0,SUMIFS(OverValue,OverEmp,$C80,OverEarn,G$2,OverDate,"&lt;"&amp;DATE(YEAR($AC80),MONTH($AC80)+1,1),OverEnd,"&gt;="&amp;DATE(YEAR($AC80),MONTH($AC80),1)),IF(AND($AC80&gt;=Setup!$E$10,SUMIFS(EmpIncrease,EmpCode,$C80)&gt;0),SUMIFS(EmpIncrease,EmpCode,$C80),SUMIFS(EmpSalary,EmpCode,$C80))))</f>
        <v>29150</v>
      </c>
      <c r="H80" s="133" cm="1">
        <f t="array" aca="1" ref="H80" ca="1">IF($F80&lt;&gt;"Active",0,IF(COUNTIFS(OverEmp,$C80,OverEarn,H$2,OverDate,"&lt;"&amp;DATE(YEAR($AC80),MONTH($AC80)+1,1),OverEnd,"&gt;="&amp;DATE(YEAR($AC80),MONTH($AC80),1))&gt;0,SUMIFS(OverValue,OverEmp,$C80,OverEarn,H$2,OverDate,"&lt;"&amp;DATE(YEAR($AC80),MONTH($AC80)+1,1),OverEnd,"&gt;="&amp;DATE(YEAR($AC80),MONTH($AC80),1)),0))</f>
        <v>0</v>
      </c>
      <c r="I80" s="133" cm="1">
        <f t="array" aca="1" ref="I80" ca="1">IF($F80&lt;&gt;"Active",0,IF(COUNTIFS(OverEmp,$C80,OverEarn,I$2,OverDate,"&lt;"&amp;DATE(YEAR($AC80),MONTH($AC80)+1,1),OverEnd,"&gt;="&amp;DATE(YEAR($AC80),MONTH($AC80),1))&gt;0,SUMIFS(OverValue,OverEmp,$C80,OverEarn,I$2,OverDate,"&lt;"&amp;DATE(YEAR($AC80),MONTH($AC80)+1,1),OverEnd,"&gt;="&amp;DATE(YEAR($AC80),MONTH($AC80),1)),IF(MONTH(B80)=Setup!$C$15,SUMIFS(EmpBonus,EmpCode,$C80),0)))</f>
        <v>0</v>
      </c>
      <c r="J80" s="133" cm="1">
        <f t="array" aca="1" ref="J80" ca="1">IF($F80&lt;&gt;"Active",0,IF(COUNTIFS(OverEmp,$C80,OverEarn,J$2,OverDate,"&lt;"&amp;DATE(YEAR($AC80),MONTH($AC80)+1,1),OverEnd,"&gt;="&amp;DATE(YEAR($AC80),MONTH($AC80),1))&gt;0,SUMIFS(OverValue,OverEmp,$C80,OverEarn,J$2,OverDate,"&lt;"&amp;DATE(YEAR($AC80),MONTH($AC80)+1,1),OverEnd,"&gt;="&amp;DATE(YEAR($AC80),MONTH($AC80),1)),0))</f>
        <v>0</v>
      </c>
      <c r="K80" s="133" cm="1">
        <f t="array" aca="1" ref="K80" ca="1">IF($F80&lt;&gt;"Active",0,IF(COUNTIFS(OverEmp,$C80,OverEarn,K$2,OverDate,"&lt;"&amp;DATE(YEAR($AC80),MONTH($AC80)+1,1),OverEnd,"&gt;="&amp;DATE(YEAR($AC80),MONTH($AC80),1))&gt;0,SUMIFS(OverValue,OverEmp,$C80,OverEarn,K$2,OverDate,"&lt;"&amp;DATE(YEAR($AC80),MONTH($AC80)+1,1),OverEnd,"&gt;="&amp;DATE(YEAR($AC80),MONTH($AC80),1)),0))</f>
        <v>0</v>
      </c>
      <c r="L80" s="185">
        <f t="shared" ca="1" si="36"/>
        <v>29150</v>
      </c>
      <c r="M80" s="182" cm="1">
        <f t="array" aca="1" ref="M80" ca="1">IF(COUNTIFS(OverEmp,$C80,OverTax,M$5,OverDate,"&lt;"&amp;DATE(YEAR($AC80),MONTH($AC80)+1,1),OverEnd,"&gt;="&amp;DATE(YEAR($AC80),MONTH($AC80),1))&gt;0,SUMIFS(OverValue,OverEmp,$C80,OverTax,M$5,OverDate,"&lt;"&amp;DATE(YEAR($AC80),MONTH($AC80)+1,1),OverEnd,"&gt;="&amp;DATE(YEAR($AC80),MONTH($AC80),1)),(($BA80/12*$AA80)+(BB80*IF(1-$BC80=0,0,BD80/(1-$BC80))))-IF($F80="Terminated",0,SUMIFS(PayTaxDeduct,PayDate,"&lt;"&amp;$AC80,PayEmp,$C80)))</f>
        <v>4562.083333333333</v>
      </c>
      <c r="N80" s="133" cm="1">
        <f t="array" aca="1" ref="N80" ca="1">IF($F80="Terminated",0,IF($AA80=0,0,IF(ISNA(MATCH(N$5,DedListItem,0)),0,IF(COUNTIFS(OverEmp,$C80,OverDeduct,N$5,OverDate,"&lt;"&amp;DATE(YEAR($AC80),MONTH($AC80)+1,1),OverEnd,"&gt;="&amp;DATE(YEAR($AC80),MONTH($AC80),1))&gt;0,SUMIFS(OverValue,OverEmp,$C80,OverDeduct,N$5,OverDate,"&lt;"&amp;DATE(YEAR($AC80),MONTH($AC80)+1,1),OverEnd,"&gt;="&amp;DATE(YEAR($AC80),MONTH($AC80),1)),IF(OR(N$2="Fixed",N$2="Not Used"),(IF(COUNTIFS(EmpNo,$C80,OFFSET(Emp!$R$4,1,MATCH(N$5,DedListItem,0)-1,EmpCount,1),"&lt;&gt;")&gt;0,VLOOKUP($C80,EmpAll,COLUMN(Emp!$R$4)+MATCH(N$5,DedListItem,0)-1,0),OFFSET(Setup!$E$73,MATCH(N$5,DedListItem,0),0,1,1))*$AA80)-SUMIFS(OFFSET(N$6,1,0,PayCount,1),PayDate,"&lt;"&amp;$AC80,PayEmp,$C80),IF(ISNA(MATCH(N$2,EarnListItem,0))=FALSE,IF(OFFSET(Setup!$G$73,MATCH(N$5,DedListItem,0),0,1,1)="Taxable",SUMPRODUCT((PayEmp=$C80)*(PayDate&lt;=$AC80)*(PayEarnCode=N$2)*(PayEarnTax)*(PayEarnValues)),SUMPRODUCT((PayEmp=$C80)*(PayDate&lt;=$AC80)*(PayEarnCode=N$2)*(PayEarnValues)))*IF(COUNTIFS(EmpNo,$C80,OFFSET(Emp!$R$4,1,MATCH(N$5,DedListItem,0)-1,EmpCount,1),"&lt;&gt;")&gt;0,VLOOKUP($C80,EmpAll,COLUMN(Emp!$R$4)+MATCH(N$5,DedListItem,0)-1,0),OFFSET(Setup!$E$73,MATCH(N$5,DedListItem,0),0,1,1)),(MIN(IF(OFFSET(Setup!$G$73,MATCH(N$5,DedListItem,0),0,1,1)="Taxable",SUMPRODUCT((PayEmp=$C80)*(PayDate&lt;=$AC80)*(ISERROR(SEARCH(PayEarnCode,N$4)))*(PayEarnTax)*(PayEarnValues)),SUMPRODUCT((PayEmp=$C80)*(PayDate&lt;=$AC80)*(ISERROR(SEARCH(PayEarnCode,N$4)))*(PayEarnValues))),IF(ISNUMBER(N$3),N$3/12*$AA80,IgnoreMin)))*IF(COUNTIFS(EmpNo,$C80,OFFSET(Emp!$R$4,1,MATCH(N$5,DedListItem,0)-1,EmpCount,1),"&lt;&gt;")&gt;0,VLOOKUP($C80,EmpAll,COLUMN(Emp!$R$4)+MATCH(N$5,DedListItem,0)-1,0),OFFSET(Setup!$E$73,MATCH(N$5,DedListItem,0),0,1,1)))-SUMIFS(OFFSET(N$6,1,0,PayCount,1),PayDate,"&lt;"&amp;$AC80,PayEmp,$C80))))))</f>
        <v>177.12</v>
      </c>
      <c r="O80" s="133" cm="1">
        <f t="array" aca="1" ref="O80" ca="1">IF($F80="Terminated",0,IF($AA80=0,0,IF(ISNA(MATCH(O$5,DedListItem,0)),0,IF(COUNTIFS(OverEmp,$C80,OverDeduct,O$5,OverDate,"&lt;"&amp;DATE(YEAR($AC80),MONTH($AC80)+1,1),OverEnd,"&gt;="&amp;DATE(YEAR($AC80),MONTH($AC80),1))&gt;0,SUMIFS(OverValue,OverEmp,$C80,OverDeduct,O$5,OverDate,"&lt;"&amp;DATE(YEAR($AC80),MONTH($AC80)+1,1),OverEnd,"&gt;="&amp;DATE(YEAR($AC80),MONTH($AC80),1)),IF(OR(O$2="Fixed",O$2="Not Used"),(IF(COUNTIFS(EmpNo,$C80,OFFSET(Emp!$R$4,1,MATCH(O$5,DedListItem,0)-1,EmpCount,1),"&lt;&gt;")&gt;0,VLOOKUP($C80,EmpAll,COLUMN(Emp!$R$4)+MATCH(O$5,DedListItem,0)-1,0),OFFSET(Setup!$E$73,MATCH(O$5,DedListItem,0),0,1,1))*$AA80)-SUMIFS(OFFSET(O$6,1,0,PayCount,1),PayDate,"&lt;"&amp;$AC80,PayEmp,$C80),IF(ISNA(MATCH(O$2,EarnListItem,0))=FALSE,IF(OFFSET(Setup!$G$73,MATCH(O$5,DedListItem,0),0,1,1)="Taxable",SUMPRODUCT((PayEmp=$C80)*(PayDate&lt;=$AC80)*(PayEarnCode=O$2)*(PayEarnTax)*(PayEarnValues)),SUMPRODUCT((PayEmp=$C80)*(PayDate&lt;=$AC80)*(PayEarnCode=O$2)*(PayEarnValues)))*IF(COUNTIFS(EmpNo,$C80,OFFSET(Emp!$R$4,1,MATCH(O$5,DedListItem,0)-1,EmpCount,1),"&lt;&gt;")&gt;0,VLOOKUP($C80,EmpAll,COLUMN(Emp!$R$4)+MATCH(O$5,DedListItem,0)-1,0),OFFSET(Setup!$E$73,MATCH(O$5,DedListItem,0),0,1,1)),(MIN(IF(OFFSET(Setup!$G$73,MATCH(O$5,DedListItem,0),0,1,1)="Taxable",SUMPRODUCT((PayEmp=$C80)*(PayDate&lt;=$AC80)*(ISERROR(SEARCH(PayEarnCode,O$4)))*(PayEarnTax)*(PayEarnValues)),SUMPRODUCT((PayEmp=$C80)*(PayDate&lt;=$AC80)*(ISERROR(SEARCH(PayEarnCode,O$4)))*(PayEarnValues))),IF(ISNUMBER(O$3),O$3/12*$AA80,IgnoreMin)))*IF(COUNTIFS(EmpNo,$C80,OFFSET(Emp!$R$4,1,MATCH(O$5,DedListItem,0)-1,EmpCount,1),"&lt;&gt;")&gt;0,VLOOKUP($C80,EmpAll,COLUMN(Emp!$R$4)+MATCH(O$5,DedListItem,0)-1,0),OFFSET(Setup!$E$73,MATCH(O$5,DedListItem,0),0,1,1)))-SUMIFS(OFFSET(O$6,1,0,PayCount,1),PayDate,"&lt;"&amp;$AC80,PayEmp,$C80))))))</f>
        <v>0</v>
      </c>
      <c r="P80" s="133" cm="1">
        <f t="array" aca="1" ref="P80" ca="1">IF($F80="Terminated",0,IF($AA80=0,0,IF(ISNA(MATCH(P$5,DedListItem,0)),0,IF(COUNTIFS(OverEmp,$C80,OverDeduct,P$5,OverDate,"&lt;"&amp;DATE(YEAR($AC80),MONTH($AC80)+1,1),OverEnd,"&gt;="&amp;DATE(YEAR($AC80),MONTH($AC80),1))&gt;0,SUMIFS(OverValue,OverEmp,$C80,OverDeduct,P$5,OverDate,"&lt;"&amp;DATE(YEAR($AC80),MONTH($AC80)+1,1),OverEnd,"&gt;="&amp;DATE(YEAR($AC80),MONTH($AC80),1)),IF(OR(P$2="Fixed",P$2="Not Used"),(IF(COUNTIFS(EmpNo,$C80,OFFSET(Emp!$R$4,1,MATCH(P$5,DedListItem,0)-1,EmpCount,1),"&lt;&gt;")&gt;0,VLOOKUP($C80,EmpAll,COLUMN(Emp!$R$4)+MATCH(P$5,DedListItem,0)-1,0),OFFSET(Setup!$E$73,MATCH(P$5,DedListItem,0),0,1,1))*$AA80)-SUMIFS(OFFSET(P$6,1,0,PayCount,1),PayDate,"&lt;"&amp;$AC80,PayEmp,$C80),IF(ISNA(MATCH(P$2,EarnListItem,0))=FALSE,IF(OFFSET(Setup!$G$73,MATCH(P$5,DedListItem,0),0,1,1)="Taxable",SUMPRODUCT((PayEmp=$C80)*(PayDate&lt;=$AC80)*(PayEarnCode=P$2)*(PayEarnTax)*(PayEarnValues)),SUMPRODUCT((PayEmp=$C80)*(PayDate&lt;=$AC80)*(PayEarnCode=P$2)*(PayEarnValues)))*IF(COUNTIFS(EmpNo,$C80,OFFSET(Emp!$R$4,1,MATCH(P$5,DedListItem,0)-1,EmpCount,1),"&lt;&gt;")&gt;0,VLOOKUP($C80,EmpAll,COLUMN(Emp!$R$4)+MATCH(P$5,DedListItem,0)-1,0),OFFSET(Setup!$E$73,MATCH(P$5,DedListItem,0),0,1,1)),(MIN(IF(OFFSET(Setup!$G$73,MATCH(P$5,DedListItem,0),0,1,1)="Taxable",SUMPRODUCT((PayEmp=$C80)*(PayDate&lt;=$AC80)*(ISERROR(SEARCH(PayEarnCode,P$4)))*(PayEarnTax)*(PayEarnValues)),SUMPRODUCT((PayEmp=$C80)*(PayDate&lt;=$AC80)*(ISERROR(SEARCH(PayEarnCode,P$4)))*(PayEarnValues))),IF(ISNUMBER(P$3),P$3/12*$AA80,IgnoreMin)))*IF(COUNTIFS(EmpNo,$C80,OFFSET(Emp!$R$4,1,MATCH(P$5,DedListItem,0)-1,EmpCount,1),"&lt;&gt;")&gt;0,VLOOKUP($C80,EmpAll,COLUMN(Emp!$R$4)+MATCH(P$5,DedListItem,0)-1,0),OFFSET(Setup!$E$73,MATCH(P$5,DedListItem,0),0,1,1)))-SUMIFS(OFFSET(P$6,1,0,PayCount,1),PayDate,"&lt;"&amp;$AC80,PayEmp,$C80))))))</f>
        <v>0</v>
      </c>
      <c r="Q80" s="133" cm="1">
        <f t="array" aca="1" ref="Q80" ca="1">IF($F80="Terminated",0,IF($AA80=0,0,IF(ISNA(MATCH(Q$5,DedListItem,0)),0,IF(COUNTIFS(OverEmp,$C80,OverDeduct,Q$5,OverDate,"&lt;"&amp;DATE(YEAR($AC80),MONTH($AC80)+1,1),OverEnd,"&gt;="&amp;DATE(YEAR($AC80),MONTH($AC80),1))&gt;0,SUMIFS(OverValue,OverEmp,$C80,OverDeduct,Q$5,OverDate,"&lt;"&amp;DATE(YEAR($AC80),MONTH($AC80)+1,1),OverEnd,"&gt;="&amp;DATE(YEAR($AC80),MONTH($AC80),1)),IF(OR(Q$2="Fixed",Q$2="Not Used"),(IF(COUNTIFS(EmpNo,$C80,OFFSET(Emp!$R$4,1,MATCH(Q$5,DedListItem,0)-1,EmpCount,1),"&lt;&gt;")&gt;0,VLOOKUP($C80,EmpAll,COLUMN(Emp!$R$4)+MATCH(Q$5,DedListItem,0)-1,0),OFFSET(Setup!$E$73,MATCH(Q$5,DedListItem,0),0,1,1))*$AA80)-SUMIFS(OFFSET(Q$6,1,0,PayCount,1),PayDate,"&lt;"&amp;$AC80,PayEmp,$C80),IF(ISNA(MATCH(Q$2,EarnListItem,0))=FALSE,IF(OFFSET(Setup!$G$73,MATCH(Q$5,DedListItem,0),0,1,1)="Taxable",SUMPRODUCT((PayEmp=$C80)*(PayDate&lt;=$AC80)*(PayEarnCode=Q$2)*(PayEarnTax)*(PayEarnValues)),SUMPRODUCT((PayEmp=$C80)*(PayDate&lt;=$AC80)*(PayEarnCode=Q$2)*(PayEarnValues)))*IF(COUNTIFS(EmpNo,$C80,OFFSET(Emp!$R$4,1,MATCH(Q$5,DedListItem,0)-1,EmpCount,1),"&lt;&gt;")&gt;0,VLOOKUP($C80,EmpAll,COLUMN(Emp!$R$4)+MATCH(Q$5,DedListItem,0)-1,0),OFFSET(Setup!$E$73,MATCH(Q$5,DedListItem,0),0,1,1)),(MIN(IF(OFFSET(Setup!$G$73,MATCH(Q$5,DedListItem,0),0,1,1)="Taxable",SUMPRODUCT((PayEmp=$C80)*(PayDate&lt;=$AC80)*(ISERROR(SEARCH(PayEarnCode,Q$4)))*(PayEarnTax)*(PayEarnValues)),SUMPRODUCT((PayEmp=$C80)*(PayDate&lt;=$AC80)*(ISERROR(SEARCH(PayEarnCode,Q$4)))*(PayEarnValues))),IF(ISNUMBER(Q$3),Q$3/12*$AA80,IgnoreMin)))*IF(COUNTIFS(EmpNo,$C80,OFFSET(Emp!$R$4,1,MATCH(Q$5,DedListItem,0)-1,EmpCount,1),"&lt;&gt;")&gt;0,VLOOKUP($C80,EmpAll,COLUMN(Emp!$R$4)+MATCH(Q$5,DedListItem,0)-1,0),OFFSET(Setup!$E$73,MATCH(Q$5,DedListItem,0),0,1,1)))-SUMIFS(OFFSET(Q$6,1,0,PayCount,1),PayDate,"&lt;"&amp;$AC80,PayEmp,$C80))))))</f>
        <v>0</v>
      </c>
      <c r="R80" s="185">
        <f t="shared" ca="1" si="37"/>
        <v>4739.2033333333329</v>
      </c>
      <c r="S80" s="139">
        <f t="shared" ca="1" si="38"/>
        <v>24410.799999999999</v>
      </c>
      <c r="T80" s="133" cm="1">
        <f t="array" aca="1" ref="T80" ca="1">IF($F80="Terminated",0,IF($AA80=0,0,IF(ISNA(MATCH(T$5,CompListItem,0)),0,IF(COUNTIFS(OverEmp,$C80,OverComp,T$5,OverDate,"&lt;"&amp;DATE(YEAR($AC80),MONTH($AC80)+1,1),OverEnd,"&gt;="&amp;DATE(YEAR($AC80),MONTH($AC80),1))&gt;0,SUMIFS(OverValue,OverEmp,$C80,OverComp,T$5,OverDate,"&lt;"&amp;DATE(YEAR($AC80),MONTH($AC80)+1,1),OverEnd,"&gt;="&amp;DATE(YEAR($AC80),MONTH($AC80),1)),IF(OR(T$2="Fixed",T$2="Not Used"),(OFFSET(Setup!$E$81,MATCH(T$5,CompListItem,0),0,1,1)*$AA80)-SUMIFS(OFFSET(T$6,1,0,PayCount,1),PayDate,"&lt;"&amp;$AC80,PayEmp,$C80),IF(ISNA(MATCH(T$2,DedListItem,0))=FALSE,(SUMPRODUCT((PayEmp=$C80)*(PayDate&lt;=$AC80)*(PayDedList=T$2)*(PayDedValues))*OFFSET(Setup!$E$81,MATCH(T$5,CompListItem,0),0,1,1))-SUMIFS(OFFSET(T$6,1,0,PayCount,1),PayDate,"&lt;"&amp;$AC80,PayEmp,$C80),(MIN(IF(OFFSET(Setup!$G$81,MATCH(T$5,CompListItem,0),0,1,1)="Taxable",SUMPRODUCT((PayEmp=$C80)*(PayDate&lt;=$AC80)*(ISERROR(SEARCH(PayEarnCode,T$4)))*(PayEarnTax)*(PayEarnValues)),SUMPRODUCT((PayEmp=$C80)*(PayDate&lt;=$AC80)*(ISERROR(SEARCH(PayEarnCode,T$4)))*(PayEarnValues))),IF(ISNUMBER(T$3),T$3/12*$AA80,IgnoreMin)))*OFFSET(Setup!$E$81,MATCH(T$5,CompListItem,0),0,1,1)-SUMIFS(OFFSET(T$6,1,0,PayCount,1),PayDate,"&lt;"&amp;$AC80,PayEmp,$C80)))))))</f>
        <v>177.12</v>
      </c>
      <c r="U80" s="133" cm="1">
        <f t="array" aca="1" ref="U80" ca="1">IF($F80="Terminated",0,IF($AA80=0,0,IF(ISNA(MATCH(U$5,CompListItem,0)),0,IF(COUNTIFS(OverEmp,$C80,OverComp,U$5,OverDate,"&lt;"&amp;DATE(YEAR($AC80),MONTH($AC80)+1,1),OverEnd,"&gt;="&amp;DATE(YEAR($AC80),MONTH($AC80),1))&gt;0,SUMIFS(OverValue,OverEmp,$C80,OverComp,U$5,OverDate,"&lt;"&amp;DATE(YEAR($AC80),MONTH($AC80)+1,1),OverEnd,"&gt;="&amp;DATE(YEAR($AC80),MONTH($AC80),1)),IF(OR(U$2="Fixed",U$2="Not Used"),(OFFSET(Setup!$E$81,MATCH(U$5,CompListItem,0),0,1,1)*$AA80)-SUMIFS(OFFSET(U$6,1,0,PayCount,1),PayDate,"&lt;"&amp;$AC80,PayEmp,$C80),IF(ISNA(MATCH(U$2,DedListItem,0))=FALSE,(SUMPRODUCT((PayEmp=$C80)*(PayDate&lt;=$AC80)*(PayDedList=U$2)*(PayDedValues))*OFFSET(Setup!$E$81,MATCH(U$5,CompListItem,0),0,1,1))-SUMIFS(OFFSET(U$6,1,0,PayCount,1),PayDate,"&lt;"&amp;$AC80,PayEmp,$C80),(MIN(IF(OFFSET(Setup!$G$81,MATCH(U$5,CompListItem,0),0,1,1)="Taxable",SUMPRODUCT((PayEmp=$C80)*(PayDate&lt;=$AC80)*(ISERROR(SEARCH(PayEarnCode,U$4)))*(PayEarnTax)*(PayEarnValues)),SUMPRODUCT((PayEmp=$C80)*(PayDate&lt;=$AC80)*(ISERROR(SEARCH(PayEarnCode,U$4)))*(PayEarnValues))),IF(ISNUMBER(U$3),U$3/12*$AA80,IgnoreMin)))*OFFSET(Setup!$E$81,MATCH(U$5,CompListItem,0),0,1,1)-SUMIFS(OFFSET(U$6,1,0,PayCount,1),PayDate,"&lt;"&amp;$AC80,PayEmp,$C80)))))))</f>
        <v>291.5</v>
      </c>
      <c r="V80" s="133" cm="1">
        <f t="array" aca="1" ref="V80" ca="1">IF($F80="Terminated",0,IF($AA80=0,0,IF(ISNA(MATCH(V$5,CompListItem,0)),0,IF(COUNTIFS(OverEmp,$C80,OverComp,V$5,OverDate,"&lt;"&amp;DATE(YEAR($AC80),MONTH($AC80)+1,1),OverEnd,"&gt;="&amp;DATE(YEAR($AC80),MONTH($AC80),1))&gt;0,SUMIFS(OverValue,OverEmp,$C80,OverComp,V$5,OverDate,"&lt;"&amp;DATE(YEAR($AC80),MONTH($AC80)+1,1),OverEnd,"&gt;="&amp;DATE(YEAR($AC80),MONTH($AC80),1)),IF(OR(V$2="Fixed",V$2="Not Used"),(OFFSET(Setup!$E$81,MATCH(V$5,CompListItem,0),0,1,1)*$AA80)-SUMIFS(OFFSET(V$6,1,0,PayCount,1),PayDate,"&lt;"&amp;$AC80,PayEmp,$C80),IF(ISNA(MATCH(V$2,DedListItem,0))=FALSE,(SUMPRODUCT((PayEmp=$C80)*(PayDate&lt;=$AC80)*(PayDedList=V$2)*(PayDedValues))*OFFSET(Setup!$E$81,MATCH(V$5,CompListItem,0),0,1,1))-SUMIFS(OFFSET(V$6,1,0,PayCount,1),PayDate,"&lt;"&amp;$AC80,PayEmp,$C80),(MIN(IF(OFFSET(Setup!$G$81,MATCH(V$5,CompListItem,0),0,1,1)="Taxable",SUMPRODUCT((PayEmp=$C80)*(PayDate&lt;=$AC80)*(ISERROR(SEARCH(PayEarnCode,V$4)))*(PayEarnTax)*(PayEarnValues)),SUMPRODUCT((PayEmp=$C80)*(PayDate&lt;=$AC80)*(ISERROR(SEARCH(PayEarnCode,V$4)))*(PayEarnValues))),IF(ISNUMBER(V$3),V$3/12*$AA80,IgnoreMin)))*OFFSET(Setup!$E$81,MATCH(V$5,CompListItem,0),0,1,1)-SUMIFS(OFFSET(V$6,1,0,PayCount,1),PayDate,"&lt;"&amp;$AC80,PayEmp,$C80)))))))</f>
        <v>0</v>
      </c>
      <c r="W80" s="133" cm="1">
        <f t="array" aca="1" ref="W80" ca="1">IF($F80="Terminated",0,IF($AA80=0,0,IF(ISNA(MATCH(W$5,CompListItem,0)),0,IF(COUNTIFS(OverEmp,$C80,OverComp,W$5,OverDate,"&lt;"&amp;DATE(YEAR($AC80),MONTH($AC80)+1,1),OverEnd,"&gt;="&amp;DATE(YEAR($AC80),MONTH($AC80),1))&gt;0,SUMIFS(OverValue,OverEmp,$C80,OverComp,W$5,OverDate,"&lt;"&amp;DATE(YEAR($AC80),MONTH($AC80)+1,1),OverEnd,"&gt;="&amp;DATE(YEAR($AC80),MONTH($AC80),1)),IF(OR(W$2="Fixed",W$2="Not Used"),(OFFSET(Setup!$E$81,MATCH(W$5,CompListItem,0),0,1,1)*$AA80)-SUMIFS(OFFSET(W$6,1,0,PayCount,1),PayDate,"&lt;"&amp;$AC80,PayEmp,$C80),IF(ISNA(MATCH(W$2,DedListItem,0))=FALSE,(SUMPRODUCT((PayEmp=$C80)*(PayDate&lt;=$AC80)*(PayDedList=W$2)*(PayDedValues))*OFFSET(Setup!$E$81,MATCH(W$5,CompListItem,0),0,1,1))-SUMIFS(OFFSET(W$6,1,0,PayCount,1),PayDate,"&lt;"&amp;$AC80,PayEmp,$C80),(MIN(IF(OFFSET(Setup!$G$81,MATCH(W$5,CompListItem,0),0,1,1)="Taxable",SUMPRODUCT((PayEmp=$C80)*(PayDate&lt;=$AC80)*(ISERROR(SEARCH(PayEarnCode,W$4)))*(PayEarnTax)*(PayEarnValues)),SUMPRODUCT((PayEmp=$C80)*(PayDate&lt;=$AC80)*(ISERROR(SEARCH(PayEarnCode,W$4)))*(PayEarnValues))),IF(ISNUMBER(W$3),W$3/12*$AA80,IgnoreMin)))*OFFSET(Setup!$E$81,MATCH(W$5,CompListItem,0),0,1,1)-SUMIFS(OFFSET(W$6,1,0,PayCount,1),PayDate,"&lt;"&amp;$AC80,PayEmp,$C80)))))))</f>
        <v>0</v>
      </c>
      <c r="X80" s="185">
        <f t="shared" ca="1" si="30"/>
        <v>468.62</v>
      </c>
      <c r="Y80" s="139">
        <f t="shared" ca="1" si="39"/>
        <v>29618.62</v>
      </c>
      <c r="Z80" s="139">
        <f t="shared" ca="1" si="31"/>
        <v>5207.82</v>
      </c>
      <c r="AA80" s="146">
        <f ca="1">IF(OR($B80&lt;=Setup!$E$12,$B80&gt;=Setup!$D$12+1),0,IF($F80&lt;&gt;"Active",0,IF($AE80="Yes",$AB80,((YEAR($AC80)*12)+MONTH($AC80))-((YEAR($AD80)*12)+MONTH($AD80)-1))))</f>
        <v>2</v>
      </c>
      <c r="AB80" s="146">
        <f ca="1">IF(OR($B80&lt;=Setup!$E$12,$B80&gt;=Setup!$D$12+1),0,((YEAR($AC80)*12)+MONTH($AC80))-((YEAR(Setup!$E$12)*12)+MONTH(Setup!$E$12)))</f>
        <v>5</v>
      </c>
      <c r="AC80" s="186">
        <f t="shared" ca="1" si="32"/>
        <v>45132</v>
      </c>
      <c r="AD80" s="144">
        <f ca="1">IF(ISNA(VLOOKUP($C80,EmpAll,COLUMN(Emp!$E$4),0)),$AC80,IF(VLOOKUP($C80,EmpAll,COLUMN(Emp!$E$4),0)&lt;=Setup!$E$12,DATE(YEAR(Setup!$E$12),MONTH(Setup!$E$12)+1,1),VLOOKUP($C80,EmpAll,COLUMN(Emp!$E$4),0)))</f>
        <v>45102</v>
      </c>
      <c r="AE80" s="144" t="str">
        <f ca="1">IF(ISNA(VLOOKUP($C80,EmpAll,COLUMN(Emp!$G$1),0)),"-",IF(VLOOKUP($C80,EmpAll,COLUMN(Emp!$G$1),0)=0,"-",VLOOKUP($C80,EmpAll,COLUMN(Emp!$G$1),0)))</f>
        <v>-</v>
      </c>
      <c r="AF80" s="145">
        <f ca="1">IF(A80=PaySlip!$G$3,1,0)</f>
        <v>0</v>
      </c>
      <c r="AG80" s="130" cm="1">
        <f t="array" aca="1" ref="AG80" ca="1">IF(COUNTIFS(OverEmp,$C80,OverMed,"MED",OverDate,"&lt;"&amp;DATE(YEAR($AC80),MONTH($AC80)+1,1),OverEnd,"&gt;="&amp;DATE(YEAR($AC80),MONTH($AC80),1))&gt;0,SUMIFS(OverValue,OverEmp,$C80,OverMed,"MED",OverDate,"&lt;"&amp;DATE(YEAR($AC80),MONTH($AC80)+1,1),OverEnd,"&gt;="&amp;DATE(YEAR($AC80),MONTH($AC80),1)),IF(ISNA(VLOOKUP($C80,EmpAll,COLUMN(Emp!$N$4),0)),0,VLOOKUP($C80,EmpAll,COLUMN(Emp!$N$4),0)))</f>
        <v>0</v>
      </c>
      <c r="AH80" s="146">
        <f ca="1">VLOOKUP($AG80,MedList,COLUMN(Setup!$C$49),1)</f>
        <v>0</v>
      </c>
      <c r="AI80" s="146">
        <f t="shared" ca="1" si="40"/>
        <v>0</v>
      </c>
      <c r="AJ80" s="101" t="str">
        <f ca="1">IF(ISNA(VLOOKUP($C80,EmpAll,COLUMN(Emp!$L$4),0)),"None!",VLOOKUP($C80,EmpAll,COLUMN(Emp!$L$4),0))</f>
        <v>A</v>
      </c>
      <c r="AK80" s="147">
        <f t="shared" ca="1" si="33"/>
        <v>17235</v>
      </c>
      <c r="AL80" s="101" t="str">
        <f ca="1">IF(ISNA(VLOOKUP($C80,Employees[],COLUMN(Emp!$M$4),0))=TRUE,"Error!",IF(VLOOKUP($C80,Employees[],COLUMN(Emp!$M$4),0)=0,"Yes",VLOOKUP($C80,Employees[],COLUMN(Emp!$M$4),0)))</f>
        <v>A</v>
      </c>
      <c r="AM80" s="148">
        <f t="shared" ca="1" si="41"/>
        <v>349800</v>
      </c>
      <c r="AN80" s="148" cm="1">
        <f t="array" aca="1" ref="AN80" ca="1">-IF($F80="Terminated",0,IF($AA80=0,0,IF(ISNA(MATCH(AN$5,PayDedList,0)),0,MIN(IF(COUNTIFS(OverEmp,$C80,OverDeduct,AN$5,OverDate,"&lt;"&amp;DATE(YEAR($AC80),MONTH($AC80)+1,1),OverEnd,"&gt;="&amp;DATE(YEAR($AC80),MONTH($AC80),1))&gt;0,SUMPRODUCT((PayEmp=$C80)*(PayDate&lt;=$AC80)*(OFFSET($N$6,1,MATCH(AN$5,PayDedList,0)-1,PayCount,1)))/$AA80*12*AN$3,IF(OR(AN$1="Fixed",AN$1="Not Used"),SUMPRODUCT((PayEmp=$C80)*(PayDate&lt;=$AC80)*(OFFSET($N$6,1,MATCH(AN$5,PayDedList,0)-1,PayCount,1)))/$AA80*12*AN$3,IF(ISNA(MATCH(AN$1,EarnListItem,0))=FALSE,SUMPRODUCT((PayEmp=$C80)*(PayDate&lt;=$AC80)*(OFFSET($N$6,1,MATCH(AN$5,PayDedList,0)-1,PayCount,1)))/$AA80*12*AN$3,(MIN(((SUMPRODUCT((PayEmp=$C80)*(PayDate&lt;=$AC80)*(ISERROR(SEARCH(PayEarnCode,AN$2)))*(PayEarnType="Monthly")*(PayEarnValues))/$AA80*12)+(SUMPRODUCT((PayEmp=$C80)*(PayDate&lt;=$AC80)*(ISERROR(SEARCH(PayEarnCode,AN$2)))*(PayEarnType="Quarterly")*(PayEarnValues))/MAX(1,ROUNDDOWN($AB80/3,0))*4)+(SUMPRODUCT((PayEmp=$C80)*(PayDate&lt;=$AC80)*(ISERROR(SEARCH(PayEarnCode,AN$2)))*(PayEarnType="Bi-Annual")*(PayEarnValues))/MAX(1,ROUNDDOWN($AB80/6,0))*2)+(SUMPRODUCT((PayEmp=$C80)*(PayDate&lt;=$AC80)*(ISERROR(SEARCH(PayEarnCode,AN$2)))*(PayEarnType="Annual")*(PayEarnValues)))),IF(ISNUMBER(OFFSET($N$3,0,MATCH(AN$5,PayDedList,0)-1,1,1)),OFFSET($N$3,0,MATCH(AN$5,PayDedList,0)-1,1,1),IgnoreMin)))*IF(COUNTIFS(EmpNo,$C80,OFFSET(Emp!$R$4,1,MATCH(AN$5,DedListItem,0)-1,EmpCount,1),"&lt;&gt;")&gt;0,VLOOKUP($C80,EmpAll,COLUMN(Emp!$R$4)+MATCH(AN$5,DedListItem,0)-1,0),OFFSET(Setup!$E$73,MATCH(AN$5,DedListItem,0),0,1,1))*AN$3))),IF(ISNUMBER(AN$4),AN$4,IgnoreMin)))))</f>
        <v>0</v>
      </c>
      <c r="AO80" s="148" cm="1">
        <f t="array" aca="1" ref="AO80" ca="1">-IF($F80="Terminated",0,IF($AA80=0,0,IF(ISNA(MATCH(AO$5,PayDedList,0)),0,MIN(IF(COUNTIFS(OverEmp,$C80,OverDeduct,AO$5,OverDate,"&lt;"&amp;DATE(YEAR($AC80),MONTH($AC80)+1,1),OverEnd,"&gt;="&amp;DATE(YEAR($AC80),MONTH($AC80),1))&gt;0,SUMPRODUCT((PayEmp=$C80)*(PayDate&lt;=$AC80)*(OFFSET($N$6,1,MATCH(AO$5,PayDedList,0)-1,PayCount,1)))/$AA80*12*AO$3,IF(OR(AO$1="Fixed",AO$1="Not Used"),SUMPRODUCT((PayEmp=$C80)*(PayDate&lt;=$AC80)*(OFFSET($N$6,1,MATCH(AO$5,PayDedList,0)-1,PayCount,1)))/$AA80*12*AO$3,IF(ISNA(MATCH(AO$1,EarnListItem,0))=FALSE,SUMPRODUCT((PayEmp=$C80)*(PayDate&lt;=$AC80)*(OFFSET($N$6,1,MATCH(AO$5,PayDedList,0)-1,PayCount,1)))/$AA80*12*AO$3,(MIN(((SUMPRODUCT((PayEmp=$C80)*(PayDate&lt;=$AC80)*(ISERROR(SEARCH(PayEarnCode,AO$2)))*(PayEarnType="Monthly")*(PayEarnValues))/$AA80*12)+(SUMPRODUCT((PayEmp=$C80)*(PayDate&lt;=$AC80)*(ISERROR(SEARCH(PayEarnCode,AO$2)))*(PayEarnType="Quarterly")*(PayEarnValues))/MAX(1,ROUNDDOWN($AB80/3,0))*4)+(SUMPRODUCT((PayEmp=$C80)*(PayDate&lt;=$AC80)*(ISERROR(SEARCH(PayEarnCode,AO$2)))*(PayEarnType="Bi-Annual")*(PayEarnValues))/MAX(1,ROUNDDOWN($AB80/6,0))*2)+(SUMPRODUCT((PayEmp=$C80)*(PayDate&lt;=$AC80)*(ISERROR(SEARCH(PayEarnCode,AO$2)))*(PayEarnType="Annual")*(PayEarnValues)))),IF(ISNUMBER(OFFSET($N$3,0,MATCH(AO$5,PayDedList,0)-1,1,1)),OFFSET($N$3,0,MATCH(AO$5,PayDedList,0)-1,1,1),IgnoreMin)))*IF(COUNTIFS(EmpNo,$C80,OFFSET(Emp!$R$4,1,MATCH(AO$5,DedListItem,0)-1,EmpCount,1),"&lt;&gt;")&gt;0,VLOOKUP($C80,EmpAll,COLUMN(Emp!$R$4)+MATCH(AO$5,DedListItem,0)-1,0),OFFSET(Setup!$E$73,MATCH(AO$5,DedListItem,0),0,1,1))*AO$3))),IF(ISNUMBER(AO$4),AO$4,IgnoreMin)))))</f>
        <v>0</v>
      </c>
      <c r="AP80" s="148" cm="1">
        <f t="array" aca="1" ref="AP80" ca="1">-IF($F80="Terminated",0,IF($AA80=0,0,IF(ISNA(MATCH(AP$5,PayDedList,0)),0,MIN(IF(COUNTIFS(OverEmp,$C80,OverDeduct,AP$5,OverDate,"&lt;"&amp;DATE(YEAR($AC80),MONTH($AC80)+1,1),OverEnd,"&gt;="&amp;DATE(YEAR($AC80),MONTH($AC80),1))&gt;0,SUMPRODUCT((PayEmp=$C80)*(PayDate&lt;=$AC80)*(OFFSET($N$6,1,MATCH(AP$5,PayDedList,0)-1,PayCount,1)))/$AA80*12*AP$3,IF(OR(AP$1="Fixed",AP$1="Not Used"),SUMPRODUCT((PayEmp=$C80)*(PayDate&lt;=$AC80)*(OFFSET($N$6,1,MATCH(AP$5,PayDedList,0)-1,PayCount,1)))/$AA80*12*AP$3,IF(ISNA(MATCH(AP$1,EarnListItem,0))=FALSE,SUMPRODUCT((PayEmp=$C80)*(PayDate&lt;=$AC80)*(OFFSET($N$6,1,MATCH(AP$5,PayDedList,0)-1,PayCount,1)))/$AA80*12*AP$3,(MIN(((SUMPRODUCT((PayEmp=$C80)*(PayDate&lt;=$AC80)*(ISERROR(SEARCH(PayEarnCode,AP$2)))*(PayEarnType="Monthly")*(PayEarnValues))/$AA80*12)+(SUMPRODUCT((PayEmp=$C80)*(PayDate&lt;=$AC80)*(ISERROR(SEARCH(PayEarnCode,AP$2)))*(PayEarnType="Quarterly")*(PayEarnValues))/MAX(1,ROUNDDOWN($AB80/3,0))*4)+(SUMPRODUCT((PayEmp=$C80)*(PayDate&lt;=$AC80)*(ISERROR(SEARCH(PayEarnCode,AP$2)))*(PayEarnType="Bi-Annual")*(PayEarnValues))/MAX(1,ROUNDDOWN($AB80/6,0))*2)+(SUMPRODUCT((PayEmp=$C80)*(PayDate&lt;=$AC80)*(ISERROR(SEARCH(PayEarnCode,AP$2)))*(PayEarnType="Annual")*(PayEarnValues)))),IF(ISNUMBER(OFFSET($N$3,0,MATCH(AP$5,PayDedList,0)-1,1,1)),OFFSET($N$3,0,MATCH(AP$5,PayDedList,0)-1,1,1),IgnoreMin)))*IF(COUNTIFS(EmpNo,$C80,OFFSET(Emp!$R$4,1,MATCH(AP$5,DedListItem,0)-1,EmpCount,1),"&lt;&gt;")&gt;0,VLOOKUP($C80,EmpAll,COLUMN(Emp!$R$4)+MATCH(AP$5,DedListItem,0)-1,0),OFFSET(Setup!$E$73,MATCH(AP$5,DedListItem,0),0,1,1))*AP$3))),IF(ISNUMBER(AP$4),AP$4,IgnoreMin)))))</f>
        <v>0</v>
      </c>
      <c r="AQ80" s="148" cm="1">
        <f t="array" aca="1" ref="AQ80" ca="1">-IF($F80="Terminated",0,IF($AA80=0,0,IF(ISNA(MATCH(AQ$5,PayDedList,0)),0,MIN(IF(COUNTIFS(OverEmp,$C80,OverDeduct,AQ$5,OverDate,"&lt;"&amp;DATE(YEAR($AC80),MONTH($AC80)+1,1),OverEnd,"&gt;="&amp;DATE(YEAR($AC80),MONTH($AC80),1))&gt;0,SUMPRODUCT((PayEmp=$C80)*(PayDate&lt;=$AC80)*(OFFSET($N$6,1,MATCH(AQ$5,PayDedList,0)-1,PayCount,1)))/$AA80*12*AQ$3,IF(OR(AQ$1="Fixed",AQ$1="Not Used"),SUMPRODUCT((PayEmp=$C80)*(PayDate&lt;=$AC80)*(OFFSET($N$6,1,MATCH(AQ$5,PayDedList,0)-1,PayCount,1)))/$AA80*12*AQ$3,IF(ISNA(MATCH(AQ$1,EarnListItem,0))=FALSE,SUMPRODUCT((PayEmp=$C80)*(PayDate&lt;=$AC80)*(OFFSET($N$6,1,MATCH(AQ$5,PayDedList,0)-1,PayCount,1)))/$AA80*12*AQ$3,(MIN(((SUMPRODUCT((PayEmp=$C80)*(PayDate&lt;=$AC80)*(ISERROR(SEARCH(PayEarnCode,AQ$2)))*(PayEarnType="Monthly")*(PayEarnValues))/$AA80*12)+(SUMPRODUCT((PayEmp=$C80)*(PayDate&lt;=$AC80)*(ISERROR(SEARCH(PayEarnCode,AQ$2)))*(PayEarnType="Quarterly")*(PayEarnValues))/MAX(1,ROUNDDOWN($AB80/3,0))*4)+(SUMPRODUCT((PayEmp=$C80)*(PayDate&lt;=$AC80)*(ISERROR(SEARCH(PayEarnCode,AQ$2)))*(PayEarnType="Bi-Annual")*(PayEarnValues))/MAX(1,ROUNDDOWN($AB80/6,0))*2)+(SUMPRODUCT((PayEmp=$C80)*(PayDate&lt;=$AC80)*(ISERROR(SEARCH(PayEarnCode,AQ$2)))*(PayEarnType="Annual")*(PayEarnValues)))),IF(ISNUMBER(OFFSET($N$3,0,MATCH(AQ$5,PayDedList,0)-1,1,1)),OFFSET($N$3,0,MATCH(AQ$5,PayDedList,0)-1,1,1),IgnoreMin)))*IF(COUNTIFS(EmpNo,$C80,OFFSET(Emp!$R$4,1,MATCH(AQ$5,DedListItem,0)-1,EmpCount,1),"&lt;&gt;")&gt;0,VLOOKUP($C80,EmpAll,COLUMN(Emp!$R$4)+MATCH(AQ$5,DedListItem,0)-1,0),OFFSET(Setup!$E$73,MATCH(AQ$5,DedListItem,0),0,1,1))*AQ$3))),IF(ISNUMBER(AQ$4),AQ$4,IgnoreMin)))))</f>
        <v>0</v>
      </c>
      <c r="AR80" s="148">
        <f t="shared" ca="1" si="34"/>
        <v>349800</v>
      </c>
      <c r="AS80" s="148">
        <f t="shared" ca="1" si="42"/>
        <v>349800</v>
      </c>
      <c r="AT80" s="148" cm="1">
        <f t="array" aca="1" ref="AT80" ca="1">-IF($F80="Terminated",0,IF($AA80=0,0,IF(ISNA(MATCH(AT$5,PayDedList,0)),0,MIN(IF(COUNTIFS(OverEmp,$C80,OverDeduct,AT$5,OverDate,"&lt;"&amp;DATE(YEAR($AC80),MONTH($AC80)+1,1),OverEnd,"&gt;="&amp;DATE(YEAR($AC80),MONTH($AC80),1))&gt;0,SUMPRODUCT((PayEmp=$C80)*(PayDate&lt;=$AC80)*(OFFSET($N$6,1,MATCH(AT$5,PayDedList,0)-1,PayCount,1)))/$AA80*12*AT$3,IF(OR(AT$1="Fixed",AT$1="Not Used"),SUMPRODUCT((PayEmp=$C80)*(PayDate&lt;=$AC80)*(OFFSET($N$6,1,MATCH(AT$5,PayDedList,0)-1,PayCount,1)))/$AA80*12*AT$3,IF(ISNA(MATCH(OFFSET($N$2,0,MATCH(AT$5,PayDedList,0)-1,1,1),EarnListItem,0))=FALSE,SUMPRODUCT((PayEmp=$C80)*(PayDate&lt;=$AC80)*(OFFSET($N$6,1,MATCH(AT$5,PayDedList,0)-1,PayCount,1)))/$AA80*12*AT$3,(MIN(SUMPRODUCT((PayEmp=$C80)*(PayDate&lt;=$AC80)*(ISERROR(SEARCH(PayEarnCode,AT$2)))*(PayEarnType="Monthly")*(PayEarnValues))/$AA80*12,IF(ISNUMBER(OFFSET($N$3,0,MATCH(AT$5,PayDedList,0)-1,1,1)),OFFSET($N$3,0,MATCH(AT$5,PayDedList,0)-1,1,1),IgnoreMin)))*IF(COUNTIFS(EmpNo,$C80,OFFSET(Emp!$R$4,1,MATCH(AT$5,DedListItem,0)-1,EmpCount,1),"&lt;&gt;")&gt;0,VLOOKUP($C80,EmpAll,COLUMN(Emp!$R$4)+MATCH(AT$5,DedListItem,0)-1,0),OFFSET(Setup!$E$73,MATCH(AT$5,DedListItem,0),0,1,1))*AT$3))),IF(ISNUMBER(AT$4),AT$4,IgnoreMin)))))</f>
        <v>0</v>
      </c>
      <c r="AU80" s="148" cm="1">
        <f t="array" aca="1" ref="AU80" ca="1">-IF($F80="Terminated",0,IF($AA80=0,0,IF(ISNA(MATCH(AU$5,PayDedList,0)),0,MIN(IF(COUNTIFS(OverEmp,$C80,OverDeduct,AU$5,OverDate,"&lt;"&amp;DATE(YEAR($AC80),MONTH($AC80)+1,1),OverEnd,"&gt;="&amp;DATE(YEAR($AC80),MONTH($AC80),1))&gt;0,SUMPRODUCT((PayEmp=$C80)*(PayDate&lt;=$AC80)*(OFFSET($N$6,1,MATCH(AU$5,PayDedList,0)-1,PayCount,1)))/$AA80*12*AU$3,IF(OR(AU$1="Fixed",AU$1="Not Used"),SUMPRODUCT((PayEmp=$C80)*(PayDate&lt;=$AC80)*(OFFSET($N$6,1,MATCH(AU$5,PayDedList,0)-1,PayCount,1)))/$AA80*12*AU$3,IF(ISNA(MATCH(OFFSET($N$2,0,MATCH(AU$5,PayDedList,0)-1,1,1),EarnListItem,0))=FALSE,SUMPRODUCT((PayEmp=$C80)*(PayDate&lt;=$AC80)*(OFFSET($N$6,1,MATCH(AU$5,PayDedList,0)-1,PayCount,1)))/$AA80*12*AU$3,(MIN(SUMPRODUCT((PayEmp=$C80)*(PayDate&lt;=$AC80)*(ISERROR(SEARCH(PayEarnCode,AU$2)))*(PayEarnType="Monthly")*(PayEarnValues))/$AA80*12,IF(ISNUMBER(OFFSET($N$3,0,MATCH(AU$5,PayDedList,0)-1,1,1)),OFFSET($N$3,0,MATCH(AU$5,PayDedList,0)-1,1,1),IgnoreMin)))*IF(COUNTIFS(EmpNo,$C80,OFFSET(Emp!$R$4,1,MATCH(AU$5,DedListItem,0)-1,EmpCount,1),"&lt;&gt;")&gt;0,VLOOKUP($C80,EmpAll,COLUMN(Emp!$R$4)+MATCH(AU$5,DedListItem,0)-1,0),OFFSET(Setup!$E$73,MATCH(AU$5,DedListItem,0),0,1,1))*AU$3))),IF(ISNUMBER(AU$4),AU$4,IgnoreMin)))))</f>
        <v>0</v>
      </c>
      <c r="AV80" s="148" cm="1">
        <f t="array" aca="1" ref="AV80" ca="1">-IF($F80="Terminated",0,IF($AA80=0,0,IF(ISNA(MATCH(AV$5,PayDedList,0)),0,MIN(IF(COUNTIFS(OverEmp,$C80,OverDeduct,AV$5,OverDate,"&lt;"&amp;DATE(YEAR($AC80),MONTH($AC80)+1,1),OverEnd,"&gt;="&amp;DATE(YEAR($AC80),MONTH($AC80),1))&gt;0,SUMPRODUCT((PayEmp=$C80)*(PayDate&lt;=$AC80)*(OFFSET($N$6,1,MATCH(AV$5,PayDedList,0)-1,PayCount,1)))/$AA80*12*AV$3,IF(OR(AV$1="Fixed",AV$1="Not Used"),SUMPRODUCT((PayEmp=$C80)*(PayDate&lt;=$AC80)*(OFFSET($N$6,1,MATCH(AV$5,PayDedList,0)-1,PayCount,1)))/$AA80*12*AV$3,IF(ISNA(MATCH(OFFSET($N$2,0,MATCH(AV$5,PayDedList,0)-1,1,1),EarnListItem,0))=FALSE,SUMPRODUCT((PayEmp=$C80)*(PayDate&lt;=$AC80)*(OFFSET($N$6,1,MATCH(AV$5,PayDedList,0)-1,PayCount,1)))/$AA80*12*AV$3,(MIN(SUMPRODUCT((PayEmp=$C80)*(PayDate&lt;=$AC80)*(ISERROR(SEARCH(PayEarnCode,AV$2)))*(PayEarnType="Monthly")*(PayEarnValues))/$AA80*12,IF(ISNUMBER(OFFSET($N$3,0,MATCH(AV$5,PayDedList,0)-1,1,1)),OFFSET($N$3,0,MATCH(AV$5,PayDedList,0)-1,1,1),IgnoreMin)))*IF(COUNTIFS(EmpNo,$C80,OFFSET(Emp!$R$4,1,MATCH(AV$5,DedListItem,0)-1,EmpCount,1),"&lt;&gt;")&gt;0,VLOOKUP($C80,EmpAll,COLUMN(Emp!$R$4)+MATCH(AV$5,DedListItem,0)-1,0),OFFSET(Setup!$E$73,MATCH(AV$5,DedListItem,0),0,1,1))*AV$3))),IF(ISNUMBER(AV$4),AV$4,IgnoreMin)))))</f>
        <v>0</v>
      </c>
      <c r="AW80" s="148" cm="1">
        <f t="array" aca="1" ref="AW80" ca="1">-IF($F80="Terminated",0,IF($AA80=0,0,IF(ISNA(MATCH(AW$5,PayDedList,0)),0,MIN(IF(COUNTIFS(OverEmp,$C80,OverDeduct,AW$5,OverDate,"&lt;"&amp;DATE(YEAR($AC80),MONTH($AC80)+1,1),OverEnd,"&gt;="&amp;DATE(YEAR($AC80),MONTH($AC80),1))&gt;0,SUMPRODUCT((PayEmp=$C80)*(PayDate&lt;=$AC80)*(OFFSET($N$6,1,MATCH(AW$5,PayDedList,0)-1,PayCount,1)))/$AA80*12*AW$3,IF(OR(AW$1="Fixed",AW$1="Not Used"),SUMPRODUCT((PayEmp=$C80)*(PayDate&lt;=$AC80)*(OFFSET($N$6,1,MATCH(AW$5,PayDedList,0)-1,PayCount,1)))/$AA80*12*AW$3,IF(ISNA(MATCH(OFFSET($N$2,0,MATCH(AW$5,PayDedList,0)-1,1,1),EarnListItem,0))=FALSE,SUMPRODUCT((PayEmp=$C80)*(PayDate&lt;=$AC80)*(OFFSET($N$6,1,MATCH(AW$5,PayDedList,0)-1,PayCount,1)))/$AA80*12*AW$3,(MIN(SUMPRODUCT((PayEmp=$C80)*(PayDate&lt;=$AC80)*(ISERROR(SEARCH(PayEarnCode,AW$2)))*(PayEarnType="Monthly")*(PayEarnValues))/$AA80*12,IF(ISNUMBER(OFFSET($N$3,0,MATCH(AW$5,PayDedList,0)-1,1,1)),OFFSET($N$3,0,MATCH(AW$5,PayDedList,0)-1,1,1),IgnoreMin)))*IF(COUNTIFS(EmpNo,$C80,OFFSET(Emp!$R$4,1,MATCH(AW$5,DedListItem,0)-1,EmpCount,1),"&lt;&gt;")&gt;0,VLOOKUP($C80,EmpAll,COLUMN(Emp!$R$4)+MATCH(AW$5,DedListItem,0)-1,0),OFFSET(Setup!$E$73,MATCH(AW$5,DedListItem,0),0,1,1))*AW$3))),IF(ISNUMBER(AW$4),AW$4,IgnoreMin)))))</f>
        <v>0</v>
      </c>
      <c r="AX80" s="148">
        <f t="shared" ca="1" si="43"/>
        <v>349800</v>
      </c>
      <c r="AY80" s="148">
        <f t="shared" ca="1" si="44"/>
        <v>0</v>
      </c>
      <c r="AZ80" s="148">
        <f ca="1">IF(ISNUMBER($AL80),($AR80*$AL80)-$AI80-$AK80,MAX(0,IF($AL80="B",IF($AR80&lt;Setup!$C$32,($AR80*Setup!$D$32)-$AI80-$AK80,(($AR80-VLOOKUP($AR80,TaxAll2,1,1))*OFFSET(Setup!$D$32,MATCH($AR80,TaxBracket2,1),0,1,1))+OFFSET(Setup!$E$31,MATCH($AR80,TaxBracket2,1),0,1,1)-$AI80-$AK80),IF($AR80&lt;Setup!$C$21,($AR80*Setup!$D$21)-$AI80-$AK80,(($AR80-VLOOKUP($AR80,TaxAll1,1,1))*OFFSET(Setup!$D$21,MATCH($AR80,TaxBracket1,1),0,1,1))+OFFSET(Setup!$E$20,MATCH($AR80,TaxBracket1,1),0,1,1)-$AI80-$AK80))))</f>
        <v>54745</v>
      </c>
      <c r="BA80" s="148">
        <f ca="1">IF(ISNUMBER($AL80),($AX80*$AL80)-$AI80-$AK80,MAX(0,IF($AL80="B",IF($AX80&lt;Setup!$C$32,($AX80*Setup!$D$32)-$AI80-$AK80,(($AX80-VLOOKUP($AX80,TaxAll2,1,1))*OFFSET(Setup!$D$32,MATCH($AX80,TaxBracket2,1),0,1,1))+OFFSET(Setup!$E$31,MATCH($AX80,TaxBracket2,1),0,1,1)-$AI80-$AK80),IF($AX80&lt;Setup!$C$21,($AX80*Setup!$D$21)-$AI80-$AK80,(($AX80-VLOOKUP($AX80,TaxAll1,1,1))*OFFSET(Setup!$D$21,MATCH($AX80,TaxBracket1,1),0,1,1))+OFFSET(Setup!$E$20,MATCH($AX80,TaxBracket1,1),0,1,1)-$AI80-$AK80))))</f>
        <v>54745</v>
      </c>
      <c r="BB80" s="148">
        <f t="shared" ca="1" si="35"/>
        <v>0</v>
      </c>
      <c r="BC80" s="150">
        <f t="shared" ca="1" si="45"/>
        <v>1</v>
      </c>
      <c r="BD80" s="150">
        <f t="shared" ca="1" si="46"/>
        <v>0</v>
      </c>
      <c r="BE80" s="148">
        <f t="shared" ca="1" si="47"/>
        <v>349800</v>
      </c>
    </row>
    <row r="81" spans="1:57" ht="16.149999999999999" customHeight="1" x14ac:dyDescent="0.25">
      <c r="A81" s="10" t="str" cm="1">
        <f t="array" aca="1" ref="A81" ca="1">IF(ROW($A81)-ROW($A$6)&gt;EmpCount*12,"-",TEXT($B81,"yyyy")&amp;TEXT($B81,"mm")&amp;"-"&amp;$C81)</f>
        <v>202307-EXS015</v>
      </c>
      <c r="B81" s="137" cm="1">
        <f t="array" aca="1" ref="B81" ca="1">IF(ROW($A81)-ROW($A$6)&gt;EmpCount*12,Setup!$D$12,DATE(YEAR(Setup!$F$12),MONTH(Setup!$F$12)+ROUNDDOWN((ROW($A81)-ROW($A$6)-1)/EmpCount,0),IF(Setup!$C$14&gt;DAY(DATE(YEAR(Setup!$F$12),MONTH(Setup!$F$12)+ROUNDDOWN((ROW($A81)-ROW($A$6)-1)/EmpCount,0)+1,0)),DAY(DATE(YEAR(Setup!$F$12),MONTH(Setup!$F$12)+ROUNDDOWN((ROW($A81)-ROW($A$6)-1)/EmpCount,0)+1,0)),Setup!$C$14)))</f>
        <v>45132</v>
      </c>
      <c r="C81" s="101" t="str" cm="1">
        <f t="array" aca="1" ref="C81" ca="1">IF(ROW($A81)-ROW($A$6)&gt;EmpCount*12,"-",OFFSET(Emp!$A$4,ROW($A81)-ROW($A$6)-IF(ROW($A81)-ROW($A$6)&gt;EmpCount,ROUNDDOWN((ROW($A81)-ROW($A$6)-1)/EmpCount,0)*EmpCount,0),0,1,1))</f>
        <v>EXS015</v>
      </c>
      <c r="D81" s="10" t="str">
        <f ca="1">IF(ISNA(VLOOKUP($C81,EmpAll,COLUMN(Emp!$B$4),0)),"-",VLOOKUP($C81,EmpAll,COLUMN(Emp!$B$4),0))</f>
        <v>Graham L</v>
      </c>
      <c r="E81" s="145" t="str">
        <f ca="1">IF(ISNA(VLOOKUP($C81,EmpAll,COLUMN(Emp!$C$4),0)),"-",VLOOKUP($C81,EmpAll,COLUMN(Emp!$C$4),0))</f>
        <v>S</v>
      </c>
      <c r="F81" s="101" t="str">
        <f ca="1">IF(ISNA(VLOOKUP($C81,EmpAll,COLUMN(Emp!$A$4),0)),"-",IF(AND(VLOOKUP($C81,EmpAll,COLUMN(Emp!$E$4),0)&lt;&gt;0,VLOOKUP($C81,EmpAll,COLUMN(Emp!$E$4),0)&gt;=DATE(YEAR($AC81),MONTH($AC81)+1,0)),"Inactive",IF(AND(VLOOKUP($C81,EmpAll,COLUMN(Emp!$F$4),0)&lt;&gt;0,VLOOKUP($C81,EmpAll,COLUMN(Emp!$F$4),0)&lt;=DATE(YEAR($AC81),MONTH($AC81),0)),"Terminated","Active")))</f>
        <v>Inactive</v>
      </c>
      <c r="G81" s="133" cm="1">
        <f t="array" aca="1" ref="G81" ca="1">IF($F81&lt;&gt;"Active",0,IF(COUNTIFS(OverEmp,$C81,OverEarn,G$2,OverDate,"&lt;"&amp;DATE(YEAR($AC81),MONTH($AC81)+1,1),OverEnd,"&gt;="&amp;DATE(YEAR($AC81),MONTH($AC81),1))&gt;0,SUMIFS(OverValue,OverEmp,$C81,OverEarn,G$2,OverDate,"&lt;"&amp;DATE(YEAR($AC81),MONTH($AC81)+1,1),OverEnd,"&gt;="&amp;DATE(YEAR($AC81),MONTH($AC81),1)),IF(AND($AC81&gt;=Setup!$E$10,SUMIFS(EmpIncrease,EmpCode,$C81)&gt;0),SUMIFS(EmpIncrease,EmpCode,$C81),SUMIFS(EmpSalary,EmpCode,$C81))))</f>
        <v>0</v>
      </c>
      <c r="H81" s="133" cm="1">
        <f t="array" aca="1" ref="H81" ca="1">IF($F81&lt;&gt;"Active",0,IF(COUNTIFS(OverEmp,$C81,OverEarn,H$2,OverDate,"&lt;"&amp;DATE(YEAR($AC81),MONTH($AC81)+1,1),OverEnd,"&gt;="&amp;DATE(YEAR($AC81),MONTH($AC81),1))&gt;0,SUMIFS(OverValue,OverEmp,$C81,OverEarn,H$2,OverDate,"&lt;"&amp;DATE(YEAR($AC81),MONTH($AC81)+1,1),OverEnd,"&gt;="&amp;DATE(YEAR($AC81),MONTH($AC81),1)),0))</f>
        <v>0</v>
      </c>
      <c r="I81" s="133" cm="1">
        <f t="array" aca="1" ref="I81" ca="1">IF($F81&lt;&gt;"Active",0,IF(COUNTIFS(OverEmp,$C81,OverEarn,I$2,OverDate,"&lt;"&amp;DATE(YEAR($AC81),MONTH($AC81)+1,1),OverEnd,"&gt;="&amp;DATE(YEAR($AC81),MONTH($AC81),1))&gt;0,SUMIFS(OverValue,OverEmp,$C81,OverEarn,I$2,OverDate,"&lt;"&amp;DATE(YEAR($AC81),MONTH($AC81)+1,1),OverEnd,"&gt;="&amp;DATE(YEAR($AC81),MONTH($AC81),1)),IF(MONTH(B81)=Setup!$C$15,SUMIFS(EmpBonus,EmpCode,$C81),0)))</f>
        <v>0</v>
      </c>
      <c r="J81" s="133" cm="1">
        <f t="array" aca="1" ref="J81" ca="1">IF($F81&lt;&gt;"Active",0,IF(COUNTIFS(OverEmp,$C81,OverEarn,J$2,OverDate,"&lt;"&amp;DATE(YEAR($AC81),MONTH($AC81)+1,1),OverEnd,"&gt;="&amp;DATE(YEAR($AC81),MONTH($AC81),1))&gt;0,SUMIFS(OverValue,OverEmp,$C81,OverEarn,J$2,OverDate,"&lt;"&amp;DATE(YEAR($AC81),MONTH($AC81)+1,1),OverEnd,"&gt;="&amp;DATE(YEAR($AC81),MONTH($AC81),1)),0))</f>
        <v>0</v>
      </c>
      <c r="K81" s="133" cm="1">
        <f t="array" aca="1" ref="K81" ca="1">IF($F81&lt;&gt;"Active",0,IF(COUNTIFS(OverEmp,$C81,OverEarn,K$2,OverDate,"&lt;"&amp;DATE(YEAR($AC81),MONTH($AC81)+1,1),OverEnd,"&gt;="&amp;DATE(YEAR($AC81),MONTH($AC81),1))&gt;0,SUMIFS(OverValue,OverEmp,$C81,OverEarn,K$2,OverDate,"&lt;"&amp;DATE(YEAR($AC81),MONTH($AC81)+1,1),OverEnd,"&gt;="&amp;DATE(YEAR($AC81),MONTH($AC81),1)),0))</f>
        <v>0</v>
      </c>
      <c r="L81" s="185">
        <f t="shared" ca="1" si="36"/>
        <v>0</v>
      </c>
      <c r="M81" s="182" cm="1">
        <f t="array" aca="1" ref="M81" ca="1">IF(COUNTIFS(OverEmp,$C81,OverTax,M$5,OverDate,"&lt;"&amp;DATE(YEAR($AC81),MONTH($AC81)+1,1),OverEnd,"&gt;="&amp;DATE(YEAR($AC81),MONTH($AC81),1))&gt;0,SUMIFS(OverValue,OverEmp,$C81,OverTax,M$5,OverDate,"&lt;"&amp;DATE(YEAR($AC81),MONTH($AC81)+1,1),OverEnd,"&gt;="&amp;DATE(YEAR($AC81),MONTH($AC81),1)),(($BA81/12*$AA81)+(BB81*IF(1-$BC81=0,0,BD81/(1-$BC81))))-IF($F81="Terminated",0,SUMIFS(PayTaxDeduct,PayDate,"&lt;"&amp;$AC81,PayEmp,$C81)))</f>
        <v>0</v>
      </c>
      <c r="N81" s="133" cm="1">
        <f t="array" aca="1" ref="N81" ca="1">IF($F81="Terminated",0,IF($AA81=0,0,IF(ISNA(MATCH(N$5,DedListItem,0)),0,IF(COUNTIFS(OverEmp,$C81,OverDeduct,N$5,OverDate,"&lt;"&amp;DATE(YEAR($AC81),MONTH($AC81)+1,1),OverEnd,"&gt;="&amp;DATE(YEAR($AC81),MONTH($AC81),1))&gt;0,SUMIFS(OverValue,OverEmp,$C81,OverDeduct,N$5,OverDate,"&lt;"&amp;DATE(YEAR($AC81),MONTH($AC81)+1,1),OverEnd,"&gt;="&amp;DATE(YEAR($AC81),MONTH($AC81),1)),IF(OR(N$2="Fixed",N$2="Not Used"),(IF(COUNTIFS(EmpNo,$C81,OFFSET(Emp!$R$4,1,MATCH(N$5,DedListItem,0)-1,EmpCount,1),"&lt;&gt;")&gt;0,VLOOKUP($C81,EmpAll,COLUMN(Emp!$R$4)+MATCH(N$5,DedListItem,0)-1,0),OFFSET(Setup!$E$73,MATCH(N$5,DedListItem,0),0,1,1))*$AA81)-SUMIFS(OFFSET(N$6,1,0,PayCount,1),PayDate,"&lt;"&amp;$AC81,PayEmp,$C81),IF(ISNA(MATCH(N$2,EarnListItem,0))=FALSE,IF(OFFSET(Setup!$G$73,MATCH(N$5,DedListItem,0),0,1,1)="Taxable",SUMPRODUCT((PayEmp=$C81)*(PayDate&lt;=$AC81)*(PayEarnCode=N$2)*(PayEarnTax)*(PayEarnValues)),SUMPRODUCT((PayEmp=$C81)*(PayDate&lt;=$AC81)*(PayEarnCode=N$2)*(PayEarnValues)))*IF(COUNTIFS(EmpNo,$C81,OFFSET(Emp!$R$4,1,MATCH(N$5,DedListItem,0)-1,EmpCount,1),"&lt;&gt;")&gt;0,VLOOKUP($C81,EmpAll,COLUMN(Emp!$R$4)+MATCH(N$5,DedListItem,0)-1,0),OFFSET(Setup!$E$73,MATCH(N$5,DedListItem,0),0,1,1)),(MIN(IF(OFFSET(Setup!$G$73,MATCH(N$5,DedListItem,0),0,1,1)="Taxable",SUMPRODUCT((PayEmp=$C81)*(PayDate&lt;=$AC81)*(ISERROR(SEARCH(PayEarnCode,N$4)))*(PayEarnTax)*(PayEarnValues)),SUMPRODUCT((PayEmp=$C81)*(PayDate&lt;=$AC81)*(ISERROR(SEARCH(PayEarnCode,N$4)))*(PayEarnValues))),IF(ISNUMBER(N$3),N$3/12*$AA81,IgnoreMin)))*IF(COUNTIFS(EmpNo,$C81,OFFSET(Emp!$R$4,1,MATCH(N$5,DedListItem,0)-1,EmpCount,1),"&lt;&gt;")&gt;0,VLOOKUP($C81,EmpAll,COLUMN(Emp!$R$4)+MATCH(N$5,DedListItem,0)-1,0),OFFSET(Setup!$E$73,MATCH(N$5,DedListItem,0),0,1,1)))-SUMIFS(OFFSET(N$6,1,0,PayCount,1),PayDate,"&lt;"&amp;$AC81,PayEmp,$C81))))))</f>
        <v>0</v>
      </c>
      <c r="O81" s="133" cm="1">
        <f t="array" aca="1" ref="O81" ca="1">IF($F81="Terminated",0,IF($AA81=0,0,IF(ISNA(MATCH(O$5,DedListItem,0)),0,IF(COUNTIFS(OverEmp,$C81,OverDeduct,O$5,OverDate,"&lt;"&amp;DATE(YEAR($AC81),MONTH($AC81)+1,1),OverEnd,"&gt;="&amp;DATE(YEAR($AC81),MONTH($AC81),1))&gt;0,SUMIFS(OverValue,OverEmp,$C81,OverDeduct,O$5,OverDate,"&lt;"&amp;DATE(YEAR($AC81),MONTH($AC81)+1,1),OverEnd,"&gt;="&amp;DATE(YEAR($AC81),MONTH($AC81),1)),IF(OR(O$2="Fixed",O$2="Not Used"),(IF(COUNTIFS(EmpNo,$C81,OFFSET(Emp!$R$4,1,MATCH(O$5,DedListItem,0)-1,EmpCount,1),"&lt;&gt;")&gt;0,VLOOKUP($C81,EmpAll,COLUMN(Emp!$R$4)+MATCH(O$5,DedListItem,0)-1,0),OFFSET(Setup!$E$73,MATCH(O$5,DedListItem,0),0,1,1))*$AA81)-SUMIFS(OFFSET(O$6,1,0,PayCount,1),PayDate,"&lt;"&amp;$AC81,PayEmp,$C81),IF(ISNA(MATCH(O$2,EarnListItem,0))=FALSE,IF(OFFSET(Setup!$G$73,MATCH(O$5,DedListItem,0),0,1,1)="Taxable",SUMPRODUCT((PayEmp=$C81)*(PayDate&lt;=$AC81)*(PayEarnCode=O$2)*(PayEarnTax)*(PayEarnValues)),SUMPRODUCT((PayEmp=$C81)*(PayDate&lt;=$AC81)*(PayEarnCode=O$2)*(PayEarnValues)))*IF(COUNTIFS(EmpNo,$C81,OFFSET(Emp!$R$4,1,MATCH(O$5,DedListItem,0)-1,EmpCount,1),"&lt;&gt;")&gt;0,VLOOKUP($C81,EmpAll,COLUMN(Emp!$R$4)+MATCH(O$5,DedListItem,0)-1,0),OFFSET(Setup!$E$73,MATCH(O$5,DedListItem,0),0,1,1)),(MIN(IF(OFFSET(Setup!$G$73,MATCH(O$5,DedListItem,0),0,1,1)="Taxable",SUMPRODUCT((PayEmp=$C81)*(PayDate&lt;=$AC81)*(ISERROR(SEARCH(PayEarnCode,O$4)))*(PayEarnTax)*(PayEarnValues)),SUMPRODUCT((PayEmp=$C81)*(PayDate&lt;=$AC81)*(ISERROR(SEARCH(PayEarnCode,O$4)))*(PayEarnValues))),IF(ISNUMBER(O$3),O$3/12*$AA81,IgnoreMin)))*IF(COUNTIFS(EmpNo,$C81,OFFSET(Emp!$R$4,1,MATCH(O$5,DedListItem,0)-1,EmpCount,1),"&lt;&gt;")&gt;0,VLOOKUP($C81,EmpAll,COLUMN(Emp!$R$4)+MATCH(O$5,DedListItem,0)-1,0),OFFSET(Setup!$E$73,MATCH(O$5,DedListItem,0),0,1,1)))-SUMIFS(OFFSET(O$6,1,0,PayCount,1),PayDate,"&lt;"&amp;$AC81,PayEmp,$C81))))))</f>
        <v>0</v>
      </c>
      <c r="P81" s="133" cm="1">
        <f t="array" aca="1" ref="P81" ca="1">IF($F81="Terminated",0,IF($AA81=0,0,IF(ISNA(MATCH(P$5,DedListItem,0)),0,IF(COUNTIFS(OverEmp,$C81,OverDeduct,P$5,OverDate,"&lt;"&amp;DATE(YEAR($AC81),MONTH($AC81)+1,1),OverEnd,"&gt;="&amp;DATE(YEAR($AC81),MONTH($AC81),1))&gt;0,SUMIFS(OverValue,OverEmp,$C81,OverDeduct,P$5,OverDate,"&lt;"&amp;DATE(YEAR($AC81),MONTH($AC81)+1,1),OverEnd,"&gt;="&amp;DATE(YEAR($AC81),MONTH($AC81),1)),IF(OR(P$2="Fixed",P$2="Not Used"),(IF(COUNTIFS(EmpNo,$C81,OFFSET(Emp!$R$4,1,MATCH(P$5,DedListItem,0)-1,EmpCount,1),"&lt;&gt;")&gt;0,VLOOKUP($C81,EmpAll,COLUMN(Emp!$R$4)+MATCH(P$5,DedListItem,0)-1,0),OFFSET(Setup!$E$73,MATCH(P$5,DedListItem,0),0,1,1))*$AA81)-SUMIFS(OFFSET(P$6,1,0,PayCount,1),PayDate,"&lt;"&amp;$AC81,PayEmp,$C81),IF(ISNA(MATCH(P$2,EarnListItem,0))=FALSE,IF(OFFSET(Setup!$G$73,MATCH(P$5,DedListItem,0),0,1,1)="Taxable",SUMPRODUCT((PayEmp=$C81)*(PayDate&lt;=$AC81)*(PayEarnCode=P$2)*(PayEarnTax)*(PayEarnValues)),SUMPRODUCT((PayEmp=$C81)*(PayDate&lt;=$AC81)*(PayEarnCode=P$2)*(PayEarnValues)))*IF(COUNTIFS(EmpNo,$C81,OFFSET(Emp!$R$4,1,MATCH(P$5,DedListItem,0)-1,EmpCount,1),"&lt;&gt;")&gt;0,VLOOKUP($C81,EmpAll,COLUMN(Emp!$R$4)+MATCH(P$5,DedListItem,0)-1,0),OFFSET(Setup!$E$73,MATCH(P$5,DedListItem,0),0,1,1)),(MIN(IF(OFFSET(Setup!$G$73,MATCH(P$5,DedListItem,0),0,1,1)="Taxable",SUMPRODUCT((PayEmp=$C81)*(PayDate&lt;=$AC81)*(ISERROR(SEARCH(PayEarnCode,P$4)))*(PayEarnTax)*(PayEarnValues)),SUMPRODUCT((PayEmp=$C81)*(PayDate&lt;=$AC81)*(ISERROR(SEARCH(PayEarnCode,P$4)))*(PayEarnValues))),IF(ISNUMBER(P$3),P$3/12*$AA81,IgnoreMin)))*IF(COUNTIFS(EmpNo,$C81,OFFSET(Emp!$R$4,1,MATCH(P$5,DedListItem,0)-1,EmpCount,1),"&lt;&gt;")&gt;0,VLOOKUP($C81,EmpAll,COLUMN(Emp!$R$4)+MATCH(P$5,DedListItem,0)-1,0),OFFSET(Setup!$E$73,MATCH(P$5,DedListItem,0),0,1,1)))-SUMIFS(OFFSET(P$6,1,0,PayCount,1),PayDate,"&lt;"&amp;$AC81,PayEmp,$C81))))))</f>
        <v>0</v>
      </c>
      <c r="Q81" s="133" cm="1">
        <f t="array" aca="1" ref="Q81" ca="1">IF($F81="Terminated",0,IF($AA81=0,0,IF(ISNA(MATCH(Q$5,DedListItem,0)),0,IF(COUNTIFS(OverEmp,$C81,OverDeduct,Q$5,OverDate,"&lt;"&amp;DATE(YEAR($AC81),MONTH($AC81)+1,1),OverEnd,"&gt;="&amp;DATE(YEAR($AC81),MONTH($AC81),1))&gt;0,SUMIFS(OverValue,OverEmp,$C81,OverDeduct,Q$5,OverDate,"&lt;"&amp;DATE(YEAR($AC81),MONTH($AC81)+1,1),OverEnd,"&gt;="&amp;DATE(YEAR($AC81),MONTH($AC81),1)),IF(OR(Q$2="Fixed",Q$2="Not Used"),(IF(COUNTIFS(EmpNo,$C81,OFFSET(Emp!$R$4,1,MATCH(Q$5,DedListItem,0)-1,EmpCount,1),"&lt;&gt;")&gt;0,VLOOKUP($C81,EmpAll,COLUMN(Emp!$R$4)+MATCH(Q$5,DedListItem,0)-1,0),OFFSET(Setup!$E$73,MATCH(Q$5,DedListItem,0),0,1,1))*$AA81)-SUMIFS(OFFSET(Q$6,1,0,PayCount,1),PayDate,"&lt;"&amp;$AC81,PayEmp,$C81),IF(ISNA(MATCH(Q$2,EarnListItem,0))=FALSE,IF(OFFSET(Setup!$G$73,MATCH(Q$5,DedListItem,0),0,1,1)="Taxable",SUMPRODUCT((PayEmp=$C81)*(PayDate&lt;=$AC81)*(PayEarnCode=Q$2)*(PayEarnTax)*(PayEarnValues)),SUMPRODUCT((PayEmp=$C81)*(PayDate&lt;=$AC81)*(PayEarnCode=Q$2)*(PayEarnValues)))*IF(COUNTIFS(EmpNo,$C81,OFFSET(Emp!$R$4,1,MATCH(Q$5,DedListItem,0)-1,EmpCount,1),"&lt;&gt;")&gt;0,VLOOKUP($C81,EmpAll,COLUMN(Emp!$R$4)+MATCH(Q$5,DedListItem,0)-1,0),OFFSET(Setup!$E$73,MATCH(Q$5,DedListItem,0),0,1,1)),(MIN(IF(OFFSET(Setup!$G$73,MATCH(Q$5,DedListItem,0),0,1,1)="Taxable",SUMPRODUCT((PayEmp=$C81)*(PayDate&lt;=$AC81)*(ISERROR(SEARCH(PayEarnCode,Q$4)))*(PayEarnTax)*(PayEarnValues)),SUMPRODUCT((PayEmp=$C81)*(PayDate&lt;=$AC81)*(ISERROR(SEARCH(PayEarnCode,Q$4)))*(PayEarnValues))),IF(ISNUMBER(Q$3),Q$3/12*$AA81,IgnoreMin)))*IF(COUNTIFS(EmpNo,$C81,OFFSET(Emp!$R$4,1,MATCH(Q$5,DedListItem,0)-1,EmpCount,1),"&lt;&gt;")&gt;0,VLOOKUP($C81,EmpAll,COLUMN(Emp!$R$4)+MATCH(Q$5,DedListItem,0)-1,0),OFFSET(Setup!$E$73,MATCH(Q$5,DedListItem,0),0,1,1)))-SUMIFS(OFFSET(Q$6,1,0,PayCount,1),PayDate,"&lt;"&amp;$AC81,PayEmp,$C81))))))</f>
        <v>0</v>
      </c>
      <c r="R81" s="185">
        <f t="shared" ca="1" si="37"/>
        <v>0</v>
      </c>
      <c r="S81" s="139">
        <f t="shared" ca="1" si="38"/>
        <v>0</v>
      </c>
      <c r="T81" s="133" cm="1">
        <f t="array" aca="1" ref="T81" ca="1">IF($F81="Terminated",0,IF($AA81=0,0,IF(ISNA(MATCH(T$5,CompListItem,0)),0,IF(COUNTIFS(OverEmp,$C81,OverComp,T$5,OverDate,"&lt;"&amp;DATE(YEAR($AC81),MONTH($AC81)+1,1),OverEnd,"&gt;="&amp;DATE(YEAR($AC81),MONTH($AC81),1))&gt;0,SUMIFS(OverValue,OverEmp,$C81,OverComp,T$5,OverDate,"&lt;"&amp;DATE(YEAR($AC81),MONTH($AC81)+1,1),OverEnd,"&gt;="&amp;DATE(YEAR($AC81),MONTH($AC81),1)),IF(OR(T$2="Fixed",T$2="Not Used"),(OFFSET(Setup!$E$81,MATCH(T$5,CompListItem,0),0,1,1)*$AA81)-SUMIFS(OFFSET(T$6,1,0,PayCount,1),PayDate,"&lt;"&amp;$AC81,PayEmp,$C81),IF(ISNA(MATCH(T$2,DedListItem,0))=FALSE,(SUMPRODUCT((PayEmp=$C81)*(PayDate&lt;=$AC81)*(PayDedList=T$2)*(PayDedValues))*OFFSET(Setup!$E$81,MATCH(T$5,CompListItem,0),0,1,1))-SUMIFS(OFFSET(T$6,1,0,PayCount,1),PayDate,"&lt;"&amp;$AC81,PayEmp,$C81),(MIN(IF(OFFSET(Setup!$G$81,MATCH(T$5,CompListItem,0),0,1,1)="Taxable",SUMPRODUCT((PayEmp=$C81)*(PayDate&lt;=$AC81)*(ISERROR(SEARCH(PayEarnCode,T$4)))*(PayEarnTax)*(PayEarnValues)),SUMPRODUCT((PayEmp=$C81)*(PayDate&lt;=$AC81)*(ISERROR(SEARCH(PayEarnCode,T$4)))*(PayEarnValues))),IF(ISNUMBER(T$3),T$3/12*$AA81,IgnoreMin)))*OFFSET(Setup!$E$81,MATCH(T$5,CompListItem,0),0,1,1)-SUMIFS(OFFSET(T$6,1,0,PayCount,1),PayDate,"&lt;"&amp;$AC81,PayEmp,$C81)))))))</f>
        <v>0</v>
      </c>
      <c r="U81" s="133" cm="1">
        <f t="array" aca="1" ref="U81" ca="1">IF($F81="Terminated",0,IF($AA81=0,0,IF(ISNA(MATCH(U$5,CompListItem,0)),0,IF(COUNTIFS(OverEmp,$C81,OverComp,U$5,OverDate,"&lt;"&amp;DATE(YEAR($AC81),MONTH($AC81)+1,1),OverEnd,"&gt;="&amp;DATE(YEAR($AC81),MONTH($AC81),1))&gt;0,SUMIFS(OverValue,OverEmp,$C81,OverComp,U$5,OverDate,"&lt;"&amp;DATE(YEAR($AC81),MONTH($AC81)+1,1),OverEnd,"&gt;="&amp;DATE(YEAR($AC81),MONTH($AC81),1)),IF(OR(U$2="Fixed",U$2="Not Used"),(OFFSET(Setup!$E$81,MATCH(U$5,CompListItem,0),0,1,1)*$AA81)-SUMIFS(OFFSET(U$6,1,0,PayCount,1),PayDate,"&lt;"&amp;$AC81,PayEmp,$C81),IF(ISNA(MATCH(U$2,DedListItem,0))=FALSE,(SUMPRODUCT((PayEmp=$C81)*(PayDate&lt;=$AC81)*(PayDedList=U$2)*(PayDedValues))*OFFSET(Setup!$E$81,MATCH(U$5,CompListItem,0),0,1,1))-SUMIFS(OFFSET(U$6,1,0,PayCount,1),PayDate,"&lt;"&amp;$AC81,PayEmp,$C81),(MIN(IF(OFFSET(Setup!$G$81,MATCH(U$5,CompListItem,0),0,1,1)="Taxable",SUMPRODUCT((PayEmp=$C81)*(PayDate&lt;=$AC81)*(ISERROR(SEARCH(PayEarnCode,U$4)))*(PayEarnTax)*(PayEarnValues)),SUMPRODUCT((PayEmp=$C81)*(PayDate&lt;=$AC81)*(ISERROR(SEARCH(PayEarnCode,U$4)))*(PayEarnValues))),IF(ISNUMBER(U$3),U$3/12*$AA81,IgnoreMin)))*OFFSET(Setup!$E$81,MATCH(U$5,CompListItem,0),0,1,1)-SUMIFS(OFFSET(U$6,1,0,PayCount,1),PayDate,"&lt;"&amp;$AC81,PayEmp,$C81)))))))</f>
        <v>0</v>
      </c>
      <c r="V81" s="133" cm="1">
        <f t="array" aca="1" ref="V81" ca="1">IF($F81="Terminated",0,IF($AA81=0,0,IF(ISNA(MATCH(V$5,CompListItem,0)),0,IF(COUNTIFS(OverEmp,$C81,OverComp,V$5,OverDate,"&lt;"&amp;DATE(YEAR($AC81),MONTH($AC81)+1,1),OverEnd,"&gt;="&amp;DATE(YEAR($AC81),MONTH($AC81),1))&gt;0,SUMIFS(OverValue,OverEmp,$C81,OverComp,V$5,OverDate,"&lt;"&amp;DATE(YEAR($AC81),MONTH($AC81)+1,1),OverEnd,"&gt;="&amp;DATE(YEAR($AC81),MONTH($AC81),1)),IF(OR(V$2="Fixed",V$2="Not Used"),(OFFSET(Setup!$E$81,MATCH(V$5,CompListItem,0),0,1,1)*$AA81)-SUMIFS(OFFSET(V$6,1,0,PayCount,1),PayDate,"&lt;"&amp;$AC81,PayEmp,$C81),IF(ISNA(MATCH(V$2,DedListItem,0))=FALSE,(SUMPRODUCT((PayEmp=$C81)*(PayDate&lt;=$AC81)*(PayDedList=V$2)*(PayDedValues))*OFFSET(Setup!$E$81,MATCH(V$5,CompListItem,0),0,1,1))-SUMIFS(OFFSET(V$6,1,0,PayCount,1),PayDate,"&lt;"&amp;$AC81,PayEmp,$C81),(MIN(IF(OFFSET(Setup!$G$81,MATCH(V$5,CompListItem,0),0,1,1)="Taxable",SUMPRODUCT((PayEmp=$C81)*(PayDate&lt;=$AC81)*(ISERROR(SEARCH(PayEarnCode,V$4)))*(PayEarnTax)*(PayEarnValues)),SUMPRODUCT((PayEmp=$C81)*(PayDate&lt;=$AC81)*(ISERROR(SEARCH(PayEarnCode,V$4)))*(PayEarnValues))),IF(ISNUMBER(V$3),V$3/12*$AA81,IgnoreMin)))*OFFSET(Setup!$E$81,MATCH(V$5,CompListItem,0),0,1,1)-SUMIFS(OFFSET(V$6,1,0,PayCount,1),PayDate,"&lt;"&amp;$AC81,PayEmp,$C81)))))))</f>
        <v>0</v>
      </c>
      <c r="W81" s="133" cm="1">
        <f t="array" aca="1" ref="W81" ca="1">IF($F81="Terminated",0,IF($AA81=0,0,IF(ISNA(MATCH(W$5,CompListItem,0)),0,IF(COUNTIFS(OverEmp,$C81,OverComp,W$5,OverDate,"&lt;"&amp;DATE(YEAR($AC81),MONTH($AC81)+1,1),OverEnd,"&gt;="&amp;DATE(YEAR($AC81),MONTH($AC81),1))&gt;0,SUMIFS(OverValue,OverEmp,$C81,OverComp,W$5,OverDate,"&lt;"&amp;DATE(YEAR($AC81),MONTH($AC81)+1,1),OverEnd,"&gt;="&amp;DATE(YEAR($AC81),MONTH($AC81),1)),IF(OR(W$2="Fixed",W$2="Not Used"),(OFFSET(Setup!$E$81,MATCH(W$5,CompListItem,0),0,1,1)*$AA81)-SUMIFS(OFFSET(W$6,1,0,PayCount,1),PayDate,"&lt;"&amp;$AC81,PayEmp,$C81),IF(ISNA(MATCH(W$2,DedListItem,0))=FALSE,(SUMPRODUCT((PayEmp=$C81)*(PayDate&lt;=$AC81)*(PayDedList=W$2)*(PayDedValues))*OFFSET(Setup!$E$81,MATCH(W$5,CompListItem,0),0,1,1))-SUMIFS(OFFSET(W$6,1,0,PayCount,1),PayDate,"&lt;"&amp;$AC81,PayEmp,$C81),(MIN(IF(OFFSET(Setup!$G$81,MATCH(W$5,CompListItem,0),0,1,1)="Taxable",SUMPRODUCT((PayEmp=$C81)*(PayDate&lt;=$AC81)*(ISERROR(SEARCH(PayEarnCode,W$4)))*(PayEarnTax)*(PayEarnValues)),SUMPRODUCT((PayEmp=$C81)*(PayDate&lt;=$AC81)*(ISERROR(SEARCH(PayEarnCode,W$4)))*(PayEarnValues))),IF(ISNUMBER(W$3),W$3/12*$AA81,IgnoreMin)))*OFFSET(Setup!$E$81,MATCH(W$5,CompListItem,0),0,1,1)-SUMIFS(OFFSET(W$6,1,0,PayCount,1),PayDate,"&lt;"&amp;$AC81,PayEmp,$C81)))))))</f>
        <v>0</v>
      </c>
      <c r="X81" s="185">
        <f t="shared" ca="1" si="30"/>
        <v>0</v>
      </c>
      <c r="Y81" s="139">
        <f t="shared" ca="1" si="39"/>
        <v>0</v>
      </c>
      <c r="Z81" s="139">
        <f t="shared" ca="1" si="31"/>
        <v>0</v>
      </c>
      <c r="AA81" s="146">
        <f ca="1">IF(OR($B81&lt;=Setup!$E$12,$B81&gt;=Setup!$D$12+1),0,IF($F81&lt;&gt;"Active",0,IF($AE81="Yes",$AB81,((YEAR($AC81)*12)+MONTH($AC81))-((YEAR($AD81)*12)+MONTH($AD81)-1))))</f>
        <v>0</v>
      </c>
      <c r="AB81" s="146">
        <f ca="1">IF(OR($B81&lt;=Setup!$E$12,$B81&gt;=Setup!$D$12+1),0,((YEAR($AC81)*12)+MONTH($AC81))-((YEAR(Setup!$E$12)*12)+MONTH(Setup!$E$12)))</f>
        <v>5</v>
      </c>
      <c r="AC81" s="186">
        <f t="shared" ca="1" si="32"/>
        <v>45132</v>
      </c>
      <c r="AD81" s="144">
        <f ca="1">IF(ISNA(VLOOKUP($C81,EmpAll,COLUMN(Emp!$E$4),0)),$AC81,IF(VLOOKUP($C81,EmpAll,COLUMN(Emp!$E$4),0)&lt;=Setup!$E$12,DATE(YEAR(Setup!$E$12),MONTH(Setup!$E$12)+1,1),VLOOKUP($C81,EmpAll,COLUMN(Emp!$E$4),0)))</f>
        <v>45316</v>
      </c>
      <c r="AE81" s="144" t="str">
        <f ca="1">IF(ISNA(VLOOKUP($C81,EmpAll,COLUMN(Emp!$G$1),0)),"-",IF(VLOOKUP($C81,EmpAll,COLUMN(Emp!$G$1),0)=0,"-",VLOOKUP($C81,EmpAll,COLUMN(Emp!$G$1),0)))</f>
        <v>-</v>
      </c>
      <c r="AF81" s="145">
        <f ca="1">IF(A81=PaySlip!$G$3,1,0)</f>
        <v>0</v>
      </c>
      <c r="AG81" s="130" cm="1">
        <f t="array" aca="1" ref="AG81" ca="1">IF(COUNTIFS(OverEmp,$C81,OverMed,"MED",OverDate,"&lt;"&amp;DATE(YEAR($AC81),MONTH($AC81)+1,1),OverEnd,"&gt;="&amp;DATE(YEAR($AC81),MONTH($AC81),1))&gt;0,SUMIFS(OverValue,OverEmp,$C81,OverMed,"MED",OverDate,"&lt;"&amp;DATE(YEAR($AC81),MONTH($AC81)+1,1),OverEnd,"&gt;="&amp;DATE(YEAR($AC81),MONTH($AC81),1)),IF(ISNA(VLOOKUP($C81,EmpAll,COLUMN(Emp!$N$4),0)),0,VLOOKUP($C81,EmpAll,COLUMN(Emp!$N$4),0)))</f>
        <v>1</v>
      </c>
      <c r="AH81" s="146">
        <f ca="1">VLOOKUP($AG81,MedList,COLUMN(Setup!$C$49),1)</f>
        <v>364</v>
      </c>
      <c r="AI81" s="146">
        <f t="shared" ca="1" si="40"/>
        <v>6188</v>
      </c>
      <c r="AJ81" s="101" t="str">
        <f ca="1">IF(ISNA(VLOOKUP($C81,EmpAll,COLUMN(Emp!$L$4),0)),"None!",VLOOKUP($C81,EmpAll,COLUMN(Emp!$L$4),0))</f>
        <v>A</v>
      </c>
      <c r="AK81" s="147">
        <f t="shared" ca="1" si="33"/>
        <v>17235</v>
      </c>
      <c r="AL81" s="101" t="str">
        <f ca="1">IF(ISNA(VLOOKUP($C81,Employees[],COLUMN(Emp!$M$4),0))=TRUE,"Error!",IF(VLOOKUP($C81,Employees[],COLUMN(Emp!$M$4),0)=0,"Yes",VLOOKUP($C81,Employees[],COLUMN(Emp!$M$4),0)))</f>
        <v>A</v>
      </c>
      <c r="AM81" s="148">
        <f t="shared" ca="1" si="41"/>
        <v>0</v>
      </c>
      <c r="AN81" s="148" cm="1">
        <f t="array" aca="1" ref="AN81" ca="1">-IF($F81="Terminated",0,IF($AA81=0,0,IF(ISNA(MATCH(AN$5,PayDedList,0)),0,MIN(IF(COUNTIFS(OverEmp,$C81,OverDeduct,AN$5,OverDate,"&lt;"&amp;DATE(YEAR($AC81),MONTH($AC81)+1,1),OverEnd,"&gt;="&amp;DATE(YEAR($AC81),MONTH($AC81),1))&gt;0,SUMPRODUCT((PayEmp=$C81)*(PayDate&lt;=$AC81)*(OFFSET($N$6,1,MATCH(AN$5,PayDedList,0)-1,PayCount,1)))/$AA81*12*AN$3,IF(OR(AN$1="Fixed",AN$1="Not Used"),SUMPRODUCT((PayEmp=$C81)*(PayDate&lt;=$AC81)*(OFFSET($N$6,1,MATCH(AN$5,PayDedList,0)-1,PayCount,1)))/$AA81*12*AN$3,IF(ISNA(MATCH(AN$1,EarnListItem,0))=FALSE,SUMPRODUCT((PayEmp=$C81)*(PayDate&lt;=$AC81)*(OFFSET($N$6,1,MATCH(AN$5,PayDedList,0)-1,PayCount,1)))/$AA81*12*AN$3,(MIN(((SUMPRODUCT((PayEmp=$C81)*(PayDate&lt;=$AC81)*(ISERROR(SEARCH(PayEarnCode,AN$2)))*(PayEarnType="Monthly")*(PayEarnValues))/$AA81*12)+(SUMPRODUCT((PayEmp=$C81)*(PayDate&lt;=$AC81)*(ISERROR(SEARCH(PayEarnCode,AN$2)))*(PayEarnType="Quarterly")*(PayEarnValues))/MAX(1,ROUNDDOWN($AB81/3,0))*4)+(SUMPRODUCT((PayEmp=$C81)*(PayDate&lt;=$AC81)*(ISERROR(SEARCH(PayEarnCode,AN$2)))*(PayEarnType="Bi-Annual")*(PayEarnValues))/MAX(1,ROUNDDOWN($AB81/6,0))*2)+(SUMPRODUCT((PayEmp=$C81)*(PayDate&lt;=$AC81)*(ISERROR(SEARCH(PayEarnCode,AN$2)))*(PayEarnType="Annual")*(PayEarnValues)))),IF(ISNUMBER(OFFSET($N$3,0,MATCH(AN$5,PayDedList,0)-1,1,1)),OFFSET($N$3,0,MATCH(AN$5,PayDedList,0)-1,1,1),IgnoreMin)))*IF(COUNTIFS(EmpNo,$C81,OFFSET(Emp!$R$4,1,MATCH(AN$5,DedListItem,0)-1,EmpCount,1),"&lt;&gt;")&gt;0,VLOOKUP($C81,EmpAll,COLUMN(Emp!$R$4)+MATCH(AN$5,DedListItem,0)-1,0),OFFSET(Setup!$E$73,MATCH(AN$5,DedListItem,0),0,1,1))*AN$3))),IF(ISNUMBER(AN$4),AN$4,IgnoreMin)))))</f>
        <v>0</v>
      </c>
      <c r="AO81" s="148" cm="1">
        <f t="array" aca="1" ref="AO81" ca="1">-IF($F81="Terminated",0,IF($AA81=0,0,IF(ISNA(MATCH(AO$5,PayDedList,0)),0,MIN(IF(COUNTIFS(OverEmp,$C81,OverDeduct,AO$5,OverDate,"&lt;"&amp;DATE(YEAR($AC81),MONTH($AC81)+1,1),OverEnd,"&gt;="&amp;DATE(YEAR($AC81),MONTH($AC81),1))&gt;0,SUMPRODUCT((PayEmp=$C81)*(PayDate&lt;=$AC81)*(OFFSET($N$6,1,MATCH(AO$5,PayDedList,0)-1,PayCount,1)))/$AA81*12*AO$3,IF(OR(AO$1="Fixed",AO$1="Not Used"),SUMPRODUCT((PayEmp=$C81)*(PayDate&lt;=$AC81)*(OFFSET($N$6,1,MATCH(AO$5,PayDedList,0)-1,PayCount,1)))/$AA81*12*AO$3,IF(ISNA(MATCH(AO$1,EarnListItem,0))=FALSE,SUMPRODUCT((PayEmp=$C81)*(PayDate&lt;=$AC81)*(OFFSET($N$6,1,MATCH(AO$5,PayDedList,0)-1,PayCount,1)))/$AA81*12*AO$3,(MIN(((SUMPRODUCT((PayEmp=$C81)*(PayDate&lt;=$AC81)*(ISERROR(SEARCH(PayEarnCode,AO$2)))*(PayEarnType="Monthly")*(PayEarnValues))/$AA81*12)+(SUMPRODUCT((PayEmp=$C81)*(PayDate&lt;=$AC81)*(ISERROR(SEARCH(PayEarnCode,AO$2)))*(PayEarnType="Quarterly")*(PayEarnValues))/MAX(1,ROUNDDOWN($AB81/3,0))*4)+(SUMPRODUCT((PayEmp=$C81)*(PayDate&lt;=$AC81)*(ISERROR(SEARCH(PayEarnCode,AO$2)))*(PayEarnType="Bi-Annual")*(PayEarnValues))/MAX(1,ROUNDDOWN($AB81/6,0))*2)+(SUMPRODUCT((PayEmp=$C81)*(PayDate&lt;=$AC81)*(ISERROR(SEARCH(PayEarnCode,AO$2)))*(PayEarnType="Annual")*(PayEarnValues)))),IF(ISNUMBER(OFFSET($N$3,0,MATCH(AO$5,PayDedList,0)-1,1,1)),OFFSET($N$3,0,MATCH(AO$5,PayDedList,0)-1,1,1),IgnoreMin)))*IF(COUNTIFS(EmpNo,$C81,OFFSET(Emp!$R$4,1,MATCH(AO$5,DedListItem,0)-1,EmpCount,1),"&lt;&gt;")&gt;0,VLOOKUP($C81,EmpAll,COLUMN(Emp!$R$4)+MATCH(AO$5,DedListItem,0)-1,0),OFFSET(Setup!$E$73,MATCH(AO$5,DedListItem,0),0,1,1))*AO$3))),IF(ISNUMBER(AO$4),AO$4,IgnoreMin)))))</f>
        <v>0</v>
      </c>
      <c r="AP81" s="148" cm="1">
        <f t="array" aca="1" ref="AP81" ca="1">-IF($F81="Terminated",0,IF($AA81=0,0,IF(ISNA(MATCH(AP$5,PayDedList,0)),0,MIN(IF(COUNTIFS(OverEmp,$C81,OverDeduct,AP$5,OverDate,"&lt;"&amp;DATE(YEAR($AC81),MONTH($AC81)+1,1),OverEnd,"&gt;="&amp;DATE(YEAR($AC81),MONTH($AC81),1))&gt;0,SUMPRODUCT((PayEmp=$C81)*(PayDate&lt;=$AC81)*(OFFSET($N$6,1,MATCH(AP$5,PayDedList,0)-1,PayCount,1)))/$AA81*12*AP$3,IF(OR(AP$1="Fixed",AP$1="Not Used"),SUMPRODUCT((PayEmp=$C81)*(PayDate&lt;=$AC81)*(OFFSET($N$6,1,MATCH(AP$5,PayDedList,0)-1,PayCount,1)))/$AA81*12*AP$3,IF(ISNA(MATCH(AP$1,EarnListItem,0))=FALSE,SUMPRODUCT((PayEmp=$C81)*(PayDate&lt;=$AC81)*(OFFSET($N$6,1,MATCH(AP$5,PayDedList,0)-1,PayCount,1)))/$AA81*12*AP$3,(MIN(((SUMPRODUCT((PayEmp=$C81)*(PayDate&lt;=$AC81)*(ISERROR(SEARCH(PayEarnCode,AP$2)))*(PayEarnType="Monthly")*(PayEarnValues))/$AA81*12)+(SUMPRODUCT((PayEmp=$C81)*(PayDate&lt;=$AC81)*(ISERROR(SEARCH(PayEarnCode,AP$2)))*(PayEarnType="Quarterly")*(PayEarnValues))/MAX(1,ROUNDDOWN($AB81/3,0))*4)+(SUMPRODUCT((PayEmp=$C81)*(PayDate&lt;=$AC81)*(ISERROR(SEARCH(PayEarnCode,AP$2)))*(PayEarnType="Bi-Annual")*(PayEarnValues))/MAX(1,ROUNDDOWN($AB81/6,0))*2)+(SUMPRODUCT((PayEmp=$C81)*(PayDate&lt;=$AC81)*(ISERROR(SEARCH(PayEarnCode,AP$2)))*(PayEarnType="Annual")*(PayEarnValues)))),IF(ISNUMBER(OFFSET($N$3,0,MATCH(AP$5,PayDedList,0)-1,1,1)),OFFSET($N$3,0,MATCH(AP$5,PayDedList,0)-1,1,1),IgnoreMin)))*IF(COUNTIFS(EmpNo,$C81,OFFSET(Emp!$R$4,1,MATCH(AP$5,DedListItem,0)-1,EmpCount,1),"&lt;&gt;")&gt;0,VLOOKUP($C81,EmpAll,COLUMN(Emp!$R$4)+MATCH(AP$5,DedListItem,0)-1,0),OFFSET(Setup!$E$73,MATCH(AP$5,DedListItem,0),0,1,1))*AP$3))),IF(ISNUMBER(AP$4),AP$4,IgnoreMin)))))</f>
        <v>0</v>
      </c>
      <c r="AQ81" s="148" cm="1">
        <f t="array" aca="1" ref="AQ81" ca="1">-IF($F81="Terminated",0,IF($AA81=0,0,IF(ISNA(MATCH(AQ$5,PayDedList,0)),0,MIN(IF(COUNTIFS(OverEmp,$C81,OverDeduct,AQ$5,OverDate,"&lt;"&amp;DATE(YEAR($AC81),MONTH($AC81)+1,1),OverEnd,"&gt;="&amp;DATE(YEAR($AC81),MONTH($AC81),1))&gt;0,SUMPRODUCT((PayEmp=$C81)*(PayDate&lt;=$AC81)*(OFFSET($N$6,1,MATCH(AQ$5,PayDedList,0)-1,PayCount,1)))/$AA81*12*AQ$3,IF(OR(AQ$1="Fixed",AQ$1="Not Used"),SUMPRODUCT((PayEmp=$C81)*(PayDate&lt;=$AC81)*(OFFSET($N$6,1,MATCH(AQ$5,PayDedList,0)-1,PayCount,1)))/$AA81*12*AQ$3,IF(ISNA(MATCH(AQ$1,EarnListItem,0))=FALSE,SUMPRODUCT((PayEmp=$C81)*(PayDate&lt;=$AC81)*(OFFSET($N$6,1,MATCH(AQ$5,PayDedList,0)-1,PayCount,1)))/$AA81*12*AQ$3,(MIN(((SUMPRODUCT((PayEmp=$C81)*(PayDate&lt;=$AC81)*(ISERROR(SEARCH(PayEarnCode,AQ$2)))*(PayEarnType="Monthly")*(PayEarnValues))/$AA81*12)+(SUMPRODUCT((PayEmp=$C81)*(PayDate&lt;=$AC81)*(ISERROR(SEARCH(PayEarnCode,AQ$2)))*(PayEarnType="Quarterly")*(PayEarnValues))/MAX(1,ROUNDDOWN($AB81/3,0))*4)+(SUMPRODUCT((PayEmp=$C81)*(PayDate&lt;=$AC81)*(ISERROR(SEARCH(PayEarnCode,AQ$2)))*(PayEarnType="Bi-Annual")*(PayEarnValues))/MAX(1,ROUNDDOWN($AB81/6,0))*2)+(SUMPRODUCT((PayEmp=$C81)*(PayDate&lt;=$AC81)*(ISERROR(SEARCH(PayEarnCode,AQ$2)))*(PayEarnType="Annual")*(PayEarnValues)))),IF(ISNUMBER(OFFSET($N$3,0,MATCH(AQ$5,PayDedList,0)-1,1,1)),OFFSET($N$3,0,MATCH(AQ$5,PayDedList,0)-1,1,1),IgnoreMin)))*IF(COUNTIFS(EmpNo,$C81,OFFSET(Emp!$R$4,1,MATCH(AQ$5,DedListItem,0)-1,EmpCount,1),"&lt;&gt;")&gt;0,VLOOKUP($C81,EmpAll,COLUMN(Emp!$R$4)+MATCH(AQ$5,DedListItem,0)-1,0),OFFSET(Setup!$E$73,MATCH(AQ$5,DedListItem,0),0,1,1))*AQ$3))),IF(ISNUMBER(AQ$4),AQ$4,IgnoreMin)))))</f>
        <v>0</v>
      </c>
      <c r="AR81" s="148">
        <f t="shared" ca="1" si="34"/>
        <v>0</v>
      </c>
      <c r="AS81" s="148">
        <f t="shared" ca="1" si="42"/>
        <v>0</v>
      </c>
      <c r="AT81" s="148" cm="1">
        <f t="array" aca="1" ref="AT81" ca="1">-IF($F81="Terminated",0,IF($AA81=0,0,IF(ISNA(MATCH(AT$5,PayDedList,0)),0,MIN(IF(COUNTIFS(OverEmp,$C81,OverDeduct,AT$5,OverDate,"&lt;"&amp;DATE(YEAR($AC81),MONTH($AC81)+1,1),OverEnd,"&gt;="&amp;DATE(YEAR($AC81),MONTH($AC81),1))&gt;0,SUMPRODUCT((PayEmp=$C81)*(PayDate&lt;=$AC81)*(OFFSET($N$6,1,MATCH(AT$5,PayDedList,0)-1,PayCount,1)))/$AA81*12*AT$3,IF(OR(AT$1="Fixed",AT$1="Not Used"),SUMPRODUCT((PayEmp=$C81)*(PayDate&lt;=$AC81)*(OFFSET($N$6,1,MATCH(AT$5,PayDedList,0)-1,PayCount,1)))/$AA81*12*AT$3,IF(ISNA(MATCH(OFFSET($N$2,0,MATCH(AT$5,PayDedList,0)-1,1,1),EarnListItem,0))=FALSE,SUMPRODUCT((PayEmp=$C81)*(PayDate&lt;=$AC81)*(OFFSET($N$6,1,MATCH(AT$5,PayDedList,0)-1,PayCount,1)))/$AA81*12*AT$3,(MIN(SUMPRODUCT((PayEmp=$C81)*(PayDate&lt;=$AC81)*(ISERROR(SEARCH(PayEarnCode,AT$2)))*(PayEarnType="Monthly")*(PayEarnValues))/$AA81*12,IF(ISNUMBER(OFFSET($N$3,0,MATCH(AT$5,PayDedList,0)-1,1,1)),OFFSET($N$3,0,MATCH(AT$5,PayDedList,0)-1,1,1),IgnoreMin)))*IF(COUNTIFS(EmpNo,$C81,OFFSET(Emp!$R$4,1,MATCH(AT$5,DedListItem,0)-1,EmpCount,1),"&lt;&gt;")&gt;0,VLOOKUP($C81,EmpAll,COLUMN(Emp!$R$4)+MATCH(AT$5,DedListItem,0)-1,0),OFFSET(Setup!$E$73,MATCH(AT$5,DedListItem,0),0,1,1))*AT$3))),IF(ISNUMBER(AT$4),AT$4,IgnoreMin)))))</f>
        <v>0</v>
      </c>
      <c r="AU81" s="148" cm="1">
        <f t="array" aca="1" ref="AU81" ca="1">-IF($F81="Terminated",0,IF($AA81=0,0,IF(ISNA(MATCH(AU$5,PayDedList,0)),0,MIN(IF(COUNTIFS(OverEmp,$C81,OverDeduct,AU$5,OverDate,"&lt;"&amp;DATE(YEAR($AC81),MONTH($AC81)+1,1),OverEnd,"&gt;="&amp;DATE(YEAR($AC81),MONTH($AC81),1))&gt;0,SUMPRODUCT((PayEmp=$C81)*(PayDate&lt;=$AC81)*(OFFSET($N$6,1,MATCH(AU$5,PayDedList,0)-1,PayCount,1)))/$AA81*12*AU$3,IF(OR(AU$1="Fixed",AU$1="Not Used"),SUMPRODUCT((PayEmp=$C81)*(PayDate&lt;=$AC81)*(OFFSET($N$6,1,MATCH(AU$5,PayDedList,0)-1,PayCount,1)))/$AA81*12*AU$3,IF(ISNA(MATCH(OFFSET($N$2,0,MATCH(AU$5,PayDedList,0)-1,1,1),EarnListItem,0))=FALSE,SUMPRODUCT((PayEmp=$C81)*(PayDate&lt;=$AC81)*(OFFSET($N$6,1,MATCH(AU$5,PayDedList,0)-1,PayCount,1)))/$AA81*12*AU$3,(MIN(SUMPRODUCT((PayEmp=$C81)*(PayDate&lt;=$AC81)*(ISERROR(SEARCH(PayEarnCode,AU$2)))*(PayEarnType="Monthly")*(PayEarnValues))/$AA81*12,IF(ISNUMBER(OFFSET($N$3,0,MATCH(AU$5,PayDedList,0)-1,1,1)),OFFSET($N$3,0,MATCH(AU$5,PayDedList,0)-1,1,1),IgnoreMin)))*IF(COUNTIFS(EmpNo,$C81,OFFSET(Emp!$R$4,1,MATCH(AU$5,DedListItem,0)-1,EmpCount,1),"&lt;&gt;")&gt;0,VLOOKUP($C81,EmpAll,COLUMN(Emp!$R$4)+MATCH(AU$5,DedListItem,0)-1,0),OFFSET(Setup!$E$73,MATCH(AU$5,DedListItem,0),0,1,1))*AU$3))),IF(ISNUMBER(AU$4),AU$4,IgnoreMin)))))</f>
        <v>0</v>
      </c>
      <c r="AV81" s="148" cm="1">
        <f t="array" aca="1" ref="AV81" ca="1">-IF($F81="Terminated",0,IF($AA81=0,0,IF(ISNA(MATCH(AV$5,PayDedList,0)),0,MIN(IF(COUNTIFS(OverEmp,$C81,OverDeduct,AV$5,OverDate,"&lt;"&amp;DATE(YEAR($AC81),MONTH($AC81)+1,1),OverEnd,"&gt;="&amp;DATE(YEAR($AC81),MONTH($AC81),1))&gt;0,SUMPRODUCT((PayEmp=$C81)*(PayDate&lt;=$AC81)*(OFFSET($N$6,1,MATCH(AV$5,PayDedList,0)-1,PayCount,1)))/$AA81*12*AV$3,IF(OR(AV$1="Fixed",AV$1="Not Used"),SUMPRODUCT((PayEmp=$C81)*(PayDate&lt;=$AC81)*(OFFSET($N$6,1,MATCH(AV$5,PayDedList,0)-1,PayCount,1)))/$AA81*12*AV$3,IF(ISNA(MATCH(OFFSET($N$2,0,MATCH(AV$5,PayDedList,0)-1,1,1),EarnListItem,0))=FALSE,SUMPRODUCT((PayEmp=$C81)*(PayDate&lt;=$AC81)*(OFFSET($N$6,1,MATCH(AV$5,PayDedList,0)-1,PayCount,1)))/$AA81*12*AV$3,(MIN(SUMPRODUCT((PayEmp=$C81)*(PayDate&lt;=$AC81)*(ISERROR(SEARCH(PayEarnCode,AV$2)))*(PayEarnType="Monthly")*(PayEarnValues))/$AA81*12,IF(ISNUMBER(OFFSET($N$3,0,MATCH(AV$5,PayDedList,0)-1,1,1)),OFFSET($N$3,0,MATCH(AV$5,PayDedList,0)-1,1,1),IgnoreMin)))*IF(COUNTIFS(EmpNo,$C81,OFFSET(Emp!$R$4,1,MATCH(AV$5,DedListItem,0)-1,EmpCount,1),"&lt;&gt;")&gt;0,VLOOKUP($C81,EmpAll,COLUMN(Emp!$R$4)+MATCH(AV$5,DedListItem,0)-1,0),OFFSET(Setup!$E$73,MATCH(AV$5,DedListItem,0),0,1,1))*AV$3))),IF(ISNUMBER(AV$4),AV$4,IgnoreMin)))))</f>
        <v>0</v>
      </c>
      <c r="AW81" s="148" cm="1">
        <f t="array" aca="1" ref="AW81" ca="1">-IF($F81="Terminated",0,IF($AA81=0,0,IF(ISNA(MATCH(AW$5,PayDedList,0)),0,MIN(IF(COUNTIFS(OverEmp,$C81,OverDeduct,AW$5,OverDate,"&lt;"&amp;DATE(YEAR($AC81),MONTH($AC81)+1,1),OverEnd,"&gt;="&amp;DATE(YEAR($AC81),MONTH($AC81),1))&gt;0,SUMPRODUCT((PayEmp=$C81)*(PayDate&lt;=$AC81)*(OFFSET($N$6,1,MATCH(AW$5,PayDedList,0)-1,PayCount,1)))/$AA81*12*AW$3,IF(OR(AW$1="Fixed",AW$1="Not Used"),SUMPRODUCT((PayEmp=$C81)*(PayDate&lt;=$AC81)*(OFFSET($N$6,1,MATCH(AW$5,PayDedList,0)-1,PayCount,1)))/$AA81*12*AW$3,IF(ISNA(MATCH(OFFSET($N$2,0,MATCH(AW$5,PayDedList,0)-1,1,1),EarnListItem,0))=FALSE,SUMPRODUCT((PayEmp=$C81)*(PayDate&lt;=$AC81)*(OFFSET($N$6,1,MATCH(AW$5,PayDedList,0)-1,PayCount,1)))/$AA81*12*AW$3,(MIN(SUMPRODUCT((PayEmp=$C81)*(PayDate&lt;=$AC81)*(ISERROR(SEARCH(PayEarnCode,AW$2)))*(PayEarnType="Monthly")*(PayEarnValues))/$AA81*12,IF(ISNUMBER(OFFSET($N$3,0,MATCH(AW$5,PayDedList,0)-1,1,1)),OFFSET($N$3,0,MATCH(AW$5,PayDedList,0)-1,1,1),IgnoreMin)))*IF(COUNTIFS(EmpNo,$C81,OFFSET(Emp!$R$4,1,MATCH(AW$5,DedListItem,0)-1,EmpCount,1),"&lt;&gt;")&gt;0,VLOOKUP($C81,EmpAll,COLUMN(Emp!$R$4)+MATCH(AW$5,DedListItem,0)-1,0),OFFSET(Setup!$E$73,MATCH(AW$5,DedListItem,0),0,1,1))*AW$3))),IF(ISNUMBER(AW$4),AW$4,IgnoreMin)))))</f>
        <v>0</v>
      </c>
      <c r="AX81" s="148">
        <f t="shared" ca="1" si="43"/>
        <v>0</v>
      </c>
      <c r="AY81" s="148">
        <f t="shared" ca="1" si="44"/>
        <v>0</v>
      </c>
      <c r="AZ81" s="148">
        <f ca="1">IF(ISNUMBER($AL81),($AR81*$AL81)-$AI81-$AK81,MAX(0,IF($AL81="B",IF($AR81&lt;Setup!$C$32,($AR81*Setup!$D$32)-$AI81-$AK81,(($AR81-VLOOKUP($AR81,TaxAll2,1,1))*OFFSET(Setup!$D$32,MATCH($AR81,TaxBracket2,1),0,1,1))+OFFSET(Setup!$E$31,MATCH($AR81,TaxBracket2,1),0,1,1)-$AI81-$AK81),IF($AR81&lt;Setup!$C$21,($AR81*Setup!$D$21)-$AI81-$AK81,(($AR81-VLOOKUP($AR81,TaxAll1,1,1))*OFFSET(Setup!$D$21,MATCH($AR81,TaxBracket1,1),0,1,1))+OFFSET(Setup!$E$20,MATCH($AR81,TaxBracket1,1),0,1,1)-$AI81-$AK81))))</f>
        <v>0</v>
      </c>
      <c r="BA81" s="148">
        <f ca="1">IF(ISNUMBER($AL81),($AX81*$AL81)-$AI81-$AK81,MAX(0,IF($AL81="B",IF($AX81&lt;Setup!$C$32,($AX81*Setup!$D$32)-$AI81-$AK81,(($AX81-VLOOKUP($AX81,TaxAll2,1,1))*OFFSET(Setup!$D$32,MATCH($AX81,TaxBracket2,1),0,1,1))+OFFSET(Setup!$E$31,MATCH($AX81,TaxBracket2,1),0,1,1)-$AI81-$AK81),IF($AX81&lt;Setup!$C$21,($AX81*Setup!$D$21)-$AI81-$AK81,(($AX81-VLOOKUP($AX81,TaxAll1,1,1))*OFFSET(Setup!$D$21,MATCH($AX81,TaxBracket1,1),0,1,1))+OFFSET(Setup!$E$20,MATCH($AX81,TaxBracket1,1),0,1,1)-$AI81-$AK81))))</f>
        <v>0</v>
      </c>
      <c r="BB81" s="148">
        <f t="shared" ca="1" si="35"/>
        <v>0</v>
      </c>
      <c r="BC81" s="150">
        <f t="shared" ca="1" si="45"/>
        <v>0</v>
      </c>
      <c r="BD81" s="150">
        <f t="shared" ca="1" si="46"/>
        <v>0</v>
      </c>
      <c r="BE81" s="148">
        <f t="shared" ca="1" si="47"/>
        <v>0</v>
      </c>
    </row>
    <row r="82" spans="1:57" ht="16.149999999999999" customHeight="1" x14ac:dyDescent="0.25">
      <c r="A82" s="10" t="str" cm="1">
        <f t="array" aca="1" ref="A82" ca="1">IF(ROW($A82)-ROW($A$6)&gt;EmpCount*12,"-",TEXT($B82,"yyyy")&amp;TEXT($B82,"mm")&amp;"-"&amp;$C82)</f>
        <v>202308-EXS001</v>
      </c>
      <c r="B82" s="137" cm="1">
        <f t="array" aca="1" ref="B82" ca="1">IF(ROW($A82)-ROW($A$6)&gt;EmpCount*12,Setup!$D$12,DATE(YEAR(Setup!$F$12),MONTH(Setup!$F$12)+ROUNDDOWN((ROW($A82)-ROW($A$6)-1)/EmpCount,0),IF(Setup!$C$14&gt;DAY(DATE(YEAR(Setup!$F$12),MONTH(Setup!$F$12)+ROUNDDOWN((ROW($A82)-ROW($A$6)-1)/EmpCount,0)+1,0)),DAY(DATE(YEAR(Setup!$F$12),MONTH(Setup!$F$12)+ROUNDDOWN((ROW($A82)-ROW($A$6)-1)/EmpCount,0)+1,0)),Setup!$C$14)))</f>
        <v>45163</v>
      </c>
      <c r="C82" s="101" t="str" cm="1">
        <f t="array" aca="1" ref="C82" ca="1">IF(ROW($A82)-ROW($A$6)&gt;EmpCount*12,"-",OFFSET(Emp!$A$4,ROW($A82)-ROW($A$6)-IF(ROW($A82)-ROW($A$6)&gt;EmpCount,ROUNDDOWN((ROW($A82)-ROW($A$6)-1)/EmpCount,0)*EmpCount,0),0,1,1))</f>
        <v>EXS001</v>
      </c>
      <c r="D82" s="10" t="str">
        <f ca="1">IF(ISNA(VLOOKUP($C82,EmpAll,COLUMN(Emp!$B$4),0)),"-",VLOOKUP($C82,EmpAll,COLUMN(Emp!$B$4),0))</f>
        <v>Taylor AE</v>
      </c>
      <c r="E82" s="145" t="str">
        <f ca="1">IF(ISNA(VLOOKUP($C82,EmpAll,COLUMN(Emp!$C$4),0)),"-",VLOOKUP($C82,EmpAll,COLUMN(Emp!$C$4),0))</f>
        <v>M</v>
      </c>
      <c r="F82" s="101" t="str">
        <f ca="1">IF(ISNA(VLOOKUP($C82,EmpAll,COLUMN(Emp!$A$4),0)),"-",IF(AND(VLOOKUP($C82,EmpAll,COLUMN(Emp!$E$4),0)&lt;&gt;0,VLOOKUP($C82,EmpAll,COLUMN(Emp!$E$4),0)&gt;=DATE(YEAR($AC82),MONTH($AC82)+1,0)),"Inactive",IF(AND(VLOOKUP($C82,EmpAll,COLUMN(Emp!$F$4),0)&lt;&gt;0,VLOOKUP($C82,EmpAll,COLUMN(Emp!$F$4),0)&lt;=DATE(YEAR($AC82),MONTH($AC82),0)),"Terminated","Active")))</f>
        <v>Active</v>
      </c>
      <c r="G82" s="133" cm="1">
        <f t="array" aca="1" ref="G82" ca="1">IF($F82&lt;&gt;"Active",0,IF(COUNTIFS(OverEmp,$C82,OverEarn,G$2,OverDate,"&lt;"&amp;DATE(YEAR($AC82),MONTH($AC82)+1,1),OverEnd,"&gt;="&amp;DATE(YEAR($AC82),MONTH($AC82),1))&gt;0,SUMIFS(OverValue,OverEmp,$C82,OverEarn,G$2,OverDate,"&lt;"&amp;DATE(YEAR($AC82),MONTH($AC82)+1,1),OverEnd,"&gt;="&amp;DATE(YEAR($AC82),MONTH($AC82),1)),IF(AND($AC82&gt;=Setup!$E$10,SUMIFS(EmpIncrease,EmpCode,$C82)&gt;0),SUMIFS(EmpIncrease,EmpCode,$C82),SUMIFS(EmpSalary,EmpCode,$C82))))</f>
        <v>150000</v>
      </c>
      <c r="H82" s="133" cm="1">
        <f t="array" aca="1" ref="H82" ca="1">IF($F82&lt;&gt;"Active",0,IF(COUNTIFS(OverEmp,$C82,OverEarn,H$2,OverDate,"&lt;"&amp;DATE(YEAR($AC82),MONTH($AC82)+1,1),OverEnd,"&gt;="&amp;DATE(YEAR($AC82),MONTH($AC82),1))&gt;0,SUMIFS(OverValue,OverEmp,$C82,OverEarn,H$2,OverDate,"&lt;"&amp;DATE(YEAR($AC82),MONTH($AC82)+1,1),OverEnd,"&gt;="&amp;DATE(YEAR($AC82),MONTH($AC82),1)),0))</f>
        <v>0</v>
      </c>
      <c r="I82" s="133" cm="1">
        <f t="array" aca="1" ref="I82" ca="1">IF($F82&lt;&gt;"Active",0,IF(COUNTIFS(OverEmp,$C82,OverEarn,I$2,OverDate,"&lt;"&amp;DATE(YEAR($AC82),MONTH($AC82)+1,1),OverEnd,"&gt;="&amp;DATE(YEAR($AC82),MONTH($AC82),1))&gt;0,SUMIFS(OverValue,OverEmp,$C82,OverEarn,I$2,OverDate,"&lt;"&amp;DATE(YEAR($AC82),MONTH($AC82)+1,1),OverEnd,"&gt;="&amp;DATE(YEAR($AC82),MONTH($AC82),1)),IF(MONTH(B82)=Setup!$C$15,SUMIFS(EmpBonus,EmpCode,$C82),0)))</f>
        <v>0</v>
      </c>
      <c r="J82" s="133" cm="1">
        <f t="array" aca="1" ref="J82" ca="1">IF($F82&lt;&gt;"Active",0,IF(COUNTIFS(OverEmp,$C82,OverEarn,J$2,OverDate,"&lt;"&amp;DATE(YEAR($AC82),MONTH($AC82)+1,1),OverEnd,"&gt;="&amp;DATE(YEAR($AC82),MONTH($AC82),1))&gt;0,SUMIFS(OverValue,OverEmp,$C82,OverEarn,J$2,OverDate,"&lt;"&amp;DATE(YEAR($AC82),MONTH($AC82)+1,1),OverEnd,"&gt;="&amp;DATE(YEAR($AC82),MONTH($AC82),1)),0))</f>
        <v>0</v>
      </c>
      <c r="K82" s="133" cm="1">
        <f t="array" aca="1" ref="K82" ca="1">IF($F82&lt;&gt;"Active",0,IF(COUNTIFS(OverEmp,$C82,OverEarn,K$2,OverDate,"&lt;"&amp;DATE(YEAR($AC82),MONTH($AC82)+1,1),OverEnd,"&gt;="&amp;DATE(YEAR($AC82),MONTH($AC82),1))&gt;0,SUMIFS(OverValue,OverEmp,$C82,OverEarn,K$2,OverDate,"&lt;"&amp;DATE(YEAR($AC82),MONTH($AC82)+1,1),OverEnd,"&gt;="&amp;DATE(YEAR($AC82),MONTH($AC82),1)),0))</f>
        <v>0</v>
      </c>
      <c r="L82" s="185">
        <f t="shared" ca="1" si="36"/>
        <v>150000</v>
      </c>
      <c r="M82" s="182" cm="1">
        <f t="array" aca="1" ref="M82" ca="1">IF(COUNTIFS(OverEmp,$C82,OverTax,M$5,OverDate,"&lt;"&amp;DATE(YEAR($AC82),MONTH($AC82)+1,1),OverEnd,"&gt;="&amp;DATE(YEAR($AC82),MONTH($AC82),1))&gt;0,SUMIFS(OverValue,OverEmp,$C82,OverTax,M$5,OverDate,"&lt;"&amp;DATE(YEAR($AC82),MONTH($AC82)+1,1),OverEnd,"&gt;="&amp;DATE(YEAR($AC82),MONTH($AC82),1)),(($BA82/12*$AA82)+(BB82*IF(1-$BC82=0,0,BD82/(1-$BC82))))-IF($F82="Terminated",0,SUMIFS(PayTaxDeduct,PayDate,"&lt;"&amp;$AC82,PayEmp,$C82)))</f>
        <v>45611.833333333314</v>
      </c>
      <c r="N82" s="133" cm="1">
        <f t="array" aca="1" ref="N82" ca="1">IF($F82="Terminated",0,IF($AA82=0,0,IF(ISNA(MATCH(N$5,DedListItem,0)),0,IF(COUNTIFS(OverEmp,$C82,OverDeduct,N$5,OverDate,"&lt;"&amp;DATE(YEAR($AC82),MONTH($AC82)+1,1),OverEnd,"&gt;="&amp;DATE(YEAR($AC82),MONTH($AC82),1))&gt;0,SUMIFS(OverValue,OverEmp,$C82,OverDeduct,N$5,OverDate,"&lt;"&amp;DATE(YEAR($AC82),MONTH($AC82)+1,1),OverEnd,"&gt;="&amp;DATE(YEAR($AC82),MONTH($AC82),1)),IF(OR(N$2="Fixed",N$2="Not Used"),(IF(COUNTIFS(EmpNo,$C82,OFFSET(Emp!$R$4,1,MATCH(N$5,DedListItem,0)-1,EmpCount,1),"&lt;&gt;")&gt;0,VLOOKUP($C82,EmpAll,COLUMN(Emp!$R$4)+MATCH(N$5,DedListItem,0)-1,0),OFFSET(Setup!$E$73,MATCH(N$5,DedListItem,0),0,1,1))*$AA82)-SUMIFS(OFFSET(N$6,1,0,PayCount,1),PayDate,"&lt;"&amp;$AC82,PayEmp,$C82),IF(ISNA(MATCH(N$2,EarnListItem,0))=FALSE,IF(OFFSET(Setup!$G$73,MATCH(N$5,DedListItem,0),0,1,1)="Taxable",SUMPRODUCT((PayEmp=$C82)*(PayDate&lt;=$AC82)*(PayEarnCode=N$2)*(PayEarnTax)*(PayEarnValues)),SUMPRODUCT((PayEmp=$C82)*(PayDate&lt;=$AC82)*(PayEarnCode=N$2)*(PayEarnValues)))*IF(COUNTIFS(EmpNo,$C82,OFFSET(Emp!$R$4,1,MATCH(N$5,DedListItem,0)-1,EmpCount,1),"&lt;&gt;")&gt;0,VLOOKUP($C82,EmpAll,COLUMN(Emp!$R$4)+MATCH(N$5,DedListItem,0)-1,0),OFFSET(Setup!$E$73,MATCH(N$5,DedListItem,0),0,1,1)),(MIN(IF(OFFSET(Setup!$G$73,MATCH(N$5,DedListItem,0),0,1,1)="Taxable",SUMPRODUCT((PayEmp=$C82)*(PayDate&lt;=$AC82)*(ISERROR(SEARCH(PayEarnCode,N$4)))*(PayEarnTax)*(PayEarnValues)),SUMPRODUCT((PayEmp=$C82)*(PayDate&lt;=$AC82)*(ISERROR(SEARCH(PayEarnCode,N$4)))*(PayEarnValues))),IF(ISNUMBER(N$3),N$3/12*$AA82,IgnoreMin)))*IF(COUNTIFS(EmpNo,$C82,OFFSET(Emp!$R$4,1,MATCH(N$5,DedListItem,0)-1,EmpCount,1),"&lt;&gt;")&gt;0,VLOOKUP($C82,EmpAll,COLUMN(Emp!$R$4)+MATCH(N$5,DedListItem,0)-1,0),OFFSET(Setup!$E$73,MATCH(N$5,DedListItem,0),0,1,1)))-SUMIFS(OFFSET(N$6,1,0,PayCount,1),PayDate,"&lt;"&amp;$AC82,PayEmp,$C82))))))</f>
        <v>177.12</v>
      </c>
      <c r="O82" s="133" cm="1">
        <f t="array" aca="1" ref="O82" ca="1">IF($F82="Terminated",0,IF($AA82=0,0,IF(ISNA(MATCH(O$5,DedListItem,0)),0,IF(COUNTIFS(OverEmp,$C82,OverDeduct,O$5,OverDate,"&lt;"&amp;DATE(YEAR($AC82),MONTH($AC82)+1,1),OverEnd,"&gt;="&amp;DATE(YEAR($AC82),MONTH($AC82),1))&gt;0,SUMIFS(OverValue,OverEmp,$C82,OverDeduct,O$5,OverDate,"&lt;"&amp;DATE(YEAR($AC82),MONTH($AC82)+1,1),OverEnd,"&gt;="&amp;DATE(YEAR($AC82),MONTH($AC82),1)),IF(OR(O$2="Fixed",O$2="Not Used"),(IF(COUNTIFS(EmpNo,$C82,OFFSET(Emp!$R$4,1,MATCH(O$5,DedListItem,0)-1,EmpCount,1),"&lt;&gt;")&gt;0,VLOOKUP($C82,EmpAll,COLUMN(Emp!$R$4)+MATCH(O$5,DedListItem,0)-1,0),OFFSET(Setup!$E$73,MATCH(O$5,DedListItem,0),0,1,1))*$AA82)-SUMIFS(OFFSET(O$6,1,0,PayCount,1),PayDate,"&lt;"&amp;$AC82,PayEmp,$C82),IF(ISNA(MATCH(O$2,EarnListItem,0))=FALSE,IF(OFFSET(Setup!$G$73,MATCH(O$5,DedListItem,0),0,1,1)="Taxable",SUMPRODUCT((PayEmp=$C82)*(PayDate&lt;=$AC82)*(PayEarnCode=O$2)*(PayEarnTax)*(PayEarnValues)),SUMPRODUCT((PayEmp=$C82)*(PayDate&lt;=$AC82)*(PayEarnCode=O$2)*(PayEarnValues)))*IF(COUNTIFS(EmpNo,$C82,OFFSET(Emp!$R$4,1,MATCH(O$5,DedListItem,0)-1,EmpCount,1),"&lt;&gt;")&gt;0,VLOOKUP($C82,EmpAll,COLUMN(Emp!$R$4)+MATCH(O$5,DedListItem,0)-1,0),OFFSET(Setup!$E$73,MATCH(O$5,DedListItem,0),0,1,1)),(MIN(IF(OFFSET(Setup!$G$73,MATCH(O$5,DedListItem,0),0,1,1)="Taxable",SUMPRODUCT((PayEmp=$C82)*(PayDate&lt;=$AC82)*(ISERROR(SEARCH(PayEarnCode,O$4)))*(PayEarnTax)*(PayEarnValues)),SUMPRODUCT((PayEmp=$C82)*(PayDate&lt;=$AC82)*(ISERROR(SEARCH(PayEarnCode,O$4)))*(PayEarnValues))),IF(ISNUMBER(O$3),O$3/12*$AA82,IgnoreMin)))*IF(COUNTIFS(EmpNo,$C82,OFFSET(Emp!$R$4,1,MATCH(O$5,DedListItem,0)-1,EmpCount,1),"&lt;&gt;")&gt;0,VLOOKUP($C82,EmpAll,COLUMN(Emp!$R$4)+MATCH(O$5,DedListItem,0)-1,0),OFFSET(Setup!$E$73,MATCH(O$5,DedListItem,0),0,1,1)))-SUMIFS(OFFSET(O$6,1,0,PayCount,1),PayDate,"&lt;"&amp;$AC82,PayEmp,$C82))))))</f>
        <v>11250</v>
      </c>
      <c r="P82" s="133" cm="1">
        <f t="array" aca="1" ref="P82" ca="1">IF($F82="Terminated",0,IF($AA82=0,0,IF(ISNA(MATCH(P$5,DedListItem,0)),0,IF(COUNTIFS(OverEmp,$C82,OverDeduct,P$5,OverDate,"&lt;"&amp;DATE(YEAR($AC82),MONTH($AC82)+1,1),OverEnd,"&gt;="&amp;DATE(YEAR($AC82),MONTH($AC82),1))&gt;0,SUMIFS(OverValue,OverEmp,$C82,OverDeduct,P$5,OverDate,"&lt;"&amp;DATE(YEAR($AC82),MONTH($AC82)+1,1),OverEnd,"&gt;="&amp;DATE(YEAR($AC82),MONTH($AC82),1)),IF(OR(P$2="Fixed",P$2="Not Used"),(IF(COUNTIFS(EmpNo,$C82,OFFSET(Emp!$R$4,1,MATCH(P$5,DedListItem,0)-1,EmpCount,1),"&lt;&gt;")&gt;0,VLOOKUP($C82,EmpAll,COLUMN(Emp!$R$4)+MATCH(P$5,DedListItem,0)-1,0),OFFSET(Setup!$E$73,MATCH(P$5,DedListItem,0),0,1,1))*$AA82)-SUMIFS(OFFSET(P$6,1,0,PayCount,1),PayDate,"&lt;"&amp;$AC82,PayEmp,$C82),IF(ISNA(MATCH(P$2,EarnListItem,0))=FALSE,IF(OFFSET(Setup!$G$73,MATCH(P$5,DedListItem,0),0,1,1)="Taxable",SUMPRODUCT((PayEmp=$C82)*(PayDate&lt;=$AC82)*(PayEarnCode=P$2)*(PayEarnTax)*(PayEarnValues)),SUMPRODUCT((PayEmp=$C82)*(PayDate&lt;=$AC82)*(PayEarnCode=P$2)*(PayEarnValues)))*IF(COUNTIFS(EmpNo,$C82,OFFSET(Emp!$R$4,1,MATCH(P$5,DedListItem,0)-1,EmpCount,1),"&lt;&gt;")&gt;0,VLOOKUP($C82,EmpAll,COLUMN(Emp!$R$4)+MATCH(P$5,DedListItem,0)-1,0),OFFSET(Setup!$E$73,MATCH(P$5,DedListItem,0),0,1,1)),(MIN(IF(OFFSET(Setup!$G$73,MATCH(P$5,DedListItem,0),0,1,1)="Taxable",SUMPRODUCT((PayEmp=$C82)*(PayDate&lt;=$AC82)*(ISERROR(SEARCH(PayEarnCode,P$4)))*(PayEarnTax)*(PayEarnValues)),SUMPRODUCT((PayEmp=$C82)*(PayDate&lt;=$AC82)*(ISERROR(SEARCH(PayEarnCode,P$4)))*(PayEarnValues))),IF(ISNUMBER(P$3),P$3/12*$AA82,IgnoreMin)))*IF(COUNTIFS(EmpNo,$C82,OFFSET(Emp!$R$4,1,MATCH(P$5,DedListItem,0)-1,EmpCount,1),"&lt;&gt;")&gt;0,VLOOKUP($C82,EmpAll,COLUMN(Emp!$R$4)+MATCH(P$5,DedListItem,0)-1,0),OFFSET(Setup!$E$73,MATCH(P$5,DedListItem,0),0,1,1)))-SUMIFS(OFFSET(P$6,1,0,PayCount,1),PayDate,"&lt;"&amp;$AC82,PayEmp,$C82))))))</f>
        <v>0</v>
      </c>
      <c r="Q82" s="133" cm="1">
        <f t="array" aca="1" ref="Q82" ca="1">IF($F82="Terminated",0,IF($AA82=0,0,IF(ISNA(MATCH(Q$5,DedListItem,0)),0,IF(COUNTIFS(OverEmp,$C82,OverDeduct,Q$5,OverDate,"&lt;"&amp;DATE(YEAR($AC82),MONTH($AC82)+1,1),OverEnd,"&gt;="&amp;DATE(YEAR($AC82),MONTH($AC82),1))&gt;0,SUMIFS(OverValue,OverEmp,$C82,OverDeduct,Q$5,OverDate,"&lt;"&amp;DATE(YEAR($AC82),MONTH($AC82)+1,1),OverEnd,"&gt;="&amp;DATE(YEAR($AC82),MONTH($AC82),1)),IF(OR(Q$2="Fixed",Q$2="Not Used"),(IF(COUNTIFS(EmpNo,$C82,OFFSET(Emp!$R$4,1,MATCH(Q$5,DedListItem,0)-1,EmpCount,1),"&lt;&gt;")&gt;0,VLOOKUP($C82,EmpAll,COLUMN(Emp!$R$4)+MATCH(Q$5,DedListItem,0)-1,0),OFFSET(Setup!$E$73,MATCH(Q$5,DedListItem,0),0,1,1))*$AA82)-SUMIFS(OFFSET(Q$6,1,0,PayCount,1),PayDate,"&lt;"&amp;$AC82,PayEmp,$C82),IF(ISNA(MATCH(Q$2,EarnListItem,0))=FALSE,IF(OFFSET(Setup!$G$73,MATCH(Q$5,DedListItem,0),0,1,1)="Taxable",SUMPRODUCT((PayEmp=$C82)*(PayDate&lt;=$AC82)*(PayEarnCode=Q$2)*(PayEarnTax)*(PayEarnValues)),SUMPRODUCT((PayEmp=$C82)*(PayDate&lt;=$AC82)*(PayEarnCode=Q$2)*(PayEarnValues)))*IF(COUNTIFS(EmpNo,$C82,OFFSET(Emp!$R$4,1,MATCH(Q$5,DedListItem,0)-1,EmpCount,1),"&lt;&gt;")&gt;0,VLOOKUP($C82,EmpAll,COLUMN(Emp!$R$4)+MATCH(Q$5,DedListItem,0)-1,0),OFFSET(Setup!$E$73,MATCH(Q$5,DedListItem,0),0,1,1)),(MIN(IF(OFFSET(Setup!$G$73,MATCH(Q$5,DedListItem,0),0,1,1)="Taxable",SUMPRODUCT((PayEmp=$C82)*(PayDate&lt;=$AC82)*(ISERROR(SEARCH(PayEarnCode,Q$4)))*(PayEarnTax)*(PayEarnValues)),SUMPRODUCT((PayEmp=$C82)*(PayDate&lt;=$AC82)*(ISERROR(SEARCH(PayEarnCode,Q$4)))*(PayEarnValues))),IF(ISNUMBER(Q$3),Q$3/12*$AA82,IgnoreMin)))*IF(COUNTIFS(EmpNo,$C82,OFFSET(Emp!$R$4,1,MATCH(Q$5,DedListItem,0)-1,EmpCount,1),"&lt;&gt;")&gt;0,VLOOKUP($C82,EmpAll,COLUMN(Emp!$R$4)+MATCH(Q$5,DedListItem,0)-1,0),OFFSET(Setup!$E$73,MATCH(Q$5,DedListItem,0),0,1,1)))-SUMIFS(OFFSET(Q$6,1,0,PayCount,1),PayDate,"&lt;"&amp;$AC82,PayEmp,$C82))))))</f>
        <v>0</v>
      </c>
      <c r="R82" s="185">
        <f t="shared" ca="1" si="37"/>
        <v>57038.953333333317</v>
      </c>
      <c r="S82" s="139">
        <f t="shared" ca="1" si="38"/>
        <v>92961.05</v>
      </c>
      <c r="T82" s="133" cm="1">
        <f t="array" aca="1" ref="T82" ca="1">IF($F82="Terminated",0,IF($AA82=0,0,IF(ISNA(MATCH(T$5,CompListItem,0)),0,IF(COUNTIFS(OverEmp,$C82,OverComp,T$5,OverDate,"&lt;"&amp;DATE(YEAR($AC82),MONTH($AC82)+1,1),OverEnd,"&gt;="&amp;DATE(YEAR($AC82),MONTH($AC82),1))&gt;0,SUMIFS(OverValue,OverEmp,$C82,OverComp,T$5,OverDate,"&lt;"&amp;DATE(YEAR($AC82),MONTH($AC82)+1,1),OverEnd,"&gt;="&amp;DATE(YEAR($AC82),MONTH($AC82),1)),IF(OR(T$2="Fixed",T$2="Not Used"),(OFFSET(Setup!$E$81,MATCH(T$5,CompListItem,0),0,1,1)*$AA82)-SUMIFS(OFFSET(T$6,1,0,PayCount,1),PayDate,"&lt;"&amp;$AC82,PayEmp,$C82),IF(ISNA(MATCH(T$2,DedListItem,0))=FALSE,(SUMPRODUCT((PayEmp=$C82)*(PayDate&lt;=$AC82)*(PayDedList=T$2)*(PayDedValues))*OFFSET(Setup!$E$81,MATCH(T$5,CompListItem,0),0,1,1))-SUMIFS(OFFSET(T$6,1,0,PayCount,1),PayDate,"&lt;"&amp;$AC82,PayEmp,$C82),(MIN(IF(OFFSET(Setup!$G$81,MATCH(T$5,CompListItem,0),0,1,1)="Taxable",SUMPRODUCT((PayEmp=$C82)*(PayDate&lt;=$AC82)*(ISERROR(SEARCH(PayEarnCode,T$4)))*(PayEarnTax)*(PayEarnValues)),SUMPRODUCT((PayEmp=$C82)*(PayDate&lt;=$AC82)*(ISERROR(SEARCH(PayEarnCode,T$4)))*(PayEarnValues))),IF(ISNUMBER(T$3),T$3/12*$AA82,IgnoreMin)))*OFFSET(Setup!$E$81,MATCH(T$5,CompListItem,0),0,1,1)-SUMIFS(OFFSET(T$6,1,0,PayCount,1),PayDate,"&lt;"&amp;$AC82,PayEmp,$C82)))))))</f>
        <v>177.12</v>
      </c>
      <c r="U82" s="133" cm="1">
        <f t="array" aca="1" ref="U82" ca="1">IF($F82="Terminated",0,IF($AA82=0,0,IF(ISNA(MATCH(U$5,CompListItem,0)),0,IF(COUNTIFS(OverEmp,$C82,OverComp,U$5,OverDate,"&lt;"&amp;DATE(YEAR($AC82),MONTH($AC82)+1,1),OverEnd,"&gt;="&amp;DATE(YEAR($AC82),MONTH($AC82),1))&gt;0,SUMIFS(OverValue,OverEmp,$C82,OverComp,U$5,OverDate,"&lt;"&amp;DATE(YEAR($AC82),MONTH($AC82)+1,1),OverEnd,"&gt;="&amp;DATE(YEAR($AC82),MONTH($AC82),1)),IF(OR(U$2="Fixed",U$2="Not Used"),(OFFSET(Setup!$E$81,MATCH(U$5,CompListItem,0),0,1,1)*$AA82)-SUMIFS(OFFSET(U$6,1,0,PayCount,1),PayDate,"&lt;"&amp;$AC82,PayEmp,$C82),IF(ISNA(MATCH(U$2,DedListItem,0))=FALSE,(SUMPRODUCT((PayEmp=$C82)*(PayDate&lt;=$AC82)*(PayDedList=U$2)*(PayDedValues))*OFFSET(Setup!$E$81,MATCH(U$5,CompListItem,0),0,1,1))-SUMIFS(OFFSET(U$6,1,0,PayCount,1),PayDate,"&lt;"&amp;$AC82,PayEmp,$C82),(MIN(IF(OFFSET(Setup!$G$81,MATCH(U$5,CompListItem,0),0,1,1)="Taxable",SUMPRODUCT((PayEmp=$C82)*(PayDate&lt;=$AC82)*(ISERROR(SEARCH(PayEarnCode,U$4)))*(PayEarnTax)*(PayEarnValues)),SUMPRODUCT((PayEmp=$C82)*(PayDate&lt;=$AC82)*(ISERROR(SEARCH(PayEarnCode,U$4)))*(PayEarnValues))),IF(ISNUMBER(U$3),U$3/12*$AA82,IgnoreMin)))*OFFSET(Setup!$E$81,MATCH(U$5,CompListItem,0),0,1,1)-SUMIFS(OFFSET(U$6,1,0,PayCount,1),PayDate,"&lt;"&amp;$AC82,PayEmp,$C82)))))))</f>
        <v>1500</v>
      </c>
      <c r="V82" s="133" cm="1">
        <f t="array" aca="1" ref="V82" ca="1">IF($F82="Terminated",0,IF($AA82=0,0,IF(ISNA(MATCH(V$5,CompListItem,0)),0,IF(COUNTIFS(OverEmp,$C82,OverComp,V$5,OverDate,"&lt;"&amp;DATE(YEAR($AC82),MONTH($AC82)+1,1),OverEnd,"&gt;="&amp;DATE(YEAR($AC82),MONTH($AC82),1))&gt;0,SUMIFS(OverValue,OverEmp,$C82,OverComp,V$5,OverDate,"&lt;"&amp;DATE(YEAR($AC82),MONTH($AC82)+1,1),OverEnd,"&gt;="&amp;DATE(YEAR($AC82),MONTH($AC82),1)),IF(OR(V$2="Fixed",V$2="Not Used"),(OFFSET(Setup!$E$81,MATCH(V$5,CompListItem,0),0,1,1)*$AA82)-SUMIFS(OFFSET(V$6,1,0,PayCount,1),PayDate,"&lt;"&amp;$AC82,PayEmp,$C82),IF(ISNA(MATCH(V$2,DedListItem,0))=FALSE,(SUMPRODUCT((PayEmp=$C82)*(PayDate&lt;=$AC82)*(PayDedList=V$2)*(PayDedValues))*OFFSET(Setup!$E$81,MATCH(V$5,CompListItem,0),0,1,1))-SUMIFS(OFFSET(V$6,1,0,PayCount,1),PayDate,"&lt;"&amp;$AC82,PayEmp,$C82),(MIN(IF(OFFSET(Setup!$G$81,MATCH(V$5,CompListItem,0),0,1,1)="Taxable",SUMPRODUCT((PayEmp=$C82)*(PayDate&lt;=$AC82)*(ISERROR(SEARCH(PayEarnCode,V$4)))*(PayEarnTax)*(PayEarnValues)),SUMPRODUCT((PayEmp=$C82)*(PayDate&lt;=$AC82)*(ISERROR(SEARCH(PayEarnCode,V$4)))*(PayEarnValues))),IF(ISNUMBER(V$3),V$3/12*$AA82,IgnoreMin)))*OFFSET(Setup!$E$81,MATCH(V$5,CompListItem,0),0,1,1)-SUMIFS(OFFSET(V$6,1,0,PayCount,1),PayDate,"&lt;"&amp;$AC82,PayEmp,$C82)))))))</f>
        <v>0</v>
      </c>
      <c r="W82" s="133" cm="1">
        <f t="array" aca="1" ref="W82" ca="1">IF($F82="Terminated",0,IF($AA82=0,0,IF(ISNA(MATCH(W$5,CompListItem,0)),0,IF(COUNTIFS(OverEmp,$C82,OverComp,W$5,OverDate,"&lt;"&amp;DATE(YEAR($AC82),MONTH($AC82)+1,1),OverEnd,"&gt;="&amp;DATE(YEAR($AC82),MONTH($AC82),1))&gt;0,SUMIFS(OverValue,OverEmp,$C82,OverComp,W$5,OverDate,"&lt;"&amp;DATE(YEAR($AC82),MONTH($AC82)+1,1),OverEnd,"&gt;="&amp;DATE(YEAR($AC82),MONTH($AC82),1)),IF(OR(W$2="Fixed",W$2="Not Used"),(OFFSET(Setup!$E$81,MATCH(W$5,CompListItem,0),0,1,1)*$AA82)-SUMIFS(OFFSET(W$6,1,0,PayCount,1),PayDate,"&lt;"&amp;$AC82,PayEmp,$C82),IF(ISNA(MATCH(W$2,DedListItem,0))=FALSE,(SUMPRODUCT((PayEmp=$C82)*(PayDate&lt;=$AC82)*(PayDedList=W$2)*(PayDedValues))*OFFSET(Setup!$E$81,MATCH(W$5,CompListItem,0),0,1,1))-SUMIFS(OFFSET(W$6,1,0,PayCount,1),PayDate,"&lt;"&amp;$AC82,PayEmp,$C82),(MIN(IF(OFFSET(Setup!$G$81,MATCH(W$5,CompListItem,0),0,1,1)="Taxable",SUMPRODUCT((PayEmp=$C82)*(PayDate&lt;=$AC82)*(ISERROR(SEARCH(PayEarnCode,W$4)))*(PayEarnTax)*(PayEarnValues)),SUMPRODUCT((PayEmp=$C82)*(PayDate&lt;=$AC82)*(ISERROR(SEARCH(PayEarnCode,W$4)))*(PayEarnValues))),IF(ISNUMBER(W$3),W$3/12*$AA82,IgnoreMin)))*OFFSET(Setup!$E$81,MATCH(W$5,CompListItem,0),0,1,1)-SUMIFS(OFFSET(W$6,1,0,PayCount,1),PayDate,"&lt;"&amp;$AC82,PayEmp,$C82)))))))</f>
        <v>0</v>
      </c>
      <c r="X82" s="185">
        <f t="shared" ca="1" si="30"/>
        <v>1677.12</v>
      </c>
      <c r="Y82" s="139">
        <f t="shared" ca="1" si="39"/>
        <v>151677.12</v>
      </c>
      <c r="Z82" s="139">
        <f t="shared" ca="1" si="31"/>
        <v>58716.07</v>
      </c>
      <c r="AA82" s="146">
        <f ca="1">IF(OR($B82&lt;=Setup!$E$12,$B82&gt;=Setup!$D$12+1),0,IF($F82&lt;&gt;"Active",0,IF($AE82="Yes",$AB82,((YEAR($AC82)*12)+MONTH($AC82))-((YEAR($AD82)*12)+MONTH($AD82)-1))))</f>
        <v>6</v>
      </c>
      <c r="AB82" s="146">
        <f ca="1">IF(OR($B82&lt;=Setup!$E$12,$B82&gt;=Setup!$D$12+1),0,((YEAR($AC82)*12)+MONTH($AC82))-((YEAR(Setup!$E$12)*12)+MONTH(Setup!$E$12)))</f>
        <v>6</v>
      </c>
      <c r="AC82" s="186">
        <f t="shared" ca="1" si="32"/>
        <v>45163</v>
      </c>
      <c r="AD82" s="144">
        <f ca="1">IF(ISNA(VLOOKUP($C82,EmpAll,COLUMN(Emp!$E$4),0)),$AC82,IF(VLOOKUP($C82,EmpAll,COLUMN(Emp!$E$4),0)&lt;=Setup!$E$12,DATE(YEAR(Setup!$E$12),MONTH(Setup!$E$12)+1,1),VLOOKUP($C82,EmpAll,COLUMN(Emp!$E$4),0)))</f>
        <v>44986</v>
      </c>
      <c r="AE82" s="144" t="str">
        <f ca="1">IF(ISNA(VLOOKUP($C82,EmpAll,COLUMN(Emp!$G$1),0)),"-",IF(VLOOKUP($C82,EmpAll,COLUMN(Emp!$G$1),0)=0,"-",VLOOKUP($C82,EmpAll,COLUMN(Emp!$G$1),0)))</f>
        <v>-</v>
      </c>
      <c r="AF82" s="145">
        <f ca="1">IF(A82=PaySlip!$G$3,1,0)</f>
        <v>0</v>
      </c>
      <c r="AG82" s="130" cm="1">
        <f t="array" aca="1" ref="AG82" ca="1">IF(COUNTIFS(OverEmp,$C82,OverMed,"MED",OverDate,"&lt;"&amp;DATE(YEAR($AC82),MONTH($AC82)+1,1),OverEnd,"&gt;="&amp;DATE(YEAR($AC82),MONTH($AC82),1))&gt;0,SUMIFS(OverValue,OverEmp,$C82,OverMed,"MED",OverDate,"&lt;"&amp;DATE(YEAR($AC82),MONTH($AC82)+1,1),OverEnd,"&gt;="&amp;DATE(YEAR($AC82),MONTH($AC82),1)),IF(ISNA(VLOOKUP($C82,EmpAll,COLUMN(Emp!$N$4),0)),0,VLOOKUP($C82,EmpAll,COLUMN(Emp!$N$4),0)))</f>
        <v>5</v>
      </c>
      <c r="AH82" s="146">
        <f ca="1">VLOOKUP($AG82,MedList,COLUMN(Setup!$C$49),1)</f>
        <v>1466</v>
      </c>
      <c r="AI82" s="146">
        <f t="shared" ca="1" si="40"/>
        <v>17592</v>
      </c>
      <c r="AJ82" s="101" t="str">
        <f ca="1">IF(ISNA(VLOOKUP($C82,EmpAll,COLUMN(Emp!$L$4),0)),"None!",VLOOKUP($C82,EmpAll,COLUMN(Emp!$L$4),0))</f>
        <v>A</v>
      </c>
      <c r="AK82" s="147">
        <f t="shared" ca="1" si="33"/>
        <v>17235</v>
      </c>
      <c r="AL82" s="101" t="str">
        <f ca="1">IF(ISNA(VLOOKUP($C82,Employees[],COLUMN(Emp!$M$4),0))=TRUE,"Error!",IF(VLOOKUP($C82,Employees[],COLUMN(Emp!$M$4),0)=0,"Yes",VLOOKUP($C82,Employees[],COLUMN(Emp!$M$4),0)))</f>
        <v>A</v>
      </c>
      <c r="AM82" s="148">
        <f t="shared" ca="1" si="41"/>
        <v>1800000</v>
      </c>
      <c r="AN82" s="148" cm="1">
        <f t="array" aca="1" ref="AN82" ca="1">-IF($F82="Terminated",0,IF($AA82=0,0,IF(ISNA(MATCH(AN$5,PayDedList,0)),0,MIN(IF(COUNTIFS(OverEmp,$C82,OverDeduct,AN$5,OverDate,"&lt;"&amp;DATE(YEAR($AC82),MONTH($AC82)+1,1),OverEnd,"&gt;="&amp;DATE(YEAR($AC82),MONTH($AC82),1))&gt;0,SUMPRODUCT((PayEmp=$C82)*(PayDate&lt;=$AC82)*(OFFSET($N$6,1,MATCH(AN$5,PayDedList,0)-1,PayCount,1)))/$AA82*12*AN$3,IF(OR(AN$1="Fixed",AN$1="Not Used"),SUMPRODUCT((PayEmp=$C82)*(PayDate&lt;=$AC82)*(OFFSET($N$6,1,MATCH(AN$5,PayDedList,0)-1,PayCount,1)))/$AA82*12*AN$3,IF(ISNA(MATCH(AN$1,EarnListItem,0))=FALSE,SUMPRODUCT((PayEmp=$C82)*(PayDate&lt;=$AC82)*(OFFSET($N$6,1,MATCH(AN$5,PayDedList,0)-1,PayCount,1)))/$AA82*12*AN$3,(MIN(((SUMPRODUCT((PayEmp=$C82)*(PayDate&lt;=$AC82)*(ISERROR(SEARCH(PayEarnCode,AN$2)))*(PayEarnType="Monthly")*(PayEarnValues))/$AA82*12)+(SUMPRODUCT((PayEmp=$C82)*(PayDate&lt;=$AC82)*(ISERROR(SEARCH(PayEarnCode,AN$2)))*(PayEarnType="Quarterly")*(PayEarnValues))/MAX(1,ROUNDDOWN($AB82/3,0))*4)+(SUMPRODUCT((PayEmp=$C82)*(PayDate&lt;=$AC82)*(ISERROR(SEARCH(PayEarnCode,AN$2)))*(PayEarnType="Bi-Annual")*(PayEarnValues))/MAX(1,ROUNDDOWN($AB82/6,0))*2)+(SUMPRODUCT((PayEmp=$C82)*(PayDate&lt;=$AC82)*(ISERROR(SEARCH(PayEarnCode,AN$2)))*(PayEarnType="Annual")*(PayEarnValues)))),IF(ISNUMBER(OFFSET($N$3,0,MATCH(AN$5,PayDedList,0)-1,1,1)),OFFSET($N$3,0,MATCH(AN$5,PayDedList,0)-1,1,1),IgnoreMin)))*IF(COUNTIFS(EmpNo,$C82,OFFSET(Emp!$R$4,1,MATCH(AN$5,DedListItem,0)-1,EmpCount,1),"&lt;&gt;")&gt;0,VLOOKUP($C82,EmpAll,COLUMN(Emp!$R$4)+MATCH(AN$5,DedListItem,0)-1,0),OFFSET(Setup!$E$73,MATCH(AN$5,DedListItem,0),0,1,1))*AN$3))),IF(ISNUMBER(AN$4),AN$4,IgnoreMin)))))</f>
        <v>0</v>
      </c>
      <c r="AO82" s="148" cm="1">
        <f t="array" aca="1" ref="AO82" ca="1">-IF($F82="Terminated",0,IF($AA82=0,0,IF(ISNA(MATCH(AO$5,PayDedList,0)),0,MIN(IF(COUNTIFS(OverEmp,$C82,OverDeduct,AO$5,OverDate,"&lt;"&amp;DATE(YEAR($AC82),MONTH($AC82)+1,1),OverEnd,"&gt;="&amp;DATE(YEAR($AC82),MONTH($AC82),1))&gt;0,SUMPRODUCT((PayEmp=$C82)*(PayDate&lt;=$AC82)*(OFFSET($N$6,1,MATCH(AO$5,PayDedList,0)-1,PayCount,1)))/$AA82*12*AO$3,IF(OR(AO$1="Fixed",AO$1="Not Used"),SUMPRODUCT((PayEmp=$C82)*(PayDate&lt;=$AC82)*(OFFSET($N$6,1,MATCH(AO$5,PayDedList,0)-1,PayCount,1)))/$AA82*12*AO$3,IF(ISNA(MATCH(AO$1,EarnListItem,0))=FALSE,SUMPRODUCT((PayEmp=$C82)*(PayDate&lt;=$AC82)*(OFFSET($N$6,1,MATCH(AO$5,PayDedList,0)-1,PayCount,1)))/$AA82*12*AO$3,(MIN(((SUMPRODUCT((PayEmp=$C82)*(PayDate&lt;=$AC82)*(ISERROR(SEARCH(PayEarnCode,AO$2)))*(PayEarnType="Monthly")*(PayEarnValues))/$AA82*12)+(SUMPRODUCT((PayEmp=$C82)*(PayDate&lt;=$AC82)*(ISERROR(SEARCH(PayEarnCode,AO$2)))*(PayEarnType="Quarterly")*(PayEarnValues))/MAX(1,ROUNDDOWN($AB82/3,0))*4)+(SUMPRODUCT((PayEmp=$C82)*(PayDate&lt;=$AC82)*(ISERROR(SEARCH(PayEarnCode,AO$2)))*(PayEarnType="Bi-Annual")*(PayEarnValues))/MAX(1,ROUNDDOWN($AB82/6,0))*2)+(SUMPRODUCT((PayEmp=$C82)*(PayDate&lt;=$AC82)*(ISERROR(SEARCH(PayEarnCode,AO$2)))*(PayEarnType="Annual")*(PayEarnValues)))),IF(ISNUMBER(OFFSET($N$3,0,MATCH(AO$5,PayDedList,0)-1,1,1)),OFFSET($N$3,0,MATCH(AO$5,PayDedList,0)-1,1,1),IgnoreMin)))*IF(COUNTIFS(EmpNo,$C82,OFFSET(Emp!$R$4,1,MATCH(AO$5,DedListItem,0)-1,EmpCount,1),"&lt;&gt;")&gt;0,VLOOKUP($C82,EmpAll,COLUMN(Emp!$R$4)+MATCH(AO$5,DedListItem,0)-1,0),OFFSET(Setup!$E$73,MATCH(AO$5,DedListItem,0),0,1,1))*AO$3))),IF(ISNUMBER(AO$4),AO$4,IgnoreMin)))))</f>
        <v>-135000</v>
      </c>
      <c r="AP82" s="148" cm="1">
        <f t="array" aca="1" ref="AP82" ca="1">-IF($F82="Terminated",0,IF($AA82=0,0,IF(ISNA(MATCH(AP$5,PayDedList,0)),0,MIN(IF(COUNTIFS(OverEmp,$C82,OverDeduct,AP$5,OverDate,"&lt;"&amp;DATE(YEAR($AC82),MONTH($AC82)+1,1),OverEnd,"&gt;="&amp;DATE(YEAR($AC82),MONTH($AC82),1))&gt;0,SUMPRODUCT((PayEmp=$C82)*(PayDate&lt;=$AC82)*(OFFSET($N$6,1,MATCH(AP$5,PayDedList,0)-1,PayCount,1)))/$AA82*12*AP$3,IF(OR(AP$1="Fixed",AP$1="Not Used"),SUMPRODUCT((PayEmp=$C82)*(PayDate&lt;=$AC82)*(OFFSET($N$6,1,MATCH(AP$5,PayDedList,0)-1,PayCount,1)))/$AA82*12*AP$3,IF(ISNA(MATCH(AP$1,EarnListItem,0))=FALSE,SUMPRODUCT((PayEmp=$C82)*(PayDate&lt;=$AC82)*(OFFSET($N$6,1,MATCH(AP$5,PayDedList,0)-1,PayCount,1)))/$AA82*12*AP$3,(MIN(((SUMPRODUCT((PayEmp=$C82)*(PayDate&lt;=$AC82)*(ISERROR(SEARCH(PayEarnCode,AP$2)))*(PayEarnType="Monthly")*(PayEarnValues))/$AA82*12)+(SUMPRODUCT((PayEmp=$C82)*(PayDate&lt;=$AC82)*(ISERROR(SEARCH(PayEarnCode,AP$2)))*(PayEarnType="Quarterly")*(PayEarnValues))/MAX(1,ROUNDDOWN($AB82/3,0))*4)+(SUMPRODUCT((PayEmp=$C82)*(PayDate&lt;=$AC82)*(ISERROR(SEARCH(PayEarnCode,AP$2)))*(PayEarnType="Bi-Annual")*(PayEarnValues))/MAX(1,ROUNDDOWN($AB82/6,0))*2)+(SUMPRODUCT((PayEmp=$C82)*(PayDate&lt;=$AC82)*(ISERROR(SEARCH(PayEarnCode,AP$2)))*(PayEarnType="Annual")*(PayEarnValues)))),IF(ISNUMBER(OFFSET($N$3,0,MATCH(AP$5,PayDedList,0)-1,1,1)),OFFSET($N$3,0,MATCH(AP$5,PayDedList,0)-1,1,1),IgnoreMin)))*IF(COUNTIFS(EmpNo,$C82,OFFSET(Emp!$R$4,1,MATCH(AP$5,DedListItem,0)-1,EmpCount,1),"&lt;&gt;")&gt;0,VLOOKUP($C82,EmpAll,COLUMN(Emp!$R$4)+MATCH(AP$5,DedListItem,0)-1,0),OFFSET(Setup!$E$73,MATCH(AP$5,DedListItem,0),0,1,1))*AP$3))),IF(ISNUMBER(AP$4),AP$4,IgnoreMin)))))</f>
        <v>0</v>
      </c>
      <c r="AQ82" s="148" cm="1">
        <f t="array" aca="1" ref="AQ82" ca="1">-IF($F82="Terminated",0,IF($AA82=0,0,IF(ISNA(MATCH(AQ$5,PayDedList,0)),0,MIN(IF(COUNTIFS(OverEmp,$C82,OverDeduct,AQ$5,OverDate,"&lt;"&amp;DATE(YEAR($AC82),MONTH($AC82)+1,1),OverEnd,"&gt;="&amp;DATE(YEAR($AC82),MONTH($AC82),1))&gt;0,SUMPRODUCT((PayEmp=$C82)*(PayDate&lt;=$AC82)*(OFFSET($N$6,1,MATCH(AQ$5,PayDedList,0)-1,PayCount,1)))/$AA82*12*AQ$3,IF(OR(AQ$1="Fixed",AQ$1="Not Used"),SUMPRODUCT((PayEmp=$C82)*(PayDate&lt;=$AC82)*(OFFSET($N$6,1,MATCH(AQ$5,PayDedList,0)-1,PayCount,1)))/$AA82*12*AQ$3,IF(ISNA(MATCH(AQ$1,EarnListItem,0))=FALSE,SUMPRODUCT((PayEmp=$C82)*(PayDate&lt;=$AC82)*(OFFSET($N$6,1,MATCH(AQ$5,PayDedList,0)-1,PayCount,1)))/$AA82*12*AQ$3,(MIN(((SUMPRODUCT((PayEmp=$C82)*(PayDate&lt;=$AC82)*(ISERROR(SEARCH(PayEarnCode,AQ$2)))*(PayEarnType="Monthly")*(PayEarnValues))/$AA82*12)+(SUMPRODUCT((PayEmp=$C82)*(PayDate&lt;=$AC82)*(ISERROR(SEARCH(PayEarnCode,AQ$2)))*(PayEarnType="Quarterly")*(PayEarnValues))/MAX(1,ROUNDDOWN($AB82/3,0))*4)+(SUMPRODUCT((PayEmp=$C82)*(PayDate&lt;=$AC82)*(ISERROR(SEARCH(PayEarnCode,AQ$2)))*(PayEarnType="Bi-Annual")*(PayEarnValues))/MAX(1,ROUNDDOWN($AB82/6,0))*2)+(SUMPRODUCT((PayEmp=$C82)*(PayDate&lt;=$AC82)*(ISERROR(SEARCH(PayEarnCode,AQ$2)))*(PayEarnType="Annual")*(PayEarnValues)))),IF(ISNUMBER(OFFSET($N$3,0,MATCH(AQ$5,PayDedList,0)-1,1,1)),OFFSET($N$3,0,MATCH(AQ$5,PayDedList,0)-1,1,1),IgnoreMin)))*IF(COUNTIFS(EmpNo,$C82,OFFSET(Emp!$R$4,1,MATCH(AQ$5,DedListItem,0)-1,EmpCount,1),"&lt;&gt;")&gt;0,VLOOKUP($C82,EmpAll,COLUMN(Emp!$R$4)+MATCH(AQ$5,DedListItem,0)-1,0),OFFSET(Setup!$E$73,MATCH(AQ$5,DedListItem,0),0,1,1))*AQ$3))),IF(ISNUMBER(AQ$4),AQ$4,IgnoreMin)))))</f>
        <v>0</v>
      </c>
      <c r="AR82" s="148">
        <f t="shared" ca="1" si="34"/>
        <v>1665000</v>
      </c>
      <c r="AS82" s="148">
        <f t="shared" ca="1" si="42"/>
        <v>1800000</v>
      </c>
      <c r="AT82" s="148" cm="1">
        <f t="array" aca="1" ref="AT82" ca="1">-IF($F82="Terminated",0,IF($AA82=0,0,IF(ISNA(MATCH(AT$5,PayDedList,0)),0,MIN(IF(COUNTIFS(OverEmp,$C82,OverDeduct,AT$5,OverDate,"&lt;"&amp;DATE(YEAR($AC82),MONTH($AC82)+1,1),OverEnd,"&gt;="&amp;DATE(YEAR($AC82),MONTH($AC82),1))&gt;0,SUMPRODUCT((PayEmp=$C82)*(PayDate&lt;=$AC82)*(OFFSET($N$6,1,MATCH(AT$5,PayDedList,0)-1,PayCount,1)))/$AA82*12*AT$3,IF(OR(AT$1="Fixed",AT$1="Not Used"),SUMPRODUCT((PayEmp=$C82)*(PayDate&lt;=$AC82)*(OFFSET($N$6,1,MATCH(AT$5,PayDedList,0)-1,PayCount,1)))/$AA82*12*AT$3,IF(ISNA(MATCH(OFFSET($N$2,0,MATCH(AT$5,PayDedList,0)-1,1,1),EarnListItem,0))=FALSE,SUMPRODUCT((PayEmp=$C82)*(PayDate&lt;=$AC82)*(OFFSET($N$6,1,MATCH(AT$5,PayDedList,0)-1,PayCount,1)))/$AA82*12*AT$3,(MIN(SUMPRODUCT((PayEmp=$C82)*(PayDate&lt;=$AC82)*(ISERROR(SEARCH(PayEarnCode,AT$2)))*(PayEarnType="Monthly")*(PayEarnValues))/$AA82*12,IF(ISNUMBER(OFFSET($N$3,0,MATCH(AT$5,PayDedList,0)-1,1,1)),OFFSET($N$3,0,MATCH(AT$5,PayDedList,0)-1,1,1),IgnoreMin)))*IF(COUNTIFS(EmpNo,$C82,OFFSET(Emp!$R$4,1,MATCH(AT$5,DedListItem,0)-1,EmpCount,1),"&lt;&gt;")&gt;0,VLOOKUP($C82,EmpAll,COLUMN(Emp!$R$4)+MATCH(AT$5,DedListItem,0)-1,0),OFFSET(Setup!$E$73,MATCH(AT$5,DedListItem,0),0,1,1))*AT$3))),IF(ISNUMBER(AT$4),AT$4,IgnoreMin)))))</f>
        <v>0</v>
      </c>
      <c r="AU82" s="148" cm="1">
        <f t="array" aca="1" ref="AU82" ca="1">-IF($F82="Terminated",0,IF($AA82=0,0,IF(ISNA(MATCH(AU$5,PayDedList,0)),0,MIN(IF(COUNTIFS(OverEmp,$C82,OverDeduct,AU$5,OverDate,"&lt;"&amp;DATE(YEAR($AC82),MONTH($AC82)+1,1),OverEnd,"&gt;="&amp;DATE(YEAR($AC82),MONTH($AC82),1))&gt;0,SUMPRODUCT((PayEmp=$C82)*(PayDate&lt;=$AC82)*(OFFSET($N$6,1,MATCH(AU$5,PayDedList,0)-1,PayCount,1)))/$AA82*12*AU$3,IF(OR(AU$1="Fixed",AU$1="Not Used"),SUMPRODUCT((PayEmp=$C82)*(PayDate&lt;=$AC82)*(OFFSET($N$6,1,MATCH(AU$5,PayDedList,0)-1,PayCount,1)))/$AA82*12*AU$3,IF(ISNA(MATCH(OFFSET($N$2,0,MATCH(AU$5,PayDedList,0)-1,1,1),EarnListItem,0))=FALSE,SUMPRODUCT((PayEmp=$C82)*(PayDate&lt;=$AC82)*(OFFSET($N$6,1,MATCH(AU$5,PayDedList,0)-1,PayCount,1)))/$AA82*12*AU$3,(MIN(SUMPRODUCT((PayEmp=$C82)*(PayDate&lt;=$AC82)*(ISERROR(SEARCH(PayEarnCode,AU$2)))*(PayEarnType="Monthly")*(PayEarnValues))/$AA82*12,IF(ISNUMBER(OFFSET($N$3,0,MATCH(AU$5,PayDedList,0)-1,1,1)),OFFSET($N$3,0,MATCH(AU$5,PayDedList,0)-1,1,1),IgnoreMin)))*IF(COUNTIFS(EmpNo,$C82,OFFSET(Emp!$R$4,1,MATCH(AU$5,DedListItem,0)-1,EmpCount,1),"&lt;&gt;")&gt;0,VLOOKUP($C82,EmpAll,COLUMN(Emp!$R$4)+MATCH(AU$5,DedListItem,0)-1,0),OFFSET(Setup!$E$73,MATCH(AU$5,DedListItem,0),0,1,1))*AU$3))),IF(ISNUMBER(AU$4),AU$4,IgnoreMin)))))</f>
        <v>-135000</v>
      </c>
      <c r="AV82" s="148" cm="1">
        <f t="array" aca="1" ref="AV82" ca="1">-IF($F82="Terminated",0,IF($AA82=0,0,IF(ISNA(MATCH(AV$5,PayDedList,0)),0,MIN(IF(COUNTIFS(OverEmp,$C82,OverDeduct,AV$5,OverDate,"&lt;"&amp;DATE(YEAR($AC82),MONTH($AC82)+1,1),OverEnd,"&gt;="&amp;DATE(YEAR($AC82),MONTH($AC82),1))&gt;0,SUMPRODUCT((PayEmp=$C82)*(PayDate&lt;=$AC82)*(OFFSET($N$6,1,MATCH(AV$5,PayDedList,0)-1,PayCount,1)))/$AA82*12*AV$3,IF(OR(AV$1="Fixed",AV$1="Not Used"),SUMPRODUCT((PayEmp=$C82)*(PayDate&lt;=$AC82)*(OFFSET($N$6,1,MATCH(AV$5,PayDedList,0)-1,PayCount,1)))/$AA82*12*AV$3,IF(ISNA(MATCH(OFFSET($N$2,0,MATCH(AV$5,PayDedList,0)-1,1,1),EarnListItem,0))=FALSE,SUMPRODUCT((PayEmp=$C82)*(PayDate&lt;=$AC82)*(OFFSET($N$6,1,MATCH(AV$5,PayDedList,0)-1,PayCount,1)))/$AA82*12*AV$3,(MIN(SUMPRODUCT((PayEmp=$C82)*(PayDate&lt;=$AC82)*(ISERROR(SEARCH(PayEarnCode,AV$2)))*(PayEarnType="Monthly")*(PayEarnValues))/$AA82*12,IF(ISNUMBER(OFFSET($N$3,0,MATCH(AV$5,PayDedList,0)-1,1,1)),OFFSET($N$3,0,MATCH(AV$5,PayDedList,0)-1,1,1),IgnoreMin)))*IF(COUNTIFS(EmpNo,$C82,OFFSET(Emp!$R$4,1,MATCH(AV$5,DedListItem,0)-1,EmpCount,1),"&lt;&gt;")&gt;0,VLOOKUP($C82,EmpAll,COLUMN(Emp!$R$4)+MATCH(AV$5,DedListItem,0)-1,0),OFFSET(Setup!$E$73,MATCH(AV$5,DedListItem,0),0,1,1))*AV$3))),IF(ISNUMBER(AV$4),AV$4,IgnoreMin)))))</f>
        <v>0</v>
      </c>
      <c r="AW82" s="148" cm="1">
        <f t="array" aca="1" ref="AW82" ca="1">-IF($F82="Terminated",0,IF($AA82=0,0,IF(ISNA(MATCH(AW$5,PayDedList,0)),0,MIN(IF(COUNTIFS(OverEmp,$C82,OverDeduct,AW$5,OverDate,"&lt;"&amp;DATE(YEAR($AC82),MONTH($AC82)+1,1),OverEnd,"&gt;="&amp;DATE(YEAR($AC82),MONTH($AC82),1))&gt;0,SUMPRODUCT((PayEmp=$C82)*(PayDate&lt;=$AC82)*(OFFSET($N$6,1,MATCH(AW$5,PayDedList,0)-1,PayCount,1)))/$AA82*12*AW$3,IF(OR(AW$1="Fixed",AW$1="Not Used"),SUMPRODUCT((PayEmp=$C82)*(PayDate&lt;=$AC82)*(OFFSET($N$6,1,MATCH(AW$5,PayDedList,0)-1,PayCount,1)))/$AA82*12*AW$3,IF(ISNA(MATCH(OFFSET($N$2,0,MATCH(AW$5,PayDedList,0)-1,1,1),EarnListItem,0))=FALSE,SUMPRODUCT((PayEmp=$C82)*(PayDate&lt;=$AC82)*(OFFSET($N$6,1,MATCH(AW$5,PayDedList,0)-1,PayCount,1)))/$AA82*12*AW$3,(MIN(SUMPRODUCT((PayEmp=$C82)*(PayDate&lt;=$AC82)*(ISERROR(SEARCH(PayEarnCode,AW$2)))*(PayEarnType="Monthly")*(PayEarnValues))/$AA82*12,IF(ISNUMBER(OFFSET($N$3,0,MATCH(AW$5,PayDedList,0)-1,1,1)),OFFSET($N$3,0,MATCH(AW$5,PayDedList,0)-1,1,1),IgnoreMin)))*IF(COUNTIFS(EmpNo,$C82,OFFSET(Emp!$R$4,1,MATCH(AW$5,DedListItem,0)-1,EmpCount,1),"&lt;&gt;")&gt;0,VLOOKUP($C82,EmpAll,COLUMN(Emp!$R$4)+MATCH(AW$5,DedListItem,0)-1,0),OFFSET(Setup!$E$73,MATCH(AW$5,DedListItem,0),0,1,1))*AW$3))),IF(ISNUMBER(AW$4),AW$4,IgnoreMin)))))</f>
        <v>0</v>
      </c>
      <c r="AX82" s="148">
        <f t="shared" ca="1" si="43"/>
        <v>1665000</v>
      </c>
      <c r="AY82" s="148">
        <f t="shared" ca="1" si="44"/>
        <v>0</v>
      </c>
      <c r="AZ82" s="148">
        <f ca="1">IF(ISNUMBER($AL82),($AR82*$AL82)-$AI82-$AK82,MAX(0,IF($AL82="B",IF($AR82&lt;Setup!$C$32,($AR82*Setup!$D$32)-$AI82-$AK82,(($AR82-VLOOKUP($AR82,TaxAll2,1,1))*OFFSET(Setup!$D$32,MATCH($AR82,TaxBracket2,1),0,1,1))+OFFSET(Setup!$E$31,MATCH($AR82,TaxBracket2,1),0,1,1)-$AI82-$AK82),IF($AR82&lt;Setup!$C$21,($AR82*Setup!$D$21)-$AI82-$AK82,(($AR82-VLOOKUP($AR82,TaxAll1,1,1))*OFFSET(Setup!$D$21,MATCH($AR82,TaxBracket1,1),0,1,1))+OFFSET(Setup!$E$20,MATCH($AR82,TaxBracket1,1),0,1,1)-$AI82-$AK82))))</f>
        <v>547342</v>
      </c>
      <c r="BA82" s="148">
        <f ca="1">IF(ISNUMBER($AL82),($AX82*$AL82)-$AI82-$AK82,MAX(0,IF($AL82="B",IF($AX82&lt;Setup!$C$32,($AX82*Setup!$D$32)-$AI82-$AK82,(($AX82-VLOOKUP($AX82,TaxAll2,1,1))*OFFSET(Setup!$D$32,MATCH($AX82,TaxBracket2,1),0,1,1))+OFFSET(Setup!$E$31,MATCH($AX82,TaxBracket2,1),0,1,1)-$AI82-$AK82),IF($AX82&lt;Setup!$C$21,($AX82*Setup!$D$21)-$AI82-$AK82,(($AX82-VLOOKUP($AX82,TaxAll1,1,1))*OFFSET(Setup!$D$21,MATCH($AX82,TaxBracket1,1),0,1,1))+OFFSET(Setup!$E$20,MATCH($AX82,TaxBracket1,1),0,1,1)-$AI82-$AK82))))</f>
        <v>547342</v>
      </c>
      <c r="BB82" s="148">
        <f t="shared" ca="1" si="35"/>
        <v>0</v>
      </c>
      <c r="BC82" s="150">
        <f t="shared" ca="1" si="45"/>
        <v>1</v>
      </c>
      <c r="BD82" s="150">
        <f t="shared" ca="1" si="46"/>
        <v>0</v>
      </c>
      <c r="BE82" s="148">
        <f t="shared" ca="1" si="47"/>
        <v>1800000</v>
      </c>
    </row>
    <row r="83" spans="1:57" ht="16.149999999999999" customHeight="1" x14ac:dyDescent="0.25">
      <c r="A83" s="10" t="str" cm="1">
        <f t="array" aca="1" ref="A83" ca="1">IF(ROW($A83)-ROW($A$6)&gt;EmpCount*12,"-",TEXT($B83,"yyyy")&amp;TEXT($B83,"mm")&amp;"-"&amp;$C83)</f>
        <v>202308-EXS002</v>
      </c>
      <c r="B83" s="137" cm="1">
        <f t="array" aca="1" ref="B83" ca="1">IF(ROW($A83)-ROW($A$6)&gt;EmpCount*12,Setup!$D$12,DATE(YEAR(Setup!$F$12),MONTH(Setup!$F$12)+ROUNDDOWN((ROW($A83)-ROW($A$6)-1)/EmpCount,0),IF(Setup!$C$14&gt;DAY(DATE(YEAR(Setup!$F$12),MONTH(Setup!$F$12)+ROUNDDOWN((ROW($A83)-ROW($A$6)-1)/EmpCount,0)+1,0)),DAY(DATE(YEAR(Setup!$F$12),MONTH(Setup!$F$12)+ROUNDDOWN((ROW($A83)-ROW($A$6)-1)/EmpCount,0)+1,0)),Setup!$C$14)))</f>
        <v>45163</v>
      </c>
      <c r="C83" s="101" t="str" cm="1">
        <f t="array" aca="1" ref="C83" ca="1">IF(ROW($A83)-ROW($A$6)&gt;EmpCount*12,"-",OFFSET(Emp!$A$4,ROW($A83)-ROW($A$6)-IF(ROW($A83)-ROW($A$6)&gt;EmpCount,ROUNDDOWN((ROW($A83)-ROW($A$6)-1)/EmpCount,0)*EmpCount,0),0,1,1))</f>
        <v>EXS002</v>
      </c>
      <c r="D83" s="10" t="str">
        <f ca="1">IF(ISNA(VLOOKUP($C83,EmpAll,COLUMN(Emp!$B$4),0)),"-",VLOOKUP($C83,EmpAll,COLUMN(Emp!$B$4),0))</f>
        <v>Smith F</v>
      </c>
      <c r="E83" s="145" t="str">
        <f ca="1">IF(ISNA(VLOOKUP($C83,EmpAll,COLUMN(Emp!$C$4),0)),"-",VLOOKUP($C83,EmpAll,COLUMN(Emp!$C$4),0))</f>
        <v>M</v>
      </c>
      <c r="F83" s="101" t="str">
        <f ca="1">IF(ISNA(VLOOKUP($C83,EmpAll,COLUMN(Emp!$A$4),0)),"-",IF(AND(VLOOKUP($C83,EmpAll,COLUMN(Emp!$E$4),0)&lt;&gt;0,VLOOKUP($C83,EmpAll,COLUMN(Emp!$E$4),0)&gt;=DATE(YEAR($AC83),MONTH($AC83)+1,0)),"Inactive",IF(AND(VLOOKUP($C83,EmpAll,COLUMN(Emp!$F$4),0)&lt;&gt;0,VLOOKUP($C83,EmpAll,COLUMN(Emp!$F$4),0)&lt;=DATE(YEAR($AC83),MONTH($AC83),0)),"Terminated","Active")))</f>
        <v>Active</v>
      </c>
      <c r="G83" s="133" cm="1">
        <f t="array" aca="1" ref="G83" ca="1">IF($F83&lt;&gt;"Active",0,IF(COUNTIFS(OverEmp,$C83,OverEarn,G$2,OverDate,"&lt;"&amp;DATE(YEAR($AC83),MONTH($AC83)+1,1),OverEnd,"&gt;="&amp;DATE(YEAR($AC83),MONTH($AC83),1))&gt;0,SUMIFS(OverValue,OverEmp,$C83,OverEarn,G$2,OverDate,"&lt;"&amp;DATE(YEAR($AC83),MONTH($AC83)+1,1),OverEnd,"&gt;="&amp;DATE(YEAR($AC83),MONTH($AC83),1)),IF(AND($AC83&gt;=Setup!$E$10,SUMIFS(EmpIncrease,EmpCode,$C83)&gt;0),SUMIFS(EmpIncrease,EmpCode,$C83),SUMIFS(EmpSalary,EmpCode,$C83))))</f>
        <v>120000</v>
      </c>
      <c r="H83" s="133" cm="1">
        <f t="array" aca="1" ref="H83" ca="1">IF($F83&lt;&gt;"Active",0,IF(COUNTIFS(OverEmp,$C83,OverEarn,H$2,OverDate,"&lt;"&amp;DATE(YEAR($AC83),MONTH($AC83)+1,1),OverEnd,"&gt;="&amp;DATE(YEAR($AC83),MONTH($AC83),1))&gt;0,SUMIFS(OverValue,OverEmp,$C83,OverEarn,H$2,OverDate,"&lt;"&amp;DATE(YEAR($AC83),MONTH($AC83)+1,1),OverEnd,"&gt;="&amp;DATE(YEAR($AC83),MONTH($AC83),1)),0))</f>
        <v>0</v>
      </c>
      <c r="I83" s="133" cm="1">
        <f t="array" aca="1" ref="I83" ca="1">IF($F83&lt;&gt;"Active",0,IF(COUNTIFS(OverEmp,$C83,OverEarn,I$2,OverDate,"&lt;"&amp;DATE(YEAR($AC83),MONTH($AC83)+1,1),OverEnd,"&gt;="&amp;DATE(YEAR($AC83),MONTH($AC83),1))&gt;0,SUMIFS(OverValue,OverEmp,$C83,OverEarn,I$2,OverDate,"&lt;"&amp;DATE(YEAR($AC83),MONTH($AC83)+1,1),OverEnd,"&gt;="&amp;DATE(YEAR($AC83),MONTH($AC83),1)),IF(MONTH(B83)=Setup!$C$15,SUMIFS(EmpBonus,EmpCode,$C83),0)))</f>
        <v>0</v>
      </c>
      <c r="J83" s="133" cm="1">
        <f t="array" aca="1" ref="J83" ca="1">IF($F83&lt;&gt;"Active",0,IF(COUNTIFS(OverEmp,$C83,OverEarn,J$2,OverDate,"&lt;"&amp;DATE(YEAR($AC83),MONTH($AC83)+1,1),OverEnd,"&gt;="&amp;DATE(YEAR($AC83),MONTH($AC83),1))&gt;0,SUMIFS(OverValue,OverEmp,$C83,OverEarn,J$2,OverDate,"&lt;"&amp;DATE(YEAR($AC83),MONTH($AC83)+1,1),OverEnd,"&gt;="&amp;DATE(YEAR($AC83),MONTH($AC83),1)),0))</f>
        <v>0</v>
      </c>
      <c r="K83" s="133" cm="1">
        <f t="array" aca="1" ref="K83" ca="1">IF($F83&lt;&gt;"Active",0,IF(COUNTIFS(OverEmp,$C83,OverEarn,K$2,OverDate,"&lt;"&amp;DATE(YEAR($AC83),MONTH($AC83)+1,1),OverEnd,"&gt;="&amp;DATE(YEAR($AC83),MONTH($AC83),1))&gt;0,SUMIFS(OverValue,OverEmp,$C83,OverEarn,K$2,OverDate,"&lt;"&amp;DATE(YEAR($AC83),MONTH($AC83)+1,1),OverEnd,"&gt;="&amp;DATE(YEAR($AC83),MONTH($AC83),1)),0))</f>
        <v>0</v>
      </c>
      <c r="L83" s="185">
        <f t="shared" ca="1" si="36"/>
        <v>120000</v>
      </c>
      <c r="M83" s="182" cm="1">
        <f t="array" aca="1" ref="M83" ca="1">IF(COUNTIFS(OverEmp,$C83,OverTax,M$5,OverDate,"&lt;"&amp;DATE(YEAR($AC83),MONTH($AC83)+1,1),OverEnd,"&gt;="&amp;DATE(YEAR($AC83),MONTH($AC83),1))&gt;0,SUMIFS(OverValue,OverEmp,$C83,OverTax,M$5,OverDate,"&lt;"&amp;DATE(YEAR($AC83),MONTH($AC83)+1,1),OverEnd,"&gt;="&amp;DATE(YEAR($AC83),MONTH($AC83),1)),(($BA83/12*$AA83)+(BB83*IF(1-$BC83=0,0,BD83/(1-$BC83))))-IF($F83="Terminated",0,SUMIFS(PayTaxDeduct,PayDate,"&lt;"&amp;$AC83,PayEmp,$C83)))</f>
        <v>38498.333333333314</v>
      </c>
      <c r="N83" s="133" cm="1">
        <f t="array" aca="1" ref="N83" ca="1">IF($F83="Terminated",0,IF($AA83=0,0,IF(ISNA(MATCH(N$5,DedListItem,0)),0,IF(COUNTIFS(OverEmp,$C83,OverDeduct,N$5,OverDate,"&lt;"&amp;DATE(YEAR($AC83),MONTH($AC83)+1,1),OverEnd,"&gt;="&amp;DATE(YEAR($AC83),MONTH($AC83),1))&gt;0,SUMIFS(OverValue,OverEmp,$C83,OverDeduct,N$5,OverDate,"&lt;"&amp;DATE(YEAR($AC83),MONTH($AC83)+1,1),OverEnd,"&gt;="&amp;DATE(YEAR($AC83),MONTH($AC83),1)),IF(OR(N$2="Fixed",N$2="Not Used"),(IF(COUNTIFS(EmpNo,$C83,OFFSET(Emp!$R$4,1,MATCH(N$5,DedListItem,0)-1,EmpCount,1),"&lt;&gt;")&gt;0,VLOOKUP($C83,EmpAll,COLUMN(Emp!$R$4)+MATCH(N$5,DedListItem,0)-1,0),OFFSET(Setup!$E$73,MATCH(N$5,DedListItem,0),0,1,1))*$AA83)-SUMIFS(OFFSET(N$6,1,0,PayCount,1),PayDate,"&lt;"&amp;$AC83,PayEmp,$C83),IF(ISNA(MATCH(N$2,EarnListItem,0))=FALSE,IF(OFFSET(Setup!$G$73,MATCH(N$5,DedListItem,0),0,1,1)="Taxable",SUMPRODUCT((PayEmp=$C83)*(PayDate&lt;=$AC83)*(PayEarnCode=N$2)*(PayEarnTax)*(PayEarnValues)),SUMPRODUCT((PayEmp=$C83)*(PayDate&lt;=$AC83)*(PayEarnCode=N$2)*(PayEarnValues)))*IF(COUNTIFS(EmpNo,$C83,OFFSET(Emp!$R$4,1,MATCH(N$5,DedListItem,0)-1,EmpCount,1),"&lt;&gt;")&gt;0,VLOOKUP($C83,EmpAll,COLUMN(Emp!$R$4)+MATCH(N$5,DedListItem,0)-1,0),OFFSET(Setup!$E$73,MATCH(N$5,DedListItem,0),0,1,1)),(MIN(IF(OFFSET(Setup!$G$73,MATCH(N$5,DedListItem,0),0,1,1)="Taxable",SUMPRODUCT((PayEmp=$C83)*(PayDate&lt;=$AC83)*(ISERROR(SEARCH(PayEarnCode,N$4)))*(PayEarnTax)*(PayEarnValues)),SUMPRODUCT((PayEmp=$C83)*(PayDate&lt;=$AC83)*(ISERROR(SEARCH(PayEarnCode,N$4)))*(PayEarnValues))),IF(ISNUMBER(N$3),N$3/12*$AA83,IgnoreMin)))*IF(COUNTIFS(EmpNo,$C83,OFFSET(Emp!$R$4,1,MATCH(N$5,DedListItem,0)-1,EmpCount,1),"&lt;&gt;")&gt;0,VLOOKUP($C83,EmpAll,COLUMN(Emp!$R$4)+MATCH(N$5,DedListItem,0)-1,0),OFFSET(Setup!$E$73,MATCH(N$5,DedListItem,0),0,1,1)))-SUMIFS(OFFSET(N$6,1,0,PayCount,1),PayDate,"&lt;"&amp;$AC83,PayEmp,$C83))))))</f>
        <v>177.12</v>
      </c>
      <c r="O83" s="133" cm="1">
        <f t="array" aca="1" ref="O83" ca="1">IF($F83="Terminated",0,IF($AA83=0,0,IF(ISNA(MATCH(O$5,DedListItem,0)),0,IF(COUNTIFS(OverEmp,$C83,OverDeduct,O$5,OverDate,"&lt;"&amp;DATE(YEAR($AC83),MONTH($AC83)+1,1),OverEnd,"&gt;="&amp;DATE(YEAR($AC83),MONTH($AC83),1))&gt;0,SUMIFS(OverValue,OverEmp,$C83,OverDeduct,O$5,OverDate,"&lt;"&amp;DATE(YEAR($AC83),MONTH($AC83)+1,1),OverEnd,"&gt;="&amp;DATE(YEAR($AC83),MONTH($AC83),1)),IF(OR(O$2="Fixed",O$2="Not Used"),(IF(COUNTIFS(EmpNo,$C83,OFFSET(Emp!$R$4,1,MATCH(O$5,DedListItem,0)-1,EmpCount,1),"&lt;&gt;")&gt;0,VLOOKUP($C83,EmpAll,COLUMN(Emp!$R$4)+MATCH(O$5,DedListItem,0)-1,0),OFFSET(Setup!$E$73,MATCH(O$5,DedListItem,0),0,1,1))*$AA83)-SUMIFS(OFFSET(O$6,1,0,PayCount,1),PayDate,"&lt;"&amp;$AC83,PayEmp,$C83),IF(ISNA(MATCH(O$2,EarnListItem,0))=FALSE,IF(OFFSET(Setup!$G$73,MATCH(O$5,DedListItem,0),0,1,1)="Taxable",SUMPRODUCT((PayEmp=$C83)*(PayDate&lt;=$AC83)*(PayEarnCode=O$2)*(PayEarnTax)*(PayEarnValues)),SUMPRODUCT((PayEmp=$C83)*(PayDate&lt;=$AC83)*(PayEarnCode=O$2)*(PayEarnValues)))*IF(COUNTIFS(EmpNo,$C83,OFFSET(Emp!$R$4,1,MATCH(O$5,DedListItem,0)-1,EmpCount,1),"&lt;&gt;")&gt;0,VLOOKUP($C83,EmpAll,COLUMN(Emp!$R$4)+MATCH(O$5,DedListItem,0)-1,0),OFFSET(Setup!$E$73,MATCH(O$5,DedListItem,0),0,1,1)),(MIN(IF(OFFSET(Setup!$G$73,MATCH(O$5,DedListItem,0),0,1,1)="Taxable",SUMPRODUCT((PayEmp=$C83)*(PayDate&lt;=$AC83)*(ISERROR(SEARCH(PayEarnCode,O$4)))*(PayEarnTax)*(PayEarnValues)),SUMPRODUCT((PayEmp=$C83)*(PayDate&lt;=$AC83)*(ISERROR(SEARCH(PayEarnCode,O$4)))*(PayEarnValues))),IF(ISNUMBER(O$3),O$3/12*$AA83,IgnoreMin)))*IF(COUNTIFS(EmpNo,$C83,OFFSET(Emp!$R$4,1,MATCH(O$5,DedListItem,0)-1,EmpCount,1),"&lt;&gt;")&gt;0,VLOOKUP($C83,EmpAll,COLUMN(Emp!$R$4)+MATCH(O$5,DedListItem,0)-1,0),OFFSET(Setup!$E$73,MATCH(O$5,DedListItem,0),0,1,1)))-SUMIFS(OFFSET(O$6,1,0,PayCount,1),PayDate,"&lt;"&amp;$AC83,PayEmp,$C83))))))</f>
        <v>0</v>
      </c>
      <c r="P83" s="133" cm="1">
        <f t="array" aca="1" ref="P83" ca="1">IF($F83="Terminated",0,IF($AA83=0,0,IF(ISNA(MATCH(P$5,DedListItem,0)),0,IF(COUNTIFS(OverEmp,$C83,OverDeduct,P$5,OverDate,"&lt;"&amp;DATE(YEAR($AC83),MONTH($AC83)+1,1),OverEnd,"&gt;="&amp;DATE(YEAR($AC83),MONTH($AC83),1))&gt;0,SUMIFS(OverValue,OverEmp,$C83,OverDeduct,P$5,OverDate,"&lt;"&amp;DATE(YEAR($AC83),MONTH($AC83)+1,1),OverEnd,"&gt;="&amp;DATE(YEAR($AC83),MONTH($AC83),1)),IF(OR(P$2="Fixed",P$2="Not Used"),(IF(COUNTIFS(EmpNo,$C83,OFFSET(Emp!$R$4,1,MATCH(P$5,DedListItem,0)-1,EmpCount,1),"&lt;&gt;")&gt;0,VLOOKUP($C83,EmpAll,COLUMN(Emp!$R$4)+MATCH(P$5,DedListItem,0)-1,0),OFFSET(Setup!$E$73,MATCH(P$5,DedListItem,0),0,1,1))*$AA83)-SUMIFS(OFFSET(P$6,1,0,PayCount,1),PayDate,"&lt;"&amp;$AC83,PayEmp,$C83),IF(ISNA(MATCH(P$2,EarnListItem,0))=FALSE,IF(OFFSET(Setup!$G$73,MATCH(P$5,DedListItem,0),0,1,1)="Taxable",SUMPRODUCT((PayEmp=$C83)*(PayDate&lt;=$AC83)*(PayEarnCode=P$2)*(PayEarnTax)*(PayEarnValues)),SUMPRODUCT((PayEmp=$C83)*(PayDate&lt;=$AC83)*(PayEarnCode=P$2)*(PayEarnValues)))*IF(COUNTIFS(EmpNo,$C83,OFFSET(Emp!$R$4,1,MATCH(P$5,DedListItem,0)-1,EmpCount,1),"&lt;&gt;")&gt;0,VLOOKUP($C83,EmpAll,COLUMN(Emp!$R$4)+MATCH(P$5,DedListItem,0)-1,0),OFFSET(Setup!$E$73,MATCH(P$5,DedListItem,0),0,1,1)),(MIN(IF(OFFSET(Setup!$G$73,MATCH(P$5,DedListItem,0),0,1,1)="Taxable",SUMPRODUCT((PayEmp=$C83)*(PayDate&lt;=$AC83)*(ISERROR(SEARCH(PayEarnCode,P$4)))*(PayEarnTax)*(PayEarnValues)),SUMPRODUCT((PayEmp=$C83)*(PayDate&lt;=$AC83)*(ISERROR(SEARCH(PayEarnCode,P$4)))*(PayEarnValues))),IF(ISNUMBER(P$3),P$3/12*$AA83,IgnoreMin)))*IF(COUNTIFS(EmpNo,$C83,OFFSET(Emp!$R$4,1,MATCH(P$5,DedListItem,0)-1,EmpCount,1),"&lt;&gt;")&gt;0,VLOOKUP($C83,EmpAll,COLUMN(Emp!$R$4)+MATCH(P$5,DedListItem,0)-1,0),OFFSET(Setup!$E$73,MATCH(P$5,DedListItem,0),0,1,1)))-SUMIFS(OFFSET(P$6,1,0,PayCount,1),PayDate,"&lt;"&amp;$AC83,PayEmp,$C83))))))</f>
        <v>0</v>
      </c>
      <c r="Q83" s="133" cm="1">
        <f t="array" aca="1" ref="Q83" ca="1">IF($F83="Terminated",0,IF($AA83=0,0,IF(ISNA(MATCH(Q$5,DedListItem,0)),0,IF(COUNTIFS(OverEmp,$C83,OverDeduct,Q$5,OverDate,"&lt;"&amp;DATE(YEAR($AC83),MONTH($AC83)+1,1),OverEnd,"&gt;="&amp;DATE(YEAR($AC83),MONTH($AC83),1))&gt;0,SUMIFS(OverValue,OverEmp,$C83,OverDeduct,Q$5,OverDate,"&lt;"&amp;DATE(YEAR($AC83),MONTH($AC83)+1,1),OverEnd,"&gt;="&amp;DATE(YEAR($AC83),MONTH($AC83),1)),IF(OR(Q$2="Fixed",Q$2="Not Used"),(IF(COUNTIFS(EmpNo,$C83,OFFSET(Emp!$R$4,1,MATCH(Q$5,DedListItem,0)-1,EmpCount,1),"&lt;&gt;")&gt;0,VLOOKUP($C83,EmpAll,COLUMN(Emp!$R$4)+MATCH(Q$5,DedListItem,0)-1,0),OFFSET(Setup!$E$73,MATCH(Q$5,DedListItem,0),0,1,1))*$AA83)-SUMIFS(OFFSET(Q$6,1,0,PayCount,1),PayDate,"&lt;"&amp;$AC83,PayEmp,$C83),IF(ISNA(MATCH(Q$2,EarnListItem,0))=FALSE,IF(OFFSET(Setup!$G$73,MATCH(Q$5,DedListItem,0),0,1,1)="Taxable",SUMPRODUCT((PayEmp=$C83)*(PayDate&lt;=$AC83)*(PayEarnCode=Q$2)*(PayEarnTax)*(PayEarnValues)),SUMPRODUCT((PayEmp=$C83)*(PayDate&lt;=$AC83)*(PayEarnCode=Q$2)*(PayEarnValues)))*IF(COUNTIFS(EmpNo,$C83,OFFSET(Emp!$R$4,1,MATCH(Q$5,DedListItem,0)-1,EmpCount,1),"&lt;&gt;")&gt;0,VLOOKUP($C83,EmpAll,COLUMN(Emp!$R$4)+MATCH(Q$5,DedListItem,0)-1,0),OFFSET(Setup!$E$73,MATCH(Q$5,DedListItem,0),0,1,1)),(MIN(IF(OFFSET(Setup!$G$73,MATCH(Q$5,DedListItem,0),0,1,1)="Taxable",SUMPRODUCT((PayEmp=$C83)*(PayDate&lt;=$AC83)*(ISERROR(SEARCH(PayEarnCode,Q$4)))*(PayEarnTax)*(PayEarnValues)),SUMPRODUCT((PayEmp=$C83)*(PayDate&lt;=$AC83)*(ISERROR(SEARCH(PayEarnCode,Q$4)))*(PayEarnValues))),IF(ISNUMBER(Q$3),Q$3/12*$AA83,IgnoreMin)))*IF(COUNTIFS(EmpNo,$C83,OFFSET(Emp!$R$4,1,MATCH(Q$5,DedListItem,0)-1,EmpCount,1),"&lt;&gt;")&gt;0,VLOOKUP($C83,EmpAll,COLUMN(Emp!$R$4)+MATCH(Q$5,DedListItem,0)-1,0),OFFSET(Setup!$E$73,MATCH(Q$5,DedListItem,0),0,1,1)))-SUMIFS(OFFSET(Q$6,1,0,PayCount,1),PayDate,"&lt;"&amp;$AC83,PayEmp,$C83))))))</f>
        <v>0</v>
      </c>
      <c r="R83" s="185">
        <f t="shared" ca="1" si="37"/>
        <v>38675.453333333317</v>
      </c>
      <c r="S83" s="139">
        <f t="shared" ca="1" si="38"/>
        <v>81324.55</v>
      </c>
      <c r="T83" s="133" cm="1">
        <f t="array" aca="1" ref="T83" ca="1">IF($F83="Terminated",0,IF($AA83=0,0,IF(ISNA(MATCH(T$5,CompListItem,0)),0,IF(COUNTIFS(OverEmp,$C83,OverComp,T$5,OverDate,"&lt;"&amp;DATE(YEAR($AC83),MONTH($AC83)+1,1),OverEnd,"&gt;="&amp;DATE(YEAR($AC83),MONTH($AC83),1))&gt;0,SUMIFS(OverValue,OverEmp,$C83,OverComp,T$5,OverDate,"&lt;"&amp;DATE(YEAR($AC83),MONTH($AC83)+1,1),OverEnd,"&gt;="&amp;DATE(YEAR($AC83),MONTH($AC83),1)),IF(OR(T$2="Fixed",T$2="Not Used"),(OFFSET(Setup!$E$81,MATCH(T$5,CompListItem,0),0,1,1)*$AA83)-SUMIFS(OFFSET(T$6,1,0,PayCount,1),PayDate,"&lt;"&amp;$AC83,PayEmp,$C83),IF(ISNA(MATCH(T$2,DedListItem,0))=FALSE,(SUMPRODUCT((PayEmp=$C83)*(PayDate&lt;=$AC83)*(PayDedList=T$2)*(PayDedValues))*OFFSET(Setup!$E$81,MATCH(T$5,CompListItem,0),0,1,1))-SUMIFS(OFFSET(T$6,1,0,PayCount,1),PayDate,"&lt;"&amp;$AC83,PayEmp,$C83),(MIN(IF(OFFSET(Setup!$G$81,MATCH(T$5,CompListItem,0),0,1,1)="Taxable",SUMPRODUCT((PayEmp=$C83)*(PayDate&lt;=$AC83)*(ISERROR(SEARCH(PayEarnCode,T$4)))*(PayEarnTax)*(PayEarnValues)),SUMPRODUCT((PayEmp=$C83)*(PayDate&lt;=$AC83)*(ISERROR(SEARCH(PayEarnCode,T$4)))*(PayEarnValues))),IF(ISNUMBER(T$3),T$3/12*$AA83,IgnoreMin)))*OFFSET(Setup!$E$81,MATCH(T$5,CompListItem,0),0,1,1)-SUMIFS(OFFSET(T$6,1,0,PayCount,1),PayDate,"&lt;"&amp;$AC83,PayEmp,$C83)))))))</f>
        <v>177.12</v>
      </c>
      <c r="U83" s="133" cm="1">
        <f t="array" aca="1" ref="U83" ca="1">IF($F83="Terminated",0,IF($AA83=0,0,IF(ISNA(MATCH(U$5,CompListItem,0)),0,IF(COUNTIFS(OverEmp,$C83,OverComp,U$5,OverDate,"&lt;"&amp;DATE(YEAR($AC83),MONTH($AC83)+1,1),OverEnd,"&gt;="&amp;DATE(YEAR($AC83),MONTH($AC83),1))&gt;0,SUMIFS(OverValue,OverEmp,$C83,OverComp,U$5,OverDate,"&lt;"&amp;DATE(YEAR($AC83),MONTH($AC83)+1,1),OverEnd,"&gt;="&amp;DATE(YEAR($AC83),MONTH($AC83),1)),IF(OR(U$2="Fixed",U$2="Not Used"),(OFFSET(Setup!$E$81,MATCH(U$5,CompListItem,0),0,1,1)*$AA83)-SUMIFS(OFFSET(U$6,1,0,PayCount,1),PayDate,"&lt;"&amp;$AC83,PayEmp,$C83),IF(ISNA(MATCH(U$2,DedListItem,0))=FALSE,(SUMPRODUCT((PayEmp=$C83)*(PayDate&lt;=$AC83)*(PayDedList=U$2)*(PayDedValues))*OFFSET(Setup!$E$81,MATCH(U$5,CompListItem,0),0,1,1))-SUMIFS(OFFSET(U$6,1,0,PayCount,1),PayDate,"&lt;"&amp;$AC83,PayEmp,$C83),(MIN(IF(OFFSET(Setup!$G$81,MATCH(U$5,CompListItem,0),0,1,1)="Taxable",SUMPRODUCT((PayEmp=$C83)*(PayDate&lt;=$AC83)*(ISERROR(SEARCH(PayEarnCode,U$4)))*(PayEarnTax)*(PayEarnValues)),SUMPRODUCT((PayEmp=$C83)*(PayDate&lt;=$AC83)*(ISERROR(SEARCH(PayEarnCode,U$4)))*(PayEarnValues))),IF(ISNUMBER(U$3),U$3/12*$AA83,IgnoreMin)))*OFFSET(Setup!$E$81,MATCH(U$5,CompListItem,0),0,1,1)-SUMIFS(OFFSET(U$6,1,0,PayCount,1),PayDate,"&lt;"&amp;$AC83,PayEmp,$C83)))))))</f>
        <v>1200</v>
      </c>
      <c r="V83" s="133" cm="1">
        <f t="array" aca="1" ref="V83" ca="1">IF($F83="Terminated",0,IF($AA83=0,0,IF(ISNA(MATCH(V$5,CompListItem,0)),0,IF(COUNTIFS(OverEmp,$C83,OverComp,V$5,OverDate,"&lt;"&amp;DATE(YEAR($AC83),MONTH($AC83)+1,1),OverEnd,"&gt;="&amp;DATE(YEAR($AC83),MONTH($AC83),1))&gt;0,SUMIFS(OverValue,OverEmp,$C83,OverComp,V$5,OverDate,"&lt;"&amp;DATE(YEAR($AC83),MONTH($AC83)+1,1),OverEnd,"&gt;="&amp;DATE(YEAR($AC83),MONTH($AC83),1)),IF(OR(V$2="Fixed",V$2="Not Used"),(OFFSET(Setup!$E$81,MATCH(V$5,CompListItem,0),0,1,1)*$AA83)-SUMIFS(OFFSET(V$6,1,0,PayCount,1),PayDate,"&lt;"&amp;$AC83,PayEmp,$C83),IF(ISNA(MATCH(V$2,DedListItem,0))=FALSE,(SUMPRODUCT((PayEmp=$C83)*(PayDate&lt;=$AC83)*(PayDedList=V$2)*(PayDedValues))*OFFSET(Setup!$E$81,MATCH(V$5,CompListItem,0),0,1,1))-SUMIFS(OFFSET(V$6,1,0,PayCount,1),PayDate,"&lt;"&amp;$AC83,PayEmp,$C83),(MIN(IF(OFFSET(Setup!$G$81,MATCH(V$5,CompListItem,0),0,1,1)="Taxable",SUMPRODUCT((PayEmp=$C83)*(PayDate&lt;=$AC83)*(ISERROR(SEARCH(PayEarnCode,V$4)))*(PayEarnTax)*(PayEarnValues)),SUMPRODUCT((PayEmp=$C83)*(PayDate&lt;=$AC83)*(ISERROR(SEARCH(PayEarnCode,V$4)))*(PayEarnValues))),IF(ISNUMBER(V$3),V$3/12*$AA83,IgnoreMin)))*OFFSET(Setup!$E$81,MATCH(V$5,CompListItem,0),0,1,1)-SUMIFS(OFFSET(V$6,1,0,PayCount,1),PayDate,"&lt;"&amp;$AC83,PayEmp,$C83)))))))</f>
        <v>0</v>
      </c>
      <c r="W83" s="133" cm="1">
        <f t="array" aca="1" ref="W83" ca="1">IF($F83="Terminated",0,IF($AA83=0,0,IF(ISNA(MATCH(W$5,CompListItem,0)),0,IF(COUNTIFS(OverEmp,$C83,OverComp,W$5,OverDate,"&lt;"&amp;DATE(YEAR($AC83),MONTH($AC83)+1,1),OverEnd,"&gt;="&amp;DATE(YEAR($AC83),MONTH($AC83),1))&gt;0,SUMIFS(OverValue,OverEmp,$C83,OverComp,W$5,OverDate,"&lt;"&amp;DATE(YEAR($AC83),MONTH($AC83)+1,1),OverEnd,"&gt;="&amp;DATE(YEAR($AC83),MONTH($AC83),1)),IF(OR(W$2="Fixed",W$2="Not Used"),(OFFSET(Setup!$E$81,MATCH(W$5,CompListItem,0),0,1,1)*$AA83)-SUMIFS(OFFSET(W$6,1,0,PayCount,1),PayDate,"&lt;"&amp;$AC83,PayEmp,$C83),IF(ISNA(MATCH(W$2,DedListItem,0))=FALSE,(SUMPRODUCT((PayEmp=$C83)*(PayDate&lt;=$AC83)*(PayDedList=W$2)*(PayDedValues))*OFFSET(Setup!$E$81,MATCH(W$5,CompListItem,0),0,1,1))-SUMIFS(OFFSET(W$6,1,0,PayCount,1),PayDate,"&lt;"&amp;$AC83,PayEmp,$C83),(MIN(IF(OFFSET(Setup!$G$81,MATCH(W$5,CompListItem,0),0,1,1)="Taxable",SUMPRODUCT((PayEmp=$C83)*(PayDate&lt;=$AC83)*(ISERROR(SEARCH(PayEarnCode,W$4)))*(PayEarnTax)*(PayEarnValues)),SUMPRODUCT((PayEmp=$C83)*(PayDate&lt;=$AC83)*(ISERROR(SEARCH(PayEarnCode,W$4)))*(PayEarnValues))),IF(ISNUMBER(W$3),W$3/12*$AA83,IgnoreMin)))*OFFSET(Setup!$E$81,MATCH(W$5,CompListItem,0),0,1,1)-SUMIFS(OFFSET(W$6,1,0,PayCount,1),PayDate,"&lt;"&amp;$AC83,PayEmp,$C83)))))))</f>
        <v>0</v>
      </c>
      <c r="X83" s="185">
        <f t="shared" ca="1" si="30"/>
        <v>1377.12</v>
      </c>
      <c r="Y83" s="139">
        <f t="shared" ca="1" si="39"/>
        <v>121377.12</v>
      </c>
      <c r="Z83" s="139">
        <f t="shared" ca="1" si="31"/>
        <v>40052.57</v>
      </c>
      <c r="AA83" s="146">
        <f ca="1">IF(OR($B83&lt;=Setup!$E$12,$B83&gt;=Setup!$D$12+1),0,IF($F83&lt;&gt;"Active",0,IF($AE83="Yes",$AB83,((YEAR($AC83)*12)+MONTH($AC83))-((YEAR($AD83)*12)+MONTH($AD83)-1))))</f>
        <v>6</v>
      </c>
      <c r="AB83" s="146">
        <f ca="1">IF(OR($B83&lt;=Setup!$E$12,$B83&gt;=Setup!$D$12+1),0,((YEAR($AC83)*12)+MONTH($AC83))-((YEAR(Setup!$E$12)*12)+MONTH(Setup!$E$12)))</f>
        <v>6</v>
      </c>
      <c r="AC83" s="186">
        <f t="shared" ca="1" si="32"/>
        <v>45163</v>
      </c>
      <c r="AD83" s="144">
        <f ca="1">IF(ISNA(VLOOKUP($C83,EmpAll,COLUMN(Emp!$E$4),0)),$AC83,IF(VLOOKUP($C83,EmpAll,COLUMN(Emp!$E$4),0)&lt;=Setup!$E$12,DATE(YEAR(Setup!$E$12),MONTH(Setup!$E$12)+1,1),VLOOKUP($C83,EmpAll,COLUMN(Emp!$E$4),0)))</f>
        <v>44986</v>
      </c>
      <c r="AE83" s="144" t="str">
        <f ca="1">IF(ISNA(VLOOKUP($C83,EmpAll,COLUMN(Emp!$G$1),0)),"-",IF(VLOOKUP($C83,EmpAll,COLUMN(Emp!$G$1),0)=0,"-",VLOOKUP($C83,EmpAll,COLUMN(Emp!$G$1),0)))</f>
        <v>-</v>
      </c>
      <c r="AF83" s="145">
        <f ca="1">IF(A83=PaySlip!$G$3,1,0)</f>
        <v>0</v>
      </c>
      <c r="AG83" s="130" cm="1">
        <f t="array" aca="1" ref="AG83" ca="1">IF(COUNTIFS(OverEmp,$C83,OverMed,"MED",OverDate,"&lt;"&amp;DATE(YEAR($AC83),MONTH($AC83)+1,1),OverEnd,"&gt;="&amp;DATE(YEAR($AC83),MONTH($AC83),1))&gt;0,SUMIFS(OverValue,OverEmp,$C83,OverMed,"MED",OverDate,"&lt;"&amp;DATE(YEAR($AC83),MONTH($AC83)+1,1),OverEnd,"&gt;="&amp;DATE(YEAR($AC83),MONTH($AC83),1)),IF(ISNA(VLOOKUP($C83,EmpAll,COLUMN(Emp!$N$4),0)),0,VLOOKUP($C83,EmpAll,COLUMN(Emp!$N$4),0)))</f>
        <v>3</v>
      </c>
      <c r="AH83" s="146">
        <f ca="1">VLOOKUP($AG83,MedList,COLUMN(Setup!$C$49),1)</f>
        <v>974</v>
      </c>
      <c r="AI83" s="146">
        <f t="shared" ca="1" si="40"/>
        <v>10704</v>
      </c>
      <c r="AJ83" s="101" t="str">
        <f ca="1">IF(ISNA(VLOOKUP($C83,EmpAll,COLUMN(Emp!$L$4),0)),"None!",VLOOKUP($C83,EmpAll,COLUMN(Emp!$L$4),0))</f>
        <v>A</v>
      </c>
      <c r="AK83" s="147">
        <f t="shared" ca="1" si="33"/>
        <v>17235</v>
      </c>
      <c r="AL83" s="101" t="str">
        <f ca="1">IF(ISNA(VLOOKUP($C83,Employees[],COLUMN(Emp!$M$4),0))=TRUE,"Error!",IF(VLOOKUP($C83,Employees[],COLUMN(Emp!$M$4),0)=0,"Yes",VLOOKUP($C83,Employees[],COLUMN(Emp!$M$4),0)))</f>
        <v>A</v>
      </c>
      <c r="AM83" s="148">
        <f t="shared" ca="1" si="41"/>
        <v>1440000</v>
      </c>
      <c r="AN83" s="148" cm="1">
        <f t="array" aca="1" ref="AN83" ca="1">-IF($F83="Terminated",0,IF($AA83=0,0,IF(ISNA(MATCH(AN$5,PayDedList,0)),0,MIN(IF(COUNTIFS(OverEmp,$C83,OverDeduct,AN$5,OverDate,"&lt;"&amp;DATE(YEAR($AC83),MONTH($AC83)+1,1),OverEnd,"&gt;="&amp;DATE(YEAR($AC83),MONTH($AC83),1))&gt;0,SUMPRODUCT((PayEmp=$C83)*(PayDate&lt;=$AC83)*(OFFSET($N$6,1,MATCH(AN$5,PayDedList,0)-1,PayCount,1)))/$AA83*12*AN$3,IF(OR(AN$1="Fixed",AN$1="Not Used"),SUMPRODUCT((PayEmp=$C83)*(PayDate&lt;=$AC83)*(OFFSET($N$6,1,MATCH(AN$5,PayDedList,0)-1,PayCount,1)))/$AA83*12*AN$3,IF(ISNA(MATCH(AN$1,EarnListItem,0))=FALSE,SUMPRODUCT((PayEmp=$C83)*(PayDate&lt;=$AC83)*(OFFSET($N$6,1,MATCH(AN$5,PayDedList,0)-1,PayCount,1)))/$AA83*12*AN$3,(MIN(((SUMPRODUCT((PayEmp=$C83)*(PayDate&lt;=$AC83)*(ISERROR(SEARCH(PayEarnCode,AN$2)))*(PayEarnType="Monthly")*(PayEarnValues))/$AA83*12)+(SUMPRODUCT((PayEmp=$C83)*(PayDate&lt;=$AC83)*(ISERROR(SEARCH(PayEarnCode,AN$2)))*(PayEarnType="Quarterly")*(PayEarnValues))/MAX(1,ROUNDDOWN($AB83/3,0))*4)+(SUMPRODUCT((PayEmp=$C83)*(PayDate&lt;=$AC83)*(ISERROR(SEARCH(PayEarnCode,AN$2)))*(PayEarnType="Bi-Annual")*(PayEarnValues))/MAX(1,ROUNDDOWN($AB83/6,0))*2)+(SUMPRODUCT((PayEmp=$C83)*(PayDate&lt;=$AC83)*(ISERROR(SEARCH(PayEarnCode,AN$2)))*(PayEarnType="Annual")*(PayEarnValues)))),IF(ISNUMBER(OFFSET($N$3,0,MATCH(AN$5,PayDedList,0)-1,1,1)),OFFSET($N$3,0,MATCH(AN$5,PayDedList,0)-1,1,1),IgnoreMin)))*IF(COUNTIFS(EmpNo,$C83,OFFSET(Emp!$R$4,1,MATCH(AN$5,DedListItem,0)-1,EmpCount,1),"&lt;&gt;")&gt;0,VLOOKUP($C83,EmpAll,COLUMN(Emp!$R$4)+MATCH(AN$5,DedListItem,0)-1,0),OFFSET(Setup!$E$73,MATCH(AN$5,DedListItem,0),0,1,1))*AN$3))),IF(ISNUMBER(AN$4),AN$4,IgnoreMin)))))</f>
        <v>0</v>
      </c>
      <c r="AO83" s="148" cm="1">
        <f t="array" aca="1" ref="AO83" ca="1">-IF($F83="Terminated",0,IF($AA83=0,0,IF(ISNA(MATCH(AO$5,PayDedList,0)),0,MIN(IF(COUNTIFS(OverEmp,$C83,OverDeduct,AO$5,OverDate,"&lt;"&amp;DATE(YEAR($AC83),MONTH($AC83)+1,1),OverEnd,"&gt;="&amp;DATE(YEAR($AC83),MONTH($AC83),1))&gt;0,SUMPRODUCT((PayEmp=$C83)*(PayDate&lt;=$AC83)*(OFFSET($N$6,1,MATCH(AO$5,PayDedList,0)-1,PayCount,1)))/$AA83*12*AO$3,IF(OR(AO$1="Fixed",AO$1="Not Used"),SUMPRODUCT((PayEmp=$C83)*(PayDate&lt;=$AC83)*(OFFSET($N$6,1,MATCH(AO$5,PayDedList,0)-1,PayCount,1)))/$AA83*12*AO$3,IF(ISNA(MATCH(AO$1,EarnListItem,0))=FALSE,SUMPRODUCT((PayEmp=$C83)*(PayDate&lt;=$AC83)*(OFFSET($N$6,1,MATCH(AO$5,PayDedList,0)-1,PayCount,1)))/$AA83*12*AO$3,(MIN(((SUMPRODUCT((PayEmp=$C83)*(PayDate&lt;=$AC83)*(ISERROR(SEARCH(PayEarnCode,AO$2)))*(PayEarnType="Monthly")*(PayEarnValues))/$AA83*12)+(SUMPRODUCT((PayEmp=$C83)*(PayDate&lt;=$AC83)*(ISERROR(SEARCH(PayEarnCode,AO$2)))*(PayEarnType="Quarterly")*(PayEarnValues))/MAX(1,ROUNDDOWN($AB83/3,0))*4)+(SUMPRODUCT((PayEmp=$C83)*(PayDate&lt;=$AC83)*(ISERROR(SEARCH(PayEarnCode,AO$2)))*(PayEarnType="Bi-Annual")*(PayEarnValues))/MAX(1,ROUNDDOWN($AB83/6,0))*2)+(SUMPRODUCT((PayEmp=$C83)*(PayDate&lt;=$AC83)*(ISERROR(SEARCH(PayEarnCode,AO$2)))*(PayEarnType="Annual")*(PayEarnValues)))),IF(ISNUMBER(OFFSET($N$3,0,MATCH(AO$5,PayDedList,0)-1,1,1)),OFFSET($N$3,0,MATCH(AO$5,PayDedList,0)-1,1,1),IgnoreMin)))*IF(COUNTIFS(EmpNo,$C83,OFFSET(Emp!$R$4,1,MATCH(AO$5,DedListItem,0)-1,EmpCount,1),"&lt;&gt;")&gt;0,VLOOKUP($C83,EmpAll,COLUMN(Emp!$R$4)+MATCH(AO$5,DedListItem,0)-1,0),OFFSET(Setup!$E$73,MATCH(AO$5,DedListItem,0),0,1,1))*AO$3))),IF(ISNUMBER(AO$4),AO$4,IgnoreMin)))))</f>
        <v>0</v>
      </c>
      <c r="AP83" s="148" cm="1">
        <f t="array" aca="1" ref="AP83" ca="1">-IF($F83="Terminated",0,IF($AA83=0,0,IF(ISNA(MATCH(AP$5,PayDedList,0)),0,MIN(IF(COUNTIFS(OverEmp,$C83,OverDeduct,AP$5,OverDate,"&lt;"&amp;DATE(YEAR($AC83),MONTH($AC83)+1,1),OverEnd,"&gt;="&amp;DATE(YEAR($AC83),MONTH($AC83),1))&gt;0,SUMPRODUCT((PayEmp=$C83)*(PayDate&lt;=$AC83)*(OFFSET($N$6,1,MATCH(AP$5,PayDedList,0)-1,PayCount,1)))/$AA83*12*AP$3,IF(OR(AP$1="Fixed",AP$1="Not Used"),SUMPRODUCT((PayEmp=$C83)*(PayDate&lt;=$AC83)*(OFFSET($N$6,1,MATCH(AP$5,PayDedList,0)-1,PayCount,1)))/$AA83*12*AP$3,IF(ISNA(MATCH(AP$1,EarnListItem,0))=FALSE,SUMPRODUCT((PayEmp=$C83)*(PayDate&lt;=$AC83)*(OFFSET($N$6,1,MATCH(AP$5,PayDedList,0)-1,PayCount,1)))/$AA83*12*AP$3,(MIN(((SUMPRODUCT((PayEmp=$C83)*(PayDate&lt;=$AC83)*(ISERROR(SEARCH(PayEarnCode,AP$2)))*(PayEarnType="Monthly")*(PayEarnValues))/$AA83*12)+(SUMPRODUCT((PayEmp=$C83)*(PayDate&lt;=$AC83)*(ISERROR(SEARCH(PayEarnCode,AP$2)))*(PayEarnType="Quarterly")*(PayEarnValues))/MAX(1,ROUNDDOWN($AB83/3,0))*4)+(SUMPRODUCT((PayEmp=$C83)*(PayDate&lt;=$AC83)*(ISERROR(SEARCH(PayEarnCode,AP$2)))*(PayEarnType="Bi-Annual")*(PayEarnValues))/MAX(1,ROUNDDOWN($AB83/6,0))*2)+(SUMPRODUCT((PayEmp=$C83)*(PayDate&lt;=$AC83)*(ISERROR(SEARCH(PayEarnCode,AP$2)))*(PayEarnType="Annual")*(PayEarnValues)))),IF(ISNUMBER(OFFSET($N$3,0,MATCH(AP$5,PayDedList,0)-1,1,1)),OFFSET($N$3,0,MATCH(AP$5,PayDedList,0)-1,1,1),IgnoreMin)))*IF(COUNTIFS(EmpNo,$C83,OFFSET(Emp!$R$4,1,MATCH(AP$5,DedListItem,0)-1,EmpCount,1),"&lt;&gt;")&gt;0,VLOOKUP($C83,EmpAll,COLUMN(Emp!$R$4)+MATCH(AP$5,DedListItem,0)-1,0),OFFSET(Setup!$E$73,MATCH(AP$5,DedListItem,0),0,1,1))*AP$3))),IF(ISNUMBER(AP$4),AP$4,IgnoreMin)))))</f>
        <v>0</v>
      </c>
      <c r="AQ83" s="148" cm="1">
        <f t="array" aca="1" ref="AQ83" ca="1">-IF($F83="Terminated",0,IF($AA83=0,0,IF(ISNA(MATCH(AQ$5,PayDedList,0)),0,MIN(IF(COUNTIFS(OverEmp,$C83,OverDeduct,AQ$5,OverDate,"&lt;"&amp;DATE(YEAR($AC83),MONTH($AC83)+1,1),OverEnd,"&gt;="&amp;DATE(YEAR($AC83),MONTH($AC83),1))&gt;0,SUMPRODUCT((PayEmp=$C83)*(PayDate&lt;=$AC83)*(OFFSET($N$6,1,MATCH(AQ$5,PayDedList,0)-1,PayCount,1)))/$AA83*12*AQ$3,IF(OR(AQ$1="Fixed",AQ$1="Not Used"),SUMPRODUCT((PayEmp=$C83)*(PayDate&lt;=$AC83)*(OFFSET($N$6,1,MATCH(AQ$5,PayDedList,0)-1,PayCount,1)))/$AA83*12*AQ$3,IF(ISNA(MATCH(AQ$1,EarnListItem,0))=FALSE,SUMPRODUCT((PayEmp=$C83)*(PayDate&lt;=$AC83)*(OFFSET($N$6,1,MATCH(AQ$5,PayDedList,0)-1,PayCount,1)))/$AA83*12*AQ$3,(MIN(((SUMPRODUCT((PayEmp=$C83)*(PayDate&lt;=$AC83)*(ISERROR(SEARCH(PayEarnCode,AQ$2)))*(PayEarnType="Monthly")*(PayEarnValues))/$AA83*12)+(SUMPRODUCT((PayEmp=$C83)*(PayDate&lt;=$AC83)*(ISERROR(SEARCH(PayEarnCode,AQ$2)))*(PayEarnType="Quarterly")*(PayEarnValues))/MAX(1,ROUNDDOWN($AB83/3,0))*4)+(SUMPRODUCT((PayEmp=$C83)*(PayDate&lt;=$AC83)*(ISERROR(SEARCH(PayEarnCode,AQ$2)))*(PayEarnType="Bi-Annual")*(PayEarnValues))/MAX(1,ROUNDDOWN($AB83/6,0))*2)+(SUMPRODUCT((PayEmp=$C83)*(PayDate&lt;=$AC83)*(ISERROR(SEARCH(PayEarnCode,AQ$2)))*(PayEarnType="Annual")*(PayEarnValues)))),IF(ISNUMBER(OFFSET($N$3,0,MATCH(AQ$5,PayDedList,0)-1,1,1)),OFFSET($N$3,0,MATCH(AQ$5,PayDedList,0)-1,1,1),IgnoreMin)))*IF(COUNTIFS(EmpNo,$C83,OFFSET(Emp!$R$4,1,MATCH(AQ$5,DedListItem,0)-1,EmpCount,1),"&lt;&gt;")&gt;0,VLOOKUP($C83,EmpAll,COLUMN(Emp!$R$4)+MATCH(AQ$5,DedListItem,0)-1,0),OFFSET(Setup!$E$73,MATCH(AQ$5,DedListItem,0),0,1,1))*AQ$3))),IF(ISNUMBER(AQ$4),AQ$4,IgnoreMin)))))</f>
        <v>0</v>
      </c>
      <c r="AR83" s="148">
        <f t="shared" ca="1" si="34"/>
        <v>1440000</v>
      </c>
      <c r="AS83" s="148">
        <f t="shared" ca="1" si="42"/>
        <v>1440000</v>
      </c>
      <c r="AT83" s="148" cm="1">
        <f t="array" aca="1" ref="AT83" ca="1">-IF($F83="Terminated",0,IF($AA83=0,0,IF(ISNA(MATCH(AT$5,PayDedList,0)),0,MIN(IF(COUNTIFS(OverEmp,$C83,OverDeduct,AT$5,OverDate,"&lt;"&amp;DATE(YEAR($AC83),MONTH($AC83)+1,1),OverEnd,"&gt;="&amp;DATE(YEAR($AC83),MONTH($AC83),1))&gt;0,SUMPRODUCT((PayEmp=$C83)*(PayDate&lt;=$AC83)*(OFFSET($N$6,1,MATCH(AT$5,PayDedList,0)-1,PayCount,1)))/$AA83*12*AT$3,IF(OR(AT$1="Fixed",AT$1="Not Used"),SUMPRODUCT((PayEmp=$C83)*(PayDate&lt;=$AC83)*(OFFSET($N$6,1,MATCH(AT$5,PayDedList,0)-1,PayCount,1)))/$AA83*12*AT$3,IF(ISNA(MATCH(OFFSET($N$2,0,MATCH(AT$5,PayDedList,0)-1,1,1),EarnListItem,0))=FALSE,SUMPRODUCT((PayEmp=$C83)*(PayDate&lt;=$AC83)*(OFFSET($N$6,1,MATCH(AT$5,PayDedList,0)-1,PayCount,1)))/$AA83*12*AT$3,(MIN(SUMPRODUCT((PayEmp=$C83)*(PayDate&lt;=$AC83)*(ISERROR(SEARCH(PayEarnCode,AT$2)))*(PayEarnType="Monthly")*(PayEarnValues))/$AA83*12,IF(ISNUMBER(OFFSET($N$3,0,MATCH(AT$5,PayDedList,0)-1,1,1)),OFFSET($N$3,0,MATCH(AT$5,PayDedList,0)-1,1,1),IgnoreMin)))*IF(COUNTIFS(EmpNo,$C83,OFFSET(Emp!$R$4,1,MATCH(AT$5,DedListItem,0)-1,EmpCount,1),"&lt;&gt;")&gt;0,VLOOKUP($C83,EmpAll,COLUMN(Emp!$R$4)+MATCH(AT$5,DedListItem,0)-1,0),OFFSET(Setup!$E$73,MATCH(AT$5,DedListItem,0),0,1,1))*AT$3))),IF(ISNUMBER(AT$4),AT$4,IgnoreMin)))))</f>
        <v>0</v>
      </c>
      <c r="AU83" s="148" cm="1">
        <f t="array" aca="1" ref="AU83" ca="1">-IF($F83="Terminated",0,IF($AA83=0,0,IF(ISNA(MATCH(AU$5,PayDedList,0)),0,MIN(IF(COUNTIFS(OverEmp,$C83,OverDeduct,AU$5,OverDate,"&lt;"&amp;DATE(YEAR($AC83),MONTH($AC83)+1,1),OverEnd,"&gt;="&amp;DATE(YEAR($AC83),MONTH($AC83),1))&gt;0,SUMPRODUCT((PayEmp=$C83)*(PayDate&lt;=$AC83)*(OFFSET($N$6,1,MATCH(AU$5,PayDedList,0)-1,PayCount,1)))/$AA83*12*AU$3,IF(OR(AU$1="Fixed",AU$1="Not Used"),SUMPRODUCT((PayEmp=$C83)*(PayDate&lt;=$AC83)*(OFFSET($N$6,1,MATCH(AU$5,PayDedList,0)-1,PayCount,1)))/$AA83*12*AU$3,IF(ISNA(MATCH(OFFSET($N$2,0,MATCH(AU$5,PayDedList,0)-1,1,1),EarnListItem,0))=FALSE,SUMPRODUCT((PayEmp=$C83)*(PayDate&lt;=$AC83)*(OFFSET($N$6,1,MATCH(AU$5,PayDedList,0)-1,PayCount,1)))/$AA83*12*AU$3,(MIN(SUMPRODUCT((PayEmp=$C83)*(PayDate&lt;=$AC83)*(ISERROR(SEARCH(PayEarnCode,AU$2)))*(PayEarnType="Monthly")*(PayEarnValues))/$AA83*12,IF(ISNUMBER(OFFSET($N$3,0,MATCH(AU$5,PayDedList,0)-1,1,1)),OFFSET($N$3,0,MATCH(AU$5,PayDedList,0)-1,1,1),IgnoreMin)))*IF(COUNTIFS(EmpNo,$C83,OFFSET(Emp!$R$4,1,MATCH(AU$5,DedListItem,0)-1,EmpCount,1),"&lt;&gt;")&gt;0,VLOOKUP($C83,EmpAll,COLUMN(Emp!$R$4)+MATCH(AU$5,DedListItem,0)-1,0),OFFSET(Setup!$E$73,MATCH(AU$5,DedListItem,0),0,1,1))*AU$3))),IF(ISNUMBER(AU$4),AU$4,IgnoreMin)))))</f>
        <v>0</v>
      </c>
      <c r="AV83" s="148" cm="1">
        <f t="array" aca="1" ref="AV83" ca="1">-IF($F83="Terminated",0,IF($AA83=0,0,IF(ISNA(MATCH(AV$5,PayDedList,0)),0,MIN(IF(COUNTIFS(OverEmp,$C83,OverDeduct,AV$5,OverDate,"&lt;"&amp;DATE(YEAR($AC83),MONTH($AC83)+1,1),OverEnd,"&gt;="&amp;DATE(YEAR($AC83),MONTH($AC83),1))&gt;0,SUMPRODUCT((PayEmp=$C83)*(PayDate&lt;=$AC83)*(OFFSET($N$6,1,MATCH(AV$5,PayDedList,0)-1,PayCount,1)))/$AA83*12*AV$3,IF(OR(AV$1="Fixed",AV$1="Not Used"),SUMPRODUCT((PayEmp=$C83)*(PayDate&lt;=$AC83)*(OFFSET($N$6,1,MATCH(AV$5,PayDedList,0)-1,PayCount,1)))/$AA83*12*AV$3,IF(ISNA(MATCH(OFFSET($N$2,0,MATCH(AV$5,PayDedList,0)-1,1,1),EarnListItem,0))=FALSE,SUMPRODUCT((PayEmp=$C83)*(PayDate&lt;=$AC83)*(OFFSET($N$6,1,MATCH(AV$5,PayDedList,0)-1,PayCount,1)))/$AA83*12*AV$3,(MIN(SUMPRODUCT((PayEmp=$C83)*(PayDate&lt;=$AC83)*(ISERROR(SEARCH(PayEarnCode,AV$2)))*(PayEarnType="Monthly")*(PayEarnValues))/$AA83*12,IF(ISNUMBER(OFFSET($N$3,0,MATCH(AV$5,PayDedList,0)-1,1,1)),OFFSET($N$3,0,MATCH(AV$5,PayDedList,0)-1,1,1),IgnoreMin)))*IF(COUNTIFS(EmpNo,$C83,OFFSET(Emp!$R$4,1,MATCH(AV$5,DedListItem,0)-1,EmpCount,1),"&lt;&gt;")&gt;0,VLOOKUP($C83,EmpAll,COLUMN(Emp!$R$4)+MATCH(AV$5,DedListItem,0)-1,0),OFFSET(Setup!$E$73,MATCH(AV$5,DedListItem,0),0,1,1))*AV$3))),IF(ISNUMBER(AV$4),AV$4,IgnoreMin)))))</f>
        <v>0</v>
      </c>
      <c r="AW83" s="148" cm="1">
        <f t="array" aca="1" ref="AW83" ca="1">-IF($F83="Terminated",0,IF($AA83=0,0,IF(ISNA(MATCH(AW$5,PayDedList,0)),0,MIN(IF(COUNTIFS(OverEmp,$C83,OverDeduct,AW$5,OverDate,"&lt;"&amp;DATE(YEAR($AC83),MONTH($AC83)+1,1),OverEnd,"&gt;="&amp;DATE(YEAR($AC83),MONTH($AC83),1))&gt;0,SUMPRODUCT((PayEmp=$C83)*(PayDate&lt;=$AC83)*(OFFSET($N$6,1,MATCH(AW$5,PayDedList,0)-1,PayCount,1)))/$AA83*12*AW$3,IF(OR(AW$1="Fixed",AW$1="Not Used"),SUMPRODUCT((PayEmp=$C83)*(PayDate&lt;=$AC83)*(OFFSET($N$6,1,MATCH(AW$5,PayDedList,0)-1,PayCount,1)))/$AA83*12*AW$3,IF(ISNA(MATCH(OFFSET($N$2,0,MATCH(AW$5,PayDedList,0)-1,1,1),EarnListItem,0))=FALSE,SUMPRODUCT((PayEmp=$C83)*(PayDate&lt;=$AC83)*(OFFSET($N$6,1,MATCH(AW$5,PayDedList,0)-1,PayCount,1)))/$AA83*12*AW$3,(MIN(SUMPRODUCT((PayEmp=$C83)*(PayDate&lt;=$AC83)*(ISERROR(SEARCH(PayEarnCode,AW$2)))*(PayEarnType="Monthly")*(PayEarnValues))/$AA83*12,IF(ISNUMBER(OFFSET($N$3,0,MATCH(AW$5,PayDedList,0)-1,1,1)),OFFSET($N$3,0,MATCH(AW$5,PayDedList,0)-1,1,1),IgnoreMin)))*IF(COUNTIFS(EmpNo,$C83,OFFSET(Emp!$R$4,1,MATCH(AW$5,DedListItem,0)-1,EmpCount,1),"&lt;&gt;")&gt;0,VLOOKUP($C83,EmpAll,COLUMN(Emp!$R$4)+MATCH(AW$5,DedListItem,0)-1,0),OFFSET(Setup!$E$73,MATCH(AW$5,DedListItem,0),0,1,1))*AW$3))),IF(ISNUMBER(AW$4),AW$4,IgnoreMin)))))</f>
        <v>0</v>
      </c>
      <c r="AX83" s="148">
        <f t="shared" ca="1" si="43"/>
        <v>1440000</v>
      </c>
      <c r="AY83" s="148">
        <f t="shared" ca="1" si="44"/>
        <v>0</v>
      </c>
      <c r="AZ83" s="148">
        <f ca="1">IF(ISNUMBER($AL83),($AR83*$AL83)-$AI83-$AK83,MAX(0,IF($AL83="B",IF($AR83&lt;Setup!$C$32,($AR83*Setup!$D$32)-$AI83-$AK83,(($AR83-VLOOKUP($AR83,TaxAll2,1,1))*OFFSET(Setup!$D$32,MATCH($AR83,TaxBracket2,1),0,1,1))+OFFSET(Setup!$E$31,MATCH($AR83,TaxBracket2,1),0,1,1)-$AI83-$AK83),IF($AR83&lt;Setup!$C$21,($AR83*Setup!$D$21)-$AI83-$AK83,(($AR83-VLOOKUP($AR83,TaxAll1,1,1))*OFFSET(Setup!$D$21,MATCH($AR83,TaxBracket1,1),0,1,1))+OFFSET(Setup!$E$20,MATCH($AR83,TaxBracket1,1),0,1,1)-$AI83-$AK83))))</f>
        <v>461980</v>
      </c>
      <c r="BA83" s="148">
        <f ca="1">IF(ISNUMBER($AL83),($AX83*$AL83)-$AI83-$AK83,MAX(0,IF($AL83="B",IF($AX83&lt;Setup!$C$32,($AX83*Setup!$D$32)-$AI83-$AK83,(($AX83-VLOOKUP($AX83,TaxAll2,1,1))*OFFSET(Setup!$D$32,MATCH($AX83,TaxBracket2,1),0,1,1))+OFFSET(Setup!$E$31,MATCH($AX83,TaxBracket2,1),0,1,1)-$AI83-$AK83),IF($AX83&lt;Setup!$C$21,($AX83*Setup!$D$21)-$AI83-$AK83,(($AX83-VLOOKUP($AX83,TaxAll1,1,1))*OFFSET(Setup!$D$21,MATCH($AX83,TaxBracket1,1),0,1,1))+OFFSET(Setup!$E$20,MATCH($AX83,TaxBracket1,1),0,1,1)-$AI83-$AK83))))</f>
        <v>461980</v>
      </c>
      <c r="BB83" s="148">
        <f t="shared" ca="1" si="35"/>
        <v>0</v>
      </c>
      <c r="BC83" s="150">
        <f t="shared" ca="1" si="45"/>
        <v>1</v>
      </c>
      <c r="BD83" s="150">
        <f t="shared" ca="1" si="46"/>
        <v>0</v>
      </c>
      <c r="BE83" s="148">
        <f t="shared" ca="1" si="47"/>
        <v>1440000</v>
      </c>
    </row>
    <row r="84" spans="1:57" ht="16.149999999999999" customHeight="1" x14ac:dyDescent="0.25">
      <c r="A84" s="10" t="str" cm="1">
        <f t="array" aca="1" ref="A84" ca="1">IF(ROW($A84)-ROW($A$6)&gt;EmpCount*12,"-",TEXT($B84,"yyyy")&amp;TEXT($B84,"mm")&amp;"-"&amp;$C84)</f>
        <v>202308-EXS003</v>
      </c>
      <c r="B84" s="137" cm="1">
        <f t="array" aca="1" ref="B84" ca="1">IF(ROW($A84)-ROW($A$6)&gt;EmpCount*12,Setup!$D$12,DATE(YEAR(Setup!$F$12),MONTH(Setup!$F$12)+ROUNDDOWN((ROW($A84)-ROW($A$6)-1)/EmpCount,0),IF(Setup!$C$14&gt;DAY(DATE(YEAR(Setup!$F$12),MONTH(Setup!$F$12)+ROUNDDOWN((ROW($A84)-ROW($A$6)-1)/EmpCount,0)+1,0)),DAY(DATE(YEAR(Setup!$F$12),MONTH(Setup!$F$12)+ROUNDDOWN((ROW($A84)-ROW($A$6)-1)/EmpCount,0)+1,0)),Setup!$C$14)))</f>
        <v>45163</v>
      </c>
      <c r="C84" s="101" t="str" cm="1">
        <f t="array" aca="1" ref="C84" ca="1">IF(ROW($A84)-ROW($A$6)&gt;EmpCount*12,"-",OFFSET(Emp!$A$4,ROW($A84)-ROW($A$6)-IF(ROW($A84)-ROW($A$6)&gt;EmpCount,ROUNDDOWN((ROW($A84)-ROW($A$6)-1)/EmpCount,0)*EmpCount,0),0,1,1))</f>
        <v>EXS003</v>
      </c>
      <c r="D84" s="10" t="str">
        <f ca="1">IF(ISNA(VLOOKUP($C84,EmpAll,COLUMN(Emp!$B$4),0)),"-",VLOOKUP($C84,EmpAll,COLUMN(Emp!$B$4),0))</f>
        <v>Wilson PG</v>
      </c>
      <c r="E84" s="145" t="str">
        <f ca="1">IF(ISNA(VLOOKUP($C84,EmpAll,COLUMN(Emp!$C$4),0)),"-",VLOOKUP($C84,EmpAll,COLUMN(Emp!$C$4),0))</f>
        <v>S</v>
      </c>
      <c r="F84" s="101" t="str">
        <f ca="1">IF(ISNA(VLOOKUP($C84,EmpAll,COLUMN(Emp!$A$4),0)),"-",IF(AND(VLOOKUP($C84,EmpAll,COLUMN(Emp!$E$4),0)&lt;&gt;0,VLOOKUP($C84,EmpAll,COLUMN(Emp!$E$4),0)&gt;=DATE(YEAR($AC84),MONTH($AC84)+1,0)),"Inactive",IF(AND(VLOOKUP($C84,EmpAll,COLUMN(Emp!$F$4),0)&lt;&gt;0,VLOOKUP($C84,EmpAll,COLUMN(Emp!$F$4),0)&lt;=DATE(YEAR($AC84),MONTH($AC84),0)),"Terminated","Active")))</f>
        <v>Active</v>
      </c>
      <c r="G84" s="133" cm="1">
        <f t="array" aca="1" ref="G84" ca="1">IF($F84&lt;&gt;"Active",0,IF(COUNTIFS(OverEmp,$C84,OverEarn,G$2,OverDate,"&lt;"&amp;DATE(YEAR($AC84),MONTH($AC84)+1,1),OverEnd,"&gt;="&amp;DATE(YEAR($AC84),MONTH($AC84),1))&gt;0,SUMIFS(OverValue,OverEmp,$C84,OverEarn,G$2,OverDate,"&lt;"&amp;DATE(YEAR($AC84),MONTH($AC84)+1,1),OverEnd,"&gt;="&amp;DATE(YEAR($AC84),MONTH($AC84),1)),IF(AND($AC84&gt;=Setup!$E$10,SUMIFS(EmpIncrease,EmpCode,$C84)&gt;0),SUMIFS(EmpIncrease,EmpCode,$C84),SUMIFS(EmpSalary,EmpCode,$C84))))</f>
        <v>15000</v>
      </c>
      <c r="H84" s="133" cm="1">
        <f t="array" aca="1" ref="H84" ca="1">IF($F84&lt;&gt;"Active",0,IF(COUNTIFS(OverEmp,$C84,OverEarn,H$2,OverDate,"&lt;"&amp;DATE(YEAR($AC84),MONTH($AC84)+1,1),OverEnd,"&gt;="&amp;DATE(YEAR($AC84),MONTH($AC84),1))&gt;0,SUMIFS(OverValue,OverEmp,$C84,OverEarn,H$2,OverDate,"&lt;"&amp;DATE(YEAR($AC84),MONTH($AC84)+1,1),OverEnd,"&gt;="&amp;DATE(YEAR($AC84),MONTH($AC84),1)),0))</f>
        <v>0</v>
      </c>
      <c r="I84" s="133" cm="1">
        <f t="array" aca="1" ref="I84" ca="1">IF($F84&lt;&gt;"Active",0,IF(COUNTIFS(OverEmp,$C84,OverEarn,I$2,OverDate,"&lt;"&amp;DATE(YEAR($AC84),MONTH($AC84)+1,1),OverEnd,"&gt;="&amp;DATE(YEAR($AC84),MONTH($AC84),1))&gt;0,SUMIFS(OverValue,OverEmp,$C84,OverEarn,I$2,OverDate,"&lt;"&amp;DATE(YEAR($AC84),MONTH($AC84)+1,1),OverEnd,"&gt;="&amp;DATE(YEAR($AC84),MONTH($AC84),1)),IF(MONTH(B84)=Setup!$C$15,SUMIFS(EmpBonus,EmpCode,$C84),0)))</f>
        <v>0</v>
      </c>
      <c r="J84" s="133" cm="1">
        <f t="array" aca="1" ref="J84" ca="1">IF($F84&lt;&gt;"Active",0,IF(COUNTIFS(OverEmp,$C84,OverEarn,J$2,OverDate,"&lt;"&amp;DATE(YEAR($AC84),MONTH($AC84)+1,1),OverEnd,"&gt;="&amp;DATE(YEAR($AC84),MONTH($AC84),1))&gt;0,SUMIFS(OverValue,OverEmp,$C84,OverEarn,J$2,OverDate,"&lt;"&amp;DATE(YEAR($AC84),MONTH($AC84)+1,1),OverEnd,"&gt;="&amp;DATE(YEAR($AC84),MONTH($AC84),1)),0))</f>
        <v>0</v>
      </c>
      <c r="K84" s="133" cm="1">
        <f t="array" aca="1" ref="K84" ca="1">IF($F84&lt;&gt;"Active",0,IF(COUNTIFS(OverEmp,$C84,OverEarn,K$2,OverDate,"&lt;"&amp;DATE(YEAR($AC84),MONTH($AC84)+1,1),OverEnd,"&gt;="&amp;DATE(YEAR($AC84),MONTH($AC84),1))&gt;0,SUMIFS(OverValue,OverEmp,$C84,OverEarn,K$2,OverDate,"&lt;"&amp;DATE(YEAR($AC84),MONTH($AC84)+1,1),OverEnd,"&gt;="&amp;DATE(YEAR($AC84),MONTH($AC84),1)),0))</f>
        <v>0</v>
      </c>
      <c r="L84" s="185">
        <f t="shared" ca="1" si="36"/>
        <v>15000</v>
      </c>
      <c r="M84" s="182" cm="1">
        <f t="array" aca="1" ref="M84" ca="1">IF(COUNTIFS(OverEmp,$C84,OverTax,M$5,OverDate,"&lt;"&amp;DATE(YEAR($AC84),MONTH($AC84)+1,1),OverEnd,"&gt;="&amp;DATE(YEAR($AC84),MONTH($AC84),1))&gt;0,SUMIFS(OverValue,OverEmp,$C84,OverTax,M$5,OverDate,"&lt;"&amp;DATE(YEAR($AC84),MONTH($AC84)+1,1),OverEnd,"&gt;="&amp;DATE(YEAR($AC84),MONTH($AC84),1)),(($BA84/12*$AA84)+(BB84*IF(1-$BC84=0,0,BD84/(1-$BC84))))-IF($F84="Terminated",0,SUMIFS(PayTaxDeduct,PayDate,"&lt;"&amp;$AC84,PayEmp,$C84)))</f>
        <v>899.75</v>
      </c>
      <c r="N84" s="133" cm="1">
        <f t="array" aca="1" ref="N84" ca="1">IF($F84="Terminated",0,IF($AA84=0,0,IF(ISNA(MATCH(N$5,DedListItem,0)),0,IF(COUNTIFS(OverEmp,$C84,OverDeduct,N$5,OverDate,"&lt;"&amp;DATE(YEAR($AC84),MONTH($AC84)+1,1),OverEnd,"&gt;="&amp;DATE(YEAR($AC84),MONTH($AC84),1))&gt;0,SUMIFS(OverValue,OverEmp,$C84,OverDeduct,N$5,OverDate,"&lt;"&amp;DATE(YEAR($AC84),MONTH($AC84)+1,1),OverEnd,"&gt;="&amp;DATE(YEAR($AC84),MONTH($AC84),1)),IF(OR(N$2="Fixed",N$2="Not Used"),(IF(COUNTIFS(EmpNo,$C84,OFFSET(Emp!$R$4,1,MATCH(N$5,DedListItem,0)-1,EmpCount,1),"&lt;&gt;")&gt;0,VLOOKUP($C84,EmpAll,COLUMN(Emp!$R$4)+MATCH(N$5,DedListItem,0)-1,0),OFFSET(Setup!$E$73,MATCH(N$5,DedListItem,0),0,1,1))*$AA84)-SUMIFS(OFFSET(N$6,1,0,PayCount,1),PayDate,"&lt;"&amp;$AC84,PayEmp,$C84),IF(ISNA(MATCH(N$2,EarnListItem,0))=FALSE,IF(OFFSET(Setup!$G$73,MATCH(N$5,DedListItem,0),0,1,1)="Taxable",SUMPRODUCT((PayEmp=$C84)*(PayDate&lt;=$AC84)*(PayEarnCode=N$2)*(PayEarnTax)*(PayEarnValues)),SUMPRODUCT((PayEmp=$C84)*(PayDate&lt;=$AC84)*(PayEarnCode=N$2)*(PayEarnValues)))*IF(COUNTIFS(EmpNo,$C84,OFFSET(Emp!$R$4,1,MATCH(N$5,DedListItem,0)-1,EmpCount,1),"&lt;&gt;")&gt;0,VLOOKUP($C84,EmpAll,COLUMN(Emp!$R$4)+MATCH(N$5,DedListItem,0)-1,0),OFFSET(Setup!$E$73,MATCH(N$5,DedListItem,0),0,1,1)),(MIN(IF(OFFSET(Setup!$G$73,MATCH(N$5,DedListItem,0),0,1,1)="Taxable",SUMPRODUCT((PayEmp=$C84)*(PayDate&lt;=$AC84)*(ISERROR(SEARCH(PayEarnCode,N$4)))*(PayEarnTax)*(PayEarnValues)),SUMPRODUCT((PayEmp=$C84)*(PayDate&lt;=$AC84)*(ISERROR(SEARCH(PayEarnCode,N$4)))*(PayEarnValues))),IF(ISNUMBER(N$3),N$3/12*$AA84,IgnoreMin)))*IF(COUNTIFS(EmpNo,$C84,OFFSET(Emp!$R$4,1,MATCH(N$5,DedListItem,0)-1,EmpCount,1),"&lt;&gt;")&gt;0,VLOOKUP($C84,EmpAll,COLUMN(Emp!$R$4)+MATCH(N$5,DedListItem,0)-1,0),OFFSET(Setup!$E$73,MATCH(N$5,DedListItem,0),0,1,1)))-SUMIFS(OFFSET(N$6,1,0,PayCount,1),PayDate,"&lt;"&amp;$AC84,PayEmp,$C84))))))</f>
        <v>150</v>
      </c>
      <c r="O84" s="133" cm="1">
        <f t="array" aca="1" ref="O84" ca="1">IF($F84="Terminated",0,IF($AA84=0,0,IF(ISNA(MATCH(O$5,DedListItem,0)),0,IF(COUNTIFS(OverEmp,$C84,OverDeduct,O$5,OverDate,"&lt;"&amp;DATE(YEAR($AC84),MONTH($AC84)+1,1),OverEnd,"&gt;="&amp;DATE(YEAR($AC84),MONTH($AC84),1))&gt;0,SUMIFS(OverValue,OverEmp,$C84,OverDeduct,O$5,OverDate,"&lt;"&amp;DATE(YEAR($AC84),MONTH($AC84)+1,1),OverEnd,"&gt;="&amp;DATE(YEAR($AC84),MONTH($AC84),1)),IF(OR(O$2="Fixed",O$2="Not Used"),(IF(COUNTIFS(EmpNo,$C84,OFFSET(Emp!$R$4,1,MATCH(O$5,DedListItem,0)-1,EmpCount,1),"&lt;&gt;")&gt;0,VLOOKUP($C84,EmpAll,COLUMN(Emp!$R$4)+MATCH(O$5,DedListItem,0)-1,0),OFFSET(Setup!$E$73,MATCH(O$5,DedListItem,0),0,1,1))*$AA84)-SUMIFS(OFFSET(O$6,1,0,PayCount,1),PayDate,"&lt;"&amp;$AC84,PayEmp,$C84),IF(ISNA(MATCH(O$2,EarnListItem,0))=FALSE,IF(OFFSET(Setup!$G$73,MATCH(O$5,DedListItem,0),0,1,1)="Taxable",SUMPRODUCT((PayEmp=$C84)*(PayDate&lt;=$AC84)*(PayEarnCode=O$2)*(PayEarnTax)*(PayEarnValues)),SUMPRODUCT((PayEmp=$C84)*(PayDate&lt;=$AC84)*(PayEarnCode=O$2)*(PayEarnValues)))*IF(COUNTIFS(EmpNo,$C84,OFFSET(Emp!$R$4,1,MATCH(O$5,DedListItem,0)-1,EmpCount,1),"&lt;&gt;")&gt;0,VLOOKUP($C84,EmpAll,COLUMN(Emp!$R$4)+MATCH(O$5,DedListItem,0)-1,0),OFFSET(Setup!$E$73,MATCH(O$5,DedListItem,0),0,1,1)),(MIN(IF(OFFSET(Setup!$G$73,MATCH(O$5,DedListItem,0),0,1,1)="Taxable",SUMPRODUCT((PayEmp=$C84)*(PayDate&lt;=$AC84)*(ISERROR(SEARCH(PayEarnCode,O$4)))*(PayEarnTax)*(PayEarnValues)),SUMPRODUCT((PayEmp=$C84)*(PayDate&lt;=$AC84)*(ISERROR(SEARCH(PayEarnCode,O$4)))*(PayEarnValues))),IF(ISNUMBER(O$3),O$3/12*$AA84,IgnoreMin)))*IF(COUNTIFS(EmpNo,$C84,OFFSET(Emp!$R$4,1,MATCH(O$5,DedListItem,0)-1,EmpCount,1),"&lt;&gt;")&gt;0,VLOOKUP($C84,EmpAll,COLUMN(Emp!$R$4)+MATCH(O$5,DedListItem,0)-1,0),OFFSET(Setup!$E$73,MATCH(O$5,DedListItem,0),0,1,1)))-SUMIFS(OFFSET(O$6,1,0,PayCount,1),PayDate,"&lt;"&amp;$AC84,PayEmp,$C84))))))</f>
        <v>0</v>
      </c>
      <c r="P84" s="133" cm="1">
        <f t="array" aca="1" ref="P84" ca="1">IF($F84="Terminated",0,IF($AA84=0,0,IF(ISNA(MATCH(P$5,DedListItem,0)),0,IF(COUNTIFS(OverEmp,$C84,OverDeduct,P$5,OverDate,"&lt;"&amp;DATE(YEAR($AC84),MONTH($AC84)+1,1),OverEnd,"&gt;="&amp;DATE(YEAR($AC84),MONTH($AC84),1))&gt;0,SUMIFS(OverValue,OverEmp,$C84,OverDeduct,P$5,OverDate,"&lt;"&amp;DATE(YEAR($AC84),MONTH($AC84)+1,1),OverEnd,"&gt;="&amp;DATE(YEAR($AC84),MONTH($AC84),1)),IF(OR(P$2="Fixed",P$2="Not Used"),(IF(COUNTIFS(EmpNo,$C84,OFFSET(Emp!$R$4,1,MATCH(P$5,DedListItem,0)-1,EmpCount,1),"&lt;&gt;")&gt;0,VLOOKUP($C84,EmpAll,COLUMN(Emp!$R$4)+MATCH(P$5,DedListItem,0)-1,0),OFFSET(Setup!$E$73,MATCH(P$5,DedListItem,0),0,1,1))*$AA84)-SUMIFS(OFFSET(P$6,1,0,PayCount,1),PayDate,"&lt;"&amp;$AC84,PayEmp,$C84),IF(ISNA(MATCH(P$2,EarnListItem,0))=FALSE,IF(OFFSET(Setup!$G$73,MATCH(P$5,DedListItem,0),0,1,1)="Taxable",SUMPRODUCT((PayEmp=$C84)*(PayDate&lt;=$AC84)*(PayEarnCode=P$2)*(PayEarnTax)*(PayEarnValues)),SUMPRODUCT((PayEmp=$C84)*(PayDate&lt;=$AC84)*(PayEarnCode=P$2)*(PayEarnValues)))*IF(COUNTIFS(EmpNo,$C84,OFFSET(Emp!$R$4,1,MATCH(P$5,DedListItem,0)-1,EmpCount,1),"&lt;&gt;")&gt;0,VLOOKUP($C84,EmpAll,COLUMN(Emp!$R$4)+MATCH(P$5,DedListItem,0)-1,0),OFFSET(Setup!$E$73,MATCH(P$5,DedListItem,0),0,1,1)),(MIN(IF(OFFSET(Setup!$G$73,MATCH(P$5,DedListItem,0),0,1,1)="Taxable",SUMPRODUCT((PayEmp=$C84)*(PayDate&lt;=$AC84)*(ISERROR(SEARCH(PayEarnCode,P$4)))*(PayEarnTax)*(PayEarnValues)),SUMPRODUCT((PayEmp=$C84)*(PayDate&lt;=$AC84)*(ISERROR(SEARCH(PayEarnCode,P$4)))*(PayEarnValues))),IF(ISNUMBER(P$3),P$3/12*$AA84,IgnoreMin)))*IF(COUNTIFS(EmpNo,$C84,OFFSET(Emp!$R$4,1,MATCH(P$5,DedListItem,0)-1,EmpCount,1),"&lt;&gt;")&gt;0,VLOOKUP($C84,EmpAll,COLUMN(Emp!$R$4)+MATCH(P$5,DedListItem,0)-1,0),OFFSET(Setup!$E$73,MATCH(P$5,DedListItem,0),0,1,1)))-SUMIFS(OFFSET(P$6,1,0,PayCount,1),PayDate,"&lt;"&amp;$AC84,PayEmp,$C84))))))</f>
        <v>0</v>
      </c>
      <c r="Q84" s="133" cm="1">
        <f t="array" aca="1" ref="Q84" ca="1">IF($F84="Terminated",0,IF($AA84=0,0,IF(ISNA(MATCH(Q$5,DedListItem,0)),0,IF(COUNTIFS(OverEmp,$C84,OverDeduct,Q$5,OverDate,"&lt;"&amp;DATE(YEAR($AC84),MONTH($AC84)+1,1),OverEnd,"&gt;="&amp;DATE(YEAR($AC84),MONTH($AC84),1))&gt;0,SUMIFS(OverValue,OverEmp,$C84,OverDeduct,Q$5,OverDate,"&lt;"&amp;DATE(YEAR($AC84),MONTH($AC84)+1,1),OverEnd,"&gt;="&amp;DATE(YEAR($AC84),MONTH($AC84),1)),IF(OR(Q$2="Fixed",Q$2="Not Used"),(IF(COUNTIFS(EmpNo,$C84,OFFSET(Emp!$R$4,1,MATCH(Q$5,DedListItem,0)-1,EmpCount,1),"&lt;&gt;")&gt;0,VLOOKUP($C84,EmpAll,COLUMN(Emp!$R$4)+MATCH(Q$5,DedListItem,0)-1,0),OFFSET(Setup!$E$73,MATCH(Q$5,DedListItem,0),0,1,1))*$AA84)-SUMIFS(OFFSET(Q$6,1,0,PayCount,1),PayDate,"&lt;"&amp;$AC84,PayEmp,$C84),IF(ISNA(MATCH(Q$2,EarnListItem,0))=FALSE,IF(OFFSET(Setup!$G$73,MATCH(Q$5,DedListItem,0),0,1,1)="Taxable",SUMPRODUCT((PayEmp=$C84)*(PayDate&lt;=$AC84)*(PayEarnCode=Q$2)*(PayEarnTax)*(PayEarnValues)),SUMPRODUCT((PayEmp=$C84)*(PayDate&lt;=$AC84)*(PayEarnCode=Q$2)*(PayEarnValues)))*IF(COUNTIFS(EmpNo,$C84,OFFSET(Emp!$R$4,1,MATCH(Q$5,DedListItem,0)-1,EmpCount,1),"&lt;&gt;")&gt;0,VLOOKUP($C84,EmpAll,COLUMN(Emp!$R$4)+MATCH(Q$5,DedListItem,0)-1,0),OFFSET(Setup!$E$73,MATCH(Q$5,DedListItem,0),0,1,1)),(MIN(IF(OFFSET(Setup!$G$73,MATCH(Q$5,DedListItem,0),0,1,1)="Taxable",SUMPRODUCT((PayEmp=$C84)*(PayDate&lt;=$AC84)*(ISERROR(SEARCH(PayEarnCode,Q$4)))*(PayEarnTax)*(PayEarnValues)),SUMPRODUCT((PayEmp=$C84)*(PayDate&lt;=$AC84)*(ISERROR(SEARCH(PayEarnCode,Q$4)))*(PayEarnValues))),IF(ISNUMBER(Q$3),Q$3/12*$AA84,IgnoreMin)))*IF(COUNTIFS(EmpNo,$C84,OFFSET(Emp!$R$4,1,MATCH(Q$5,DedListItem,0)-1,EmpCount,1),"&lt;&gt;")&gt;0,VLOOKUP($C84,EmpAll,COLUMN(Emp!$R$4)+MATCH(Q$5,DedListItem,0)-1,0),OFFSET(Setup!$E$73,MATCH(Q$5,DedListItem,0),0,1,1)))-SUMIFS(OFFSET(Q$6,1,0,PayCount,1),PayDate,"&lt;"&amp;$AC84,PayEmp,$C84))))))</f>
        <v>0</v>
      </c>
      <c r="R84" s="185">
        <f t="shared" ca="1" si="37"/>
        <v>1049.75</v>
      </c>
      <c r="S84" s="139">
        <f t="shared" ca="1" si="38"/>
        <v>13950.25</v>
      </c>
      <c r="T84" s="133" cm="1">
        <f t="array" aca="1" ref="T84" ca="1">IF($F84="Terminated",0,IF($AA84=0,0,IF(ISNA(MATCH(T$5,CompListItem,0)),0,IF(COUNTIFS(OverEmp,$C84,OverComp,T$5,OverDate,"&lt;"&amp;DATE(YEAR($AC84),MONTH($AC84)+1,1),OverEnd,"&gt;="&amp;DATE(YEAR($AC84),MONTH($AC84),1))&gt;0,SUMIFS(OverValue,OverEmp,$C84,OverComp,T$5,OverDate,"&lt;"&amp;DATE(YEAR($AC84),MONTH($AC84)+1,1),OverEnd,"&gt;="&amp;DATE(YEAR($AC84),MONTH($AC84),1)),IF(OR(T$2="Fixed",T$2="Not Used"),(OFFSET(Setup!$E$81,MATCH(T$5,CompListItem,0),0,1,1)*$AA84)-SUMIFS(OFFSET(T$6,1,0,PayCount,1),PayDate,"&lt;"&amp;$AC84,PayEmp,$C84),IF(ISNA(MATCH(T$2,DedListItem,0))=FALSE,(SUMPRODUCT((PayEmp=$C84)*(PayDate&lt;=$AC84)*(PayDedList=T$2)*(PayDedValues))*OFFSET(Setup!$E$81,MATCH(T$5,CompListItem,0),0,1,1))-SUMIFS(OFFSET(T$6,1,0,PayCount,1),PayDate,"&lt;"&amp;$AC84,PayEmp,$C84),(MIN(IF(OFFSET(Setup!$G$81,MATCH(T$5,CompListItem,0),0,1,1)="Taxable",SUMPRODUCT((PayEmp=$C84)*(PayDate&lt;=$AC84)*(ISERROR(SEARCH(PayEarnCode,T$4)))*(PayEarnTax)*(PayEarnValues)),SUMPRODUCT((PayEmp=$C84)*(PayDate&lt;=$AC84)*(ISERROR(SEARCH(PayEarnCode,T$4)))*(PayEarnValues))),IF(ISNUMBER(T$3),T$3/12*$AA84,IgnoreMin)))*OFFSET(Setup!$E$81,MATCH(T$5,CompListItem,0),0,1,1)-SUMIFS(OFFSET(T$6,1,0,PayCount,1),PayDate,"&lt;"&amp;$AC84,PayEmp,$C84)))))))</f>
        <v>150</v>
      </c>
      <c r="U84" s="133" cm="1">
        <f t="array" aca="1" ref="U84" ca="1">IF($F84="Terminated",0,IF($AA84=0,0,IF(ISNA(MATCH(U$5,CompListItem,0)),0,IF(COUNTIFS(OverEmp,$C84,OverComp,U$5,OverDate,"&lt;"&amp;DATE(YEAR($AC84),MONTH($AC84)+1,1),OverEnd,"&gt;="&amp;DATE(YEAR($AC84),MONTH($AC84),1))&gt;0,SUMIFS(OverValue,OverEmp,$C84,OverComp,U$5,OverDate,"&lt;"&amp;DATE(YEAR($AC84),MONTH($AC84)+1,1),OverEnd,"&gt;="&amp;DATE(YEAR($AC84),MONTH($AC84),1)),IF(OR(U$2="Fixed",U$2="Not Used"),(OFFSET(Setup!$E$81,MATCH(U$5,CompListItem,0),0,1,1)*$AA84)-SUMIFS(OFFSET(U$6,1,0,PayCount,1),PayDate,"&lt;"&amp;$AC84,PayEmp,$C84),IF(ISNA(MATCH(U$2,DedListItem,0))=FALSE,(SUMPRODUCT((PayEmp=$C84)*(PayDate&lt;=$AC84)*(PayDedList=U$2)*(PayDedValues))*OFFSET(Setup!$E$81,MATCH(U$5,CompListItem,0),0,1,1))-SUMIFS(OFFSET(U$6,1,0,PayCount,1),PayDate,"&lt;"&amp;$AC84,PayEmp,$C84),(MIN(IF(OFFSET(Setup!$G$81,MATCH(U$5,CompListItem,0),0,1,1)="Taxable",SUMPRODUCT((PayEmp=$C84)*(PayDate&lt;=$AC84)*(ISERROR(SEARCH(PayEarnCode,U$4)))*(PayEarnTax)*(PayEarnValues)),SUMPRODUCT((PayEmp=$C84)*(PayDate&lt;=$AC84)*(ISERROR(SEARCH(PayEarnCode,U$4)))*(PayEarnValues))),IF(ISNUMBER(U$3),U$3/12*$AA84,IgnoreMin)))*OFFSET(Setup!$E$81,MATCH(U$5,CompListItem,0),0,1,1)-SUMIFS(OFFSET(U$6,1,0,PayCount,1),PayDate,"&lt;"&amp;$AC84,PayEmp,$C84)))))))</f>
        <v>150</v>
      </c>
      <c r="V84" s="133" cm="1">
        <f t="array" aca="1" ref="V84" ca="1">IF($F84="Terminated",0,IF($AA84=0,0,IF(ISNA(MATCH(V$5,CompListItem,0)),0,IF(COUNTIFS(OverEmp,$C84,OverComp,V$5,OverDate,"&lt;"&amp;DATE(YEAR($AC84),MONTH($AC84)+1,1),OverEnd,"&gt;="&amp;DATE(YEAR($AC84),MONTH($AC84),1))&gt;0,SUMIFS(OverValue,OverEmp,$C84,OverComp,V$5,OverDate,"&lt;"&amp;DATE(YEAR($AC84),MONTH($AC84)+1,1),OverEnd,"&gt;="&amp;DATE(YEAR($AC84),MONTH($AC84),1)),IF(OR(V$2="Fixed",V$2="Not Used"),(OFFSET(Setup!$E$81,MATCH(V$5,CompListItem,0),0,1,1)*$AA84)-SUMIFS(OFFSET(V$6,1,0,PayCount,1),PayDate,"&lt;"&amp;$AC84,PayEmp,$C84),IF(ISNA(MATCH(V$2,DedListItem,0))=FALSE,(SUMPRODUCT((PayEmp=$C84)*(PayDate&lt;=$AC84)*(PayDedList=V$2)*(PayDedValues))*OFFSET(Setup!$E$81,MATCH(V$5,CompListItem,0),0,1,1))-SUMIFS(OFFSET(V$6,1,0,PayCount,1),PayDate,"&lt;"&amp;$AC84,PayEmp,$C84),(MIN(IF(OFFSET(Setup!$G$81,MATCH(V$5,CompListItem,0),0,1,1)="Taxable",SUMPRODUCT((PayEmp=$C84)*(PayDate&lt;=$AC84)*(ISERROR(SEARCH(PayEarnCode,V$4)))*(PayEarnTax)*(PayEarnValues)),SUMPRODUCT((PayEmp=$C84)*(PayDate&lt;=$AC84)*(ISERROR(SEARCH(PayEarnCode,V$4)))*(PayEarnValues))),IF(ISNUMBER(V$3),V$3/12*$AA84,IgnoreMin)))*OFFSET(Setup!$E$81,MATCH(V$5,CompListItem,0),0,1,1)-SUMIFS(OFFSET(V$6,1,0,PayCount,1),PayDate,"&lt;"&amp;$AC84,PayEmp,$C84)))))))</f>
        <v>0</v>
      </c>
      <c r="W84" s="133" cm="1">
        <f t="array" aca="1" ref="W84" ca="1">IF($F84="Terminated",0,IF($AA84=0,0,IF(ISNA(MATCH(W$5,CompListItem,0)),0,IF(COUNTIFS(OverEmp,$C84,OverComp,W$5,OverDate,"&lt;"&amp;DATE(YEAR($AC84),MONTH($AC84)+1,1),OverEnd,"&gt;="&amp;DATE(YEAR($AC84),MONTH($AC84),1))&gt;0,SUMIFS(OverValue,OverEmp,$C84,OverComp,W$5,OverDate,"&lt;"&amp;DATE(YEAR($AC84),MONTH($AC84)+1,1),OverEnd,"&gt;="&amp;DATE(YEAR($AC84),MONTH($AC84),1)),IF(OR(W$2="Fixed",W$2="Not Used"),(OFFSET(Setup!$E$81,MATCH(W$5,CompListItem,0),0,1,1)*$AA84)-SUMIFS(OFFSET(W$6,1,0,PayCount,1),PayDate,"&lt;"&amp;$AC84,PayEmp,$C84),IF(ISNA(MATCH(W$2,DedListItem,0))=FALSE,(SUMPRODUCT((PayEmp=$C84)*(PayDate&lt;=$AC84)*(PayDedList=W$2)*(PayDedValues))*OFFSET(Setup!$E$81,MATCH(W$5,CompListItem,0),0,1,1))-SUMIFS(OFFSET(W$6,1,0,PayCount,1),PayDate,"&lt;"&amp;$AC84,PayEmp,$C84),(MIN(IF(OFFSET(Setup!$G$81,MATCH(W$5,CompListItem,0),0,1,1)="Taxable",SUMPRODUCT((PayEmp=$C84)*(PayDate&lt;=$AC84)*(ISERROR(SEARCH(PayEarnCode,W$4)))*(PayEarnTax)*(PayEarnValues)),SUMPRODUCT((PayEmp=$C84)*(PayDate&lt;=$AC84)*(ISERROR(SEARCH(PayEarnCode,W$4)))*(PayEarnValues))),IF(ISNUMBER(W$3),W$3/12*$AA84,IgnoreMin)))*OFFSET(Setup!$E$81,MATCH(W$5,CompListItem,0),0,1,1)-SUMIFS(OFFSET(W$6,1,0,PayCount,1),PayDate,"&lt;"&amp;$AC84,PayEmp,$C84)))))))</f>
        <v>0</v>
      </c>
      <c r="X84" s="185">
        <f t="shared" ca="1" si="30"/>
        <v>300</v>
      </c>
      <c r="Y84" s="139">
        <f t="shared" ca="1" si="39"/>
        <v>15300</v>
      </c>
      <c r="Z84" s="139">
        <f t="shared" ca="1" si="31"/>
        <v>1349.75</v>
      </c>
      <c r="AA84" s="146">
        <f ca="1">IF(OR($B84&lt;=Setup!$E$12,$B84&gt;=Setup!$D$12+1),0,IF($F84&lt;&gt;"Active",0,IF($AE84="Yes",$AB84,((YEAR($AC84)*12)+MONTH($AC84))-((YEAR($AD84)*12)+MONTH($AD84)-1))))</f>
        <v>6</v>
      </c>
      <c r="AB84" s="146">
        <f ca="1">IF(OR($B84&lt;=Setup!$E$12,$B84&gt;=Setup!$D$12+1),0,((YEAR($AC84)*12)+MONTH($AC84))-((YEAR(Setup!$E$12)*12)+MONTH(Setup!$E$12)))</f>
        <v>6</v>
      </c>
      <c r="AC84" s="186">
        <f t="shared" ca="1" si="32"/>
        <v>45163</v>
      </c>
      <c r="AD84" s="144">
        <f ca="1">IF(ISNA(VLOOKUP($C84,EmpAll,COLUMN(Emp!$E$4),0)),$AC84,IF(VLOOKUP($C84,EmpAll,COLUMN(Emp!$E$4),0)&lt;=Setup!$E$12,DATE(YEAR(Setup!$E$12),MONTH(Setup!$E$12)+1,1),VLOOKUP($C84,EmpAll,COLUMN(Emp!$E$4),0)))</f>
        <v>44986</v>
      </c>
      <c r="AE84" s="144" t="str">
        <f ca="1">IF(ISNA(VLOOKUP($C84,EmpAll,COLUMN(Emp!$G$1),0)),"-",IF(VLOOKUP($C84,EmpAll,COLUMN(Emp!$G$1),0)=0,"-",VLOOKUP($C84,EmpAll,COLUMN(Emp!$G$1),0)))</f>
        <v>-</v>
      </c>
      <c r="AF84" s="145">
        <f ca="1">IF(A84=PaySlip!$G$3,1,0)</f>
        <v>0</v>
      </c>
      <c r="AG84" s="130" cm="1">
        <f t="array" aca="1" ref="AG84" ca="1">IF(COUNTIFS(OverEmp,$C84,OverMed,"MED",OverDate,"&lt;"&amp;DATE(YEAR($AC84),MONTH($AC84)+1,1),OverEnd,"&gt;="&amp;DATE(YEAR($AC84),MONTH($AC84),1))&gt;0,SUMIFS(OverValue,OverEmp,$C84,OverMed,"MED",OverDate,"&lt;"&amp;DATE(YEAR($AC84),MONTH($AC84)+1,1),OverEnd,"&gt;="&amp;DATE(YEAR($AC84),MONTH($AC84),1)),IF(ISNA(VLOOKUP($C84,EmpAll,COLUMN(Emp!$N$4),0)),0,VLOOKUP($C84,EmpAll,COLUMN(Emp!$N$4),0)))</f>
        <v>1</v>
      </c>
      <c r="AH84" s="146">
        <f ca="1">VLOOKUP($AG84,MedList,COLUMN(Setup!$C$49),1)</f>
        <v>364</v>
      </c>
      <c r="AI84" s="146">
        <f t="shared" ca="1" si="40"/>
        <v>4368</v>
      </c>
      <c r="AJ84" s="101" t="str">
        <f ca="1">IF(ISNA(VLOOKUP($C84,EmpAll,COLUMN(Emp!$L$4),0)),"None!",VLOOKUP($C84,EmpAll,COLUMN(Emp!$L$4),0))</f>
        <v>A</v>
      </c>
      <c r="AK84" s="147">
        <f t="shared" ca="1" si="33"/>
        <v>17235</v>
      </c>
      <c r="AL84" s="101" t="str">
        <f ca="1">IF(ISNA(VLOOKUP($C84,Employees[],COLUMN(Emp!$M$4),0))=TRUE,"Error!",IF(VLOOKUP($C84,Employees[],COLUMN(Emp!$M$4),0)=0,"Yes",VLOOKUP($C84,Employees[],COLUMN(Emp!$M$4),0)))</f>
        <v>A</v>
      </c>
      <c r="AM84" s="148">
        <f t="shared" ca="1" si="41"/>
        <v>180000</v>
      </c>
      <c r="AN84" s="148" cm="1">
        <f t="array" aca="1" ref="AN84" ca="1">-IF($F84="Terminated",0,IF($AA84=0,0,IF(ISNA(MATCH(AN$5,PayDedList,0)),0,MIN(IF(COUNTIFS(OverEmp,$C84,OverDeduct,AN$5,OverDate,"&lt;"&amp;DATE(YEAR($AC84),MONTH($AC84)+1,1),OverEnd,"&gt;="&amp;DATE(YEAR($AC84),MONTH($AC84),1))&gt;0,SUMPRODUCT((PayEmp=$C84)*(PayDate&lt;=$AC84)*(OFFSET($N$6,1,MATCH(AN$5,PayDedList,0)-1,PayCount,1)))/$AA84*12*AN$3,IF(OR(AN$1="Fixed",AN$1="Not Used"),SUMPRODUCT((PayEmp=$C84)*(PayDate&lt;=$AC84)*(OFFSET($N$6,1,MATCH(AN$5,PayDedList,0)-1,PayCount,1)))/$AA84*12*AN$3,IF(ISNA(MATCH(AN$1,EarnListItem,0))=FALSE,SUMPRODUCT((PayEmp=$C84)*(PayDate&lt;=$AC84)*(OFFSET($N$6,1,MATCH(AN$5,PayDedList,0)-1,PayCount,1)))/$AA84*12*AN$3,(MIN(((SUMPRODUCT((PayEmp=$C84)*(PayDate&lt;=$AC84)*(ISERROR(SEARCH(PayEarnCode,AN$2)))*(PayEarnType="Monthly")*(PayEarnValues))/$AA84*12)+(SUMPRODUCT((PayEmp=$C84)*(PayDate&lt;=$AC84)*(ISERROR(SEARCH(PayEarnCode,AN$2)))*(PayEarnType="Quarterly")*(PayEarnValues))/MAX(1,ROUNDDOWN($AB84/3,0))*4)+(SUMPRODUCT((PayEmp=$C84)*(PayDate&lt;=$AC84)*(ISERROR(SEARCH(PayEarnCode,AN$2)))*(PayEarnType="Bi-Annual")*(PayEarnValues))/MAX(1,ROUNDDOWN($AB84/6,0))*2)+(SUMPRODUCT((PayEmp=$C84)*(PayDate&lt;=$AC84)*(ISERROR(SEARCH(PayEarnCode,AN$2)))*(PayEarnType="Annual")*(PayEarnValues)))),IF(ISNUMBER(OFFSET($N$3,0,MATCH(AN$5,PayDedList,0)-1,1,1)),OFFSET($N$3,0,MATCH(AN$5,PayDedList,0)-1,1,1),IgnoreMin)))*IF(COUNTIFS(EmpNo,$C84,OFFSET(Emp!$R$4,1,MATCH(AN$5,DedListItem,0)-1,EmpCount,1),"&lt;&gt;")&gt;0,VLOOKUP($C84,EmpAll,COLUMN(Emp!$R$4)+MATCH(AN$5,DedListItem,0)-1,0),OFFSET(Setup!$E$73,MATCH(AN$5,DedListItem,0),0,1,1))*AN$3))),IF(ISNUMBER(AN$4),AN$4,IgnoreMin)))))</f>
        <v>0</v>
      </c>
      <c r="AO84" s="148" cm="1">
        <f t="array" aca="1" ref="AO84" ca="1">-IF($F84="Terminated",0,IF($AA84=0,0,IF(ISNA(MATCH(AO$5,PayDedList,0)),0,MIN(IF(COUNTIFS(OverEmp,$C84,OverDeduct,AO$5,OverDate,"&lt;"&amp;DATE(YEAR($AC84),MONTH($AC84)+1,1),OverEnd,"&gt;="&amp;DATE(YEAR($AC84),MONTH($AC84),1))&gt;0,SUMPRODUCT((PayEmp=$C84)*(PayDate&lt;=$AC84)*(OFFSET($N$6,1,MATCH(AO$5,PayDedList,0)-1,PayCount,1)))/$AA84*12*AO$3,IF(OR(AO$1="Fixed",AO$1="Not Used"),SUMPRODUCT((PayEmp=$C84)*(PayDate&lt;=$AC84)*(OFFSET($N$6,1,MATCH(AO$5,PayDedList,0)-1,PayCount,1)))/$AA84*12*AO$3,IF(ISNA(MATCH(AO$1,EarnListItem,0))=FALSE,SUMPRODUCT((PayEmp=$C84)*(PayDate&lt;=$AC84)*(OFFSET($N$6,1,MATCH(AO$5,PayDedList,0)-1,PayCount,1)))/$AA84*12*AO$3,(MIN(((SUMPRODUCT((PayEmp=$C84)*(PayDate&lt;=$AC84)*(ISERROR(SEARCH(PayEarnCode,AO$2)))*(PayEarnType="Monthly")*(PayEarnValues))/$AA84*12)+(SUMPRODUCT((PayEmp=$C84)*(PayDate&lt;=$AC84)*(ISERROR(SEARCH(PayEarnCode,AO$2)))*(PayEarnType="Quarterly")*(PayEarnValues))/MAX(1,ROUNDDOWN($AB84/3,0))*4)+(SUMPRODUCT((PayEmp=$C84)*(PayDate&lt;=$AC84)*(ISERROR(SEARCH(PayEarnCode,AO$2)))*(PayEarnType="Bi-Annual")*(PayEarnValues))/MAX(1,ROUNDDOWN($AB84/6,0))*2)+(SUMPRODUCT((PayEmp=$C84)*(PayDate&lt;=$AC84)*(ISERROR(SEARCH(PayEarnCode,AO$2)))*(PayEarnType="Annual")*(PayEarnValues)))),IF(ISNUMBER(OFFSET($N$3,0,MATCH(AO$5,PayDedList,0)-1,1,1)),OFFSET($N$3,0,MATCH(AO$5,PayDedList,0)-1,1,1),IgnoreMin)))*IF(COUNTIFS(EmpNo,$C84,OFFSET(Emp!$R$4,1,MATCH(AO$5,DedListItem,0)-1,EmpCount,1),"&lt;&gt;")&gt;0,VLOOKUP($C84,EmpAll,COLUMN(Emp!$R$4)+MATCH(AO$5,DedListItem,0)-1,0),OFFSET(Setup!$E$73,MATCH(AO$5,DedListItem,0),0,1,1))*AO$3))),IF(ISNUMBER(AO$4),AO$4,IgnoreMin)))))</f>
        <v>0</v>
      </c>
      <c r="AP84" s="148" cm="1">
        <f t="array" aca="1" ref="AP84" ca="1">-IF($F84="Terminated",0,IF($AA84=0,0,IF(ISNA(MATCH(AP$5,PayDedList,0)),0,MIN(IF(COUNTIFS(OverEmp,$C84,OverDeduct,AP$5,OverDate,"&lt;"&amp;DATE(YEAR($AC84),MONTH($AC84)+1,1),OverEnd,"&gt;="&amp;DATE(YEAR($AC84),MONTH($AC84),1))&gt;0,SUMPRODUCT((PayEmp=$C84)*(PayDate&lt;=$AC84)*(OFFSET($N$6,1,MATCH(AP$5,PayDedList,0)-1,PayCount,1)))/$AA84*12*AP$3,IF(OR(AP$1="Fixed",AP$1="Not Used"),SUMPRODUCT((PayEmp=$C84)*(PayDate&lt;=$AC84)*(OFFSET($N$6,1,MATCH(AP$5,PayDedList,0)-1,PayCount,1)))/$AA84*12*AP$3,IF(ISNA(MATCH(AP$1,EarnListItem,0))=FALSE,SUMPRODUCT((PayEmp=$C84)*(PayDate&lt;=$AC84)*(OFFSET($N$6,1,MATCH(AP$5,PayDedList,0)-1,PayCount,1)))/$AA84*12*AP$3,(MIN(((SUMPRODUCT((PayEmp=$C84)*(PayDate&lt;=$AC84)*(ISERROR(SEARCH(PayEarnCode,AP$2)))*(PayEarnType="Monthly")*(PayEarnValues))/$AA84*12)+(SUMPRODUCT((PayEmp=$C84)*(PayDate&lt;=$AC84)*(ISERROR(SEARCH(PayEarnCode,AP$2)))*(PayEarnType="Quarterly")*(PayEarnValues))/MAX(1,ROUNDDOWN($AB84/3,0))*4)+(SUMPRODUCT((PayEmp=$C84)*(PayDate&lt;=$AC84)*(ISERROR(SEARCH(PayEarnCode,AP$2)))*(PayEarnType="Bi-Annual")*(PayEarnValues))/MAX(1,ROUNDDOWN($AB84/6,0))*2)+(SUMPRODUCT((PayEmp=$C84)*(PayDate&lt;=$AC84)*(ISERROR(SEARCH(PayEarnCode,AP$2)))*(PayEarnType="Annual")*(PayEarnValues)))),IF(ISNUMBER(OFFSET($N$3,0,MATCH(AP$5,PayDedList,0)-1,1,1)),OFFSET($N$3,0,MATCH(AP$5,PayDedList,0)-1,1,1),IgnoreMin)))*IF(COUNTIFS(EmpNo,$C84,OFFSET(Emp!$R$4,1,MATCH(AP$5,DedListItem,0)-1,EmpCount,1),"&lt;&gt;")&gt;0,VLOOKUP($C84,EmpAll,COLUMN(Emp!$R$4)+MATCH(AP$5,DedListItem,0)-1,0),OFFSET(Setup!$E$73,MATCH(AP$5,DedListItem,0),0,1,1))*AP$3))),IF(ISNUMBER(AP$4),AP$4,IgnoreMin)))))</f>
        <v>0</v>
      </c>
      <c r="AQ84" s="148" cm="1">
        <f t="array" aca="1" ref="AQ84" ca="1">-IF($F84="Terminated",0,IF($AA84=0,0,IF(ISNA(MATCH(AQ$5,PayDedList,0)),0,MIN(IF(COUNTIFS(OverEmp,$C84,OverDeduct,AQ$5,OverDate,"&lt;"&amp;DATE(YEAR($AC84),MONTH($AC84)+1,1),OverEnd,"&gt;="&amp;DATE(YEAR($AC84),MONTH($AC84),1))&gt;0,SUMPRODUCT((PayEmp=$C84)*(PayDate&lt;=$AC84)*(OFFSET($N$6,1,MATCH(AQ$5,PayDedList,0)-1,PayCount,1)))/$AA84*12*AQ$3,IF(OR(AQ$1="Fixed",AQ$1="Not Used"),SUMPRODUCT((PayEmp=$C84)*(PayDate&lt;=$AC84)*(OFFSET($N$6,1,MATCH(AQ$5,PayDedList,0)-1,PayCount,1)))/$AA84*12*AQ$3,IF(ISNA(MATCH(AQ$1,EarnListItem,0))=FALSE,SUMPRODUCT((PayEmp=$C84)*(PayDate&lt;=$AC84)*(OFFSET($N$6,1,MATCH(AQ$5,PayDedList,0)-1,PayCount,1)))/$AA84*12*AQ$3,(MIN(((SUMPRODUCT((PayEmp=$C84)*(PayDate&lt;=$AC84)*(ISERROR(SEARCH(PayEarnCode,AQ$2)))*(PayEarnType="Monthly")*(PayEarnValues))/$AA84*12)+(SUMPRODUCT((PayEmp=$C84)*(PayDate&lt;=$AC84)*(ISERROR(SEARCH(PayEarnCode,AQ$2)))*(PayEarnType="Quarterly")*(PayEarnValues))/MAX(1,ROUNDDOWN($AB84/3,0))*4)+(SUMPRODUCT((PayEmp=$C84)*(PayDate&lt;=$AC84)*(ISERROR(SEARCH(PayEarnCode,AQ$2)))*(PayEarnType="Bi-Annual")*(PayEarnValues))/MAX(1,ROUNDDOWN($AB84/6,0))*2)+(SUMPRODUCT((PayEmp=$C84)*(PayDate&lt;=$AC84)*(ISERROR(SEARCH(PayEarnCode,AQ$2)))*(PayEarnType="Annual")*(PayEarnValues)))),IF(ISNUMBER(OFFSET($N$3,0,MATCH(AQ$5,PayDedList,0)-1,1,1)),OFFSET($N$3,0,MATCH(AQ$5,PayDedList,0)-1,1,1),IgnoreMin)))*IF(COUNTIFS(EmpNo,$C84,OFFSET(Emp!$R$4,1,MATCH(AQ$5,DedListItem,0)-1,EmpCount,1),"&lt;&gt;")&gt;0,VLOOKUP($C84,EmpAll,COLUMN(Emp!$R$4)+MATCH(AQ$5,DedListItem,0)-1,0),OFFSET(Setup!$E$73,MATCH(AQ$5,DedListItem,0),0,1,1))*AQ$3))),IF(ISNUMBER(AQ$4),AQ$4,IgnoreMin)))))</f>
        <v>0</v>
      </c>
      <c r="AR84" s="148">
        <f t="shared" ca="1" si="34"/>
        <v>180000</v>
      </c>
      <c r="AS84" s="148">
        <f t="shared" ca="1" si="42"/>
        <v>180000</v>
      </c>
      <c r="AT84" s="148" cm="1">
        <f t="array" aca="1" ref="AT84" ca="1">-IF($F84="Terminated",0,IF($AA84=0,0,IF(ISNA(MATCH(AT$5,PayDedList,0)),0,MIN(IF(COUNTIFS(OverEmp,$C84,OverDeduct,AT$5,OverDate,"&lt;"&amp;DATE(YEAR($AC84),MONTH($AC84)+1,1),OverEnd,"&gt;="&amp;DATE(YEAR($AC84),MONTH($AC84),1))&gt;0,SUMPRODUCT((PayEmp=$C84)*(PayDate&lt;=$AC84)*(OFFSET($N$6,1,MATCH(AT$5,PayDedList,0)-1,PayCount,1)))/$AA84*12*AT$3,IF(OR(AT$1="Fixed",AT$1="Not Used"),SUMPRODUCT((PayEmp=$C84)*(PayDate&lt;=$AC84)*(OFFSET($N$6,1,MATCH(AT$5,PayDedList,0)-1,PayCount,1)))/$AA84*12*AT$3,IF(ISNA(MATCH(OFFSET($N$2,0,MATCH(AT$5,PayDedList,0)-1,1,1),EarnListItem,0))=FALSE,SUMPRODUCT((PayEmp=$C84)*(PayDate&lt;=$AC84)*(OFFSET($N$6,1,MATCH(AT$5,PayDedList,0)-1,PayCount,1)))/$AA84*12*AT$3,(MIN(SUMPRODUCT((PayEmp=$C84)*(PayDate&lt;=$AC84)*(ISERROR(SEARCH(PayEarnCode,AT$2)))*(PayEarnType="Monthly")*(PayEarnValues))/$AA84*12,IF(ISNUMBER(OFFSET($N$3,0,MATCH(AT$5,PayDedList,0)-1,1,1)),OFFSET($N$3,0,MATCH(AT$5,PayDedList,0)-1,1,1),IgnoreMin)))*IF(COUNTIFS(EmpNo,$C84,OFFSET(Emp!$R$4,1,MATCH(AT$5,DedListItem,0)-1,EmpCount,1),"&lt;&gt;")&gt;0,VLOOKUP($C84,EmpAll,COLUMN(Emp!$R$4)+MATCH(AT$5,DedListItem,0)-1,0),OFFSET(Setup!$E$73,MATCH(AT$5,DedListItem,0),0,1,1))*AT$3))),IF(ISNUMBER(AT$4),AT$4,IgnoreMin)))))</f>
        <v>0</v>
      </c>
      <c r="AU84" s="148" cm="1">
        <f t="array" aca="1" ref="AU84" ca="1">-IF($F84="Terminated",0,IF($AA84=0,0,IF(ISNA(MATCH(AU$5,PayDedList,0)),0,MIN(IF(COUNTIFS(OverEmp,$C84,OverDeduct,AU$5,OverDate,"&lt;"&amp;DATE(YEAR($AC84),MONTH($AC84)+1,1),OverEnd,"&gt;="&amp;DATE(YEAR($AC84),MONTH($AC84),1))&gt;0,SUMPRODUCT((PayEmp=$C84)*(PayDate&lt;=$AC84)*(OFFSET($N$6,1,MATCH(AU$5,PayDedList,0)-1,PayCount,1)))/$AA84*12*AU$3,IF(OR(AU$1="Fixed",AU$1="Not Used"),SUMPRODUCT((PayEmp=$C84)*(PayDate&lt;=$AC84)*(OFFSET($N$6,1,MATCH(AU$5,PayDedList,0)-1,PayCount,1)))/$AA84*12*AU$3,IF(ISNA(MATCH(OFFSET($N$2,0,MATCH(AU$5,PayDedList,0)-1,1,1),EarnListItem,0))=FALSE,SUMPRODUCT((PayEmp=$C84)*(PayDate&lt;=$AC84)*(OFFSET($N$6,1,MATCH(AU$5,PayDedList,0)-1,PayCount,1)))/$AA84*12*AU$3,(MIN(SUMPRODUCT((PayEmp=$C84)*(PayDate&lt;=$AC84)*(ISERROR(SEARCH(PayEarnCode,AU$2)))*(PayEarnType="Monthly")*(PayEarnValues))/$AA84*12,IF(ISNUMBER(OFFSET($N$3,0,MATCH(AU$5,PayDedList,0)-1,1,1)),OFFSET($N$3,0,MATCH(AU$5,PayDedList,0)-1,1,1),IgnoreMin)))*IF(COUNTIFS(EmpNo,$C84,OFFSET(Emp!$R$4,1,MATCH(AU$5,DedListItem,0)-1,EmpCount,1),"&lt;&gt;")&gt;0,VLOOKUP($C84,EmpAll,COLUMN(Emp!$R$4)+MATCH(AU$5,DedListItem,0)-1,0),OFFSET(Setup!$E$73,MATCH(AU$5,DedListItem,0),0,1,1))*AU$3))),IF(ISNUMBER(AU$4),AU$4,IgnoreMin)))))</f>
        <v>0</v>
      </c>
      <c r="AV84" s="148" cm="1">
        <f t="array" aca="1" ref="AV84" ca="1">-IF($F84="Terminated",0,IF($AA84=0,0,IF(ISNA(MATCH(AV$5,PayDedList,0)),0,MIN(IF(COUNTIFS(OverEmp,$C84,OverDeduct,AV$5,OverDate,"&lt;"&amp;DATE(YEAR($AC84),MONTH($AC84)+1,1),OverEnd,"&gt;="&amp;DATE(YEAR($AC84),MONTH($AC84),1))&gt;0,SUMPRODUCT((PayEmp=$C84)*(PayDate&lt;=$AC84)*(OFFSET($N$6,1,MATCH(AV$5,PayDedList,0)-1,PayCount,1)))/$AA84*12*AV$3,IF(OR(AV$1="Fixed",AV$1="Not Used"),SUMPRODUCT((PayEmp=$C84)*(PayDate&lt;=$AC84)*(OFFSET($N$6,1,MATCH(AV$5,PayDedList,0)-1,PayCount,1)))/$AA84*12*AV$3,IF(ISNA(MATCH(OFFSET($N$2,0,MATCH(AV$5,PayDedList,0)-1,1,1),EarnListItem,0))=FALSE,SUMPRODUCT((PayEmp=$C84)*(PayDate&lt;=$AC84)*(OFFSET($N$6,1,MATCH(AV$5,PayDedList,0)-1,PayCount,1)))/$AA84*12*AV$3,(MIN(SUMPRODUCT((PayEmp=$C84)*(PayDate&lt;=$AC84)*(ISERROR(SEARCH(PayEarnCode,AV$2)))*(PayEarnType="Monthly")*(PayEarnValues))/$AA84*12,IF(ISNUMBER(OFFSET($N$3,0,MATCH(AV$5,PayDedList,0)-1,1,1)),OFFSET($N$3,0,MATCH(AV$5,PayDedList,0)-1,1,1),IgnoreMin)))*IF(COUNTIFS(EmpNo,$C84,OFFSET(Emp!$R$4,1,MATCH(AV$5,DedListItem,0)-1,EmpCount,1),"&lt;&gt;")&gt;0,VLOOKUP($C84,EmpAll,COLUMN(Emp!$R$4)+MATCH(AV$5,DedListItem,0)-1,0),OFFSET(Setup!$E$73,MATCH(AV$5,DedListItem,0),0,1,1))*AV$3))),IF(ISNUMBER(AV$4),AV$4,IgnoreMin)))))</f>
        <v>0</v>
      </c>
      <c r="AW84" s="148" cm="1">
        <f t="array" aca="1" ref="AW84" ca="1">-IF($F84="Terminated",0,IF($AA84=0,0,IF(ISNA(MATCH(AW$5,PayDedList,0)),0,MIN(IF(COUNTIFS(OverEmp,$C84,OverDeduct,AW$5,OverDate,"&lt;"&amp;DATE(YEAR($AC84),MONTH($AC84)+1,1),OverEnd,"&gt;="&amp;DATE(YEAR($AC84),MONTH($AC84),1))&gt;0,SUMPRODUCT((PayEmp=$C84)*(PayDate&lt;=$AC84)*(OFFSET($N$6,1,MATCH(AW$5,PayDedList,0)-1,PayCount,1)))/$AA84*12*AW$3,IF(OR(AW$1="Fixed",AW$1="Not Used"),SUMPRODUCT((PayEmp=$C84)*(PayDate&lt;=$AC84)*(OFFSET($N$6,1,MATCH(AW$5,PayDedList,0)-1,PayCount,1)))/$AA84*12*AW$3,IF(ISNA(MATCH(OFFSET($N$2,0,MATCH(AW$5,PayDedList,0)-1,1,1),EarnListItem,0))=FALSE,SUMPRODUCT((PayEmp=$C84)*(PayDate&lt;=$AC84)*(OFFSET($N$6,1,MATCH(AW$5,PayDedList,0)-1,PayCount,1)))/$AA84*12*AW$3,(MIN(SUMPRODUCT((PayEmp=$C84)*(PayDate&lt;=$AC84)*(ISERROR(SEARCH(PayEarnCode,AW$2)))*(PayEarnType="Monthly")*(PayEarnValues))/$AA84*12,IF(ISNUMBER(OFFSET($N$3,0,MATCH(AW$5,PayDedList,0)-1,1,1)),OFFSET($N$3,0,MATCH(AW$5,PayDedList,0)-1,1,1),IgnoreMin)))*IF(COUNTIFS(EmpNo,$C84,OFFSET(Emp!$R$4,1,MATCH(AW$5,DedListItem,0)-1,EmpCount,1),"&lt;&gt;")&gt;0,VLOOKUP($C84,EmpAll,COLUMN(Emp!$R$4)+MATCH(AW$5,DedListItem,0)-1,0),OFFSET(Setup!$E$73,MATCH(AW$5,DedListItem,0),0,1,1))*AW$3))),IF(ISNUMBER(AW$4),AW$4,IgnoreMin)))))</f>
        <v>0</v>
      </c>
      <c r="AX84" s="148">
        <f t="shared" ca="1" si="43"/>
        <v>180000</v>
      </c>
      <c r="AY84" s="148">
        <f t="shared" ca="1" si="44"/>
        <v>0</v>
      </c>
      <c r="AZ84" s="148">
        <f ca="1">IF(ISNUMBER($AL84),($AR84*$AL84)-$AI84-$AK84,MAX(0,IF($AL84="B",IF($AR84&lt;Setup!$C$32,($AR84*Setup!$D$32)-$AI84-$AK84,(($AR84-VLOOKUP($AR84,TaxAll2,1,1))*OFFSET(Setup!$D$32,MATCH($AR84,TaxBracket2,1),0,1,1))+OFFSET(Setup!$E$31,MATCH($AR84,TaxBracket2,1),0,1,1)-$AI84-$AK84),IF($AR84&lt;Setup!$C$21,($AR84*Setup!$D$21)-$AI84-$AK84,(($AR84-VLOOKUP($AR84,TaxAll1,1,1))*OFFSET(Setup!$D$21,MATCH($AR84,TaxBracket1,1),0,1,1))+OFFSET(Setup!$E$20,MATCH($AR84,TaxBracket1,1),0,1,1)-$AI84-$AK84))))</f>
        <v>10797</v>
      </c>
      <c r="BA84" s="148">
        <f ca="1">IF(ISNUMBER($AL84),($AX84*$AL84)-$AI84-$AK84,MAX(0,IF($AL84="B",IF($AX84&lt;Setup!$C$32,($AX84*Setup!$D$32)-$AI84-$AK84,(($AX84-VLOOKUP($AX84,TaxAll2,1,1))*OFFSET(Setup!$D$32,MATCH($AX84,TaxBracket2,1),0,1,1))+OFFSET(Setup!$E$31,MATCH($AX84,TaxBracket2,1),0,1,1)-$AI84-$AK84),IF($AX84&lt;Setup!$C$21,($AX84*Setup!$D$21)-$AI84-$AK84,(($AX84-VLOOKUP($AX84,TaxAll1,1,1))*OFFSET(Setup!$D$21,MATCH($AX84,TaxBracket1,1),0,1,1))+OFFSET(Setup!$E$20,MATCH($AX84,TaxBracket1,1),0,1,1)-$AI84-$AK84))))</f>
        <v>10797</v>
      </c>
      <c r="BB84" s="148">
        <f t="shared" ca="1" si="35"/>
        <v>0</v>
      </c>
      <c r="BC84" s="150">
        <f t="shared" ca="1" si="45"/>
        <v>1</v>
      </c>
      <c r="BD84" s="150">
        <f t="shared" ca="1" si="46"/>
        <v>0</v>
      </c>
      <c r="BE84" s="148">
        <f t="shared" ca="1" si="47"/>
        <v>180000</v>
      </c>
    </row>
    <row r="85" spans="1:57" ht="16.149999999999999" customHeight="1" x14ac:dyDescent="0.25">
      <c r="A85" s="10" t="str" cm="1">
        <f t="array" aca="1" ref="A85" ca="1">IF(ROW($A85)-ROW($A$6)&gt;EmpCount*12,"-",TEXT($B85,"yyyy")&amp;TEXT($B85,"mm")&amp;"-"&amp;$C85)</f>
        <v>202308-EXS004</v>
      </c>
      <c r="B85" s="137" cm="1">
        <f t="array" aca="1" ref="B85" ca="1">IF(ROW($A85)-ROW($A$6)&gt;EmpCount*12,Setup!$D$12,DATE(YEAR(Setup!$F$12),MONTH(Setup!$F$12)+ROUNDDOWN((ROW($A85)-ROW($A$6)-1)/EmpCount,0),IF(Setup!$C$14&gt;DAY(DATE(YEAR(Setup!$F$12),MONTH(Setup!$F$12)+ROUNDDOWN((ROW($A85)-ROW($A$6)-1)/EmpCount,0)+1,0)),DAY(DATE(YEAR(Setup!$F$12),MONTH(Setup!$F$12)+ROUNDDOWN((ROW($A85)-ROW($A$6)-1)/EmpCount,0)+1,0)),Setup!$C$14)))</f>
        <v>45163</v>
      </c>
      <c r="C85" s="101" t="str" cm="1">
        <f t="array" aca="1" ref="C85" ca="1">IF(ROW($A85)-ROW($A$6)&gt;EmpCount*12,"-",OFFSET(Emp!$A$4,ROW($A85)-ROW($A$6)-IF(ROW($A85)-ROW($A$6)&gt;EmpCount,ROUNDDOWN((ROW($A85)-ROW($A$6)-1)/EmpCount,0)*EmpCount,0),0,1,1))</f>
        <v>EXS004</v>
      </c>
      <c r="D85" s="10" t="str">
        <f ca="1">IF(ISNA(VLOOKUP($C85,EmpAll,COLUMN(Emp!$B$4),0)),"-",VLOOKUP($C85,EmpAll,COLUMN(Emp!$B$4),0))</f>
        <v>Osborne S</v>
      </c>
      <c r="E85" s="145" t="str">
        <f ca="1">IF(ISNA(VLOOKUP($C85,EmpAll,COLUMN(Emp!$C$4),0)),"-",VLOOKUP($C85,EmpAll,COLUMN(Emp!$C$4),0))</f>
        <v>S</v>
      </c>
      <c r="F85" s="101" t="str">
        <f ca="1">IF(ISNA(VLOOKUP($C85,EmpAll,COLUMN(Emp!$A$4),0)),"-",IF(AND(VLOOKUP($C85,EmpAll,COLUMN(Emp!$E$4),0)&lt;&gt;0,VLOOKUP($C85,EmpAll,COLUMN(Emp!$E$4),0)&gt;=DATE(YEAR($AC85),MONTH($AC85)+1,0)),"Inactive",IF(AND(VLOOKUP($C85,EmpAll,COLUMN(Emp!$F$4),0)&lt;&gt;0,VLOOKUP($C85,EmpAll,COLUMN(Emp!$F$4),0)&lt;=DATE(YEAR($AC85),MONTH($AC85),0)),"Terminated","Active")))</f>
        <v>Active</v>
      </c>
      <c r="G85" s="133" cm="1">
        <f t="array" aca="1" ref="G85" ca="1">IF($F85&lt;&gt;"Active",0,IF(COUNTIFS(OverEmp,$C85,OverEarn,G$2,OverDate,"&lt;"&amp;DATE(YEAR($AC85),MONTH($AC85)+1,1),OverEnd,"&gt;="&amp;DATE(YEAR($AC85),MONTH($AC85),1))&gt;0,SUMIFS(OverValue,OverEmp,$C85,OverEarn,G$2,OverDate,"&lt;"&amp;DATE(YEAR($AC85),MONTH($AC85)+1,1),OverEnd,"&gt;="&amp;DATE(YEAR($AC85),MONTH($AC85),1)),IF(AND($AC85&gt;=Setup!$E$10,SUMIFS(EmpIncrease,EmpCode,$C85)&gt;0),SUMIFS(EmpIncrease,EmpCode,$C85),SUMIFS(EmpSalary,EmpCode,$C85))))</f>
        <v>15000</v>
      </c>
      <c r="H85" s="133" cm="1">
        <f t="array" aca="1" ref="H85" ca="1">IF($F85&lt;&gt;"Active",0,IF(COUNTIFS(OverEmp,$C85,OverEarn,H$2,OverDate,"&lt;"&amp;DATE(YEAR($AC85),MONTH($AC85)+1,1),OverEnd,"&gt;="&amp;DATE(YEAR($AC85),MONTH($AC85),1))&gt;0,SUMIFS(OverValue,OverEmp,$C85,OverEarn,H$2,OverDate,"&lt;"&amp;DATE(YEAR($AC85),MONTH($AC85)+1,1),OverEnd,"&gt;="&amp;DATE(YEAR($AC85),MONTH($AC85),1)),0))</f>
        <v>0</v>
      </c>
      <c r="I85" s="133" cm="1">
        <f t="array" aca="1" ref="I85" ca="1">IF($F85&lt;&gt;"Active",0,IF(COUNTIFS(OverEmp,$C85,OverEarn,I$2,OverDate,"&lt;"&amp;DATE(YEAR($AC85),MONTH($AC85)+1,1),OverEnd,"&gt;="&amp;DATE(YEAR($AC85),MONTH($AC85),1))&gt;0,SUMIFS(OverValue,OverEmp,$C85,OverEarn,I$2,OverDate,"&lt;"&amp;DATE(YEAR($AC85),MONTH($AC85)+1,1),OverEnd,"&gt;="&amp;DATE(YEAR($AC85),MONTH($AC85),1)),IF(MONTH(B85)=Setup!$C$15,SUMIFS(EmpBonus,EmpCode,$C85),0)))</f>
        <v>0</v>
      </c>
      <c r="J85" s="133" cm="1">
        <f t="array" aca="1" ref="J85" ca="1">IF($F85&lt;&gt;"Active",0,IF(COUNTIFS(OverEmp,$C85,OverEarn,J$2,OverDate,"&lt;"&amp;DATE(YEAR($AC85),MONTH($AC85)+1,1),OverEnd,"&gt;="&amp;DATE(YEAR($AC85),MONTH($AC85),1))&gt;0,SUMIFS(OverValue,OverEmp,$C85,OverEarn,J$2,OverDate,"&lt;"&amp;DATE(YEAR($AC85),MONTH($AC85)+1,1),OverEnd,"&gt;="&amp;DATE(YEAR($AC85),MONTH($AC85),1)),0))</f>
        <v>0</v>
      </c>
      <c r="K85" s="133" cm="1">
        <f t="array" aca="1" ref="K85" ca="1">IF($F85&lt;&gt;"Active",0,IF(COUNTIFS(OverEmp,$C85,OverEarn,K$2,OverDate,"&lt;"&amp;DATE(YEAR($AC85),MONTH($AC85)+1,1),OverEnd,"&gt;="&amp;DATE(YEAR($AC85),MONTH($AC85),1))&gt;0,SUMIFS(OverValue,OverEmp,$C85,OverEarn,K$2,OverDate,"&lt;"&amp;DATE(YEAR($AC85),MONTH($AC85)+1,1),OverEnd,"&gt;="&amp;DATE(YEAR($AC85),MONTH($AC85),1)),0))</f>
        <v>0</v>
      </c>
      <c r="L85" s="185">
        <f t="shared" ca="1" si="36"/>
        <v>15000</v>
      </c>
      <c r="M85" s="182" cm="1">
        <f t="array" aca="1" ref="M85" ca="1">IF(COUNTIFS(OverEmp,$C85,OverTax,M$5,OverDate,"&lt;"&amp;DATE(YEAR($AC85),MONTH($AC85)+1,1),OverEnd,"&gt;="&amp;DATE(YEAR($AC85),MONTH($AC85),1))&gt;0,SUMIFS(OverValue,OverEmp,$C85,OverTax,M$5,OverDate,"&lt;"&amp;DATE(YEAR($AC85),MONTH($AC85)+1,1),OverEnd,"&gt;="&amp;DATE(YEAR($AC85),MONTH($AC85),1)),(($BA85/12*$AA85)+(BB85*IF(1-$BC85=0,0,BD85/(1-$BC85))))-IF($F85="Terminated",0,SUMIFS(PayTaxDeduct,PayDate,"&lt;"&amp;$AC85,PayEmp,$C85)))</f>
        <v>899.75</v>
      </c>
      <c r="N85" s="133" cm="1">
        <f t="array" aca="1" ref="N85" ca="1">IF($F85="Terminated",0,IF($AA85=0,0,IF(ISNA(MATCH(N$5,DedListItem,0)),0,IF(COUNTIFS(OverEmp,$C85,OverDeduct,N$5,OverDate,"&lt;"&amp;DATE(YEAR($AC85),MONTH($AC85)+1,1),OverEnd,"&gt;="&amp;DATE(YEAR($AC85),MONTH($AC85),1))&gt;0,SUMIFS(OverValue,OverEmp,$C85,OverDeduct,N$5,OverDate,"&lt;"&amp;DATE(YEAR($AC85),MONTH($AC85)+1,1),OverEnd,"&gt;="&amp;DATE(YEAR($AC85),MONTH($AC85),1)),IF(OR(N$2="Fixed",N$2="Not Used"),(IF(COUNTIFS(EmpNo,$C85,OFFSET(Emp!$R$4,1,MATCH(N$5,DedListItem,0)-1,EmpCount,1),"&lt;&gt;")&gt;0,VLOOKUP($C85,EmpAll,COLUMN(Emp!$R$4)+MATCH(N$5,DedListItem,0)-1,0),OFFSET(Setup!$E$73,MATCH(N$5,DedListItem,0),0,1,1))*$AA85)-SUMIFS(OFFSET(N$6,1,0,PayCount,1),PayDate,"&lt;"&amp;$AC85,PayEmp,$C85),IF(ISNA(MATCH(N$2,EarnListItem,0))=FALSE,IF(OFFSET(Setup!$G$73,MATCH(N$5,DedListItem,0),0,1,1)="Taxable",SUMPRODUCT((PayEmp=$C85)*(PayDate&lt;=$AC85)*(PayEarnCode=N$2)*(PayEarnTax)*(PayEarnValues)),SUMPRODUCT((PayEmp=$C85)*(PayDate&lt;=$AC85)*(PayEarnCode=N$2)*(PayEarnValues)))*IF(COUNTIFS(EmpNo,$C85,OFFSET(Emp!$R$4,1,MATCH(N$5,DedListItem,0)-1,EmpCount,1),"&lt;&gt;")&gt;0,VLOOKUP($C85,EmpAll,COLUMN(Emp!$R$4)+MATCH(N$5,DedListItem,0)-1,0),OFFSET(Setup!$E$73,MATCH(N$5,DedListItem,0),0,1,1)),(MIN(IF(OFFSET(Setup!$G$73,MATCH(N$5,DedListItem,0),0,1,1)="Taxable",SUMPRODUCT((PayEmp=$C85)*(PayDate&lt;=$AC85)*(ISERROR(SEARCH(PayEarnCode,N$4)))*(PayEarnTax)*(PayEarnValues)),SUMPRODUCT((PayEmp=$C85)*(PayDate&lt;=$AC85)*(ISERROR(SEARCH(PayEarnCode,N$4)))*(PayEarnValues))),IF(ISNUMBER(N$3),N$3/12*$AA85,IgnoreMin)))*IF(COUNTIFS(EmpNo,$C85,OFFSET(Emp!$R$4,1,MATCH(N$5,DedListItem,0)-1,EmpCount,1),"&lt;&gt;")&gt;0,VLOOKUP($C85,EmpAll,COLUMN(Emp!$R$4)+MATCH(N$5,DedListItem,0)-1,0),OFFSET(Setup!$E$73,MATCH(N$5,DedListItem,0),0,1,1)))-SUMIFS(OFFSET(N$6,1,0,PayCount,1),PayDate,"&lt;"&amp;$AC85,PayEmp,$C85))))))</f>
        <v>150</v>
      </c>
      <c r="O85" s="133" cm="1">
        <f t="array" aca="1" ref="O85" ca="1">IF($F85="Terminated",0,IF($AA85=0,0,IF(ISNA(MATCH(O$5,DedListItem,0)),0,IF(COUNTIFS(OverEmp,$C85,OverDeduct,O$5,OverDate,"&lt;"&amp;DATE(YEAR($AC85),MONTH($AC85)+1,1),OverEnd,"&gt;="&amp;DATE(YEAR($AC85),MONTH($AC85),1))&gt;0,SUMIFS(OverValue,OverEmp,$C85,OverDeduct,O$5,OverDate,"&lt;"&amp;DATE(YEAR($AC85),MONTH($AC85)+1,1),OverEnd,"&gt;="&amp;DATE(YEAR($AC85),MONTH($AC85),1)),IF(OR(O$2="Fixed",O$2="Not Used"),(IF(COUNTIFS(EmpNo,$C85,OFFSET(Emp!$R$4,1,MATCH(O$5,DedListItem,0)-1,EmpCount,1),"&lt;&gt;")&gt;0,VLOOKUP($C85,EmpAll,COLUMN(Emp!$R$4)+MATCH(O$5,DedListItem,0)-1,0),OFFSET(Setup!$E$73,MATCH(O$5,DedListItem,0),0,1,1))*$AA85)-SUMIFS(OFFSET(O$6,1,0,PayCount,1),PayDate,"&lt;"&amp;$AC85,PayEmp,$C85),IF(ISNA(MATCH(O$2,EarnListItem,0))=FALSE,IF(OFFSET(Setup!$G$73,MATCH(O$5,DedListItem,0),0,1,1)="Taxable",SUMPRODUCT((PayEmp=$C85)*(PayDate&lt;=$AC85)*(PayEarnCode=O$2)*(PayEarnTax)*(PayEarnValues)),SUMPRODUCT((PayEmp=$C85)*(PayDate&lt;=$AC85)*(PayEarnCode=O$2)*(PayEarnValues)))*IF(COUNTIFS(EmpNo,$C85,OFFSET(Emp!$R$4,1,MATCH(O$5,DedListItem,0)-1,EmpCount,1),"&lt;&gt;")&gt;0,VLOOKUP($C85,EmpAll,COLUMN(Emp!$R$4)+MATCH(O$5,DedListItem,0)-1,0),OFFSET(Setup!$E$73,MATCH(O$5,DedListItem,0),0,1,1)),(MIN(IF(OFFSET(Setup!$G$73,MATCH(O$5,DedListItem,0),0,1,1)="Taxable",SUMPRODUCT((PayEmp=$C85)*(PayDate&lt;=$AC85)*(ISERROR(SEARCH(PayEarnCode,O$4)))*(PayEarnTax)*(PayEarnValues)),SUMPRODUCT((PayEmp=$C85)*(PayDate&lt;=$AC85)*(ISERROR(SEARCH(PayEarnCode,O$4)))*(PayEarnValues))),IF(ISNUMBER(O$3),O$3/12*$AA85,IgnoreMin)))*IF(COUNTIFS(EmpNo,$C85,OFFSET(Emp!$R$4,1,MATCH(O$5,DedListItem,0)-1,EmpCount,1),"&lt;&gt;")&gt;0,VLOOKUP($C85,EmpAll,COLUMN(Emp!$R$4)+MATCH(O$5,DedListItem,0)-1,0),OFFSET(Setup!$E$73,MATCH(O$5,DedListItem,0),0,1,1)))-SUMIFS(OFFSET(O$6,1,0,PayCount,1),PayDate,"&lt;"&amp;$AC85,PayEmp,$C85))))))</f>
        <v>0</v>
      </c>
      <c r="P85" s="133" cm="1">
        <f t="array" aca="1" ref="P85" ca="1">IF($F85="Terminated",0,IF($AA85=0,0,IF(ISNA(MATCH(P$5,DedListItem,0)),0,IF(COUNTIFS(OverEmp,$C85,OverDeduct,P$5,OverDate,"&lt;"&amp;DATE(YEAR($AC85),MONTH($AC85)+1,1),OverEnd,"&gt;="&amp;DATE(YEAR($AC85),MONTH($AC85),1))&gt;0,SUMIFS(OverValue,OverEmp,$C85,OverDeduct,P$5,OverDate,"&lt;"&amp;DATE(YEAR($AC85),MONTH($AC85)+1,1),OverEnd,"&gt;="&amp;DATE(YEAR($AC85),MONTH($AC85),1)),IF(OR(P$2="Fixed",P$2="Not Used"),(IF(COUNTIFS(EmpNo,$C85,OFFSET(Emp!$R$4,1,MATCH(P$5,DedListItem,0)-1,EmpCount,1),"&lt;&gt;")&gt;0,VLOOKUP($C85,EmpAll,COLUMN(Emp!$R$4)+MATCH(P$5,DedListItem,0)-1,0),OFFSET(Setup!$E$73,MATCH(P$5,DedListItem,0),0,1,1))*$AA85)-SUMIFS(OFFSET(P$6,1,0,PayCount,1),PayDate,"&lt;"&amp;$AC85,PayEmp,$C85),IF(ISNA(MATCH(P$2,EarnListItem,0))=FALSE,IF(OFFSET(Setup!$G$73,MATCH(P$5,DedListItem,0),0,1,1)="Taxable",SUMPRODUCT((PayEmp=$C85)*(PayDate&lt;=$AC85)*(PayEarnCode=P$2)*(PayEarnTax)*(PayEarnValues)),SUMPRODUCT((PayEmp=$C85)*(PayDate&lt;=$AC85)*(PayEarnCode=P$2)*(PayEarnValues)))*IF(COUNTIFS(EmpNo,$C85,OFFSET(Emp!$R$4,1,MATCH(P$5,DedListItem,0)-1,EmpCount,1),"&lt;&gt;")&gt;0,VLOOKUP($C85,EmpAll,COLUMN(Emp!$R$4)+MATCH(P$5,DedListItem,0)-1,0),OFFSET(Setup!$E$73,MATCH(P$5,DedListItem,0),0,1,1)),(MIN(IF(OFFSET(Setup!$G$73,MATCH(P$5,DedListItem,0),0,1,1)="Taxable",SUMPRODUCT((PayEmp=$C85)*(PayDate&lt;=$AC85)*(ISERROR(SEARCH(PayEarnCode,P$4)))*(PayEarnTax)*(PayEarnValues)),SUMPRODUCT((PayEmp=$C85)*(PayDate&lt;=$AC85)*(ISERROR(SEARCH(PayEarnCode,P$4)))*(PayEarnValues))),IF(ISNUMBER(P$3),P$3/12*$AA85,IgnoreMin)))*IF(COUNTIFS(EmpNo,$C85,OFFSET(Emp!$R$4,1,MATCH(P$5,DedListItem,0)-1,EmpCount,1),"&lt;&gt;")&gt;0,VLOOKUP($C85,EmpAll,COLUMN(Emp!$R$4)+MATCH(P$5,DedListItem,0)-1,0),OFFSET(Setup!$E$73,MATCH(P$5,DedListItem,0),0,1,1)))-SUMIFS(OFFSET(P$6,1,0,PayCount,1),PayDate,"&lt;"&amp;$AC85,PayEmp,$C85))))))</f>
        <v>500</v>
      </c>
      <c r="Q85" s="133" cm="1">
        <f t="array" aca="1" ref="Q85" ca="1">IF($F85="Terminated",0,IF($AA85=0,0,IF(ISNA(MATCH(Q$5,DedListItem,0)),0,IF(COUNTIFS(OverEmp,$C85,OverDeduct,Q$5,OverDate,"&lt;"&amp;DATE(YEAR($AC85),MONTH($AC85)+1,1),OverEnd,"&gt;="&amp;DATE(YEAR($AC85),MONTH($AC85),1))&gt;0,SUMIFS(OverValue,OverEmp,$C85,OverDeduct,Q$5,OverDate,"&lt;"&amp;DATE(YEAR($AC85),MONTH($AC85)+1,1),OverEnd,"&gt;="&amp;DATE(YEAR($AC85),MONTH($AC85),1)),IF(OR(Q$2="Fixed",Q$2="Not Used"),(IF(COUNTIFS(EmpNo,$C85,OFFSET(Emp!$R$4,1,MATCH(Q$5,DedListItem,0)-1,EmpCount,1),"&lt;&gt;")&gt;0,VLOOKUP($C85,EmpAll,COLUMN(Emp!$R$4)+MATCH(Q$5,DedListItem,0)-1,0),OFFSET(Setup!$E$73,MATCH(Q$5,DedListItem,0),0,1,1))*$AA85)-SUMIFS(OFFSET(Q$6,1,0,PayCount,1),PayDate,"&lt;"&amp;$AC85,PayEmp,$C85),IF(ISNA(MATCH(Q$2,EarnListItem,0))=FALSE,IF(OFFSET(Setup!$G$73,MATCH(Q$5,DedListItem,0),0,1,1)="Taxable",SUMPRODUCT((PayEmp=$C85)*(PayDate&lt;=$AC85)*(PayEarnCode=Q$2)*(PayEarnTax)*(PayEarnValues)),SUMPRODUCT((PayEmp=$C85)*(PayDate&lt;=$AC85)*(PayEarnCode=Q$2)*(PayEarnValues)))*IF(COUNTIFS(EmpNo,$C85,OFFSET(Emp!$R$4,1,MATCH(Q$5,DedListItem,0)-1,EmpCount,1),"&lt;&gt;")&gt;0,VLOOKUP($C85,EmpAll,COLUMN(Emp!$R$4)+MATCH(Q$5,DedListItem,0)-1,0),OFFSET(Setup!$E$73,MATCH(Q$5,DedListItem,0),0,1,1)),(MIN(IF(OFFSET(Setup!$G$73,MATCH(Q$5,DedListItem,0),0,1,1)="Taxable",SUMPRODUCT((PayEmp=$C85)*(PayDate&lt;=$AC85)*(ISERROR(SEARCH(PayEarnCode,Q$4)))*(PayEarnTax)*(PayEarnValues)),SUMPRODUCT((PayEmp=$C85)*(PayDate&lt;=$AC85)*(ISERROR(SEARCH(PayEarnCode,Q$4)))*(PayEarnValues))),IF(ISNUMBER(Q$3),Q$3/12*$AA85,IgnoreMin)))*IF(COUNTIFS(EmpNo,$C85,OFFSET(Emp!$R$4,1,MATCH(Q$5,DedListItem,0)-1,EmpCount,1),"&lt;&gt;")&gt;0,VLOOKUP($C85,EmpAll,COLUMN(Emp!$R$4)+MATCH(Q$5,DedListItem,0)-1,0),OFFSET(Setup!$E$73,MATCH(Q$5,DedListItem,0),0,1,1)))-SUMIFS(OFFSET(Q$6,1,0,PayCount,1),PayDate,"&lt;"&amp;$AC85,PayEmp,$C85))))))</f>
        <v>0</v>
      </c>
      <c r="R85" s="185">
        <f t="shared" ca="1" si="37"/>
        <v>1549.75</v>
      </c>
      <c r="S85" s="139">
        <f t="shared" ca="1" si="38"/>
        <v>13450.25</v>
      </c>
      <c r="T85" s="133" cm="1">
        <f t="array" aca="1" ref="T85" ca="1">IF($F85="Terminated",0,IF($AA85=0,0,IF(ISNA(MATCH(T$5,CompListItem,0)),0,IF(COUNTIFS(OverEmp,$C85,OverComp,T$5,OverDate,"&lt;"&amp;DATE(YEAR($AC85),MONTH($AC85)+1,1),OverEnd,"&gt;="&amp;DATE(YEAR($AC85),MONTH($AC85),1))&gt;0,SUMIFS(OverValue,OverEmp,$C85,OverComp,T$5,OverDate,"&lt;"&amp;DATE(YEAR($AC85),MONTH($AC85)+1,1),OverEnd,"&gt;="&amp;DATE(YEAR($AC85),MONTH($AC85),1)),IF(OR(T$2="Fixed",T$2="Not Used"),(OFFSET(Setup!$E$81,MATCH(T$5,CompListItem,0),0,1,1)*$AA85)-SUMIFS(OFFSET(T$6,1,0,PayCount,1),PayDate,"&lt;"&amp;$AC85,PayEmp,$C85),IF(ISNA(MATCH(T$2,DedListItem,0))=FALSE,(SUMPRODUCT((PayEmp=$C85)*(PayDate&lt;=$AC85)*(PayDedList=T$2)*(PayDedValues))*OFFSET(Setup!$E$81,MATCH(T$5,CompListItem,0),0,1,1))-SUMIFS(OFFSET(T$6,1,0,PayCount,1),PayDate,"&lt;"&amp;$AC85,PayEmp,$C85),(MIN(IF(OFFSET(Setup!$G$81,MATCH(T$5,CompListItem,0),0,1,1)="Taxable",SUMPRODUCT((PayEmp=$C85)*(PayDate&lt;=$AC85)*(ISERROR(SEARCH(PayEarnCode,T$4)))*(PayEarnTax)*(PayEarnValues)),SUMPRODUCT((PayEmp=$C85)*(PayDate&lt;=$AC85)*(ISERROR(SEARCH(PayEarnCode,T$4)))*(PayEarnValues))),IF(ISNUMBER(T$3),T$3/12*$AA85,IgnoreMin)))*OFFSET(Setup!$E$81,MATCH(T$5,CompListItem,0),0,1,1)-SUMIFS(OFFSET(T$6,1,0,PayCount,1),PayDate,"&lt;"&amp;$AC85,PayEmp,$C85)))))))</f>
        <v>150</v>
      </c>
      <c r="U85" s="133" cm="1">
        <f t="array" aca="1" ref="U85" ca="1">IF($F85="Terminated",0,IF($AA85=0,0,IF(ISNA(MATCH(U$5,CompListItem,0)),0,IF(COUNTIFS(OverEmp,$C85,OverComp,U$5,OverDate,"&lt;"&amp;DATE(YEAR($AC85),MONTH($AC85)+1,1),OverEnd,"&gt;="&amp;DATE(YEAR($AC85),MONTH($AC85),1))&gt;0,SUMIFS(OverValue,OverEmp,$C85,OverComp,U$5,OverDate,"&lt;"&amp;DATE(YEAR($AC85),MONTH($AC85)+1,1),OverEnd,"&gt;="&amp;DATE(YEAR($AC85),MONTH($AC85),1)),IF(OR(U$2="Fixed",U$2="Not Used"),(OFFSET(Setup!$E$81,MATCH(U$5,CompListItem,0),0,1,1)*$AA85)-SUMIFS(OFFSET(U$6,1,0,PayCount,1),PayDate,"&lt;"&amp;$AC85,PayEmp,$C85),IF(ISNA(MATCH(U$2,DedListItem,0))=FALSE,(SUMPRODUCT((PayEmp=$C85)*(PayDate&lt;=$AC85)*(PayDedList=U$2)*(PayDedValues))*OFFSET(Setup!$E$81,MATCH(U$5,CompListItem,0),0,1,1))-SUMIFS(OFFSET(U$6,1,0,PayCount,1),PayDate,"&lt;"&amp;$AC85,PayEmp,$C85),(MIN(IF(OFFSET(Setup!$G$81,MATCH(U$5,CompListItem,0),0,1,1)="Taxable",SUMPRODUCT((PayEmp=$C85)*(PayDate&lt;=$AC85)*(ISERROR(SEARCH(PayEarnCode,U$4)))*(PayEarnTax)*(PayEarnValues)),SUMPRODUCT((PayEmp=$C85)*(PayDate&lt;=$AC85)*(ISERROR(SEARCH(PayEarnCode,U$4)))*(PayEarnValues))),IF(ISNUMBER(U$3),U$3/12*$AA85,IgnoreMin)))*OFFSET(Setup!$E$81,MATCH(U$5,CompListItem,0),0,1,1)-SUMIFS(OFFSET(U$6,1,0,PayCount,1),PayDate,"&lt;"&amp;$AC85,PayEmp,$C85)))))))</f>
        <v>150</v>
      </c>
      <c r="V85" s="133" cm="1">
        <f t="array" aca="1" ref="V85" ca="1">IF($F85="Terminated",0,IF($AA85=0,0,IF(ISNA(MATCH(V$5,CompListItem,0)),0,IF(COUNTIFS(OverEmp,$C85,OverComp,V$5,OverDate,"&lt;"&amp;DATE(YEAR($AC85),MONTH($AC85)+1,1),OverEnd,"&gt;="&amp;DATE(YEAR($AC85),MONTH($AC85),1))&gt;0,SUMIFS(OverValue,OverEmp,$C85,OverComp,V$5,OverDate,"&lt;"&amp;DATE(YEAR($AC85),MONTH($AC85)+1,1),OverEnd,"&gt;="&amp;DATE(YEAR($AC85),MONTH($AC85),1)),IF(OR(V$2="Fixed",V$2="Not Used"),(OFFSET(Setup!$E$81,MATCH(V$5,CompListItem,0),0,1,1)*$AA85)-SUMIFS(OFFSET(V$6,1,0,PayCount,1),PayDate,"&lt;"&amp;$AC85,PayEmp,$C85),IF(ISNA(MATCH(V$2,DedListItem,0))=FALSE,(SUMPRODUCT((PayEmp=$C85)*(PayDate&lt;=$AC85)*(PayDedList=V$2)*(PayDedValues))*OFFSET(Setup!$E$81,MATCH(V$5,CompListItem,0),0,1,1))-SUMIFS(OFFSET(V$6,1,0,PayCount,1),PayDate,"&lt;"&amp;$AC85,PayEmp,$C85),(MIN(IF(OFFSET(Setup!$G$81,MATCH(V$5,CompListItem,0),0,1,1)="Taxable",SUMPRODUCT((PayEmp=$C85)*(PayDate&lt;=$AC85)*(ISERROR(SEARCH(PayEarnCode,V$4)))*(PayEarnTax)*(PayEarnValues)),SUMPRODUCT((PayEmp=$C85)*(PayDate&lt;=$AC85)*(ISERROR(SEARCH(PayEarnCode,V$4)))*(PayEarnValues))),IF(ISNUMBER(V$3),V$3/12*$AA85,IgnoreMin)))*OFFSET(Setup!$E$81,MATCH(V$5,CompListItem,0),0,1,1)-SUMIFS(OFFSET(V$6,1,0,PayCount,1),PayDate,"&lt;"&amp;$AC85,PayEmp,$C85)))))))</f>
        <v>0</v>
      </c>
      <c r="W85" s="133" cm="1">
        <f t="array" aca="1" ref="W85" ca="1">IF($F85="Terminated",0,IF($AA85=0,0,IF(ISNA(MATCH(W$5,CompListItem,0)),0,IF(COUNTIFS(OverEmp,$C85,OverComp,W$5,OverDate,"&lt;"&amp;DATE(YEAR($AC85),MONTH($AC85)+1,1),OverEnd,"&gt;="&amp;DATE(YEAR($AC85),MONTH($AC85),1))&gt;0,SUMIFS(OverValue,OverEmp,$C85,OverComp,W$5,OverDate,"&lt;"&amp;DATE(YEAR($AC85),MONTH($AC85)+1,1),OverEnd,"&gt;="&amp;DATE(YEAR($AC85),MONTH($AC85),1)),IF(OR(W$2="Fixed",W$2="Not Used"),(OFFSET(Setup!$E$81,MATCH(W$5,CompListItem,0),0,1,1)*$AA85)-SUMIFS(OFFSET(W$6,1,0,PayCount,1),PayDate,"&lt;"&amp;$AC85,PayEmp,$C85),IF(ISNA(MATCH(W$2,DedListItem,0))=FALSE,(SUMPRODUCT((PayEmp=$C85)*(PayDate&lt;=$AC85)*(PayDedList=W$2)*(PayDedValues))*OFFSET(Setup!$E$81,MATCH(W$5,CompListItem,0),0,1,1))-SUMIFS(OFFSET(W$6,1,0,PayCount,1),PayDate,"&lt;"&amp;$AC85,PayEmp,$C85),(MIN(IF(OFFSET(Setup!$G$81,MATCH(W$5,CompListItem,0),0,1,1)="Taxable",SUMPRODUCT((PayEmp=$C85)*(PayDate&lt;=$AC85)*(ISERROR(SEARCH(PayEarnCode,W$4)))*(PayEarnTax)*(PayEarnValues)),SUMPRODUCT((PayEmp=$C85)*(PayDate&lt;=$AC85)*(ISERROR(SEARCH(PayEarnCode,W$4)))*(PayEarnValues))),IF(ISNUMBER(W$3),W$3/12*$AA85,IgnoreMin)))*OFFSET(Setup!$E$81,MATCH(W$5,CompListItem,0),0,1,1)-SUMIFS(OFFSET(W$6,1,0,PayCount,1),PayDate,"&lt;"&amp;$AC85,PayEmp,$C85)))))))</f>
        <v>0</v>
      </c>
      <c r="X85" s="185">
        <f t="shared" ca="1" si="30"/>
        <v>300</v>
      </c>
      <c r="Y85" s="139">
        <f t="shared" ca="1" si="39"/>
        <v>15300</v>
      </c>
      <c r="Z85" s="139">
        <f t="shared" ca="1" si="31"/>
        <v>1849.75</v>
      </c>
      <c r="AA85" s="146">
        <f ca="1">IF(OR($B85&lt;=Setup!$E$12,$B85&gt;=Setup!$D$12+1),0,IF($F85&lt;&gt;"Active",0,IF($AE85="Yes",$AB85,((YEAR($AC85)*12)+MONTH($AC85))-((YEAR($AD85)*12)+MONTH($AD85)-1))))</f>
        <v>6</v>
      </c>
      <c r="AB85" s="146">
        <f ca="1">IF(OR($B85&lt;=Setup!$E$12,$B85&gt;=Setup!$D$12+1),0,((YEAR($AC85)*12)+MONTH($AC85))-((YEAR(Setup!$E$12)*12)+MONTH(Setup!$E$12)))</f>
        <v>6</v>
      </c>
      <c r="AC85" s="186">
        <f t="shared" ca="1" si="32"/>
        <v>45163</v>
      </c>
      <c r="AD85" s="144">
        <f ca="1">IF(ISNA(VLOOKUP($C85,EmpAll,COLUMN(Emp!$E$4),0)),$AC85,IF(VLOOKUP($C85,EmpAll,COLUMN(Emp!$E$4),0)&lt;=Setup!$E$12,DATE(YEAR(Setup!$E$12),MONTH(Setup!$E$12)+1,1),VLOOKUP($C85,EmpAll,COLUMN(Emp!$E$4),0)))</f>
        <v>44986</v>
      </c>
      <c r="AE85" s="144" t="str">
        <f ca="1">IF(ISNA(VLOOKUP($C85,EmpAll,COLUMN(Emp!$G$1),0)),"-",IF(VLOOKUP($C85,EmpAll,COLUMN(Emp!$G$1),0)=0,"-",VLOOKUP($C85,EmpAll,COLUMN(Emp!$G$1),0)))</f>
        <v>-</v>
      </c>
      <c r="AF85" s="145">
        <f ca="1">IF(A85=PaySlip!$G$3,1,0)</f>
        <v>0</v>
      </c>
      <c r="AG85" s="130" cm="1">
        <f t="array" aca="1" ref="AG85" ca="1">IF(COUNTIFS(OverEmp,$C85,OverMed,"MED",OverDate,"&lt;"&amp;DATE(YEAR($AC85),MONTH($AC85)+1,1),OverEnd,"&gt;="&amp;DATE(YEAR($AC85),MONTH($AC85),1))&gt;0,SUMIFS(OverValue,OverEmp,$C85,OverMed,"MED",OverDate,"&lt;"&amp;DATE(YEAR($AC85),MONTH($AC85)+1,1),OverEnd,"&gt;="&amp;DATE(YEAR($AC85),MONTH($AC85),1)),IF(ISNA(VLOOKUP($C85,EmpAll,COLUMN(Emp!$N$4),0)),0,VLOOKUP($C85,EmpAll,COLUMN(Emp!$N$4),0)))</f>
        <v>1</v>
      </c>
      <c r="AH85" s="146">
        <f ca="1">VLOOKUP($AG85,MedList,COLUMN(Setup!$C$49),1)</f>
        <v>364</v>
      </c>
      <c r="AI85" s="146">
        <f t="shared" ca="1" si="40"/>
        <v>4368</v>
      </c>
      <c r="AJ85" s="101" t="str">
        <f ca="1">IF(ISNA(VLOOKUP($C85,EmpAll,COLUMN(Emp!$L$4),0)),"None!",VLOOKUP($C85,EmpAll,COLUMN(Emp!$L$4),0))</f>
        <v>A</v>
      </c>
      <c r="AK85" s="147">
        <f t="shared" ca="1" si="33"/>
        <v>17235</v>
      </c>
      <c r="AL85" s="101" t="str">
        <f ca="1">IF(ISNA(VLOOKUP($C85,Employees[],COLUMN(Emp!$M$4),0))=TRUE,"Error!",IF(VLOOKUP($C85,Employees[],COLUMN(Emp!$M$4),0)=0,"Yes",VLOOKUP($C85,Employees[],COLUMN(Emp!$M$4),0)))</f>
        <v>A</v>
      </c>
      <c r="AM85" s="148">
        <f t="shared" ca="1" si="41"/>
        <v>183600</v>
      </c>
      <c r="AN85" s="148" cm="1">
        <f t="array" aca="1" ref="AN85" ca="1">-IF($F85="Terminated",0,IF($AA85=0,0,IF(ISNA(MATCH(AN$5,PayDedList,0)),0,MIN(IF(COUNTIFS(OverEmp,$C85,OverDeduct,AN$5,OverDate,"&lt;"&amp;DATE(YEAR($AC85),MONTH($AC85)+1,1),OverEnd,"&gt;="&amp;DATE(YEAR($AC85),MONTH($AC85),1))&gt;0,SUMPRODUCT((PayEmp=$C85)*(PayDate&lt;=$AC85)*(OFFSET($N$6,1,MATCH(AN$5,PayDedList,0)-1,PayCount,1)))/$AA85*12*AN$3,IF(OR(AN$1="Fixed",AN$1="Not Used"),SUMPRODUCT((PayEmp=$C85)*(PayDate&lt;=$AC85)*(OFFSET($N$6,1,MATCH(AN$5,PayDedList,0)-1,PayCount,1)))/$AA85*12*AN$3,IF(ISNA(MATCH(AN$1,EarnListItem,0))=FALSE,SUMPRODUCT((PayEmp=$C85)*(PayDate&lt;=$AC85)*(OFFSET($N$6,1,MATCH(AN$5,PayDedList,0)-1,PayCount,1)))/$AA85*12*AN$3,(MIN(((SUMPRODUCT((PayEmp=$C85)*(PayDate&lt;=$AC85)*(ISERROR(SEARCH(PayEarnCode,AN$2)))*(PayEarnType="Monthly")*(PayEarnValues))/$AA85*12)+(SUMPRODUCT((PayEmp=$C85)*(PayDate&lt;=$AC85)*(ISERROR(SEARCH(PayEarnCode,AN$2)))*(PayEarnType="Quarterly")*(PayEarnValues))/MAX(1,ROUNDDOWN($AB85/3,0))*4)+(SUMPRODUCT((PayEmp=$C85)*(PayDate&lt;=$AC85)*(ISERROR(SEARCH(PayEarnCode,AN$2)))*(PayEarnType="Bi-Annual")*(PayEarnValues))/MAX(1,ROUNDDOWN($AB85/6,0))*2)+(SUMPRODUCT((PayEmp=$C85)*(PayDate&lt;=$AC85)*(ISERROR(SEARCH(PayEarnCode,AN$2)))*(PayEarnType="Annual")*(PayEarnValues)))),IF(ISNUMBER(OFFSET($N$3,0,MATCH(AN$5,PayDedList,0)-1,1,1)),OFFSET($N$3,0,MATCH(AN$5,PayDedList,0)-1,1,1),IgnoreMin)))*IF(COUNTIFS(EmpNo,$C85,OFFSET(Emp!$R$4,1,MATCH(AN$5,DedListItem,0)-1,EmpCount,1),"&lt;&gt;")&gt;0,VLOOKUP($C85,EmpAll,COLUMN(Emp!$R$4)+MATCH(AN$5,DedListItem,0)-1,0),OFFSET(Setup!$E$73,MATCH(AN$5,DedListItem,0),0,1,1))*AN$3))),IF(ISNUMBER(AN$4),AN$4,IgnoreMin)))))</f>
        <v>0</v>
      </c>
      <c r="AO85" s="148" cm="1">
        <f t="array" aca="1" ref="AO85" ca="1">-IF($F85="Terminated",0,IF($AA85=0,0,IF(ISNA(MATCH(AO$5,PayDedList,0)),0,MIN(IF(COUNTIFS(OverEmp,$C85,OverDeduct,AO$5,OverDate,"&lt;"&amp;DATE(YEAR($AC85),MONTH($AC85)+1,1),OverEnd,"&gt;="&amp;DATE(YEAR($AC85),MONTH($AC85),1))&gt;0,SUMPRODUCT((PayEmp=$C85)*(PayDate&lt;=$AC85)*(OFFSET($N$6,1,MATCH(AO$5,PayDedList,0)-1,PayCount,1)))/$AA85*12*AO$3,IF(OR(AO$1="Fixed",AO$1="Not Used"),SUMPRODUCT((PayEmp=$C85)*(PayDate&lt;=$AC85)*(OFFSET($N$6,1,MATCH(AO$5,PayDedList,0)-1,PayCount,1)))/$AA85*12*AO$3,IF(ISNA(MATCH(AO$1,EarnListItem,0))=FALSE,SUMPRODUCT((PayEmp=$C85)*(PayDate&lt;=$AC85)*(OFFSET($N$6,1,MATCH(AO$5,PayDedList,0)-1,PayCount,1)))/$AA85*12*AO$3,(MIN(((SUMPRODUCT((PayEmp=$C85)*(PayDate&lt;=$AC85)*(ISERROR(SEARCH(PayEarnCode,AO$2)))*(PayEarnType="Monthly")*(PayEarnValues))/$AA85*12)+(SUMPRODUCT((PayEmp=$C85)*(PayDate&lt;=$AC85)*(ISERROR(SEARCH(PayEarnCode,AO$2)))*(PayEarnType="Quarterly")*(PayEarnValues))/MAX(1,ROUNDDOWN($AB85/3,0))*4)+(SUMPRODUCT((PayEmp=$C85)*(PayDate&lt;=$AC85)*(ISERROR(SEARCH(PayEarnCode,AO$2)))*(PayEarnType="Bi-Annual")*(PayEarnValues))/MAX(1,ROUNDDOWN($AB85/6,0))*2)+(SUMPRODUCT((PayEmp=$C85)*(PayDate&lt;=$AC85)*(ISERROR(SEARCH(PayEarnCode,AO$2)))*(PayEarnType="Annual")*(PayEarnValues)))),IF(ISNUMBER(OFFSET($N$3,0,MATCH(AO$5,PayDedList,0)-1,1,1)),OFFSET($N$3,0,MATCH(AO$5,PayDedList,0)-1,1,1),IgnoreMin)))*IF(COUNTIFS(EmpNo,$C85,OFFSET(Emp!$R$4,1,MATCH(AO$5,DedListItem,0)-1,EmpCount,1),"&lt;&gt;")&gt;0,VLOOKUP($C85,EmpAll,COLUMN(Emp!$R$4)+MATCH(AO$5,DedListItem,0)-1,0),OFFSET(Setup!$E$73,MATCH(AO$5,DedListItem,0),0,1,1))*AO$3))),IF(ISNUMBER(AO$4),AO$4,IgnoreMin)))))</f>
        <v>0</v>
      </c>
      <c r="AP85" s="148" cm="1">
        <f t="array" aca="1" ref="AP85" ca="1">-IF($F85="Terminated",0,IF($AA85=0,0,IF(ISNA(MATCH(AP$5,PayDedList,0)),0,MIN(IF(COUNTIFS(OverEmp,$C85,OverDeduct,AP$5,OverDate,"&lt;"&amp;DATE(YEAR($AC85),MONTH($AC85)+1,1),OverEnd,"&gt;="&amp;DATE(YEAR($AC85),MONTH($AC85),1))&gt;0,SUMPRODUCT((PayEmp=$C85)*(PayDate&lt;=$AC85)*(OFFSET($N$6,1,MATCH(AP$5,PayDedList,0)-1,PayCount,1)))/$AA85*12*AP$3,IF(OR(AP$1="Fixed",AP$1="Not Used"),SUMPRODUCT((PayEmp=$C85)*(PayDate&lt;=$AC85)*(OFFSET($N$6,1,MATCH(AP$5,PayDedList,0)-1,PayCount,1)))/$AA85*12*AP$3,IF(ISNA(MATCH(AP$1,EarnListItem,0))=FALSE,SUMPRODUCT((PayEmp=$C85)*(PayDate&lt;=$AC85)*(OFFSET($N$6,1,MATCH(AP$5,PayDedList,0)-1,PayCount,1)))/$AA85*12*AP$3,(MIN(((SUMPRODUCT((PayEmp=$C85)*(PayDate&lt;=$AC85)*(ISERROR(SEARCH(PayEarnCode,AP$2)))*(PayEarnType="Monthly")*(PayEarnValues))/$AA85*12)+(SUMPRODUCT((PayEmp=$C85)*(PayDate&lt;=$AC85)*(ISERROR(SEARCH(PayEarnCode,AP$2)))*(PayEarnType="Quarterly")*(PayEarnValues))/MAX(1,ROUNDDOWN($AB85/3,0))*4)+(SUMPRODUCT((PayEmp=$C85)*(PayDate&lt;=$AC85)*(ISERROR(SEARCH(PayEarnCode,AP$2)))*(PayEarnType="Bi-Annual")*(PayEarnValues))/MAX(1,ROUNDDOWN($AB85/6,0))*2)+(SUMPRODUCT((PayEmp=$C85)*(PayDate&lt;=$AC85)*(ISERROR(SEARCH(PayEarnCode,AP$2)))*(PayEarnType="Annual")*(PayEarnValues)))),IF(ISNUMBER(OFFSET($N$3,0,MATCH(AP$5,PayDedList,0)-1,1,1)),OFFSET($N$3,0,MATCH(AP$5,PayDedList,0)-1,1,1),IgnoreMin)))*IF(COUNTIFS(EmpNo,$C85,OFFSET(Emp!$R$4,1,MATCH(AP$5,DedListItem,0)-1,EmpCount,1),"&lt;&gt;")&gt;0,VLOOKUP($C85,EmpAll,COLUMN(Emp!$R$4)+MATCH(AP$5,DedListItem,0)-1,0),OFFSET(Setup!$E$73,MATCH(AP$5,DedListItem,0),0,1,1))*AP$3))),IF(ISNUMBER(AP$4),AP$4,IgnoreMin)))))</f>
        <v>0</v>
      </c>
      <c r="AQ85" s="148" cm="1">
        <f t="array" aca="1" ref="AQ85" ca="1">-IF($F85="Terminated",0,IF($AA85=0,0,IF(ISNA(MATCH(AQ$5,PayDedList,0)),0,MIN(IF(COUNTIFS(OverEmp,$C85,OverDeduct,AQ$5,OverDate,"&lt;"&amp;DATE(YEAR($AC85),MONTH($AC85)+1,1),OverEnd,"&gt;="&amp;DATE(YEAR($AC85),MONTH($AC85),1))&gt;0,SUMPRODUCT((PayEmp=$C85)*(PayDate&lt;=$AC85)*(OFFSET($N$6,1,MATCH(AQ$5,PayDedList,0)-1,PayCount,1)))/$AA85*12*AQ$3,IF(OR(AQ$1="Fixed",AQ$1="Not Used"),SUMPRODUCT((PayEmp=$C85)*(PayDate&lt;=$AC85)*(OFFSET($N$6,1,MATCH(AQ$5,PayDedList,0)-1,PayCount,1)))/$AA85*12*AQ$3,IF(ISNA(MATCH(AQ$1,EarnListItem,0))=FALSE,SUMPRODUCT((PayEmp=$C85)*(PayDate&lt;=$AC85)*(OFFSET($N$6,1,MATCH(AQ$5,PayDedList,0)-1,PayCount,1)))/$AA85*12*AQ$3,(MIN(((SUMPRODUCT((PayEmp=$C85)*(PayDate&lt;=$AC85)*(ISERROR(SEARCH(PayEarnCode,AQ$2)))*(PayEarnType="Monthly")*(PayEarnValues))/$AA85*12)+(SUMPRODUCT((PayEmp=$C85)*(PayDate&lt;=$AC85)*(ISERROR(SEARCH(PayEarnCode,AQ$2)))*(PayEarnType="Quarterly")*(PayEarnValues))/MAX(1,ROUNDDOWN($AB85/3,0))*4)+(SUMPRODUCT((PayEmp=$C85)*(PayDate&lt;=$AC85)*(ISERROR(SEARCH(PayEarnCode,AQ$2)))*(PayEarnType="Bi-Annual")*(PayEarnValues))/MAX(1,ROUNDDOWN($AB85/6,0))*2)+(SUMPRODUCT((PayEmp=$C85)*(PayDate&lt;=$AC85)*(ISERROR(SEARCH(PayEarnCode,AQ$2)))*(PayEarnType="Annual")*(PayEarnValues)))),IF(ISNUMBER(OFFSET($N$3,0,MATCH(AQ$5,PayDedList,0)-1,1,1)),OFFSET($N$3,0,MATCH(AQ$5,PayDedList,0)-1,1,1),IgnoreMin)))*IF(COUNTIFS(EmpNo,$C85,OFFSET(Emp!$R$4,1,MATCH(AQ$5,DedListItem,0)-1,EmpCount,1),"&lt;&gt;")&gt;0,VLOOKUP($C85,EmpAll,COLUMN(Emp!$R$4)+MATCH(AQ$5,DedListItem,0)-1,0),OFFSET(Setup!$E$73,MATCH(AQ$5,DedListItem,0),0,1,1))*AQ$3))),IF(ISNUMBER(AQ$4),AQ$4,IgnoreMin)))))</f>
        <v>0</v>
      </c>
      <c r="AR85" s="148">
        <f t="shared" ca="1" si="34"/>
        <v>183600</v>
      </c>
      <c r="AS85" s="148">
        <f t="shared" ca="1" si="42"/>
        <v>180000</v>
      </c>
      <c r="AT85" s="148" cm="1">
        <f t="array" aca="1" ref="AT85" ca="1">-IF($F85="Terminated",0,IF($AA85=0,0,IF(ISNA(MATCH(AT$5,PayDedList,0)),0,MIN(IF(COUNTIFS(OverEmp,$C85,OverDeduct,AT$5,OverDate,"&lt;"&amp;DATE(YEAR($AC85),MONTH($AC85)+1,1),OverEnd,"&gt;="&amp;DATE(YEAR($AC85),MONTH($AC85),1))&gt;0,SUMPRODUCT((PayEmp=$C85)*(PayDate&lt;=$AC85)*(OFFSET($N$6,1,MATCH(AT$5,PayDedList,0)-1,PayCount,1)))/$AA85*12*AT$3,IF(OR(AT$1="Fixed",AT$1="Not Used"),SUMPRODUCT((PayEmp=$C85)*(PayDate&lt;=$AC85)*(OFFSET($N$6,1,MATCH(AT$5,PayDedList,0)-1,PayCount,1)))/$AA85*12*AT$3,IF(ISNA(MATCH(OFFSET($N$2,0,MATCH(AT$5,PayDedList,0)-1,1,1),EarnListItem,0))=FALSE,SUMPRODUCT((PayEmp=$C85)*(PayDate&lt;=$AC85)*(OFFSET($N$6,1,MATCH(AT$5,PayDedList,0)-1,PayCount,1)))/$AA85*12*AT$3,(MIN(SUMPRODUCT((PayEmp=$C85)*(PayDate&lt;=$AC85)*(ISERROR(SEARCH(PayEarnCode,AT$2)))*(PayEarnType="Monthly")*(PayEarnValues))/$AA85*12,IF(ISNUMBER(OFFSET($N$3,0,MATCH(AT$5,PayDedList,0)-1,1,1)),OFFSET($N$3,0,MATCH(AT$5,PayDedList,0)-1,1,1),IgnoreMin)))*IF(COUNTIFS(EmpNo,$C85,OFFSET(Emp!$R$4,1,MATCH(AT$5,DedListItem,0)-1,EmpCount,1),"&lt;&gt;")&gt;0,VLOOKUP($C85,EmpAll,COLUMN(Emp!$R$4)+MATCH(AT$5,DedListItem,0)-1,0),OFFSET(Setup!$E$73,MATCH(AT$5,DedListItem,0),0,1,1))*AT$3))),IF(ISNUMBER(AT$4),AT$4,IgnoreMin)))))</f>
        <v>0</v>
      </c>
      <c r="AU85" s="148" cm="1">
        <f t="array" aca="1" ref="AU85" ca="1">-IF($F85="Terminated",0,IF($AA85=0,0,IF(ISNA(MATCH(AU$5,PayDedList,0)),0,MIN(IF(COUNTIFS(OverEmp,$C85,OverDeduct,AU$5,OverDate,"&lt;"&amp;DATE(YEAR($AC85),MONTH($AC85)+1,1),OverEnd,"&gt;="&amp;DATE(YEAR($AC85),MONTH($AC85),1))&gt;0,SUMPRODUCT((PayEmp=$C85)*(PayDate&lt;=$AC85)*(OFFSET($N$6,1,MATCH(AU$5,PayDedList,0)-1,PayCount,1)))/$AA85*12*AU$3,IF(OR(AU$1="Fixed",AU$1="Not Used"),SUMPRODUCT((PayEmp=$C85)*(PayDate&lt;=$AC85)*(OFFSET($N$6,1,MATCH(AU$5,PayDedList,0)-1,PayCount,1)))/$AA85*12*AU$3,IF(ISNA(MATCH(OFFSET($N$2,0,MATCH(AU$5,PayDedList,0)-1,1,1),EarnListItem,0))=FALSE,SUMPRODUCT((PayEmp=$C85)*(PayDate&lt;=$AC85)*(OFFSET($N$6,1,MATCH(AU$5,PayDedList,0)-1,PayCount,1)))/$AA85*12*AU$3,(MIN(SUMPRODUCT((PayEmp=$C85)*(PayDate&lt;=$AC85)*(ISERROR(SEARCH(PayEarnCode,AU$2)))*(PayEarnType="Monthly")*(PayEarnValues))/$AA85*12,IF(ISNUMBER(OFFSET($N$3,0,MATCH(AU$5,PayDedList,0)-1,1,1)),OFFSET($N$3,0,MATCH(AU$5,PayDedList,0)-1,1,1),IgnoreMin)))*IF(COUNTIFS(EmpNo,$C85,OFFSET(Emp!$R$4,1,MATCH(AU$5,DedListItem,0)-1,EmpCount,1),"&lt;&gt;")&gt;0,VLOOKUP($C85,EmpAll,COLUMN(Emp!$R$4)+MATCH(AU$5,DedListItem,0)-1,0),OFFSET(Setup!$E$73,MATCH(AU$5,DedListItem,0),0,1,1))*AU$3))),IF(ISNUMBER(AU$4),AU$4,IgnoreMin)))))</f>
        <v>0</v>
      </c>
      <c r="AV85" s="148" cm="1">
        <f t="array" aca="1" ref="AV85" ca="1">-IF($F85="Terminated",0,IF($AA85=0,0,IF(ISNA(MATCH(AV$5,PayDedList,0)),0,MIN(IF(COUNTIFS(OverEmp,$C85,OverDeduct,AV$5,OverDate,"&lt;"&amp;DATE(YEAR($AC85),MONTH($AC85)+1,1),OverEnd,"&gt;="&amp;DATE(YEAR($AC85),MONTH($AC85),1))&gt;0,SUMPRODUCT((PayEmp=$C85)*(PayDate&lt;=$AC85)*(OFFSET($N$6,1,MATCH(AV$5,PayDedList,0)-1,PayCount,1)))/$AA85*12*AV$3,IF(OR(AV$1="Fixed",AV$1="Not Used"),SUMPRODUCT((PayEmp=$C85)*(PayDate&lt;=$AC85)*(OFFSET($N$6,1,MATCH(AV$5,PayDedList,0)-1,PayCount,1)))/$AA85*12*AV$3,IF(ISNA(MATCH(OFFSET($N$2,0,MATCH(AV$5,PayDedList,0)-1,1,1),EarnListItem,0))=FALSE,SUMPRODUCT((PayEmp=$C85)*(PayDate&lt;=$AC85)*(OFFSET($N$6,1,MATCH(AV$5,PayDedList,0)-1,PayCount,1)))/$AA85*12*AV$3,(MIN(SUMPRODUCT((PayEmp=$C85)*(PayDate&lt;=$AC85)*(ISERROR(SEARCH(PayEarnCode,AV$2)))*(PayEarnType="Monthly")*(PayEarnValues))/$AA85*12,IF(ISNUMBER(OFFSET($N$3,0,MATCH(AV$5,PayDedList,0)-1,1,1)),OFFSET($N$3,0,MATCH(AV$5,PayDedList,0)-1,1,1),IgnoreMin)))*IF(COUNTIFS(EmpNo,$C85,OFFSET(Emp!$R$4,1,MATCH(AV$5,DedListItem,0)-1,EmpCount,1),"&lt;&gt;")&gt;0,VLOOKUP($C85,EmpAll,COLUMN(Emp!$R$4)+MATCH(AV$5,DedListItem,0)-1,0),OFFSET(Setup!$E$73,MATCH(AV$5,DedListItem,0),0,1,1))*AV$3))),IF(ISNUMBER(AV$4),AV$4,IgnoreMin)))))</f>
        <v>0</v>
      </c>
      <c r="AW85" s="148" cm="1">
        <f t="array" aca="1" ref="AW85" ca="1">-IF($F85="Terminated",0,IF($AA85=0,0,IF(ISNA(MATCH(AW$5,PayDedList,0)),0,MIN(IF(COUNTIFS(OverEmp,$C85,OverDeduct,AW$5,OverDate,"&lt;"&amp;DATE(YEAR($AC85),MONTH($AC85)+1,1),OverEnd,"&gt;="&amp;DATE(YEAR($AC85),MONTH($AC85),1))&gt;0,SUMPRODUCT((PayEmp=$C85)*(PayDate&lt;=$AC85)*(OFFSET($N$6,1,MATCH(AW$5,PayDedList,0)-1,PayCount,1)))/$AA85*12*AW$3,IF(OR(AW$1="Fixed",AW$1="Not Used"),SUMPRODUCT((PayEmp=$C85)*(PayDate&lt;=$AC85)*(OFFSET($N$6,1,MATCH(AW$5,PayDedList,0)-1,PayCount,1)))/$AA85*12*AW$3,IF(ISNA(MATCH(OFFSET($N$2,0,MATCH(AW$5,PayDedList,0)-1,1,1),EarnListItem,0))=FALSE,SUMPRODUCT((PayEmp=$C85)*(PayDate&lt;=$AC85)*(OFFSET($N$6,1,MATCH(AW$5,PayDedList,0)-1,PayCount,1)))/$AA85*12*AW$3,(MIN(SUMPRODUCT((PayEmp=$C85)*(PayDate&lt;=$AC85)*(ISERROR(SEARCH(PayEarnCode,AW$2)))*(PayEarnType="Monthly")*(PayEarnValues))/$AA85*12,IF(ISNUMBER(OFFSET($N$3,0,MATCH(AW$5,PayDedList,0)-1,1,1)),OFFSET($N$3,0,MATCH(AW$5,PayDedList,0)-1,1,1),IgnoreMin)))*IF(COUNTIFS(EmpNo,$C85,OFFSET(Emp!$R$4,1,MATCH(AW$5,DedListItem,0)-1,EmpCount,1),"&lt;&gt;")&gt;0,VLOOKUP($C85,EmpAll,COLUMN(Emp!$R$4)+MATCH(AW$5,DedListItem,0)-1,0),OFFSET(Setup!$E$73,MATCH(AW$5,DedListItem,0),0,1,1))*AW$3))),IF(ISNUMBER(AW$4),AW$4,IgnoreMin)))))</f>
        <v>0</v>
      </c>
      <c r="AX85" s="148">
        <f t="shared" ca="1" si="43"/>
        <v>180000</v>
      </c>
      <c r="AY85" s="148">
        <f t="shared" ca="1" si="44"/>
        <v>3600</v>
      </c>
      <c r="AZ85" s="148">
        <f ca="1">IF(ISNUMBER($AL85),($AR85*$AL85)-$AI85-$AK85,MAX(0,IF($AL85="B",IF($AR85&lt;Setup!$C$32,($AR85*Setup!$D$32)-$AI85-$AK85,(($AR85-VLOOKUP($AR85,TaxAll2,1,1))*OFFSET(Setup!$D$32,MATCH($AR85,TaxBracket2,1),0,1,1))+OFFSET(Setup!$E$31,MATCH($AR85,TaxBracket2,1),0,1,1)-$AI85-$AK85),IF($AR85&lt;Setup!$C$21,($AR85*Setup!$D$21)-$AI85-$AK85,(($AR85-VLOOKUP($AR85,TaxAll1,1,1))*OFFSET(Setup!$D$21,MATCH($AR85,TaxBracket1,1),0,1,1))+OFFSET(Setup!$E$20,MATCH($AR85,TaxBracket1,1),0,1,1)-$AI85-$AK85))))</f>
        <v>11445</v>
      </c>
      <c r="BA85" s="148">
        <f ca="1">IF(ISNUMBER($AL85),($AX85*$AL85)-$AI85-$AK85,MAX(0,IF($AL85="B",IF($AX85&lt;Setup!$C$32,($AX85*Setup!$D$32)-$AI85-$AK85,(($AX85-VLOOKUP($AX85,TaxAll2,1,1))*OFFSET(Setup!$D$32,MATCH($AX85,TaxBracket2,1),0,1,1))+OFFSET(Setup!$E$31,MATCH($AX85,TaxBracket2,1),0,1,1)-$AI85-$AK85),IF($AX85&lt;Setup!$C$21,($AX85*Setup!$D$21)-$AI85-$AK85,(($AX85-VLOOKUP($AX85,TaxAll1,1,1))*OFFSET(Setup!$D$21,MATCH($AX85,TaxBracket1,1),0,1,1))+OFFSET(Setup!$E$20,MATCH($AX85,TaxBracket1,1),0,1,1)-$AI85-$AK85))))</f>
        <v>10797</v>
      </c>
      <c r="BB85" s="148">
        <f t="shared" ca="1" si="35"/>
        <v>648</v>
      </c>
      <c r="BC85" s="150">
        <f t="shared" ca="1" si="45"/>
        <v>0.98039215686274506</v>
      </c>
      <c r="BD85" s="150">
        <f t="shared" ca="1" si="46"/>
        <v>1.9607843137254902E-2</v>
      </c>
      <c r="BE85" s="148">
        <f t="shared" ca="1" si="47"/>
        <v>183600</v>
      </c>
    </row>
    <row r="86" spans="1:57" ht="16.149999999999999" customHeight="1" x14ac:dyDescent="0.25">
      <c r="A86" s="10" t="str" cm="1">
        <f t="array" aca="1" ref="A86" ca="1">IF(ROW($A86)-ROW($A$6)&gt;EmpCount*12,"-",TEXT($B86,"yyyy")&amp;TEXT($B86,"mm")&amp;"-"&amp;$C86)</f>
        <v>202308-EXS005</v>
      </c>
      <c r="B86" s="137" cm="1">
        <f t="array" aca="1" ref="B86" ca="1">IF(ROW($A86)-ROW($A$6)&gt;EmpCount*12,Setup!$D$12,DATE(YEAR(Setup!$F$12),MONTH(Setup!$F$12)+ROUNDDOWN((ROW($A86)-ROW($A$6)-1)/EmpCount,0),IF(Setup!$C$14&gt;DAY(DATE(YEAR(Setup!$F$12),MONTH(Setup!$F$12)+ROUNDDOWN((ROW($A86)-ROW($A$6)-1)/EmpCount,0)+1,0)),DAY(DATE(YEAR(Setup!$F$12),MONTH(Setup!$F$12)+ROUNDDOWN((ROW($A86)-ROW($A$6)-1)/EmpCount,0)+1,0)),Setup!$C$14)))</f>
        <v>45163</v>
      </c>
      <c r="C86" s="101" t="str" cm="1">
        <f t="array" aca="1" ref="C86" ca="1">IF(ROW($A86)-ROW($A$6)&gt;EmpCount*12,"-",OFFSET(Emp!$A$4,ROW($A86)-ROW($A$6)-IF(ROW($A86)-ROW($A$6)&gt;EmpCount,ROUNDDOWN((ROW($A86)-ROW($A$6)-1)/EmpCount,0)*EmpCount,0),0,1,1))</f>
        <v>EXS005</v>
      </c>
      <c r="D86" s="10" t="str">
        <f ca="1">IF(ISNA(VLOOKUP($C86,EmpAll,COLUMN(Emp!$B$4),0)),"-",VLOOKUP($C86,EmpAll,COLUMN(Emp!$B$4),0))</f>
        <v>Miller R</v>
      </c>
      <c r="E86" s="145" t="str">
        <f ca="1">IF(ISNA(VLOOKUP($C86,EmpAll,COLUMN(Emp!$C$4),0)),"-",VLOOKUP($C86,EmpAll,COLUMN(Emp!$C$4),0))</f>
        <v>S</v>
      </c>
      <c r="F86" s="101" t="str">
        <f ca="1">IF(ISNA(VLOOKUP($C86,EmpAll,COLUMN(Emp!$A$4),0)),"-",IF(AND(VLOOKUP($C86,EmpAll,COLUMN(Emp!$E$4),0)&lt;&gt;0,VLOOKUP($C86,EmpAll,COLUMN(Emp!$E$4),0)&gt;=DATE(YEAR($AC86),MONTH($AC86)+1,0)),"Inactive",IF(AND(VLOOKUP($C86,EmpAll,COLUMN(Emp!$F$4),0)&lt;&gt;0,VLOOKUP($C86,EmpAll,COLUMN(Emp!$F$4),0)&lt;=DATE(YEAR($AC86),MONTH($AC86),0)),"Terminated","Active")))</f>
        <v>Active</v>
      </c>
      <c r="G86" s="133" cm="1">
        <f t="array" aca="1" ref="G86" ca="1">IF($F86&lt;&gt;"Active",0,IF(COUNTIFS(OverEmp,$C86,OverEarn,G$2,OverDate,"&lt;"&amp;DATE(YEAR($AC86),MONTH($AC86)+1,1),OverEnd,"&gt;="&amp;DATE(YEAR($AC86),MONTH($AC86),1))&gt;0,SUMIFS(OverValue,OverEmp,$C86,OverEarn,G$2,OverDate,"&lt;"&amp;DATE(YEAR($AC86),MONTH($AC86)+1,1),OverEnd,"&gt;="&amp;DATE(YEAR($AC86),MONTH($AC86),1)),IF(AND($AC86&gt;=Setup!$E$10,SUMIFS(EmpIncrease,EmpCode,$C86)&gt;0),SUMIFS(EmpIncrease,EmpCode,$C86),SUMIFS(EmpSalary,EmpCode,$C86))))</f>
        <v>10000</v>
      </c>
      <c r="H86" s="133" cm="1">
        <f t="array" aca="1" ref="H86" ca="1">IF($F86&lt;&gt;"Active",0,IF(COUNTIFS(OverEmp,$C86,OverEarn,H$2,OverDate,"&lt;"&amp;DATE(YEAR($AC86),MONTH($AC86)+1,1),OverEnd,"&gt;="&amp;DATE(YEAR($AC86),MONTH($AC86),1))&gt;0,SUMIFS(OverValue,OverEmp,$C86,OverEarn,H$2,OverDate,"&lt;"&amp;DATE(YEAR($AC86),MONTH($AC86)+1,1),OverEnd,"&gt;="&amp;DATE(YEAR($AC86),MONTH($AC86),1)),0))</f>
        <v>0</v>
      </c>
      <c r="I86" s="133" cm="1">
        <f t="array" aca="1" ref="I86" ca="1">IF($F86&lt;&gt;"Active",0,IF(COUNTIFS(OverEmp,$C86,OverEarn,I$2,OverDate,"&lt;"&amp;DATE(YEAR($AC86),MONTH($AC86)+1,1),OverEnd,"&gt;="&amp;DATE(YEAR($AC86),MONTH($AC86),1))&gt;0,SUMIFS(OverValue,OverEmp,$C86,OverEarn,I$2,OverDate,"&lt;"&amp;DATE(YEAR($AC86),MONTH($AC86)+1,1),OverEnd,"&gt;="&amp;DATE(YEAR($AC86),MONTH($AC86),1)),IF(MONTH(B86)=Setup!$C$15,SUMIFS(EmpBonus,EmpCode,$C86),0)))</f>
        <v>0</v>
      </c>
      <c r="J86" s="133" cm="1">
        <f t="array" aca="1" ref="J86" ca="1">IF($F86&lt;&gt;"Active",0,IF(COUNTIFS(OverEmp,$C86,OverEarn,J$2,OverDate,"&lt;"&amp;DATE(YEAR($AC86),MONTH($AC86)+1,1),OverEnd,"&gt;="&amp;DATE(YEAR($AC86),MONTH($AC86),1))&gt;0,SUMIFS(OverValue,OverEmp,$C86,OverEarn,J$2,OverDate,"&lt;"&amp;DATE(YEAR($AC86),MONTH($AC86)+1,1),OverEnd,"&gt;="&amp;DATE(YEAR($AC86),MONTH($AC86),1)),0))</f>
        <v>0</v>
      </c>
      <c r="K86" s="133" cm="1">
        <f t="array" aca="1" ref="K86" ca="1">IF($F86&lt;&gt;"Active",0,IF(COUNTIFS(OverEmp,$C86,OverEarn,K$2,OverDate,"&lt;"&amp;DATE(YEAR($AC86),MONTH($AC86)+1,1),OverEnd,"&gt;="&amp;DATE(YEAR($AC86),MONTH($AC86),1))&gt;0,SUMIFS(OverValue,OverEmp,$C86,OverEarn,K$2,OverDate,"&lt;"&amp;DATE(YEAR($AC86),MONTH($AC86)+1,1),OverEnd,"&gt;="&amp;DATE(YEAR($AC86),MONTH($AC86),1)),0))</f>
        <v>0</v>
      </c>
      <c r="L86" s="185">
        <f t="shared" ca="1" si="36"/>
        <v>10000</v>
      </c>
      <c r="M86" s="182" cm="1">
        <f t="array" aca="1" ref="M86" ca="1">IF(COUNTIFS(OverEmp,$C86,OverTax,M$5,OverDate,"&lt;"&amp;DATE(YEAR($AC86),MONTH($AC86)+1,1),OverEnd,"&gt;="&amp;DATE(YEAR($AC86),MONTH($AC86),1))&gt;0,SUMIFS(OverValue,OverEmp,$C86,OverTax,M$5,OverDate,"&lt;"&amp;DATE(YEAR($AC86),MONTH($AC86)+1,1),OverEnd,"&gt;="&amp;DATE(YEAR($AC86),MONTH($AC86),1)),(($BA86/12*$AA86)+(BB86*IF(1-$BC86=0,0,BD86/(1-$BC86))))-IF($F86="Terminated",0,SUMIFS(PayTaxDeduct,PayDate,"&lt;"&amp;$AC86,PayEmp,$C86)))</f>
        <v>0</v>
      </c>
      <c r="N86" s="133" cm="1">
        <f t="array" aca="1" ref="N86" ca="1">IF($F86="Terminated",0,IF($AA86=0,0,IF(ISNA(MATCH(N$5,DedListItem,0)),0,IF(COUNTIFS(OverEmp,$C86,OverDeduct,N$5,OverDate,"&lt;"&amp;DATE(YEAR($AC86),MONTH($AC86)+1,1),OverEnd,"&gt;="&amp;DATE(YEAR($AC86),MONTH($AC86),1))&gt;0,SUMIFS(OverValue,OverEmp,$C86,OverDeduct,N$5,OverDate,"&lt;"&amp;DATE(YEAR($AC86),MONTH($AC86)+1,1),OverEnd,"&gt;="&amp;DATE(YEAR($AC86),MONTH($AC86),1)),IF(OR(N$2="Fixed",N$2="Not Used"),(IF(COUNTIFS(EmpNo,$C86,OFFSET(Emp!$R$4,1,MATCH(N$5,DedListItem,0)-1,EmpCount,1),"&lt;&gt;")&gt;0,VLOOKUP($C86,EmpAll,COLUMN(Emp!$R$4)+MATCH(N$5,DedListItem,0)-1,0),OFFSET(Setup!$E$73,MATCH(N$5,DedListItem,0),0,1,1))*$AA86)-SUMIFS(OFFSET(N$6,1,0,PayCount,1),PayDate,"&lt;"&amp;$AC86,PayEmp,$C86),IF(ISNA(MATCH(N$2,EarnListItem,0))=FALSE,IF(OFFSET(Setup!$G$73,MATCH(N$5,DedListItem,0),0,1,1)="Taxable",SUMPRODUCT((PayEmp=$C86)*(PayDate&lt;=$AC86)*(PayEarnCode=N$2)*(PayEarnTax)*(PayEarnValues)),SUMPRODUCT((PayEmp=$C86)*(PayDate&lt;=$AC86)*(PayEarnCode=N$2)*(PayEarnValues)))*IF(COUNTIFS(EmpNo,$C86,OFFSET(Emp!$R$4,1,MATCH(N$5,DedListItem,0)-1,EmpCount,1),"&lt;&gt;")&gt;0,VLOOKUP($C86,EmpAll,COLUMN(Emp!$R$4)+MATCH(N$5,DedListItem,0)-1,0),OFFSET(Setup!$E$73,MATCH(N$5,DedListItem,0),0,1,1)),(MIN(IF(OFFSET(Setup!$G$73,MATCH(N$5,DedListItem,0),0,1,1)="Taxable",SUMPRODUCT((PayEmp=$C86)*(PayDate&lt;=$AC86)*(ISERROR(SEARCH(PayEarnCode,N$4)))*(PayEarnTax)*(PayEarnValues)),SUMPRODUCT((PayEmp=$C86)*(PayDate&lt;=$AC86)*(ISERROR(SEARCH(PayEarnCode,N$4)))*(PayEarnValues))),IF(ISNUMBER(N$3),N$3/12*$AA86,IgnoreMin)))*IF(COUNTIFS(EmpNo,$C86,OFFSET(Emp!$R$4,1,MATCH(N$5,DedListItem,0)-1,EmpCount,1),"&lt;&gt;")&gt;0,VLOOKUP($C86,EmpAll,COLUMN(Emp!$R$4)+MATCH(N$5,DedListItem,0)-1,0),OFFSET(Setup!$E$73,MATCH(N$5,DedListItem,0),0,1,1)))-SUMIFS(OFFSET(N$6,1,0,PayCount,1),PayDate,"&lt;"&amp;$AC86,PayEmp,$C86))))))</f>
        <v>100</v>
      </c>
      <c r="O86" s="133" cm="1">
        <f t="array" aca="1" ref="O86" ca="1">IF($F86="Terminated",0,IF($AA86=0,0,IF(ISNA(MATCH(O$5,DedListItem,0)),0,IF(COUNTIFS(OverEmp,$C86,OverDeduct,O$5,OverDate,"&lt;"&amp;DATE(YEAR($AC86),MONTH($AC86)+1,1),OverEnd,"&gt;="&amp;DATE(YEAR($AC86),MONTH($AC86),1))&gt;0,SUMIFS(OverValue,OverEmp,$C86,OverDeduct,O$5,OverDate,"&lt;"&amp;DATE(YEAR($AC86),MONTH($AC86)+1,1),OverEnd,"&gt;="&amp;DATE(YEAR($AC86),MONTH($AC86),1)),IF(OR(O$2="Fixed",O$2="Not Used"),(IF(COUNTIFS(EmpNo,$C86,OFFSET(Emp!$R$4,1,MATCH(O$5,DedListItem,0)-1,EmpCount,1),"&lt;&gt;")&gt;0,VLOOKUP($C86,EmpAll,COLUMN(Emp!$R$4)+MATCH(O$5,DedListItem,0)-1,0),OFFSET(Setup!$E$73,MATCH(O$5,DedListItem,0),0,1,1))*$AA86)-SUMIFS(OFFSET(O$6,1,0,PayCount,1),PayDate,"&lt;"&amp;$AC86,PayEmp,$C86),IF(ISNA(MATCH(O$2,EarnListItem,0))=FALSE,IF(OFFSET(Setup!$G$73,MATCH(O$5,DedListItem,0),0,1,1)="Taxable",SUMPRODUCT((PayEmp=$C86)*(PayDate&lt;=$AC86)*(PayEarnCode=O$2)*(PayEarnTax)*(PayEarnValues)),SUMPRODUCT((PayEmp=$C86)*(PayDate&lt;=$AC86)*(PayEarnCode=O$2)*(PayEarnValues)))*IF(COUNTIFS(EmpNo,$C86,OFFSET(Emp!$R$4,1,MATCH(O$5,DedListItem,0)-1,EmpCount,1),"&lt;&gt;")&gt;0,VLOOKUP($C86,EmpAll,COLUMN(Emp!$R$4)+MATCH(O$5,DedListItem,0)-1,0),OFFSET(Setup!$E$73,MATCH(O$5,DedListItem,0),0,1,1)),(MIN(IF(OFFSET(Setup!$G$73,MATCH(O$5,DedListItem,0),0,1,1)="Taxable",SUMPRODUCT((PayEmp=$C86)*(PayDate&lt;=$AC86)*(ISERROR(SEARCH(PayEarnCode,O$4)))*(PayEarnTax)*(PayEarnValues)),SUMPRODUCT((PayEmp=$C86)*(PayDate&lt;=$AC86)*(ISERROR(SEARCH(PayEarnCode,O$4)))*(PayEarnValues))),IF(ISNUMBER(O$3),O$3/12*$AA86,IgnoreMin)))*IF(COUNTIFS(EmpNo,$C86,OFFSET(Emp!$R$4,1,MATCH(O$5,DedListItem,0)-1,EmpCount,1),"&lt;&gt;")&gt;0,VLOOKUP($C86,EmpAll,COLUMN(Emp!$R$4)+MATCH(O$5,DedListItem,0)-1,0),OFFSET(Setup!$E$73,MATCH(O$5,DedListItem,0),0,1,1)))-SUMIFS(OFFSET(O$6,1,0,PayCount,1),PayDate,"&lt;"&amp;$AC86,PayEmp,$C86))))))</f>
        <v>0</v>
      </c>
      <c r="P86" s="133" cm="1">
        <f t="array" aca="1" ref="P86" ca="1">IF($F86="Terminated",0,IF($AA86=0,0,IF(ISNA(MATCH(P$5,DedListItem,0)),0,IF(COUNTIFS(OverEmp,$C86,OverDeduct,P$5,OverDate,"&lt;"&amp;DATE(YEAR($AC86),MONTH($AC86)+1,1),OverEnd,"&gt;="&amp;DATE(YEAR($AC86),MONTH($AC86),1))&gt;0,SUMIFS(OverValue,OverEmp,$C86,OverDeduct,P$5,OverDate,"&lt;"&amp;DATE(YEAR($AC86),MONTH($AC86)+1,1),OverEnd,"&gt;="&amp;DATE(YEAR($AC86),MONTH($AC86),1)),IF(OR(P$2="Fixed",P$2="Not Used"),(IF(COUNTIFS(EmpNo,$C86,OFFSET(Emp!$R$4,1,MATCH(P$5,DedListItem,0)-1,EmpCount,1),"&lt;&gt;")&gt;0,VLOOKUP($C86,EmpAll,COLUMN(Emp!$R$4)+MATCH(P$5,DedListItem,0)-1,0),OFFSET(Setup!$E$73,MATCH(P$5,DedListItem,0),0,1,1))*$AA86)-SUMIFS(OFFSET(P$6,1,0,PayCount,1),PayDate,"&lt;"&amp;$AC86,PayEmp,$C86),IF(ISNA(MATCH(P$2,EarnListItem,0))=FALSE,IF(OFFSET(Setup!$G$73,MATCH(P$5,DedListItem,0),0,1,1)="Taxable",SUMPRODUCT((PayEmp=$C86)*(PayDate&lt;=$AC86)*(PayEarnCode=P$2)*(PayEarnTax)*(PayEarnValues)),SUMPRODUCT((PayEmp=$C86)*(PayDate&lt;=$AC86)*(PayEarnCode=P$2)*(PayEarnValues)))*IF(COUNTIFS(EmpNo,$C86,OFFSET(Emp!$R$4,1,MATCH(P$5,DedListItem,0)-1,EmpCount,1),"&lt;&gt;")&gt;0,VLOOKUP($C86,EmpAll,COLUMN(Emp!$R$4)+MATCH(P$5,DedListItem,0)-1,0),OFFSET(Setup!$E$73,MATCH(P$5,DedListItem,0),0,1,1)),(MIN(IF(OFFSET(Setup!$G$73,MATCH(P$5,DedListItem,0),0,1,1)="Taxable",SUMPRODUCT((PayEmp=$C86)*(PayDate&lt;=$AC86)*(ISERROR(SEARCH(PayEarnCode,P$4)))*(PayEarnTax)*(PayEarnValues)),SUMPRODUCT((PayEmp=$C86)*(PayDate&lt;=$AC86)*(ISERROR(SEARCH(PayEarnCode,P$4)))*(PayEarnValues))),IF(ISNUMBER(P$3),P$3/12*$AA86,IgnoreMin)))*IF(COUNTIFS(EmpNo,$C86,OFFSET(Emp!$R$4,1,MATCH(P$5,DedListItem,0)-1,EmpCount,1),"&lt;&gt;")&gt;0,VLOOKUP($C86,EmpAll,COLUMN(Emp!$R$4)+MATCH(P$5,DedListItem,0)-1,0),OFFSET(Setup!$E$73,MATCH(P$5,DedListItem,0),0,1,1)))-SUMIFS(OFFSET(P$6,1,0,PayCount,1),PayDate,"&lt;"&amp;$AC86,PayEmp,$C86))))))</f>
        <v>0</v>
      </c>
      <c r="Q86" s="133" cm="1">
        <f t="array" aca="1" ref="Q86" ca="1">IF($F86="Terminated",0,IF($AA86=0,0,IF(ISNA(MATCH(Q$5,DedListItem,0)),0,IF(COUNTIFS(OverEmp,$C86,OverDeduct,Q$5,OverDate,"&lt;"&amp;DATE(YEAR($AC86),MONTH($AC86)+1,1),OverEnd,"&gt;="&amp;DATE(YEAR($AC86),MONTH($AC86),1))&gt;0,SUMIFS(OverValue,OverEmp,$C86,OverDeduct,Q$5,OverDate,"&lt;"&amp;DATE(YEAR($AC86),MONTH($AC86)+1,1),OverEnd,"&gt;="&amp;DATE(YEAR($AC86),MONTH($AC86),1)),IF(OR(Q$2="Fixed",Q$2="Not Used"),(IF(COUNTIFS(EmpNo,$C86,OFFSET(Emp!$R$4,1,MATCH(Q$5,DedListItem,0)-1,EmpCount,1),"&lt;&gt;")&gt;0,VLOOKUP($C86,EmpAll,COLUMN(Emp!$R$4)+MATCH(Q$5,DedListItem,0)-1,0),OFFSET(Setup!$E$73,MATCH(Q$5,DedListItem,0),0,1,1))*$AA86)-SUMIFS(OFFSET(Q$6,1,0,PayCount,1),PayDate,"&lt;"&amp;$AC86,PayEmp,$C86),IF(ISNA(MATCH(Q$2,EarnListItem,0))=FALSE,IF(OFFSET(Setup!$G$73,MATCH(Q$5,DedListItem,0),0,1,1)="Taxable",SUMPRODUCT((PayEmp=$C86)*(PayDate&lt;=$AC86)*(PayEarnCode=Q$2)*(PayEarnTax)*(PayEarnValues)),SUMPRODUCT((PayEmp=$C86)*(PayDate&lt;=$AC86)*(PayEarnCode=Q$2)*(PayEarnValues)))*IF(COUNTIFS(EmpNo,$C86,OFFSET(Emp!$R$4,1,MATCH(Q$5,DedListItem,0)-1,EmpCount,1),"&lt;&gt;")&gt;0,VLOOKUP($C86,EmpAll,COLUMN(Emp!$R$4)+MATCH(Q$5,DedListItem,0)-1,0),OFFSET(Setup!$E$73,MATCH(Q$5,DedListItem,0),0,1,1)),(MIN(IF(OFFSET(Setup!$G$73,MATCH(Q$5,DedListItem,0),0,1,1)="Taxable",SUMPRODUCT((PayEmp=$C86)*(PayDate&lt;=$AC86)*(ISERROR(SEARCH(PayEarnCode,Q$4)))*(PayEarnTax)*(PayEarnValues)),SUMPRODUCT((PayEmp=$C86)*(PayDate&lt;=$AC86)*(ISERROR(SEARCH(PayEarnCode,Q$4)))*(PayEarnValues))),IF(ISNUMBER(Q$3),Q$3/12*$AA86,IgnoreMin)))*IF(COUNTIFS(EmpNo,$C86,OFFSET(Emp!$R$4,1,MATCH(Q$5,DedListItem,0)-1,EmpCount,1),"&lt;&gt;")&gt;0,VLOOKUP($C86,EmpAll,COLUMN(Emp!$R$4)+MATCH(Q$5,DedListItem,0)-1,0),OFFSET(Setup!$E$73,MATCH(Q$5,DedListItem,0),0,1,1)))-SUMIFS(OFFSET(Q$6,1,0,PayCount,1),PayDate,"&lt;"&amp;$AC86,PayEmp,$C86))))))</f>
        <v>0</v>
      </c>
      <c r="R86" s="185">
        <f t="shared" ca="1" si="37"/>
        <v>100</v>
      </c>
      <c r="S86" s="139">
        <f t="shared" ca="1" si="38"/>
        <v>9900</v>
      </c>
      <c r="T86" s="133" cm="1">
        <f t="array" aca="1" ref="T86" ca="1">IF($F86="Terminated",0,IF($AA86=0,0,IF(ISNA(MATCH(T$5,CompListItem,0)),0,IF(COUNTIFS(OverEmp,$C86,OverComp,T$5,OverDate,"&lt;"&amp;DATE(YEAR($AC86),MONTH($AC86)+1,1),OverEnd,"&gt;="&amp;DATE(YEAR($AC86),MONTH($AC86),1))&gt;0,SUMIFS(OverValue,OverEmp,$C86,OverComp,T$5,OverDate,"&lt;"&amp;DATE(YEAR($AC86),MONTH($AC86)+1,1),OverEnd,"&gt;="&amp;DATE(YEAR($AC86),MONTH($AC86),1)),IF(OR(T$2="Fixed",T$2="Not Used"),(OFFSET(Setup!$E$81,MATCH(T$5,CompListItem,0),0,1,1)*$AA86)-SUMIFS(OFFSET(T$6,1,0,PayCount,1),PayDate,"&lt;"&amp;$AC86,PayEmp,$C86),IF(ISNA(MATCH(T$2,DedListItem,0))=FALSE,(SUMPRODUCT((PayEmp=$C86)*(PayDate&lt;=$AC86)*(PayDedList=T$2)*(PayDedValues))*OFFSET(Setup!$E$81,MATCH(T$5,CompListItem,0),0,1,1))-SUMIFS(OFFSET(T$6,1,0,PayCount,1),PayDate,"&lt;"&amp;$AC86,PayEmp,$C86),(MIN(IF(OFFSET(Setup!$G$81,MATCH(T$5,CompListItem,0),0,1,1)="Taxable",SUMPRODUCT((PayEmp=$C86)*(PayDate&lt;=$AC86)*(ISERROR(SEARCH(PayEarnCode,T$4)))*(PayEarnTax)*(PayEarnValues)),SUMPRODUCT((PayEmp=$C86)*(PayDate&lt;=$AC86)*(ISERROR(SEARCH(PayEarnCode,T$4)))*(PayEarnValues))),IF(ISNUMBER(T$3),T$3/12*$AA86,IgnoreMin)))*OFFSET(Setup!$E$81,MATCH(T$5,CompListItem,0),0,1,1)-SUMIFS(OFFSET(T$6,1,0,PayCount,1),PayDate,"&lt;"&amp;$AC86,PayEmp,$C86)))))))</f>
        <v>100</v>
      </c>
      <c r="U86" s="133" cm="1">
        <f t="array" aca="1" ref="U86" ca="1">IF($F86="Terminated",0,IF($AA86=0,0,IF(ISNA(MATCH(U$5,CompListItem,0)),0,IF(COUNTIFS(OverEmp,$C86,OverComp,U$5,OverDate,"&lt;"&amp;DATE(YEAR($AC86),MONTH($AC86)+1,1),OverEnd,"&gt;="&amp;DATE(YEAR($AC86),MONTH($AC86),1))&gt;0,SUMIFS(OverValue,OverEmp,$C86,OverComp,U$5,OverDate,"&lt;"&amp;DATE(YEAR($AC86),MONTH($AC86)+1,1),OverEnd,"&gt;="&amp;DATE(YEAR($AC86),MONTH($AC86),1)),IF(OR(U$2="Fixed",U$2="Not Used"),(OFFSET(Setup!$E$81,MATCH(U$5,CompListItem,0),0,1,1)*$AA86)-SUMIFS(OFFSET(U$6,1,0,PayCount,1),PayDate,"&lt;"&amp;$AC86,PayEmp,$C86),IF(ISNA(MATCH(U$2,DedListItem,0))=FALSE,(SUMPRODUCT((PayEmp=$C86)*(PayDate&lt;=$AC86)*(PayDedList=U$2)*(PayDedValues))*OFFSET(Setup!$E$81,MATCH(U$5,CompListItem,0),0,1,1))-SUMIFS(OFFSET(U$6,1,0,PayCount,1),PayDate,"&lt;"&amp;$AC86,PayEmp,$C86),(MIN(IF(OFFSET(Setup!$G$81,MATCH(U$5,CompListItem,0),0,1,1)="Taxable",SUMPRODUCT((PayEmp=$C86)*(PayDate&lt;=$AC86)*(ISERROR(SEARCH(PayEarnCode,U$4)))*(PayEarnTax)*(PayEarnValues)),SUMPRODUCT((PayEmp=$C86)*(PayDate&lt;=$AC86)*(ISERROR(SEARCH(PayEarnCode,U$4)))*(PayEarnValues))),IF(ISNUMBER(U$3),U$3/12*$AA86,IgnoreMin)))*OFFSET(Setup!$E$81,MATCH(U$5,CompListItem,0),0,1,1)-SUMIFS(OFFSET(U$6,1,0,PayCount,1),PayDate,"&lt;"&amp;$AC86,PayEmp,$C86)))))))</f>
        <v>100</v>
      </c>
      <c r="V86" s="133" cm="1">
        <f t="array" aca="1" ref="V86" ca="1">IF($F86="Terminated",0,IF($AA86=0,0,IF(ISNA(MATCH(V$5,CompListItem,0)),0,IF(COUNTIFS(OverEmp,$C86,OverComp,V$5,OverDate,"&lt;"&amp;DATE(YEAR($AC86),MONTH($AC86)+1,1),OverEnd,"&gt;="&amp;DATE(YEAR($AC86),MONTH($AC86),1))&gt;0,SUMIFS(OverValue,OverEmp,$C86,OverComp,V$5,OverDate,"&lt;"&amp;DATE(YEAR($AC86),MONTH($AC86)+1,1),OverEnd,"&gt;="&amp;DATE(YEAR($AC86),MONTH($AC86),1)),IF(OR(V$2="Fixed",V$2="Not Used"),(OFFSET(Setup!$E$81,MATCH(V$5,CompListItem,0),0,1,1)*$AA86)-SUMIFS(OFFSET(V$6,1,0,PayCount,1),PayDate,"&lt;"&amp;$AC86,PayEmp,$C86),IF(ISNA(MATCH(V$2,DedListItem,0))=FALSE,(SUMPRODUCT((PayEmp=$C86)*(PayDate&lt;=$AC86)*(PayDedList=V$2)*(PayDedValues))*OFFSET(Setup!$E$81,MATCH(V$5,CompListItem,0),0,1,1))-SUMIFS(OFFSET(V$6,1,0,PayCount,1),PayDate,"&lt;"&amp;$AC86,PayEmp,$C86),(MIN(IF(OFFSET(Setup!$G$81,MATCH(V$5,CompListItem,0),0,1,1)="Taxable",SUMPRODUCT((PayEmp=$C86)*(PayDate&lt;=$AC86)*(ISERROR(SEARCH(PayEarnCode,V$4)))*(PayEarnTax)*(PayEarnValues)),SUMPRODUCT((PayEmp=$C86)*(PayDate&lt;=$AC86)*(ISERROR(SEARCH(PayEarnCode,V$4)))*(PayEarnValues))),IF(ISNUMBER(V$3),V$3/12*$AA86,IgnoreMin)))*OFFSET(Setup!$E$81,MATCH(V$5,CompListItem,0),0,1,1)-SUMIFS(OFFSET(V$6,1,0,PayCount,1),PayDate,"&lt;"&amp;$AC86,PayEmp,$C86)))))))</f>
        <v>0</v>
      </c>
      <c r="W86" s="133" cm="1">
        <f t="array" aca="1" ref="W86" ca="1">IF($F86="Terminated",0,IF($AA86=0,0,IF(ISNA(MATCH(W$5,CompListItem,0)),0,IF(COUNTIFS(OverEmp,$C86,OverComp,W$5,OverDate,"&lt;"&amp;DATE(YEAR($AC86),MONTH($AC86)+1,1),OverEnd,"&gt;="&amp;DATE(YEAR($AC86),MONTH($AC86),1))&gt;0,SUMIFS(OverValue,OverEmp,$C86,OverComp,W$5,OverDate,"&lt;"&amp;DATE(YEAR($AC86),MONTH($AC86)+1,1),OverEnd,"&gt;="&amp;DATE(YEAR($AC86),MONTH($AC86),1)),IF(OR(W$2="Fixed",W$2="Not Used"),(OFFSET(Setup!$E$81,MATCH(W$5,CompListItem,0),0,1,1)*$AA86)-SUMIFS(OFFSET(W$6,1,0,PayCount,1),PayDate,"&lt;"&amp;$AC86,PayEmp,$C86),IF(ISNA(MATCH(W$2,DedListItem,0))=FALSE,(SUMPRODUCT((PayEmp=$C86)*(PayDate&lt;=$AC86)*(PayDedList=W$2)*(PayDedValues))*OFFSET(Setup!$E$81,MATCH(W$5,CompListItem,0),0,1,1))-SUMIFS(OFFSET(W$6,1,0,PayCount,1),PayDate,"&lt;"&amp;$AC86,PayEmp,$C86),(MIN(IF(OFFSET(Setup!$G$81,MATCH(W$5,CompListItem,0),0,1,1)="Taxable",SUMPRODUCT((PayEmp=$C86)*(PayDate&lt;=$AC86)*(ISERROR(SEARCH(PayEarnCode,W$4)))*(PayEarnTax)*(PayEarnValues)),SUMPRODUCT((PayEmp=$C86)*(PayDate&lt;=$AC86)*(ISERROR(SEARCH(PayEarnCode,W$4)))*(PayEarnValues))),IF(ISNUMBER(W$3),W$3/12*$AA86,IgnoreMin)))*OFFSET(Setup!$E$81,MATCH(W$5,CompListItem,0),0,1,1)-SUMIFS(OFFSET(W$6,1,0,PayCount,1),PayDate,"&lt;"&amp;$AC86,PayEmp,$C86)))))))</f>
        <v>0</v>
      </c>
      <c r="X86" s="185">
        <f t="shared" ca="1" si="30"/>
        <v>200</v>
      </c>
      <c r="Y86" s="139">
        <f t="shared" ca="1" si="39"/>
        <v>10200</v>
      </c>
      <c r="Z86" s="139">
        <f t="shared" ca="1" si="31"/>
        <v>300</v>
      </c>
      <c r="AA86" s="146">
        <f ca="1">IF(OR($B86&lt;=Setup!$E$12,$B86&gt;=Setup!$D$12+1),0,IF($F86&lt;&gt;"Active",0,IF($AE86="Yes",$AB86,((YEAR($AC86)*12)+MONTH($AC86))-((YEAR($AD86)*12)+MONTH($AD86)-1))))</f>
        <v>6</v>
      </c>
      <c r="AB86" s="146">
        <f ca="1">IF(OR($B86&lt;=Setup!$E$12,$B86&gt;=Setup!$D$12+1),0,((YEAR($AC86)*12)+MONTH($AC86))-((YEAR(Setup!$E$12)*12)+MONTH(Setup!$E$12)))</f>
        <v>6</v>
      </c>
      <c r="AC86" s="186">
        <f t="shared" ca="1" si="32"/>
        <v>45163</v>
      </c>
      <c r="AD86" s="144">
        <f ca="1">IF(ISNA(VLOOKUP($C86,EmpAll,COLUMN(Emp!$E$4),0)),$AC86,IF(VLOOKUP($C86,EmpAll,COLUMN(Emp!$E$4),0)&lt;=Setup!$E$12,DATE(YEAR(Setup!$E$12),MONTH(Setup!$E$12)+1,1),VLOOKUP($C86,EmpAll,COLUMN(Emp!$E$4),0)))</f>
        <v>44986</v>
      </c>
      <c r="AE86" s="144" t="str">
        <f ca="1">IF(ISNA(VLOOKUP($C86,EmpAll,COLUMN(Emp!$G$1),0)),"-",IF(VLOOKUP($C86,EmpAll,COLUMN(Emp!$G$1),0)=0,"-",VLOOKUP($C86,EmpAll,COLUMN(Emp!$G$1),0)))</f>
        <v>-</v>
      </c>
      <c r="AF86" s="145">
        <f ca="1">IF(A86=PaySlip!$G$3,1,0)</f>
        <v>0</v>
      </c>
      <c r="AG86" s="130" cm="1">
        <f t="array" aca="1" ref="AG86" ca="1">IF(COUNTIFS(OverEmp,$C86,OverMed,"MED",OverDate,"&lt;"&amp;DATE(YEAR($AC86),MONTH($AC86)+1,1),OverEnd,"&gt;="&amp;DATE(YEAR($AC86),MONTH($AC86),1))&gt;0,SUMIFS(OverValue,OverEmp,$C86,OverMed,"MED",OverDate,"&lt;"&amp;DATE(YEAR($AC86),MONTH($AC86)+1,1),OverEnd,"&gt;="&amp;DATE(YEAR($AC86),MONTH($AC86),1)),IF(ISNA(VLOOKUP($C86,EmpAll,COLUMN(Emp!$N$4),0)),0,VLOOKUP($C86,EmpAll,COLUMN(Emp!$N$4),0)))</f>
        <v>1</v>
      </c>
      <c r="AH86" s="146">
        <f ca="1">VLOOKUP($AG86,MedList,COLUMN(Setup!$C$49),1)</f>
        <v>364</v>
      </c>
      <c r="AI86" s="146">
        <f t="shared" ca="1" si="40"/>
        <v>4368</v>
      </c>
      <c r="AJ86" s="101" t="str">
        <f ca="1">IF(ISNA(VLOOKUP($C86,EmpAll,COLUMN(Emp!$L$4),0)),"None!",VLOOKUP($C86,EmpAll,COLUMN(Emp!$L$4),0))</f>
        <v>A</v>
      </c>
      <c r="AK86" s="147">
        <f t="shared" ca="1" si="33"/>
        <v>17235</v>
      </c>
      <c r="AL86" s="101" t="str">
        <f ca="1">IF(ISNA(VLOOKUP($C86,Employees[],COLUMN(Emp!$M$4),0))=TRUE,"Error!",IF(VLOOKUP($C86,Employees[],COLUMN(Emp!$M$4),0)=0,"Yes",VLOOKUP($C86,Employees[],COLUMN(Emp!$M$4),0)))</f>
        <v>A</v>
      </c>
      <c r="AM86" s="148">
        <f t="shared" ca="1" si="41"/>
        <v>120000</v>
      </c>
      <c r="AN86" s="148" cm="1">
        <f t="array" aca="1" ref="AN86" ca="1">-IF($F86="Terminated",0,IF($AA86=0,0,IF(ISNA(MATCH(AN$5,PayDedList,0)),0,MIN(IF(COUNTIFS(OverEmp,$C86,OverDeduct,AN$5,OverDate,"&lt;"&amp;DATE(YEAR($AC86),MONTH($AC86)+1,1),OverEnd,"&gt;="&amp;DATE(YEAR($AC86),MONTH($AC86),1))&gt;0,SUMPRODUCT((PayEmp=$C86)*(PayDate&lt;=$AC86)*(OFFSET($N$6,1,MATCH(AN$5,PayDedList,0)-1,PayCount,1)))/$AA86*12*AN$3,IF(OR(AN$1="Fixed",AN$1="Not Used"),SUMPRODUCT((PayEmp=$C86)*(PayDate&lt;=$AC86)*(OFFSET($N$6,1,MATCH(AN$5,PayDedList,0)-1,PayCount,1)))/$AA86*12*AN$3,IF(ISNA(MATCH(AN$1,EarnListItem,0))=FALSE,SUMPRODUCT((PayEmp=$C86)*(PayDate&lt;=$AC86)*(OFFSET($N$6,1,MATCH(AN$5,PayDedList,0)-1,PayCount,1)))/$AA86*12*AN$3,(MIN(((SUMPRODUCT((PayEmp=$C86)*(PayDate&lt;=$AC86)*(ISERROR(SEARCH(PayEarnCode,AN$2)))*(PayEarnType="Monthly")*(PayEarnValues))/$AA86*12)+(SUMPRODUCT((PayEmp=$C86)*(PayDate&lt;=$AC86)*(ISERROR(SEARCH(PayEarnCode,AN$2)))*(PayEarnType="Quarterly")*(PayEarnValues))/MAX(1,ROUNDDOWN($AB86/3,0))*4)+(SUMPRODUCT((PayEmp=$C86)*(PayDate&lt;=$AC86)*(ISERROR(SEARCH(PayEarnCode,AN$2)))*(PayEarnType="Bi-Annual")*(PayEarnValues))/MAX(1,ROUNDDOWN($AB86/6,0))*2)+(SUMPRODUCT((PayEmp=$C86)*(PayDate&lt;=$AC86)*(ISERROR(SEARCH(PayEarnCode,AN$2)))*(PayEarnType="Annual")*(PayEarnValues)))),IF(ISNUMBER(OFFSET($N$3,0,MATCH(AN$5,PayDedList,0)-1,1,1)),OFFSET($N$3,0,MATCH(AN$5,PayDedList,0)-1,1,1),IgnoreMin)))*IF(COUNTIFS(EmpNo,$C86,OFFSET(Emp!$R$4,1,MATCH(AN$5,DedListItem,0)-1,EmpCount,1),"&lt;&gt;")&gt;0,VLOOKUP($C86,EmpAll,COLUMN(Emp!$R$4)+MATCH(AN$5,DedListItem,0)-1,0),OFFSET(Setup!$E$73,MATCH(AN$5,DedListItem,0),0,1,1))*AN$3))),IF(ISNUMBER(AN$4),AN$4,IgnoreMin)))))</f>
        <v>0</v>
      </c>
      <c r="AO86" s="148" cm="1">
        <f t="array" aca="1" ref="AO86" ca="1">-IF($F86="Terminated",0,IF($AA86=0,0,IF(ISNA(MATCH(AO$5,PayDedList,0)),0,MIN(IF(COUNTIFS(OverEmp,$C86,OverDeduct,AO$5,OverDate,"&lt;"&amp;DATE(YEAR($AC86),MONTH($AC86)+1,1),OverEnd,"&gt;="&amp;DATE(YEAR($AC86),MONTH($AC86),1))&gt;0,SUMPRODUCT((PayEmp=$C86)*(PayDate&lt;=$AC86)*(OFFSET($N$6,1,MATCH(AO$5,PayDedList,0)-1,PayCount,1)))/$AA86*12*AO$3,IF(OR(AO$1="Fixed",AO$1="Not Used"),SUMPRODUCT((PayEmp=$C86)*(PayDate&lt;=$AC86)*(OFFSET($N$6,1,MATCH(AO$5,PayDedList,0)-1,PayCount,1)))/$AA86*12*AO$3,IF(ISNA(MATCH(AO$1,EarnListItem,0))=FALSE,SUMPRODUCT((PayEmp=$C86)*(PayDate&lt;=$AC86)*(OFFSET($N$6,1,MATCH(AO$5,PayDedList,0)-1,PayCount,1)))/$AA86*12*AO$3,(MIN(((SUMPRODUCT((PayEmp=$C86)*(PayDate&lt;=$AC86)*(ISERROR(SEARCH(PayEarnCode,AO$2)))*(PayEarnType="Monthly")*(PayEarnValues))/$AA86*12)+(SUMPRODUCT((PayEmp=$C86)*(PayDate&lt;=$AC86)*(ISERROR(SEARCH(PayEarnCode,AO$2)))*(PayEarnType="Quarterly")*(PayEarnValues))/MAX(1,ROUNDDOWN($AB86/3,0))*4)+(SUMPRODUCT((PayEmp=$C86)*(PayDate&lt;=$AC86)*(ISERROR(SEARCH(PayEarnCode,AO$2)))*(PayEarnType="Bi-Annual")*(PayEarnValues))/MAX(1,ROUNDDOWN($AB86/6,0))*2)+(SUMPRODUCT((PayEmp=$C86)*(PayDate&lt;=$AC86)*(ISERROR(SEARCH(PayEarnCode,AO$2)))*(PayEarnType="Annual")*(PayEarnValues)))),IF(ISNUMBER(OFFSET($N$3,0,MATCH(AO$5,PayDedList,0)-1,1,1)),OFFSET($N$3,0,MATCH(AO$5,PayDedList,0)-1,1,1),IgnoreMin)))*IF(COUNTIFS(EmpNo,$C86,OFFSET(Emp!$R$4,1,MATCH(AO$5,DedListItem,0)-1,EmpCount,1),"&lt;&gt;")&gt;0,VLOOKUP($C86,EmpAll,COLUMN(Emp!$R$4)+MATCH(AO$5,DedListItem,0)-1,0),OFFSET(Setup!$E$73,MATCH(AO$5,DedListItem,0),0,1,1))*AO$3))),IF(ISNUMBER(AO$4),AO$4,IgnoreMin)))))</f>
        <v>0</v>
      </c>
      <c r="AP86" s="148" cm="1">
        <f t="array" aca="1" ref="AP86" ca="1">-IF($F86="Terminated",0,IF($AA86=0,0,IF(ISNA(MATCH(AP$5,PayDedList,0)),0,MIN(IF(COUNTIFS(OverEmp,$C86,OverDeduct,AP$5,OverDate,"&lt;"&amp;DATE(YEAR($AC86),MONTH($AC86)+1,1),OverEnd,"&gt;="&amp;DATE(YEAR($AC86),MONTH($AC86),1))&gt;0,SUMPRODUCT((PayEmp=$C86)*(PayDate&lt;=$AC86)*(OFFSET($N$6,1,MATCH(AP$5,PayDedList,0)-1,PayCount,1)))/$AA86*12*AP$3,IF(OR(AP$1="Fixed",AP$1="Not Used"),SUMPRODUCT((PayEmp=$C86)*(PayDate&lt;=$AC86)*(OFFSET($N$6,1,MATCH(AP$5,PayDedList,0)-1,PayCount,1)))/$AA86*12*AP$3,IF(ISNA(MATCH(AP$1,EarnListItem,0))=FALSE,SUMPRODUCT((PayEmp=$C86)*(PayDate&lt;=$AC86)*(OFFSET($N$6,1,MATCH(AP$5,PayDedList,0)-1,PayCount,1)))/$AA86*12*AP$3,(MIN(((SUMPRODUCT((PayEmp=$C86)*(PayDate&lt;=$AC86)*(ISERROR(SEARCH(PayEarnCode,AP$2)))*(PayEarnType="Monthly")*(PayEarnValues))/$AA86*12)+(SUMPRODUCT((PayEmp=$C86)*(PayDate&lt;=$AC86)*(ISERROR(SEARCH(PayEarnCode,AP$2)))*(PayEarnType="Quarterly")*(PayEarnValues))/MAX(1,ROUNDDOWN($AB86/3,0))*4)+(SUMPRODUCT((PayEmp=$C86)*(PayDate&lt;=$AC86)*(ISERROR(SEARCH(PayEarnCode,AP$2)))*(PayEarnType="Bi-Annual")*(PayEarnValues))/MAX(1,ROUNDDOWN($AB86/6,0))*2)+(SUMPRODUCT((PayEmp=$C86)*(PayDate&lt;=$AC86)*(ISERROR(SEARCH(PayEarnCode,AP$2)))*(PayEarnType="Annual")*(PayEarnValues)))),IF(ISNUMBER(OFFSET($N$3,0,MATCH(AP$5,PayDedList,0)-1,1,1)),OFFSET($N$3,0,MATCH(AP$5,PayDedList,0)-1,1,1),IgnoreMin)))*IF(COUNTIFS(EmpNo,$C86,OFFSET(Emp!$R$4,1,MATCH(AP$5,DedListItem,0)-1,EmpCount,1),"&lt;&gt;")&gt;0,VLOOKUP($C86,EmpAll,COLUMN(Emp!$R$4)+MATCH(AP$5,DedListItem,0)-1,0),OFFSET(Setup!$E$73,MATCH(AP$5,DedListItem,0),0,1,1))*AP$3))),IF(ISNUMBER(AP$4),AP$4,IgnoreMin)))))</f>
        <v>0</v>
      </c>
      <c r="AQ86" s="148" cm="1">
        <f t="array" aca="1" ref="AQ86" ca="1">-IF($F86="Terminated",0,IF($AA86=0,0,IF(ISNA(MATCH(AQ$5,PayDedList,0)),0,MIN(IF(COUNTIFS(OverEmp,$C86,OverDeduct,AQ$5,OverDate,"&lt;"&amp;DATE(YEAR($AC86),MONTH($AC86)+1,1),OverEnd,"&gt;="&amp;DATE(YEAR($AC86),MONTH($AC86),1))&gt;0,SUMPRODUCT((PayEmp=$C86)*(PayDate&lt;=$AC86)*(OFFSET($N$6,1,MATCH(AQ$5,PayDedList,0)-1,PayCount,1)))/$AA86*12*AQ$3,IF(OR(AQ$1="Fixed",AQ$1="Not Used"),SUMPRODUCT((PayEmp=$C86)*(PayDate&lt;=$AC86)*(OFFSET($N$6,1,MATCH(AQ$5,PayDedList,0)-1,PayCount,1)))/$AA86*12*AQ$3,IF(ISNA(MATCH(AQ$1,EarnListItem,0))=FALSE,SUMPRODUCT((PayEmp=$C86)*(PayDate&lt;=$AC86)*(OFFSET($N$6,1,MATCH(AQ$5,PayDedList,0)-1,PayCount,1)))/$AA86*12*AQ$3,(MIN(((SUMPRODUCT((PayEmp=$C86)*(PayDate&lt;=$AC86)*(ISERROR(SEARCH(PayEarnCode,AQ$2)))*(PayEarnType="Monthly")*(PayEarnValues))/$AA86*12)+(SUMPRODUCT((PayEmp=$C86)*(PayDate&lt;=$AC86)*(ISERROR(SEARCH(PayEarnCode,AQ$2)))*(PayEarnType="Quarterly")*(PayEarnValues))/MAX(1,ROUNDDOWN($AB86/3,0))*4)+(SUMPRODUCT((PayEmp=$C86)*(PayDate&lt;=$AC86)*(ISERROR(SEARCH(PayEarnCode,AQ$2)))*(PayEarnType="Bi-Annual")*(PayEarnValues))/MAX(1,ROUNDDOWN($AB86/6,0))*2)+(SUMPRODUCT((PayEmp=$C86)*(PayDate&lt;=$AC86)*(ISERROR(SEARCH(PayEarnCode,AQ$2)))*(PayEarnType="Annual")*(PayEarnValues)))),IF(ISNUMBER(OFFSET($N$3,0,MATCH(AQ$5,PayDedList,0)-1,1,1)),OFFSET($N$3,0,MATCH(AQ$5,PayDedList,0)-1,1,1),IgnoreMin)))*IF(COUNTIFS(EmpNo,$C86,OFFSET(Emp!$R$4,1,MATCH(AQ$5,DedListItem,0)-1,EmpCount,1),"&lt;&gt;")&gt;0,VLOOKUP($C86,EmpAll,COLUMN(Emp!$R$4)+MATCH(AQ$5,DedListItem,0)-1,0),OFFSET(Setup!$E$73,MATCH(AQ$5,DedListItem,0),0,1,1))*AQ$3))),IF(ISNUMBER(AQ$4),AQ$4,IgnoreMin)))))</f>
        <v>0</v>
      </c>
      <c r="AR86" s="148">
        <f t="shared" ca="1" si="34"/>
        <v>120000</v>
      </c>
      <c r="AS86" s="148">
        <f t="shared" ca="1" si="42"/>
        <v>120000</v>
      </c>
      <c r="AT86" s="148" cm="1">
        <f t="array" aca="1" ref="AT86" ca="1">-IF($F86="Terminated",0,IF($AA86=0,0,IF(ISNA(MATCH(AT$5,PayDedList,0)),0,MIN(IF(COUNTIFS(OverEmp,$C86,OverDeduct,AT$5,OverDate,"&lt;"&amp;DATE(YEAR($AC86),MONTH($AC86)+1,1),OverEnd,"&gt;="&amp;DATE(YEAR($AC86),MONTH($AC86),1))&gt;0,SUMPRODUCT((PayEmp=$C86)*(PayDate&lt;=$AC86)*(OFFSET($N$6,1,MATCH(AT$5,PayDedList,0)-1,PayCount,1)))/$AA86*12*AT$3,IF(OR(AT$1="Fixed",AT$1="Not Used"),SUMPRODUCT((PayEmp=$C86)*(PayDate&lt;=$AC86)*(OFFSET($N$6,1,MATCH(AT$5,PayDedList,0)-1,PayCount,1)))/$AA86*12*AT$3,IF(ISNA(MATCH(OFFSET($N$2,0,MATCH(AT$5,PayDedList,0)-1,1,1),EarnListItem,0))=FALSE,SUMPRODUCT((PayEmp=$C86)*(PayDate&lt;=$AC86)*(OFFSET($N$6,1,MATCH(AT$5,PayDedList,0)-1,PayCount,1)))/$AA86*12*AT$3,(MIN(SUMPRODUCT((PayEmp=$C86)*(PayDate&lt;=$AC86)*(ISERROR(SEARCH(PayEarnCode,AT$2)))*(PayEarnType="Monthly")*(PayEarnValues))/$AA86*12,IF(ISNUMBER(OFFSET($N$3,0,MATCH(AT$5,PayDedList,0)-1,1,1)),OFFSET($N$3,0,MATCH(AT$5,PayDedList,0)-1,1,1),IgnoreMin)))*IF(COUNTIFS(EmpNo,$C86,OFFSET(Emp!$R$4,1,MATCH(AT$5,DedListItem,0)-1,EmpCount,1),"&lt;&gt;")&gt;0,VLOOKUP($C86,EmpAll,COLUMN(Emp!$R$4)+MATCH(AT$5,DedListItem,0)-1,0),OFFSET(Setup!$E$73,MATCH(AT$5,DedListItem,0),0,1,1))*AT$3))),IF(ISNUMBER(AT$4),AT$4,IgnoreMin)))))</f>
        <v>0</v>
      </c>
      <c r="AU86" s="148" cm="1">
        <f t="array" aca="1" ref="AU86" ca="1">-IF($F86="Terminated",0,IF($AA86=0,0,IF(ISNA(MATCH(AU$5,PayDedList,0)),0,MIN(IF(COUNTIFS(OverEmp,$C86,OverDeduct,AU$5,OverDate,"&lt;"&amp;DATE(YEAR($AC86),MONTH($AC86)+1,1),OverEnd,"&gt;="&amp;DATE(YEAR($AC86),MONTH($AC86),1))&gt;0,SUMPRODUCT((PayEmp=$C86)*(PayDate&lt;=$AC86)*(OFFSET($N$6,1,MATCH(AU$5,PayDedList,0)-1,PayCount,1)))/$AA86*12*AU$3,IF(OR(AU$1="Fixed",AU$1="Not Used"),SUMPRODUCT((PayEmp=$C86)*(PayDate&lt;=$AC86)*(OFFSET($N$6,1,MATCH(AU$5,PayDedList,0)-1,PayCount,1)))/$AA86*12*AU$3,IF(ISNA(MATCH(OFFSET($N$2,0,MATCH(AU$5,PayDedList,0)-1,1,1),EarnListItem,0))=FALSE,SUMPRODUCT((PayEmp=$C86)*(PayDate&lt;=$AC86)*(OFFSET($N$6,1,MATCH(AU$5,PayDedList,0)-1,PayCount,1)))/$AA86*12*AU$3,(MIN(SUMPRODUCT((PayEmp=$C86)*(PayDate&lt;=$AC86)*(ISERROR(SEARCH(PayEarnCode,AU$2)))*(PayEarnType="Monthly")*(PayEarnValues))/$AA86*12,IF(ISNUMBER(OFFSET($N$3,0,MATCH(AU$5,PayDedList,0)-1,1,1)),OFFSET($N$3,0,MATCH(AU$5,PayDedList,0)-1,1,1),IgnoreMin)))*IF(COUNTIFS(EmpNo,$C86,OFFSET(Emp!$R$4,1,MATCH(AU$5,DedListItem,0)-1,EmpCount,1),"&lt;&gt;")&gt;0,VLOOKUP($C86,EmpAll,COLUMN(Emp!$R$4)+MATCH(AU$5,DedListItem,0)-1,0),OFFSET(Setup!$E$73,MATCH(AU$5,DedListItem,0),0,1,1))*AU$3))),IF(ISNUMBER(AU$4),AU$4,IgnoreMin)))))</f>
        <v>0</v>
      </c>
      <c r="AV86" s="148" cm="1">
        <f t="array" aca="1" ref="AV86" ca="1">-IF($F86="Terminated",0,IF($AA86=0,0,IF(ISNA(MATCH(AV$5,PayDedList,0)),0,MIN(IF(COUNTIFS(OverEmp,$C86,OverDeduct,AV$5,OverDate,"&lt;"&amp;DATE(YEAR($AC86),MONTH($AC86)+1,1),OverEnd,"&gt;="&amp;DATE(YEAR($AC86),MONTH($AC86),1))&gt;0,SUMPRODUCT((PayEmp=$C86)*(PayDate&lt;=$AC86)*(OFFSET($N$6,1,MATCH(AV$5,PayDedList,0)-1,PayCount,1)))/$AA86*12*AV$3,IF(OR(AV$1="Fixed",AV$1="Not Used"),SUMPRODUCT((PayEmp=$C86)*(PayDate&lt;=$AC86)*(OFFSET($N$6,1,MATCH(AV$5,PayDedList,0)-1,PayCount,1)))/$AA86*12*AV$3,IF(ISNA(MATCH(OFFSET($N$2,0,MATCH(AV$5,PayDedList,0)-1,1,1),EarnListItem,0))=FALSE,SUMPRODUCT((PayEmp=$C86)*(PayDate&lt;=$AC86)*(OFFSET($N$6,1,MATCH(AV$5,PayDedList,0)-1,PayCount,1)))/$AA86*12*AV$3,(MIN(SUMPRODUCT((PayEmp=$C86)*(PayDate&lt;=$AC86)*(ISERROR(SEARCH(PayEarnCode,AV$2)))*(PayEarnType="Monthly")*(PayEarnValues))/$AA86*12,IF(ISNUMBER(OFFSET($N$3,0,MATCH(AV$5,PayDedList,0)-1,1,1)),OFFSET($N$3,0,MATCH(AV$5,PayDedList,0)-1,1,1),IgnoreMin)))*IF(COUNTIFS(EmpNo,$C86,OFFSET(Emp!$R$4,1,MATCH(AV$5,DedListItem,0)-1,EmpCount,1),"&lt;&gt;")&gt;0,VLOOKUP($C86,EmpAll,COLUMN(Emp!$R$4)+MATCH(AV$5,DedListItem,0)-1,0),OFFSET(Setup!$E$73,MATCH(AV$5,DedListItem,0),0,1,1))*AV$3))),IF(ISNUMBER(AV$4),AV$4,IgnoreMin)))))</f>
        <v>0</v>
      </c>
      <c r="AW86" s="148" cm="1">
        <f t="array" aca="1" ref="AW86" ca="1">-IF($F86="Terminated",0,IF($AA86=0,0,IF(ISNA(MATCH(AW$5,PayDedList,0)),0,MIN(IF(COUNTIFS(OverEmp,$C86,OverDeduct,AW$5,OverDate,"&lt;"&amp;DATE(YEAR($AC86),MONTH($AC86)+1,1),OverEnd,"&gt;="&amp;DATE(YEAR($AC86),MONTH($AC86),1))&gt;0,SUMPRODUCT((PayEmp=$C86)*(PayDate&lt;=$AC86)*(OFFSET($N$6,1,MATCH(AW$5,PayDedList,0)-1,PayCount,1)))/$AA86*12*AW$3,IF(OR(AW$1="Fixed",AW$1="Not Used"),SUMPRODUCT((PayEmp=$C86)*(PayDate&lt;=$AC86)*(OFFSET($N$6,1,MATCH(AW$5,PayDedList,0)-1,PayCount,1)))/$AA86*12*AW$3,IF(ISNA(MATCH(OFFSET($N$2,0,MATCH(AW$5,PayDedList,0)-1,1,1),EarnListItem,0))=FALSE,SUMPRODUCT((PayEmp=$C86)*(PayDate&lt;=$AC86)*(OFFSET($N$6,1,MATCH(AW$5,PayDedList,0)-1,PayCount,1)))/$AA86*12*AW$3,(MIN(SUMPRODUCT((PayEmp=$C86)*(PayDate&lt;=$AC86)*(ISERROR(SEARCH(PayEarnCode,AW$2)))*(PayEarnType="Monthly")*(PayEarnValues))/$AA86*12,IF(ISNUMBER(OFFSET($N$3,0,MATCH(AW$5,PayDedList,0)-1,1,1)),OFFSET($N$3,0,MATCH(AW$5,PayDedList,0)-1,1,1),IgnoreMin)))*IF(COUNTIFS(EmpNo,$C86,OFFSET(Emp!$R$4,1,MATCH(AW$5,DedListItem,0)-1,EmpCount,1),"&lt;&gt;")&gt;0,VLOOKUP($C86,EmpAll,COLUMN(Emp!$R$4)+MATCH(AW$5,DedListItem,0)-1,0),OFFSET(Setup!$E$73,MATCH(AW$5,DedListItem,0),0,1,1))*AW$3))),IF(ISNUMBER(AW$4),AW$4,IgnoreMin)))))</f>
        <v>0</v>
      </c>
      <c r="AX86" s="148">
        <f t="shared" ca="1" si="43"/>
        <v>120000</v>
      </c>
      <c r="AY86" s="148">
        <f t="shared" ca="1" si="44"/>
        <v>0</v>
      </c>
      <c r="AZ86" s="148">
        <f ca="1">IF(ISNUMBER($AL86),($AR86*$AL86)-$AI86-$AK86,MAX(0,IF($AL86="B",IF($AR86&lt;Setup!$C$32,($AR86*Setup!$D$32)-$AI86-$AK86,(($AR86-VLOOKUP($AR86,TaxAll2,1,1))*OFFSET(Setup!$D$32,MATCH($AR86,TaxBracket2,1),0,1,1))+OFFSET(Setup!$E$31,MATCH($AR86,TaxBracket2,1),0,1,1)-$AI86-$AK86),IF($AR86&lt;Setup!$C$21,($AR86*Setup!$D$21)-$AI86-$AK86,(($AR86-VLOOKUP($AR86,TaxAll1,1,1))*OFFSET(Setup!$D$21,MATCH($AR86,TaxBracket1,1),0,1,1))+OFFSET(Setup!$E$20,MATCH($AR86,TaxBracket1,1),0,1,1)-$AI86-$AK86))))</f>
        <v>0</v>
      </c>
      <c r="BA86" s="148">
        <f ca="1">IF(ISNUMBER($AL86),($AX86*$AL86)-$AI86-$AK86,MAX(0,IF($AL86="B",IF($AX86&lt;Setup!$C$32,($AX86*Setup!$D$32)-$AI86-$AK86,(($AX86-VLOOKUP($AX86,TaxAll2,1,1))*OFFSET(Setup!$D$32,MATCH($AX86,TaxBracket2,1),0,1,1))+OFFSET(Setup!$E$31,MATCH($AX86,TaxBracket2,1),0,1,1)-$AI86-$AK86),IF($AX86&lt;Setup!$C$21,($AX86*Setup!$D$21)-$AI86-$AK86,(($AX86-VLOOKUP($AX86,TaxAll1,1,1))*OFFSET(Setup!$D$21,MATCH($AX86,TaxBracket1,1),0,1,1))+OFFSET(Setup!$E$20,MATCH($AX86,TaxBracket1,1),0,1,1)-$AI86-$AK86))))</f>
        <v>0</v>
      </c>
      <c r="BB86" s="148">
        <f t="shared" ca="1" si="35"/>
        <v>0</v>
      </c>
      <c r="BC86" s="150">
        <f t="shared" ca="1" si="45"/>
        <v>1</v>
      </c>
      <c r="BD86" s="150">
        <f t="shared" ca="1" si="46"/>
        <v>0</v>
      </c>
      <c r="BE86" s="148">
        <f t="shared" ca="1" si="47"/>
        <v>120000</v>
      </c>
    </row>
    <row r="87" spans="1:57" ht="16.149999999999999" customHeight="1" x14ac:dyDescent="0.25">
      <c r="A87" s="10" t="str" cm="1">
        <f t="array" aca="1" ref="A87" ca="1">IF(ROW($A87)-ROW($A$6)&gt;EmpCount*12,"-",TEXT($B87,"yyyy")&amp;TEXT($B87,"mm")&amp;"-"&amp;$C87)</f>
        <v>202308-EXS006</v>
      </c>
      <c r="B87" s="137" cm="1">
        <f t="array" aca="1" ref="B87" ca="1">IF(ROW($A87)-ROW($A$6)&gt;EmpCount*12,Setup!$D$12,DATE(YEAR(Setup!$F$12),MONTH(Setup!$F$12)+ROUNDDOWN((ROW($A87)-ROW($A$6)-1)/EmpCount,0),IF(Setup!$C$14&gt;DAY(DATE(YEAR(Setup!$F$12),MONTH(Setup!$F$12)+ROUNDDOWN((ROW($A87)-ROW($A$6)-1)/EmpCount,0)+1,0)),DAY(DATE(YEAR(Setup!$F$12),MONTH(Setup!$F$12)+ROUNDDOWN((ROW($A87)-ROW($A$6)-1)/EmpCount,0)+1,0)),Setup!$C$14)))</f>
        <v>45163</v>
      </c>
      <c r="C87" s="101" t="str" cm="1">
        <f t="array" aca="1" ref="C87" ca="1">IF(ROW($A87)-ROW($A$6)&gt;EmpCount*12,"-",OFFSET(Emp!$A$4,ROW($A87)-ROW($A$6)-IF(ROW($A87)-ROW($A$6)&gt;EmpCount,ROUNDDOWN((ROW($A87)-ROW($A$6)-1)/EmpCount,0)*EmpCount,0),0,1,1))</f>
        <v>EXS006</v>
      </c>
      <c r="D87" s="10" t="str">
        <f ca="1">IF(ISNA(VLOOKUP($C87,EmpAll,COLUMN(Emp!$B$4),0)),"-",VLOOKUP($C87,EmpAll,COLUMN(Emp!$B$4),0))</f>
        <v>Andrews MS</v>
      </c>
      <c r="E87" s="145" t="str">
        <f ca="1">IF(ISNA(VLOOKUP($C87,EmpAll,COLUMN(Emp!$C$4),0)),"-",VLOOKUP($C87,EmpAll,COLUMN(Emp!$C$4),0))</f>
        <v>S</v>
      </c>
      <c r="F87" s="101" t="str">
        <f ca="1">IF(ISNA(VLOOKUP($C87,EmpAll,COLUMN(Emp!$A$4),0)),"-",IF(AND(VLOOKUP($C87,EmpAll,COLUMN(Emp!$E$4),0)&lt;&gt;0,VLOOKUP($C87,EmpAll,COLUMN(Emp!$E$4),0)&gt;=DATE(YEAR($AC87),MONTH($AC87)+1,0)),"Inactive",IF(AND(VLOOKUP($C87,EmpAll,COLUMN(Emp!$F$4),0)&lt;&gt;0,VLOOKUP($C87,EmpAll,COLUMN(Emp!$F$4),0)&lt;=DATE(YEAR($AC87),MONTH($AC87),0)),"Terminated","Active")))</f>
        <v>Active</v>
      </c>
      <c r="G87" s="133" cm="1">
        <f t="array" aca="1" ref="G87" ca="1">IF($F87&lt;&gt;"Active",0,IF(COUNTIFS(OverEmp,$C87,OverEarn,G$2,OverDate,"&lt;"&amp;DATE(YEAR($AC87),MONTH($AC87)+1,1),OverEnd,"&gt;="&amp;DATE(YEAR($AC87),MONTH($AC87),1))&gt;0,SUMIFS(OverValue,OverEmp,$C87,OverEarn,G$2,OverDate,"&lt;"&amp;DATE(YEAR($AC87),MONTH($AC87)+1,1),OverEnd,"&gt;="&amp;DATE(YEAR($AC87),MONTH($AC87),1)),IF(AND($AC87&gt;=Setup!$E$10,SUMIFS(EmpIncrease,EmpCode,$C87)&gt;0),SUMIFS(EmpIncrease,EmpCode,$C87),SUMIFS(EmpSalary,EmpCode,$C87))))</f>
        <v>10000</v>
      </c>
      <c r="H87" s="133" cm="1">
        <f t="array" aca="1" ref="H87" ca="1">IF($F87&lt;&gt;"Active",0,IF(COUNTIFS(OverEmp,$C87,OverEarn,H$2,OverDate,"&lt;"&amp;DATE(YEAR($AC87),MONTH($AC87)+1,1),OverEnd,"&gt;="&amp;DATE(YEAR($AC87),MONTH($AC87),1))&gt;0,SUMIFS(OverValue,OverEmp,$C87,OverEarn,H$2,OverDate,"&lt;"&amp;DATE(YEAR($AC87),MONTH($AC87)+1,1),OverEnd,"&gt;="&amp;DATE(YEAR($AC87),MONTH($AC87),1)),0))</f>
        <v>0</v>
      </c>
      <c r="I87" s="133" cm="1">
        <f t="array" aca="1" ref="I87" ca="1">IF($F87&lt;&gt;"Active",0,IF(COUNTIFS(OverEmp,$C87,OverEarn,I$2,OverDate,"&lt;"&amp;DATE(YEAR($AC87),MONTH($AC87)+1,1),OverEnd,"&gt;="&amp;DATE(YEAR($AC87),MONTH($AC87),1))&gt;0,SUMIFS(OverValue,OverEmp,$C87,OverEarn,I$2,OverDate,"&lt;"&amp;DATE(YEAR($AC87),MONTH($AC87)+1,1),OverEnd,"&gt;="&amp;DATE(YEAR($AC87),MONTH($AC87),1)),IF(MONTH(B87)=Setup!$C$15,SUMIFS(EmpBonus,EmpCode,$C87),0)))</f>
        <v>0</v>
      </c>
      <c r="J87" s="133" cm="1">
        <f t="array" aca="1" ref="J87" ca="1">IF($F87&lt;&gt;"Active",0,IF(COUNTIFS(OverEmp,$C87,OverEarn,J$2,OverDate,"&lt;"&amp;DATE(YEAR($AC87),MONTH($AC87)+1,1),OverEnd,"&gt;="&amp;DATE(YEAR($AC87),MONTH($AC87),1))&gt;0,SUMIFS(OverValue,OverEmp,$C87,OverEarn,J$2,OverDate,"&lt;"&amp;DATE(YEAR($AC87),MONTH($AC87)+1,1),OverEnd,"&gt;="&amp;DATE(YEAR($AC87),MONTH($AC87),1)),0))</f>
        <v>0</v>
      </c>
      <c r="K87" s="133" cm="1">
        <f t="array" aca="1" ref="K87" ca="1">IF($F87&lt;&gt;"Active",0,IF(COUNTIFS(OverEmp,$C87,OverEarn,K$2,OverDate,"&lt;"&amp;DATE(YEAR($AC87),MONTH($AC87)+1,1),OverEnd,"&gt;="&amp;DATE(YEAR($AC87),MONTH($AC87),1))&gt;0,SUMIFS(OverValue,OverEmp,$C87,OverEarn,K$2,OverDate,"&lt;"&amp;DATE(YEAR($AC87),MONTH($AC87)+1,1),OverEnd,"&gt;="&amp;DATE(YEAR($AC87),MONTH($AC87),1)),0))</f>
        <v>0</v>
      </c>
      <c r="L87" s="185">
        <f t="shared" ca="1" si="36"/>
        <v>10000</v>
      </c>
      <c r="M87" s="182" cm="1">
        <f t="array" aca="1" ref="M87" ca="1">IF(COUNTIFS(OverEmp,$C87,OverTax,M$5,OverDate,"&lt;"&amp;DATE(YEAR($AC87),MONTH($AC87)+1,1),OverEnd,"&gt;="&amp;DATE(YEAR($AC87),MONTH($AC87),1))&gt;0,SUMIFS(OverValue,OverEmp,$C87,OverTax,M$5,OverDate,"&lt;"&amp;DATE(YEAR($AC87),MONTH($AC87)+1,1),OverEnd,"&gt;="&amp;DATE(YEAR($AC87),MONTH($AC87),1)),(($BA87/12*$AA87)+(BB87*IF(1-$BC87=0,0,BD87/(1-$BC87))))-IF($F87="Terminated",0,SUMIFS(PayTaxDeduct,PayDate,"&lt;"&amp;$AC87,PayEmp,$C87)))</f>
        <v>0</v>
      </c>
      <c r="N87" s="133" cm="1">
        <f t="array" aca="1" ref="N87" ca="1">IF($F87="Terminated",0,IF($AA87=0,0,IF(ISNA(MATCH(N$5,DedListItem,0)),0,IF(COUNTIFS(OverEmp,$C87,OverDeduct,N$5,OverDate,"&lt;"&amp;DATE(YEAR($AC87),MONTH($AC87)+1,1),OverEnd,"&gt;="&amp;DATE(YEAR($AC87),MONTH($AC87),1))&gt;0,SUMIFS(OverValue,OverEmp,$C87,OverDeduct,N$5,OverDate,"&lt;"&amp;DATE(YEAR($AC87),MONTH($AC87)+1,1),OverEnd,"&gt;="&amp;DATE(YEAR($AC87),MONTH($AC87),1)),IF(OR(N$2="Fixed",N$2="Not Used"),(IF(COUNTIFS(EmpNo,$C87,OFFSET(Emp!$R$4,1,MATCH(N$5,DedListItem,0)-1,EmpCount,1),"&lt;&gt;")&gt;0,VLOOKUP($C87,EmpAll,COLUMN(Emp!$R$4)+MATCH(N$5,DedListItem,0)-1,0),OFFSET(Setup!$E$73,MATCH(N$5,DedListItem,0),0,1,1))*$AA87)-SUMIFS(OFFSET(N$6,1,0,PayCount,1),PayDate,"&lt;"&amp;$AC87,PayEmp,$C87),IF(ISNA(MATCH(N$2,EarnListItem,0))=FALSE,IF(OFFSET(Setup!$G$73,MATCH(N$5,DedListItem,0),0,1,1)="Taxable",SUMPRODUCT((PayEmp=$C87)*(PayDate&lt;=$AC87)*(PayEarnCode=N$2)*(PayEarnTax)*(PayEarnValues)),SUMPRODUCT((PayEmp=$C87)*(PayDate&lt;=$AC87)*(PayEarnCode=N$2)*(PayEarnValues)))*IF(COUNTIFS(EmpNo,$C87,OFFSET(Emp!$R$4,1,MATCH(N$5,DedListItem,0)-1,EmpCount,1),"&lt;&gt;")&gt;0,VLOOKUP($C87,EmpAll,COLUMN(Emp!$R$4)+MATCH(N$5,DedListItem,0)-1,0),OFFSET(Setup!$E$73,MATCH(N$5,DedListItem,0),0,1,1)),(MIN(IF(OFFSET(Setup!$G$73,MATCH(N$5,DedListItem,0),0,1,1)="Taxable",SUMPRODUCT((PayEmp=$C87)*(PayDate&lt;=$AC87)*(ISERROR(SEARCH(PayEarnCode,N$4)))*(PayEarnTax)*(PayEarnValues)),SUMPRODUCT((PayEmp=$C87)*(PayDate&lt;=$AC87)*(ISERROR(SEARCH(PayEarnCode,N$4)))*(PayEarnValues))),IF(ISNUMBER(N$3),N$3/12*$AA87,IgnoreMin)))*IF(COUNTIFS(EmpNo,$C87,OFFSET(Emp!$R$4,1,MATCH(N$5,DedListItem,0)-1,EmpCount,1),"&lt;&gt;")&gt;0,VLOOKUP($C87,EmpAll,COLUMN(Emp!$R$4)+MATCH(N$5,DedListItem,0)-1,0),OFFSET(Setup!$E$73,MATCH(N$5,DedListItem,0),0,1,1)))-SUMIFS(OFFSET(N$6,1,0,PayCount,1),PayDate,"&lt;"&amp;$AC87,PayEmp,$C87))))))</f>
        <v>100</v>
      </c>
      <c r="O87" s="133" cm="1">
        <f t="array" aca="1" ref="O87" ca="1">IF($F87="Terminated",0,IF($AA87=0,0,IF(ISNA(MATCH(O$5,DedListItem,0)),0,IF(COUNTIFS(OverEmp,$C87,OverDeduct,O$5,OverDate,"&lt;"&amp;DATE(YEAR($AC87),MONTH($AC87)+1,1),OverEnd,"&gt;="&amp;DATE(YEAR($AC87),MONTH($AC87),1))&gt;0,SUMIFS(OverValue,OverEmp,$C87,OverDeduct,O$5,OverDate,"&lt;"&amp;DATE(YEAR($AC87),MONTH($AC87)+1,1),OverEnd,"&gt;="&amp;DATE(YEAR($AC87),MONTH($AC87),1)),IF(OR(O$2="Fixed",O$2="Not Used"),(IF(COUNTIFS(EmpNo,$C87,OFFSET(Emp!$R$4,1,MATCH(O$5,DedListItem,0)-1,EmpCount,1),"&lt;&gt;")&gt;0,VLOOKUP($C87,EmpAll,COLUMN(Emp!$R$4)+MATCH(O$5,DedListItem,0)-1,0),OFFSET(Setup!$E$73,MATCH(O$5,DedListItem,0),0,1,1))*$AA87)-SUMIFS(OFFSET(O$6,1,0,PayCount,1),PayDate,"&lt;"&amp;$AC87,PayEmp,$C87),IF(ISNA(MATCH(O$2,EarnListItem,0))=FALSE,IF(OFFSET(Setup!$G$73,MATCH(O$5,DedListItem,0),0,1,1)="Taxable",SUMPRODUCT((PayEmp=$C87)*(PayDate&lt;=$AC87)*(PayEarnCode=O$2)*(PayEarnTax)*(PayEarnValues)),SUMPRODUCT((PayEmp=$C87)*(PayDate&lt;=$AC87)*(PayEarnCode=O$2)*(PayEarnValues)))*IF(COUNTIFS(EmpNo,$C87,OFFSET(Emp!$R$4,1,MATCH(O$5,DedListItem,0)-1,EmpCount,1),"&lt;&gt;")&gt;0,VLOOKUP($C87,EmpAll,COLUMN(Emp!$R$4)+MATCH(O$5,DedListItem,0)-1,0),OFFSET(Setup!$E$73,MATCH(O$5,DedListItem,0),0,1,1)),(MIN(IF(OFFSET(Setup!$G$73,MATCH(O$5,DedListItem,0),0,1,1)="Taxable",SUMPRODUCT((PayEmp=$C87)*(PayDate&lt;=$AC87)*(ISERROR(SEARCH(PayEarnCode,O$4)))*(PayEarnTax)*(PayEarnValues)),SUMPRODUCT((PayEmp=$C87)*(PayDate&lt;=$AC87)*(ISERROR(SEARCH(PayEarnCode,O$4)))*(PayEarnValues))),IF(ISNUMBER(O$3),O$3/12*$AA87,IgnoreMin)))*IF(COUNTIFS(EmpNo,$C87,OFFSET(Emp!$R$4,1,MATCH(O$5,DedListItem,0)-1,EmpCount,1),"&lt;&gt;")&gt;0,VLOOKUP($C87,EmpAll,COLUMN(Emp!$R$4)+MATCH(O$5,DedListItem,0)-1,0),OFFSET(Setup!$E$73,MATCH(O$5,DedListItem,0),0,1,1)))-SUMIFS(OFFSET(O$6,1,0,PayCount,1),PayDate,"&lt;"&amp;$AC87,PayEmp,$C87))))))</f>
        <v>0</v>
      </c>
      <c r="P87" s="133" cm="1">
        <f t="array" aca="1" ref="P87" ca="1">IF($F87="Terminated",0,IF($AA87=0,0,IF(ISNA(MATCH(P$5,DedListItem,0)),0,IF(COUNTIFS(OverEmp,$C87,OverDeduct,P$5,OverDate,"&lt;"&amp;DATE(YEAR($AC87),MONTH($AC87)+1,1),OverEnd,"&gt;="&amp;DATE(YEAR($AC87),MONTH($AC87),1))&gt;0,SUMIFS(OverValue,OverEmp,$C87,OverDeduct,P$5,OverDate,"&lt;"&amp;DATE(YEAR($AC87),MONTH($AC87)+1,1),OverEnd,"&gt;="&amp;DATE(YEAR($AC87),MONTH($AC87),1)),IF(OR(P$2="Fixed",P$2="Not Used"),(IF(COUNTIFS(EmpNo,$C87,OFFSET(Emp!$R$4,1,MATCH(P$5,DedListItem,0)-1,EmpCount,1),"&lt;&gt;")&gt;0,VLOOKUP($C87,EmpAll,COLUMN(Emp!$R$4)+MATCH(P$5,DedListItem,0)-1,0),OFFSET(Setup!$E$73,MATCH(P$5,DedListItem,0),0,1,1))*$AA87)-SUMIFS(OFFSET(P$6,1,0,PayCount,1),PayDate,"&lt;"&amp;$AC87,PayEmp,$C87),IF(ISNA(MATCH(P$2,EarnListItem,0))=FALSE,IF(OFFSET(Setup!$G$73,MATCH(P$5,DedListItem,0),0,1,1)="Taxable",SUMPRODUCT((PayEmp=$C87)*(PayDate&lt;=$AC87)*(PayEarnCode=P$2)*(PayEarnTax)*(PayEarnValues)),SUMPRODUCT((PayEmp=$C87)*(PayDate&lt;=$AC87)*(PayEarnCode=P$2)*(PayEarnValues)))*IF(COUNTIFS(EmpNo,$C87,OFFSET(Emp!$R$4,1,MATCH(P$5,DedListItem,0)-1,EmpCount,1),"&lt;&gt;")&gt;0,VLOOKUP($C87,EmpAll,COLUMN(Emp!$R$4)+MATCH(P$5,DedListItem,0)-1,0),OFFSET(Setup!$E$73,MATCH(P$5,DedListItem,0),0,1,1)),(MIN(IF(OFFSET(Setup!$G$73,MATCH(P$5,DedListItem,0),0,1,1)="Taxable",SUMPRODUCT((PayEmp=$C87)*(PayDate&lt;=$AC87)*(ISERROR(SEARCH(PayEarnCode,P$4)))*(PayEarnTax)*(PayEarnValues)),SUMPRODUCT((PayEmp=$C87)*(PayDate&lt;=$AC87)*(ISERROR(SEARCH(PayEarnCode,P$4)))*(PayEarnValues))),IF(ISNUMBER(P$3),P$3/12*$AA87,IgnoreMin)))*IF(COUNTIFS(EmpNo,$C87,OFFSET(Emp!$R$4,1,MATCH(P$5,DedListItem,0)-1,EmpCount,1),"&lt;&gt;")&gt;0,VLOOKUP($C87,EmpAll,COLUMN(Emp!$R$4)+MATCH(P$5,DedListItem,0)-1,0),OFFSET(Setup!$E$73,MATCH(P$5,DedListItem,0),0,1,1)))-SUMIFS(OFFSET(P$6,1,0,PayCount,1),PayDate,"&lt;"&amp;$AC87,PayEmp,$C87))))))</f>
        <v>0</v>
      </c>
      <c r="Q87" s="133" cm="1">
        <f t="array" aca="1" ref="Q87" ca="1">IF($F87="Terminated",0,IF($AA87=0,0,IF(ISNA(MATCH(Q$5,DedListItem,0)),0,IF(COUNTIFS(OverEmp,$C87,OverDeduct,Q$5,OverDate,"&lt;"&amp;DATE(YEAR($AC87),MONTH($AC87)+1,1),OverEnd,"&gt;="&amp;DATE(YEAR($AC87),MONTH($AC87),1))&gt;0,SUMIFS(OverValue,OverEmp,$C87,OverDeduct,Q$5,OverDate,"&lt;"&amp;DATE(YEAR($AC87),MONTH($AC87)+1,1),OverEnd,"&gt;="&amp;DATE(YEAR($AC87),MONTH($AC87),1)),IF(OR(Q$2="Fixed",Q$2="Not Used"),(IF(COUNTIFS(EmpNo,$C87,OFFSET(Emp!$R$4,1,MATCH(Q$5,DedListItem,0)-1,EmpCount,1),"&lt;&gt;")&gt;0,VLOOKUP($C87,EmpAll,COLUMN(Emp!$R$4)+MATCH(Q$5,DedListItem,0)-1,0),OFFSET(Setup!$E$73,MATCH(Q$5,DedListItem,0),0,1,1))*$AA87)-SUMIFS(OFFSET(Q$6,1,0,PayCount,1),PayDate,"&lt;"&amp;$AC87,PayEmp,$C87),IF(ISNA(MATCH(Q$2,EarnListItem,0))=FALSE,IF(OFFSET(Setup!$G$73,MATCH(Q$5,DedListItem,0),0,1,1)="Taxable",SUMPRODUCT((PayEmp=$C87)*(PayDate&lt;=$AC87)*(PayEarnCode=Q$2)*(PayEarnTax)*(PayEarnValues)),SUMPRODUCT((PayEmp=$C87)*(PayDate&lt;=$AC87)*(PayEarnCode=Q$2)*(PayEarnValues)))*IF(COUNTIFS(EmpNo,$C87,OFFSET(Emp!$R$4,1,MATCH(Q$5,DedListItem,0)-1,EmpCount,1),"&lt;&gt;")&gt;0,VLOOKUP($C87,EmpAll,COLUMN(Emp!$R$4)+MATCH(Q$5,DedListItem,0)-1,0),OFFSET(Setup!$E$73,MATCH(Q$5,DedListItem,0),0,1,1)),(MIN(IF(OFFSET(Setup!$G$73,MATCH(Q$5,DedListItem,0),0,1,1)="Taxable",SUMPRODUCT((PayEmp=$C87)*(PayDate&lt;=$AC87)*(ISERROR(SEARCH(PayEarnCode,Q$4)))*(PayEarnTax)*(PayEarnValues)),SUMPRODUCT((PayEmp=$C87)*(PayDate&lt;=$AC87)*(ISERROR(SEARCH(PayEarnCode,Q$4)))*(PayEarnValues))),IF(ISNUMBER(Q$3),Q$3/12*$AA87,IgnoreMin)))*IF(COUNTIFS(EmpNo,$C87,OFFSET(Emp!$R$4,1,MATCH(Q$5,DedListItem,0)-1,EmpCount,1),"&lt;&gt;")&gt;0,VLOOKUP($C87,EmpAll,COLUMN(Emp!$R$4)+MATCH(Q$5,DedListItem,0)-1,0),OFFSET(Setup!$E$73,MATCH(Q$5,DedListItem,0),0,1,1)))-SUMIFS(OFFSET(Q$6,1,0,PayCount,1),PayDate,"&lt;"&amp;$AC87,PayEmp,$C87))))))</f>
        <v>0</v>
      </c>
      <c r="R87" s="185">
        <f t="shared" ca="1" si="37"/>
        <v>100</v>
      </c>
      <c r="S87" s="139">
        <f t="shared" ca="1" si="38"/>
        <v>9900</v>
      </c>
      <c r="T87" s="133" cm="1">
        <f t="array" aca="1" ref="T87" ca="1">IF($F87="Terminated",0,IF($AA87=0,0,IF(ISNA(MATCH(T$5,CompListItem,0)),0,IF(COUNTIFS(OverEmp,$C87,OverComp,T$5,OverDate,"&lt;"&amp;DATE(YEAR($AC87),MONTH($AC87)+1,1),OverEnd,"&gt;="&amp;DATE(YEAR($AC87),MONTH($AC87),1))&gt;0,SUMIFS(OverValue,OverEmp,$C87,OverComp,T$5,OverDate,"&lt;"&amp;DATE(YEAR($AC87),MONTH($AC87)+1,1),OverEnd,"&gt;="&amp;DATE(YEAR($AC87),MONTH($AC87),1)),IF(OR(T$2="Fixed",T$2="Not Used"),(OFFSET(Setup!$E$81,MATCH(T$5,CompListItem,0),0,1,1)*$AA87)-SUMIFS(OFFSET(T$6,1,0,PayCount,1),PayDate,"&lt;"&amp;$AC87,PayEmp,$C87),IF(ISNA(MATCH(T$2,DedListItem,0))=FALSE,(SUMPRODUCT((PayEmp=$C87)*(PayDate&lt;=$AC87)*(PayDedList=T$2)*(PayDedValues))*OFFSET(Setup!$E$81,MATCH(T$5,CompListItem,0),0,1,1))-SUMIFS(OFFSET(T$6,1,0,PayCount,1),PayDate,"&lt;"&amp;$AC87,PayEmp,$C87),(MIN(IF(OFFSET(Setup!$G$81,MATCH(T$5,CompListItem,0),0,1,1)="Taxable",SUMPRODUCT((PayEmp=$C87)*(PayDate&lt;=$AC87)*(ISERROR(SEARCH(PayEarnCode,T$4)))*(PayEarnTax)*(PayEarnValues)),SUMPRODUCT((PayEmp=$C87)*(PayDate&lt;=$AC87)*(ISERROR(SEARCH(PayEarnCode,T$4)))*(PayEarnValues))),IF(ISNUMBER(T$3),T$3/12*$AA87,IgnoreMin)))*OFFSET(Setup!$E$81,MATCH(T$5,CompListItem,0),0,1,1)-SUMIFS(OFFSET(T$6,1,0,PayCount,1),PayDate,"&lt;"&amp;$AC87,PayEmp,$C87)))))))</f>
        <v>100</v>
      </c>
      <c r="U87" s="133" cm="1">
        <f t="array" aca="1" ref="U87" ca="1">IF($F87="Terminated",0,IF($AA87=0,0,IF(ISNA(MATCH(U$5,CompListItem,0)),0,IF(COUNTIFS(OverEmp,$C87,OverComp,U$5,OverDate,"&lt;"&amp;DATE(YEAR($AC87),MONTH($AC87)+1,1),OverEnd,"&gt;="&amp;DATE(YEAR($AC87),MONTH($AC87),1))&gt;0,SUMIFS(OverValue,OverEmp,$C87,OverComp,U$5,OverDate,"&lt;"&amp;DATE(YEAR($AC87),MONTH($AC87)+1,1),OverEnd,"&gt;="&amp;DATE(YEAR($AC87),MONTH($AC87),1)),IF(OR(U$2="Fixed",U$2="Not Used"),(OFFSET(Setup!$E$81,MATCH(U$5,CompListItem,0),0,1,1)*$AA87)-SUMIFS(OFFSET(U$6,1,0,PayCount,1),PayDate,"&lt;"&amp;$AC87,PayEmp,$C87),IF(ISNA(MATCH(U$2,DedListItem,0))=FALSE,(SUMPRODUCT((PayEmp=$C87)*(PayDate&lt;=$AC87)*(PayDedList=U$2)*(PayDedValues))*OFFSET(Setup!$E$81,MATCH(U$5,CompListItem,0),0,1,1))-SUMIFS(OFFSET(U$6,1,0,PayCount,1),PayDate,"&lt;"&amp;$AC87,PayEmp,$C87),(MIN(IF(OFFSET(Setup!$G$81,MATCH(U$5,CompListItem,0),0,1,1)="Taxable",SUMPRODUCT((PayEmp=$C87)*(PayDate&lt;=$AC87)*(ISERROR(SEARCH(PayEarnCode,U$4)))*(PayEarnTax)*(PayEarnValues)),SUMPRODUCT((PayEmp=$C87)*(PayDate&lt;=$AC87)*(ISERROR(SEARCH(PayEarnCode,U$4)))*(PayEarnValues))),IF(ISNUMBER(U$3),U$3/12*$AA87,IgnoreMin)))*OFFSET(Setup!$E$81,MATCH(U$5,CompListItem,0),0,1,1)-SUMIFS(OFFSET(U$6,1,0,PayCount,1),PayDate,"&lt;"&amp;$AC87,PayEmp,$C87)))))))</f>
        <v>100</v>
      </c>
      <c r="V87" s="133" cm="1">
        <f t="array" aca="1" ref="V87" ca="1">IF($F87="Terminated",0,IF($AA87=0,0,IF(ISNA(MATCH(V$5,CompListItem,0)),0,IF(COUNTIFS(OverEmp,$C87,OverComp,V$5,OverDate,"&lt;"&amp;DATE(YEAR($AC87),MONTH($AC87)+1,1),OverEnd,"&gt;="&amp;DATE(YEAR($AC87),MONTH($AC87),1))&gt;0,SUMIFS(OverValue,OverEmp,$C87,OverComp,V$5,OverDate,"&lt;"&amp;DATE(YEAR($AC87),MONTH($AC87)+1,1),OverEnd,"&gt;="&amp;DATE(YEAR($AC87),MONTH($AC87),1)),IF(OR(V$2="Fixed",V$2="Not Used"),(OFFSET(Setup!$E$81,MATCH(V$5,CompListItem,0),0,1,1)*$AA87)-SUMIFS(OFFSET(V$6,1,0,PayCount,1),PayDate,"&lt;"&amp;$AC87,PayEmp,$C87),IF(ISNA(MATCH(V$2,DedListItem,0))=FALSE,(SUMPRODUCT((PayEmp=$C87)*(PayDate&lt;=$AC87)*(PayDedList=V$2)*(PayDedValues))*OFFSET(Setup!$E$81,MATCH(V$5,CompListItem,0),0,1,1))-SUMIFS(OFFSET(V$6,1,0,PayCount,1),PayDate,"&lt;"&amp;$AC87,PayEmp,$C87),(MIN(IF(OFFSET(Setup!$G$81,MATCH(V$5,CompListItem,0),0,1,1)="Taxable",SUMPRODUCT((PayEmp=$C87)*(PayDate&lt;=$AC87)*(ISERROR(SEARCH(PayEarnCode,V$4)))*(PayEarnTax)*(PayEarnValues)),SUMPRODUCT((PayEmp=$C87)*(PayDate&lt;=$AC87)*(ISERROR(SEARCH(PayEarnCode,V$4)))*(PayEarnValues))),IF(ISNUMBER(V$3),V$3/12*$AA87,IgnoreMin)))*OFFSET(Setup!$E$81,MATCH(V$5,CompListItem,0),0,1,1)-SUMIFS(OFFSET(V$6,1,0,PayCount,1),PayDate,"&lt;"&amp;$AC87,PayEmp,$C87)))))))</f>
        <v>0</v>
      </c>
      <c r="W87" s="133" cm="1">
        <f t="array" aca="1" ref="W87" ca="1">IF($F87="Terminated",0,IF($AA87=0,0,IF(ISNA(MATCH(W$5,CompListItem,0)),0,IF(COUNTIFS(OverEmp,$C87,OverComp,W$5,OverDate,"&lt;"&amp;DATE(YEAR($AC87),MONTH($AC87)+1,1),OverEnd,"&gt;="&amp;DATE(YEAR($AC87),MONTH($AC87),1))&gt;0,SUMIFS(OverValue,OverEmp,$C87,OverComp,W$5,OverDate,"&lt;"&amp;DATE(YEAR($AC87),MONTH($AC87)+1,1),OverEnd,"&gt;="&amp;DATE(YEAR($AC87),MONTH($AC87),1)),IF(OR(W$2="Fixed",W$2="Not Used"),(OFFSET(Setup!$E$81,MATCH(W$5,CompListItem,0),0,1,1)*$AA87)-SUMIFS(OFFSET(W$6,1,0,PayCount,1),PayDate,"&lt;"&amp;$AC87,PayEmp,$C87),IF(ISNA(MATCH(W$2,DedListItem,0))=FALSE,(SUMPRODUCT((PayEmp=$C87)*(PayDate&lt;=$AC87)*(PayDedList=W$2)*(PayDedValues))*OFFSET(Setup!$E$81,MATCH(W$5,CompListItem,0),0,1,1))-SUMIFS(OFFSET(W$6,1,0,PayCount,1),PayDate,"&lt;"&amp;$AC87,PayEmp,$C87),(MIN(IF(OFFSET(Setup!$G$81,MATCH(W$5,CompListItem,0),0,1,1)="Taxable",SUMPRODUCT((PayEmp=$C87)*(PayDate&lt;=$AC87)*(ISERROR(SEARCH(PayEarnCode,W$4)))*(PayEarnTax)*(PayEarnValues)),SUMPRODUCT((PayEmp=$C87)*(PayDate&lt;=$AC87)*(ISERROR(SEARCH(PayEarnCode,W$4)))*(PayEarnValues))),IF(ISNUMBER(W$3),W$3/12*$AA87,IgnoreMin)))*OFFSET(Setup!$E$81,MATCH(W$5,CompListItem,0),0,1,1)-SUMIFS(OFFSET(W$6,1,0,PayCount,1),PayDate,"&lt;"&amp;$AC87,PayEmp,$C87)))))))</f>
        <v>0</v>
      </c>
      <c r="X87" s="185">
        <f t="shared" ca="1" si="30"/>
        <v>200</v>
      </c>
      <c r="Y87" s="139">
        <f t="shared" ca="1" si="39"/>
        <v>10200</v>
      </c>
      <c r="Z87" s="139">
        <f t="shared" ca="1" si="31"/>
        <v>300</v>
      </c>
      <c r="AA87" s="146">
        <f ca="1">IF(OR($B87&lt;=Setup!$E$12,$B87&gt;=Setup!$D$12+1),0,IF($F87&lt;&gt;"Active",0,IF($AE87="Yes",$AB87,((YEAR($AC87)*12)+MONTH($AC87))-((YEAR($AD87)*12)+MONTH($AD87)-1))))</f>
        <v>6</v>
      </c>
      <c r="AB87" s="146">
        <f ca="1">IF(OR($B87&lt;=Setup!$E$12,$B87&gt;=Setup!$D$12+1),0,((YEAR($AC87)*12)+MONTH($AC87))-((YEAR(Setup!$E$12)*12)+MONTH(Setup!$E$12)))</f>
        <v>6</v>
      </c>
      <c r="AC87" s="186">
        <f t="shared" ca="1" si="32"/>
        <v>45163</v>
      </c>
      <c r="AD87" s="144">
        <f ca="1">IF(ISNA(VLOOKUP($C87,EmpAll,COLUMN(Emp!$E$4),0)),$AC87,IF(VLOOKUP($C87,EmpAll,COLUMN(Emp!$E$4),0)&lt;=Setup!$E$12,DATE(YEAR(Setup!$E$12),MONTH(Setup!$E$12)+1,1),VLOOKUP($C87,EmpAll,COLUMN(Emp!$E$4),0)))</f>
        <v>44986</v>
      </c>
      <c r="AE87" s="144" t="str">
        <f ca="1">IF(ISNA(VLOOKUP($C87,EmpAll,COLUMN(Emp!$G$1),0)),"-",IF(VLOOKUP($C87,EmpAll,COLUMN(Emp!$G$1),0)=0,"-",VLOOKUP($C87,EmpAll,COLUMN(Emp!$G$1),0)))</f>
        <v>-</v>
      </c>
      <c r="AF87" s="145">
        <f ca="1">IF(A87=PaySlip!$G$3,1,0)</f>
        <v>0</v>
      </c>
      <c r="AG87" s="130" cm="1">
        <f t="array" aca="1" ref="AG87" ca="1">IF(COUNTIFS(OverEmp,$C87,OverMed,"MED",OverDate,"&lt;"&amp;DATE(YEAR($AC87),MONTH($AC87)+1,1),OverEnd,"&gt;="&amp;DATE(YEAR($AC87),MONTH($AC87),1))&gt;0,SUMIFS(OverValue,OverEmp,$C87,OverMed,"MED",OverDate,"&lt;"&amp;DATE(YEAR($AC87),MONTH($AC87)+1,1),OverEnd,"&gt;="&amp;DATE(YEAR($AC87),MONTH($AC87),1)),IF(ISNA(VLOOKUP($C87,EmpAll,COLUMN(Emp!$N$4),0)),0,VLOOKUP($C87,EmpAll,COLUMN(Emp!$N$4),0)))</f>
        <v>1</v>
      </c>
      <c r="AH87" s="146">
        <f ca="1">VLOOKUP($AG87,MedList,COLUMN(Setup!$C$49),1)</f>
        <v>364</v>
      </c>
      <c r="AI87" s="146">
        <f t="shared" ca="1" si="40"/>
        <v>4368</v>
      </c>
      <c r="AJ87" s="101" t="str">
        <f ca="1">IF(ISNA(VLOOKUP($C87,EmpAll,COLUMN(Emp!$L$4),0)),"None!",VLOOKUP($C87,EmpAll,COLUMN(Emp!$L$4),0))</f>
        <v>A</v>
      </c>
      <c r="AK87" s="147">
        <f t="shared" ca="1" si="33"/>
        <v>17235</v>
      </c>
      <c r="AL87" s="101" t="str">
        <f ca="1">IF(ISNA(VLOOKUP($C87,Employees[],COLUMN(Emp!$M$4),0))=TRUE,"Error!",IF(VLOOKUP($C87,Employees[],COLUMN(Emp!$M$4),0)=0,"Yes",VLOOKUP($C87,Employees[],COLUMN(Emp!$M$4),0)))</f>
        <v>A</v>
      </c>
      <c r="AM87" s="148">
        <f t="shared" ca="1" si="41"/>
        <v>120000</v>
      </c>
      <c r="AN87" s="148" cm="1">
        <f t="array" aca="1" ref="AN87" ca="1">-IF($F87="Terminated",0,IF($AA87=0,0,IF(ISNA(MATCH(AN$5,PayDedList,0)),0,MIN(IF(COUNTIFS(OverEmp,$C87,OverDeduct,AN$5,OverDate,"&lt;"&amp;DATE(YEAR($AC87),MONTH($AC87)+1,1),OverEnd,"&gt;="&amp;DATE(YEAR($AC87),MONTH($AC87),1))&gt;0,SUMPRODUCT((PayEmp=$C87)*(PayDate&lt;=$AC87)*(OFFSET($N$6,1,MATCH(AN$5,PayDedList,0)-1,PayCount,1)))/$AA87*12*AN$3,IF(OR(AN$1="Fixed",AN$1="Not Used"),SUMPRODUCT((PayEmp=$C87)*(PayDate&lt;=$AC87)*(OFFSET($N$6,1,MATCH(AN$5,PayDedList,0)-1,PayCount,1)))/$AA87*12*AN$3,IF(ISNA(MATCH(AN$1,EarnListItem,0))=FALSE,SUMPRODUCT((PayEmp=$C87)*(PayDate&lt;=$AC87)*(OFFSET($N$6,1,MATCH(AN$5,PayDedList,0)-1,PayCount,1)))/$AA87*12*AN$3,(MIN(((SUMPRODUCT((PayEmp=$C87)*(PayDate&lt;=$AC87)*(ISERROR(SEARCH(PayEarnCode,AN$2)))*(PayEarnType="Monthly")*(PayEarnValues))/$AA87*12)+(SUMPRODUCT((PayEmp=$C87)*(PayDate&lt;=$AC87)*(ISERROR(SEARCH(PayEarnCode,AN$2)))*(PayEarnType="Quarterly")*(PayEarnValues))/MAX(1,ROUNDDOWN($AB87/3,0))*4)+(SUMPRODUCT((PayEmp=$C87)*(PayDate&lt;=$AC87)*(ISERROR(SEARCH(PayEarnCode,AN$2)))*(PayEarnType="Bi-Annual")*(PayEarnValues))/MAX(1,ROUNDDOWN($AB87/6,0))*2)+(SUMPRODUCT((PayEmp=$C87)*(PayDate&lt;=$AC87)*(ISERROR(SEARCH(PayEarnCode,AN$2)))*(PayEarnType="Annual")*(PayEarnValues)))),IF(ISNUMBER(OFFSET($N$3,0,MATCH(AN$5,PayDedList,0)-1,1,1)),OFFSET($N$3,0,MATCH(AN$5,PayDedList,0)-1,1,1),IgnoreMin)))*IF(COUNTIFS(EmpNo,$C87,OFFSET(Emp!$R$4,1,MATCH(AN$5,DedListItem,0)-1,EmpCount,1),"&lt;&gt;")&gt;0,VLOOKUP($C87,EmpAll,COLUMN(Emp!$R$4)+MATCH(AN$5,DedListItem,0)-1,0),OFFSET(Setup!$E$73,MATCH(AN$5,DedListItem,0),0,1,1))*AN$3))),IF(ISNUMBER(AN$4),AN$4,IgnoreMin)))))</f>
        <v>0</v>
      </c>
      <c r="AO87" s="148" cm="1">
        <f t="array" aca="1" ref="AO87" ca="1">-IF($F87="Terminated",0,IF($AA87=0,0,IF(ISNA(MATCH(AO$5,PayDedList,0)),0,MIN(IF(COUNTIFS(OverEmp,$C87,OverDeduct,AO$5,OverDate,"&lt;"&amp;DATE(YEAR($AC87),MONTH($AC87)+1,1),OverEnd,"&gt;="&amp;DATE(YEAR($AC87),MONTH($AC87),1))&gt;0,SUMPRODUCT((PayEmp=$C87)*(PayDate&lt;=$AC87)*(OFFSET($N$6,1,MATCH(AO$5,PayDedList,0)-1,PayCount,1)))/$AA87*12*AO$3,IF(OR(AO$1="Fixed",AO$1="Not Used"),SUMPRODUCT((PayEmp=$C87)*(PayDate&lt;=$AC87)*(OFFSET($N$6,1,MATCH(AO$5,PayDedList,0)-1,PayCount,1)))/$AA87*12*AO$3,IF(ISNA(MATCH(AO$1,EarnListItem,0))=FALSE,SUMPRODUCT((PayEmp=$C87)*(PayDate&lt;=$AC87)*(OFFSET($N$6,1,MATCH(AO$5,PayDedList,0)-1,PayCount,1)))/$AA87*12*AO$3,(MIN(((SUMPRODUCT((PayEmp=$C87)*(PayDate&lt;=$AC87)*(ISERROR(SEARCH(PayEarnCode,AO$2)))*(PayEarnType="Monthly")*(PayEarnValues))/$AA87*12)+(SUMPRODUCT((PayEmp=$C87)*(PayDate&lt;=$AC87)*(ISERROR(SEARCH(PayEarnCode,AO$2)))*(PayEarnType="Quarterly")*(PayEarnValues))/MAX(1,ROUNDDOWN($AB87/3,0))*4)+(SUMPRODUCT((PayEmp=$C87)*(PayDate&lt;=$AC87)*(ISERROR(SEARCH(PayEarnCode,AO$2)))*(PayEarnType="Bi-Annual")*(PayEarnValues))/MAX(1,ROUNDDOWN($AB87/6,0))*2)+(SUMPRODUCT((PayEmp=$C87)*(PayDate&lt;=$AC87)*(ISERROR(SEARCH(PayEarnCode,AO$2)))*(PayEarnType="Annual")*(PayEarnValues)))),IF(ISNUMBER(OFFSET($N$3,0,MATCH(AO$5,PayDedList,0)-1,1,1)),OFFSET($N$3,0,MATCH(AO$5,PayDedList,0)-1,1,1),IgnoreMin)))*IF(COUNTIFS(EmpNo,$C87,OFFSET(Emp!$R$4,1,MATCH(AO$5,DedListItem,0)-1,EmpCount,1),"&lt;&gt;")&gt;0,VLOOKUP($C87,EmpAll,COLUMN(Emp!$R$4)+MATCH(AO$5,DedListItem,0)-1,0),OFFSET(Setup!$E$73,MATCH(AO$5,DedListItem,0),0,1,1))*AO$3))),IF(ISNUMBER(AO$4),AO$4,IgnoreMin)))))</f>
        <v>0</v>
      </c>
      <c r="AP87" s="148" cm="1">
        <f t="array" aca="1" ref="AP87" ca="1">-IF($F87="Terminated",0,IF($AA87=0,0,IF(ISNA(MATCH(AP$5,PayDedList,0)),0,MIN(IF(COUNTIFS(OverEmp,$C87,OverDeduct,AP$5,OverDate,"&lt;"&amp;DATE(YEAR($AC87),MONTH($AC87)+1,1),OverEnd,"&gt;="&amp;DATE(YEAR($AC87),MONTH($AC87),1))&gt;0,SUMPRODUCT((PayEmp=$C87)*(PayDate&lt;=$AC87)*(OFFSET($N$6,1,MATCH(AP$5,PayDedList,0)-1,PayCount,1)))/$AA87*12*AP$3,IF(OR(AP$1="Fixed",AP$1="Not Used"),SUMPRODUCT((PayEmp=$C87)*(PayDate&lt;=$AC87)*(OFFSET($N$6,1,MATCH(AP$5,PayDedList,0)-1,PayCount,1)))/$AA87*12*AP$3,IF(ISNA(MATCH(AP$1,EarnListItem,0))=FALSE,SUMPRODUCT((PayEmp=$C87)*(PayDate&lt;=$AC87)*(OFFSET($N$6,1,MATCH(AP$5,PayDedList,0)-1,PayCount,1)))/$AA87*12*AP$3,(MIN(((SUMPRODUCT((PayEmp=$C87)*(PayDate&lt;=$AC87)*(ISERROR(SEARCH(PayEarnCode,AP$2)))*(PayEarnType="Monthly")*(PayEarnValues))/$AA87*12)+(SUMPRODUCT((PayEmp=$C87)*(PayDate&lt;=$AC87)*(ISERROR(SEARCH(PayEarnCode,AP$2)))*(PayEarnType="Quarterly")*(PayEarnValues))/MAX(1,ROUNDDOWN($AB87/3,0))*4)+(SUMPRODUCT((PayEmp=$C87)*(PayDate&lt;=$AC87)*(ISERROR(SEARCH(PayEarnCode,AP$2)))*(PayEarnType="Bi-Annual")*(PayEarnValues))/MAX(1,ROUNDDOWN($AB87/6,0))*2)+(SUMPRODUCT((PayEmp=$C87)*(PayDate&lt;=$AC87)*(ISERROR(SEARCH(PayEarnCode,AP$2)))*(PayEarnType="Annual")*(PayEarnValues)))),IF(ISNUMBER(OFFSET($N$3,0,MATCH(AP$5,PayDedList,0)-1,1,1)),OFFSET($N$3,0,MATCH(AP$5,PayDedList,0)-1,1,1),IgnoreMin)))*IF(COUNTIFS(EmpNo,$C87,OFFSET(Emp!$R$4,1,MATCH(AP$5,DedListItem,0)-1,EmpCount,1),"&lt;&gt;")&gt;0,VLOOKUP($C87,EmpAll,COLUMN(Emp!$R$4)+MATCH(AP$5,DedListItem,0)-1,0),OFFSET(Setup!$E$73,MATCH(AP$5,DedListItem,0),0,1,1))*AP$3))),IF(ISNUMBER(AP$4),AP$4,IgnoreMin)))))</f>
        <v>0</v>
      </c>
      <c r="AQ87" s="148" cm="1">
        <f t="array" aca="1" ref="AQ87" ca="1">-IF($F87="Terminated",0,IF($AA87=0,0,IF(ISNA(MATCH(AQ$5,PayDedList,0)),0,MIN(IF(COUNTIFS(OverEmp,$C87,OverDeduct,AQ$5,OverDate,"&lt;"&amp;DATE(YEAR($AC87),MONTH($AC87)+1,1),OverEnd,"&gt;="&amp;DATE(YEAR($AC87),MONTH($AC87),1))&gt;0,SUMPRODUCT((PayEmp=$C87)*(PayDate&lt;=$AC87)*(OFFSET($N$6,1,MATCH(AQ$5,PayDedList,0)-1,PayCount,1)))/$AA87*12*AQ$3,IF(OR(AQ$1="Fixed",AQ$1="Not Used"),SUMPRODUCT((PayEmp=$C87)*(PayDate&lt;=$AC87)*(OFFSET($N$6,1,MATCH(AQ$5,PayDedList,0)-1,PayCount,1)))/$AA87*12*AQ$3,IF(ISNA(MATCH(AQ$1,EarnListItem,0))=FALSE,SUMPRODUCT((PayEmp=$C87)*(PayDate&lt;=$AC87)*(OFFSET($N$6,1,MATCH(AQ$5,PayDedList,0)-1,PayCount,1)))/$AA87*12*AQ$3,(MIN(((SUMPRODUCT((PayEmp=$C87)*(PayDate&lt;=$AC87)*(ISERROR(SEARCH(PayEarnCode,AQ$2)))*(PayEarnType="Monthly")*(PayEarnValues))/$AA87*12)+(SUMPRODUCT((PayEmp=$C87)*(PayDate&lt;=$AC87)*(ISERROR(SEARCH(PayEarnCode,AQ$2)))*(PayEarnType="Quarterly")*(PayEarnValues))/MAX(1,ROUNDDOWN($AB87/3,0))*4)+(SUMPRODUCT((PayEmp=$C87)*(PayDate&lt;=$AC87)*(ISERROR(SEARCH(PayEarnCode,AQ$2)))*(PayEarnType="Bi-Annual")*(PayEarnValues))/MAX(1,ROUNDDOWN($AB87/6,0))*2)+(SUMPRODUCT((PayEmp=$C87)*(PayDate&lt;=$AC87)*(ISERROR(SEARCH(PayEarnCode,AQ$2)))*(PayEarnType="Annual")*(PayEarnValues)))),IF(ISNUMBER(OFFSET($N$3,0,MATCH(AQ$5,PayDedList,0)-1,1,1)),OFFSET($N$3,0,MATCH(AQ$5,PayDedList,0)-1,1,1),IgnoreMin)))*IF(COUNTIFS(EmpNo,$C87,OFFSET(Emp!$R$4,1,MATCH(AQ$5,DedListItem,0)-1,EmpCount,1),"&lt;&gt;")&gt;0,VLOOKUP($C87,EmpAll,COLUMN(Emp!$R$4)+MATCH(AQ$5,DedListItem,0)-1,0),OFFSET(Setup!$E$73,MATCH(AQ$5,DedListItem,0),0,1,1))*AQ$3))),IF(ISNUMBER(AQ$4),AQ$4,IgnoreMin)))))</f>
        <v>0</v>
      </c>
      <c r="AR87" s="148">
        <f t="shared" ca="1" si="34"/>
        <v>120000</v>
      </c>
      <c r="AS87" s="148">
        <f t="shared" ca="1" si="42"/>
        <v>120000</v>
      </c>
      <c r="AT87" s="148" cm="1">
        <f t="array" aca="1" ref="AT87" ca="1">-IF($F87="Terminated",0,IF($AA87=0,0,IF(ISNA(MATCH(AT$5,PayDedList,0)),0,MIN(IF(COUNTIFS(OverEmp,$C87,OverDeduct,AT$5,OverDate,"&lt;"&amp;DATE(YEAR($AC87),MONTH($AC87)+1,1),OverEnd,"&gt;="&amp;DATE(YEAR($AC87),MONTH($AC87),1))&gt;0,SUMPRODUCT((PayEmp=$C87)*(PayDate&lt;=$AC87)*(OFFSET($N$6,1,MATCH(AT$5,PayDedList,0)-1,PayCount,1)))/$AA87*12*AT$3,IF(OR(AT$1="Fixed",AT$1="Not Used"),SUMPRODUCT((PayEmp=$C87)*(PayDate&lt;=$AC87)*(OFFSET($N$6,1,MATCH(AT$5,PayDedList,0)-1,PayCount,1)))/$AA87*12*AT$3,IF(ISNA(MATCH(OFFSET($N$2,0,MATCH(AT$5,PayDedList,0)-1,1,1),EarnListItem,0))=FALSE,SUMPRODUCT((PayEmp=$C87)*(PayDate&lt;=$AC87)*(OFFSET($N$6,1,MATCH(AT$5,PayDedList,0)-1,PayCount,1)))/$AA87*12*AT$3,(MIN(SUMPRODUCT((PayEmp=$C87)*(PayDate&lt;=$AC87)*(ISERROR(SEARCH(PayEarnCode,AT$2)))*(PayEarnType="Monthly")*(PayEarnValues))/$AA87*12,IF(ISNUMBER(OFFSET($N$3,0,MATCH(AT$5,PayDedList,0)-1,1,1)),OFFSET($N$3,0,MATCH(AT$5,PayDedList,0)-1,1,1),IgnoreMin)))*IF(COUNTIFS(EmpNo,$C87,OFFSET(Emp!$R$4,1,MATCH(AT$5,DedListItem,0)-1,EmpCount,1),"&lt;&gt;")&gt;0,VLOOKUP($C87,EmpAll,COLUMN(Emp!$R$4)+MATCH(AT$5,DedListItem,0)-1,0),OFFSET(Setup!$E$73,MATCH(AT$5,DedListItem,0),0,1,1))*AT$3))),IF(ISNUMBER(AT$4),AT$4,IgnoreMin)))))</f>
        <v>0</v>
      </c>
      <c r="AU87" s="148" cm="1">
        <f t="array" aca="1" ref="AU87" ca="1">-IF($F87="Terminated",0,IF($AA87=0,0,IF(ISNA(MATCH(AU$5,PayDedList,0)),0,MIN(IF(COUNTIFS(OverEmp,$C87,OverDeduct,AU$5,OverDate,"&lt;"&amp;DATE(YEAR($AC87),MONTH($AC87)+1,1),OverEnd,"&gt;="&amp;DATE(YEAR($AC87),MONTH($AC87),1))&gt;0,SUMPRODUCT((PayEmp=$C87)*(PayDate&lt;=$AC87)*(OFFSET($N$6,1,MATCH(AU$5,PayDedList,0)-1,PayCount,1)))/$AA87*12*AU$3,IF(OR(AU$1="Fixed",AU$1="Not Used"),SUMPRODUCT((PayEmp=$C87)*(PayDate&lt;=$AC87)*(OFFSET($N$6,1,MATCH(AU$5,PayDedList,0)-1,PayCount,1)))/$AA87*12*AU$3,IF(ISNA(MATCH(OFFSET($N$2,0,MATCH(AU$5,PayDedList,0)-1,1,1),EarnListItem,0))=FALSE,SUMPRODUCT((PayEmp=$C87)*(PayDate&lt;=$AC87)*(OFFSET($N$6,1,MATCH(AU$5,PayDedList,0)-1,PayCount,1)))/$AA87*12*AU$3,(MIN(SUMPRODUCT((PayEmp=$C87)*(PayDate&lt;=$AC87)*(ISERROR(SEARCH(PayEarnCode,AU$2)))*(PayEarnType="Monthly")*(PayEarnValues))/$AA87*12,IF(ISNUMBER(OFFSET($N$3,0,MATCH(AU$5,PayDedList,0)-1,1,1)),OFFSET($N$3,0,MATCH(AU$5,PayDedList,0)-1,1,1),IgnoreMin)))*IF(COUNTIFS(EmpNo,$C87,OFFSET(Emp!$R$4,1,MATCH(AU$5,DedListItem,0)-1,EmpCount,1),"&lt;&gt;")&gt;0,VLOOKUP($C87,EmpAll,COLUMN(Emp!$R$4)+MATCH(AU$5,DedListItem,0)-1,0),OFFSET(Setup!$E$73,MATCH(AU$5,DedListItem,0),0,1,1))*AU$3))),IF(ISNUMBER(AU$4),AU$4,IgnoreMin)))))</f>
        <v>0</v>
      </c>
      <c r="AV87" s="148" cm="1">
        <f t="array" aca="1" ref="AV87" ca="1">-IF($F87="Terminated",0,IF($AA87=0,0,IF(ISNA(MATCH(AV$5,PayDedList,0)),0,MIN(IF(COUNTIFS(OverEmp,$C87,OverDeduct,AV$5,OverDate,"&lt;"&amp;DATE(YEAR($AC87),MONTH($AC87)+1,1),OverEnd,"&gt;="&amp;DATE(YEAR($AC87),MONTH($AC87),1))&gt;0,SUMPRODUCT((PayEmp=$C87)*(PayDate&lt;=$AC87)*(OFFSET($N$6,1,MATCH(AV$5,PayDedList,0)-1,PayCount,1)))/$AA87*12*AV$3,IF(OR(AV$1="Fixed",AV$1="Not Used"),SUMPRODUCT((PayEmp=$C87)*(PayDate&lt;=$AC87)*(OFFSET($N$6,1,MATCH(AV$5,PayDedList,0)-1,PayCount,1)))/$AA87*12*AV$3,IF(ISNA(MATCH(OFFSET($N$2,0,MATCH(AV$5,PayDedList,0)-1,1,1),EarnListItem,0))=FALSE,SUMPRODUCT((PayEmp=$C87)*(PayDate&lt;=$AC87)*(OFFSET($N$6,1,MATCH(AV$5,PayDedList,0)-1,PayCount,1)))/$AA87*12*AV$3,(MIN(SUMPRODUCT((PayEmp=$C87)*(PayDate&lt;=$AC87)*(ISERROR(SEARCH(PayEarnCode,AV$2)))*(PayEarnType="Monthly")*(PayEarnValues))/$AA87*12,IF(ISNUMBER(OFFSET($N$3,0,MATCH(AV$5,PayDedList,0)-1,1,1)),OFFSET($N$3,0,MATCH(AV$5,PayDedList,0)-1,1,1),IgnoreMin)))*IF(COUNTIFS(EmpNo,$C87,OFFSET(Emp!$R$4,1,MATCH(AV$5,DedListItem,0)-1,EmpCount,1),"&lt;&gt;")&gt;0,VLOOKUP($C87,EmpAll,COLUMN(Emp!$R$4)+MATCH(AV$5,DedListItem,0)-1,0),OFFSET(Setup!$E$73,MATCH(AV$5,DedListItem,0),0,1,1))*AV$3))),IF(ISNUMBER(AV$4),AV$4,IgnoreMin)))))</f>
        <v>0</v>
      </c>
      <c r="AW87" s="148" cm="1">
        <f t="array" aca="1" ref="AW87" ca="1">-IF($F87="Terminated",0,IF($AA87=0,0,IF(ISNA(MATCH(AW$5,PayDedList,0)),0,MIN(IF(COUNTIFS(OverEmp,$C87,OverDeduct,AW$5,OverDate,"&lt;"&amp;DATE(YEAR($AC87),MONTH($AC87)+1,1),OverEnd,"&gt;="&amp;DATE(YEAR($AC87),MONTH($AC87),1))&gt;0,SUMPRODUCT((PayEmp=$C87)*(PayDate&lt;=$AC87)*(OFFSET($N$6,1,MATCH(AW$5,PayDedList,0)-1,PayCount,1)))/$AA87*12*AW$3,IF(OR(AW$1="Fixed",AW$1="Not Used"),SUMPRODUCT((PayEmp=$C87)*(PayDate&lt;=$AC87)*(OFFSET($N$6,1,MATCH(AW$5,PayDedList,0)-1,PayCount,1)))/$AA87*12*AW$3,IF(ISNA(MATCH(OFFSET($N$2,0,MATCH(AW$5,PayDedList,0)-1,1,1),EarnListItem,0))=FALSE,SUMPRODUCT((PayEmp=$C87)*(PayDate&lt;=$AC87)*(OFFSET($N$6,1,MATCH(AW$5,PayDedList,0)-1,PayCount,1)))/$AA87*12*AW$3,(MIN(SUMPRODUCT((PayEmp=$C87)*(PayDate&lt;=$AC87)*(ISERROR(SEARCH(PayEarnCode,AW$2)))*(PayEarnType="Monthly")*(PayEarnValues))/$AA87*12,IF(ISNUMBER(OFFSET($N$3,0,MATCH(AW$5,PayDedList,0)-1,1,1)),OFFSET($N$3,0,MATCH(AW$5,PayDedList,0)-1,1,1),IgnoreMin)))*IF(COUNTIFS(EmpNo,$C87,OFFSET(Emp!$R$4,1,MATCH(AW$5,DedListItem,0)-1,EmpCount,1),"&lt;&gt;")&gt;0,VLOOKUP($C87,EmpAll,COLUMN(Emp!$R$4)+MATCH(AW$5,DedListItem,0)-1,0),OFFSET(Setup!$E$73,MATCH(AW$5,DedListItem,0),0,1,1))*AW$3))),IF(ISNUMBER(AW$4),AW$4,IgnoreMin)))))</f>
        <v>0</v>
      </c>
      <c r="AX87" s="148">
        <f t="shared" ca="1" si="43"/>
        <v>120000</v>
      </c>
      <c r="AY87" s="148">
        <f t="shared" ca="1" si="44"/>
        <v>0</v>
      </c>
      <c r="AZ87" s="148">
        <f ca="1">IF(ISNUMBER($AL87),($AR87*$AL87)-$AI87-$AK87,MAX(0,IF($AL87="B",IF($AR87&lt;Setup!$C$32,($AR87*Setup!$D$32)-$AI87-$AK87,(($AR87-VLOOKUP($AR87,TaxAll2,1,1))*OFFSET(Setup!$D$32,MATCH($AR87,TaxBracket2,1),0,1,1))+OFFSET(Setup!$E$31,MATCH($AR87,TaxBracket2,1),0,1,1)-$AI87-$AK87),IF($AR87&lt;Setup!$C$21,($AR87*Setup!$D$21)-$AI87-$AK87,(($AR87-VLOOKUP($AR87,TaxAll1,1,1))*OFFSET(Setup!$D$21,MATCH($AR87,TaxBracket1,1),0,1,1))+OFFSET(Setup!$E$20,MATCH($AR87,TaxBracket1,1),0,1,1)-$AI87-$AK87))))</f>
        <v>0</v>
      </c>
      <c r="BA87" s="148">
        <f ca="1">IF(ISNUMBER($AL87),($AX87*$AL87)-$AI87-$AK87,MAX(0,IF($AL87="B",IF($AX87&lt;Setup!$C$32,($AX87*Setup!$D$32)-$AI87-$AK87,(($AX87-VLOOKUP($AX87,TaxAll2,1,1))*OFFSET(Setup!$D$32,MATCH($AX87,TaxBracket2,1),0,1,1))+OFFSET(Setup!$E$31,MATCH($AX87,TaxBracket2,1),0,1,1)-$AI87-$AK87),IF($AX87&lt;Setup!$C$21,($AX87*Setup!$D$21)-$AI87-$AK87,(($AX87-VLOOKUP($AX87,TaxAll1,1,1))*OFFSET(Setup!$D$21,MATCH($AX87,TaxBracket1,1),0,1,1))+OFFSET(Setup!$E$20,MATCH($AX87,TaxBracket1,1),0,1,1)-$AI87-$AK87))))</f>
        <v>0</v>
      </c>
      <c r="BB87" s="148">
        <f t="shared" ca="1" si="35"/>
        <v>0</v>
      </c>
      <c r="BC87" s="150">
        <f t="shared" ca="1" si="45"/>
        <v>1</v>
      </c>
      <c r="BD87" s="150">
        <f t="shared" ca="1" si="46"/>
        <v>0</v>
      </c>
      <c r="BE87" s="148">
        <f t="shared" ca="1" si="47"/>
        <v>120000</v>
      </c>
    </row>
    <row r="88" spans="1:57" ht="16.149999999999999" customHeight="1" x14ac:dyDescent="0.25">
      <c r="A88" s="10" t="str" cm="1">
        <f t="array" aca="1" ref="A88" ca="1">IF(ROW($A88)-ROW($A$6)&gt;EmpCount*12,"-",TEXT($B88,"yyyy")&amp;TEXT($B88,"mm")&amp;"-"&amp;$C88)</f>
        <v>202308-EXS007</v>
      </c>
      <c r="B88" s="137" cm="1">
        <f t="array" aca="1" ref="B88" ca="1">IF(ROW($A88)-ROW($A$6)&gt;EmpCount*12,Setup!$D$12,DATE(YEAR(Setup!$F$12),MONTH(Setup!$F$12)+ROUNDDOWN((ROW($A88)-ROW($A$6)-1)/EmpCount,0),IF(Setup!$C$14&gt;DAY(DATE(YEAR(Setup!$F$12),MONTH(Setup!$F$12)+ROUNDDOWN((ROW($A88)-ROW($A$6)-1)/EmpCount,0)+1,0)),DAY(DATE(YEAR(Setup!$F$12),MONTH(Setup!$F$12)+ROUNDDOWN((ROW($A88)-ROW($A$6)-1)/EmpCount,0)+1,0)),Setup!$C$14)))</f>
        <v>45163</v>
      </c>
      <c r="C88" s="101" t="str" cm="1">
        <f t="array" aca="1" ref="C88" ca="1">IF(ROW($A88)-ROW($A$6)&gt;EmpCount*12,"-",OFFSET(Emp!$A$4,ROW($A88)-ROW($A$6)-IF(ROW($A88)-ROW($A$6)&gt;EmpCount,ROUNDDOWN((ROW($A88)-ROW($A$6)-1)/EmpCount,0)*EmpCount,0),0,1,1))</f>
        <v>EXS007</v>
      </c>
      <c r="D88" s="10" t="str">
        <f ca="1">IF(ISNA(VLOOKUP($C88,EmpAll,COLUMN(Emp!$B$4),0)),"-",VLOOKUP($C88,EmpAll,COLUMN(Emp!$B$4),0))</f>
        <v>Phillips KE</v>
      </c>
      <c r="E88" s="145" t="str">
        <f ca="1">IF(ISNA(VLOOKUP($C88,EmpAll,COLUMN(Emp!$C$4),0)),"-",VLOOKUP($C88,EmpAll,COLUMN(Emp!$C$4),0))</f>
        <v>A</v>
      </c>
      <c r="F88" s="101" t="str">
        <f ca="1">IF(ISNA(VLOOKUP($C88,EmpAll,COLUMN(Emp!$A$4),0)),"-",IF(AND(VLOOKUP($C88,EmpAll,COLUMN(Emp!$E$4),0)&lt;&gt;0,VLOOKUP($C88,EmpAll,COLUMN(Emp!$E$4),0)&gt;=DATE(YEAR($AC88),MONTH($AC88)+1,0)),"Inactive",IF(AND(VLOOKUP($C88,EmpAll,COLUMN(Emp!$F$4),0)&lt;&gt;0,VLOOKUP($C88,EmpAll,COLUMN(Emp!$F$4),0)&lt;=DATE(YEAR($AC88),MONTH($AC88),0)),"Terminated","Active")))</f>
        <v>Terminated</v>
      </c>
      <c r="G88" s="133" cm="1">
        <f t="array" aca="1" ref="G88" ca="1">IF($F88&lt;&gt;"Active",0,IF(COUNTIFS(OverEmp,$C88,OverEarn,G$2,OverDate,"&lt;"&amp;DATE(YEAR($AC88),MONTH($AC88)+1,1),OverEnd,"&gt;="&amp;DATE(YEAR($AC88),MONTH($AC88),1))&gt;0,SUMIFS(OverValue,OverEmp,$C88,OverEarn,G$2,OverDate,"&lt;"&amp;DATE(YEAR($AC88),MONTH($AC88)+1,1),OverEnd,"&gt;="&amp;DATE(YEAR($AC88),MONTH($AC88),1)),IF(AND($AC88&gt;=Setup!$E$10,SUMIFS(EmpIncrease,EmpCode,$C88)&gt;0),SUMIFS(EmpIncrease,EmpCode,$C88),SUMIFS(EmpSalary,EmpCode,$C88))))</f>
        <v>0</v>
      </c>
      <c r="H88" s="133" cm="1">
        <f t="array" aca="1" ref="H88" ca="1">IF($F88&lt;&gt;"Active",0,IF(COUNTIFS(OverEmp,$C88,OverEarn,H$2,OverDate,"&lt;"&amp;DATE(YEAR($AC88),MONTH($AC88)+1,1),OverEnd,"&gt;="&amp;DATE(YEAR($AC88),MONTH($AC88),1))&gt;0,SUMIFS(OverValue,OverEmp,$C88,OverEarn,H$2,OverDate,"&lt;"&amp;DATE(YEAR($AC88),MONTH($AC88)+1,1),OverEnd,"&gt;="&amp;DATE(YEAR($AC88),MONTH($AC88),1)),0))</f>
        <v>0</v>
      </c>
      <c r="I88" s="133" cm="1">
        <f t="array" aca="1" ref="I88" ca="1">IF($F88&lt;&gt;"Active",0,IF(COUNTIFS(OverEmp,$C88,OverEarn,I$2,OverDate,"&lt;"&amp;DATE(YEAR($AC88),MONTH($AC88)+1,1),OverEnd,"&gt;="&amp;DATE(YEAR($AC88),MONTH($AC88),1))&gt;0,SUMIFS(OverValue,OverEmp,$C88,OverEarn,I$2,OverDate,"&lt;"&amp;DATE(YEAR($AC88),MONTH($AC88)+1,1),OverEnd,"&gt;="&amp;DATE(YEAR($AC88),MONTH($AC88),1)),IF(MONTH(B88)=Setup!$C$15,SUMIFS(EmpBonus,EmpCode,$C88),0)))</f>
        <v>0</v>
      </c>
      <c r="J88" s="133" cm="1">
        <f t="array" aca="1" ref="J88" ca="1">IF($F88&lt;&gt;"Active",0,IF(COUNTIFS(OverEmp,$C88,OverEarn,J$2,OverDate,"&lt;"&amp;DATE(YEAR($AC88),MONTH($AC88)+1,1),OverEnd,"&gt;="&amp;DATE(YEAR($AC88),MONTH($AC88),1))&gt;0,SUMIFS(OverValue,OverEmp,$C88,OverEarn,J$2,OverDate,"&lt;"&amp;DATE(YEAR($AC88),MONTH($AC88)+1,1),OverEnd,"&gt;="&amp;DATE(YEAR($AC88),MONTH($AC88),1)),0))</f>
        <v>0</v>
      </c>
      <c r="K88" s="133" cm="1">
        <f t="array" aca="1" ref="K88" ca="1">IF($F88&lt;&gt;"Active",0,IF(COUNTIFS(OverEmp,$C88,OverEarn,K$2,OverDate,"&lt;"&amp;DATE(YEAR($AC88),MONTH($AC88)+1,1),OverEnd,"&gt;="&amp;DATE(YEAR($AC88),MONTH($AC88),1))&gt;0,SUMIFS(OverValue,OverEmp,$C88,OverEarn,K$2,OverDate,"&lt;"&amp;DATE(YEAR($AC88),MONTH($AC88)+1,1),OverEnd,"&gt;="&amp;DATE(YEAR($AC88),MONTH($AC88),1)),0))</f>
        <v>0</v>
      </c>
      <c r="L88" s="185">
        <f t="shared" ca="1" si="36"/>
        <v>0</v>
      </c>
      <c r="M88" s="182" cm="1">
        <f t="array" aca="1" ref="M88" ca="1">IF(COUNTIFS(OverEmp,$C88,OverTax,M$5,OverDate,"&lt;"&amp;DATE(YEAR($AC88),MONTH($AC88)+1,1),OverEnd,"&gt;="&amp;DATE(YEAR($AC88),MONTH($AC88),1))&gt;0,SUMIFS(OverValue,OverEmp,$C88,OverTax,M$5,OverDate,"&lt;"&amp;DATE(YEAR($AC88),MONTH($AC88)+1,1),OverEnd,"&gt;="&amp;DATE(YEAR($AC88),MONTH($AC88),1)),(($BA88/12*$AA88)+(BB88*IF(1-$BC88=0,0,BD88/(1-$BC88))))-IF($F88="Terminated",0,SUMIFS(PayTaxDeduct,PayDate,"&lt;"&amp;$AC88,PayEmp,$C88)))</f>
        <v>0</v>
      </c>
      <c r="N88" s="133" cm="1">
        <f t="array" aca="1" ref="N88" ca="1">IF($F88="Terminated",0,IF($AA88=0,0,IF(ISNA(MATCH(N$5,DedListItem,0)),0,IF(COUNTIFS(OverEmp,$C88,OverDeduct,N$5,OverDate,"&lt;"&amp;DATE(YEAR($AC88),MONTH($AC88)+1,1),OverEnd,"&gt;="&amp;DATE(YEAR($AC88),MONTH($AC88),1))&gt;0,SUMIFS(OverValue,OverEmp,$C88,OverDeduct,N$5,OverDate,"&lt;"&amp;DATE(YEAR($AC88),MONTH($AC88)+1,1),OverEnd,"&gt;="&amp;DATE(YEAR($AC88),MONTH($AC88),1)),IF(OR(N$2="Fixed",N$2="Not Used"),(IF(COUNTIFS(EmpNo,$C88,OFFSET(Emp!$R$4,1,MATCH(N$5,DedListItem,0)-1,EmpCount,1),"&lt;&gt;")&gt;0,VLOOKUP($C88,EmpAll,COLUMN(Emp!$R$4)+MATCH(N$5,DedListItem,0)-1,0),OFFSET(Setup!$E$73,MATCH(N$5,DedListItem,0),0,1,1))*$AA88)-SUMIFS(OFFSET(N$6,1,0,PayCount,1),PayDate,"&lt;"&amp;$AC88,PayEmp,$C88),IF(ISNA(MATCH(N$2,EarnListItem,0))=FALSE,IF(OFFSET(Setup!$G$73,MATCH(N$5,DedListItem,0),0,1,1)="Taxable",SUMPRODUCT((PayEmp=$C88)*(PayDate&lt;=$AC88)*(PayEarnCode=N$2)*(PayEarnTax)*(PayEarnValues)),SUMPRODUCT((PayEmp=$C88)*(PayDate&lt;=$AC88)*(PayEarnCode=N$2)*(PayEarnValues)))*IF(COUNTIFS(EmpNo,$C88,OFFSET(Emp!$R$4,1,MATCH(N$5,DedListItem,0)-1,EmpCount,1),"&lt;&gt;")&gt;0,VLOOKUP($C88,EmpAll,COLUMN(Emp!$R$4)+MATCH(N$5,DedListItem,0)-1,0),OFFSET(Setup!$E$73,MATCH(N$5,DedListItem,0),0,1,1)),(MIN(IF(OFFSET(Setup!$G$73,MATCH(N$5,DedListItem,0),0,1,1)="Taxable",SUMPRODUCT((PayEmp=$C88)*(PayDate&lt;=$AC88)*(ISERROR(SEARCH(PayEarnCode,N$4)))*(PayEarnTax)*(PayEarnValues)),SUMPRODUCT((PayEmp=$C88)*(PayDate&lt;=$AC88)*(ISERROR(SEARCH(PayEarnCode,N$4)))*(PayEarnValues))),IF(ISNUMBER(N$3),N$3/12*$AA88,IgnoreMin)))*IF(COUNTIFS(EmpNo,$C88,OFFSET(Emp!$R$4,1,MATCH(N$5,DedListItem,0)-1,EmpCount,1),"&lt;&gt;")&gt;0,VLOOKUP($C88,EmpAll,COLUMN(Emp!$R$4)+MATCH(N$5,DedListItem,0)-1,0),OFFSET(Setup!$E$73,MATCH(N$5,DedListItem,0),0,1,1)))-SUMIFS(OFFSET(N$6,1,0,PayCount,1),PayDate,"&lt;"&amp;$AC88,PayEmp,$C88))))))</f>
        <v>0</v>
      </c>
      <c r="O88" s="133" cm="1">
        <f t="array" aca="1" ref="O88" ca="1">IF($F88="Terminated",0,IF($AA88=0,0,IF(ISNA(MATCH(O$5,DedListItem,0)),0,IF(COUNTIFS(OverEmp,$C88,OverDeduct,O$5,OverDate,"&lt;"&amp;DATE(YEAR($AC88),MONTH($AC88)+1,1),OverEnd,"&gt;="&amp;DATE(YEAR($AC88),MONTH($AC88),1))&gt;0,SUMIFS(OverValue,OverEmp,$C88,OverDeduct,O$5,OverDate,"&lt;"&amp;DATE(YEAR($AC88),MONTH($AC88)+1,1),OverEnd,"&gt;="&amp;DATE(YEAR($AC88),MONTH($AC88),1)),IF(OR(O$2="Fixed",O$2="Not Used"),(IF(COUNTIFS(EmpNo,$C88,OFFSET(Emp!$R$4,1,MATCH(O$5,DedListItem,0)-1,EmpCount,1),"&lt;&gt;")&gt;0,VLOOKUP($C88,EmpAll,COLUMN(Emp!$R$4)+MATCH(O$5,DedListItem,0)-1,0),OFFSET(Setup!$E$73,MATCH(O$5,DedListItem,0),0,1,1))*$AA88)-SUMIFS(OFFSET(O$6,1,0,PayCount,1),PayDate,"&lt;"&amp;$AC88,PayEmp,$C88),IF(ISNA(MATCH(O$2,EarnListItem,0))=FALSE,IF(OFFSET(Setup!$G$73,MATCH(O$5,DedListItem,0),0,1,1)="Taxable",SUMPRODUCT((PayEmp=$C88)*(PayDate&lt;=$AC88)*(PayEarnCode=O$2)*(PayEarnTax)*(PayEarnValues)),SUMPRODUCT((PayEmp=$C88)*(PayDate&lt;=$AC88)*(PayEarnCode=O$2)*(PayEarnValues)))*IF(COUNTIFS(EmpNo,$C88,OFFSET(Emp!$R$4,1,MATCH(O$5,DedListItem,0)-1,EmpCount,1),"&lt;&gt;")&gt;0,VLOOKUP($C88,EmpAll,COLUMN(Emp!$R$4)+MATCH(O$5,DedListItem,0)-1,0),OFFSET(Setup!$E$73,MATCH(O$5,DedListItem,0),0,1,1)),(MIN(IF(OFFSET(Setup!$G$73,MATCH(O$5,DedListItem,0),0,1,1)="Taxable",SUMPRODUCT((PayEmp=$C88)*(PayDate&lt;=$AC88)*(ISERROR(SEARCH(PayEarnCode,O$4)))*(PayEarnTax)*(PayEarnValues)),SUMPRODUCT((PayEmp=$C88)*(PayDate&lt;=$AC88)*(ISERROR(SEARCH(PayEarnCode,O$4)))*(PayEarnValues))),IF(ISNUMBER(O$3),O$3/12*$AA88,IgnoreMin)))*IF(COUNTIFS(EmpNo,$C88,OFFSET(Emp!$R$4,1,MATCH(O$5,DedListItem,0)-1,EmpCount,1),"&lt;&gt;")&gt;0,VLOOKUP($C88,EmpAll,COLUMN(Emp!$R$4)+MATCH(O$5,DedListItem,0)-1,0),OFFSET(Setup!$E$73,MATCH(O$5,DedListItem,0),0,1,1)))-SUMIFS(OFFSET(O$6,1,0,PayCount,1),PayDate,"&lt;"&amp;$AC88,PayEmp,$C88))))))</f>
        <v>0</v>
      </c>
      <c r="P88" s="133" cm="1">
        <f t="array" aca="1" ref="P88" ca="1">IF($F88="Terminated",0,IF($AA88=0,0,IF(ISNA(MATCH(P$5,DedListItem,0)),0,IF(COUNTIFS(OverEmp,$C88,OverDeduct,P$5,OverDate,"&lt;"&amp;DATE(YEAR($AC88),MONTH($AC88)+1,1),OverEnd,"&gt;="&amp;DATE(YEAR($AC88),MONTH($AC88),1))&gt;0,SUMIFS(OverValue,OverEmp,$C88,OverDeduct,P$5,OverDate,"&lt;"&amp;DATE(YEAR($AC88),MONTH($AC88)+1,1),OverEnd,"&gt;="&amp;DATE(YEAR($AC88),MONTH($AC88),1)),IF(OR(P$2="Fixed",P$2="Not Used"),(IF(COUNTIFS(EmpNo,$C88,OFFSET(Emp!$R$4,1,MATCH(P$5,DedListItem,0)-1,EmpCount,1),"&lt;&gt;")&gt;0,VLOOKUP($C88,EmpAll,COLUMN(Emp!$R$4)+MATCH(P$5,DedListItem,0)-1,0),OFFSET(Setup!$E$73,MATCH(P$5,DedListItem,0),0,1,1))*$AA88)-SUMIFS(OFFSET(P$6,1,0,PayCount,1),PayDate,"&lt;"&amp;$AC88,PayEmp,$C88),IF(ISNA(MATCH(P$2,EarnListItem,0))=FALSE,IF(OFFSET(Setup!$G$73,MATCH(P$5,DedListItem,0),0,1,1)="Taxable",SUMPRODUCT((PayEmp=$C88)*(PayDate&lt;=$AC88)*(PayEarnCode=P$2)*(PayEarnTax)*(PayEarnValues)),SUMPRODUCT((PayEmp=$C88)*(PayDate&lt;=$AC88)*(PayEarnCode=P$2)*(PayEarnValues)))*IF(COUNTIFS(EmpNo,$C88,OFFSET(Emp!$R$4,1,MATCH(P$5,DedListItem,0)-1,EmpCount,1),"&lt;&gt;")&gt;0,VLOOKUP($C88,EmpAll,COLUMN(Emp!$R$4)+MATCH(P$5,DedListItem,0)-1,0),OFFSET(Setup!$E$73,MATCH(P$5,DedListItem,0),0,1,1)),(MIN(IF(OFFSET(Setup!$G$73,MATCH(P$5,DedListItem,0),0,1,1)="Taxable",SUMPRODUCT((PayEmp=$C88)*(PayDate&lt;=$AC88)*(ISERROR(SEARCH(PayEarnCode,P$4)))*(PayEarnTax)*(PayEarnValues)),SUMPRODUCT((PayEmp=$C88)*(PayDate&lt;=$AC88)*(ISERROR(SEARCH(PayEarnCode,P$4)))*(PayEarnValues))),IF(ISNUMBER(P$3),P$3/12*$AA88,IgnoreMin)))*IF(COUNTIFS(EmpNo,$C88,OFFSET(Emp!$R$4,1,MATCH(P$5,DedListItem,0)-1,EmpCount,1),"&lt;&gt;")&gt;0,VLOOKUP($C88,EmpAll,COLUMN(Emp!$R$4)+MATCH(P$5,DedListItem,0)-1,0),OFFSET(Setup!$E$73,MATCH(P$5,DedListItem,0),0,1,1)))-SUMIFS(OFFSET(P$6,1,0,PayCount,1),PayDate,"&lt;"&amp;$AC88,PayEmp,$C88))))))</f>
        <v>0</v>
      </c>
      <c r="Q88" s="133" cm="1">
        <f t="array" aca="1" ref="Q88" ca="1">IF($F88="Terminated",0,IF($AA88=0,0,IF(ISNA(MATCH(Q$5,DedListItem,0)),0,IF(COUNTIFS(OverEmp,$C88,OverDeduct,Q$5,OverDate,"&lt;"&amp;DATE(YEAR($AC88),MONTH($AC88)+1,1),OverEnd,"&gt;="&amp;DATE(YEAR($AC88),MONTH($AC88),1))&gt;0,SUMIFS(OverValue,OverEmp,$C88,OverDeduct,Q$5,OverDate,"&lt;"&amp;DATE(YEAR($AC88),MONTH($AC88)+1,1),OverEnd,"&gt;="&amp;DATE(YEAR($AC88),MONTH($AC88),1)),IF(OR(Q$2="Fixed",Q$2="Not Used"),(IF(COUNTIFS(EmpNo,$C88,OFFSET(Emp!$R$4,1,MATCH(Q$5,DedListItem,0)-1,EmpCount,1),"&lt;&gt;")&gt;0,VLOOKUP($C88,EmpAll,COLUMN(Emp!$R$4)+MATCH(Q$5,DedListItem,0)-1,0),OFFSET(Setup!$E$73,MATCH(Q$5,DedListItem,0),0,1,1))*$AA88)-SUMIFS(OFFSET(Q$6,1,0,PayCount,1),PayDate,"&lt;"&amp;$AC88,PayEmp,$C88),IF(ISNA(MATCH(Q$2,EarnListItem,0))=FALSE,IF(OFFSET(Setup!$G$73,MATCH(Q$5,DedListItem,0),0,1,1)="Taxable",SUMPRODUCT((PayEmp=$C88)*(PayDate&lt;=$AC88)*(PayEarnCode=Q$2)*(PayEarnTax)*(PayEarnValues)),SUMPRODUCT((PayEmp=$C88)*(PayDate&lt;=$AC88)*(PayEarnCode=Q$2)*(PayEarnValues)))*IF(COUNTIFS(EmpNo,$C88,OFFSET(Emp!$R$4,1,MATCH(Q$5,DedListItem,0)-1,EmpCount,1),"&lt;&gt;")&gt;0,VLOOKUP($C88,EmpAll,COLUMN(Emp!$R$4)+MATCH(Q$5,DedListItem,0)-1,0),OFFSET(Setup!$E$73,MATCH(Q$5,DedListItem,0),0,1,1)),(MIN(IF(OFFSET(Setup!$G$73,MATCH(Q$5,DedListItem,0),0,1,1)="Taxable",SUMPRODUCT((PayEmp=$C88)*(PayDate&lt;=$AC88)*(ISERROR(SEARCH(PayEarnCode,Q$4)))*(PayEarnTax)*(PayEarnValues)),SUMPRODUCT((PayEmp=$C88)*(PayDate&lt;=$AC88)*(ISERROR(SEARCH(PayEarnCode,Q$4)))*(PayEarnValues))),IF(ISNUMBER(Q$3),Q$3/12*$AA88,IgnoreMin)))*IF(COUNTIFS(EmpNo,$C88,OFFSET(Emp!$R$4,1,MATCH(Q$5,DedListItem,0)-1,EmpCount,1),"&lt;&gt;")&gt;0,VLOOKUP($C88,EmpAll,COLUMN(Emp!$R$4)+MATCH(Q$5,DedListItem,0)-1,0),OFFSET(Setup!$E$73,MATCH(Q$5,DedListItem,0),0,1,1)))-SUMIFS(OFFSET(Q$6,1,0,PayCount,1),PayDate,"&lt;"&amp;$AC88,PayEmp,$C88))))))</f>
        <v>0</v>
      </c>
      <c r="R88" s="185">
        <f t="shared" ca="1" si="37"/>
        <v>0</v>
      </c>
      <c r="S88" s="139">
        <f t="shared" ca="1" si="38"/>
        <v>0</v>
      </c>
      <c r="T88" s="133" cm="1">
        <f t="array" aca="1" ref="T88" ca="1">IF($F88="Terminated",0,IF($AA88=0,0,IF(ISNA(MATCH(T$5,CompListItem,0)),0,IF(COUNTIFS(OverEmp,$C88,OverComp,T$5,OverDate,"&lt;"&amp;DATE(YEAR($AC88),MONTH($AC88)+1,1),OverEnd,"&gt;="&amp;DATE(YEAR($AC88),MONTH($AC88),1))&gt;0,SUMIFS(OverValue,OverEmp,$C88,OverComp,T$5,OverDate,"&lt;"&amp;DATE(YEAR($AC88),MONTH($AC88)+1,1),OverEnd,"&gt;="&amp;DATE(YEAR($AC88),MONTH($AC88),1)),IF(OR(T$2="Fixed",T$2="Not Used"),(OFFSET(Setup!$E$81,MATCH(T$5,CompListItem,0),0,1,1)*$AA88)-SUMIFS(OFFSET(T$6,1,0,PayCount,1),PayDate,"&lt;"&amp;$AC88,PayEmp,$C88),IF(ISNA(MATCH(T$2,DedListItem,0))=FALSE,(SUMPRODUCT((PayEmp=$C88)*(PayDate&lt;=$AC88)*(PayDedList=T$2)*(PayDedValues))*OFFSET(Setup!$E$81,MATCH(T$5,CompListItem,0),0,1,1))-SUMIFS(OFFSET(T$6,1,0,PayCount,1),PayDate,"&lt;"&amp;$AC88,PayEmp,$C88),(MIN(IF(OFFSET(Setup!$G$81,MATCH(T$5,CompListItem,0),0,1,1)="Taxable",SUMPRODUCT((PayEmp=$C88)*(PayDate&lt;=$AC88)*(ISERROR(SEARCH(PayEarnCode,T$4)))*(PayEarnTax)*(PayEarnValues)),SUMPRODUCT((PayEmp=$C88)*(PayDate&lt;=$AC88)*(ISERROR(SEARCH(PayEarnCode,T$4)))*(PayEarnValues))),IF(ISNUMBER(T$3),T$3/12*$AA88,IgnoreMin)))*OFFSET(Setup!$E$81,MATCH(T$5,CompListItem,0),0,1,1)-SUMIFS(OFFSET(T$6,1,0,PayCount,1),PayDate,"&lt;"&amp;$AC88,PayEmp,$C88)))))))</f>
        <v>0</v>
      </c>
      <c r="U88" s="133" cm="1">
        <f t="array" aca="1" ref="U88" ca="1">IF($F88="Terminated",0,IF($AA88=0,0,IF(ISNA(MATCH(U$5,CompListItem,0)),0,IF(COUNTIFS(OverEmp,$C88,OverComp,U$5,OverDate,"&lt;"&amp;DATE(YEAR($AC88),MONTH($AC88)+1,1),OverEnd,"&gt;="&amp;DATE(YEAR($AC88),MONTH($AC88),1))&gt;0,SUMIFS(OverValue,OverEmp,$C88,OverComp,U$5,OverDate,"&lt;"&amp;DATE(YEAR($AC88),MONTH($AC88)+1,1),OverEnd,"&gt;="&amp;DATE(YEAR($AC88),MONTH($AC88),1)),IF(OR(U$2="Fixed",U$2="Not Used"),(OFFSET(Setup!$E$81,MATCH(U$5,CompListItem,0),0,1,1)*$AA88)-SUMIFS(OFFSET(U$6,1,0,PayCount,1),PayDate,"&lt;"&amp;$AC88,PayEmp,$C88),IF(ISNA(MATCH(U$2,DedListItem,0))=FALSE,(SUMPRODUCT((PayEmp=$C88)*(PayDate&lt;=$AC88)*(PayDedList=U$2)*(PayDedValues))*OFFSET(Setup!$E$81,MATCH(U$5,CompListItem,0),0,1,1))-SUMIFS(OFFSET(U$6,1,0,PayCount,1),PayDate,"&lt;"&amp;$AC88,PayEmp,$C88),(MIN(IF(OFFSET(Setup!$G$81,MATCH(U$5,CompListItem,0),0,1,1)="Taxable",SUMPRODUCT((PayEmp=$C88)*(PayDate&lt;=$AC88)*(ISERROR(SEARCH(PayEarnCode,U$4)))*(PayEarnTax)*(PayEarnValues)),SUMPRODUCT((PayEmp=$C88)*(PayDate&lt;=$AC88)*(ISERROR(SEARCH(PayEarnCode,U$4)))*(PayEarnValues))),IF(ISNUMBER(U$3),U$3/12*$AA88,IgnoreMin)))*OFFSET(Setup!$E$81,MATCH(U$5,CompListItem,0),0,1,1)-SUMIFS(OFFSET(U$6,1,0,PayCount,1),PayDate,"&lt;"&amp;$AC88,PayEmp,$C88)))))))</f>
        <v>0</v>
      </c>
      <c r="V88" s="133" cm="1">
        <f t="array" aca="1" ref="V88" ca="1">IF($F88="Terminated",0,IF($AA88=0,0,IF(ISNA(MATCH(V$5,CompListItem,0)),0,IF(COUNTIFS(OverEmp,$C88,OverComp,V$5,OverDate,"&lt;"&amp;DATE(YEAR($AC88),MONTH($AC88)+1,1),OverEnd,"&gt;="&amp;DATE(YEAR($AC88),MONTH($AC88),1))&gt;0,SUMIFS(OverValue,OverEmp,$C88,OverComp,V$5,OverDate,"&lt;"&amp;DATE(YEAR($AC88),MONTH($AC88)+1,1),OverEnd,"&gt;="&amp;DATE(YEAR($AC88),MONTH($AC88),1)),IF(OR(V$2="Fixed",V$2="Not Used"),(OFFSET(Setup!$E$81,MATCH(V$5,CompListItem,0),0,1,1)*$AA88)-SUMIFS(OFFSET(V$6,1,0,PayCount,1),PayDate,"&lt;"&amp;$AC88,PayEmp,$C88),IF(ISNA(MATCH(V$2,DedListItem,0))=FALSE,(SUMPRODUCT((PayEmp=$C88)*(PayDate&lt;=$AC88)*(PayDedList=V$2)*(PayDedValues))*OFFSET(Setup!$E$81,MATCH(V$5,CompListItem,0),0,1,1))-SUMIFS(OFFSET(V$6,1,0,PayCount,1),PayDate,"&lt;"&amp;$AC88,PayEmp,$C88),(MIN(IF(OFFSET(Setup!$G$81,MATCH(V$5,CompListItem,0),0,1,1)="Taxable",SUMPRODUCT((PayEmp=$C88)*(PayDate&lt;=$AC88)*(ISERROR(SEARCH(PayEarnCode,V$4)))*(PayEarnTax)*(PayEarnValues)),SUMPRODUCT((PayEmp=$C88)*(PayDate&lt;=$AC88)*(ISERROR(SEARCH(PayEarnCode,V$4)))*(PayEarnValues))),IF(ISNUMBER(V$3),V$3/12*$AA88,IgnoreMin)))*OFFSET(Setup!$E$81,MATCH(V$5,CompListItem,0),0,1,1)-SUMIFS(OFFSET(V$6,1,0,PayCount,1),PayDate,"&lt;"&amp;$AC88,PayEmp,$C88)))))))</f>
        <v>0</v>
      </c>
      <c r="W88" s="133" cm="1">
        <f t="array" aca="1" ref="W88" ca="1">IF($F88="Terminated",0,IF($AA88=0,0,IF(ISNA(MATCH(W$5,CompListItem,0)),0,IF(COUNTIFS(OverEmp,$C88,OverComp,W$5,OverDate,"&lt;"&amp;DATE(YEAR($AC88),MONTH($AC88)+1,1),OverEnd,"&gt;="&amp;DATE(YEAR($AC88),MONTH($AC88),1))&gt;0,SUMIFS(OverValue,OverEmp,$C88,OverComp,W$5,OverDate,"&lt;"&amp;DATE(YEAR($AC88),MONTH($AC88)+1,1),OverEnd,"&gt;="&amp;DATE(YEAR($AC88),MONTH($AC88),1)),IF(OR(W$2="Fixed",W$2="Not Used"),(OFFSET(Setup!$E$81,MATCH(W$5,CompListItem,0),0,1,1)*$AA88)-SUMIFS(OFFSET(W$6,1,0,PayCount,1),PayDate,"&lt;"&amp;$AC88,PayEmp,$C88),IF(ISNA(MATCH(W$2,DedListItem,0))=FALSE,(SUMPRODUCT((PayEmp=$C88)*(PayDate&lt;=$AC88)*(PayDedList=W$2)*(PayDedValues))*OFFSET(Setup!$E$81,MATCH(W$5,CompListItem,0),0,1,1))-SUMIFS(OFFSET(W$6,1,0,PayCount,1),PayDate,"&lt;"&amp;$AC88,PayEmp,$C88),(MIN(IF(OFFSET(Setup!$G$81,MATCH(W$5,CompListItem,0),0,1,1)="Taxable",SUMPRODUCT((PayEmp=$C88)*(PayDate&lt;=$AC88)*(ISERROR(SEARCH(PayEarnCode,W$4)))*(PayEarnTax)*(PayEarnValues)),SUMPRODUCT((PayEmp=$C88)*(PayDate&lt;=$AC88)*(ISERROR(SEARCH(PayEarnCode,W$4)))*(PayEarnValues))),IF(ISNUMBER(W$3),W$3/12*$AA88,IgnoreMin)))*OFFSET(Setup!$E$81,MATCH(W$5,CompListItem,0),0,1,1)-SUMIFS(OFFSET(W$6,1,0,PayCount,1),PayDate,"&lt;"&amp;$AC88,PayEmp,$C88)))))))</f>
        <v>0</v>
      </c>
      <c r="X88" s="185">
        <f t="shared" ca="1" si="30"/>
        <v>0</v>
      </c>
      <c r="Y88" s="139">
        <f t="shared" ca="1" si="39"/>
        <v>0</v>
      </c>
      <c r="Z88" s="139">
        <f t="shared" ca="1" si="31"/>
        <v>0</v>
      </c>
      <c r="AA88" s="146">
        <f ca="1">IF(OR($B88&lt;=Setup!$E$12,$B88&gt;=Setup!$D$12+1),0,IF($F88&lt;&gt;"Active",0,IF($AE88="Yes",$AB88,((YEAR($AC88)*12)+MONTH($AC88))-((YEAR($AD88)*12)+MONTH($AD88)-1))))</f>
        <v>0</v>
      </c>
      <c r="AB88" s="146">
        <f ca="1">IF(OR($B88&lt;=Setup!$E$12,$B88&gt;=Setup!$D$12+1),0,((YEAR($AC88)*12)+MONTH($AC88))-((YEAR(Setup!$E$12)*12)+MONTH(Setup!$E$12)))</f>
        <v>6</v>
      </c>
      <c r="AC88" s="186">
        <f t="shared" ca="1" si="32"/>
        <v>45163</v>
      </c>
      <c r="AD88" s="144">
        <f ca="1">IF(ISNA(VLOOKUP($C88,EmpAll,COLUMN(Emp!$E$4),0)),$AC88,IF(VLOOKUP($C88,EmpAll,COLUMN(Emp!$E$4),0)&lt;=Setup!$E$12,DATE(YEAR(Setup!$E$12),MONTH(Setup!$E$12)+1,1),VLOOKUP($C88,EmpAll,COLUMN(Emp!$E$4),0)))</f>
        <v>44986</v>
      </c>
      <c r="AE88" s="144" t="str">
        <f ca="1">IF(ISNA(VLOOKUP($C88,EmpAll,COLUMN(Emp!$G$1),0)),"-",IF(VLOOKUP($C88,EmpAll,COLUMN(Emp!$G$1),0)=0,"-",VLOOKUP($C88,EmpAll,COLUMN(Emp!$G$1),0)))</f>
        <v>-</v>
      </c>
      <c r="AF88" s="145">
        <f ca="1">IF(A88=PaySlip!$G$3,1,0)</f>
        <v>0</v>
      </c>
      <c r="AG88" s="130" cm="1">
        <f t="array" aca="1" ref="AG88" ca="1">IF(COUNTIFS(OverEmp,$C88,OverMed,"MED",OverDate,"&lt;"&amp;DATE(YEAR($AC88),MONTH($AC88)+1,1),OverEnd,"&gt;="&amp;DATE(YEAR($AC88),MONTH($AC88),1))&gt;0,SUMIFS(OverValue,OverEmp,$C88,OverMed,"MED",OverDate,"&lt;"&amp;DATE(YEAR($AC88),MONTH($AC88)+1,1),OverEnd,"&gt;="&amp;DATE(YEAR($AC88),MONTH($AC88),1)),IF(ISNA(VLOOKUP($C88,EmpAll,COLUMN(Emp!$N$4),0)),0,VLOOKUP($C88,EmpAll,COLUMN(Emp!$N$4),0)))</f>
        <v>0</v>
      </c>
      <c r="AH88" s="146">
        <f ca="1">VLOOKUP($AG88,MedList,COLUMN(Setup!$C$49),1)</f>
        <v>0</v>
      </c>
      <c r="AI88" s="146">
        <f t="shared" ca="1" si="40"/>
        <v>0</v>
      </c>
      <c r="AJ88" s="101" t="str">
        <f ca="1">IF(ISNA(VLOOKUP($C88,EmpAll,COLUMN(Emp!$L$4),0)),"None!",VLOOKUP($C88,EmpAll,COLUMN(Emp!$L$4),0))</f>
        <v>A</v>
      </c>
      <c r="AK88" s="147">
        <f t="shared" ca="1" si="33"/>
        <v>17235</v>
      </c>
      <c r="AL88" s="101" t="str">
        <f ca="1">IF(ISNA(VLOOKUP($C88,Employees[],COLUMN(Emp!$M$4),0))=TRUE,"Error!",IF(VLOOKUP($C88,Employees[],COLUMN(Emp!$M$4),0)=0,"Yes",VLOOKUP($C88,Employees[],COLUMN(Emp!$M$4),0)))</f>
        <v>A</v>
      </c>
      <c r="AM88" s="148">
        <f t="shared" ca="1" si="41"/>
        <v>0</v>
      </c>
      <c r="AN88" s="148" cm="1">
        <f t="array" aca="1" ref="AN88" ca="1">-IF($F88="Terminated",0,IF($AA88=0,0,IF(ISNA(MATCH(AN$5,PayDedList,0)),0,MIN(IF(COUNTIFS(OverEmp,$C88,OverDeduct,AN$5,OverDate,"&lt;"&amp;DATE(YEAR($AC88),MONTH($AC88)+1,1),OverEnd,"&gt;="&amp;DATE(YEAR($AC88),MONTH($AC88),1))&gt;0,SUMPRODUCT((PayEmp=$C88)*(PayDate&lt;=$AC88)*(OFFSET($N$6,1,MATCH(AN$5,PayDedList,0)-1,PayCount,1)))/$AA88*12*AN$3,IF(OR(AN$1="Fixed",AN$1="Not Used"),SUMPRODUCT((PayEmp=$C88)*(PayDate&lt;=$AC88)*(OFFSET($N$6,1,MATCH(AN$5,PayDedList,0)-1,PayCount,1)))/$AA88*12*AN$3,IF(ISNA(MATCH(AN$1,EarnListItem,0))=FALSE,SUMPRODUCT((PayEmp=$C88)*(PayDate&lt;=$AC88)*(OFFSET($N$6,1,MATCH(AN$5,PayDedList,0)-1,PayCount,1)))/$AA88*12*AN$3,(MIN(((SUMPRODUCT((PayEmp=$C88)*(PayDate&lt;=$AC88)*(ISERROR(SEARCH(PayEarnCode,AN$2)))*(PayEarnType="Monthly")*(PayEarnValues))/$AA88*12)+(SUMPRODUCT((PayEmp=$C88)*(PayDate&lt;=$AC88)*(ISERROR(SEARCH(PayEarnCode,AN$2)))*(PayEarnType="Quarterly")*(PayEarnValues))/MAX(1,ROUNDDOWN($AB88/3,0))*4)+(SUMPRODUCT((PayEmp=$C88)*(PayDate&lt;=$AC88)*(ISERROR(SEARCH(PayEarnCode,AN$2)))*(PayEarnType="Bi-Annual")*(PayEarnValues))/MAX(1,ROUNDDOWN($AB88/6,0))*2)+(SUMPRODUCT((PayEmp=$C88)*(PayDate&lt;=$AC88)*(ISERROR(SEARCH(PayEarnCode,AN$2)))*(PayEarnType="Annual")*(PayEarnValues)))),IF(ISNUMBER(OFFSET($N$3,0,MATCH(AN$5,PayDedList,0)-1,1,1)),OFFSET($N$3,0,MATCH(AN$5,PayDedList,0)-1,1,1),IgnoreMin)))*IF(COUNTIFS(EmpNo,$C88,OFFSET(Emp!$R$4,1,MATCH(AN$5,DedListItem,0)-1,EmpCount,1),"&lt;&gt;")&gt;0,VLOOKUP($C88,EmpAll,COLUMN(Emp!$R$4)+MATCH(AN$5,DedListItem,0)-1,0),OFFSET(Setup!$E$73,MATCH(AN$5,DedListItem,0),0,1,1))*AN$3))),IF(ISNUMBER(AN$4),AN$4,IgnoreMin)))))</f>
        <v>0</v>
      </c>
      <c r="AO88" s="148" cm="1">
        <f t="array" aca="1" ref="AO88" ca="1">-IF($F88="Terminated",0,IF($AA88=0,0,IF(ISNA(MATCH(AO$5,PayDedList,0)),0,MIN(IF(COUNTIFS(OverEmp,$C88,OverDeduct,AO$5,OverDate,"&lt;"&amp;DATE(YEAR($AC88),MONTH($AC88)+1,1),OverEnd,"&gt;="&amp;DATE(YEAR($AC88),MONTH($AC88),1))&gt;0,SUMPRODUCT((PayEmp=$C88)*(PayDate&lt;=$AC88)*(OFFSET($N$6,1,MATCH(AO$5,PayDedList,0)-1,PayCount,1)))/$AA88*12*AO$3,IF(OR(AO$1="Fixed",AO$1="Not Used"),SUMPRODUCT((PayEmp=$C88)*(PayDate&lt;=$AC88)*(OFFSET($N$6,1,MATCH(AO$5,PayDedList,0)-1,PayCount,1)))/$AA88*12*AO$3,IF(ISNA(MATCH(AO$1,EarnListItem,0))=FALSE,SUMPRODUCT((PayEmp=$C88)*(PayDate&lt;=$AC88)*(OFFSET($N$6,1,MATCH(AO$5,PayDedList,0)-1,PayCount,1)))/$AA88*12*AO$3,(MIN(((SUMPRODUCT((PayEmp=$C88)*(PayDate&lt;=$AC88)*(ISERROR(SEARCH(PayEarnCode,AO$2)))*(PayEarnType="Monthly")*(PayEarnValues))/$AA88*12)+(SUMPRODUCT((PayEmp=$C88)*(PayDate&lt;=$AC88)*(ISERROR(SEARCH(PayEarnCode,AO$2)))*(PayEarnType="Quarterly")*(PayEarnValues))/MAX(1,ROUNDDOWN($AB88/3,0))*4)+(SUMPRODUCT((PayEmp=$C88)*(PayDate&lt;=$AC88)*(ISERROR(SEARCH(PayEarnCode,AO$2)))*(PayEarnType="Bi-Annual")*(PayEarnValues))/MAX(1,ROUNDDOWN($AB88/6,0))*2)+(SUMPRODUCT((PayEmp=$C88)*(PayDate&lt;=$AC88)*(ISERROR(SEARCH(PayEarnCode,AO$2)))*(PayEarnType="Annual")*(PayEarnValues)))),IF(ISNUMBER(OFFSET($N$3,0,MATCH(AO$5,PayDedList,0)-1,1,1)),OFFSET($N$3,0,MATCH(AO$5,PayDedList,0)-1,1,1),IgnoreMin)))*IF(COUNTIFS(EmpNo,$C88,OFFSET(Emp!$R$4,1,MATCH(AO$5,DedListItem,0)-1,EmpCount,1),"&lt;&gt;")&gt;0,VLOOKUP($C88,EmpAll,COLUMN(Emp!$R$4)+MATCH(AO$5,DedListItem,0)-1,0),OFFSET(Setup!$E$73,MATCH(AO$5,DedListItem,0),0,1,1))*AO$3))),IF(ISNUMBER(AO$4),AO$4,IgnoreMin)))))</f>
        <v>0</v>
      </c>
      <c r="AP88" s="148" cm="1">
        <f t="array" aca="1" ref="AP88" ca="1">-IF($F88="Terminated",0,IF($AA88=0,0,IF(ISNA(MATCH(AP$5,PayDedList,0)),0,MIN(IF(COUNTIFS(OverEmp,$C88,OverDeduct,AP$5,OverDate,"&lt;"&amp;DATE(YEAR($AC88),MONTH($AC88)+1,1),OverEnd,"&gt;="&amp;DATE(YEAR($AC88),MONTH($AC88),1))&gt;0,SUMPRODUCT((PayEmp=$C88)*(PayDate&lt;=$AC88)*(OFFSET($N$6,1,MATCH(AP$5,PayDedList,0)-1,PayCount,1)))/$AA88*12*AP$3,IF(OR(AP$1="Fixed",AP$1="Not Used"),SUMPRODUCT((PayEmp=$C88)*(PayDate&lt;=$AC88)*(OFFSET($N$6,1,MATCH(AP$5,PayDedList,0)-1,PayCount,1)))/$AA88*12*AP$3,IF(ISNA(MATCH(AP$1,EarnListItem,0))=FALSE,SUMPRODUCT((PayEmp=$C88)*(PayDate&lt;=$AC88)*(OFFSET($N$6,1,MATCH(AP$5,PayDedList,0)-1,PayCount,1)))/$AA88*12*AP$3,(MIN(((SUMPRODUCT((PayEmp=$C88)*(PayDate&lt;=$AC88)*(ISERROR(SEARCH(PayEarnCode,AP$2)))*(PayEarnType="Monthly")*(PayEarnValues))/$AA88*12)+(SUMPRODUCT((PayEmp=$C88)*(PayDate&lt;=$AC88)*(ISERROR(SEARCH(PayEarnCode,AP$2)))*(PayEarnType="Quarterly")*(PayEarnValues))/MAX(1,ROUNDDOWN($AB88/3,0))*4)+(SUMPRODUCT((PayEmp=$C88)*(PayDate&lt;=$AC88)*(ISERROR(SEARCH(PayEarnCode,AP$2)))*(PayEarnType="Bi-Annual")*(PayEarnValues))/MAX(1,ROUNDDOWN($AB88/6,0))*2)+(SUMPRODUCT((PayEmp=$C88)*(PayDate&lt;=$AC88)*(ISERROR(SEARCH(PayEarnCode,AP$2)))*(PayEarnType="Annual")*(PayEarnValues)))),IF(ISNUMBER(OFFSET($N$3,0,MATCH(AP$5,PayDedList,0)-1,1,1)),OFFSET($N$3,0,MATCH(AP$5,PayDedList,0)-1,1,1),IgnoreMin)))*IF(COUNTIFS(EmpNo,$C88,OFFSET(Emp!$R$4,1,MATCH(AP$5,DedListItem,0)-1,EmpCount,1),"&lt;&gt;")&gt;0,VLOOKUP($C88,EmpAll,COLUMN(Emp!$R$4)+MATCH(AP$5,DedListItem,0)-1,0),OFFSET(Setup!$E$73,MATCH(AP$5,DedListItem,0),0,1,1))*AP$3))),IF(ISNUMBER(AP$4),AP$4,IgnoreMin)))))</f>
        <v>0</v>
      </c>
      <c r="AQ88" s="148" cm="1">
        <f t="array" aca="1" ref="AQ88" ca="1">-IF($F88="Terminated",0,IF($AA88=0,0,IF(ISNA(MATCH(AQ$5,PayDedList,0)),0,MIN(IF(COUNTIFS(OverEmp,$C88,OverDeduct,AQ$5,OverDate,"&lt;"&amp;DATE(YEAR($AC88),MONTH($AC88)+1,1),OverEnd,"&gt;="&amp;DATE(YEAR($AC88),MONTH($AC88),1))&gt;0,SUMPRODUCT((PayEmp=$C88)*(PayDate&lt;=$AC88)*(OFFSET($N$6,1,MATCH(AQ$5,PayDedList,0)-1,PayCount,1)))/$AA88*12*AQ$3,IF(OR(AQ$1="Fixed",AQ$1="Not Used"),SUMPRODUCT((PayEmp=$C88)*(PayDate&lt;=$AC88)*(OFFSET($N$6,1,MATCH(AQ$5,PayDedList,0)-1,PayCount,1)))/$AA88*12*AQ$3,IF(ISNA(MATCH(AQ$1,EarnListItem,0))=FALSE,SUMPRODUCT((PayEmp=$C88)*(PayDate&lt;=$AC88)*(OFFSET($N$6,1,MATCH(AQ$5,PayDedList,0)-1,PayCount,1)))/$AA88*12*AQ$3,(MIN(((SUMPRODUCT((PayEmp=$C88)*(PayDate&lt;=$AC88)*(ISERROR(SEARCH(PayEarnCode,AQ$2)))*(PayEarnType="Monthly")*(PayEarnValues))/$AA88*12)+(SUMPRODUCT((PayEmp=$C88)*(PayDate&lt;=$AC88)*(ISERROR(SEARCH(PayEarnCode,AQ$2)))*(PayEarnType="Quarterly")*(PayEarnValues))/MAX(1,ROUNDDOWN($AB88/3,0))*4)+(SUMPRODUCT((PayEmp=$C88)*(PayDate&lt;=$AC88)*(ISERROR(SEARCH(PayEarnCode,AQ$2)))*(PayEarnType="Bi-Annual")*(PayEarnValues))/MAX(1,ROUNDDOWN($AB88/6,0))*2)+(SUMPRODUCT((PayEmp=$C88)*(PayDate&lt;=$AC88)*(ISERROR(SEARCH(PayEarnCode,AQ$2)))*(PayEarnType="Annual")*(PayEarnValues)))),IF(ISNUMBER(OFFSET($N$3,0,MATCH(AQ$5,PayDedList,0)-1,1,1)),OFFSET($N$3,0,MATCH(AQ$5,PayDedList,0)-1,1,1),IgnoreMin)))*IF(COUNTIFS(EmpNo,$C88,OFFSET(Emp!$R$4,1,MATCH(AQ$5,DedListItem,0)-1,EmpCount,1),"&lt;&gt;")&gt;0,VLOOKUP($C88,EmpAll,COLUMN(Emp!$R$4)+MATCH(AQ$5,DedListItem,0)-1,0),OFFSET(Setup!$E$73,MATCH(AQ$5,DedListItem,0),0,1,1))*AQ$3))),IF(ISNUMBER(AQ$4),AQ$4,IgnoreMin)))))</f>
        <v>0</v>
      </c>
      <c r="AR88" s="148">
        <f t="shared" ca="1" si="34"/>
        <v>0</v>
      </c>
      <c r="AS88" s="148">
        <f t="shared" ca="1" si="42"/>
        <v>0</v>
      </c>
      <c r="AT88" s="148" cm="1">
        <f t="array" aca="1" ref="AT88" ca="1">-IF($F88="Terminated",0,IF($AA88=0,0,IF(ISNA(MATCH(AT$5,PayDedList,0)),0,MIN(IF(COUNTIFS(OverEmp,$C88,OverDeduct,AT$5,OverDate,"&lt;"&amp;DATE(YEAR($AC88),MONTH($AC88)+1,1),OverEnd,"&gt;="&amp;DATE(YEAR($AC88),MONTH($AC88),1))&gt;0,SUMPRODUCT((PayEmp=$C88)*(PayDate&lt;=$AC88)*(OFFSET($N$6,1,MATCH(AT$5,PayDedList,0)-1,PayCount,1)))/$AA88*12*AT$3,IF(OR(AT$1="Fixed",AT$1="Not Used"),SUMPRODUCT((PayEmp=$C88)*(PayDate&lt;=$AC88)*(OFFSET($N$6,1,MATCH(AT$5,PayDedList,0)-1,PayCount,1)))/$AA88*12*AT$3,IF(ISNA(MATCH(OFFSET($N$2,0,MATCH(AT$5,PayDedList,0)-1,1,1),EarnListItem,0))=FALSE,SUMPRODUCT((PayEmp=$C88)*(PayDate&lt;=$AC88)*(OFFSET($N$6,1,MATCH(AT$5,PayDedList,0)-1,PayCount,1)))/$AA88*12*AT$3,(MIN(SUMPRODUCT((PayEmp=$C88)*(PayDate&lt;=$AC88)*(ISERROR(SEARCH(PayEarnCode,AT$2)))*(PayEarnType="Monthly")*(PayEarnValues))/$AA88*12,IF(ISNUMBER(OFFSET($N$3,0,MATCH(AT$5,PayDedList,0)-1,1,1)),OFFSET($N$3,0,MATCH(AT$5,PayDedList,0)-1,1,1),IgnoreMin)))*IF(COUNTIFS(EmpNo,$C88,OFFSET(Emp!$R$4,1,MATCH(AT$5,DedListItem,0)-1,EmpCount,1),"&lt;&gt;")&gt;0,VLOOKUP($C88,EmpAll,COLUMN(Emp!$R$4)+MATCH(AT$5,DedListItem,0)-1,0),OFFSET(Setup!$E$73,MATCH(AT$5,DedListItem,0),0,1,1))*AT$3))),IF(ISNUMBER(AT$4),AT$4,IgnoreMin)))))</f>
        <v>0</v>
      </c>
      <c r="AU88" s="148" cm="1">
        <f t="array" aca="1" ref="AU88" ca="1">-IF($F88="Terminated",0,IF($AA88=0,0,IF(ISNA(MATCH(AU$5,PayDedList,0)),0,MIN(IF(COUNTIFS(OverEmp,$C88,OverDeduct,AU$5,OverDate,"&lt;"&amp;DATE(YEAR($AC88),MONTH($AC88)+1,1),OverEnd,"&gt;="&amp;DATE(YEAR($AC88),MONTH($AC88),1))&gt;0,SUMPRODUCT((PayEmp=$C88)*(PayDate&lt;=$AC88)*(OFFSET($N$6,1,MATCH(AU$5,PayDedList,0)-1,PayCount,1)))/$AA88*12*AU$3,IF(OR(AU$1="Fixed",AU$1="Not Used"),SUMPRODUCT((PayEmp=$C88)*(PayDate&lt;=$AC88)*(OFFSET($N$6,1,MATCH(AU$5,PayDedList,0)-1,PayCount,1)))/$AA88*12*AU$3,IF(ISNA(MATCH(OFFSET($N$2,0,MATCH(AU$5,PayDedList,0)-1,1,1),EarnListItem,0))=FALSE,SUMPRODUCT((PayEmp=$C88)*(PayDate&lt;=$AC88)*(OFFSET($N$6,1,MATCH(AU$5,PayDedList,0)-1,PayCount,1)))/$AA88*12*AU$3,(MIN(SUMPRODUCT((PayEmp=$C88)*(PayDate&lt;=$AC88)*(ISERROR(SEARCH(PayEarnCode,AU$2)))*(PayEarnType="Monthly")*(PayEarnValues))/$AA88*12,IF(ISNUMBER(OFFSET($N$3,0,MATCH(AU$5,PayDedList,0)-1,1,1)),OFFSET($N$3,0,MATCH(AU$5,PayDedList,0)-1,1,1),IgnoreMin)))*IF(COUNTIFS(EmpNo,$C88,OFFSET(Emp!$R$4,1,MATCH(AU$5,DedListItem,0)-1,EmpCount,1),"&lt;&gt;")&gt;0,VLOOKUP($C88,EmpAll,COLUMN(Emp!$R$4)+MATCH(AU$5,DedListItem,0)-1,0),OFFSET(Setup!$E$73,MATCH(AU$5,DedListItem,0),0,1,1))*AU$3))),IF(ISNUMBER(AU$4),AU$4,IgnoreMin)))))</f>
        <v>0</v>
      </c>
      <c r="AV88" s="148" cm="1">
        <f t="array" aca="1" ref="AV88" ca="1">-IF($F88="Terminated",0,IF($AA88=0,0,IF(ISNA(MATCH(AV$5,PayDedList,0)),0,MIN(IF(COUNTIFS(OverEmp,$C88,OverDeduct,AV$5,OverDate,"&lt;"&amp;DATE(YEAR($AC88),MONTH($AC88)+1,1),OverEnd,"&gt;="&amp;DATE(YEAR($AC88),MONTH($AC88),1))&gt;0,SUMPRODUCT((PayEmp=$C88)*(PayDate&lt;=$AC88)*(OFFSET($N$6,1,MATCH(AV$5,PayDedList,0)-1,PayCount,1)))/$AA88*12*AV$3,IF(OR(AV$1="Fixed",AV$1="Not Used"),SUMPRODUCT((PayEmp=$C88)*(PayDate&lt;=$AC88)*(OFFSET($N$6,1,MATCH(AV$5,PayDedList,0)-1,PayCount,1)))/$AA88*12*AV$3,IF(ISNA(MATCH(OFFSET($N$2,0,MATCH(AV$5,PayDedList,0)-1,1,1),EarnListItem,0))=FALSE,SUMPRODUCT((PayEmp=$C88)*(PayDate&lt;=$AC88)*(OFFSET($N$6,1,MATCH(AV$5,PayDedList,0)-1,PayCount,1)))/$AA88*12*AV$3,(MIN(SUMPRODUCT((PayEmp=$C88)*(PayDate&lt;=$AC88)*(ISERROR(SEARCH(PayEarnCode,AV$2)))*(PayEarnType="Monthly")*(PayEarnValues))/$AA88*12,IF(ISNUMBER(OFFSET($N$3,0,MATCH(AV$5,PayDedList,0)-1,1,1)),OFFSET($N$3,0,MATCH(AV$5,PayDedList,0)-1,1,1),IgnoreMin)))*IF(COUNTIFS(EmpNo,$C88,OFFSET(Emp!$R$4,1,MATCH(AV$5,DedListItem,0)-1,EmpCount,1),"&lt;&gt;")&gt;0,VLOOKUP($C88,EmpAll,COLUMN(Emp!$R$4)+MATCH(AV$5,DedListItem,0)-1,0),OFFSET(Setup!$E$73,MATCH(AV$5,DedListItem,0),0,1,1))*AV$3))),IF(ISNUMBER(AV$4),AV$4,IgnoreMin)))))</f>
        <v>0</v>
      </c>
      <c r="AW88" s="148" cm="1">
        <f t="array" aca="1" ref="AW88" ca="1">-IF($F88="Terminated",0,IF($AA88=0,0,IF(ISNA(MATCH(AW$5,PayDedList,0)),0,MIN(IF(COUNTIFS(OverEmp,$C88,OverDeduct,AW$5,OverDate,"&lt;"&amp;DATE(YEAR($AC88),MONTH($AC88)+1,1),OverEnd,"&gt;="&amp;DATE(YEAR($AC88),MONTH($AC88),1))&gt;0,SUMPRODUCT((PayEmp=$C88)*(PayDate&lt;=$AC88)*(OFFSET($N$6,1,MATCH(AW$5,PayDedList,0)-1,PayCount,1)))/$AA88*12*AW$3,IF(OR(AW$1="Fixed",AW$1="Not Used"),SUMPRODUCT((PayEmp=$C88)*(PayDate&lt;=$AC88)*(OFFSET($N$6,1,MATCH(AW$5,PayDedList,0)-1,PayCount,1)))/$AA88*12*AW$3,IF(ISNA(MATCH(OFFSET($N$2,0,MATCH(AW$5,PayDedList,0)-1,1,1),EarnListItem,0))=FALSE,SUMPRODUCT((PayEmp=$C88)*(PayDate&lt;=$AC88)*(OFFSET($N$6,1,MATCH(AW$5,PayDedList,0)-1,PayCount,1)))/$AA88*12*AW$3,(MIN(SUMPRODUCT((PayEmp=$C88)*(PayDate&lt;=$AC88)*(ISERROR(SEARCH(PayEarnCode,AW$2)))*(PayEarnType="Monthly")*(PayEarnValues))/$AA88*12,IF(ISNUMBER(OFFSET($N$3,0,MATCH(AW$5,PayDedList,0)-1,1,1)),OFFSET($N$3,0,MATCH(AW$5,PayDedList,0)-1,1,1),IgnoreMin)))*IF(COUNTIFS(EmpNo,$C88,OFFSET(Emp!$R$4,1,MATCH(AW$5,DedListItem,0)-1,EmpCount,1),"&lt;&gt;")&gt;0,VLOOKUP($C88,EmpAll,COLUMN(Emp!$R$4)+MATCH(AW$5,DedListItem,0)-1,0),OFFSET(Setup!$E$73,MATCH(AW$5,DedListItem,0),0,1,1))*AW$3))),IF(ISNUMBER(AW$4),AW$4,IgnoreMin)))))</f>
        <v>0</v>
      </c>
      <c r="AX88" s="148">
        <f t="shared" ca="1" si="43"/>
        <v>0</v>
      </c>
      <c r="AY88" s="148">
        <f t="shared" ca="1" si="44"/>
        <v>0</v>
      </c>
      <c r="AZ88" s="148">
        <f ca="1">IF(ISNUMBER($AL88),($AR88*$AL88)-$AI88-$AK88,MAX(0,IF($AL88="B",IF($AR88&lt;Setup!$C$32,($AR88*Setup!$D$32)-$AI88-$AK88,(($AR88-VLOOKUP($AR88,TaxAll2,1,1))*OFFSET(Setup!$D$32,MATCH($AR88,TaxBracket2,1),0,1,1))+OFFSET(Setup!$E$31,MATCH($AR88,TaxBracket2,1),0,1,1)-$AI88-$AK88),IF($AR88&lt;Setup!$C$21,($AR88*Setup!$D$21)-$AI88-$AK88,(($AR88-VLOOKUP($AR88,TaxAll1,1,1))*OFFSET(Setup!$D$21,MATCH($AR88,TaxBracket1,1),0,1,1))+OFFSET(Setup!$E$20,MATCH($AR88,TaxBracket1,1),0,1,1)-$AI88-$AK88))))</f>
        <v>0</v>
      </c>
      <c r="BA88" s="148">
        <f ca="1">IF(ISNUMBER($AL88),($AX88*$AL88)-$AI88-$AK88,MAX(0,IF($AL88="B",IF($AX88&lt;Setup!$C$32,($AX88*Setup!$D$32)-$AI88-$AK88,(($AX88-VLOOKUP($AX88,TaxAll2,1,1))*OFFSET(Setup!$D$32,MATCH($AX88,TaxBracket2,1),0,1,1))+OFFSET(Setup!$E$31,MATCH($AX88,TaxBracket2,1),0,1,1)-$AI88-$AK88),IF($AX88&lt;Setup!$C$21,($AX88*Setup!$D$21)-$AI88-$AK88,(($AX88-VLOOKUP($AX88,TaxAll1,1,1))*OFFSET(Setup!$D$21,MATCH($AX88,TaxBracket1,1),0,1,1))+OFFSET(Setup!$E$20,MATCH($AX88,TaxBracket1,1),0,1,1)-$AI88-$AK88))))</f>
        <v>0</v>
      </c>
      <c r="BB88" s="148">
        <f t="shared" ca="1" si="35"/>
        <v>0</v>
      </c>
      <c r="BC88" s="150">
        <f t="shared" ca="1" si="45"/>
        <v>0</v>
      </c>
      <c r="BD88" s="150">
        <f t="shared" ca="1" si="46"/>
        <v>0</v>
      </c>
      <c r="BE88" s="148">
        <f t="shared" ca="1" si="47"/>
        <v>0</v>
      </c>
    </row>
    <row r="89" spans="1:57" ht="16.149999999999999" customHeight="1" x14ac:dyDescent="0.25">
      <c r="A89" s="10" t="str" cm="1">
        <f t="array" aca="1" ref="A89" ca="1">IF(ROW($A89)-ROW($A$6)&gt;EmpCount*12,"-",TEXT($B89,"yyyy")&amp;TEXT($B89,"mm")&amp;"-"&amp;$C89)</f>
        <v>202308-EXS008</v>
      </c>
      <c r="B89" s="137" cm="1">
        <f t="array" aca="1" ref="B89" ca="1">IF(ROW($A89)-ROW($A$6)&gt;EmpCount*12,Setup!$D$12,DATE(YEAR(Setup!$F$12),MONTH(Setup!$F$12)+ROUNDDOWN((ROW($A89)-ROW($A$6)-1)/EmpCount,0),IF(Setup!$C$14&gt;DAY(DATE(YEAR(Setup!$F$12),MONTH(Setup!$F$12)+ROUNDDOWN((ROW($A89)-ROW($A$6)-1)/EmpCount,0)+1,0)),DAY(DATE(YEAR(Setup!$F$12),MONTH(Setup!$F$12)+ROUNDDOWN((ROW($A89)-ROW($A$6)-1)/EmpCount,0)+1,0)),Setup!$C$14)))</f>
        <v>45163</v>
      </c>
      <c r="C89" s="101" t="str" cm="1">
        <f t="array" aca="1" ref="C89" ca="1">IF(ROW($A89)-ROW($A$6)&gt;EmpCount*12,"-",OFFSET(Emp!$A$4,ROW($A89)-ROW($A$6)-IF(ROW($A89)-ROW($A$6)&gt;EmpCount,ROUNDDOWN((ROW($A89)-ROW($A$6)-1)/EmpCount,0)*EmpCount,0),0,1,1))</f>
        <v>EXS008</v>
      </c>
      <c r="D89" s="10" t="str">
        <f ca="1">IF(ISNA(VLOOKUP($C89,EmpAll,COLUMN(Emp!$B$4),0)),"-",VLOOKUP($C89,EmpAll,COLUMN(Emp!$B$4),0))</f>
        <v>Matthews B</v>
      </c>
      <c r="E89" s="145" t="str">
        <f ca="1">IF(ISNA(VLOOKUP($C89,EmpAll,COLUMN(Emp!$C$4),0)),"-",VLOOKUP($C89,EmpAll,COLUMN(Emp!$C$4),0))</f>
        <v>A</v>
      </c>
      <c r="F89" s="101" t="str">
        <f ca="1">IF(ISNA(VLOOKUP($C89,EmpAll,COLUMN(Emp!$A$4),0)),"-",IF(AND(VLOOKUP($C89,EmpAll,COLUMN(Emp!$E$4),0)&lt;&gt;0,VLOOKUP($C89,EmpAll,COLUMN(Emp!$E$4),0)&gt;=DATE(YEAR($AC89),MONTH($AC89)+1,0)),"Inactive",IF(AND(VLOOKUP($C89,EmpAll,COLUMN(Emp!$F$4),0)&lt;&gt;0,VLOOKUP($C89,EmpAll,COLUMN(Emp!$F$4),0)&lt;=DATE(YEAR($AC89),MONTH($AC89),0)),"Terminated","Active")))</f>
        <v>Active</v>
      </c>
      <c r="G89" s="133" cm="1">
        <f t="array" aca="1" ref="G89" ca="1">IF($F89&lt;&gt;"Active",0,IF(COUNTIFS(OverEmp,$C89,OverEarn,G$2,OverDate,"&lt;"&amp;DATE(YEAR($AC89),MONTH($AC89)+1,1),OverEnd,"&gt;="&amp;DATE(YEAR($AC89),MONTH($AC89),1))&gt;0,SUMIFS(OverValue,OverEmp,$C89,OverEarn,G$2,OverDate,"&lt;"&amp;DATE(YEAR($AC89),MONTH($AC89)+1,1),OverEnd,"&gt;="&amp;DATE(YEAR($AC89),MONTH($AC89),1)),IF(AND($AC89&gt;=Setup!$E$10,SUMIFS(EmpIncrease,EmpCode,$C89)&gt;0),SUMIFS(EmpIncrease,EmpCode,$C89),SUMIFS(EmpSalary,EmpCode,$C89))))</f>
        <v>9000</v>
      </c>
      <c r="H89" s="133" cm="1">
        <f t="array" aca="1" ref="H89" ca="1">IF($F89&lt;&gt;"Active",0,IF(COUNTIFS(OverEmp,$C89,OverEarn,H$2,OverDate,"&lt;"&amp;DATE(YEAR($AC89),MONTH($AC89)+1,1),OverEnd,"&gt;="&amp;DATE(YEAR($AC89),MONTH($AC89),1))&gt;0,SUMIFS(OverValue,OverEmp,$C89,OverEarn,H$2,OverDate,"&lt;"&amp;DATE(YEAR($AC89),MONTH($AC89)+1,1),OverEnd,"&gt;="&amp;DATE(YEAR($AC89),MONTH($AC89),1)),0))</f>
        <v>0</v>
      </c>
      <c r="I89" s="133" cm="1">
        <f t="array" aca="1" ref="I89" ca="1">IF($F89&lt;&gt;"Active",0,IF(COUNTIFS(OverEmp,$C89,OverEarn,I$2,OverDate,"&lt;"&amp;DATE(YEAR($AC89),MONTH($AC89)+1,1),OverEnd,"&gt;="&amp;DATE(YEAR($AC89),MONTH($AC89),1))&gt;0,SUMIFS(OverValue,OverEmp,$C89,OverEarn,I$2,OverDate,"&lt;"&amp;DATE(YEAR($AC89),MONTH($AC89)+1,1),OverEnd,"&gt;="&amp;DATE(YEAR($AC89),MONTH($AC89),1)),IF(MONTH(B89)=Setup!$C$15,SUMIFS(EmpBonus,EmpCode,$C89),0)))</f>
        <v>0</v>
      </c>
      <c r="J89" s="133" cm="1">
        <f t="array" aca="1" ref="J89" ca="1">IF($F89&lt;&gt;"Active",0,IF(COUNTIFS(OverEmp,$C89,OverEarn,J$2,OverDate,"&lt;"&amp;DATE(YEAR($AC89),MONTH($AC89)+1,1),OverEnd,"&gt;="&amp;DATE(YEAR($AC89),MONTH($AC89),1))&gt;0,SUMIFS(OverValue,OverEmp,$C89,OverEarn,J$2,OverDate,"&lt;"&amp;DATE(YEAR($AC89),MONTH($AC89)+1,1),OverEnd,"&gt;="&amp;DATE(YEAR($AC89),MONTH($AC89),1)),0))</f>
        <v>0</v>
      </c>
      <c r="K89" s="133" cm="1">
        <f t="array" aca="1" ref="K89" ca="1">IF($F89&lt;&gt;"Active",0,IF(COUNTIFS(OverEmp,$C89,OverEarn,K$2,OverDate,"&lt;"&amp;DATE(YEAR($AC89),MONTH($AC89)+1,1),OverEnd,"&gt;="&amp;DATE(YEAR($AC89),MONTH($AC89),1))&gt;0,SUMIFS(OverValue,OverEmp,$C89,OverEarn,K$2,OverDate,"&lt;"&amp;DATE(YEAR($AC89),MONTH($AC89)+1,1),OverEnd,"&gt;="&amp;DATE(YEAR($AC89),MONTH($AC89),1)),0))</f>
        <v>0</v>
      </c>
      <c r="L89" s="185">
        <f t="shared" ca="1" si="36"/>
        <v>9000</v>
      </c>
      <c r="M89" s="182" cm="1">
        <f t="array" aca="1" ref="M89" ca="1">IF(COUNTIFS(OverEmp,$C89,OverTax,M$5,OverDate,"&lt;"&amp;DATE(YEAR($AC89),MONTH($AC89)+1,1),OverEnd,"&gt;="&amp;DATE(YEAR($AC89),MONTH($AC89),1))&gt;0,SUMIFS(OverValue,OverEmp,$C89,OverTax,M$5,OverDate,"&lt;"&amp;DATE(YEAR($AC89),MONTH($AC89)+1,1),OverEnd,"&gt;="&amp;DATE(YEAR($AC89),MONTH($AC89),1)),(($BA89/12*$AA89)+(BB89*IF(1-$BC89=0,0,BD89/(1-$BC89))))-IF($F89="Terminated",0,SUMIFS(PayTaxDeduct,PayDate,"&lt;"&amp;$AC89,PayEmp,$C89)))</f>
        <v>183.75</v>
      </c>
      <c r="N89" s="133" cm="1">
        <f t="array" aca="1" ref="N89" ca="1">IF($F89="Terminated",0,IF($AA89=0,0,IF(ISNA(MATCH(N$5,DedListItem,0)),0,IF(COUNTIFS(OverEmp,$C89,OverDeduct,N$5,OverDate,"&lt;"&amp;DATE(YEAR($AC89),MONTH($AC89)+1,1),OverEnd,"&gt;="&amp;DATE(YEAR($AC89),MONTH($AC89),1))&gt;0,SUMIFS(OverValue,OverEmp,$C89,OverDeduct,N$5,OverDate,"&lt;"&amp;DATE(YEAR($AC89),MONTH($AC89)+1,1),OverEnd,"&gt;="&amp;DATE(YEAR($AC89),MONTH($AC89),1)),IF(OR(N$2="Fixed",N$2="Not Used"),(IF(COUNTIFS(EmpNo,$C89,OFFSET(Emp!$R$4,1,MATCH(N$5,DedListItem,0)-1,EmpCount,1),"&lt;&gt;")&gt;0,VLOOKUP($C89,EmpAll,COLUMN(Emp!$R$4)+MATCH(N$5,DedListItem,0)-1,0),OFFSET(Setup!$E$73,MATCH(N$5,DedListItem,0),0,1,1))*$AA89)-SUMIFS(OFFSET(N$6,1,0,PayCount,1),PayDate,"&lt;"&amp;$AC89,PayEmp,$C89),IF(ISNA(MATCH(N$2,EarnListItem,0))=FALSE,IF(OFFSET(Setup!$G$73,MATCH(N$5,DedListItem,0),0,1,1)="Taxable",SUMPRODUCT((PayEmp=$C89)*(PayDate&lt;=$AC89)*(PayEarnCode=N$2)*(PayEarnTax)*(PayEarnValues)),SUMPRODUCT((PayEmp=$C89)*(PayDate&lt;=$AC89)*(PayEarnCode=N$2)*(PayEarnValues)))*IF(COUNTIFS(EmpNo,$C89,OFFSET(Emp!$R$4,1,MATCH(N$5,DedListItem,0)-1,EmpCount,1),"&lt;&gt;")&gt;0,VLOOKUP($C89,EmpAll,COLUMN(Emp!$R$4)+MATCH(N$5,DedListItem,0)-1,0),OFFSET(Setup!$E$73,MATCH(N$5,DedListItem,0),0,1,1)),(MIN(IF(OFFSET(Setup!$G$73,MATCH(N$5,DedListItem,0),0,1,1)="Taxable",SUMPRODUCT((PayEmp=$C89)*(PayDate&lt;=$AC89)*(ISERROR(SEARCH(PayEarnCode,N$4)))*(PayEarnTax)*(PayEarnValues)),SUMPRODUCT((PayEmp=$C89)*(PayDate&lt;=$AC89)*(ISERROR(SEARCH(PayEarnCode,N$4)))*(PayEarnValues))),IF(ISNUMBER(N$3),N$3/12*$AA89,IgnoreMin)))*IF(COUNTIFS(EmpNo,$C89,OFFSET(Emp!$R$4,1,MATCH(N$5,DedListItem,0)-1,EmpCount,1),"&lt;&gt;")&gt;0,VLOOKUP($C89,EmpAll,COLUMN(Emp!$R$4)+MATCH(N$5,DedListItem,0)-1,0),OFFSET(Setup!$E$73,MATCH(N$5,DedListItem,0),0,1,1)))-SUMIFS(OFFSET(N$6,1,0,PayCount,1),PayDate,"&lt;"&amp;$AC89,PayEmp,$C89))))))</f>
        <v>90</v>
      </c>
      <c r="O89" s="133" cm="1">
        <f t="array" aca="1" ref="O89" ca="1">IF($F89="Terminated",0,IF($AA89=0,0,IF(ISNA(MATCH(O$5,DedListItem,0)),0,IF(COUNTIFS(OverEmp,$C89,OverDeduct,O$5,OverDate,"&lt;"&amp;DATE(YEAR($AC89),MONTH($AC89)+1,1),OverEnd,"&gt;="&amp;DATE(YEAR($AC89),MONTH($AC89),1))&gt;0,SUMIFS(OverValue,OverEmp,$C89,OverDeduct,O$5,OverDate,"&lt;"&amp;DATE(YEAR($AC89),MONTH($AC89)+1,1),OverEnd,"&gt;="&amp;DATE(YEAR($AC89),MONTH($AC89),1)),IF(OR(O$2="Fixed",O$2="Not Used"),(IF(COUNTIFS(EmpNo,$C89,OFFSET(Emp!$R$4,1,MATCH(O$5,DedListItem,0)-1,EmpCount,1),"&lt;&gt;")&gt;0,VLOOKUP($C89,EmpAll,COLUMN(Emp!$R$4)+MATCH(O$5,DedListItem,0)-1,0),OFFSET(Setup!$E$73,MATCH(O$5,DedListItem,0),0,1,1))*$AA89)-SUMIFS(OFFSET(O$6,1,0,PayCount,1),PayDate,"&lt;"&amp;$AC89,PayEmp,$C89),IF(ISNA(MATCH(O$2,EarnListItem,0))=FALSE,IF(OFFSET(Setup!$G$73,MATCH(O$5,DedListItem,0),0,1,1)="Taxable",SUMPRODUCT((PayEmp=$C89)*(PayDate&lt;=$AC89)*(PayEarnCode=O$2)*(PayEarnTax)*(PayEarnValues)),SUMPRODUCT((PayEmp=$C89)*(PayDate&lt;=$AC89)*(PayEarnCode=O$2)*(PayEarnValues)))*IF(COUNTIFS(EmpNo,$C89,OFFSET(Emp!$R$4,1,MATCH(O$5,DedListItem,0)-1,EmpCount,1),"&lt;&gt;")&gt;0,VLOOKUP($C89,EmpAll,COLUMN(Emp!$R$4)+MATCH(O$5,DedListItem,0)-1,0),OFFSET(Setup!$E$73,MATCH(O$5,DedListItem,0),0,1,1)),(MIN(IF(OFFSET(Setup!$G$73,MATCH(O$5,DedListItem,0),0,1,1)="Taxable",SUMPRODUCT((PayEmp=$C89)*(PayDate&lt;=$AC89)*(ISERROR(SEARCH(PayEarnCode,O$4)))*(PayEarnTax)*(PayEarnValues)),SUMPRODUCT((PayEmp=$C89)*(PayDate&lt;=$AC89)*(ISERROR(SEARCH(PayEarnCode,O$4)))*(PayEarnValues))),IF(ISNUMBER(O$3),O$3/12*$AA89,IgnoreMin)))*IF(COUNTIFS(EmpNo,$C89,OFFSET(Emp!$R$4,1,MATCH(O$5,DedListItem,0)-1,EmpCount,1),"&lt;&gt;")&gt;0,VLOOKUP($C89,EmpAll,COLUMN(Emp!$R$4)+MATCH(O$5,DedListItem,0)-1,0),OFFSET(Setup!$E$73,MATCH(O$5,DedListItem,0),0,1,1)))-SUMIFS(OFFSET(O$6,1,0,PayCount,1),PayDate,"&lt;"&amp;$AC89,PayEmp,$C89))))))</f>
        <v>0</v>
      </c>
      <c r="P89" s="133" cm="1">
        <f t="array" aca="1" ref="P89" ca="1">IF($F89="Terminated",0,IF($AA89=0,0,IF(ISNA(MATCH(P$5,DedListItem,0)),0,IF(COUNTIFS(OverEmp,$C89,OverDeduct,P$5,OverDate,"&lt;"&amp;DATE(YEAR($AC89),MONTH($AC89)+1,1),OverEnd,"&gt;="&amp;DATE(YEAR($AC89),MONTH($AC89),1))&gt;0,SUMIFS(OverValue,OverEmp,$C89,OverDeduct,P$5,OverDate,"&lt;"&amp;DATE(YEAR($AC89),MONTH($AC89)+1,1),OverEnd,"&gt;="&amp;DATE(YEAR($AC89),MONTH($AC89),1)),IF(OR(P$2="Fixed",P$2="Not Used"),(IF(COUNTIFS(EmpNo,$C89,OFFSET(Emp!$R$4,1,MATCH(P$5,DedListItem,0)-1,EmpCount,1),"&lt;&gt;")&gt;0,VLOOKUP($C89,EmpAll,COLUMN(Emp!$R$4)+MATCH(P$5,DedListItem,0)-1,0),OFFSET(Setup!$E$73,MATCH(P$5,DedListItem,0),0,1,1))*$AA89)-SUMIFS(OFFSET(P$6,1,0,PayCount,1),PayDate,"&lt;"&amp;$AC89,PayEmp,$C89),IF(ISNA(MATCH(P$2,EarnListItem,0))=FALSE,IF(OFFSET(Setup!$G$73,MATCH(P$5,DedListItem,0),0,1,1)="Taxable",SUMPRODUCT((PayEmp=$C89)*(PayDate&lt;=$AC89)*(PayEarnCode=P$2)*(PayEarnTax)*(PayEarnValues)),SUMPRODUCT((PayEmp=$C89)*(PayDate&lt;=$AC89)*(PayEarnCode=P$2)*(PayEarnValues)))*IF(COUNTIFS(EmpNo,$C89,OFFSET(Emp!$R$4,1,MATCH(P$5,DedListItem,0)-1,EmpCount,1),"&lt;&gt;")&gt;0,VLOOKUP($C89,EmpAll,COLUMN(Emp!$R$4)+MATCH(P$5,DedListItem,0)-1,0),OFFSET(Setup!$E$73,MATCH(P$5,DedListItem,0),0,1,1)),(MIN(IF(OFFSET(Setup!$G$73,MATCH(P$5,DedListItem,0),0,1,1)="Taxable",SUMPRODUCT((PayEmp=$C89)*(PayDate&lt;=$AC89)*(ISERROR(SEARCH(PayEarnCode,P$4)))*(PayEarnTax)*(PayEarnValues)),SUMPRODUCT((PayEmp=$C89)*(PayDate&lt;=$AC89)*(ISERROR(SEARCH(PayEarnCode,P$4)))*(PayEarnValues))),IF(ISNUMBER(P$3),P$3/12*$AA89,IgnoreMin)))*IF(COUNTIFS(EmpNo,$C89,OFFSET(Emp!$R$4,1,MATCH(P$5,DedListItem,0)-1,EmpCount,1),"&lt;&gt;")&gt;0,VLOOKUP($C89,EmpAll,COLUMN(Emp!$R$4)+MATCH(P$5,DedListItem,0)-1,0),OFFSET(Setup!$E$73,MATCH(P$5,DedListItem,0),0,1,1)))-SUMIFS(OFFSET(P$6,1,0,PayCount,1),PayDate,"&lt;"&amp;$AC89,PayEmp,$C89))))))</f>
        <v>0</v>
      </c>
      <c r="Q89" s="133" cm="1">
        <f t="array" aca="1" ref="Q89" ca="1">IF($F89="Terminated",0,IF($AA89=0,0,IF(ISNA(MATCH(Q$5,DedListItem,0)),0,IF(COUNTIFS(OverEmp,$C89,OverDeduct,Q$5,OverDate,"&lt;"&amp;DATE(YEAR($AC89),MONTH($AC89)+1,1),OverEnd,"&gt;="&amp;DATE(YEAR($AC89),MONTH($AC89),1))&gt;0,SUMIFS(OverValue,OverEmp,$C89,OverDeduct,Q$5,OverDate,"&lt;"&amp;DATE(YEAR($AC89),MONTH($AC89)+1,1),OverEnd,"&gt;="&amp;DATE(YEAR($AC89),MONTH($AC89),1)),IF(OR(Q$2="Fixed",Q$2="Not Used"),(IF(COUNTIFS(EmpNo,$C89,OFFSET(Emp!$R$4,1,MATCH(Q$5,DedListItem,0)-1,EmpCount,1),"&lt;&gt;")&gt;0,VLOOKUP($C89,EmpAll,COLUMN(Emp!$R$4)+MATCH(Q$5,DedListItem,0)-1,0),OFFSET(Setup!$E$73,MATCH(Q$5,DedListItem,0),0,1,1))*$AA89)-SUMIFS(OFFSET(Q$6,1,0,PayCount,1),PayDate,"&lt;"&amp;$AC89,PayEmp,$C89),IF(ISNA(MATCH(Q$2,EarnListItem,0))=FALSE,IF(OFFSET(Setup!$G$73,MATCH(Q$5,DedListItem,0),0,1,1)="Taxable",SUMPRODUCT((PayEmp=$C89)*(PayDate&lt;=$AC89)*(PayEarnCode=Q$2)*(PayEarnTax)*(PayEarnValues)),SUMPRODUCT((PayEmp=$C89)*(PayDate&lt;=$AC89)*(PayEarnCode=Q$2)*(PayEarnValues)))*IF(COUNTIFS(EmpNo,$C89,OFFSET(Emp!$R$4,1,MATCH(Q$5,DedListItem,0)-1,EmpCount,1),"&lt;&gt;")&gt;0,VLOOKUP($C89,EmpAll,COLUMN(Emp!$R$4)+MATCH(Q$5,DedListItem,0)-1,0),OFFSET(Setup!$E$73,MATCH(Q$5,DedListItem,0),0,1,1)),(MIN(IF(OFFSET(Setup!$G$73,MATCH(Q$5,DedListItem,0),0,1,1)="Taxable",SUMPRODUCT((PayEmp=$C89)*(PayDate&lt;=$AC89)*(ISERROR(SEARCH(PayEarnCode,Q$4)))*(PayEarnTax)*(PayEarnValues)),SUMPRODUCT((PayEmp=$C89)*(PayDate&lt;=$AC89)*(ISERROR(SEARCH(PayEarnCode,Q$4)))*(PayEarnValues))),IF(ISNUMBER(Q$3),Q$3/12*$AA89,IgnoreMin)))*IF(COUNTIFS(EmpNo,$C89,OFFSET(Emp!$R$4,1,MATCH(Q$5,DedListItem,0)-1,EmpCount,1),"&lt;&gt;")&gt;0,VLOOKUP($C89,EmpAll,COLUMN(Emp!$R$4)+MATCH(Q$5,DedListItem,0)-1,0),OFFSET(Setup!$E$73,MATCH(Q$5,DedListItem,0),0,1,1)))-SUMIFS(OFFSET(Q$6,1,0,PayCount,1),PayDate,"&lt;"&amp;$AC89,PayEmp,$C89))))))</f>
        <v>0</v>
      </c>
      <c r="R89" s="185">
        <f t="shared" ca="1" si="37"/>
        <v>273.75</v>
      </c>
      <c r="S89" s="139">
        <f t="shared" ca="1" si="38"/>
        <v>8726.25</v>
      </c>
      <c r="T89" s="133" cm="1">
        <f t="array" aca="1" ref="T89" ca="1">IF($F89="Terminated",0,IF($AA89=0,0,IF(ISNA(MATCH(T$5,CompListItem,0)),0,IF(COUNTIFS(OverEmp,$C89,OverComp,T$5,OverDate,"&lt;"&amp;DATE(YEAR($AC89),MONTH($AC89)+1,1),OverEnd,"&gt;="&amp;DATE(YEAR($AC89),MONTH($AC89),1))&gt;0,SUMIFS(OverValue,OverEmp,$C89,OverComp,T$5,OverDate,"&lt;"&amp;DATE(YEAR($AC89),MONTH($AC89)+1,1),OverEnd,"&gt;="&amp;DATE(YEAR($AC89),MONTH($AC89),1)),IF(OR(T$2="Fixed",T$2="Not Used"),(OFFSET(Setup!$E$81,MATCH(T$5,CompListItem,0),0,1,1)*$AA89)-SUMIFS(OFFSET(T$6,1,0,PayCount,1),PayDate,"&lt;"&amp;$AC89,PayEmp,$C89),IF(ISNA(MATCH(T$2,DedListItem,0))=FALSE,(SUMPRODUCT((PayEmp=$C89)*(PayDate&lt;=$AC89)*(PayDedList=T$2)*(PayDedValues))*OFFSET(Setup!$E$81,MATCH(T$5,CompListItem,0),0,1,1))-SUMIFS(OFFSET(T$6,1,0,PayCount,1),PayDate,"&lt;"&amp;$AC89,PayEmp,$C89),(MIN(IF(OFFSET(Setup!$G$81,MATCH(T$5,CompListItem,0),0,1,1)="Taxable",SUMPRODUCT((PayEmp=$C89)*(PayDate&lt;=$AC89)*(ISERROR(SEARCH(PayEarnCode,T$4)))*(PayEarnTax)*(PayEarnValues)),SUMPRODUCT((PayEmp=$C89)*(PayDate&lt;=$AC89)*(ISERROR(SEARCH(PayEarnCode,T$4)))*(PayEarnValues))),IF(ISNUMBER(T$3),T$3/12*$AA89,IgnoreMin)))*OFFSET(Setup!$E$81,MATCH(T$5,CompListItem,0),0,1,1)-SUMIFS(OFFSET(T$6,1,0,PayCount,1),PayDate,"&lt;"&amp;$AC89,PayEmp,$C89)))))))</f>
        <v>90</v>
      </c>
      <c r="U89" s="133" cm="1">
        <f t="array" aca="1" ref="U89" ca="1">IF($F89="Terminated",0,IF($AA89=0,0,IF(ISNA(MATCH(U$5,CompListItem,0)),0,IF(COUNTIFS(OverEmp,$C89,OverComp,U$5,OverDate,"&lt;"&amp;DATE(YEAR($AC89),MONTH($AC89)+1,1),OverEnd,"&gt;="&amp;DATE(YEAR($AC89),MONTH($AC89),1))&gt;0,SUMIFS(OverValue,OverEmp,$C89,OverComp,U$5,OverDate,"&lt;"&amp;DATE(YEAR($AC89),MONTH($AC89)+1,1),OverEnd,"&gt;="&amp;DATE(YEAR($AC89),MONTH($AC89),1)),IF(OR(U$2="Fixed",U$2="Not Used"),(OFFSET(Setup!$E$81,MATCH(U$5,CompListItem,0),0,1,1)*$AA89)-SUMIFS(OFFSET(U$6,1,0,PayCount,1),PayDate,"&lt;"&amp;$AC89,PayEmp,$C89),IF(ISNA(MATCH(U$2,DedListItem,0))=FALSE,(SUMPRODUCT((PayEmp=$C89)*(PayDate&lt;=$AC89)*(PayDedList=U$2)*(PayDedValues))*OFFSET(Setup!$E$81,MATCH(U$5,CompListItem,0),0,1,1))-SUMIFS(OFFSET(U$6,1,0,PayCount,1),PayDate,"&lt;"&amp;$AC89,PayEmp,$C89),(MIN(IF(OFFSET(Setup!$G$81,MATCH(U$5,CompListItem,0),0,1,1)="Taxable",SUMPRODUCT((PayEmp=$C89)*(PayDate&lt;=$AC89)*(ISERROR(SEARCH(PayEarnCode,U$4)))*(PayEarnTax)*(PayEarnValues)),SUMPRODUCT((PayEmp=$C89)*(PayDate&lt;=$AC89)*(ISERROR(SEARCH(PayEarnCode,U$4)))*(PayEarnValues))),IF(ISNUMBER(U$3),U$3/12*$AA89,IgnoreMin)))*OFFSET(Setup!$E$81,MATCH(U$5,CompListItem,0),0,1,1)-SUMIFS(OFFSET(U$6,1,0,PayCount,1),PayDate,"&lt;"&amp;$AC89,PayEmp,$C89)))))))</f>
        <v>90</v>
      </c>
      <c r="V89" s="133" cm="1">
        <f t="array" aca="1" ref="V89" ca="1">IF($F89="Terminated",0,IF($AA89=0,0,IF(ISNA(MATCH(V$5,CompListItem,0)),0,IF(COUNTIFS(OverEmp,$C89,OverComp,V$5,OverDate,"&lt;"&amp;DATE(YEAR($AC89),MONTH($AC89)+1,1),OverEnd,"&gt;="&amp;DATE(YEAR($AC89),MONTH($AC89),1))&gt;0,SUMIFS(OverValue,OverEmp,$C89,OverComp,V$5,OverDate,"&lt;"&amp;DATE(YEAR($AC89),MONTH($AC89)+1,1),OverEnd,"&gt;="&amp;DATE(YEAR($AC89),MONTH($AC89),1)),IF(OR(V$2="Fixed",V$2="Not Used"),(OFFSET(Setup!$E$81,MATCH(V$5,CompListItem,0),0,1,1)*$AA89)-SUMIFS(OFFSET(V$6,1,0,PayCount,1),PayDate,"&lt;"&amp;$AC89,PayEmp,$C89),IF(ISNA(MATCH(V$2,DedListItem,0))=FALSE,(SUMPRODUCT((PayEmp=$C89)*(PayDate&lt;=$AC89)*(PayDedList=V$2)*(PayDedValues))*OFFSET(Setup!$E$81,MATCH(V$5,CompListItem,0),0,1,1))-SUMIFS(OFFSET(V$6,1,0,PayCount,1),PayDate,"&lt;"&amp;$AC89,PayEmp,$C89),(MIN(IF(OFFSET(Setup!$G$81,MATCH(V$5,CompListItem,0),0,1,1)="Taxable",SUMPRODUCT((PayEmp=$C89)*(PayDate&lt;=$AC89)*(ISERROR(SEARCH(PayEarnCode,V$4)))*(PayEarnTax)*(PayEarnValues)),SUMPRODUCT((PayEmp=$C89)*(PayDate&lt;=$AC89)*(ISERROR(SEARCH(PayEarnCode,V$4)))*(PayEarnValues))),IF(ISNUMBER(V$3),V$3/12*$AA89,IgnoreMin)))*OFFSET(Setup!$E$81,MATCH(V$5,CompListItem,0),0,1,1)-SUMIFS(OFFSET(V$6,1,0,PayCount,1),PayDate,"&lt;"&amp;$AC89,PayEmp,$C89)))))))</f>
        <v>0</v>
      </c>
      <c r="W89" s="133" cm="1">
        <f t="array" aca="1" ref="W89" ca="1">IF($F89="Terminated",0,IF($AA89=0,0,IF(ISNA(MATCH(W$5,CompListItem,0)),0,IF(COUNTIFS(OverEmp,$C89,OverComp,W$5,OverDate,"&lt;"&amp;DATE(YEAR($AC89),MONTH($AC89)+1,1),OverEnd,"&gt;="&amp;DATE(YEAR($AC89),MONTH($AC89),1))&gt;0,SUMIFS(OverValue,OverEmp,$C89,OverComp,W$5,OverDate,"&lt;"&amp;DATE(YEAR($AC89),MONTH($AC89)+1,1),OverEnd,"&gt;="&amp;DATE(YEAR($AC89),MONTH($AC89),1)),IF(OR(W$2="Fixed",W$2="Not Used"),(OFFSET(Setup!$E$81,MATCH(W$5,CompListItem,0),0,1,1)*$AA89)-SUMIFS(OFFSET(W$6,1,0,PayCount,1),PayDate,"&lt;"&amp;$AC89,PayEmp,$C89),IF(ISNA(MATCH(W$2,DedListItem,0))=FALSE,(SUMPRODUCT((PayEmp=$C89)*(PayDate&lt;=$AC89)*(PayDedList=W$2)*(PayDedValues))*OFFSET(Setup!$E$81,MATCH(W$5,CompListItem,0),0,1,1))-SUMIFS(OFFSET(W$6,1,0,PayCount,1),PayDate,"&lt;"&amp;$AC89,PayEmp,$C89),(MIN(IF(OFFSET(Setup!$G$81,MATCH(W$5,CompListItem,0),0,1,1)="Taxable",SUMPRODUCT((PayEmp=$C89)*(PayDate&lt;=$AC89)*(ISERROR(SEARCH(PayEarnCode,W$4)))*(PayEarnTax)*(PayEarnValues)),SUMPRODUCT((PayEmp=$C89)*(PayDate&lt;=$AC89)*(ISERROR(SEARCH(PayEarnCode,W$4)))*(PayEarnValues))),IF(ISNUMBER(W$3),W$3/12*$AA89,IgnoreMin)))*OFFSET(Setup!$E$81,MATCH(W$5,CompListItem,0),0,1,1)-SUMIFS(OFFSET(W$6,1,0,PayCount,1),PayDate,"&lt;"&amp;$AC89,PayEmp,$C89)))))))</f>
        <v>0</v>
      </c>
      <c r="X89" s="185">
        <f t="shared" ca="1" si="30"/>
        <v>180</v>
      </c>
      <c r="Y89" s="139">
        <f t="shared" ca="1" si="39"/>
        <v>9180</v>
      </c>
      <c r="Z89" s="139">
        <f t="shared" ca="1" si="31"/>
        <v>453.75</v>
      </c>
      <c r="AA89" s="146">
        <f ca="1">IF(OR($B89&lt;=Setup!$E$12,$B89&gt;=Setup!$D$12+1),0,IF($F89&lt;&gt;"Active",0,IF($AE89="Yes",$AB89,((YEAR($AC89)*12)+MONTH($AC89))-((YEAR($AD89)*12)+MONTH($AD89)-1))))</f>
        <v>6</v>
      </c>
      <c r="AB89" s="146">
        <f ca="1">IF(OR($B89&lt;=Setup!$E$12,$B89&gt;=Setup!$D$12+1),0,((YEAR($AC89)*12)+MONTH($AC89))-((YEAR(Setup!$E$12)*12)+MONTH(Setup!$E$12)))</f>
        <v>6</v>
      </c>
      <c r="AC89" s="186">
        <f t="shared" ca="1" si="32"/>
        <v>45163</v>
      </c>
      <c r="AD89" s="144">
        <f ca="1">IF(ISNA(VLOOKUP($C89,EmpAll,COLUMN(Emp!$E$4),0)),$AC89,IF(VLOOKUP($C89,EmpAll,COLUMN(Emp!$E$4),0)&lt;=Setup!$E$12,DATE(YEAR(Setup!$E$12),MONTH(Setup!$E$12)+1,1),VLOOKUP($C89,EmpAll,COLUMN(Emp!$E$4),0)))</f>
        <v>44986</v>
      </c>
      <c r="AE89" s="144" t="str">
        <f ca="1">IF(ISNA(VLOOKUP($C89,EmpAll,COLUMN(Emp!$G$1),0)),"-",IF(VLOOKUP($C89,EmpAll,COLUMN(Emp!$G$1),0)=0,"-",VLOOKUP($C89,EmpAll,COLUMN(Emp!$G$1),0)))</f>
        <v>-</v>
      </c>
      <c r="AF89" s="145">
        <f ca="1">IF(A89=PaySlip!$G$3,1,0)</f>
        <v>0</v>
      </c>
      <c r="AG89" s="130" cm="1">
        <f t="array" aca="1" ref="AG89" ca="1">IF(COUNTIFS(OverEmp,$C89,OverMed,"MED",OverDate,"&lt;"&amp;DATE(YEAR($AC89),MONTH($AC89)+1,1),OverEnd,"&gt;="&amp;DATE(YEAR($AC89),MONTH($AC89),1))&gt;0,SUMIFS(OverValue,OverEmp,$C89,OverMed,"MED",OverDate,"&lt;"&amp;DATE(YEAR($AC89),MONTH($AC89)+1,1),OverEnd,"&gt;="&amp;DATE(YEAR($AC89),MONTH($AC89),1)),IF(ISNA(VLOOKUP($C89,EmpAll,COLUMN(Emp!$N$4),0)),0,VLOOKUP($C89,EmpAll,COLUMN(Emp!$N$4),0)))</f>
        <v>0</v>
      </c>
      <c r="AH89" s="146">
        <f ca="1">VLOOKUP($AG89,MedList,COLUMN(Setup!$C$49),1)</f>
        <v>0</v>
      </c>
      <c r="AI89" s="146">
        <f t="shared" ca="1" si="40"/>
        <v>0</v>
      </c>
      <c r="AJ89" s="101" t="str">
        <f ca="1">IF(ISNA(VLOOKUP($C89,EmpAll,COLUMN(Emp!$L$4),0)),"None!",VLOOKUP($C89,EmpAll,COLUMN(Emp!$L$4),0))</f>
        <v>A</v>
      </c>
      <c r="AK89" s="147">
        <f t="shared" ca="1" si="33"/>
        <v>17235</v>
      </c>
      <c r="AL89" s="101" t="str">
        <f ca="1">IF(ISNA(VLOOKUP($C89,Employees[],COLUMN(Emp!$M$4),0))=TRUE,"Error!",IF(VLOOKUP($C89,Employees[],COLUMN(Emp!$M$4),0)=0,"Yes",VLOOKUP($C89,Employees[],COLUMN(Emp!$M$4),0)))</f>
        <v>A</v>
      </c>
      <c r="AM89" s="148">
        <f t="shared" ca="1" si="41"/>
        <v>108000</v>
      </c>
      <c r="AN89" s="148" cm="1">
        <f t="array" aca="1" ref="AN89" ca="1">-IF($F89="Terminated",0,IF($AA89=0,0,IF(ISNA(MATCH(AN$5,PayDedList,0)),0,MIN(IF(COUNTIFS(OverEmp,$C89,OverDeduct,AN$5,OverDate,"&lt;"&amp;DATE(YEAR($AC89),MONTH($AC89)+1,1),OverEnd,"&gt;="&amp;DATE(YEAR($AC89),MONTH($AC89),1))&gt;0,SUMPRODUCT((PayEmp=$C89)*(PayDate&lt;=$AC89)*(OFFSET($N$6,1,MATCH(AN$5,PayDedList,0)-1,PayCount,1)))/$AA89*12*AN$3,IF(OR(AN$1="Fixed",AN$1="Not Used"),SUMPRODUCT((PayEmp=$C89)*(PayDate&lt;=$AC89)*(OFFSET($N$6,1,MATCH(AN$5,PayDedList,0)-1,PayCount,1)))/$AA89*12*AN$3,IF(ISNA(MATCH(AN$1,EarnListItem,0))=FALSE,SUMPRODUCT((PayEmp=$C89)*(PayDate&lt;=$AC89)*(OFFSET($N$6,1,MATCH(AN$5,PayDedList,0)-1,PayCount,1)))/$AA89*12*AN$3,(MIN(((SUMPRODUCT((PayEmp=$C89)*(PayDate&lt;=$AC89)*(ISERROR(SEARCH(PayEarnCode,AN$2)))*(PayEarnType="Monthly")*(PayEarnValues))/$AA89*12)+(SUMPRODUCT((PayEmp=$C89)*(PayDate&lt;=$AC89)*(ISERROR(SEARCH(PayEarnCode,AN$2)))*(PayEarnType="Quarterly")*(PayEarnValues))/MAX(1,ROUNDDOWN($AB89/3,0))*4)+(SUMPRODUCT((PayEmp=$C89)*(PayDate&lt;=$AC89)*(ISERROR(SEARCH(PayEarnCode,AN$2)))*(PayEarnType="Bi-Annual")*(PayEarnValues))/MAX(1,ROUNDDOWN($AB89/6,0))*2)+(SUMPRODUCT((PayEmp=$C89)*(PayDate&lt;=$AC89)*(ISERROR(SEARCH(PayEarnCode,AN$2)))*(PayEarnType="Annual")*(PayEarnValues)))),IF(ISNUMBER(OFFSET($N$3,0,MATCH(AN$5,PayDedList,0)-1,1,1)),OFFSET($N$3,0,MATCH(AN$5,PayDedList,0)-1,1,1),IgnoreMin)))*IF(COUNTIFS(EmpNo,$C89,OFFSET(Emp!$R$4,1,MATCH(AN$5,DedListItem,0)-1,EmpCount,1),"&lt;&gt;")&gt;0,VLOOKUP($C89,EmpAll,COLUMN(Emp!$R$4)+MATCH(AN$5,DedListItem,0)-1,0),OFFSET(Setup!$E$73,MATCH(AN$5,DedListItem,0),0,1,1))*AN$3))),IF(ISNUMBER(AN$4),AN$4,IgnoreMin)))))</f>
        <v>0</v>
      </c>
      <c r="AO89" s="148" cm="1">
        <f t="array" aca="1" ref="AO89" ca="1">-IF($F89="Terminated",0,IF($AA89=0,0,IF(ISNA(MATCH(AO$5,PayDedList,0)),0,MIN(IF(COUNTIFS(OverEmp,$C89,OverDeduct,AO$5,OverDate,"&lt;"&amp;DATE(YEAR($AC89),MONTH($AC89)+1,1),OverEnd,"&gt;="&amp;DATE(YEAR($AC89),MONTH($AC89),1))&gt;0,SUMPRODUCT((PayEmp=$C89)*(PayDate&lt;=$AC89)*(OFFSET($N$6,1,MATCH(AO$5,PayDedList,0)-1,PayCount,1)))/$AA89*12*AO$3,IF(OR(AO$1="Fixed",AO$1="Not Used"),SUMPRODUCT((PayEmp=$C89)*(PayDate&lt;=$AC89)*(OFFSET($N$6,1,MATCH(AO$5,PayDedList,0)-1,PayCount,1)))/$AA89*12*AO$3,IF(ISNA(MATCH(AO$1,EarnListItem,0))=FALSE,SUMPRODUCT((PayEmp=$C89)*(PayDate&lt;=$AC89)*(OFFSET($N$6,1,MATCH(AO$5,PayDedList,0)-1,PayCount,1)))/$AA89*12*AO$3,(MIN(((SUMPRODUCT((PayEmp=$C89)*(PayDate&lt;=$AC89)*(ISERROR(SEARCH(PayEarnCode,AO$2)))*(PayEarnType="Monthly")*(PayEarnValues))/$AA89*12)+(SUMPRODUCT((PayEmp=$C89)*(PayDate&lt;=$AC89)*(ISERROR(SEARCH(PayEarnCode,AO$2)))*(PayEarnType="Quarterly")*(PayEarnValues))/MAX(1,ROUNDDOWN($AB89/3,0))*4)+(SUMPRODUCT((PayEmp=$C89)*(PayDate&lt;=$AC89)*(ISERROR(SEARCH(PayEarnCode,AO$2)))*(PayEarnType="Bi-Annual")*(PayEarnValues))/MAX(1,ROUNDDOWN($AB89/6,0))*2)+(SUMPRODUCT((PayEmp=$C89)*(PayDate&lt;=$AC89)*(ISERROR(SEARCH(PayEarnCode,AO$2)))*(PayEarnType="Annual")*(PayEarnValues)))),IF(ISNUMBER(OFFSET($N$3,0,MATCH(AO$5,PayDedList,0)-1,1,1)),OFFSET($N$3,0,MATCH(AO$5,PayDedList,0)-1,1,1),IgnoreMin)))*IF(COUNTIFS(EmpNo,$C89,OFFSET(Emp!$R$4,1,MATCH(AO$5,DedListItem,0)-1,EmpCount,1),"&lt;&gt;")&gt;0,VLOOKUP($C89,EmpAll,COLUMN(Emp!$R$4)+MATCH(AO$5,DedListItem,0)-1,0),OFFSET(Setup!$E$73,MATCH(AO$5,DedListItem,0),0,1,1))*AO$3))),IF(ISNUMBER(AO$4),AO$4,IgnoreMin)))))</f>
        <v>0</v>
      </c>
      <c r="AP89" s="148" cm="1">
        <f t="array" aca="1" ref="AP89" ca="1">-IF($F89="Terminated",0,IF($AA89=0,0,IF(ISNA(MATCH(AP$5,PayDedList,0)),0,MIN(IF(COUNTIFS(OverEmp,$C89,OverDeduct,AP$5,OverDate,"&lt;"&amp;DATE(YEAR($AC89),MONTH($AC89)+1,1),OverEnd,"&gt;="&amp;DATE(YEAR($AC89),MONTH($AC89),1))&gt;0,SUMPRODUCT((PayEmp=$C89)*(PayDate&lt;=$AC89)*(OFFSET($N$6,1,MATCH(AP$5,PayDedList,0)-1,PayCount,1)))/$AA89*12*AP$3,IF(OR(AP$1="Fixed",AP$1="Not Used"),SUMPRODUCT((PayEmp=$C89)*(PayDate&lt;=$AC89)*(OFFSET($N$6,1,MATCH(AP$5,PayDedList,0)-1,PayCount,1)))/$AA89*12*AP$3,IF(ISNA(MATCH(AP$1,EarnListItem,0))=FALSE,SUMPRODUCT((PayEmp=$C89)*(PayDate&lt;=$AC89)*(OFFSET($N$6,1,MATCH(AP$5,PayDedList,0)-1,PayCount,1)))/$AA89*12*AP$3,(MIN(((SUMPRODUCT((PayEmp=$C89)*(PayDate&lt;=$AC89)*(ISERROR(SEARCH(PayEarnCode,AP$2)))*(PayEarnType="Monthly")*(PayEarnValues))/$AA89*12)+(SUMPRODUCT((PayEmp=$C89)*(PayDate&lt;=$AC89)*(ISERROR(SEARCH(PayEarnCode,AP$2)))*(PayEarnType="Quarterly")*(PayEarnValues))/MAX(1,ROUNDDOWN($AB89/3,0))*4)+(SUMPRODUCT((PayEmp=$C89)*(PayDate&lt;=$AC89)*(ISERROR(SEARCH(PayEarnCode,AP$2)))*(PayEarnType="Bi-Annual")*(PayEarnValues))/MAX(1,ROUNDDOWN($AB89/6,0))*2)+(SUMPRODUCT((PayEmp=$C89)*(PayDate&lt;=$AC89)*(ISERROR(SEARCH(PayEarnCode,AP$2)))*(PayEarnType="Annual")*(PayEarnValues)))),IF(ISNUMBER(OFFSET($N$3,0,MATCH(AP$5,PayDedList,0)-1,1,1)),OFFSET($N$3,0,MATCH(AP$5,PayDedList,0)-1,1,1),IgnoreMin)))*IF(COUNTIFS(EmpNo,$C89,OFFSET(Emp!$R$4,1,MATCH(AP$5,DedListItem,0)-1,EmpCount,1),"&lt;&gt;")&gt;0,VLOOKUP($C89,EmpAll,COLUMN(Emp!$R$4)+MATCH(AP$5,DedListItem,0)-1,0),OFFSET(Setup!$E$73,MATCH(AP$5,DedListItem,0),0,1,1))*AP$3))),IF(ISNUMBER(AP$4),AP$4,IgnoreMin)))))</f>
        <v>0</v>
      </c>
      <c r="AQ89" s="148" cm="1">
        <f t="array" aca="1" ref="AQ89" ca="1">-IF($F89="Terminated",0,IF($AA89=0,0,IF(ISNA(MATCH(AQ$5,PayDedList,0)),0,MIN(IF(COUNTIFS(OverEmp,$C89,OverDeduct,AQ$5,OverDate,"&lt;"&amp;DATE(YEAR($AC89),MONTH($AC89)+1,1),OverEnd,"&gt;="&amp;DATE(YEAR($AC89),MONTH($AC89),1))&gt;0,SUMPRODUCT((PayEmp=$C89)*(PayDate&lt;=$AC89)*(OFFSET($N$6,1,MATCH(AQ$5,PayDedList,0)-1,PayCount,1)))/$AA89*12*AQ$3,IF(OR(AQ$1="Fixed",AQ$1="Not Used"),SUMPRODUCT((PayEmp=$C89)*(PayDate&lt;=$AC89)*(OFFSET($N$6,1,MATCH(AQ$5,PayDedList,0)-1,PayCount,1)))/$AA89*12*AQ$3,IF(ISNA(MATCH(AQ$1,EarnListItem,0))=FALSE,SUMPRODUCT((PayEmp=$C89)*(PayDate&lt;=$AC89)*(OFFSET($N$6,1,MATCH(AQ$5,PayDedList,0)-1,PayCount,1)))/$AA89*12*AQ$3,(MIN(((SUMPRODUCT((PayEmp=$C89)*(PayDate&lt;=$AC89)*(ISERROR(SEARCH(PayEarnCode,AQ$2)))*(PayEarnType="Monthly")*(PayEarnValues))/$AA89*12)+(SUMPRODUCT((PayEmp=$C89)*(PayDate&lt;=$AC89)*(ISERROR(SEARCH(PayEarnCode,AQ$2)))*(PayEarnType="Quarterly")*(PayEarnValues))/MAX(1,ROUNDDOWN($AB89/3,0))*4)+(SUMPRODUCT((PayEmp=$C89)*(PayDate&lt;=$AC89)*(ISERROR(SEARCH(PayEarnCode,AQ$2)))*(PayEarnType="Bi-Annual")*(PayEarnValues))/MAX(1,ROUNDDOWN($AB89/6,0))*2)+(SUMPRODUCT((PayEmp=$C89)*(PayDate&lt;=$AC89)*(ISERROR(SEARCH(PayEarnCode,AQ$2)))*(PayEarnType="Annual")*(PayEarnValues)))),IF(ISNUMBER(OFFSET($N$3,0,MATCH(AQ$5,PayDedList,0)-1,1,1)),OFFSET($N$3,0,MATCH(AQ$5,PayDedList,0)-1,1,1),IgnoreMin)))*IF(COUNTIFS(EmpNo,$C89,OFFSET(Emp!$R$4,1,MATCH(AQ$5,DedListItem,0)-1,EmpCount,1),"&lt;&gt;")&gt;0,VLOOKUP($C89,EmpAll,COLUMN(Emp!$R$4)+MATCH(AQ$5,DedListItem,0)-1,0),OFFSET(Setup!$E$73,MATCH(AQ$5,DedListItem,0),0,1,1))*AQ$3))),IF(ISNUMBER(AQ$4),AQ$4,IgnoreMin)))))</f>
        <v>0</v>
      </c>
      <c r="AR89" s="148">
        <f t="shared" ca="1" si="34"/>
        <v>108000</v>
      </c>
      <c r="AS89" s="148">
        <f t="shared" ca="1" si="42"/>
        <v>108000</v>
      </c>
      <c r="AT89" s="148" cm="1">
        <f t="array" aca="1" ref="AT89" ca="1">-IF($F89="Terminated",0,IF($AA89=0,0,IF(ISNA(MATCH(AT$5,PayDedList,0)),0,MIN(IF(COUNTIFS(OverEmp,$C89,OverDeduct,AT$5,OverDate,"&lt;"&amp;DATE(YEAR($AC89),MONTH($AC89)+1,1),OverEnd,"&gt;="&amp;DATE(YEAR($AC89),MONTH($AC89),1))&gt;0,SUMPRODUCT((PayEmp=$C89)*(PayDate&lt;=$AC89)*(OFFSET($N$6,1,MATCH(AT$5,PayDedList,0)-1,PayCount,1)))/$AA89*12*AT$3,IF(OR(AT$1="Fixed",AT$1="Not Used"),SUMPRODUCT((PayEmp=$C89)*(PayDate&lt;=$AC89)*(OFFSET($N$6,1,MATCH(AT$5,PayDedList,0)-1,PayCount,1)))/$AA89*12*AT$3,IF(ISNA(MATCH(OFFSET($N$2,0,MATCH(AT$5,PayDedList,0)-1,1,1),EarnListItem,0))=FALSE,SUMPRODUCT((PayEmp=$C89)*(PayDate&lt;=$AC89)*(OFFSET($N$6,1,MATCH(AT$5,PayDedList,0)-1,PayCount,1)))/$AA89*12*AT$3,(MIN(SUMPRODUCT((PayEmp=$C89)*(PayDate&lt;=$AC89)*(ISERROR(SEARCH(PayEarnCode,AT$2)))*(PayEarnType="Monthly")*(PayEarnValues))/$AA89*12,IF(ISNUMBER(OFFSET($N$3,0,MATCH(AT$5,PayDedList,0)-1,1,1)),OFFSET($N$3,0,MATCH(AT$5,PayDedList,0)-1,1,1),IgnoreMin)))*IF(COUNTIFS(EmpNo,$C89,OFFSET(Emp!$R$4,1,MATCH(AT$5,DedListItem,0)-1,EmpCount,1),"&lt;&gt;")&gt;0,VLOOKUP($C89,EmpAll,COLUMN(Emp!$R$4)+MATCH(AT$5,DedListItem,0)-1,0),OFFSET(Setup!$E$73,MATCH(AT$5,DedListItem,0),0,1,1))*AT$3))),IF(ISNUMBER(AT$4),AT$4,IgnoreMin)))))</f>
        <v>0</v>
      </c>
      <c r="AU89" s="148" cm="1">
        <f t="array" aca="1" ref="AU89" ca="1">-IF($F89="Terminated",0,IF($AA89=0,0,IF(ISNA(MATCH(AU$5,PayDedList,0)),0,MIN(IF(COUNTIFS(OverEmp,$C89,OverDeduct,AU$5,OverDate,"&lt;"&amp;DATE(YEAR($AC89),MONTH($AC89)+1,1),OverEnd,"&gt;="&amp;DATE(YEAR($AC89),MONTH($AC89),1))&gt;0,SUMPRODUCT((PayEmp=$C89)*(PayDate&lt;=$AC89)*(OFFSET($N$6,1,MATCH(AU$5,PayDedList,0)-1,PayCount,1)))/$AA89*12*AU$3,IF(OR(AU$1="Fixed",AU$1="Not Used"),SUMPRODUCT((PayEmp=$C89)*(PayDate&lt;=$AC89)*(OFFSET($N$6,1,MATCH(AU$5,PayDedList,0)-1,PayCount,1)))/$AA89*12*AU$3,IF(ISNA(MATCH(OFFSET($N$2,0,MATCH(AU$5,PayDedList,0)-1,1,1),EarnListItem,0))=FALSE,SUMPRODUCT((PayEmp=$C89)*(PayDate&lt;=$AC89)*(OFFSET($N$6,1,MATCH(AU$5,PayDedList,0)-1,PayCount,1)))/$AA89*12*AU$3,(MIN(SUMPRODUCT((PayEmp=$C89)*(PayDate&lt;=$AC89)*(ISERROR(SEARCH(PayEarnCode,AU$2)))*(PayEarnType="Monthly")*(PayEarnValues))/$AA89*12,IF(ISNUMBER(OFFSET($N$3,0,MATCH(AU$5,PayDedList,0)-1,1,1)),OFFSET($N$3,0,MATCH(AU$5,PayDedList,0)-1,1,1),IgnoreMin)))*IF(COUNTIFS(EmpNo,$C89,OFFSET(Emp!$R$4,1,MATCH(AU$5,DedListItem,0)-1,EmpCount,1),"&lt;&gt;")&gt;0,VLOOKUP($C89,EmpAll,COLUMN(Emp!$R$4)+MATCH(AU$5,DedListItem,0)-1,0),OFFSET(Setup!$E$73,MATCH(AU$5,DedListItem,0),0,1,1))*AU$3))),IF(ISNUMBER(AU$4),AU$4,IgnoreMin)))))</f>
        <v>0</v>
      </c>
      <c r="AV89" s="148" cm="1">
        <f t="array" aca="1" ref="AV89" ca="1">-IF($F89="Terminated",0,IF($AA89=0,0,IF(ISNA(MATCH(AV$5,PayDedList,0)),0,MIN(IF(COUNTIFS(OverEmp,$C89,OverDeduct,AV$5,OverDate,"&lt;"&amp;DATE(YEAR($AC89),MONTH($AC89)+1,1),OverEnd,"&gt;="&amp;DATE(YEAR($AC89),MONTH($AC89),1))&gt;0,SUMPRODUCT((PayEmp=$C89)*(PayDate&lt;=$AC89)*(OFFSET($N$6,1,MATCH(AV$5,PayDedList,0)-1,PayCount,1)))/$AA89*12*AV$3,IF(OR(AV$1="Fixed",AV$1="Not Used"),SUMPRODUCT((PayEmp=$C89)*(PayDate&lt;=$AC89)*(OFFSET($N$6,1,MATCH(AV$5,PayDedList,0)-1,PayCount,1)))/$AA89*12*AV$3,IF(ISNA(MATCH(OFFSET($N$2,0,MATCH(AV$5,PayDedList,0)-1,1,1),EarnListItem,0))=FALSE,SUMPRODUCT((PayEmp=$C89)*(PayDate&lt;=$AC89)*(OFFSET($N$6,1,MATCH(AV$5,PayDedList,0)-1,PayCount,1)))/$AA89*12*AV$3,(MIN(SUMPRODUCT((PayEmp=$C89)*(PayDate&lt;=$AC89)*(ISERROR(SEARCH(PayEarnCode,AV$2)))*(PayEarnType="Monthly")*(PayEarnValues))/$AA89*12,IF(ISNUMBER(OFFSET($N$3,0,MATCH(AV$5,PayDedList,0)-1,1,1)),OFFSET($N$3,0,MATCH(AV$5,PayDedList,0)-1,1,1),IgnoreMin)))*IF(COUNTIFS(EmpNo,$C89,OFFSET(Emp!$R$4,1,MATCH(AV$5,DedListItem,0)-1,EmpCount,1),"&lt;&gt;")&gt;0,VLOOKUP($C89,EmpAll,COLUMN(Emp!$R$4)+MATCH(AV$5,DedListItem,0)-1,0),OFFSET(Setup!$E$73,MATCH(AV$5,DedListItem,0),0,1,1))*AV$3))),IF(ISNUMBER(AV$4),AV$4,IgnoreMin)))))</f>
        <v>0</v>
      </c>
      <c r="AW89" s="148" cm="1">
        <f t="array" aca="1" ref="AW89" ca="1">-IF($F89="Terminated",0,IF($AA89=0,0,IF(ISNA(MATCH(AW$5,PayDedList,0)),0,MIN(IF(COUNTIFS(OverEmp,$C89,OverDeduct,AW$5,OverDate,"&lt;"&amp;DATE(YEAR($AC89),MONTH($AC89)+1,1),OverEnd,"&gt;="&amp;DATE(YEAR($AC89),MONTH($AC89),1))&gt;0,SUMPRODUCT((PayEmp=$C89)*(PayDate&lt;=$AC89)*(OFFSET($N$6,1,MATCH(AW$5,PayDedList,0)-1,PayCount,1)))/$AA89*12*AW$3,IF(OR(AW$1="Fixed",AW$1="Not Used"),SUMPRODUCT((PayEmp=$C89)*(PayDate&lt;=$AC89)*(OFFSET($N$6,1,MATCH(AW$5,PayDedList,0)-1,PayCount,1)))/$AA89*12*AW$3,IF(ISNA(MATCH(OFFSET($N$2,0,MATCH(AW$5,PayDedList,0)-1,1,1),EarnListItem,0))=FALSE,SUMPRODUCT((PayEmp=$C89)*(PayDate&lt;=$AC89)*(OFFSET($N$6,1,MATCH(AW$5,PayDedList,0)-1,PayCount,1)))/$AA89*12*AW$3,(MIN(SUMPRODUCT((PayEmp=$C89)*(PayDate&lt;=$AC89)*(ISERROR(SEARCH(PayEarnCode,AW$2)))*(PayEarnType="Monthly")*(PayEarnValues))/$AA89*12,IF(ISNUMBER(OFFSET($N$3,0,MATCH(AW$5,PayDedList,0)-1,1,1)),OFFSET($N$3,0,MATCH(AW$5,PayDedList,0)-1,1,1),IgnoreMin)))*IF(COUNTIFS(EmpNo,$C89,OFFSET(Emp!$R$4,1,MATCH(AW$5,DedListItem,0)-1,EmpCount,1),"&lt;&gt;")&gt;0,VLOOKUP($C89,EmpAll,COLUMN(Emp!$R$4)+MATCH(AW$5,DedListItem,0)-1,0),OFFSET(Setup!$E$73,MATCH(AW$5,DedListItem,0),0,1,1))*AW$3))),IF(ISNUMBER(AW$4),AW$4,IgnoreMin)))))</f>
        <v>0</v>
      </c>
      <c r="AX89" s="148">
        <f t="shared" ca="1" si="43"/>
        <v>108000</v>
      </c>
      <c r="AY89" s="148">
        <f t="shared" ca="1" si="44"/>
        <v>0</v>
      </c>
      <c r="AZ89" s="148">
        <f ca="1">IF(ISNUMBER($AL89),($AR89*$AL89)-$AI89-$AK89,MAX(0,IF($AL89="B",IF($AR89&lt;Setup!$C$32,($AR89*Setup!$D$32)-$AI89-$AK89,(($AR89-VLOOKUP($AR89,TaxAll2,1,1))*OFFSET(Setup!$D$32,MATCH($AR89,TaxBracket2,1),0,1,1))+OFFSET(Setup!$E$31,MATCH($AR89,TaxBracket2,1),0,1,1)-$AI89-$AK89),IF($AR89&lt;Setup!$C$21,($AR89*Setup!$D$21)-$AI89-$AK89,(($AR89-VLOOKUP($AR89,TaxAll1,1,1))*OFFSET(Setup!$D$21,MATCH($AR89,TaxBracket1,1),0,1,1))+OFFSET(Setup!$E$20,MATCH($AR89,TaxBracket1,1),0,1,1)-$AI89-$AK89))))</f>
        <v>2205</v>
      </c>
      <c r="BA89" s="148">
        <f ca="1">IF(ISNUMBER($AL89),($AX89*$AL89)-$AI89-$AK89,MAX(0,IF($AL89="B",IF($AX89&lt;Setup!$C$32,($AX89*Setup!$D$32)-$AI89-$AK89,(($AX89-VLOOKUP($AX89,TaxAll2,1,1))*OFFSET(Setup!$D$32,MATCH($AX89,TaxBracket2,1),0,1,1))+OFFSET(Setup!$E$31,MATCH($AX89,TaxBracket2,1),0,1,1)-$AI89-$AK89),IF($AX89&lt;Setup!$C$21,($AX89*Setup!$D$21)-$AI89-$AK89,(($AX89-VLOOKUP($AX89,TaxAll1,1,1))*OFFSET(Setup!$D$21,MATCH($AX89,TaxBracket1,1),0,1,1))+OFFSET(Setup!$E$20,MATCH($AX89,TaxBracket1,1),0,1,1)-$AI89-$AK89))))</f>
        <v>2205</v>
      </c>
      <c r="BB89" s="148">
        <f t="shared" ca="1" si="35"/>
        <v>0</v>
      </c>
      <c r="BC89" s="150">
        <f t="shared" ca="1" si="45"/>
        <v>1</v>
      </c>
      <c r="BD89" s="150">
        <f t="shared" ca="1" si="46"/>
        <v>0</v>
      </c>
      <c r="BE89" s="148">
        <f t="shared" ca="1" si="47"/>
        <v>108000</v>
      </c>
    </row>
    <row r="90" spans="1:57" ht="16.149999999999999" customHeight="1" x14ac:dyDescent="0.25">
      <c r="A90" s="10" t="str" cm="1">
        <f t="array" aca="1" ref="A90" ca="1">IF(ROW($A90)-ROW($A$6)&gt;EmpCount*12,"-",TEXT($B90,"yyyy")&amp;TEXT($B90,"mm")&amp;"-"&amp;$C90)</f>
        <v>202308-EXS009</v>
      </c>
      <c r="B90" s="137" cm="1">
        <f t="array" aca="1" ref="B90" ca="1">IF(ROW($A90)-ROW($A$6)&gt;EmpCount*12,Setup!$D$12,DATE(YEAR(Setup!$F$12),MONTH(Setup!$F$12)+ROUNDDOWN((ROW($A90)-ROW($A$6)-1)/EmpCount,0),IF(Setup!$C$14&gt;DAY(DATE(YEAR(Setup!$F$12),MONTH(Setup!$F$12)+ROUNDDOWN((ROW($A90)-ROW($A$6)-1)/EmpCount,0)+1,0)),DAY(DATE(YEAR(Setup!$F$12),MONTH(Setup!$F$12)+ROUNDDOWN((ROW($A90)-ROW($A$6)-1)/EmpCount,0)+1,0)),Setup!$C$14)))</f>
        <v>45163</v>
      </c>
      <c r="C90" s="101" t="str" cm="1">
        <f t="array" aca="1" ref="C90" ca="1">IF(ROW($A90)-ROW($A$6)&gt;EmpCount*12,"-",OFFSET(Emp!$A$4,ROW($A90)-ROW($A$6)-IF(ROW($A90)-ROW($A$6)&gt;EmpCount,ROUNDDOWN((ROW($A90)-ROW($A$6)-1)/EmpCount,0)*EmpCount,0),0,1,1))</f>
        <v>EXS009</v>
      </c>
      <c r="D90" s="10" t="str">
        <f ca="1">IF(ISNA(VLOOKUP($C90,EmpAll,COLUMN(Emp!$B$4),0)),"-",VLOOKUP($C90,EmpAll,COLUMN(Emp!$B$4),0))</f>
        <v>Brown JT</v>
      </c>
      <c r="E90" s="145" t="str">
        <f ca="1">IF(ISNA(VLOOKUP($C90,EmpAll,COLUMN(Emp!$C$4),0)),"-",VLOOKUP($C90,EmpAll,COLUMN(Emp!$C$4),0))</f>
        <v>A</v>
      </c>
      <c r="F90" s="101" t="str">
        <f ca="1">IF(ISNA(VLOOKUP($C90,EmpAll,COLUMN(Emp!$A$4),0)),"-",IF(AND(VLOOKUP($C90,EmpAll,COLUMN(Emp!$E$4),0)&lt;&gt;0,VLOOKUP($C90,EmpAll,COLUMN(Emp!$E$4),0)&gt;=DATE(YEAR($AC90),MONTH($AC90)+1,0)),"Inactive",IF(AND(VLOOKUP($C90,EmpAll,COLUMN(Emp!$F$4),0)&lt;&gt;0,VLOOKUP($C90,EmpAll,COLUMN(Emp!$F$4),0)&lt;=DATE(YEAR($AC90),MONTH($AC90),0)),"Terminated","Active")))</f>
        <v>Active</v>
      </c>
      <c r="G90" s="133" cm="1">
        <f t="array" aca="1" ref="G90" ca="1">IF($F90&lt;&gt;"Active",0,IF(COUNTIFS(OverEmp,$C90,OverEarn,G$2,OverDate,"&lt;"&amp;DATE(YEAR($AC90),MONTH($AC90)+1,1),OverEnd,"&gt;="&amp;DATE(YEAR($AC90),MONTH($AC90),1))&gt;0,SUMIFS(OverValue,OverEmp,$C90,OverEarn,G$2,OverDate,"&lt;"&amp;DATE(YEAR($AC90),MONTH($AC90)+1,1),OverEnd,"&gt;="&amp;DATE(YEAR($AC90),MONTH($AC90),1)),IF(AND($AC90&gt;=Setup!$E$10,SUMIFS(EmpIncrease,EmpCode,$C90)&gt;0),SUMIFS(EmpIncrease,EmpCode,$C90),SUMIFS(EmpSalary,EmpCode,$C90))))</f>
        <v>9000</v>
      </c>
      <c r="H90" s="133" cm="1">
        <f t="array" aca="1" ref="H90" ca="1">IF($F90&lt;&gt;"Active",0,IF(COUNTIFS(OverEmp,$C90,OverEarn,H$2,OverDate,"&lt;"&amp;DATE(YEAR($AC90),MONTH($AC90)+1,1),OverEnd,"&gt;="&amp;DATE(YEAR($AC90),MONTH($AC90),1))&gt;0,SUMIFS(OverValue,OverEmp,$C90,OverEarn,H$2,OverDate,"&lt;"&amp;DATE(YEAR($AC90),MONTH($AC90)+1,1),OverEnd,"&gt;="&amp;DATE(YEAR($AC90),MONTH($AC90),1)),0))</f>
        <v>0</v>
      </c>
      <c r="I90" s="133" cm="1">
        <f t="array" aca="1" ref="I90" ca="1">IF($F90&lt;&gt;"Active",0,IF(COUNTIFS(OverEmp,$C90,OverEarn,I$2,OverDate,"&lt;"&amp;DATE(YEAR($AC90),MONTH($AC90)+1,1),OverEnd,"&gt;="&amp;DATE(YEAR($AC90),MONTH($AC90),1))&gt;0,SUMIFS(OverValue,OverEmp,$C90,OverEarn,I$2,OverDate,"&lt;"&amp;DATE(YEAR($AC90),MONTH($AC90)+1,1),OverEnd,"&gt;="&amp;DATE(YEAR($AC90),MONTH($AC90),1)),IF(MONTH(B90)=Setup!$C$15,SUMIFS(EmpBonus,EmpCode,$C90),0)))</f>
        <v>0</v>
      </c>
      <c r="J90" s="133" cm="1">
        <f t="array" aca="1" ref="J90" ca="1">IF($F90&lt;&gt;"Active",0,IF(COUNTIFS(OverEmp,$C90,OverEarn,J$2,OverDate,"&lt;"&amp;DATE(YEAR($AC90),MONTH($AC90)+1,1),OverEnd,"&gt;="&amp;DATE(YEAR($AC90),MONTH($AC90),1))&gt;0,SUMIFS(OverValue,OverEmp,$C90,OverEarn,J$2,OverDate,"&lt;"&amp;DATE(YEAR($AC90),MONTH($AC90)+1,1),OverEnd,"&gt;="&amp;DATE(YEAR($AC90),MONTH($AC90),1)),0))</f>
        <v>0</v>
      </c>
      <c r="K90" s="133" cm="1">
        <f t="array" aca="1" ref="K90" ca="1">IF($F90&lt;&gt;"Active",0,IF(COUNTIFS(OverEmp,$C90,OverEarn,K$2,OverDate,"&lt;"&amp;DATE(YEAR($AC90),MONTH($AC90)+1,1),OverEnd,"&gt;="&amp;DATE(YEAR($AC90),MONTH($AC90),1))&gt;0,SUMIFS(OverValue,OverEmp,$C90,OverEarn,K$2,OverDate,"&lt;"&amp;DATE(YEAR($AC90),MONTH($AC90)+1,1),OverEnd,"&gt;="&amp;DATE(YEAR($AC90),MONTH($AC90),1)),0))</f>
        <v>0</v>
      </c>
      <c r="L90" s="185">
        <f t="shared" ca="1" si="36"/>
        <v>9000</v>
      </c>
      <c r="M90" s="182" cm="1">
        <f t="array" aca="1" ref="M90" ca="1">IF(COUNTIFS(OverEmp,$C90,OverTax,M$5,OverDate,"&lt;"&amp;DATE(YEAR($AC90),MONTH($AC90)+1,1),OverEnd,"&gt;="&amp;DATE(YEAR($AC90),MONTH($AC90),1))&gt;0,SUMIFS(OverValue,OverEmp,$C90,OverTax,M$5,OverDate,"&lt;"&amp;DATE(YEAR($AC90),MONTH($AC90)+1,1),OverEnd,"&gt;="&amp;DATE(YEAR($AC90),MONTH($AC90),1)),(($BA90/12*$AA90)+(BB90*IF(1-$BC90=0,0,BD90/(1-$BC90))))-IF($F90="Terminated",0,SUMIFS(PayTaxDeduct,PayDate,"&lt;"&amp;$AC90,PayEmp,$C90)))</f>
        <v>183.75</v>
      </c>
      <c r="N90" s="133" cm="1">
        <f t="array" aca="1" ref="N90" ca="1">IF($F90="Terminated",0,IF($AA90=0,0,IF(ISNA(MATCH(N$5,DedListItem,0)),0,IF(COUNTIFS(OverEmp,$C90,OverDeduct,N$5,OverDate,"&lt;"&amp;DATE(YEAR($AC90),MONTH($AC90)+1,1),OverEnd,"&gt;="&amp;DATE(YEAR($AC90),MONTH($AC90),1))&gt;0,SUMIFS(OverValue,OverEmp,$C90,OverDeduct,N$5,OverDate,"&lt;"&amp;DATE(YEAR($AC90),MONTH($AC90)+1,1),OverEnd,"&gt;="&amp;DATE(YEAR($AC90),MONTH($AC90),1)),IF(OR(N$2="Fixed",N$2="Not Used"),(IF(COUNTIFS(EmpNo,$C90,OFFSET(Emp!$R$4,1,MATCH(N$5,DedListItem,0)-1,EmpCount,1),"&lt;&gt;")&gt;0,VLOOKUP($C90,EmpAll,COLUMN(Emp!$R$4)+MATCH(N$5,DedListItem,0)-1,0),OFFSET(Setup!$E$73,MATCH(N$5,DedListItem,0),0,1,1))*$AA90)-SUMIFS(OFFSET(N$6,1,0,PayCount,1),PayDate,"&lt;"&amp;$AC90,PayEmp,$C90),IF(ISNA(MATCH(N$2,EarnListItem,0))=FALSE,IF(OFFSET(Setup!$G$73,MATCH(N$5,DedListItem,0),0,1,1)="Taxable",SUMPRODUCT((PayEmp=$C90)*(PayDate&lt;=$AC90)*(PayEarnCode=N$2)*(PayEarnTax)*(PayEarnValues)),SUMPRODUCT((PayEmp=$C90)*(PayDate&lt;=$AC90)*(PayEarnCode=N$2)*(PayEarnValues)))*IF(COUNTIFS(EmpNo,$C90,OFFSET(Emp!$R$4,1,MATCH(N$5,DedListItem,0)-1,EmpCount,1),"&lt;&gt;")&gt;0,VLOOKUP($C90,EmpAll,COLUMN(Emp!$R$4)+MATCH(N$5,DedListItem,0)-1,0),OFFSET(Setup!$E$73,MATCH(N$5,DedListItem,0),0,1,1)),(MIN(IF(OFFSET(Setup!$G$73,MATCH(N$5,DedListItem,0),0,1,1)="Taxable",SUMPRODUCT((PayEmp=$C90)*(PayDate&lt;=$AC90)*(ISERROR(SEARCH(PayEarnCode,N$4)))*(PayEarnTax)*(PayEarnValues)),SUMPRODUCT((PayEmp=$C90)*(PayDate&lt;=$AC90)*(ISERROR(SEARCH(PayEarnCode,N$4)))*(PayEarnValues))),IF(ISNUMBER(N$3),N$3/12*$AA90,IgnoreMin)))*IF(COUNTIFS(EmpNo,$C90,OFFSET(Emp!$R$4,1,MATCH(N$5,DedListItem,0)-1,EmpCount,1),"&lt;&gt;")&gt;0,VLOOKUP($C90,EmpAll,COLUMN(Emp!$R$4)+MATCH(N$5,DedListItem,0)-1,0),OFFSET(Setup!$E$73,MATCH(N$5,DedListItem,0),0,1,1)))-SUMIFS(OFFSET(N$6,1,0,PayCount,1),PayDate,"&lt;"&amp;$AC90,PayEmp,$C90))))))</f>
        <v>90</v>
      </c>
      <c r="O90" s="133" cm="1">
        <f t="array" aca="1" ref="O90" ca="1">IF($F90="Terminated",0,IF($AA90=0,0,IF(ISNA(MATCH(O$5,DedListItem,0)),0,IF(COUNTIFS(OverEmp,$C90,OverDeduct,O$5,OverDate,"&lt;"&amp;DATE(YEAR($AC90),MONTH($AC90)+1,1),OverEnd,"&gt;="&amp;DATE(YEAR($AC90),MONTH($AC90),1))&gt;0,SUMIFS(OverValue,OverEmp,$C90,OverDeduct,O$5,OverDate,"&lt;"&amp;DATE(YEAR($AC90),MONTH($AC90)+1,1),OverEnd,"&gt;="&amp;DATE(YEAR($AC90),MONTH($AC90),1)),IF(OR(O$2="Fixed",O$2="Not Used"),(IF(COUNTIFS(EmpNo,$C90,OFFSET(Emp!$R$4,1,MATCH(O$5,DedListItem,0)-1,EmpCount,1),"&lt;&gt;")&gt;0,VLOOKUP($C90,EmpAll,COLUMN(Emp!$R$4)+MATCH(O$5,DedListItem,0)-1,0),OFFSET(Setup!$E$73,MATCH(O$5,DedListItem,0),0,1,1))*$AA90)-SUMIFS(OFFSET(O$6,1,0,PayCount,1),PayDate,"&lt;"&amp;$AC90,PayEmp,$C90),IF(ISNA(MATCH(O$2,EarnListItem,0))=FALSE,IF(OFFSET(Setup!$G$73,MATCH(O$5,DedListItem,0),0,1,1)="Taxable",SUMPRODUCT((PayEmp=$C90)*(PayDate&lt;=$AC90)*(PayEarnCode=O$2)*(PayEarnTax)*(PayEarnValues)),SUMPRODUCT((PayEmp=$C90)*(PayDate&lt;=$AC90)*(PayEarnCode=O$2)*(PayEarnValues)))*IF(COUNTIFS(EmpNo,$C90,OFFSET(Emp!$R$4,1,MATCH(O$5,DedListItem,0)-1,EmpCount,1),"&lt;&gt;")&gt;0,VLOOKUP($C90,EmpAll,COLUMN(Emp!$R$4)+MATCH(O$5,DedListItem,0)-1,0),OFFSET(Setup!$E$73,MATCH(O$5,DedListItem,0),0,1,1)),(MIN(IF(OFFSET(Setup!$G$73,MATCH(O$5,DedListItem,0),0,1,1)="Taxable",SUMPRODUCT((PayEmp=$C90)*(PayDate&lt;=$AC90)*(ISERROR(SEARCH(PayEarnCode,O$4)))*(PayEarnTax)*(PayEarnValues)),SUMPRODUCT((PayEmp=$C90)*(PayDate&lt;=$AC90)*(ISERROR(SEARCH(PayEarnCode,O$4)))*(PayEarnValues))),IF(ISNUMBER(O$3),O$3/12*$AA90,IgnoreMin)))*IF(COUNTIFS(EmpNo,$C90,OFFSET(Emp!$R$4,1,MATCH(O$5,DedListItem,0)-1,EmpCount,1),"&lt;&gt;")&gt;0,VLOOKUP($C90,EmpAll,COLUMN(Emp!$R$4)+MATCH(O$5,DedListItem,0)-1,0),OFFSET(Setup!$E$73,MATCH(O$5,DedListItem,0),0,1,1)))-SUMIFS(OFFSET(O$6,1,0,PayCount,1),PayDate,"&lt;"&amp;$AC90,PayEmp,$C90))))))</f>
        <v>0</v>
      </c>
      <c r="P90" s="133" cm="1">
        <f t="array" aca="1" ref="P90" ca="1">IF($F90="Terminated",0,IF($AA90=0,0,IF(ISNA(MATCH(P$5,DedListItem,0)),0,IF(COUNTIFS(OverEmp,$C90,OverDeduct,P$5,OverDate,"&lt;"&amp;DATE(YEAR($AC90),MONTH($AC90)+1,1),OverEnd,"&gt;="&amp;DATE(YEAR($AC90),MONTH($AC90),1))&gt;0,SUMIFS(OverValue,OverEmp,$C90,OverDeduct,P$5,OverDate,"&lt;"&amp;DATE(YEAR($AC90),MONTH($AC90)+1,1),OverEnd,"&gt;="&amp;DATE(YEAR($AC90),MONTH($AC90),1)),IF(OR(P$2="Fixed",P$2="Not Used"),(IF(COUNTIFS(EmpNo,$C90,OFFSET(Emp!$R$4,1,MATCH(P$5,DedListItem,0)-1,EmpCount,1),"&lt;&gt;")&gt;0,VLOOKUP($C90,EmpAll,COLUMN(Emp!$R$4)+MATCH(P$5,DedListItem,0)-1,0),OFFSET(Setup!$E$73,MATCH(P$5,DedListItem,0),0,1,1))*$AA90)-SUMIFS(OFFSET(P$6,1,0,PayCount,1),PayDate,"&lt;"&amp;$AC90,PayEmp,$C90),IF(ISNA(MATCH(P$2,EarnListItem,0))=FALSE,IF(OFFSET(Setup!$G$73,MATCH(P$5,DedListItem,0),0,1,1)="Taxable",SUMPRODUCT((PayEmp=$C90)*(PayDate&lt;=$AC90)*(PayEarnCode=P$2)*(PayEarnTax)*(PayEarnValues)),SUMPRODUCT((PayEmp=$C90)*(PayDate&lt;=$AC90)*(PayEarnCode=P$2)*(PayEarnValues)))*IF(COUNTIFS(EmpNo,$C90,OFFSET(Emp!$R$4,1,MATCH(P$5,DedListItem,0)-1,EmpCount,1),"&lt;&gt;")&gt;0,VLOOKUP($C90,EmpAll,COLUMN(Emp!$R$4)+MATCH(P$5,DedListItem,0)-1,0),OFFSET(Setup!$E$73,MATCH(P$5,DedListItem,0),0,1,1)),(MIN(IF(OFFSET(Setup!$G$73,MATCH(P$5,DedListItem,0),0,1,1)="Taxable",SUMPRODUCT((PayEmp=$C90)*(PayDate&lt;=$AC90)*(ISERROR(SEARCH(PayEarnCode,P$4)))*(PayEarnTax)*(PayEarnValues)),SUMPRODUCT((PayEmp=$C90)*(PayDate&lt;=$AC90)*(ISERROR(SEARCH(PayEarnCode,P$4)))*(PayEarnValues))),IF(ISNUMBER(P$3),P$3/12*$AA90,IgnoreMin)))*IF(COUNTIFS(EmpNo,$C90,OFFSET(Emp!$R$4,1,MATCH(P$5,DedListItem,0)-1,EmpCount,1),"&lt;&gt;")&gt;0,VLOOKUP($C90,EmpAll,COLUMN(Emp!$R$4)+MATCH(P$5,DedListItem,0)-1,0),OFFSET(Setup!$E$73,MATCH(P$5,DedListItem,0),0,1,1)))-SUMIFS(OFFSET(P$6,1,0,PayCount,1),PayDate,"&lt;"&amp;$AC90,PayEmp,$C90))))))</f>
        <v>0</v>
      </c>
      <c r="Q90" s="133" cm="1">
        <f t="array" aca="1" ref="Q90" ca="1">IF($F90="Terminated",0,IF($AA90=0,0,IF(ISNA(MATCH(Q$5,DedListItem,0)),0,IF(COUNTIFS(OverEmp,$C90,OverDeduct,Q$5,OverDate,"&lt;"&amp;DATE(YEAR($AC90),MONTH($AC90)+1,1),OverEnd,"&gt;="&amp;DATE(YEAR($AC90),MONTH($AC90),1))&gt;0,SUMIFS(OverValue,OverEmp,$C90,OverDeduct,Q$5,OverDate,"&lt;"&amp;DATE(YEAR($AC90),MONTH($AC90)+1,1),OverEnd,"&gt;="&amp;DATE(YEAR($AC90),MONTH($AC90),1)),IF(OR(Q$2="Fixed",Q$2="Not Used"),(IF(COUNTIFS(EmpNo,$C90,OFFSET(Emp!$R$4,1,MATCH(Q$5,DedListItem,0)-1,EmpCount,1),"&lt;&gt;")&gt;0,VLOOKUP($C90,EmpAll,COLUMN(Emp!$R$4)+MATCH(Q$5,DedListItem,0)-1,0),OFFSET(Setup!$E$73,MATCH(Q$5,DedListItem,0),0,1,1))*$AA90)-SUMIFS(OFFSET(Q$6,1,0,PayCount,1),PayDate,"&lt;"&amp;$AC90,PayEmp,$C90),IF(ISNA(MATCH(Q$2,EarnListItem,0))=FALSE,IF(OFFSET(Setup!$G$73,MATCH(Q$5,DedListItem,0),0,1,1)="Taxable",SUMPRODUCT((PayEmp=$C90)*(PayDate&lt;=$AC90)*(PayEarnCode=Q$2)*(PayEarnTax)*(PayEarnValues)),SUMPRODUCT((PayEmp=$C90)*(PayDate&lt;=$AC90)*(PayEarnCode=Q$2)*(PayEarnValues)))*IF(COUNTIFS(EmpNo,$C90,OFFSET(Emp!$R$4,1,MATCH(Q$5,DedListItem,0)-1,EmpCount,1),"&lt;&gt;")&gt;0,VLOOKUP($C90,EmpAll,COLUMN(Emp!$R$4)+MATCH(Q$5,DedListItem,0)-1,0),OFFSET(Setup!$E$73,MATCH(Q$5,DedListItem,0),0,1,1)),(MIN(IF(OFFSET(Setup!$G$73,MATCH(Q$5,DedListItem,0),0,1,1)="Taxable",SUMPRODUCT((PayEmp=$C90)*(PayDate&lt;=$AC90)*(ISERROR(SEARCH(PayEarnCode,Q$4)))*(PayEarnTax)*(PayEarnValues)),SUMPRODUCT((PayEmp=$C90)*(PayDate&lt;=$AC90)*(ISERROR(SEARCH(PayEarnCode,Q$4)))*(PayEarnValues))),IF(ISNUMBER(Q$3),Q$3/12*$AA90,IgnoreMin)))*IF(COUNTIFS(EmpNo,$C90,OFFSET(Emp!$R$4,1,MATCH(Q$5,DedListItem,0)-1,EmpCount,1),"&lt;&gt;")&gt;0,VLOOKUP($C90,EmpAll,COLUMN(Emp!$R$4)+MATCH(Q$5,DedListItem,0)-1,0),OFFSET(Setup!$E$73,MATCH(Q$5,DedListItem,0),0,1,1)))-SUMIFS(OFFSET(Q$6,1,0,PayCount,1),PayDate,"&lt;"&amp;$AC90,PayEmp,$C90))))))</f>
        <v>0</v>
      </c>
      <c r="R90" s="185">
        <f t="shared" ca="1" si="37"/>
        <v>273.75</v>
      </c>
      <c r="S90" s="139">
        <f t="shared" ca="1" si="38"/>
        <v>8726.25</v>
      </c>
      <c r="T90" s="133" cm="1">
        <f t="array" aca="1" ref="T90" ca="1">IF($F90="Terminated",0,IF($AA90=0,0,IF(ISNA(MATCH(T$5,CompListItem,0)),0,IF(COUNTIFS(OverEmp,$C90,OverComp,T$5,OverDate,"&lt;"&amp;DATE(YEAR($AC90),MONTH($AC90)+1,1),OverEnd,"&gt;="&amp;DATE(YEAR($AC90),MONTH($AC90),1))&gt;0,SUMIFS(OverValue,OverEmp,$C90,OverComp,T$5,OverDate,"&lt;"&amp;DATE(YEAR($AC90),MONTH($AC90)+1,1),OverEnd,"&gt;="&amp;DATE(YEAR($AC90),MONTH($AC90),1)),IF(OR(T$2="Fixed",T$2="Not Used"),(OFFSET(Setup!$E$81,MATCH(T$5,CompListItem,0),0,1,1)*$AA90)-SUMIFS(OFFSET(T$6,1,0,PayCount,1),PayDate,"&lt;"&amp;$AC90,PayEmp,$C90),IF(ISNA(MATCH(T$2,DedListItem,0))=FALSE,(SUMPRODUCT((PayEmp=$C90)*(PayDate&lt;=$AC90)*(PayDedList=T$2)*(PayDedValues))*OFFSET(Setup!$E$81,MATCH(T$5,CompListItem,0),0,1,1))-SUMIFS(OFFSET(T$6,1,0,PayCount,1),PayDate,"&lt;"&amp;$AC90,PayEmp,$C90),(MIN(IF(OFFSET(Setup!$G$81,MATCH(T$5,CompListItem,0),0,1,1)="Taxable",SUMPRODUCT((PayEmp=$C90)*(PayDate&lt;=$AC90)*(ISERROR(SEARCH(PayEarnCode,T$4)))*(PayEarnTax)*(PayEarnValues)),SUMPRODUCT((PayEmp=$C90)*(PayDate&lt;=$AC90)*(ISERROR(SEARCH(PayEarnCode,T$4)))*(PayEarnValues))),IF(ISNUMBER(T$3),T$3/12*$AA90,IgnoreMin)))*OFFSET(Setup!$E$81,MATCH(T$5,CompListItem,0),0,1,1)-SUMIFS(OFFSET(T$6,1,0,PayCount,1),PayDate,"&lt;"&amp;$AC90,PayEmp,$C90)))))))</f>
        <v>90</v>
      </c>
      <c r="U90" s="133" cm="1">
        <f t="array" aca="1" ref="U90" ca="1">IF($F90="Terminated",0,IF($AA90=0,0,IF(ISNA(MATCH(U$5,CompListItem,0)),0,IF(COUNTIFS(OverEmp,$C90,OverComp,U$5,OverDate,"&lt;"&amp;DATE(YEAR($AC90),MONTH($AC90)+1,1),OverEnd,"&gt;="&amp;DATE(YEAR($AC90),MONTH($AC90),1))&gt;0,SUMIFS(OverValue,OverEmp,$C90,OverComp,U$5,OverDate,"&lt;"&amp;DATE(YEAR($AC90),MONTH($AC90)+1,1),OverEnd,"&gt;="&amp;DATE(YEAR($AC90),MONTH($AC90),1)),IF(OR(U$2="Fixed",U$2="Not Used"),(OFFSET(Setup!$E$81,MATCH(U$5,CompListItem,0),0,1,1)*$AA90)-SUMIFS(OFFSET(U$6,1,0,PayCount,1),PayDate,"&lt;"&amp;$AC90,PayEmp,$C90),IF(ISNA(MATCH(U$2,DedListItem,0))=FALSE,(SUMPRODUCT((PayEmp=$C90)*(PayDate&lt;=$AC90)*(PayDedList=U$2)*(PayDedValues))*OFFSET(Setup!$E$81,MATCH(U$5,CompListItem,0),0,1,1))-SUMIFS(OFFSET(U$6,1,0,PayCount,1),PayDate,"&lt;"&amp;$AC90,PayEmp,$C90),(MIN(IF(OFFSET(Setup!$G$81,MATCH(U$5,CompListItem,0),0,1,1)="Taxable",SUMPRODUCT((PayEmp=$C90)*(PayDate&lt;=$AC90)*(ISERROR(SEARCH(PayEarnCode,U$4)))*(PayEarnTax)*(PayEarnValues)),SUMPRODUCT((PayEmp=$C90)*(PayDate&lt;=$AC90)*(ISERROR(SEARCH(PayEarnCode,U$4)))*(PayEarnValues))),IF(ISNUMBER(U$3),U$3/12*$AA90,IgnoreMin)))*OFFSET(Setup!$E$81,MATCH(U$5,CompListItem,0),0,1,1)-SUMIFS(OFFSET(U$6,1,0,PayCount,1),PayDate,"&lt;"&amp;$AC90,PayEmp,$C90)))))))</f>
        <v>90</v>
      </c>
      <c r="V90" s="133" cm="1">
        <f t="array" aca="1" ref="V90" ca="1">IF($F90="Terminated",0,IF($AA90=0,0,IF(ISNA(MATCH(V$5,CompListItem,0)),0,IF(COUNTIFS(OverEmp,$C90,OverComp,V$5,OverDate,"&lt;"&amp;DATE(YEAR($AC90),MONTH($AC90)+1,1),OverEnd,"&gt;="&amp;DATE(YEAR($AC90),MONTH($AC90),1))&gt;0,SUMIFS(OverValue,OverEmp,$C90,OverComp,V$5,OverDate,"&lt;"&amp;DATE(YEAR($AC90),MONTH($AC90)+1,1),OverEnd,"&gt;="&amp;DATE(YEAR($AC90),MONTH($AC90),1)),IF(OR(V$2="Fixed",V$2="Not Used"),(OFFSET(Setup!$E$81,MATCH(V$5,CompListItem,0),0,1,1)*$AA90)-SUMIFS(OFFSET(V$6,1,0,PayCount,1),PayDate,"&lt;"&amp;$AC90,PayEmp,$C90),IF(ISNA(MATCH(V$2,DedListItem,0))=FALSE,(SUMPRODUCT((PayEmp=$C90)*(PayDate&lt;=$AC90)*(PayDedList=V$2)*(PayDedValues))*OFFSET(Setup!$E$81,MATCH(V$5,CompListItem,0),0,1,1))-SUMIFS(OFFSET(V$6,1,0,PayCount,1),PayDate,"&lt;"&amp;$AC90,PayEmp,$C90),(MIN(IF(OFFSET(Setup!$G$81,MATCH(V$5,CompListItem,0),0,1,1)="Taxable",SUMPRODUCT((PayEmp=$C90)*(PayDate&lt;=$AC90)*(ISERROR(SEARCH(PayEarnCode,V$4)))*(PayEarnTax)*(PayEarnValues)),SUMPRODUCT((PayEmp=$C90)*(PayDate&lt;=$AC90)*(ISERROR(SEARCH(PayEarnCode,V$4)))*(PayEarnValues))),IF(ISNUMBER(V$3),V$3/12*$AA90,IgnoreMin)))*OFFSET(Setup!$E$81,MATCH(V$5,CompListItem,0),0,1,1)-SUMIFS(OFFSET(V$6,1,0,PayCount,1),PayDate,"&lt;"&amp;$AC90,PayEmp,$C90)))))))</f>
        <v>0</v>
      </c>
      <c r="W90" s="133" cm="1">
        <f t="array" aca="1" ref="W90" ca="1">IF($F90="Terminated",0,IF($AA90=0,0,IF(ISNA(MATCH(W$5,CompListItem,0)),0,IF(COUNTIFS(OverEmp,$C90,OverComp,W$5,OverDate,"&lt;"&amp;DATE(YEAR($AC90),MONTH($AC90)+1,1),OverEnd,"&gt;="&amp;DATE(YEAR($AC90),MONTH($AC90),1))&gt;0,SUMIFS(OverValue,OverEmp,$C90,OverComp,W$5,OverDate,"&lt;"&amp;DATE(YEAR($AC90),MONTH($AC90)+1,1),OverEnd,"&gt;="&amp;DATE(YEAR($AC90),MONTH($AC90),1)),IF(OR(W$2="Fixed",W$2="Not Used"),(OFFSET(Setup!$E$81,MATCH(W$5,CompListItem,0),0,1,1)*$AA90)-SUMIFS(OFFSET(W$6,1,0,PayCount,1),PayDate,"&lt;"&amp;$AC90,PayEmp,$C90),IF(ISNA(MATCH(W$2,DedListItem,0))=FALSE,(SUMPRODUCT((PayEmp=$C90)*(PayDate&lt;=$AC90)*(PayDedList=W$2)*(PayDedValues))*OFFSET(Setup!$E$81,MATCH(W$5,CompListItem,0),0,1,1))-SUMIFS(OFFSET(W$6,1,0,PayCount,1),PayDate,"&lt;"&amp;$AC90,PayEmp,$C90),(MIN(IF(OFFSET(Setup!$G$81,MATCH(W$5,CompListItem,0),0,1,1)="Taxable",SUMPRODUCT((PayEmp=$C90)*(PayDate&lt;=$AC90)*(ISERROR(SEARCH(PayEarnCode,W$4)))*(PayEarnTax)*(PayEarnValues)),SUMPRODUCT((PayEmp=$C90)*(PayDate&lt;=$AC90)*(ISERROR(SEARCH(PayEarnCode,W$4)))*(PayEarnValues))),IF(ISNUMBER(W$3),W$3/12*$AA90,IgnoreMin)))*OFFSET(Setup!$E$81,MATCH(W$5,CompListItem,0),0,1,1)-SUMIFS(OFFSET(W$6,1,0,PayCount,1),PayDate,"&lt;"&amp;$AC90,PayEmp,$C90)))))))</f>
        <v>0</v>
      </c>
      <c r="X90" s="185">
        <f t="shared" ca="1" si="30"/>
        <v>180</v>
      </c>
      <c r="Y90" s="139">
        <f t="shared" ca="1" si="39"/>
        <v>9180</v>
      </c>
      <c r="Z90" s="139">
        <f t="shared" ca="1" si="31"/>
        <v>453.75</v>
      </c>
      <c r="AA90" s="146">
        <f ca="1">IF(OR($B90&lt;=Setup!$E$12,$B90&gt;=Setup!$D$12+1),0,IF($F90&lt;&gt;"Active",0,IF($AE90="Yes",$AB90,((YEAR($AC90)*12)+MONTH($AC90))-((YEAR($AD90)*12)+MONTH($AD90)-1))))</f>
        <v>6</v>
      </c>
      <c r="AB90" s="146">
        <f ca="1">IF(OR($B90&lt;=Setup!$E$12,$B90&gt;=Setup!$D$12+1),0,((YEAR($AC90)*12)+MONTH($AC90))-((YEAR(Setup!$E$12)*12)+MONTH(Setup!$E$12)))</f>
        <v>6</v>
      </c>
      <c r="AC90" s="186">
        <f t="shared" ca="1" si="32"/>
        <v>45163</v>
      </c>
      <c r="AD90" s="144">
        <f ca="1">IF(ISNA(VLOOKUP($C90,EmpAll,COLUMN(Emp!$E$4),0)),$AC90,IF(VLOOKUP($C90,EmpAll,COLUMN(Emp!$E$4),0)&lt;=Setup!$E$12,DATE(YEAR(Setup!$E$12),MONTH(Setup!$E$12)+1,1),VLOOKUP($C90,EmpAll,COLUMN(Emp!$E$4),0)))</f>
        <v>44986</v>
      </c>
      <c r="AE90" s="144" t="str">
        <f ca="1">IF(ISNA(VLOOKUP($C90,EmpAll,COLUMN(Emp!$G$1),0)),"-",IF(VLOOKUP($C90,EmpAll,COLUMN(Emp!$G$1),0)=0,"-",VLOOKUP($C90,EmpAll,COLUMN(Emp!$G$1),0)))</f>
        <v>-</v>
      </c>
      <c r="AF90" s="145">
        <f ca="1">IF(A90=PaySlip!$G$3,1,0)</f>
        <v>0</v>
      </c>
      <c r="AG90" s="130" cm="1">
        <f t="array" aca="1" ref="AG90" ca="1">IF(COUNTIFS(OverEmp,$C90,OverMed,"MED",OverDate,"&lt;"&amp;DATE(YEAR($AC90),MONTH($AC90)+1,1),OverEnd,"&gt;="&amp;DATE(YEAR($AC90),MONTH($AC90),1))&gt;0,SUMIFS(OverValue,OverEmp,$C90,OverMed,"MED",OverDate,"&lt;"&amp;DATE(YEAR($AC90),MONTH($AC90)+1,1),OverEnd,"&gt;="&amp;DATE(YEAR($AC90),MONTH($AC90),1)),IF(ISNA(VLOOKUP($C90,EmpAll,COLUMN(Emp!$N$4),0)),0,VLOOKUP($C90,EmpAll,COLUMN(Emp!$N$4),0)))</f>
        <v>0</v>
      </c>
      <c r="AH90" s="146">
        <f ca="1">VLOOKUP($AG90,MedList,COLUMN(Setup!$C$49),1)</f>
        <v>0</v>
      </c>
      <c r="AI90" s="146">
        <f t="shared" ca="1" si="40"/>
        <v>0</v>
      </c>
      <c r="AJ90" s="101" t="str">
        <f ca="1">IF(ISNA(VLOOKUP($C90,EmpAll,COLUMN(Emp!$L$4),0)),"None!",VLOOKUP($C90,EmpAll,COLUMN(Emp!$L$4),0))</f>
        <v>A</v>
      </c>
      <c r="AK90" s="147">
        <f t="shared" ca="1" si="33"/>
        <v>17235</v>
      </c>
      <c r="AL90" s="101" t="str">
        <f ca="1">IF(ISNA(VLOOKUP($C90,Employees[],COLUMN(Emp!$M$4),0))=TRUE,"Error!",IF(VLOOKUP($C90,Employees[],COLUMN(Emp!$M$4),0)=0,"Yes",VLOOKUP($C90,Employees[],COLUMN(Emp!$M$4),0)))</f>
        <v>A</v>
      </c>
      <c r="AM90" s="148">
        <f t="shared" ca="1" si="41"/>
        <v>108000</v>
      </c>
      <c r="AN90" s="148" cm="1">
        <f t="array" aca="1" ref="AN90" ca="1">-IF($F90="Terminated",0,IF($AA90=0,0,IF(ISNA(MATCH(AN$5,PayDedList,0)),0,MIN(IF(COUNTIFS(OverEmp,$C90,OverDeduct,AN$5,OverDate,"&lt;"&amp;DATE(YEAR($AC90),MONTH($AC90)+1,1),OverEnd,"&gt;="&amp;DATE(YEAR($AC90),MONTH($AC90),1))&gt;0,SUMPRODUCT((PayEmp=$C90)*(PayDate&lt;=$AC90)*(OFFSET($N$6,1,MATCH(AN$5,PayDedList,0)-1,PayCount,1)))/$AA90*12*AN$3,IF(OR(AN$1="Fixed",AN$1="Not Used"),SUMPRODUCT((PayEmp=$C90)*(PayDate&lt;=$AC90)*(OFFSET($N$6,1,MATCH(AN$5,PayDedList,0)-1,PayCount,1)))/$AA90*12*AN$3,IF(ISNA(MATCH(AN$1,EarnListItem,0))=FALSE,SUMPRODUCT((PayEmp=$C90)*(PayDate&lt;=$AC90)*(OFFSET($N$6,1,MATCH(AN$5,PayDedList,0)-1,PayCount,1)))/$AA90*12*AN$3,(MIN(((SUMPRODUCT((PayEmp=$C90)*(PayDate&lt;=$AC90)*(ISERROR(SEARCH(PayEarnCode,AN$2)))*(PayEarnType="Monthly")*(PayEarnValues))/$AA90*12)+(SUMPRODUCT((PayEmp=$C90)*(PayDate&lt;=$AC90)*(ISERROR(SEARCH(PayEarnCode,AN$2)))*(PayEarnType="Quarterly")*(PayEarnValues))/MAX(1,ROUNDDOWN($AB90/3,0))*4)+(SUMPRODUCT((PayEmp=$C90)*(PayDate&lt;=$AC90)*(ISERROR(SEARCH(PayEarnCode,AN$2)))*(PayEarnType="Bi-Annual")*(PayEarnValues))/MAX(1,ROUNDDOWN($AB90/6,0))*2)+(SUMPRODUCT((PayEmp=$C90)*(PayDate&lt;=$AC90)*(ISERROR(SEARCH(PayEarnCode,AN$2)))*(PayEarnType="Annual")*(PayEarnValues)))),IF(ISNUMBER(OFFSET($N$3,0,MATCH(AN$5,PayDedList,0)-1,1,1)),OFFSET($N$3,0,MATCH(AN$5,PayDedList,0)-1,1,1),IgnoreMin)))*IF(COUNTIFS(EmpNo,$C90,OFFSET(Emp!$R$4,1,MATCH(AN$5,DedListItem,0)-1,EmpCount,1),"&lt;&gt;")&gt;0,VLOOKUP($C90,EmpAll,COLUMN(Emp!$R$4)+MATCH(AN$5,DedListItem,0)-1,0),OFFSET(Setup!$E$73,MATCH(AN$5,DedListItem,0),0,1,1))*AN$3))),IF(ISNUMBER(AN$4),AN$4,IgnoreMin)))))</f>
        <v>0</v>
      </c>
      <c r="AO90" s="148" cm="1">
        <f t="array" aca="1" ref="AO90" ca="1">-IF($F90="Terminated",0,IF($AA90=0,0,IF(ISNA(MATCH(AO$5,PayDedList,0)),0,MIN(IF(COUNTIFS(OverEmp,$C90,OverDeduct,AO$5,OverDate,"&lt;"&amp;DATE(YEAR($AC90),MONTH($AC90)+1,1),OverEnd,"&gt;="&amp;DATE(YEAR($AC90),MONTH($AC90),1))&gt;0,SUMPRODUCT((PayEmp=$C90)*(PayDate&lt;=$AC90)*(OFFSET($N$6,1,MATCH(AO$5,PayDedList,0)-1,PayCount,1)))/$AA90*12*AO$3,IF(OR(AO$1="Fixed",AO$1="Not Used"),SUMPRODUCT((PayEmp=$C90)*(PayDate&lt;=$AC90)*(OFFSET($N$6,1,MATCH(AO$5,PayDedList,0)-1,PayCount,1)))/$AA90*12*AO$3,IF(ISNA(MATCH(AO$1,EarnListItem,0))=FALSE,SUMPRODUCT((PayEmp=$C90)*(PayDate&lt;=$AC90)*(OFFSET($N$6,1,MATCH(AO$5,PayDedList,0)-1,PayCount,1)))/$AA90*12*AO$3,(MIN(((SUMPRODUCT((PayEmp=$C90)*(PayDate&lt;=$AC90)*(ISERROR(SEARCH(PayEarnCode,AO$2)))*(PayEarnType="Monthly")*(PayEarnValues))/$AA90*12)+(SUMPRODUCT((PayEmp=$C90)*(PayDate&lt;=$AC90)*(ISERROR(SEARCH(PayEarnCode,AO$2)))*(PayEarnType="Quarterly")*(PayEarnValues))/MAX(1,ROUNDDOWN($AB90/3,0))*4)+(SUMPRODUCT((PayEmp=$C90)*(PayDate&lt;=$AC90)*(ISERROR(SEARCH(PayEarnCode,AO$2)))*(PayEarnType="Bi-Annual")*(PayEarnValues))/MAX(1,ROUNDDOWN($AB90/6,0))*2)+(SUMPRODUCT((PayEmp=$C90)*(PayDate&lt;=$AC90)*(ISERROR(SEARCH(PayEarnCode,AO$2)))*(PayEarnType="Annual")*(PayEarnValues)))),IF(ISNUMBER(OFFSET($N$3,0,MATCH(AO$5,PayDedList,0)-1,1,1)),OFFSET($N$3,0,MATCH(AO$5,PayDedList,0)-1,1,1),IgnoreMin)))*IF(COUNTIFS(EmpNo,$C90,OFFSET(Emp!$R$4,1,MATCH(AO$5,DedListItem,0)-1,EmpCount,1),"&lt;&gt;")&gt;0,VLOOKUP($C90,EmpAll,COLUMN(Emp!$R$4)+MATCH(AO$5,DedListItem,0)-1,0),OFFSET(Setup!$E$73,MATCH(AO$5,DedListItem,0),0,1,1))*AO$3))),IF(ISNUMBER(AO$4),AO$4,IgnoreMin)))))</f>
        <v>0</v>
      </c>
      <c r="AP90" s="148" cm="1">
        <f t="array" aca="1" ref="AP90" ca="1">-IF($F90="Terminated",0,IF($AA90=0,0,IF(ISNA(MATCH(AP$5,PayDedList,0)),0,MIN(IF(COUNTIFS(OverEmp,$C90,OverDeduct,AP$5,OverDate,"&lt;"&amp;DATE(YEAR($AC90),MONTH($AC90)+1,1),OverEnd,"&gt;="&amp;DATE(YEAR($AC90),MONTH($AC90),1))&gt;0,SUMPRODUCT((PayEmp=$C90)*(PayDate&lt;=$AC90)*(OFFSET($N$6,1,MATCH(AP$5,PayDedList,0)-1,PayCount,1)))/$AA90*12*AP$3,IF(OR(AP$1="Fixed",AP$1="Not Used"),SUMPRODUCT((PayEmp=$C90)*(PayDate&lt;=$AC90)*(OFFSET($N$6,1,MATCH(AP$5,PayDedList,0)-1,PayCount,1)))/$AA90*12*AP$3,IF(ISNA(MATCH(AP$1,EarnListItem,0))=FALSE,SUMPRODUCT((PayEmp=$C90)*(PayDate&lt;=$AC90)*(OFFSET($N$6,1,MATCH(AP$5,PayDedList,0)-1,PayCount,1)))/$AA90*12*AP$3,(MIN(((SUMPRODUCT((PayEmp=$C90)*(PayDate&lt;=$AC90)*(ISERROR(SEARCH(PayEarnCode,AP$2)))*(PayEarnType="Monthly")*(PayEarnValues))/$AA90*12)+(SUMPRODUCT((PayEmp=$C90)*(PayDate&lt;=$AC90)*(ISERROR(SEARCH(PayEarnCode,AP$2)))*(PayEarnType="Quarterly")*(PayEarnValues))/MAX(1,ROUNDDOWN($AB90/3,0))*4)+(SUMPRODUCT((PayEmp=$C90)*(PayDate&lt;=$AC90)*(ISERROR(SEARCH(PayEarnCode,AP$2)))*(PayEarnType="Bi-Annual")*(PayEarnValues))/MAX(1,ROUNDDOWN($AB90/6,0))*2)+(SUMPRODUCT((PayEmp=$C90)*(PayDate&lt;=$AC90)*(ISERROR(SEARCH(PayEarnCode,AP$2)))*(PayEarnType="Annual")*(PayEarnValues)))),IF(ISNUMBER(OFFSET($N$3,0,MATCH(AP$5,PayDedList,0)-1,1,1)),OFFSET($N$3,0,MATCH(AP$5,PayDedList,0)-1,1,1),IgnoreMin)))*IF(COUNTIFS(EmpNo,$C90,OFFSET(Emp!$R$4,1,MATCH(AP$5,DedListItem,0)-1,EmpCount,1),"&lt;&gt;")&gt;0,VLOOKUP($C90,EmpAll,COLUMN(Emp!$R$4)+MATCH(AP$5,DedListItem,0)-1,0),OFFSET(Setup!$E$73,MATCH(AP$5,DedListItem,0),0,1,1))*AP$3))),IF(ISNUMBER(AP$4),AP$4,IgnoreMin)))))</f>
        <v>0</v>
      </c>
      <c r="AQ90" s="148" cm="1">
        <f t="array" aca="1" ref="AQ90" ca="1">-IF($F90="Terminated",0,IF($AA90=0,0,IF(ISNA(MATCH(AQ$5,PayDedList,0)),0,MIN(IF(COUNTIFS(OverEmp,$C90,OverDeduct,AQ$5,OverDate,"&lt;"&amp;DATE(YEAR($AC90),MONTH($AC90)+1,1),OverEnd,"&gt;="&amp;DATE(YEAR($AC90),MONTH($AC90),1))&gt;0,SUMPRODUCT((PayEmp=$C90)*(PayDate&lt;=$AC90)*(OFFSET($N$6,1,MATCH(AQ$5,PayDedList,0)-1,PayCount,1)))/$AA90*12*AQ$3,IF(OR(AQ$1="Fixed",AQ$1="Not Used"),SUMPRODUCT((PayEmp=$C90)*(PayDate&lt;=$AC90)*(OFFSET($N$6,1,MATCH(AQ$5,PayDedList,0)-1,PayCount,1)))/$AA90*12*AQ$3,IF(ISNA(MATCH(AQ$1,EarnListItem,0))=FALSE,SUMPRODUCT((PayEmp=$C90)*(PayDate&lt;=$AC90)*(OFFSET($N$6,1,MATCH(AQ$5,PayDedList,0)-1,PayCount,1)))/$AA90*12*AQ$3,(MIN(((SUMPRODUCT((PayEmp=$C90)*(PayDate&lt;=$AC90)*(ISERROR(SEARCH(PayEarnCode,AQ$2)))*(PayEarnType="Monthly")*(PayEarnValues))/$AA90*12)+(SUMPRODUCT((PayEmp=$C90)*(PayDate&lt;=$AC90)*(ISERROR(SEARCH(PayEarnCode,AQ$2)))*(PayEarnType="Quarterly")*(PayEarnValues))/MAX(1,ROUNDDOWN($AB90/3,0))*4)+(SUMPRODUCT((PayEmp=$C90)*(PayDate&lt;=$AC90)*(ISERROR(SEARCH(PayEarnCode,AQ$2)))*(PayEarnType="Bi-Annual")*(PayEarnValues))/MAX(1,ROUNDDOWN($AB90/6,0))*2)+(SUMPRODUCT((PayEmp=$C90)*(PayDate&lt;=$AC90)*(ISERROR(SEARCH(PayEarnCode,AQ$2)))*(PayEarnType="Annual")*(PayEarnValues)))),IF(ISNUMBER(OFFSET($N$3,0,MATCH(AQ$5,PayDedList,0)-1,1,1)),OFFSET($N$3,0,MATCH(AQ$5,PayDedList,0)-1,1,1),IgnoreMin)))*IF(COUNTIFS(EmpNo,$C90,OFFSET(Emp!$R$4,1,MATCH(AQ$5,DedListItem,0)-1,EmpCount,1),"&lt;&gt;")&gt;0,VLOOKUP($C90,EmpAll,COLUMN(Emp!$R$4)+MATCH(AQ$5,DedListItem,0)-1,0),OFFSET(Setup!$E$73,MATCH(AQ$5,DedListItem,0),0,1,1))*AQ$3))),IF(ISNUMBER(AQ$4),AQ$4,IgnoreMin)))))</f>
        <v>0</v>
      </c>
      <c r="AR90" s="148">
        <f t="shared" ca="1" si="34"/>
        <v>108000</v>
      </c>
      <c r="AS90" s="148">
        <f t="shared" ca="1" si="42"/>
        <v>108000</v>
      </c>
      <c r="AT90" s="148" cm="1">
        <f t="array" aca="1" ref="AT90" ca="1">-IF($F90="Terminated",0,IF($AA90=0,0,IF(ISNA(MATCH(AT$5,PayDedList,0)),0,MIN(IF(COUNTIFS(OverEmp,$C90,OverDeduct,AT$5,OverDate,"&lt;"&amp;DATE(YEAR($AC90),MONTH($AC90)+1,1),OverEnd,"&gt;="&amp;DATE(YEAR($AC90),MONTH($AC90),1))&gt;0,SUMPRODUCT((PayEmp=$C90)*(PayDate&lt;=$AC90)*(OFFSET($N$6,1,MATCH(AT$5,PayDedList,0)-1,PayCount,1)))/$AA90*12*AT$3,IF(OR(AT$1="Fixed",AT$1="Not Used"),SUMPRODUCT((PayEmp=$C90)*(PayDate&lt;=$AC90)*(OFFSET($N$6,1,MATCH(AT$5,PayDedList,0)-1,PayCount,1)))/$AA90*12*AT$3,IF(ISNA(MATCH(OFFSET($N$2,0,MATCH(AT$5,PayDedList,0)-1,1,1),EarnListItem,0))=FALSE,SUMPRODUCT((PayEmp=$C90)*(PayDate&lt;=$AC90)*(OFFSET($N$6,1,MATCH(AT$5,PayDedList,0)-1,PayCount,1)))/$AA90*12*AT$3,(MIN(SUMPRODUCT((PayEmp=$C90)*(PayDate&lt;=$AC90)*(ISERROR(SEARCH(PayEarnCode,AT$2)))*(PayEarnType="Monthly")*(PayEarnValues))/$AA90*12,IF(ISNUMBER(OFFSET($N$3,0,MATCH(AT$5,PayDedList,0)-1,1,1)),OFFSET($N$3,0,MATCH(AT$5,PayDedList,0)-1,1,1),IgnoreMin)))*IF(COUNTIFS(EmpNo,$C90,OFFSET(Emp!$R$4,1,MATCH(AT$5,DedListItem,0)-1,EmpCount,1),"&lt;&gt;")&gt;0,VLOOKUP($C90,EmpAll,COLUMN(Emp!$R$4)+MATCH(AT$5,DedListItem,0)-1,0),OFFSET(Setup!$E$73,MATCH(AT$5,DedListItem,0),0,1,1))*AT$3))),IF(ISNUMBER(AT$4),AT$4,IgnoreMin)))))</f>
        <v>0</v>
      </c>
      <c r="AU90" s="148" cm="1">
        <f t="array" aca="1" ref="AU90" ca="1">-IF($F90="Terminated",0,IF($AA90=0,0,IF(ISNA(MATCH(AU$5,PayDedList,0)),0,MIN(IF(COUNTIFS(OverEmp,$C90,OverDeduct,AU$5,OverDate,"&lt;"&amp;DATE(YEAR($AC90),MONTH($AC90)+1,1),OverEnd,"&gt;="&amp;DATE(YEAR($AC90),MONTH($AC90),1))&gt;0,SUMPRODUCT((PayEmp=$C90)*(PayDate&lt;=$AC90)*(OFFSET($N$6,1,MATCH(AU$5,PayDedList,0)-1,PayCount,1)))/$AA90*12*AU$3,IF(OR(AU$1="Fixed",AU$1="Not Used"),SUMPRODUCT((PayEmp=$C90)*(PayDate&lt;=$AC90)*(OFFSET($N$6,1,MATCH(AU$5,PayDedList,0)-1,PayCount,1)))/$AA90*12*AU$3,IF(ISNA(MATCH(OFFSET($N$2,0,MATCH(AU$5,PayDedList,0)-1,1,1),EarnListItem,0))=FALSE,SUMPRODUCT((PayEmp=$C90)*(PayDate&lt;=$AC90)*(OFFSET($N$6,1,MATCH(AU$5,PayDedList,0)-1,PayCount,1)))/$AA90*12*AU$3,(MIN(SUMPRODUCT((PayEmp=$C90)*(PayDate&lt;=$AC90)*(ISERROR(SEARCH(PayEarnCode,AU$2)))*(PayEarnType="Monthly")*(PayEarnValues))/$AA90*12,IF(ISNUMBER(OFFSET($N$3,0,MATCH(AU$5,PayDedList,0)-1,1,1)),OFFSET($N$3,0,MATCH(AU$5,PayDedList,0)-1,1,1),IgnoreMin)))*IF(COUNTIFS(EmpNo,$C90,OFFSET(Emp!$R$4,1,MATCH(AU$5,DedListItem,0)-1,EmpCount,1),"&lt;&gt;")&gt;0,VLOOKUP($C90,EmpAll,COLUMN(Emp!$R$4)+MATCH(AU$5,DedListItem,0)-1,0),OFFSET(Setup!$E$73,MATCH(AU$5,DedListItem,0),0,1,1))*AU$3))),IF(ISNUMBER(AU$4),AU$4,IgnoreMin)))))</f>
        <v>0</v>
      </c>
      <c r="AV90" s="148" cm="1">
        <f t="array" aca="1" ref="AV90" ca="1">-IF($F90="Terminated",0,IF($AA90=0,0,IF(ISNA(MATCH(AV$5,PayDedList,0)),0,MIN(IF(COUNTIFS(OverEmp,$C90,OverDeduct,AV$5,OverDate,"&lt;"&amp;DATE(YEAR($AC90),MONTH($AC90)+1,1),OverEnd,"&gt;="&amp;DATE(YEAR($AC90),MONTH($AC90),1))&gt;0,SUMPRODUCT((PayEmp=$C90)*(PayDate&lt;=$AC90)*(OFFSET($N$6,1,MATCH(AV$5,PayDedList,0)-1,PayCount,1)))/$AA90*12*AV$3,IF(OR(AV$1="Fixed",AV$1="Not Used"),SUMPRODUCT((PayEmp=$C90)*(PayDate&lt;=$AC90)*(OFFSET($N$6,1,MATCH(AV$5,PayDedList,0)-1,PayCount,1)))/$AA90*12*AV$3,IF(ISNA(MATCH(OFFSET($N$2,0,MATCH(AV$5,PayDedList,0)-1,1,1),EarnListItem,0))=FALSE,SUMPRODUCT((PayEmp=$C90)*(PayDate&lt;=$AC90)*(OFFSET($N$6,1,MATCH(AV$5,PayDedList,0)-1,PayCount,1)))/$AA90*12*AV$3,(MIN(SUMPRODUCT((PayEmp=$C90)*(PayDate&lt;=$AC90)*(ISERROR(SEARCH(PayEarnCode,AV$2)))*(PayEarnType="Monthly")*(PayEarnValues))/$AA90*12,IF(ISNUMBER(OFFSET($N$3,0,MATCH(AV$5,PayDedList,0)-1,1,1)),OFFSET($N$3,0,MATCH(AV$5,PayDedList,0)-1,1,1),IgnoreMin)))*IF(COUNTIFS(EmpNo,$C90,OFFSET(Emp!$R$4,1,MATCH(AV$5,DedListItem,0)-1,EmpCount,1),"&lt;&gt;")&gt;0,VLOOKUP($C90,EmpAll,COLUMN(Emp!$R$4)+MATCH(AV$5,DedListItem,0)-1,0),OFFSET(Setup!$E$73,MATCH(AV$5,DedListItem,0),0,1,1))*AV$3))),IF(ISNUMBER(AV$4),AV$4,IgnoreMin)))))</f>
        <v>0</v>
      </c>
      <c r="AW90" s="148" cm="1">
        <f t="array" aca="1" ref="AW90" ca="1">-IF($F90="Terminated",0,IF($AA90=0,0,IF(ISNA(MATCH(AW$5,PayDedList,0)),0,MIN(IF(COUNTIFS(OverEmp,$C90,OverDeduct,AW$5,OverDate,"&lt;"&amp;DATE(YEAR($AC90),MONTH($AC90)+1,1),OverEnd,"&gt;="&amp;DATE(YEAR($AC90),MONTH($AC90),1))&gt;0,SUMPRODUCT((PayEmp=$C90)*(PayDate&lt;=$AC90)*(OFFSET($N$6,1,MATCH(AW$5,PayDedList,0)-1,PayCount,1)))/$AA90*12*AW$3,IF(OR(AW$1="Fixed",AW$1="Not Used"),SUMPRODUCT((PayEmp=$C90)*(PayDate&lt;=$AC90)*(OFFSET($N$6,1,MATCH(AW$5,PayDedList,0)-1,PayCount,1)))/$AA90*12*AW$3,IF(ISNA(MATCH(OFFSET($N$2,0,MATCH(AW$5,PayDedList,0)-1,1,1),EarnListItem,0))=FALSE,SUMPRODUCT((PayEmp=$C90)*(PayDate&lt;=$AC90)*(OFFSET($N$6,1,MATCH(AW$5,PayDedList,0)-1,PayCount,1)))/$AA90*12*AW$3,(MIN(SUMPRODUCT((PayEmp=$C90)*(PayDate&lt;=$AC90)*(ISERROR(SEARCH(PayEarnCode,AW$2)))*(PayEarnType="Monthly")*(PayEarnValues))/$AA90*12,IF(ISNUMBER(OFFSET($N$3,0,MATCH(AW$5,PayDedList,0)-1,1,1)),OFFSET($N$3,0,MATCH(AW$5,PayDedList,0)-1,1,1),IgnoreMin)))*IF(COUNTIFS(EmpNo,$C90,OFFSET(Emp!$R$4,1,MATCH(AW$5,DedListItem,0)-1,EmpCount,1),"&lt;&gt;")&gt;0,VLOOKUP($C90,EmpAll,COLUMN(Emp!$R$4)+MATCH(AW$5,DedListItem,0)-1,0),OFFSET(Setup!$E$73,MATCH(AW$5,DedListItem,0),0,1,1))*AW$3))),IF(ISNUMBER(AW$4),AW$4,IgnoreMin)))))</f>
        <v>0</v>
      </c>
      <c r="AX90" s="148">
        <f t="shared" ca="1" si="43"/>
        <v>108000</v>
      </c>
      <c r="AY90" s="148">
        <f t="shared" ca="1" si="44"/>
        <v>0</v>
      </c>
      <c r="AZ90" s="148">
        <f ca="1">IF(ISNUMBER($AL90),($AR90*$AL90)-$AI90-$AK90,MAX(0,IF($AL90="B",IF($AR90&lt;Setup!$C$32,($AR90*Setup!$D$32)-$AI90-$AK90,(($AR90-VLOOKUP($AR90,TaxAll2,1,1))*OFFSET(Setup!$D$32,MATCH($AR90,TaxBracket2,1),0,1,1))+OFFSET(Setup!$E$31,MATCH($AR90,TaxBracket2,1),0,1,1)-$AI90-$AK90),IF($AR90&lt;Setup!$C$21,($AR90*Setup!$D$21)-$AI90-$AK90,(($AR90-VLOOKUP($AR90,TaxAll1,1,1))*OFFSET(Setup!$D$21,MATCH($AR90,TaxBracket1,1),0,1,1))+OFFSET(Setup!$E$20,MATCH($AR90,TaxBracket1,1),0,1,1)-$AI90-$AK90))))</f>
        <v>2205</v>
      </c>
      <c r="BA90" s="148">
        <f ca="1">IF(ISNUMBER($AL90),($AX90*$AL90)-$AI90-$AK90,MAX(0,IF($AL90="B",IF($AX90&lt;Setup!$C$32,($AX90*Setup!$D$32)-$AI90-$AK90,(($AX90-VLOOKUP($AX90,TaxAll2,1,1))*OFFSET(Setup!$D$32,MATCH($AX90,TaxBracket2,1),0,1,1))+OFFSET(Setup!$E$31,MATCH($AX90,TaxBracket2,1),0,1,1)-$AI90-$AK90),IF($AX90&lt;Setup!$C$21,($AX90*Setup!$D$21)-$AI90-$AK90,(($AX90-VLOOKUP($AX90,TaxAll1,1,1))*OFFSET(Setup!$D$21,MATCH($AX90,TaxBracket1,1),0,1,1))+OFFSET(Setup!$E$20,MATCH($AX90,TaxBracket1,1),0,1,1)-$AI90-$AK90))))</f>
        <v>2205</v>
      </c>
      <c r="BB90" s="148">
        <f t="shared" ca="1" si="35"/>
        <v>0</v>
      </c>
      <c r="BC90" s="150">
        <f t="shared" ca="1" si="45"/>
        <v>1</v>
      </c>
      <c r="BD90" s="150">
        <f t="shared" ca="1" si="46"/>
        <v>0</v>
      </c>
      <c r="BE90" s="148">
        <f t="shared" ca="1" si="47"/>
        <v>108000</v>
      </c>
    </row>
    <row r="91" spans="1:57" ht="16.149999999999999" customHeight="1" x14ac:dyDescent="0.25">
      <c r="A91" s="10" t="str" cm="1">
        <f t="array" aca="1" ref="A91" ca="1">IF(ROW($A91)-ROW($A$6)&gt;EmpCount*12,"-",TEXT($B91,"yyyy")&amp;TEXT($B91,"mm")&amp;"-"&amp;$C91)</f>
        <v>202308-EXS010</v>
      </c>
      <c r="B91" s="137" cm="1">
        <f t="array" aca="1" ref="B91" ca="1">IF(ROW($A91)-ROW($A$6)&gt;EmpCount*12,Setup!$D$12,DATE(YEAR(Setup!$F$12),MONTH(Setup!$F$12)+ROUNDDOWN((ROW($A91)-ROW($A$6)-1)/EmpCount,0),IF(Setup!$C$14&gt;DAY(DATE(YEAR(Setup!$F$12),MONTH(Setup!$F$12)+ROUNDDOWN((ROW($A91)-ROW($A$6)-1)/EmpCount,0)+1,0)),DAY(DATE(YEAR(Setup!$F$12),MONTH(Setup!$F$12)+ROUNDDOWN((ROW($A91)-ROW($A$6)-1)/EmpCount,0)+1,0)),Setup!$C$14)))</f>
        <v>45163</v>
      </c>
      <c r="C91" s="101" t="str" cm="1">
        <f t="array" aca="1" ref="C91" ca="1">IF(ROW($A91)-ROW($A$6)&gt;EmpCount*12,"-",OFFSET(Emp!$A$4,ROW($A91)-ROW($A$6)-IF(ROW($A91)-ROW($A$6)&gt;EmpCount,ROUNDDOWN((ROW($A91)-ROW($A$6)-1)/EmpCount,0)*EmpCount,0),0,1,1))</f>
        <v>EXS010</v>
      </c>
      <c r="D91" s="10" t="str">
        <f ca="1">IF(ISNA(VLOOKUP($C91,EmpAll,COLUMN(Emp!$B$4),0)),"-",VLOOKUP($C91,EmpAll,COLUMN(Emp!$B$4),0))</f>
        <v>Lewis I</v>
      </c>
      <c r="E91" s="145" t="str">
        <f ca="1">IF(ISNA(VLOOKUP($C91,EmpAll,COLUMN(Emp!$C$4),0)),"-",VLOOKUP($C91,EmpAll,COLUMN(Emp!$C$4),0))</f>
        <v>A</v>
      </c>
      <c r="F91" s="101" t="str">
        <f ca="1">IF(ISNA(VLOOKUP($C91,EmpAll,COLUMN(Emp!$A$4),0)),"-",IF(AND(VLOOKUP($C91,EmpAll,COLUMN(Emp!$E$4),0)&lt;&gt;0,VLOOKUP($C91,EmpAll,COLUMN(Emp!$E$4),0)&gt;=DATE(YEAR($AC91),MONTH($AC91)+1,0)),"Inactive",IF(AND(VLOOKUP($C91,EmpAll,COLUMN(Emp!$F$4),0)&lt;&gt;0,VLOOKUP($C91,EmpAll,COLUMN(Emp!$F$4),0)&lt;=DATE(YEAR($AC91),MONTH($AC91),0)),"Terminated","Active")))</f>
        <v>Active</v>
      </c>
      <c r="G91" s="133" cm="1">
        <f t="array" aca="1" ref="G91" ca="1">IF($F91&lt;&gt;"Active",0,IF(COUNTIFS(OverEmp,$C91,OverEarn,G$2,OverDate,"&lt;"&amp;DATE(YEAR($AC91),MONTH($AC91)+1,1),OverEnd,"&gt;="&amp;DATE(YEAR($AC91),MONTH($AC91),1))&gt;0,SUMIFS(OverValue,OverEmp,$C91,OverEarn,G$2,OverDate,"&lt;"&amp;DATE(YEAR($AC91),MONTH($AC91)+1,1),OverEnd,"&gt;="&amp;DATE(YEAR($AC91),MONTH($AC91),1)),IF(AND($AC91&gt;=Setup!$E$10,SUMIFS(EmpIncrease,EmpCode,$C91)&gt;0),SUMIFS(EmpIncrease,EmpCode,$C91),SUMIFS(EmpSalary,EmpCode,$C91))))</f>
        <v>9000</v>
      </c>
      <c r="H91" s="133" cm="1">
        <f t="array" aca="1" ref="H91" ca="1">IF($F91&lt;&gt;"Active",0,IF(COUNTIFS(OverEmp,$C91,OverEarn,H$2,OverDate,"&lt;"&amp;DATE(YEAR($AC91),MONTH($AC91)+1,1),OverEnd,"&gt;="&amp;DATE(YEAR($AC91),MONTH($AC91),1))&gt;0,SUMIFS(OverValue,OverEmp,$C91,OverEarn,H$2,OverDate,"&lt;"&amp;DATE(YEAR($AC91),MONTH($AC91)+1,1),OverEnd,"&gt;="&amp;DATE(YEAR($AC91),MONTH($AC91),1)),0))</f>
        <v>0</v>
      </c>
      <c r="I91" s="133" cm="1">
        <f t="array" aca="1" ref="I91" ca="1">IF($F91&lt;&gt;"Active",0,IF(COUNTIFS(OverEmp,$C91,OverEarn,I$2,OverDate,"&lt;"&amp;DATE(YEAR($AC91),MONTH($AC91)+1,1),OverEnd,"&gt;="&amp;DATE(YEAR($AC91),MONTH($AC91),1))&gt;0,SUMIFS(OverValue,OverEmp,$C91,OverEarn,I$2,OverDate,"&lt;"&amp;DATE(YEAR($AC91),MONTH($AC91)+1,1),OverEnd,"&gt;="&amp;DATE(YEAR($AC91),MONTH($AC91),1)),IF(MONTH(B91)=Setup!$C$15,SUMIFS(EmpBonus,EmpCode,$C91),0)))</f>
        <v>0</v>
      </c>
      <c r="J91" s="133" cm="1">
        <f t="array" aca="1" ref="J91" ca="1">IF($F91&lt;&gt;"Active",0,IF(COUNTIFS(OverEmp,$C91,OverEarn,J$2,OverDate,"&lt;"&amp;DATE(YEAR($AC91),MONTH($AC91)+1,1),OverEnd,"&gt;="&amp;DATE(YEAR($AC91),MONTH($AC91),1))&gt;0,SUMIFS(OverValue,OverEmp,$C91,OverEarn,J$2,OverDate,"&lt;"&amp;DATE(YEAR($AC91),MONTH($AC91)+1,1),OverEnd,"&gt;="&amp;DATE(YEAR($AC91),MONTH($AC91),1)),0))</f>
        <v>0</v>
      </c>
      <c r="K91" s="133" cm="1">
        <f t="array" aca="1" ref="K91" ca="1">IF($F91&lt;&gt;"Active",0,IF(COUNTIFS(OverEmp,$C91,OverEarn,K$2,OverDate,"&lt;"&amp;DATE(YEAR($AC91),MONTH($AC91)+1,1),OverEnd,"&gt;="&amp;DATE(YEAR($AC91),MONTH($AC91),1))&gt;0,SUMIFS(OverValue,OverEmp,$C91,OverEarn,K$2,OverDate,"&lt;"&amp;DATE(YEAR($AC91),MONTH($AC91)+1,1),OverEnd,"&gt;="&amp;DATE(YEAR($AC91),MONTH($AC91),1)),0))</f>
        <v>0</v>
      </c>
      <c r="L91" s="185">
        <f t="shared" ca="1" si="36"/>
        <v>9000</v>
      </c>
      <c r="M91" s="182" cm="1">
        <f t="array" aca="1" ref="M91" ca="1">IF(COUNTIFS(OverEmp,$C91,OverTax,M$5,OverDate,"&lt;"&amp;DATE(YEAR($AC91),MONTH($AC91)+1,1),OverEnd,"&gt;="&amp;DATE(YEAR($AC91),MONTH($AC91),1))&gt;0,SUMIFS(OverValue,OverEmp,$C91,OverTax,M$5,OverDate,"&lt;"&amp;DATE(YEAR($AC91),MONTH($AC91)+1,1),OverEnd,"&gt;="&amp;DATE(YEAR($AC91),MONTH($AC91),1)),(($BA91/12*$AA91)+(BB91*IF(1-$BC91=0,0,BD91/(1-$BC91))))-IF($F91="Terminated",0,SUMIFS(PayTaxDeduct,PayDate,"&lt;"&amp;$AC91,PayEmp,$C91)))</f>
        <v>183.75</v>
      </c>
      <c r="N91" s="133" cm="1">
        <f t="array" aca="1" ref="N91" ca="1">IF($F91="Terminated",0,IF($AA91=0,0,IF(ISNA(MATCH(N$5,DedListItem,0)),0,IF(COUNTIFS(OverEmp,$C91,OverDeduct,N$5,OverDate,"&lt;"&amp;DATE(YEAR($AC91),MONTH($AC91)+1,1),OverEnd,"&gt;="&amp;DATE(YEAR($AC91),MONTH($AC91),1))&gt;0,SUMIFS(OverValue,OverEmp,$C91,OverDeduct,N$5,OverDate,"&lt;"&amp;DATE(YEAR($AC91),MONTH($AC91)+1,1),OverEnd,"&gt;="&amp;DATE(YEAR($AC91),MONTH($AC91),1)),IF(OR(N$2="Fixed",N$2="Not Used"),(IF(COUNTIFS(EmpNo,$C91,OFFSET(Emp!$R$4,1,MATCH(N$5,DedListItem,0)-1,EmpCount,1),"&lt;&gt;")&gt;0,VLOOKUP($C91,EmpAll,COLUMN(Emp!$R$4)+MATCH(N$5,DedListItem,0)-1,0),OFFSET(Setup!$E$73,MATCH(N$5,DedListItem,0),0,1,1))*$AA91)-SUMIFS(OFFSET(N$6,1,0,PayCount,1),PayDate,"&lt;"&amp;$AC91,PayEmp,$C91),IF(ISNA(MATCH(N$2,EarnListItem,0))=FALSE,IF(OFFSET(Setup!$G$73,MATCH(N$5,DedListItem,0),0,1,1)="Taxable",SUMPRODUCT((PayEmp=$C91)*(PayDate&lt;=$AC91)*(PayEarnCode=N$2)*(PayEarnTax)*(PayEarnValues)),SUMPRODUCT((PayEmp=$C91)*(PayDate&lt;=$AC91)*(PayEarnCode=N$2)*(PayEarnValues)))*IF(COUNTIFS(EmpNo,$C91,OFFSET(Emp!$R$4,1,MATCH(N$5,DedListItem,0)-1,EmpCount,1),"&lt;&gt;")&gt;0,VLOOKUP($C91,EmpAll,COLUMN(Emp!$R$4)+MATCH(N$5,DedListItem,0)-1,0),OFFSET(Setup!$E$73,MATCH(N$5,DedListItem,0),0,1,1)),(MIN(IF(OFFSET(Setup!$G$73,MATCH(N$5,DedListItem,0),0,1,1)="Taxable",SUMPRODUCT((PayEmp=$C91)*(PayDate&lt;=$AC91)*(ISERROR(SEARCH(PayEarnCode,N$4)))*(PayEarnTax)*(PayEarnValues)),SUMPRODUCT((PayEmp=$C91)*(PayDate&lt;=$AC91)*(ISERROR(SEARCH(PayEarnCode,N$4)))*(PayEarnValues))),IF(ISNUMBER(N$3),N$3/12*$AA91,IgnoreMin)))*IF(COUNTIFS(EmpNo,$C91,OFFSET(Emp!$R$4,1,MATCH(N$5,DedListItem,0)-1,EmpCount,1),"&lt;&gt;")&gt;0,VLOOKUP($C91,EmpAll,COLUMN(Emp!$R$4)+MATCH(N$5,DedListItem,0)-1,0),OFFSET(Setup!$E$73,MATCH(N$5,DedListItem,0),0,1,1)))-SUMIFS(OFFSET(N$6,1,0,PayCount,1),PayDate,"&lt;"&amp;$AC91,PayEmp,$C91))))))</f>
        <v>90</v>
      </c>
      <c r="O91" s="133" cm="1">
        <f t="array" aca="1" ref="O91" ca="1">IF($F91="Terminated",0,IF($AA91=0,0,IF(ISNA(MATCH(O$5,DedListItem,0)),0,IF(COUNTIFS(OverEmp,$C91,OverDeduct,O$5,OverDate,"&lt;"&amp;DATE(YEAR($AC91),MONTH($AC91)+1,1),OverEnd,"&gt;="&amp;DATE(YEAR($AC91),MONTH($AC91),1))&gt;0,SUMIFS(OverValue,OverEmp,$C91,OverDeduct,O$5,OverDate,"&lt;"&amp;DATE(YEAR($AC91),MONTH($AC91)+1,1),OverEnd,"&gt;="&amp;DATE(YEAR($AC91),MONTH($AC91),1)),IF(OR(O$2="Fixed",O$2="Not Used"),(IF(COUNTIFS(EmpNo,$C91,OFFSET(Emp!$R$4,1,MATCH(O$5,DedListItem,0)-1,EmpCount,1),"&lt;&gt;")&gt;0,VLOOKUP($C91,EmpAll,COLUMN(Emp!$R$4)+MATCH(O$5,DedListItem,0)-1,0),OFFSET(Setup!$E$73,MATCH(O$5,DedListItem,0),0,1,1))*$AA91)-SUMIFS(OFFSET(O$6,1,0,PayCount,1),PayDate,"&lt;"&amp;$AC91,PayEmp,$C91),IF(ISNA(MATCH(O$2,EarnListItem,0))=FALSE,IF(OFFSET(Setup!$G$73,MATCH(O$5,DedListItem,0),0,1,1)="Taxable",SUMPRODUCT((PayEmp=$C91)*(PayDate&lt;=$AC91)*(PayEarnCode=O$2)*(PayEarnTax)*(PayEarnValues)),SUMPRODUCT((PayEmp=$C91)*(PayDate&lt;=$AC91)*(PayEarnCode=O$2)*(PayEarnValues)))*IF(COUNTIFS(EmpNo,$C91,OFFSET(Emp!$R$4,1,MATCH(O$5,DedListItem,0)-1,EmpCount,1),"&lt;&gt;")&gt;0,VLOOKUP($C91,EmpAll,COLUMN(Emp!$R$4)+MATCH(O$5,DedListItem,0)-1,0),OFFSET(Setup!$E$73,MATCH(O$5,DedListItem,0),0,1,1)),(MIN(IF(OFFSET(Setup!$G$73,MATCH(O$5,DedListItem,0),0,1,1)="Taxable",SUMPRODUCT((PayEmp=$C91)*(PayDate&lt;=$AC91)*(ISERROR(SEARCH(PayEarnCode,O$4)))*(PayEarnTax)*(PayEarnValues)),SUMPRODUCT((PayEmp=$C91)*(PayDate&lt;=$AC91)*(ISERROR(SEARCH(PayEarnCode,O$4)))*(PayEarnValues))),IF(ISNUMBER(O$3),O$3/12*$AA91,IgnoreMin)))*IF(COUNTIFS(EmpNo,$C91,OFFSET(Emp!$R$4,1,MATCH(O$5,DedListItem,0)-1,EmpCount,1),"&lt;&gt;")&gt;0,VLOOKUP($C91,EmpAll,COLUMN(Emp!$R$4)+MATCH(O$5,DedListItem,0)-1,0),OFFSET(Setup!$E$73,MATCH(O$5,DedListItem,0),0,1,1)))-SUMIFS(OFFSET(O$6,1,0,PayCount,1),PayDate,"&lt;"&amp;$AC91,PayEmp,$C91))))))</f>
        <v>0</v>
      </c>
      <c r="P91" s="133" cm="1">
        <f t="array" aca="1" ref="P91" ca="1">IF($F91="Terminated",0,IF($AA91=0,0,IF(ISNA(MATCH(P$5,DedListItem,0)),0,IF(COUNTIFS(OverEmp,$C91,OverDeduct,P$5,OverDate,"&lt;"&amp;DATE(YEAR($AC91),MONTH($AC91)+1,1),OverEnd,"&gt;="&amp;DATE(YEAR($AC91),MONTH($AC91),1))&gt;0,SUMIFS(OverValue,OverEmp,$C91,OverDeduct,P$5,OverDate,"&lt;"&amp;DATE(YEAR($AC91),MONTH($AC91)+1,1),OverEnd,"&gt;="&amp;DATE(YEAR($AC91),MONTH($AC91),1)),IF(OR(P$2="Fixed",P$2="Not Used"),(IF(COUNTIFS(EmpNo,$C91,OFFSET(Emp!$R$4,1,MATCH(P$5,DedListItem,0)-1,EmpCount,1),"&lt;&gt;")&gt;0,VLOOKUP($C91,EmpAll,COLUMN(Emp!$R$4)+MATCH(P$5,DedListItem,0)-1,0),OFFSET(Setup!$E$73,MATCH(P$5,DedListItem,0),0,1,1))*$AA91)-SUMIFS(OFFSET(P$6,1,0,PayCount,1),PayDate,"&lt;"&amp;$AC91,PayEmp,$C91),IF(ISNA(MATCH(P$2,EarnListItem,0))=FALSE,IF(OFFSET(Setup!$G$73,MATCH(P$5,DedListItem,0),0,1,1)="Taxable",SUMPRODUCT((PayEmp=$C91)*(PayDate&lt;=$AC91)*(PayEarnCode=P$2)*(PayEarnTax)*(PayEarnValues)),SUMPRODUCT((PayEmp=$C91)*(PayDate&lt;=$AC91)*(PayEarnCode=P$2)*(PayEarnValues)))*IF(COUNTIFS(EmpNo,$C91,OFFSET(Emp!$R$4,1,MATCH(P$5,DedListItem,0)-1,EmpCount,1),"&lt;&gt;")&gt;0,VLOOKUP($C91,EmpAll,COLUMN(Emp!$R$4)+MATCH(P$5,DedListItem,0)-1,0),OFFSET(Setup!$E$73,MATCH(P$5,DedListItem,0),0,1,1)),(MIN(IF(OFFSET(Setup!$G$73,MATCH(P$5,DedListItem,0),0,1,1)="Taxable",SUMPRODUCT((PayEmp=$C91)*(PayDate&lt;=$AC91)*(ISERROR(SEARCH(PayEarnCode,P$4)))*(PayEarnTax)*(PayEarnValues)),SUMPRODUCT((PayEmp=$C91)*(PayDate&lt;=$AC91)*(ISERROR(SEARCH(PayEarnCode,P$4)))*(PayEarnValues))),IF(ISNUMBER(P$3),P$3/12*$AA91,IgnoreMin)))*IF(COUNTIFS(EmpNo,$C91,OFFSET(Emp!$R$4,1,MATCH(P$5,DedListItem,0)-1,EmpCount,1),"&lt;&gt;")&gt;0,VLOOKUP($C91,EmpAll,COLUMN(Emp!$R$4)+MATCH(P$5,DedListItem,0)-1,0),OFFSET(Setup!$E$73,MATCH(P$5,DedListItem,0),0,1,1)))-SUMIFS(OFFSET(P$6,1,0,PayCount,1),PayDate,"&lt;"&amp;$AC91,PayEmp,$C91))))))</f>
        <v>0</v>
      </c>
      <c r="Q91" s="133" cm="1">
        <f t="array" aca="1" ref="Q91" ca="1">IF($F91="Terminated",0,IF($AA91=0,0,IF(ISNA(MATCH(Q$5,DedListItem,0)),0,IF(COUNTIFS(OverEmp,$C91,OverDeduct,Q$5,OverDate,"&lt;"&amp;DATE(YEAR($AC91),MONTH($AC91)+1,1),OverEnd,"&gt;="&amp;DATE(YEAR($AC91),MONTH($AC91),1))&gt;0,SUMIFS(OverValue,OverEmp,$C91,OverDeduct,Q$5,OverDate,"&lt;"&amp;DATE(YEAR($AC91),MONTH($AC91)+1,1),OverEnd,"&gt;="&amp;DATE(YEAR($AC91),MONTH($AC91),1)),IF(OR(Q$2="Fixed",Q$2="Not Used"),(IF(COUNTIFS(EmpNo,$C91,OFFSET(Emp!$R$4,1,MATCH(Q$5,DedListItem,0)-1,EmpCount,1),"&lt;&gt;")&gt;0,VLOOKUP($C91,EmpAll,COLUMN(Emp!$R$4)+MATCH(Q$5,DedListItem,0)-1,0),OFFSET(Setup!$E$73,MATCH(Q$5,DedListItem,0),0,1,1))*$AA91)-SUMIFS(OFFSET(Q$6,1,0,PayCount,1),PayDate,"&lt;"&amp;$AC91,PayEmp,$C91),IF(ISNA(MATCH(Q$2,EarnListItem,0))=FALSE,IF(OFFSET(Setup!$G$73,MATCH(Q$5,DedListItem,0),0,1,1)="Taxable",SUMPRODUCT((PayEmp=$C91)*(PayDate&lt;=$AC91)*(PayEarnCode=Q$2)*(PayEarnTax)*(PayEarnValues)),SUMPRODUCT((PayEmp=$C91)*(PayDate&lt;=$AC91)*(PayEarnCode=Q$2)*(PayEarnValues)))*IF(COUNTIFS(EmpNo,$C91,OFFSET(Emp!$R$4,1,MATCH(Q$5,DedListItem,0)-1,EmpCount,1),"&lt;&gt;")&gt;0,VLOOKUP($C91,EmpAll,COLUMN(Emp!$R$4)+MATCH(Q$5,DedListItem,0)-1,0),OFFSET(Setup!$E$73,MATCH(Q$5,DedListItem,0),0,1,1)),(MIN(IF(OFFSET(Setup!$G$73,MATCH(Q$5,DedListItem,0),0,1,1)="Taxable",SUMPRODUCT((PayEmp=$C91)*(PayDate&lt;=$AC91)*(ISERROR(SEARCH(PayEarnCode,Q$4)))*(PayEarnTax)*(PayEarnValues)),SUMPRODUCT((PayEmp=$C91)*(PayDate&lt;=$AC91)*(ISERROR(SEARCH(PayEarnCode,Q$4)))*(PayEarnValues))),IF(ISNUMBER(Q$3),Q$3/12*$AA91,IgnoreMin)))*IF(COUNTIFS(EmpNo,$C91,OFFSET(Emp!$R$4,1,MATCH(Q$5,DedListItem,0)-1,EmpCount,1),"&lt;&gt;")&gt;0,VLOOKUP($C91,EmpAll,COLUMN(Emp!$R$4)+MATCH(Q$5,DedListItem,0)-1,0),OFFSET(Setup!$E$73,MATCH(Q$5,DedListItem,0),0,1,1)))-SUMIFS(OFFSET(Q$6,1,0,PayCount,1),PayDate,"&lt;"&amp;$AC91,PayEmp,$C91))))))</f>
        <v>0</v>
      </c>
      <c r="R91" s="185">
        <f t="shared" ca="1" si="37"/>
        <v>273.75</v>
      </c>
      <c r="S91" s="139">
        <f t="shared" ca="1" si="38"/>
        <v>8726.25</v>
      </c>
      <c r="T91" s="133" cm="1">
        <f t="array" aca="1" ref="T91" ca="1">IF($F91="Terminated",0,IF($AA91=0,0,IF(ISNA(MATCH(T$5,CompListItem,0)),0,IF(COUNTIFS(OverEmp,$C91,OverComp,T$5,OverDate,"&lt;"&amp;DATE(YEAR($AC91),MONTH($AC91)+1,1),OverEnd,"&gt;="&amp;DATE(YEAR($AC91),MONTH($AC91),1))&gt;0,SUMIFS(OverValue,OverEmp,$C91,OverComp,T$5,OverDate,"&lt;"&amp;DATE(YEAR($AC91),MONTH($AC91)+1,1),OverEnd,"&gt;="&amp;DATE(YEAR($AC91),MONTH($AC91),1)),IF(OR(T$2="Fixed",T$2="Not Used"),(OFFSET(Setup!$E$81,MATCH(T$5,CompListItem,0),0,1,1)*$AA91)-SUMIFS(OFFSET(T$6,1,0,PayCount,1),PayDate,"&lt;"&amp;$AC91,PayEmp,$C91),IF(ISNA(MATCH(T$2,DedListItem,0))=FALSE,(SUMPRODUCT((PayEmp=$C91)*(PayDate&lt;=$AC91)*(PayDedList=T$2)*(PayDedValues))*OFFSET(Setup!$E$81,MATCH(T$5,CompListItem,0),0,1,1))-SUMIFS(OFFSET(T$6,1,0,PayCount,1),PayDate,"&lt;"&amp;$AC91,PayEmp,$C91),(MIN(IF(OFFSET(Setup!$G$81,MATCH(T$5,CompListItem,0),0,1,1)="Taxable",SUMPRODUCT((PayEmp=$C91)*(PayDate&lt;=$AC91)*(ISERROR(SEARCH(PayEarnCode,T$4)))*(PayEarnTax)*(PayEarnValues)),SUMPRODUCT((PayEmp=$C91)*(PayDate&lt;=$AC91)*(ISERROR(SEARCH(PayEarnCode,T$4)))*(PayEarnValues))),IF(ISNUMBER(T$3),T$3/12*$AA91,IgnoreMin)))*OFFSET(Setup!$E$81,MATCH(T$5,CompListItem,0),0,1,1)-SUMIFS(OFFSET(T$6,1,0,PayCount,1),PayDate,"&lt;"&amp;$AC91,PayEmp,$C91)))))))</f>
        <v>90</v>
      </c>
      <c r="U91" s="133" cm="1">
        <f t="array" aca="1" ref="U91" ca="1">IF($F91="Terminated",0,IF($AA91=0,0,IF(ISNA(MATCH(U$5,CompListItem,0)),0,IF(COUNTIFS(OverEmp,$C91,OverComp,U$5,OverDate,"&lt;"&amp;DATE(YEAR($AC91),MONTH($AC91)+1,1),OverEnd,"&gt;="&amp;DATE(YEAR($AC91),MONTH($AC91),1))&gt;0,SUMIFS(OverValue,OverEmp,$C91,OverComp,U$5,OverDate,"&lt;"&amp;DATE(YEAR($AC91),MONTH($AC91)+1,1),OverEnd,"&gt;="&amp;DATE(YEAR($AC91),MONTH($AC91),1)),IF(OR(U$2="Fixed",U$2="Not Used"),(OFFSET(Setup!$E$81,MATCH(U$5,CompListItem,0),0,1,1)*$AA91)-SUMIFS(OFFSET(U$6,1,0,PayCount,1),PayDate,"&lt;"&amp;$AC91,PayEmp,$C91),IF(ISNA(MATCH(U$2,DedListItem,0))=FALSE,(SUMPRODUCT((PayEmp=$C91)*(PayDate&lt;=$AC91)*(PayDedList=U$2)*(PayDedValues))*OFFSET(Setup!$E$81,MATCH(U$5,CompListItem,0),0,1,1))-SUMIFS(OFFSET(U$6,1,0,PayCount,1),PayDate,"&lt;"&amp;$AC91,PayEmp,$C91),(MIN(IF(OFFSET(Setup!$G$81,MATCH(U$5,CompListItem,0),0,1,1)="Taxable",SUMPRODUCT((PayEmp=$C91)*(PayDate&lt;=$AC91)*(ISERROR(SEARCH(PayEarnCode,U$4)))*(PayEarnTax)*(PayEarnValues)),SUMPRODUCT((PayEmp=$C91)*(PayDate&lt;=$AC91)*(ISERROR(SEARCH(PayEarnCode,U$4)))*(PayEarnValues))),IF(ISNUMBER(U$3),U$3/12*$AA91,IgnoreMin)))*OFFSET(Setup!$E$81,MATCH(U$5,CompListItem,0),0,1,1)-SUMIFS(OFFSET(U$6,1,0,PayCount,1),PayDate,"&lt;"&amp;$AC91,PayEmp,$C91)))))))</f>
        <v>90</v>
      </c>
      <c r="V91" s="133" cm="1">
        <f t="array" aca="1" ref="V91" ca="1">IF($F91="Terminated",0,IF($AA91=0,0,IF(ISNA(MATCH(V$5,CompListItem,0)),0,IF(COUNTIFS(OverEmp,$C91,OverComp,V$5,OverDate,"&lt;"&amp;DATE(YEAR($AC91),MONTH($AC91)+1,1),OverEnd,"&gt;="&amp;DATE(YEAR($AC91),MONTH($AC91),1))&gt;0,SUMIFS(OverValue,OverEmp,$C91,OverComp,V$5,OverDate,"&lt;"&amp;DATE(YEAR($AC91),MONTH($AC91)+1,1),OverEnd,"&gt;="&amp;DATE(YEAR($AC91),MONTH($AC91),1)),IF(OR(V$2="Fixed",V$2="Not Used"),(OFFSET(Setup!$E$81,MATCH(V$5,CompListItem,0),0,1,1)*$AA91)-SUMIFS(OFFSET(V$6,1,0,PayCount,1),PayDate,"&lt;"&amp;$AC91,PayEmp,$C91),IF(ISNA(MATCH(V$2,DedListItem,0))=FALSE,(SUMPRODUCT((PayEmp=$C91)*(PayDate&lt;=$AC91)*(PayDedList=V$2)*(PayDedValues))*OFFSET(Setup!$E$81,MATCH(V$5,CompListItem,0),0,1,1))-SUMIFS(OFFSET(V$6,1,0,PayCount,1),PayDate,"&lt;"&amp;$AC91,PayEmp,$C91),(MIN(IF(OFFSET(Setup!$G$81,MATCH(V$5,CompListItem,0),0,1,1)="Taxable",SUMPRODUCT((PayEmp=$C91)*(PayDate&lt;=$AC91)*(ISERROR(SEARCH(PayEarnCode,V$4)))*(PayEarnTax)*(PayEarnValues)),SUMPRODUCT((PayEmp=$C91)*(PayDate&lt;=$AC91)*(ISERROR(SEARCH(PayEarnCode,V$4)))*(PayEarnValues))),IF(ISNUMBER(V$3),V$3/12*$AA91,IgnoreMin)))*OFFSET(Setup!$E$81,MATCH(V$5,CompListItem,0),0,1,1)-SUMIFS(OFFSET(V$6,1,0,PayCount,1),PayDate,"&lt;"&amp;$AC91,PayEmp,$C91)))))))</f>
        <v>0</v>
      </c>
      <c r="W91" s="133" cm="1">
        <f t="array" aca="1" ref="W91" ca="1">IF($F91="Terminated",0,IF($AA91=0,0,IF(ISNA(MATCH(W$5,CompListItem,0)),0,IF(COUNTIFS(OverEmp,$C91,OverComp,W$5,OverDate,"&lt;"&amp;DATE(YEAR($AC91),MONTH($AC91)+1,1),OverEnd,"&gt;="&amp;DATE(YEAR($AC91),MONTH($AC91),1))&gt;0,SUMIFS(OverValue,OverEmp,$C91,OverComp,W$5,OverDate,"&lt;"&amp;DATE(YEAR($AC91),MONTH($AC91)+1,1),OverEnd,"&gt;="&amp;DATE(YEAR($AC91),MONTH($AC91),1)),IF(OR(W$2="Fixed",W$2="Not Used"),(OFFSET(Setup!$E$81,MATCH(W$5,CompListItem,0),0,1,1)*$AA91)-SUMIFS(OFFSET(W$6,1,0,PayCount,1),PayDate,"&lt;"&amp;$AC91,PayEmp,$C91),IF(ISNA(MATCH(W$2,DedListItem,0))=FALSE,(SUMPRODUCT((PayEmp=$C91)*(PayDate&lt;=$AC91)*(PayDedList=W$2)*(PayDedValues))*OFFSET(Setup!$E$81,MATCH(W$5,CompListItem,0),0,1,1))-SUMIFS(OFFSET(W$6,1,0,PayCount,1),PayDate,"&lt;"&amp;$AC91,PayEmp,$C91),(MIN(IF(OFFSET(Setup!$G$81,MATCH(W$5,CompListItem,0),0,1,1)="Taxable",SUMPRODUCT((PayEmp=$C91)*(PayDate&lt;=$AC91)*(ISERROR(SEARCH(PayEarnCode,W$4)))*(PayEarnTax)*(PayEarnValues)),SUMPRODUCT((PayEmp=$C91)*(PayDate&lt;=$AC91)*(ISERROR(SEARCH(PayEarnCode,W$4)))*(PayEarnValues))),IF(ISNUMBER(W$3),W$3/12*$AA91,IgnoreMin)))*OFFSET(Setup!$E$81,MATCH(W$5,CompListItem,0),0,1,1)-SUMIFS(OFFSET(W$6,1,0,PayCount,1),PayDate,"&lt;"&amp;$AC91,PayEmp,$C91)))))))</f>
        <v>0</v>
      </c>
      <c r="X91" s="185">
        <f t="shared" ca="1" si="30"/>
        <v>180</v>
      </c>
      <c r="Y91" s="139">
        <f t="shared" ca="1" si="39"/>
        <v>9180</v>
      </c>
      <c r="Z91" s="139">
        <f t="shared" ca="1" si="31"/>
        <v>453.75</v>
      </c>
      <c r="AA91" s="146">
        <f ca="1">IF(OR($B91&lt;=Setup!$E$12,$B91&gt;=Setup!$D$12+1),0,IF($F91&lt;&gt;"Active",0,IF($AE91="Yes",$AB91,((YEAR($AC91)*12)+MONTH($AC91))-((YEAR($AD91)*12)+MONTH($AD91)-1))))</f>
        <v>6</v>
      </c>
      <c r="AB91" s="146">
        <f ca="1">IF(OR($B91&lt;=Setup!$E$12,$B91&gt;=Setup!$D$12+1),0,((YEAR($AC91)*12)+MONTH($AC91))-((YEAR(Setup!$E$12)*12)+MONTH(Setup!$E$12)))</f>
        <v>6</v>
      </c>
      <c r="AC91" s="186">
        <f t="shared" ca="1" si="32"/>
        <v>45163</v>
      </c>
      <c r="AD91" s="144">
        <f ca="1">IF(ISNA(VLOOKUP($C91,EmpAll,COLUMN(Emp!$E$4),0)),$AC91,IF(VLOOKUP($C91,EmpAll,COLUMN(Emp!$E$4),0)&lt;=Setup!$E$12,DATE(YEAR(Setup!$E$12),MONTH(Setup!$E$12)+1,1),VLOOKUP($C91,EmpAll,COLUMN(Emp!$E$4),0)))</f>
        <v>44986</v>
      </c>
      <c r="AE91" s="144" t="str">
        <f ca="1">IF(ISNA(VLOOKUP($C91,EmpAll,COLUMN(Emp!$G$1),0)),"-",IF(VLOOKUP($C91,EmpAll,COLUMN(Emp!$G$1),0)=0,"-",VLOOKUP($C91,EmpAll,COLUMN(Emp!$G$1),0)))</f>
        <v>-</v>
      </c>
      <c r="AF91" s="145">
        <f ca="1">IF(A91=PaySlip!$G$3,1,0)</f>
        <v>0</v>
      </c>
      <c r="AG91" s="130" cm="1">
        <f t="array" aca="1" ref="AG91" ca="1">IF(COUNTIFS(OverEmp,$C91,OverMed,"MED",OverDate,"&lt;"&amp;DATE(YEAR($AC91),MONTH($AC91)+1,1),OverEnd,"&gt;="&amp;DATE(YEAR($AC91),MONTH($AC91),1))&gt;0,SUMIFS(OverValue,OverEmp,$C91,OverMed,"MED",OverDate,"&lt;"&amp;DATE(YEAR($AC91),MONTH($AC91)+1,1),OverEnd,"&gt;="&amp;DATE(YEAR($AC91),MONTH($AC91),1)),IF(ISNA(VLOOKUP($C91,EmpAll,COLUMN(Emp!$N$4),0)),0,VLOOKUP($C91,EmpAll,COLUMN(Emp!$N$4),0)))</f>
        <v>0</v>
      </c>
      <c r="AH91" s="146">
        <f ca="1">VLOOKUP($AG91,MedList,COLUMN(Setup!$C$49),1)</f>
        <v>0</v>
      </c>
      <c r="AI91" s="146">
        <f t="shared" ca="1" si="40"/>
        <v>0</v>
      </c>
      <c r="AJ91" s="101" t="str">
        <f ca="1">IF(ISNA(VLOOKUP($C91,EmpAll,COLUMN(Emp!$L$4),0)),"None!",VLOOKUP($C91,EmpAll,COLUMN(Emp!$L$4),0))</f>
        <v>A</v>
      </c>
      <c r="AK91" s="147">
        <f t="shared" ca="1" si="33"/>
        <v>17235</v>
      </c>
      <c r="AL91" s="101" t="str">
        <f ca="1">IF(ISNA(VLOOKUP($C91,Employees[],COLUMN(Emp!$M$4),0))=TRUE,"Error!",IF(VLOOKUP($C91,Employees[],COLUMN(Emp!$M$4),0)=0,"Yes",VLOOKUP($C91,Employees[],COLUMN(Emp!$M$4),0)))</f>
        <v>A</v>
      </c>
      <c r="AM91" s="148">
        <f t="shared" ca="1" si="41"/>
        <v>108000</v>
      </c>
      <c r="AN91" s="148" cm="1">
        <f t="array" aca="1" ref="AN91" ca="1">-IF($F91="Terminated",0,IF($AA91=0,0,IF(ISNA(MATCH(AN$5,PayDedList,0)),0,MIN(IF(COUNTIFS(OverEmp,$C91,OverDeduct,AN$5,OverDate,"&lt;"&amp;DATE(YEAR($AC91),MONTH($AC91)+1,1),OverEnd,"&gt;="&amp;DATE(YEAR($AC91),MONTH($AC91),1))&gt;0,SUMPRODUCT((PayEmp=$C91)*(PayDate&lt;=$AC91)*(OFFSET($N$6,1,MATCH(AN$5,PayDedList,0)-1,PayCount,1)))/$AA91*12*AN$3,IF(OR(AN$1="Fixed",AN$1="Not Used"),SUMPRODUCT((PayEmp=$C91)*(PayDate&lt;=$AC91)*(OFFSET($N$6,1,MATCH(AN$5,PayDedList,0)-1,PayCount,1)))/$AA91*12*AN$3,IF(ISNA(MATCH(AN$1,EarnListItem,0))=FALSE,SUMPRODUCT((PayEmp=$C91)*(PayDate&lt;=$AC91)*(OFFSET($N$6,1,MATCH(AN$5,PayDedList,0)-1,PayCount,1)))/$AA91*12*AN$3,(MIN(((SUMPRODUCT((PayEmp=$C91)*(PayDate&lt;=$AC91)*(ISERROR(SEARCH(PayEarnCode,AN$2)))*(PayEarnType="Monthly")*(PayEarnValues))/$AA91*12)+(SUMPRODUCT((PayEmp=$C91)*(PayDate&lt;=$AC91)*(ISERROR(SEARCH(PayEarnCode,AN$2)))*(PayEarnType="Quarterly")*(PayEarnValues))/MAX(1,ROUNDDOWN($AB91/3,0))*4)+(SUMPRODUCT((PayEmp=$C91)*(PayDate&lt;=$AC91)*(ISERROR(SEARCH(PayEarnCode,AN$2)))*(PayEarnType="Bi-Annual")*(PayEarnValues))/MAX(1,ROUNDDOWN($AB91/6,0))*2)+(SUMPRODUCT((PayEmp=$C91)*(PayDate&lt;=$AC91)*(ISERROR(SEARCH(PayEarnCode,AN$2)))*(PayEarnType="Annual")*(PayEarnValues)))),IF(ISNUMBER(OFFSET($N$3,0,MATCH(AN$5,PayDedList,0)-1,1,1)),OFFSET($N$3,0,MATCH(AN$5,PayDedList,0)-1,1,1),IgnoreMin)))*IF(COUNTIFS(EmpNo,$C91,OFFSET(Emp!$R$4,1,MATCH(AN$5,DedListItem,0)-1,EmpCount,1),"&lt;&gt;")&gt;0,VLOOKUP($C91,EmpAll,COLUMN(Emp!$R$4)+MATCH(AN$5,DedListItem,0)-1,0),OFFSET(Setup!$E$73,MATCH(AN$5,DedListItem,0),0,1,1))*AN$3))),IF(ISNUMBER(AN$4),AN$4,IgnoreMin)))))</f>
        <v>0</v>
      </c>
      <c r="AO91" s="148" cm="1">
        <f t="array" aca="1" ref="AO91" ca="1">-IF($F91="Terminated",0,IF($AA91=0,0,IF(ISNA(MATCH(AO$5,PayDedList,0)),0,MIN(IF(COUNTIFS(OverEmp,$C91,OverDeduct,AO$5,OverDate,"&lt;"&amp;DATE(YEAR($AC91),MONTH($AC91)+1,1),OverEnd,"&gt;="&amp;DATE(YEAR($AC91),MONTH($AC91),1))&gt;0,SUMPRODUCT((PayEmp=$C91)*(PayDate&lt;=$AC91)*(OFFSET($N$6,1,MATCH(AO$5,PayDedList,0)-1,PayCount,1)))/$AA91*12*AO$3,IF(OR(AO$1="Fixed",AO$1="Not Used"),SUMPRODUCT((PayEmp=$C91)*(PayDate&lt;=$AC91)*(OFFSET($N$6,1,MATCH(AO$5,PayDedList,0)-1,PayCount,1)))/$AA91*12*AO$3,IF(ISNA(MATCH(AO$1,EarnListItem,0))=FALSE,SUMPRODUCT((PayEmp=$C91)*(PayDate&lt;=$AC91)*(OFFSET($N$6,1,MATCH(AO$5,PayDedList,0)-1,PayCount,1)))/$AA91*12*AO$3,(MIN(((SUMPRODUCT((PayEmp=$C91)*(PayDate&lt;=$AC91)*(ISERROR(SEARCH(PayEarnCode,AO$2)))*(PayEarnType="Monthly")*(PayEarnValues))/$AA91*12)+(SUMPRODUCT((PayEmp=$C91)*(PayDate&lt;=$AC91)*(ISERROR(SEARCH(PayEarnCode,AO$2)))*(PayEarnType="Quarterly")*(PayEarnValues))/MAX(1,ROUNDDOWN($AB91/3,0))*4)+(SUMPRODUCT((PayEmp=$C91)*(PayDate&lt;=$AC91)*(ISERROR(SEARCH(PayEarnCode,AO$2)))*(PayEarnType="Bi-Annual")*(PayEarnValues))/MAX(1,ROUNDDOWN($AB91/6,0))*2)+(SUMPRODUCT((PayEmp=$C91)*(PayDate&lt;=$AC91)*(ISERROR(SEARCH(PayEarnCode,AO$2)))*(PayEarnType="Annual")*(PayEarnValues)))),IF(ISNUMBER(OFFSET($N$3,0,MATCH(AO$5,PayDedList,0)-1,1,1)),OFFSET($N$3,0,MATCH(AO$5,PayDedList,0)-1,1,1),IgnoreMin)))*IF(COUNTIFS(EmpNo,$C91,OFFSET(Emp!$R$4,1,MATCH(AO$5,DedListItem,0)-1,EmpCount,1),"&lt;&gt;")&gt;0,VLOOKUP($C91,EmpAll,COLUMN(Emp!$R$4)+MATCH(AO$5,DedListItem,0)-1,0),OFFSET(Setup!$E$73,MATCH(AO$5,DedListItem,0),0,1,1))*AO$3))),IF(ISNUMBER(AO$4),AO$4,IgnoreMin)))))</f>
        <v>0</v>
      </c>
      <c r="AP91" s="148" cm="1">
        <f t="array" aca="1" ref="AP91" ca="1">-IF($F91="Terminated",0,IF($AA91=0,0,IF(ISNA(MATCH(AP$5,PayDedList,0)),0,MIN(IF(COUNTIFS(OverEmp,$C91,OverDeduct,AP$5,OverDate,"&lt;"&amp;DATE(YEAR($AC91),MONTH($AC91)+1,1),OverEnd,"&gt;="&amp;DATE(YEAR($AC91),MONTH($AC91),1))&gt;0,SUMPRODUCT((PayEmp=$C91)*(PayDate&lt;=$AC91)*(OFFSET($N$6,1,MATCH(AP$5,PayDedList,0)-1,PayCount,1)))/$AA91*12*AP$3,IF(OR(AP$1="Fixed",AP$1="Not Used"),SUMPRODUCT((PayEmp=$C91)*(PayDate&lt;=$AC91)*(OFFSET($N$6,1,MATCH(AP$5,PayDedList,0)-1,PayCount,1)))/$AA91*12*AP$3,IF(ISNA(MATCH(AP$1,EarnListItem,0))=FALSE,SUMPRODUCT((PayEmp=$C91)*(PayDate&lt;=$AC91)*(OFFSET($N$6,1,MATCH(AP$5,PayDedList,0)-1,PayCount,1)))/$AA91*12*AP$3,(MIN(((SUMPRODUCT((PayEmp=$C91)*(PayDate&lt;=$AC91)*(ISERROR(SEARCH(PayEarnCode,AP$2)))*(PayEarnType="Monthly")*(PayEarnValues))/$AA91*12)+(SUMPRODUCT((PayEmp=$C91)*(PayDate&lt;=$AC91)*(ISERROR(SEARCH(PayEarnCode,AP$2)))*(PayEarnType="Quarterly")*(PayEarnValues))/MAX(1,ROUNDDOWN($AB91/3,0))*4)+(SUMPRODUCT((PayEmp=$C91)*(PayDate&lt;=$AC91)*(ISERROR(SEARCH(PayEarnCode,AP$2)))*(PayEarnType="Bi-Annual")*(PayEarnValues))/MAX(1,ROUNDDOWN($AB91/6,0))*2)+(SUMPRODUCT((PayEmp=$C91)*(PayDate&lt;=$AC91)*(ISERROR(SEARCH(PayEarnCode,AP$2)))*(PayEarnType="Annual")*(PayEarnValues)))),IF(ISNUMBER(OFFSET($N$3,0,MATCH(AP$5,PayDedList,0)-1,1,1)),OFFSET($N$3,0,MATCH(AP$5,PayDedList,0)-1,1,1),IgnoreMin)))*IF(COUNTIFS(EmpNo,$C91,OFFSET(Emp!$R$4,1,MATCH(AP$5,DedListItem,0)-1,EmpCount,1),"&lt;&gt;")&gt;0,VLOOKUP($C91,EmpAll,COLUMN(Emp!$R$4)+MATCH(AP$5,DedListItem,0)-1,0),OFFSET(Setup!$E$73,MATCH(AP$5,DedListItem,0),0,1,1))*AP$3))),IF(ISNUMBER(AP$4),AP$4,IgnoreMin)))))</f>
        <v>0</v>
      </c>
      <c r="AQ91" s="148" cm="1">
        <f t="array" aca="1" ref="AQ91" ca="1">-IF($F91="Terminated",0,IF($AA91=0,0,IF(ISNA(MATCH(AQ$5,PayDedList,0)),0,MIN(IF(COUNTIFS(OverEmp,$C91,OverDeduct,AQ$5,OverDate,"&lt;"&amp;DATE(YEAR($AC91),MONTH($AC91)+1,1),OverEnd,"&gt;="&amp;DATE(YEAR($AC91),MONTH($AC91),1))&gt;0,SUMPRODUCT((PayEmp=$C91)*(PayDate&lt;=$AC91)*(OFFSET($N$6,1,MATCH(AQ$5,PayDedList,0)-1,PayCount,1)))/$AA91*12*AQ$3,IF(OR(AQ$1="Fixed",AQ$1="Not Used"),SUMPRODUCT((PayEmp=$C91)*(PayDate&lt;=$AC91)*(OFFSET($N$6,1,MATCH(AQ$5,PayDedList,0)-1,PayCount,1)))/$AA91*12*AQ$3,IF(ISNA(MATCH(AQ$1,EarnListItem,0))=FALSE,SUMPRODUCT((PayEmp=$C91)*(PayDate&lt;=$AC91)*(OFFSET($N$6,1,MATCH(AQ$5,PayDedList,0)-1,PayCount,1)))/$AA91*12*AQ$3,(MIN(((SUMPRODUCT((PayEmp=$C91)*(PayDate&lt;=$AC91)*(ISERROR(SEARCH(PayEarnCode,AQ$2)))*(PayEarnType="Monthly")*(PayEarnValues))/$AA91*12)+(SUMPRODUCT((PayEmp=$C91)*(PayDate&lt;=$AC91)*(ISERROR(SEARCH(PayEarnCode,AQ$2)))*(PayEarnType="Quarterly")*(PayEarnValues))/MAX(1,ROUNDDOWN($AB91/3,0))*4)+(SUMPRODUCT((PayEmp=$C91)*(PayDate&lt;=$AC91)*(ISERROR(SEARCH(PayEarnCode,AQ$2)))*(PayEarnType="Bi-Annual")*(PayEarnValues))/MAX(1,ROUNDDOWN($AB91/6,0))*2)+(SUMPRODUCT((PayEmp=$C91)*(PayDate&lt;=$AC91)*(ISERROR(SEARCH(PayEarnCode,AQ$2)))*(PayEarnType="Annual")*(PayEarnValues)))),IF(ISNUMBER(OFFSET($N$3,0,MATCH(AQ$5,PayDedList,0)-1,1,1)),OFFSET($N$3,0,MATCH(AQ$5,PayDedList,0)-1,1,1),IgnoreMin)))*IF(COUNTIFS(EmpNo,$C91,OFFSET(Emp!$R$4,1,MATCH(AQ$5,DedListItem,0)-1,EmpCount,1),"&lt;&gt;")&gt;0,VLOOKUP($C91,EmpAll,COLUMN(Emp!$R$4)+MATCH(AQ$5,DedListItem,0)-1,0),OFFSET(Setup!$E$73,MATCH(AQ$5,DedListItem,0),0,1,1))*AQ$3))),IF(ISNUMBER(AQ$4),AQ$4,IgnoreMin)))))</f>
        <v>0</v>
      </c>
      <c r="AR91" s="148">
        <f t="shared" ca="1" si="34"/>
        <v>108000</v>
      </c>
      <c r="AS91" s="148">
        <f t="shared" ca="1" si="42"/>
        <v>108000</v>
      </c>
      <c r="AT91" s="148" cm="1">
        <f t="array" aca="1" ref="AT91" ca="1">-IF($F91="Terminated",0,IF($AA91=0,0,IF(ISNA(MATCH(AT$5,PayDedList,0)),0,MIN(IF(COUNTIFS(OverEmp,$C91,OverDeduct,AT$5,OverDate,"&lt;"&amp;DATE(YEAR($AC91),MONTH($AC91)+1,1),OverEnd,"&gt;="&amp;DATE(YEAR($AC91),MONTH($AC91),1))&gt;0,SUMPRODUCT((PayEmp=$C91)*(PayDate&lt;=$AC91)*(OFFSET($N$6,1,MATCH(AT$5,PayDedList,0)-1,PayCount,1)))/$AA91*12*AT$3,IF(OR(AT$1="Fixed",AT$1="Not Used"),SUMPRODUCT((PayEmp=$C91)*(PayDate&lt;=$AC91)*(OFFSET($N$6,1,MATCH(AT$5,PayDedList,0)-1,PayCount,1)))/$AA91*12*AT$3,IF(ISNA(MATCH(OFFSET($N$2,0,MATCH(AT$5,PayDedList,0)-1,1,1),EarnListItem,0))=FALSE,SUMPRODUCT((PayEmp=$C91)*(PayDate&lt;=$AC91)*(OFFSET($N$6,1,MATCH(AT$5,PayDedList,0)-1,PayCount,1)))/$AA91*12*AT$3,(MIN(SUMPRODUCT((PayEmp=$C91)*(PayDate&lt;=$AC91)*(ISERROR(SEARCH(PayEarnCode,AT$2)))*(PayEarnType="Monthly")*(PayEarnValues))/$AA91*12,IF(ISNUMBER(OFFSET($N$3,0,MATCH(AT$5,PayDedList,0)-1,1,1)),OFFSET($N$3,0,MATCH(AT$5,PayDedList,0)-1,1,1),IgnoreMin)))*IF(COUNTIFS(EmpNo,$C91,OFFSET(Emp!$R$4,1,MATCH(AT$5,DedListItem,0)-1,EmpCount,1),"&lt;&gt;")&gt;0,VLOOKUP($C91,EmpAll,COLUMN(Emp!$R$4)+MATCH(AT$5,DedListItem,0)-1,0),OFFSET(Setup!$E$73,MATCH(AT$5,DedListItem,0),0,1,1))*AT$3))),IF(ISNUMBER(AT$4),AT$4,IgnoreMin)))))</f>
        <v>0</v>
      </c>
      <c r="AU91" s="148" cm="1">
        <f t="array" aca="1" ref="AU91" ca="1">-IF($F91="Terminated",0,IF($AA91=0,0,IF(ISNA(MATCH(AU$5,PayDedList,0)),0,MIN(IF(COUNTIFS(OverEmp,$C91,OverDeduct,AU$5,OverDate,"&lt;"&amp;DATE(YEAR($AC91),MONTH($AC91)+1,1),OverEnd,"&gt;="&amp;DATE(YEAR($AC91),MONTH($AC91),1))&gt;0,SUMPRODUCT((PayEmp=$C91)*(PayDate&lt;=$AC91)*(OFFSET($N$6,1,MATCH(AU$5,PayDedList,0)-1,PayCount,1)))/$AA91*12*AU$3,IF(OR(AU$1="Fixed",AU$1="Not Used"),SUMPRODUCT((PayEmp=$C91)*(PayDate&lt;=$AC91)*(OFFSET($N$6,1,MATCH(AU$5,PayDedList,0)-1,PayCount,1)))/$AA91*12*AU$3,IF(ISNA(MATCH(OFFSET($N$2,0,MATCH(AU$5,PayDedList,0)-1,1,1),EarnListItem,0))=FALSE,SUMPRODUCT((PayEmp=$C91)*(PayDate&lt;=$AC91)*(OFFSET($N$6,1,MATCH(AU$5,PayDedList,0)-1,PayCount,1)))/$AA91*12*AU$3,(MIN(SUMPRODUCT((PayEmp=$C91)*(PayDate&lt;=$AC91)*(ISERROR(SEARCH(PayEarnCode,AU$2)))*(PayEarnType="Monthly")*(PayEarnValues))/$AA91*12,IF(ISNUMBER(OFFSET($N$3,0,MATCH(AU$5,PayDedList,0)-1,1,1)),OFFSET($N$3,0,MATCH(AU$5,PayDedList,0)-1,1,1),IgnoreMin)))*IF(COUNTIFS(EmpNo,$C91,OFFSET(Emp!$R$4,1,MATCH(AU$5,DedListItem,0)-1,EmpCount,1),"&lt;&gt;")&gt;0,VLOOKUP($C91,EmpAll,COLUMN(Emp!$R$4)+MATCH(AU$5,DedListItem,0)-1,0),OFFSET(Setup!$E$73,MATCH(AU$5,DedListItem,0),0,1,1))*AU$3))),IF(ISNUMBER(AU$4),AU$4,IgnoreMin)))))</f>
        <v>0</v>
      </c>
      <c r="AV91" s="148" cm="1">
        <f t="array" aca="1" ref="AV91" ca="1">-IF($F91="Terminated",0,IF($AA91=0,0,IF(ISNA(MATCH(AV$5,PayDedList,0)),0,MIN(IF(COUNTIFS(OverEmp,$C91,OverDeduct,AV$5,OverDate,"&lt;"&amp;DATE(YEAR($AC91),MONTH($AC91)+1,1),OverEnd,"&gt;="&amp;DATE(YEAR($AC91),MONTH($AC91),1))&gt;0,SUMPRODUCT((PayEmp=$C91)*(PayDate&lt;=$AC91)*(OFFSET($N$6,1,MATCH(AV$5,PayDedList,0)-1,PayCount,1)))/$AA91*12*AV$3,IF(OR(AV$1="Fixed",AV$1="Not Used"),SUMPRODUCT((PayEmp=$C91)*(PayDate&lt;=$AC91)*(OFFSET($N$6,1,MATCH(AV$5,PayDedList,0)-1,PayCount,1)))/$AA91*12*AV$3,IF(ISNA(MATCH(OFFSET($N$2,0,MATCH(AV$5,PayDedList,0)-1,1,1),EarnListItem,0))=FALSE,SUMPRODUCT((PayEmp=$C91)*(PayDate&lt;=$AC91)*(OFFSET($N$6,1,MATCH(AV$5,PayDedList,0)-1,PayCount,1)))/$AA91*12*AV$3,(MIN(SUMPRODUCT((PayEmp=$C91)*(PayDate&lt;=$AC91)*(ISERROR(SEARCH(PayEarnCode,AV$2)))*(PayEarnType="Monthly")*(PayEarnValues))/$AA91*12,IF(ISNUMBER(OFFSET($N$3,0,MATCH(AV$5,PayDedList,0)-1,1,1)),OFFSET($N$3,0,MATCH(AV$5,PayDedList,0)-1,1,1),IgnoreMin)))*IF(COUNTIFS(EmpNo,$C91,OFFSET(Emp!$R$4,1,MATCH(AV$5,DedListItem,0)-1,EmpCount,1),"&lt;&gt;")&gt;0,VLOOKUP($C91,EmpAll,COLUMN(Emp!$R$4)+MATCH(AV$5,DedListItem,0)-1,0),OFFSET(Setup!$E$73,MATCH(AV$5,DedListItem,0),0,1,1))*AV$3))),IF(ISNUMBER(AV$4),AV$4,IgnoreMin)))))</f>
        <v>0</v>
      </c>
      <c r="AW91" s="148" cm="1">
        <f t="array" aca="1" ref="AW91" ca="1">-IF($F91="Terminated",0,IF($AA91=0,0,IF(ISNA(MATCH(AW$5,PayDedList,0)),0,MIN(IF(COUNTIFS(OverEmp,$C91,OverDeduct,AW$5,OverDate,"&lt;"&amp;DATE(YEAR($AC91),MONTH($AC91)+1,1),OverEnd,"&gt;="&amp;DATE(YEAR($AC91),MONTH($AC91),1))&gt;0,SUMPRODUCT((PayEmp=$C91)*(PayDate&lt;=$AC91)*(OFFSET($N$6,1,MATCH(AW$5,PayDedList,0)-1,PayCount,1)))/$AA91*12*AW$3,IF(OR(AW$1="Fixed",AW$1="Not Used"),SUMPRODUCT((PayEmp=$C91)*(PayDate&lt;=$AC91)*(OFFSET($N$6,1,MATCH(AW$5,PayDedList,0)-1,PayCount,1)))/$AA91*12*AW$3,IF(ISNA(MATCH(OFFSET($N$2,0,MATCH(AW$5,PayDedList,0)-1,1,1),EarnListItem,0))=FALSE,SUMPRODUCT((PayEmp=$C91)*(PayDate&lt;=$AC91)*(OFFSET($N$6,1,MATCH(AW$5,PayDedList,0)-1,PayCount,1)))/$AA91*12*AW$3,(MIN(SUMPRODUCT((PayEmp=$C91)*(PayDate&lt;=$AC91)*(ISERROR(SEARCH(PayEarnCode,AW$2)))*(PayEarnType="Monthly")*(PayEarnValues))/$AA91*12,IF(ISNUMBER(OFFSET($N$3,0,MATCH(AW$5,PayDedList,0)-1,1,1)),OFFSET($N$3,0,MATCH(AW$5,PayDedList,0)-1,1,1),IgnoreMin)))*IF(COUNTIFS(EmpNo,$C91,OFFSET(Emp!$R$4,1,MATCH(AW$5,DedListItem,0)-1,EmpCount,1),"&lt;&gt;")&gt;0,VLOOKUP($C91,EmpAll,COLUMN(Emp!$R$4)+MATCH(AW$5,DedListItem,0)-1,0),OFFSET(Setup!$E$73,MATCH(AW$5,DedListItem,0),0,1,1))*AW$3))),IF(ISNUMBER(AW$4),AW$4,IgnoreMin)))))</f>
        <v>0</v>
      </c>
      <c r="AX91" s="148">
        <f t="shared" ca="1" si="43"/>
        <v>108000</v>
      </c>
      <c r="AY91" s="148">
        <f t="shared" ca="1" si="44"/>
        <v>0</v>
      </c>
      <c r="AZ91" s="148">
        <f ca="1">IF(ISNUMBER($AL91),($AR91*$AL91)-$AI91-$AK91,MAX(0,IF($AL91="B",IF($AR91&lt;Setup!$C$32,($AR91*Setup!$D$32)-$AI91-$AK91,(($AR91-VLOOKUP($AR91,TaxAll2,1,1))*OFFSET(Setup!$D$32,MATCH($AR91,TaxBracket2,1),0,1,1))+OFFSET(Setup!$E$31,MATCH($AR91,TaxBracket2,1),0,1,1)-$AI91-$AK91),IF($AR91&lt;Setup!$C$21,($AR91*Setup!$D$21)-$AI91-$AK91,(($AR91-VLOOKUP($AR91,TaxAll1,1,1))*OFFSET(Setup!$D$21,MATCH($AR91,TaxBracket1,1),0,1,1))+OFFSET(Setup!$E$20,MATCH($AR91,TaxBracket1,1),0,1,1)-$AI91-$AK91))))</f>
        <v>2205</v>
      </c>
      <c r="BA91" s="148">
        <f ca="1">IF(ISNUMBER($AL91),($AX91*$AL91)-$AI91-$AK91,MAX(0,IF($AL91="B",IF($AX91&lt;Setup!$C$32,($AX91*Setup!$D$32)-$AI91-$AK91,(($AX91-VLOOKUP($AX91,TaxAll2,1,1))*OFFSET(Setup!$D$32,MATCH($AX91,TaxBracket2,1),0,1,1))+OFFSET(Setup!$E$31,MATCH($AX91,TaxBracket2,1),0,1,1)-$AI91-$AK91),IF($AX91&lt;Setup!$C$21,($AX91*Setup!$D$21)-$AI91-$AK91,(($AX91-VLOOKUP($AX91,TaxAll1,1,1))*OFFSET(Setup!$D$21,MATCH($AX91,TaxBracket1,1),0,1,1))+OFFSET(Setup!$E$20,MATCH($AX91,TaxBracket1,1),0,1,1)-$AI91-$AK91))))</f>
        <v>2205</v>
      </c>
      <c r="BB91" s="148">
        <f t="shared" ca="1" si="35"/>
        <v>0</v>
      </c>
      <c r="BC91" s="150">
        <f t="shared" ca="1" si="45"/>
        <v>1</v>
      </c>
      <c r="BD91" s="150">
        <f t="shared" ca="1" si="46"/>
        <v>0</v>
      </c>
      <c r="BE91" s="148">
        <f t="shared" ca="1" si="47"/>
        <v>108000</v>
      </c>
    </row>
    <row r="92" spans="1:57" ht="16.149999999999999" customHeight="1" x14ac:dyDescent="0.25">
      <c r="A92" s="10" t="str" cm="1">
        <f t="array" aca="1" ref="A92" ca="1">IF(ROW($A92)-ROW($A$6)&gt;EmpCount*12,"-",TEXT($B92,"yyyy")&amp;TEXT($B92,"mm")&amp;"-"&amp;$C92)</f>
        <v>202308-EXS011</v>
      </c>
      <c r="B92" s="137" cm="1">
        <f t="array" aca="1" ref="B92" ca="1">IF(ROW($A92)-ROW($A$6)&gt;EmpCount*12,Setup!$D$12,DATE(YEAR(Setup!$F$12),MONTH(Setup!$F$12)+ROUNDDOWN((ROW($A92)-ROW($A$6)-1)/EmpCount,0),IF(Setup!$C$14&gt;DAY(DATE(YEAR(Setup!$F$12),MONTH(Setup!$F$12)+ROUNDDOWN((ROW($A92)-ROW($A$6)-1)/EmpCount,0)+1,0)),DAY(DATE(YEAR(Setup!$F$12),MONTH(Setup!$F$12)+ROUNDDOWN((ROW($A92)-ROW($A$6)-1)/EmpCount,0)+1,0)),Setup!$C$14)))</f>
        <v>45163</v>
      </c>
      <c r="C92" s="101" t="str" cm="1">
        <f t="array" aca="1" ref="C92" ca="1">IF(ROW($A92)-ROW($A$6)&gt;EmpCount*12,"-",OFFSET(Emp!$A$4,ROW($A92)-ROW($A$6)-IF(ROW($A92)-ROW($A$6)&gt;EmpCount,ROUNDDOWN((ROW($A92)-ROW($A$6)-1)/EmpCount,0)*EmpCount,0),0,1,1))</f>
        <v>EXS011</v>
      </c>
      <c r="D92" s="10" t="str">
        <f ca="1">IF(ISNA(VLOOKUP($C92,EmpAll,COLUMN(Emp!$B$4),0)),"-",VLOOKUP($C92,EmpAll,COLUMN(Emp!$B$4),0))</f>
        <v>Newport GD</v>
      </c>
      <c r="E92" s="145" t="str">
        <f ca="1">IF(ISNA(VLOOKUP($C92,EmpAll,COLUMN(Emp!$C$4),0)),"-",VLOOKUP($C92,EmpAll,COLUMN(Emp!$C$4),0))</f>
        <v>A</v>
      </c>
      <c r="F92" s="101" t="str">
        <f ca="1">IF(ISNA(VLOOKUP($C92,EmpAll,COLUMN(Emp!$A$4),0)),"-",IF(AND(VLOOKUP($C92,EmpAll,COLUMN(Emp!$E$4),0)&lt;&gt;0,VLOOKUP($C92,EmpAll,COLUMN(Emp!$E$4),0)&gt;=DATE(YEAR($AC92),MONTH($AC92)+1,0)),"Inactive",IF(AND(VLOOKUP($C92,EmpAll,COLUMN(Emp!$F$4),0)&lt;&gt;0,VLOOKUP($C92,EmpAll,COLUMN(Emp!$F$4),0)&lt;=DATE(YEAR($AC92),MONTH($AC92),0)),"Terminated","Active")))</f>
        <v>Active</v>
      </c>
      <c r="G92" s="133" cm="1">
        <f t="array" aca="1" ref="G92" ca="1">IF($F92&lt;&gt;"Active",0,IF(COUNTIFS(OverEmp,$C92,OverEarn,G$2,OverDate,"&lt;"&amp;DATE(YEAR($AC92),MONTH($AC92)+1,1),OverEnd,"&gt;="&amp;DATE(YEAR($AC92),MONTH($AC92),1))&gt;0,SUMIFS(OverValue,OverEmp,$C92,OverEarn,G$2,OverDate,"&lt;"&amp;DATE(YEAR($AC92),MONTH($AC92)+1,1),OverEnd,"&gt;="&amp;DATE(YEAR($AC92),MONTH($AC92),1)),IF(AND($AC92&gt;=Setup!$E$10,SUMIFS(EmpIncrease,EmpCode,$C92)&gt;0),SUMIFS(EmpIncrease,EmpCode,$C92),SUMIFS(EmpSalary,EmpCode,$C92))))</f>
        <v>5000</v>
      </c>
      <c r="H92" s="133" cm="1">
        <f t="array" aca="1" ref="H92" ca="1">IF($F92&lt;&gt;"Active",0,IF(COUNTIFS(OverEmp,$C92,OverEarn,H$2,OverDate,"&lt;"&amp;DATE(YEAR($AC92),MONTH($AC92)+1,1),OverEnd,"&gt;="&amp;DATE(YEAR($AC92),MONTH($AC92),1))&gt;0,SUMIFS(OverValue,OverEmp,$C92,OverEarn,H$2,OverDate,"&lt;"&amp;DATE(YEAR($AC92),MONTH($AC92)+1,1),OverEnd,"&gt;="&amp;DATE(YEAR($AC92),MONTH($AC92),1)),0))</f>
        <v>0</v>
      </c>
      <c r="I92" s="133" cm="1">
        <f t="array" aca="1" ref="I92" ca="1">IF($F92&lt;&gt;"Active",0,IF(COUNTIFS(OverEmp,$C92,OverEarn,I$2,OverDate,"&lt;"&amp;DATE(YEAR($AC92),MONTH($AC92)+1,1),OverEnd,"&gt;="&amp;DATE(YEAR($AC92),MONTH($AC92),1))&gt;0,SUMIFS(OverValue,OverEmp,$C92,OverEarn,I$2,OverDate,"&lt;"&amp;DATE(YEAR($AC92),MONTH($AC92)+1,1),OverEnd,"&gt;="&amp;DATE(YEAR($AC92),MONTH($AC92),1)),IF(MONTH(B92)=Setup!$C$15,SUMIFS(EmpBonus,EmpCode,$C92),0)))</f>
        <v>0</v>
      </c>
      <c r="J92" s="133" cm="1">
        <f t="array" aca="1" ref="J92" ca="1">IF($F92&lt;&gt;"Active",0,IF(COUNTIFS(OverEmp,$C92,OverEarn,J$2,OverDate,"&lt;"&amp;DATE(YEAR($AC92),MONTH($AC92)+1,1),OverEnd,"&gt;="&amp;DATE(YEAR($AC92),MONTH($AC92),1))&gt;0,SUMIFS(OverValue,OverEmp,$C92,OverEarn,J$2,OverDate,"&lt;"&amp;DATE(YEAR($AC92),MONTH($AC92)+1,1),OverEnd,"&gt;="&amp;DATE(YEAR($AC92),MONTH($AC92),1)),0))</f>
        <v>0</v>
      </c>
      <c r="K92" s="133" cm="1">
        <f t="array" aca="1" ref="K92" ca="1">IF($F92&lt;&gt;"Active",0,IF(COUNTIFS(OverEmp,$C92,OverEarn,K$2,OverDate,"&lt;"&amp;DATE(YEAR($AC92),MONTH($AC92)+1,1),OverEnd,"&gt;="&amp;DATE(YEAR($AC92),MONTH($AC92),1))&gt;0,SUMIFS(OverValue,OverEmp,$C92,OverEarn,K$2,OverDate,"&lt;"&amp;DATE(YEAR($AC92),MONTH($AC92)+1,1),OverEnd,"&gt;="&amp;DATE(YEAR($AC92),MONTH($AC92),1)),0))</f>
        <v>0</v>
      </c>
      <c r="L92" s="185">
        <f t="shared" ca="1" si="36"/>
        <v>5000</v>
      </c>
      <c r="M92" s="182" cm="1">
        <f t="array" aca="1" ref="M92" ca="1">IF(COUNTIFS(OverEmp,$C92,OverTax,M$5,OverDate,"&lt;"&amp;DATE(YEAR($AC92),MONTH($AC92)+1,1),OverEnd,"&gt;="&amp;DATE(YEAR($AC92),MONTH($AC92),1))&gt;0,SUMIFS(OverValue,OverEmp,$C92,OverTax,M$5,OverDate,"&lt;"&amp;DATE(YEAR($AC92),MONTH($AC92)+1,1),OverEnd,"&gt;="&amp;DATE(YEAR($AC92),MONTH($AC92),1)),(($BA92/12*$AA92)+(BB92*IF(1-$BC92=0,0,BD92/(1-$BC92))))-IF($F92="Terminated",0,SUMIFS(PayTaxDeduct,PayDate,"&lt;"&amp;$AC92,PayEmp,$C92)))</f>
        <v>0</v>
      </c>
      <c r="N92" s="133" cm="1">
        <f t="array" aca="1" ref="N92" ca="1">IF($F92="Terminated",0,IF($AA92=0,0,IF(ISNA(MATCH(N$5,DedListItem,0)),0,IF(COUNTIFS(OverEmp,$C92,OverDeduct,N$5,OverDate,"&lt;"&amp;DATE(YEAR($AC92),MONTH($AC92)+1,1),OverEnd,"&gt;="&amp;DATE(YEAR($AC92),MONTH($AC92),1))&gt;0,SUMIFS(OverValue,OverEmp,$C92,OverDeduct,N$5,OverDate,"&lt;"&amp;DATE(YEAR($AC92),MONTH($AC92)+1,1),OverEnd,"&gt;="&amp;DATE(YEAR($AC92),MONTH($AC92),1)),IF(OR(N$2="Fixed",N$2="Not Used"),(IF(COUNTIFS(EmpNo,$C92,OFFSET(Emp!$R$4,1,MATCH(N$5,DedListItem,0)-1,EmpCount,1),"&lt;&gt;")&gt;0,VLOOKUP($C92,EmpAll,COLUMN(Emp!$R$4)+MATCH(N$5,DedListItem,0)-1,0),OFFSET(Setup!$E$73,MATCH(N$5,DedListItem,0),0,1,1))*$AA92)-SUMIFS(OFFSET(N$6,1,0,PayCount,1),PayDate,"&lt;"&amp;$AC92,PayEmp,$C92),IF(ISNA(MATCH(N$2,EarnListItem,0))=FALSE,IF(OFFSET(Setup!$G$73,MATCH(N$5,DedListItem,0),0,1,1)="Taxable",SUMPRODUCT((PayEmp=$C92)*(PayDate&lt;=$AC92)*(PayEarnCode=N$2)*(PayEarnTax)*(PayEarnValues)),SUMPRODUCT((PayEmp=$C92)*(PayDate&lt;=$AC92)*(PayEarnCode=N$2)*(PayEarnValues)))*IF(COUNTIFS(EmpNo,$C92,OFFSET(Emp!$R$4,1,MATCH(N$5,DedListItem,0)-1,EmpCount,1),"&lt;&gt;")&gt;0,VLOOKUP($C92,EmpAll,COLUMN(Emp!$R$4)+MATCH(N$5,DedListItem,0)-1,0),OFFSET(Setup!$E$73,MATCH(N$5,DedListItem,0),0,1,1)),(MIN(IF(OFFSET(Setup!$G$73,MATCH(N$5,DedListItem,0),0,1,1)="Taxable",SUMPRODUCT((PayEmp=$C92)*(PayDate&lt;=$AC92)*(ISERROR(SEARCH(PayEarnCode,N$4)))*(PayEarnTax)*(PayEarnValues)),SUMPRODUCT((PayEmp=$C92)*(PayDate&lt;=$AC92)*(ISERROR(SEARCH(PayEarnCode,N$4)))*(PayEarnValues))),IF(ISNUMBER(N$3),N$3/12*$AA92,IgnoreMin)))*IF(COUNTIFS(EmpNo,$C92,OFFSET(Emp!$R$4,1,MATCH(N$5,DedListItem,0)-1,EmpCount,1),"&lt;&gt;")&gt;0,VLOOKUP($C92,EmpAll,COLUMN(Emp!$R$4)+MATCH(N$5,DedListItem,0)-1,0),OFFSET(Setup!$E$73,MATCH(N$5,DedListItem,0),0,1,1)))-SUMIFS(OFFSET(N$6,1,0,PayCount,1),PayDate,"&lt;"&amp;$AC92,PayEmp,$C92))))))</f>
        <v>50</v>
      </c>
      <c r="O92" s="133" cm="1">
        <f t="array" aca="1" ref="O92" ca="1">IF($F92="Terminated",0,IF($AA92=0,0,IF(ISNA(MATCH(O$5,DedListItem,0)),0,IF(COUNTIFS(OverEmp,$C92,OverDeduct,O$5,OverDate,"&lt;"&amp;DATE(YEAR($AC92),MONTH($AC92)+1,1),OverEnd,"&gt;="&amp;DATE(YEAR($AC92),MONTH($AC92),1))&gt;0,SUMIFS(OverValue,OverEmp,$C92,OverDeduct,O$5,OverDate,"&lt;"&amp;DATE(YEAR($AC92),MONTH($AC92)+1,1),OverEnd,"&gt;="&amp;DATE(YEAR($AC92),MONTH($AC92),1)),IF(OR(O$2="Fixed",O$2="Not Used"),(IF(COUNTIFS(EmpNo,$C92,OFFSET(Emp!$R$4,1,MATCH(O$5,DedListItem,0)-1,EmpCount,1),"&lt;&gt;")&gt;0,VLOOKUP($C92,EmpAll,COLUMN(Emp!$R$4)+MATCH(O$5,DedListItem,0)-1,0),OFFSET(Setup!$E$73,MATCH(O$5,DedListItem,0),0,1,1))*$AA92)-SUMIFS(OFFSET(O$6,1,0,PayCount,1),PayDate,"&lt;"&amp;$AC92,PayEmp,$C92),IF(ISNA(MATCH(O$2,EarnListItem,0))=FALSE,IF(OFFSET(Setup!$G$73,MATCH(O$5,DedListItem,0),0,1,1)="Taxable",SUMPRODUCT((PayEmp=$C92)*(PayDate&lt;=$AC92)*(PayEarnCode=O$2)*(PayEarnTax)*(PayEarnValues)),SUMPRODUCT((PayEmp=$C92)*(PayDate&lt;=$AC92)*(PayEarnCode=O$2)*(PayEarnValues)))*IF(COUNTIFS(EmpNo,$C92,OFFSET(Emp!$R$4,1,MATCH(O$5,DedListItem,0)-1,EmpCount,1),"&lt;&gt;")&gt;0,VLOOKUP($C92,EmpAll,COLUMN(Emp!$R$4)+MATCH(O$5,DedListItem,0)-1,0),OFFSET(Setup!$E$73,MATCH(O$5,DedListItem,0),0,1,1)),(MIN(IF(OFFSET(Setup!$G$73,MATCH(O$5,DedListItem,0),0,1,1)="Taxable",SUMPRODUCT((PayEmp=$C92)*(PayDate&lt;=$AC92)*(ISERROR(SEARCH(PayEarnCode,O$4)))*(PayEarnTax)*(PayEarnValues)),SUMPRODUCT((PayEmp=$C92)*(PayDate&lt;=$AC92)*(ISERROR(SEARCH(PayEarnCode,O$4)))*(PayEarnValues))),IF(ISNUMBER(O$3),O$3/12*$AA92,IgnoreMin)))*IF(COUNTIFS(EmpNo,$C92,OFFSET(Emp!$R$4,1,MATCH(O$5,DedListItem,0)-1,EmpCount,1),"&lt;&gt;")&gt;0,VLOOKUP($C92,EmpAll,COLUMN(Emp!$R$4)+MATCH(O$5,DedListItem,0)-1,0),OFFSET(Setup!$E$73,MATCH(O$5,DedListItem,0),0,1,1)))-SUMIFS(OFFSET(O$6,1,0,PayCount,1),PayDate,"&lt;"&amp;$AC92,PayEmp,$C92))))))</f>
        <v>0</v>
      </c>
      <c r="P92" s="133" cm="1">
        <f t="array" aca="1" ref="P92" ca="1">IF($F92="Terminated",0,IF($AA92=0,0,IF(ISNA(MATCH(P$5,DedListItem,0)),0,IF(COUNTIFS(OverEmp,$C92,OverDeduct,P$5,OverDate,"&lt;"&amp;DATE(YEAR($AC92),MONTH($AC92)+1,1),OverEnd,"&gt;="&amp;DATE(YEAR($AC92),MONTH($AC92),1))&gt;0,SUMIFS(OverValue,OverEmp,$C92,OverDeduct,P$5,OverDate,"&lt;"&amp;DATE(YEAR($AC92),MONTH($AC92)+1,1),OverEnd,"&gt;="&amp;DATE(YEAR($AC92),MONTH($AC92),1)),IF(OR(P$2="Fixed",P$2="Not Used"),(IF(COUNTIFS(EmpNo,$C92,OFFSET(Emp!$R$4,1,MATCH(P$5,DedListItem,0)-1,EmpCount,1),"&lt;&gt;")&gt;0,VLOOKUP($C92,EmpAll,COLUMN(Emp!$R$4)+MATCH(P$5,DedListItem,0)-1,0),OFFSET(Setup!$E$73,MATCH(P$5,DedListItem,0),0,1,1))*$AA92)-SUMIFS(OFFSET(P$6,1,0,PayCount,1),PayDate,"&lt;"&amp;$AC92,PayEmp,$C92),IF(ISNA(MATCH(P$2,EarnListItem,0))=FALSE,IF(OFFSET(Setup!$G$73,MATCH(P$5,DedListItem,0),0,1,1)="Taxable",SUMPRODUCT((PayEmp=$C92)*(PayDate&lt;=$AC92)*(PayEarnCode=P$2)*(PayEarnTax)*(PayEarnValues)),SUMPRODUCT((PayEmp=$C92)*(PayDate&lt;=$AC92)*(PayEarnCode=P$2)*(PayEarnValues)))*IF(COUNTIFS(EmpNo,$C92,OFFSET(Emp!$R$4,1,MATCH(P$5,DedListItem,0)-1,EmpCount,1),"&lt;&gt;")&gt;0,VLOOKUP($C92,EmpAll,COLUMN(Emp!$R$4)+MATCH(P$5,DedListItem,0)-1,0),OFFSET(Setup!$E$73,MATCH(P$5,DedListItem,0),0,1,1)),(MIN(IF(OFFSET(Setup!$G$73,MATCH(P$5,DedListItem,0),0,1,1)="Taxable",SUMPRODUCT((PayEmp=$C92)*(PayDate&lt;=$AC92)*(ISERROR(SEARCH(PayEarnCode,P$4)))*(PayEarnTax)*(PayEarnValues)),SUMPRODUCT((PayEmp=$C92)*(PayDate&lt;=$AC92)*(ISERROR(SEARCH(PayEarnCode,P$4)))*(PayEarnValues))),IF(ISNUMBER(P$3),P$3/12*$AA92,IgnoreMin)))*IF(COUNTIFS(EmpNo,$C92,OFFSET(Emp!$R$4,1,MATCH(P$5,DedListItem,0)-1,EmpCount,1),"&lt;&gt;")&gt;0,VLOOKUP($C92,EmpAll,COLUMN(Emp!$R$4)+MATCH(P$5,DedListItem,0)-1,0),OFFSET(Setup!$E$73,MATCH(P$5,DedListItem,0),0,1,1)))-SUMIFS(OFFSET(P$6,1,0,PayCount,1),PayDate,"&lt;"&amp;$AC92,PayEmp,$C92))))))</f>
        <v>0</v>
      </c>
      <c r="Q92" s="133" cm="1">
        <f t="array" aca="1" ref="Q92" ca="1">IF($F92="Terminated",0,IF($AA92=0,0,IF(ISNA(MATCH(Q$5,DedListItem,0)),0,IF(COUNTIFS(OverEmp,$C92,OverDeduct,Q$5,OverDate,"&lt;"&amp;DATE(YEAR($AC92),MONTH($AC92)+1,1),OverEnd,"&gt;="&amp;DATE(YEAR($AC92),MONTH($AC92),1))&gt;0,SUMIFS(OverValue,OverEmp,$C92,OverDeduct,Q$5,OverDate,"&lt;"&amp;DATE(YEAR($AC92),MONTH($AC92)+1,1),OverEnd,"&gt;="&amp;DATE(YEAR($AC92),MONTH($AC92),1)),IF(OR(Q$2="Fixed",Q$2="Not Used"),(IF(COUNTIFS(EmpNo,$C92,OFFSET(Emp!$R$4,1,MATCH(Q$5,DedListItem,0)-1,EmpCount,1),"&lt;&gt;")&gt;0,VLOOKUP($C92,EmpAll,COLUMN(Emp!$R$4)+MATCH(Q$5,DedListItem,0)-1,0),OFFSET(Setup!$E$73,MATCH(Q$5,DedListItem,0),0,1,1))*$AA92)-SUMIFS(OFFSET(Q$6,1,0,PayCount,1),PayDate,"&lt;"&amp;$AC92,PayEmp,$C92),IF(ISNA(MATCH(Q$2,EarnListItem,0))=FALSE,IF(OFFSET(Setup!$G$73,MATCH(Q$5,DedListItem,0),0,1,1)="Taxable",SUMPRODUCT((PayEmp=$C92)*(PayDate&lt;=$AC92)*(PayEarnCode=Q$2)*(PayEarnTax)*(PayEarnValues)),SUMPRODUCT((PayEmp=$C92)*(PayDate&lt;=$AC92)*(PayEarnCode=Q$2)*(PayEarnValues)))*IF(COUNTIFS(EmpNo,$C92,OFFSET(Emp!$R$4,1,MATCH(Q$5,DedListItem,0)-1,EmpCount,1),"&lt;&gt;")&gt;0,VLOOKUP($C92,EmpAll,COLUMN(Emp!$R$4)+MATCH(Q$5,DedListItem,0)-1,0),OFFSET(Setup!$E$73,MATCH(Q$5,DedListItem,0),0,1,1)),(MIN(IF(OFFSET(Setup!$G$73,MATCH(Q$5,DedListItem,0),0,1,1)="Taxable",SUMPRODUCT((PayEmp=$C92)*(PayDate&lt;=$AC92)*(ISERROR(SEARCH(PayEarnCode,Q$4)))*(PayEarnTax)*(PayEarnValues)),SUMPRODUCT((PayEmp=$C92)*(PayDate&lt;=$AC92)*(ISERROR(SEARCH(PayEarnCode,Q$4)))*(PayEarnValues))),IF(ISNUMBER(Q$3),Q$3/12*$AA92,IgnoreMin)))*IF(COUNTIFS(EmpNo,$C92,OFFSET(Emp!$R$4,1,MATCH(Q$5,DedListItem,0)-1,EmpCount,1),"&lt;&gt;")&gt;0,VLOOKUP($C92,EmpAll,COLUMN(Emp!$R$4)+MATCH(Q$5,DedListItem,0)-1,0),OFFSET(Setup!$E$73,MATCH(Q$5,DedListItem,0),0,1,1)))-SUMIFS(OFFSET(Q$6,1,0,PayCount,1),PayDate,"&lt;"&amp;$AC92,PayEmp,$C92))))))</f>
        <v>0</v>
      </c>
      <c r="R92" s="185">
        <f t="shared" ca="1" si="37"/>
        <v>50</v>
      </c>
      <c r="S92" s="139">
        <f t="shared" ca="1" si="38"/>
        <v>4950</v>
      </c>
      <c r="T92" s="133" cm="1">
        <f t="array" aca="1" ref="T92" ca="1">IF($F92="Terminated",0,IF($AA92=0,0,IF(ISNA(MATCH(T$5,CompListItem,0)),0,IF(COUNTIFS(OverEmp,$C92,OverComp,T$5,OverDate,"&lt;"&amp;DATE(YEAR($AC92),MONTH($AC92)+1,1),OverEnd,"&gt;="&amp;DATE(YEAR($AC92),MONTH($AC92),1))&gt;0,SUMIFS(OverValue,OverEmp,$C92,OverComp,T$5,OverDate,"&lt;"&amp;DATE(YEAR($AC92),MONTH($AC92)+1,1),OverEnd,"&gt;="&amp;DATE(YEAR($AC92),MONTH($AC92),1)),IF(OR(T$2="Fixed",T$2="Not Used"),(OFFSET(Setup!$E$81,MATCH(T$5,CompListItem,0),0,1,1)*$AA92)-SUMIFS(OFFSET(T$6,1,0,PayCount,1),PayDate,"&lt;"&amp;$AC92,PayEmp,$C92),IF(ISNA(MATCH(T$2,DedListItem,0))=FALSE,(SUMPRODUCT((PayEmp=$C92)*(PayDate&lt;=$AC92)*(PayDedList=T$2)*(PayDedValues))*OFFSET(Setup!$E$81,MATCH(T$5,CompListItem,0),0,1,1))-SUMIFS(OFFSET(T$6,1,0,PayCount,1),PayDate,"&lt;"&amp;$AC92,PayEmp,$C92),(MIN(IF(OFFSET(Setup!$G$81,MATCH(T$5,CompListItem,0),0,1,1)="Taxable",SUMPRODUCT((PayEmp=$C92)*(PayDate&lt;=$AC92)*(ISERROR(SEARCH(PayEarnCode,T$4)))*(PayEarnTax)*(PayEarnValues)),SUMPRODUCT((PayEmp=$C92)*(PayDate&lt;=$AC92)*(ISERROR(SEARCH(PayEarnCode,T$4)))*(PayEarnValues))),IF(ISNUMBER(T$3),T$3/12*$AA92,IgnoreMin)))*OFFSET(Setup!$E$81,MATCH(T$5,CompListItem,0),0,1,1)-SUMIFS(OFFSET(T$6,1,0,PayCount,1),PayDate,"&lt;"&amp;$AC92,PayEmp,$C92)))))))</f>
        <v>50</v>
      </c>
      <c r="U92" s="133" cm="1">
        <f t="array" aca="1" ref="U92" ca="1">IF($F92="Terminated",0,IF($AA92=0,0,IF(ISNA(MATCH(U$5,CompListItem,0)),0,IF(COUNTIFS(OverEmp,$C92,OverComp,U$5,OverDate,"&lt;"&amp;DATE(YEAR($AC92),MONTH($AC92)+1,1),OverEnd,"&gt;="&amp;DATE(YEAR($AC92),MONTH($AC92),1))&gt;0,SUMIFS(OverValue,OverEmp,$C92,OverComp,U$5,OverDate,"&lt;"&amp;DATE(YEAR($AC92),MONTH($AC92)+1,1),OverEnd,"&gt;="&amp;DATE(YEAR($AC92),MONTH($AC92),1)),IF(OR(U$2="Fixed",U$2="Not Used"),(OFFSET(Setup!$E$81,MATCH(U$5,CompListItem,0),0,1,1)*$AA92)-SUMIFS(OFFSET(U$6,1,0,PayCount,1),PayDate,"&lt;"&amp;$AC92,PayEmp,$C92),IF(ISNA(MATCH(U$2,DedListItem,0))=FALSE,(SUMPRODUCT((PayEmp=$C92)*(PayDate&lt;=$AC92)*(PayDedList=U$2)*(PayDedValues))*OFFSET(Setup!$E$81,MATCH(U$5,CompListItem,0),0,1,1))-SUMIFS(OFFSET(U$6,1,0,PayCount,1),PayDate,"&lt;"&amp;$AC92,PayEmp,$C92),(MIN(IF(OFFSET(Setup!$G$81,MATCH(U$5,CompListItem,0),0,1,1)="Taxable",SUMPRODUCT((PayEmp=$C92)*(PayDate&lt;=$AC92)*(ISERROR(SEARCH(PayEarnCode,U$4)))*(PayEarnTax)*(PayEarnValues)),SUMPRODUCT((PayEmp=$C92)*(PayDate&lt;=$AC92)*(ISERROR(SEARCH(PayEarnCode,U$4)))*(PayEarnValues))),IF(ISNUMBER(U$3),U$3/12*$AA92,IgnoreMin)))*OFFSET(Setup!$E$81,MATCH(U$5,CompListItem,0),0,1,1)-SUMIFS(OFFSET(U$6,1,0,PayCount,1),PayDate,"&lt;"&amp;$AC92,PayEmp,$C92)))))))</f>
        <v>50</v>
      </c>
      <c r="V92" s="133" cm="1">
        <f t="array" aca="1" ref="V92" ca="1">IF($F92="Terminated",0,IF($AA92=0,0,IF(ISNA(MATCH(V$5,CompListItem,0)),0,IF(COUNTIFS(OverEmp,$C92,OverComp,V$5,OverDate,"&lt;"&amp;DATE(YEAR($AC92),MONTH($AC92)+1,1),OverEnd,"&gt;="&amp;DATE(YEAR($AC92),MONTH($AC92),1))&gt;0,SUMIFS(OverValue,OverEmp,$C92,OverComp,V$5,OverDate,"&lt;"&amp;DATE(YEAR($AC92),MONTH($AC92)+1,1),OverEnd,"&gt;="&amp;DATE(YEAR($AC92),MONTH($AC92),1)),IF(OR(V$2="Fixed",V$2="Not Used"),(OFFSET(Setup!$E$81,MATCH(V$5,CompListItem,0),0,1,1)*$AA92)-SUMIFS(OFFSET(V$6,1,0,PayCount,1),PayDate,"&lt;"&amp;$AC92,PayEmp,$C92),IF(ISNA(MATCH(V$2,DedListItem,0))=FALSE,(SUMPRODUCT((PayEmp=$C92)*(PayDate&lt;=$AC92)*(PayDedList=V$2)*(PayDedValues))*OFFSET(Setup!$E$81,MATCH(V$5,CompListItem,0),0,1,1))-SUMIFS(OFFSET(V$6,1,0,PayCount,1),PayDate,"&lt;"&amp;$AC92,PayEmp,$C92),(MIN(IF(OFFSET(Setup!$G$81,MATCH(V$5,CompListItem,0),0,1,1)="Taxable",SUMPRODUCT((PayEmp=$C92)*(PayDate&lt;=$AC92)*(ISERROR(SEARCH(PayEarnCode,V$4)))*(PayEarnTax)*(PayEarnValues)),SUMPRODUCT((PayEmp=$C92)*(PayDate&lt;=$AC92)*(ISERROR(SEARCH(PayEarnCode,V$4)))*(PayEarnValues))),IF(ISNUMBER(V$3),V$3/12*$AA92,IgnoreMin)))*OFFSET(Setup!$E$81,MATCH(V$5,CompListItem,0),0,1,1)-SUMIFS(OFFSET(V$6,1,0,PayCount,1),PayDate,"&lt;"&amp;$AC92,PayEmp,$C92)))))))</f>
        <v>0</v>
      </c>
      <c r="W92" s="133" cm="1">
        <f t="array" aca="1" ref="W92" ca="1">IF($F92="Terminated",0,IF($AA92=0,0,IF(ISNA(MATCH(W$5,CompListItem,0)),0,IF(COUNTIFS(OverEmp,$C92,OverComp,W$5,OverDate,"&lt;"&amp;DATE(YEAR($AC92),MONTH($AC92)+1,1),OverEnd,"&gt;="&amp;DATE(YEAR($AC92),MONTH($AC92),1))&gt;0,SUMIFS(OverValue,OverEmp,$C92,OverComp,W$5,OverDate,"&lt;"&amp;DATE(YEAR($AC92),MONTH($AC92)+1,1),OverEnd,"&gt;="&amp;DATE(YEAR($AC92),MONTH($AC92),1)),IF(OR(W$2="Fixed",W$2="Not Used"),(OFFSET(Setup!$E$81,MATCH(W$5,CompListItem,0),0,1,1)*$AA92)-SUMIFS(OFFSET(W$6,1,0,PayCount,1),PayDate,"&lt;"&amp;$AC92,PayEmp,$C92),IF(ISNA(MATCH(W$2,DedListItem,0))=FALSE,(SUMPRODUCT((PayEmp=$C92)*(PayDate&lt;=$AC92)*(PayDedList=W$2)*(PayDedValues))*OFFSET(Setup!$E$81,MATCH(W$5,CompListItem,0),0,1,1))-SUMIFS(OFFSET(W$6,1,0,PayCount,1),PayDate,"&lt;"&amp;$AC92,PayEmp,$C92),(MIN(IF(OFFSET(Setup!$G$81,MATCH(W$5,CompListItem,0),0,1,1)="Taxable",SUMPRODUCT((PayEmp=$C92)*(PayDate&lt;=$AC92)*(ISERROR(SEARCH(PayEarnCode,W$4)))*(PayEarnTax)*(PayEarnValues)),SUMPRODUCT((PayEmp=$C92)*(PayDate&lt;=$AC92)*(ISERROR(SEARCH(PayEarnCode,W$4)))*(PayEarnValues))),IF(ISNUMBER(W$3),W$3/12*$AA92,IgnoreMin)))*OFFSET(Setup!$E$81,MATCH(W$5,CompListItem,0),0,1,1)-SUMIFS(OFFSET(W$6,1,0,PayCount,1),PayDate,"&lt;"&amp;$AC92,PayEmp,$C92)))))))</f>
        <v>0</v>
      </c>
      <c r="X92" s="185">
        <f t="shared" ca="1" si="30"/>
        <v>100</v>
      </c>
      <c r="Y92" s="139">
        <f t="shared" ca="1" si="39"/>
        <v>5100</v>
      </c>
      <c r="Z92" s="139">
        <f t="shared" ca="1" si="31"/>
        <v>150</v>
      </c>
      <c r="AA92" s="146">
        <f ca="1">IF(OR($B92&lt;=Setup!$E$12,$B92&gt;=Setup!$D$12+1),0,IF($F92&lt;&gt;"Active",0,IF($AE92="Yes",$AB92,((YEAR($AC92)*12)+MONTH($AC92))-((YEAR($AD92)*12)+MONTH($AD92)-1))))</f>
        <v>6</v>
      </c>
      <c r="AB92" s="146">
        <f ca="1">IF(OR($B92&lt;=Setup!$E$12,$B92&gt;=Setup!$D$12+1),0,((YEAR($AC92)*12)+MONTH($AC92))-((YEAR(Setup!$E$12)*12)+MONTH(Setup!$E$12)))</f>
        <v>6</v>
      </c>
      <c r="AC92" s="186">
        <f t="shared" ca="1" si="32"/>
        <v>45163</v>
      </c>
      <c r="AD92" s="144">
        <f ca="1">IF(ISNA(VLOOKUP($C92,EmpAll,COLUMN(Emp!$E$4),0)),$AC92,IF(VLOOKUP($C92,EmpAll,COLUMN(Emp!$E$4),0)&lt;=Setup!$E$12,DATE(YEAR(Setup!$E$12),MONTH(Setup!$E$12)+1,1),VLOOKUP($C92,EmpAll,COLUMN(Emp!$E$4),0)))</f>
        <v>44986</v>
      </c>
      <c r="AE92" s="144" t="str">
        <f ca="1">IF(ISNA(VLOOKUP($C92,EmpAll,COLUMN(Emp!$G$1),0)),"-",IF(VLOOKUP($C92,EmpAll,COLUMN(Emp!$G$1),0)=0,"-",VLOOKUP($C92,EmpAll,COLUMN(Emp!$G$1),0)))</f>
        <v>-</v>
      </c>
      <c r="AF92" s="145">
        <f ca="1">IF(A92=PaySlip!$G$3,1,0)</f>
        <v>0</v>
      </c>
      <c r="AG92" s="130" cm="1">
        <f t="array" aca="1" ref="AG92" ca="1">IF(COUNTIFS(OverEmp,$C92,OverMed,"MED",OverDate,"&lt;"&amp;DATE(YEAR($AC92),MONTH($AC92)+1,1),OverEnd,"&gt;="&amp;DATE(YEAR($AC92),MONTH($AC92),1))&gt;0,SUMIFS(OverValue,OverEmp,$C92,OverMed,"MED",OverDate,"&lt;"&amp;DATE(YEAR($AC92),MONTH($AC92)+1,1),OverEnd,"&gt;="&amp;DATE(YEAR($AC92),MONTH($AC92),1)),IF(ISNA(VLOOKUP($C92,EmpAll,COLUMN(Emp!$N$4),0)),0,VLOOKUP($C92,EmpAll,COLUMN(Emp!$N$4),0)))</f>
        <v>0</v>
      </c>
      <c r="AH92" s="146">
        <f ca="1">VLOOKUP($AG92,MedList,COLUMN(Setup!$C$49),1)</f>
        <v>0</v>
      </c>
      <c r="AI92" s="146">
        <f t="shared" ca="1" si="40"/>
        <v>0</v>
      </c>
      <c r="AJ92" s="101" t="str">
        <f ca="1">IF(ISNA(VLOOKUP($C92,EmpAll,COLUMN(Emp!$L$4),0)),"None!",VLOOKUP($C92,EmpAll,COLUMN(Emp!$L$4),0))</f>
        <v>A</v>
      </c>
      <c r="AK92" s="147">
        <f t="shared" ca="1" si="33"/>
        <v>17235</v>
      </c>
      <c r="AL92" s="101" t="str">
        <f ca="1">IF(ISNA(VLOOKUP($C92,Employees[],COLUMN(Emp!$M$4),0))=TRUE,"Error!",IF(VLOOKUP($C92,Employees[],COLUMN(Emp!$M$4),0)=0,"Yes",VLOOKUP($C92,Employees[],COLUMN(Emp!$M$4),0)))</f>
        <v>A</v>
      </c>
      <c r="AM92" s="148">
        <f t="shared" ca="1" si="41"/>
        <v>60000</v>
      </c>
      <c r="AN92" s="148" cm="1">
        <f t="array" aca="1" ref="AN92" ca="1">-IF($F92="Terminated",0,IF($AA92=0,0,IF(ISNA(MATCH(AN$5,PayDedList,0)),0,MIN(IF(COUNTIFS(OverEmp,$C92,OverDeduct,AN$5,OverDate,"&lt;"&amp;DATE(YEAR($AC92),MONTH($AC92)+1,1),OverEnd,"&gt;="&amp;DATE(YEAR($AC92),MONTH($AC92),1))&gt;0,SUMPRODUCT((PayEmp=$C92)*(PayDate&lt;=$AC92)*(OFFSET($N$6,1,MATCH(AN$5,PayDedList,0)-1,PayCount,1)))/$AA92*12*AN$3,IF(OR(AN$1="Fixed",AN$1="Not Used"),SUMPRODUCT((PayEmp=$C92)*(PayDate&lt;=$AC92)*(OFFSET($N$6,1,MATCH(AN$5,PayDedList,0)-1,PayCount,1)))/$AA92*12*AN$3,IF(ISNA(MATCH(AN$1,EarnListItem,0))=FALSE,SUMPRODUCT((PayEmp=$C92)*(PayDate&lt;=$AC92)*(OFFSET($N$6,1,MATCH(AN$5,PayDedList,0)-1,PayCount,1)))/$AA92*12*AN$3,(MIN(((SUMPRODUCT((PayEmp=$C92)*(PayDate&lt;=$AC92)*(ISERROR(SEARCH(PayEarnCode,AN$2)))*(PayEarnType="Monthly")*(PayEarnValues))/$AA92*12)+(SUMPRODUCT((PayEmp=$C92)*(PayDate&lt;=$AC92)*(ISERROR(SEARCH(PayEarnCode,AN$2)))*(PayEarnType="Quarterly")*(PayEarnValues))/MAX(1,ROUNDDOWN($AB92/3,0))*4)+(SUMPRODUCT((PayEmp=$C92)*(PayDate&lt;=$AC92)*(ISERROR(SEARCH(PayEarnCode,AN$2)))*(PayEarnType="Bi-Annual")*(PayEarnValues))/MAX(1,ROUNDDOWN($AB92/6,0))*2)+(SUMPRODUCT((PayEmp=$C92)*(PayDate&lt;=$AC92)*(ISERROR(SEARCH(PayEarnCode,AN$2)))*(PayEarnType="Annual")*(PayEarnValues)))),IF(ISNUMBER(OFFSET($N$3,0,MATCH(AN$5,PayDedList,0)-1,1,1)),OFFSET($N$3,0,MATCH(AN$5,PayDedList,0)-1,1,1),IgnoreMin)))*IF(COUNTIFS(EmpNo,$C92,OFFSET(Emp!$R$4,1,MATCH(AN$5,DedListItem,0)-1,EmpCount,1),"&lt;&gt;")&gt;0,VLOOKUP($C92,EmpAll,COLUMN(Emp!$R$4)+MATCH(AN$5,DedListItem,0)-1,0),OFFSET(Setup!$E$73,MATCH(AN$5,DedListItem,0),0,1,1))*AN$3))),IF(ISNUMBER(AN$4),AN$4,IgnoreMin)))))</f>
        <v>0</v>
      </c>
      <c r="AO92" s="148" cm="1">
        <f t="array" aca="1" ref="AO92" ca="1">-IF($F92="Terminated",0,IF($AA92=0,0,IF(ISNA(MATCH(AO$5,PayDedList,0)),0,MIN(IF(COUNTIFS(OverEmp,$C92,OverDeduct,AO$5,OverDate,"&lt;"&amp;DATE(YEAR($AC92),MONTH($AC92)+1,1),OverEnd,"&gt;="&amp;DATE(YEAR($AC92),MONTH($AC92),1))&gt;0,SUMPRODUCT((PayEmp=$C92)*(PayDate&lt;=$AC92)*(OFFSET($N$6,1,MATCH(AO$5,PayDedList,0)-1,PayCount,1)))/$AA92*12*AO$3,IF(OR(AO$1="Fixed",AO$1="Not Used"),SUMPRODUCT((PayEmp=$C92)*(PayDate&lt;=$AC92)*(OFFSET($N$6,1,MATCH(AO$5,PayDedList,0)-1,PayCount,1)))/$AA92*12*AO$3,IF(ISNA(MATCH(AO$1,EarnListItem,0))=FALSE,SUMPRODUCT((PayEmp=$C92)*(PayDate&lt;=$AC92)*(OFFSET($N$6,1,MATCH(AO$5,PayDedList,0)-1,PayCount,1)))/$AA92*12*AO$3,(MIN(((SUMPRODUCT((PayEmp=$C92)*(PayDate&lt;=$AC92)*(ISERROR(SEARCH(PayEarnCode,AO$2)))*(PayEarnType="Monthly")*(PayEarnValues))/$AA92*12)+(SUMPRODUCT((PayEmp=$C92)*(PayDate&lt;=$AC92)*(ISERROR(SEARCH(PayEarnCode,AO$2)))*(PayEarnType="Quarterly")*(PayEarnValues))/MAX(1,ROUNDDOWN($AB92/3,0))*4)+(SUMPRODUCT((PayEmp=$C92)*(PayDate&lt;=$AC92)*(ISERROR(SEARCH(PayEarnCode,AO$2)))*(PayEarnType="Bi-Annual")*(PayEarnValues))/MAX(1,ROUNDDOWN($AB92/6,0))*2)+(SUMPRODUCT((PayEmp=$C92)*(PayDate&lt;=$AC92)*(ISERROR(SEARCH(PayEarnCode,AO$2)))*(PayEarnType="Annual")*(PayEarnValues)))),IF(ISNUMBER(OFFSET($N$3,0,MATCH(AO$5,PayDedList,0)-1,1,1)),OFFSET($N$3,0,MATCH(AO$5,PayDedList,0)-1,1,1),IgnoreMin)))*IF(COUNTIFS(EmpNo,$C92,OFFSET(Emp!$R$4,1,MATCH(AO$5,DedListItem,0)-1,EmpCount,1),"&lt;&gt;")&gt;0,VLOOKUP($C92,EmpAll,COLUMN(Emp!$R$4)+MATCH(AO$5,DedListItem,0)-1,0),OFFSET(Setup!$E$73,MATCH(AO$5,DedListItem,0),0,1,1))*AO$3))),IF(ISNUMBER(AO$4),AO$4,IgnoreMin)))))</f>
        <v>0</v>
      </c>
      <c r="AP92" s="148" cm="1">
        <f t="array" aca="1" ref="AP92" ca="1">-IF($F92="Terminated",0,IF($AA92=0,0,IF(ISNA(MATCH(AP$5,PayDedList,0)),0,MIN(IF(COUNTIFS(OverEmp,$C92,OverDeduct,AP$5,OverDate,"&lt;"&amp;DATE(YEAR($AC92),MONTH($AC92)+1,1),OverEnd,"&gt;="&amp;DATE(YEAR($AC92),MONTH($AC92),1))&gt;0,SUMPRODUCT((PayEmp=$C92)*(PayDate&lt;=$AC92)*(OFFSET($N$6,1,MATCH(AP$5,PayDedList,0)-1,PayCount,1)))/$AA92*12*AP$3,IF(OR(AP$1="Fixed",AP$1="Not Used"),SUMPRODUCT((PayEmp=$C92)*(PayDate&lt;=$AC92)*(OFFSET($N$6,1,MATCH(AP$5,PayDedList,0)-1,PayCount,1)))/$AA92*12*AP$3,IF(ISNA(MATCH(AP$1,EarnListItem,0))=FALSE,SUMPRODUCT((PayEmp=$C92)*(PayDate&lt;=$AC92)*(OFFSET($N$6,1,MATCH(AP$5,PayDedList,0)-1,PayCount,1)))/$AA92*12*AP$3,(MIN(((SUMPRODUCT((PayEmp=$C92)*(PayDate&lt;=$AC92)*(ISERROR(SEARCH(PayEarnCode,AP$2)))*(PayEarnType="Monthly")*(PayEarnValues))/$AA92*12)+(SUMPRODUCT((PayEmp=$C92)*(PayDate&lt;=$AC92)*(ISERROR(SEARCH(PayEarnCode,AP$2)))*(PayEarnType="Quarterly")*(PayEarnValues))/MAX(1,ROUNDDOWN($AB92/3,0))*4)+(SUMPRODUCT((PayEmp=$C92)*(PayDate&lt;=$AC92)*(ISERROR(SEARCH(PayEarnCode,AP$2)))*(PayEarnType="Bi-Annual")*(PayEarnValues))/MAX(1,ROUNDDOWN($AB92/6,0))*2)+(SUMPRODUCT((PayEmp=$C92)*(PayDate&lt;=$AC92)*(ISERROR(SEARCH(PayEarnCode,AP$2)))*(PayEarnType="Annual")*(PayEarnValues)))),IF(ISNUMBER(OFFSET($N$3,0,MATCH(AP$5,PayDedList,0)-1,1,1)),OFFSET($N$3,0,MATCH(AP$5,PayDedList,0)-1,1,1),IgnoreMin)))*IF(COUNTIFS(EmpNo,$C92,OFFSET(Emp!$R$4,1,MATCH(AP$5,DedListItem,0)-1,EmpCount,1),"&lt;&gt;")&gt;0,VLOOKUP($C92,EmpAll,COLUMN(Emp!$R$4)+MATCH(AP$5,DedListItem,0)-1,0),OFFSET(Setup!$E$73,MATCH(AP$5,DedListItem,0),0,1,1))*AP$3))),IF(ISNUMBER(AP$4),AP$4,IgnoreMin)))))</f>
        <v>0</v>
      </c>
      <c r="AQ92" s="148" cm="1">
        <f t="array" aca="1" ref="AQ92" ca="1">-IF($F92="Terminated",0,IF($AA92=0,0,IF(ISNA(MATCH(AQ$5,PayDedList,0)),0,MIN(IF(COUNTIFS(OverEmp,$C92,OverDeduct,AQ$5,OverDate,"&lt;"&amp;DATE(YEAR($AC92),MONTH($AC92)+1,1),OverEnd,"&gt;="&amp;DATE(YEAR($AC92),MONTH($AC92),1))&gt;0,SUMPRODUCT((PayEmp=$C92)*(PayDate&lt;=$AC92)*(OFFSET($N$6,1,MATCH(AQ$5,PayDedList,0)-1,PayCount,1)))/$AA92*12*AQ$3,IF(OR(AQ$1="Fixed",AQ$1="Not Used"),SUMPRODUCT((PayEmp=$C92)*(PayDate&lt;=$AC92)*(OFFSET($N$6,1,MATCH(AQ$5,PayDedList,0)-1,PayCount,1)))/$AA92*12*AQ$3,IF(ISNA(MATCH(AQ$1,EarnListItem,0))=FALSE,SUMPRODUCT((PayEmp=$C92)*(PayDate&lt;=$AC92)*(OFFSET($N$6,1,MATCH(AQ$5,PayDedList,0)-1,PayCount,1)))/$AA92*12*AQ$3,(MIN(((SUMPRODUCT((PayEmp=$C92)*(PayDate&lt;=$AC92)*(ISERROR(SEARCH(PayEarnCode,AQ$2)))*(PayEarnType="Monthly")*(PayEarnValues))/$AA92*12)+(SUMPRODUCT((PayEmp=$C92)*(PayDate&lt;=$AC92)*(ISERROR(SEARCH(PayEarnCode,AQ$2)))*(PayEarnType="Quarterly")*(PayEarnValues))/MAX(1,ROUNDDOWN($AB92/3,0))*4)+(SUMPRODUCT((PayEmp=$C92)*(PayDate&lt;=$AC92)*(ISERROR(SEARCH(PayEarnCode,AQ$2)))*(PayEarnType="Bi-Annual")*(PayEarnValues))/MAX(1,ROUNDDOWN($AB92/6,0))*2)+(SUMPRODUCT((PayEmp=$C92)*(PayDate&lt;=$AC92)*(ISERROR(SEARCH(PayEarnCode,AQ$2)))*(PayEarnType="Annual")*(PayEarnValues)))),IF(ISNUMBER(OFFSET($N$3,0,MATCH(AQ$5,PayDedList,0)-1,1,1)),OFFSET($N$3,0,MATCH(AQ$5,PayDedList,0)-1,1,1),IgnoreMin)))*IF(COUNTIFS(EmpNo,$C92,OFFSET(Emp!$R$4,1,MATCH(AQ$5,DedListItem,0)-1,EmpCount,1),"&lt;&gt;")&gt;0,VLOOKUP($C92,EmpAll,COLUMN(Emp!$R$4)+MATCH(AQ$5,DedListItem,0)-1,0),OFFSET(Setup!$E$73,MATCH(AQ$5,DedListItem,0),0,1,1))*AQ$3))),IF(ISNUMBER(AQ$4),AQ$4,IgnoreMin)))))</f>
        <v>0</v>
      </c>
      <c r="AR92" s="148">
        <f t="shared" ca="1" si="34"/>
        <v>60000</v>
      </c>
      <c r="AS92" s="148">
        <f t="shared" ca="1" si="42"/>
        <v>60000</v>
      </c>
      <c r="AT92" s="148" cm="1">
        <f t="array" aca="1" ref="AT92" ca="1">-IF($F92="Terminated",0,IF($AA92=0,0,IF(ISNA(MATCH(AT$5,PayDedList,0)),0,MIN(IF(COUNTIFS(OverEmp,$C92,OverDeduct,AT$5,OverDate,"&lt;"&amp;DATE(YEAR($AC92),MONTH($AC92)+1,1),OverEnd,"&gt;="&amp;DATE(YEAR($AC92),MONTH($AC92),1))&gt;0,SUMPRODUCT((PayEmp=$C92)*(PayDate&lt;=$AC92)*(OFFSET($N$6,1,MATCH(AT$5,PayDedList,0)-1,PayCount,1)))/$AA92*12*AT$3,IF(OR(AT$1="Fixed",AT$1="Not Used"),SUMPRODUCT((PayEmp=$C92)*(PayDate&lt;=$AC92)*(OFFSET($N$6,1,MATCH(AT$5,PayDedList,0)-1,PayCount,1)))/$AA92*12*AT$3,IF(ISNA(MATCH(OFFSET($N$2,0,MATCH(AT$5,PayDedList,0)-1,1,1),EarnListItem,0))=FALSE,SUMPRODUCT((PayEmp=$C92)*(PayDate&lt;=$AC92)*(OFFSET($N$6,1,MATCH(AT$5,PayDedList,0)-1,PayCount,1)))/$AA92*12*AT$3,(MIN(SUMPRODUCT((PayEmp=$C92)*(PayDate&lt;=$AC92)*(ISERROR(SEARCH(PayEarnCode,AT$2)))*(PayEarnType="Monthly")*(PayEarnValues))/$AA92*12,IF(ISNUMBER(OFFSET($N$3,0,MATCH(AT$5,PayDedList,0)-1,1,1)),OFFSET($N$3,0,MATCH(AT$5,PayDedList,0)-1,1,1),IgnoreMin)))*IF(COUNTIFS(EmpNo,$C92,OFFSET(Emp!$R$4,1,MATCH(AT$5,DedListItem,0)-1,EmpCount,1),"&lt;&gt;")&gt;0,VLOOKUP($C92,EmpAll,COLUMN(Emp!$R$4)+MATCH(AT$5,DedListItem,0)-1,0),OFFSET(Setup!$E$73,MATCH(AT$5,DedListItem,0),0,1,1))*AT$3))),IF(ISNUMBER(AT$4),AT$4,IgnoreMin)))))</f>
        <v>0</v>
      </c>
      <c r="AU92" s="148" cm="1">
        <f t="array" aca="1" ref="AU92" ca="1">-IF($F92="Terminated",0,IF($AA92=0,0,IF(ISNA(MATCH(AU$5,PayDedList,0)),0,MIN(IF(COUNTIFS(OverEmp,$C92,OverDeduct,AU$5,OverDate,"&lt;"&amp;DATE(YEAR($AC92),MONTH($AC92)+1,1),OverEnd,"&gt;="&amp;DATE(YEAR($AC92),MONTH($AC92),1))&gt;0,SUMPRODUCT((PayEmp=$C92)*(PayDate&lt;=$AC92)*(OFFSET($N$6,1,MATCH(AU$5,PayDedList,0)-1,PayCount,1)))/$AA92*12*AU$3,IF(OR(AU$1="Fixed",AU$1="Not Used"),SUMPRODUCT((PayEmp=$C92)*(PayDate&lt;=$AC92)*(OFFSET($N$6,1,MATCH(AU$5,PayDedList,0)-1,PayCount,1)))/$AA92*12*AU$3,IF(ISNA(MATCH(OFFSET($N$2,0,MATCH(AU$5,PayDedList,0)-1,1,1),EarnListItem,0))=FALSE,SUMPRODUCT((PayEmp=$C92)*(PayDate&lt;=$AC92)*(OFFSET($N$6,1,MATCH(AU$5,PayDedList,0)-1,PayCount,1)))/$AA92*12*AU$3,(MIN(SUMPRODUCT((PayEmp=$C92)*(PayDate&lt;=$AC92)*(ISERROR(SEARCH(PayEarnCode,AU$2)))*(PayEarnType="Monthly")*(PayEarnValues))/$AA92*12,IF(ISNUMBER(OFFSET($N$3,0,MATCH(AU$5,PayDedList,0)-1,1,1)),OFFSET($N$3,0,MATCH(AU$5,PayDedList,0)-1,1,1),IgnoreMin)))*IF(COUNTIFS(EmpNo,$C92,OFFSET(Emp!$R$4,1,MATCH(AU$5,DedListItem,0)-1,EmpCount,1),"&lt;&gt;")&gt;0,VLOOKUP($C92,EmpAll,COLUMN(Emp!$R$4)+MATCH(AU$5,DedListItem,0)-1,0),OFFSET(Setup!$E$73,MATCH(AU$5,DedListItem,0),0,1,1))*AU$3))),IF(ISNUMBER(AU$4),AU$4,IgnoreMin)))))</f>
        <v>0</v>
      </c>
      <c r="AV92" s="148" cm="1">
        <f t="array" aca="1" ref="AV92" ca="1">-IF($F92="Terminated",0,IF($AA92=0,0,IF(ISNA(MATCH(AV$5,PayDedList,0)),0,MIN(IF(COUNTIFS(OverEmp,$C92,OverDeduct,AV$5,OverDate,"&lt;"&amp;DATE(YEAR($AC92),MONTH($AC92)+1,1),OverEnd,"&gt;="&amp;DATE(YEAR($AC92),MONTH($AC92),1))&gt;0,SUMPRODUCT((PayEmp=$C92)*(PayDate&lt;=$AC92)*(OFFSET($N$6,1,MATCH(AV$5,PayDedList,0)-1,PayCount,1)))/$AA92*12*AV$3,IF(OR(AV$1="Fixed",AV$1="Not Used"),SUMPRODUCT((PayEmp=$C92)*(PayDate&lt;=$AC92)*(OFFSET($N$6,1,MATCH(AV$5,PayDedList,0)-1,PayCount,1)))/$AA92*12*AV$3,IF(ISNA(MATCH(OFFSET($N$2,0,MATCH(AV$5,PayDedList,0)-1,1,1),EarnListItem,0))=FALSE,SUMPRODUCT((PayEmp=$C92)*(PayDate&lt;=$AC92)*(OFFSET($N$6,1,MATCH(AV$5,PayDedList,0)-1,PayCount,1)))/$AA92*12*AV$3,(MIN(SUMPRODUCT((PayEmp=$C92)*(PayDate&lt;=$AC92)*(ISERROR(SEARCH(PayEarnCode,AV$2)))*(PayEarnType="Monthly")*(PayEarnValues))/$AA92*12,IF(ISNUMBER(OFFSET($N$3,0,MATCH(AV$5,PayDedList,0)-1,1,1)),OFFSET($N$3,0,MATCH(AV$5,PayDedList,0)-1,1,1),IgnoreMin)))*IF(COUNTIFS(EmpNo,$C92,OFFSET(Emp!$R$4,1,MATCH(AV$5,DedListItem,0)-1,EmpCount,1),"&lt;&gt;")&gt;0,VLOOKUP($C92,EmpAll,COLUMN(Emp!$R$4)+MATCH(AV$5,DedListItem,0)-1,0),OFFSET(Setup!$E$73,MATCH(AV$5,DedListItem,0),0,1,1))*AV$3))),IF(ISNUMBER(AV$4),AV$4,IgnoreMin)))))</f>
        <v>0</v>
      </c>
      <c r="AW92" s="148" cm="1">
        <f t="array" aca="1" ref="AW92" ca="1">-IF($F92="Terminated",0,IF($AA92=0,0,IF(ISNA(MATCH(AW$5,PayDedList,0)),0,MIN(IF(COUNTIFS(OverEmp,$C92,OverDeduct,AW$5,OverDate,"&lt;"&amp;DATE(YEAR($AC92),MONTH($AC92)+1,1),OverEnd,"&gt;="&amp;DATE(YEAR($AC92),MONTH($AC92),1))&gt;0,SUMPRODUCT((PayEmp=$C92)*(PayDate&lt;=$AC92)*(OFFSET($N$6,1,MATCH(AW$5,PayDedList,0)-1,PayCount,1)))/$AA92*12*AW$3,IF(OR(AW$1="Fixed",AW$1="Not Used"),SUMPRODUCT((PayEmp=$C92)*(PayDate&lt;=$AC92)*(OFFSET($N$6,1,MATCH(AW$5,PayDedList,0)-1,PayCount,1)))/$AA92*12*AW$3,IF(ISNA(MATCH(OFFSET($N$2,0,MATCH(AW$5,PayDedList,0)-1,1,1),EarnListItem,0))=FALSE,SUMPRODUCT((PayEmp=$C92)*(PayDate&lt;=$AC92)*(OFFSET($N$6,1,MATCH(AW$5,PayDedList,0)-1,PayCount,1)))/$AA92*12*AW$3,(MIN(SUMPRODUCT((PayEmp=$C92)*(PayDate&lt;=$AC92)*(ISERROR(SEARCH(PayEarnCode,AW$2)))*(PayEarnType="Monthly")*(PayEarnValues))/$AA92*12,IF(ISNUMBER(OFFSET($N$3,0,MATCH(AW$5,PayDedList,0)-1,1,1)),OFFSET($N$3,0,MATCH(AW$5,PayDedList,0)-1,1,1),IgnoreMin)))*IF(COUNTIFS(EmpNo,$C92,OFFSET(Emp!$R$4,1,MATCH(AW$5,DedListItem,0)-1,EmpCount,1),"&lt;&gt;")&gt;0,VLOOKUP($C92,EmpAll,COLUMN(Emp!$R$4)+MATCH(AW$5,DedListItem,0)-1,0),OFFSET(Setup!$E$73,MATCH(AW$5,DedListItem,0),0,1,1))*AW$3))),IF(ISNUMBER(AW$4),AW$4,IgnoreMin)))))</f>
        <v>0</v>
      </c>
      <c r="AX92" s="148">
        <f t="shared" ca="1" si="43"/>
        <v>60000</v>
      </c>
      <c r="AY92" s="148">
        <f t="shared" ca="1" si="44"/>
        <v>0</v>
      </c>
      <c r="AZ92" s="148">
        <f ca="1">IF(ISNUMBER($AL92),($AR92*$AL92)-$AI92-$AK92,MAX(0,IF($AL92="B",IF($AR92&lt;Setup!$C$32,($AR92*Setup!$D$32)-$AI92-$AK92,(($AR92-VLOOKUP($AR92,TaxAll2,1,1))*OFFSET(Setup!$D$32,MATCH($AR92,TaxBracket2,1),0,1,1))+OFFSET(Setup!$E$31,MATCH($AR92,TaxBracket2,1),0,1,1)-$AI92-$AK92),IF($AR92&lt;Setup!$C$21,($AR92*Setup!$D$21)-$AI92-$AK92,(($AR92-VLOOKUP($AR92,TaxAll1,1,1))*OFFSET(Setup!$D$21,MATCH($AR92,TaxBracket1,1),0,1,1))+OFFSET(Setup!$E$20,MATCH($AR92,TaxBracket1,1),0,1,1)-$AI92-$AK92))))</f>
        <v>0</v>
      </c>
      <c r="BA92" s="148">
        <f ca="1">IF(ISNUMBER($AL92),($AX92*$AL92)-$AI92-$AK92,MAX(0,IF($AL92="B",IF($AX92&lt;Setup!$C$32,($AX92*Setup!$D$32)-$AI92-$AK92,(($AX92-VLOOKUP($AX92,TaxAll2,1,1))*OFFSET(Setup!$D$32,MATCH($AX92,TaxBracket2,1),0,1,1))+OFFSET(Setup!$E$31,MATCH($AX92,TaxBracket2,1),0,1,1)-$AI92-$AK92),IF($AX92&lt;Setup!$C$21,($AX92*Setup!$D$21)-$AI92-$AK92,(($AX92-VLOOKUP($AX92,TaxAll1,1,1))*OFFSET(Setup!$D$21,MATCH($AX92,TaxBracket1,1),0,1,1))+OFFSET(Setup!$E$20,MATCH($AX92,TaxBracket1,1),0,1,1)-$AI92-$AK92))))</f>
        <v>0</v>
      </c>
      <c r="BB92" s="148">
        <f t="shared" ca="1" si="35"/>
        <v>0</v>
      </c>
      <c r="BC92" s="150">
        <f t="shared" ca="1" si="45"/>
        <v>1</v>
      </c>
      <c r="BD92" s="150">
        <f t="shared" ca="1" si="46"/>
        <v>0</v>
      </c>
      <c r="BE92" s="148">
        <f t="shared" ca="1" si="47"/>
        <v>60000</v>
      </c>
    </row>
    <row r="93" spans="1:57" ht="16.149999999999999" customHeight="1" x14ac:dyDescent="0.25">
      <c r="A93" s="10" t="str" cm="1">
        <f t="array" aca="1" ref="A93" ca="1">IF(ROW($A93)-ROW($A$6)&gt;EmpCount*12,"-",TEXT($B93,"yyyy")&amp;TEXT($B93,"mm")&amp;"-"&amp;$C93)</f>
        <v>202308-EXS012</v>
      </c>
      <c r="B93" s="137" cm="1">
        <f t="array" aca="1" ref="B93" ca="1">IF(ROW($A93)-ROW($A$6)&gt;EmpCount*12,Setup!$D$12,DATE(YEAR(Setup!$F$12),MONTH(Setup!$F$12)+ROUNDDOWN((ROW($A93)-ROW($A$6)-1)/EmpCount,0),IF(Setup!$C$14&gt;DAY(DATE(YEAR(Setup!$F$12),MONTH(Setup!$F$12)+ROUNDDOWN((ROW($A93)-ROW($A$6)-1)/EmpCount,0)+1,0)),DAY(DATE(YEAR(Setup!$F$12),MONTH(Setup!$F$12)+ROUNDDOWN((ROW($A93)-ROW($A$6)-1)/EmpCount,0)+1,0)),Setup!$C$14)))</f>
        <v>45163</v>
      </c>
      <c r="C93" s="101" t="str" cm="1">
        <f t="array" aca="1" ref="C93" ca="1">IF(ROW($A93)-ROW($A$6)&gt;EmpCount*12,"-",OFFSET(Emp!$A$4,ROW($A93)-ROW($A$6)-IF(ROW($A93)-ROW($A$6)&gt;EmpCount,ROUNDDOWN((ROW($A93)-ROW($A$6)-1)/EmpCount,0)*EmpCount,0),0,1,1))</f>
        <v>EXS012</v>
      </c>
      <c r="D93" s="10" t="str">
        <f ca="1">IF(ISNA(VLOOKUP($C93,EmpAll,COLUMN(Emp!$B$4),0)),"-",VLOOKUP($C93,EmpAll,COLUMN(Emp!$B$4),0))</f>
        <v>Williams VS</v>
      </c>
      <c r="E93" s="145" t="str">
        <f ca="1">IF(ISNA(VLOOKUP($C93,EmpAll,COLUMN(Emp!$C$4),0)),"-",VLOOKUP($C93,EmpAll,COLUMN(Emp!$C$4),0))</f>
        <v>A</v>
      </c>
      <c r="F93" s="101" t="str">
        <f ca="1">IF(ISNA(VLOOKUP($C93,EmpAll,COLUMN(Emp!$A$4),0)),"-",IF(AND(VLOOKUP($C93,EmpAll,COLUMN(Emp!$E$4),0)&lt;&gt;0,VLOOKUP($C93,EmpAll,COLUMN(Emp!$E$4),0)&gt;=DATE(YEAR($AC93),MONTH($AC93)+1,0)),"Inactive",IF(AND(VLOOKUP($C93,EmpAll,COLUMN(Emp!$F$4),0)&lt;&gt;0,VLOOKUP($C93,EmpAll,COLUMN(Emp!$F$4),0)&lt;=DATE(YEAR($AC93),MONTH($AC93),0)),"Terminated","Active")))</f>
        <v>Active</v>
      </c>
      <c r="G93" s="133" cm="1">
        <f t="array" aca="1" ref="G93" ca="1">IF($F93&lt;&gt;"Active",0,IF(COUNTIFS(OverEmp,$C93,OverEarn,G$2,OverDate,"&lt;"&amp;DATE(YEAR($AC93),MONTH($AC93)+1,1),OverEnd,"&gt;="&amp;DATE(YEAR($AC93),MONTH($AC93),1))&gt;0,SUMIFS(OverValue,OverEmp,$C93,OverEarn,G$2,OverDate,"&lt;"&amp;DATE(YEAR($AC93),MONTH($AC93)+1,1),OverEnd,"&gt;="&amp;DATE(YEAR($AC93),MONTH($AC93),1)),IF(AND($AC93&gt;=Setup!$E$10,SUMIFS(EmpIncrease,EmpCode,$C93)&gt;0),SUMIFS(EmpIncrease,EmpCode,$C93),SUMIFS(EmpSalary,EmpCode,$C93))))</f>
        <v>5000</v>
      </c>
      <c r="H93" s="133" cm="1">
        <f t="array" aca="1" ref="H93" ca="1">IF($F93&lt;&gt;"Active",0,IF(COUNTIFS(OverEmp,$C93,OverEarn,H$2,OverDate,"&lt;"&amp;DATE(YEAR($AC93),MONTH($AC93)+1,1),OverEnd,"&gt;="&amp;DATE(YEAR($AC93),MONTH($AC93),1))&gt;0,SUMIFS(OverValue,OverEmp,$C93,OverEarn,H$2,OverDate,"&lt;"&amp;DATE(YEAR($AC93),MONTH($AC93)+1,1),OverEnd,"&gt;="&amp;DATE(YEAR($AC93),MONTH($AC93),1)),0))</f>
        <v>0</v>
      </c>
      <c r="I93" s="133" cm="1">
        <f t="array" aca="1" ref="I93" ca="1">IF($F93&lt;&gt;"Active",0,IF(COUNTIFS(OverEmp,$C93,OverEarn,I$2,OverDate,"&lt;"&amp;DATE(YEAR($AC93),MONTH($AC93)+1,1),OverEnd,"&gt;="&amp;DATE(YEAR($AC93),MONTH($AC93),1))&gt;0,SUMIFS(OverValue,OverEmp,$C93,OverEarn,I$2,OverDate,"&lt;"&amp;DATE(YEAR($AC93),MONTH($AC93)+1,1),OverEnd,"&gt;="&amp;DATE(YEAR($AC93),MONTH($AC93),1)),IF(MONTH(B93)=Setup!$C$15,SUMIFS(EmpBonus,EmpCode,$C93),0)))</f>
        <v>0</v>
      </c>
      <c r="J93" s="133" cm="1">
        <f t="array" aca="1" ref="J93" ca="1">IF($F93&lt;&gt;"Active",0,IF(COUNTIFS(OverEmp,$C93,OverEarn,J$2,OverDate,"&lt;"&amp;DATE(YEAR($AC93),MONTH($AC93)+1,1),OverEnd,"&gt;="&amp;DATE(YEAR($AC93),MONTH($AC93),1))&gt;0,SUMIFS(OverValue,OverEmp,$C93,OverEarn,J$2,OverDate,"&lt;"&amp;DATE(YEAR($AC93),MONTH($AC93)+1,1),OverEnd,"&gt;="&amp;DATE(YEAR($AC93),MONTH($AC93),1)),0))</f>
        <v>0</v>
      </c>
      <c r="K93" s="133" cm="1">
        <f t="array" aca="1" ref="K93" ca="1">IF($F93&lt;&gt;"Active",0,IF(COUNTIFS(OverEmp,$C93,OverEarn,K$2,OverDate,"&lt;"&amp;DATE(YEAR($AC93),MONTH($AC93)+1,1),OverEnd,"&gt;="&amp;DATE(YEAR($AC93),MONTH($AC93),1))&gt;0,SUMIFS(OverValue,OverEmp,$C93,OverEarn,K$2,OverDate,"&lt;"&amp;DATE(YEAR($AC93),MONTH($AC93)+1,1),OverEnd,"&gt;="&amp;DATE(YEAR($AC93),MONTH($AC93),1)),0))</f>
        <v>0</v>
      </c>
      <c r="L93" s="185">
        <f t="shared" ca="1" si="36"/>
        <v>5000</v>
      </c>
      <c r="M93" s="182" cm="1">
        <f t="array" aca="1" ref="M93" ca="1">IF(COUNTIFS(OverEmp,$C93,OverTax,M$5,OverDate,"&lt;"&amp;DATE(YEAR($AC93),MONTH($AC93)+1,1),OverEnd,"&gt;="&amp;DATE(YEAR($AC93),MONTH($AC93),1))&gt;0,SUMIFS(OverValue,OverEmp,$C93,OverTax,M$5,OverDate,"&lt;"&amp;DATE(YEAR($AC93),MONTH($AC93)+1,1),OverEnd,"&gt;="&amp;DATE(YEAR($AC93),MONTH($AC93),1)),(($BA93/12*$AA93)+(BB93*IF(1-$BC93=0,0,BD93/(1-$BC93))))-IF($F93="Terminated",0,SUMIFS(PayTaxDeduct,PayDate,"&lt;"&amp;$AC93,PayEmp,$C93)))</f>
        <v>0</v>
      </c>
      <c r="N93" s="133" cm="1">
        <f t="array" aca="1" ref="N93" ca="1">IF($F93="Terminated",0,IF($AA93=0,0,IF(ISNA(MATCH(N$5,DedListItem,0)),0,IF(COUNTIFS(OverEmp,$C93,OverDeduct,N$5,OverDate,"&lt;"&amp;DATE(YEAR($AC93),MONTH($AC93)+1,1),OverEnd,"&gt;="&amp;DATE(YEAR($AC93),MONTH($AC93),1))&gt;0,SUMIFS(OverValue,OverEmp,$C93,OverDeduct,N$5,OverDate,"&lt;"&amp;DATE(YEAR($AC93),MONTH($AC93)+1,1),OverEnd,"&gt;="&amp;DATE(YEAR($AC93),MONTH($AC93),1)),IF(OR(N$2="Fixed",N$2="Not Used"),(IF(COUNTIFS(EmpNo,$C93,OFFSET(Emp!$R$4,1,MATCH(N$5,DedListItem,0)-1,EmpCount,1),"&lt;&gt;")&gt;0,VLOOKUP($C93,EmpAll,COLUMN(Emp!$R$4)+MATCH(N$5,DedListItem,0)-1,0),OFFSET(Setup!$E$73,MATCH(N$5,DedListItem,0),0,1,1))*$AA93)-SUMIFS(OFFSET(N$6,1,0,PayCount,1),PayDate,"&lt;"&amp;$AC93,PayEmp,$C93),IF(ISNA(MATCH(N$2,EarnListItem,0))=FALSE,IF(OFFSET(Setup!$G$73,MATCH(N$5,DedListItem,0),0,1,1)="Taxable",SUMPRODUCT((PayEmp=$C93)*(PayDate&lt;=$AC93)*(PayEarnCode=N$2)*(PayEarnTax)*(PayEarnValues)),SUMPRODUCT((PayEmp=$C93)*(PayDate&lt;=$AC93)*(PayEarnCode=N$2)*(PayEarnValues)))*IF(COUNTIFS(EmpNo,$C93,OFFSET(Emp!$R$4,1,MATCH(N$5,DedListItem,0)-1,EmpCount,1),"&lt;&gt;")&gt;0,VLOOKUP($C93,EmpAll,COLUMN(Emp!$R$4)+MATCH(N$5,DedListItem,0)-1,0),OFFSET(Setup!$E$73,MATCH(N$5,DedListItem,0),0,1,1)),(MIN(IF(OFFSET(Setup!$G$73,MATCH(N$5,DedListItem,0),0,1,1)="Taxable",SUMPRODUCT((PayEmp=$C93)*(PayDate&lt;=$AC93)*(ISERROR(SEARCH(PayEarnCode,N$4)))*(PayEarnTax)*(PayEarnValues)),SUMPRODUCT((PayEmp=$C93)*(PayDate&lt;=$AC93)*(ISERROR(SEARCH(PayEarnCode,N$4)))*(PayEarnValues))),IF(ISNUMBER(N$3),N$3/12*$AA93,IgnoreMin)))*IF(COUNTIFS(EmpNo,$C93,OFFSET(Emp!$R$4,1,MATCH(N$5,DedListItem,0)-1,EmpCount,1),"&lt;&gt;")&gt;0,VLOOKUP($C93,EmpAll,COLUMN(Emp!$R$4)+MATCH(N$5,DedListItem,0)-1,0),OFFSET(Setup!$E$73,MATCH(N$5,DedListItem,0),0,1,1)))-SUMIFS(OFFSET(N$6,1,0,PayCount,1),PayDate,"&lt;"&amp;$AC93,PayEmp,$C93))))))</f>
        <v>50</v>
      </c>
      <c r="O93" s="133" cm="1">
        <f t="array" aca="1" ref="O93" ca="1">IF($F93="Terminated",0,IF($AA93=0,0,IF(ISNA(MATCH(O$5,DedListItem,0)),0,IF(COUNTIFS(OverEmp,$C93,OverDeduct,O$5,OverDate,"&lt;"&amp;DATE(YEAR($AC93),MONTH($AC93)+1,1),OverEnd,"&gt;="&amp;DATE(YEAR($AC93),MONTH($AC93),1))&gt;0,SUMIFS(OverValue,OverEmp,$C93,OverDeduct,O$5,OverDate,"&lt;"&amp;DATE(YEAR($AC93),MONTH($AC93)+1,1),OverEnd,"&gt;="&amp;DATE(YEAR($AC93),MONTH($AC93),1)),IF(OR(O$2="Fixed",O$2="Not Used"),(IF(COUNTIFS(EmpNo,$C93,OFFSET(Emp!$R$4,1,MATCH(O$5,DedListItem,0)-1,EmpCount,1),"&lt;&gt;")&gt;0,VLOOKUP($C93,EmpAll,COLUMN(Emp!$R$4)+MATCH(O$5,DedListItem,0)-1,0),OFFSET(Setup!$E$73,MATCH(O$5,DedListItem,0),0,1,1))*$AA93)-SUMIFS(OFFSET(O$6,1,0,PayCount,1),PayDate,"&lt;"&amp;$AC93,PayEmp,$C93),IF(ISNA(MATCH(O$2,EarnListItem,0))=FALSE,IF(OFFSET(Setup!$G$73,MATCH(O$5,DedListItem,0),0,1,1)="Taxable",SUMPRODUCT((PayEmp=$C93)*(PayDate&lt;=$AC93)*(PayEarnCode=O$2)*(PayEarnTax)*(PayEarnValues)),SUMPRODUCT((PayEmp=$C93)*(PayDate&lt;=$AC93)*(PayEarnCode=O$2)*(PayEarnValues)))*IF(COUNTIFS(EmpNo,$C93,OFFSET(Emp!$R$4,1,MATCH(O$5,DedListItem,0)-1,EmpCount,1),"&lt;&gt;")&gt;0,VLOOKUP($C93,EmpAll,COLUMN(Emp!$R$4)+MATCH(O$5,DedListItem,0)-1,0),OFFSET(Setup!$E$73,MATCH(O$5,DedListItem,0),0,1,1)),(MIN(IF(OFFSET(Setup!$G$73,MATCH(O$5,DedListItem,0),0,1,1)="Taxable",SUMPRODUCT((PayEmp=$C93)*(PayDate&lt;=$AC93)*(ISERROR(SEARCH(PayEarnCode,O$4)))*(PayEarnTax)*(PayEarnValues)),SUMPRODUCT((PayEmp=$C93)*(PayDate&lt;=$AC93)*(ISERROR(SEARCH(PayEarnCode,O$4)))*(PayEarnValues))),IF(ISNUMBER(O$3),O$3/12*$AA93,IgnoreMin)))*IF(COUNTIFS(EmpNo,$C93,OFFSET(Emp!$R$4,1,MATCH(O$5,DedListItem,0)-1,EmpCount,1),"&lt;&gt;")&gt;0,VLOOKUP($C93,EmpAll,COLUMN(Emp!$R$4)+MATCH(O$5,DedListItem,0)-1,0),OFFSET(Setup!$E$73,MATCH(O$5,DedListItem,0),0,1,1)))-SUMIFS(OFFSET(O$6,1,0,PayCount,1),PayDate,"&lt;"&amp;$AC93,PayEmp,$C93))))))</f>
        <v>0</v>
      </c>
      <c r="P93" s="133" cm="1">
        <f t="array" aca="1" ref="P93" ca="1">IF($F93="Terminated",0,IF($AA93=0,0,IF(ISNA(MATCH(P$5,DedListItem,0)),0,IF(COUNTIFS(OverEmp,$C93,OverDeduct,P$5,OverDate,"&lt;"&amp;DATE(YEAR($AC93),MONTH($AC93)+1,1),OverEnd,"&gt;="&amp;DATE(YEAR($AC93),MONTH($AC93),1))&gt;0,SUMIFS(OverValue,OverEmp,$C93,OverDeduct,P$5,OverDate,"&lt;"&amp;DATE(YEAR($AC93),MONTH($AC93)+1,1),OverEnd,"&gt;="&amp;DATE(YEAR($AC93),MONTH($AC93),1)),IF(OR(P$2="Fixed",P$2="Not Used"),(IF(COUNTIFS(EmpNo,$C93,OFFSET(Emp!$R$4,1,MATCH(P$5,DedListItem,0)-1,EmpCount,1),"&lt;&gt;")&gt;0,VLOOKUP($C93,EmpAll,COLUMN(Emp!$R$4)+MATCH(P$5,DedListItem,0)-1,0),OFFSET(Setup!$E$73,MATCH(P$5,DedListItem,0),0,1,1))*$AA93)-SUMIFS(OFFSET(P$6,1,0,PayCount,1),PayDate,"&lt;"&amp;$AC93,PayEmp,$C93),IF(ISNA(MATCH(P$2,EarnListItem,0))=FALSE,IF(OFFSET(Setup!$G$73,MATCH(P$5,DedListItem,0),0,1,1)="Taxable",SUMPRODUCT((PayEmp=$C93)*(PayDate&lt;=$AC93)*(PayEarnCode=P$2)*(PayEarnTax)*(PayEarnValues)),SUMPRODUCT((PayEmp=$C93)*(PayDate&lt;=$AC93)*(PayEarnCode=P$2)*(PayEarnValues)))*IF(COUNTIFS(EmpNo,$C93,OFFSET(Emp!$R$4,1,MATCH(P$5,DedListItem,0)-1,EmpCount,1),"&lt;&gt;")&gt;0,VLOOKUP($C93,EmpAll,COLUMN(Emp!$R$4)+MATCH(P$5,DedListItem,0)-1,0),OFFSET(Setup!$E$73,MATCH(P$5,DedListItem,0),0,1,1)),(MIN(IF(OFFSET(Setup!$G$73,MATCH(P$5,DedListItem,0),0,1,1)="Taxable",SUMPRODUCT((PayEmp=$C93)*(PayDate&lt;=$AC93)*(ISERROR(SEARCH(PayEarnCode,P$4)))*(PayEarnTax)*(PayEarnValues)),SUMPRODUCT((PayEmp=$C93)*(PayDate&lt;=$AC93)*(ISERROR(SEARCH(PayEarnCode,P$4)))*(PayEarnValues))),IF(ISNUMBER(P$3),P$3/12*$AA93,IgnoreMin)))*IF(COUNTIFS(EmpNo,$C93,OFFSET(Emp!$R$4,1,MATCH(P$5,DedListItem,0)-1,EmpCount,1),"&lt;&gt;")&gt;0,VLOOKUP($C93,EmpAll,COLUMN(Emp!$R$4)+MATCH(P$5,DedListItem,0)-1,0),OFFSET(Setup!$E$73,MATCH(P$5,DedListItem,0),0,1,1)))-SUMIFS(OFFSET(P$6,1,0,PayCount,1),PayDate,"&lt;"&amp;$AC93,PayEmp,$C93))))))</f>
        <v>0</v>
      </c>
      <c r="Q93" s="133" cm="1">
        <f t="array" aca="1" ref="Q93" ca="1">IF($F93="Terminated",0,IF($AA93=0,0,IF(ISNA(MATCH(Q$5,DedListItem,0)),0,IF(COUNTIFS(OverEmp,$C93,OverDeduct,Q$5,OverDate,"&lt;"&amp;DATE(YEAR($AC93),MONTH($AC93)+1,1),OverEnd,"&gt;="&amp;DATE(YEAR($AC93),MONTH($AC93),1))&gt;0,SUMIFS(OverValue,OverEmp,$C93,OverDeduct,Q$5,OverDate,"&lt;"&amp;DATE(YEAR($AC93),MONTH($AC93)+1,1),OverEnd,"&gt;="&amp;DATE(YEAR($AC93),MONTH($AC93),1)),IF(OR(Q$2="Fixed",Q$2="Not Used"),(IF(COUNTIFS(EmpNo,$C93,OFFSET(Emp!$R$4,1,MATCH(Q$5,DedListItem,0)-1,EmpCount,1),"&lt;&gt;")&gt;0,VLOOKUP($C93,EmpAll,COLUMN(Emp!$R$4)+MATCH(Q$5,DedListItem,0)-1,0),OFFSET(Setup!$E$73,MATCH(Q$5,DedListItem,0),0,1,1))*$AA93)-SUMIFS(OFFSET(Q$6,1,0,PayCount,1),PayDate,"&lt;"&amp;$AC93,PayEmp,$C93),IF(ISNA(MATCH(Q$2,EarnListItem,0))=FALSE,IF(OFFSET(Setup!$G$73,MATCH(Q$5,DedListItem,0),0,1,1)="Taxable",SUMPRODUCT((PayEmp=$C93)*(PayDate&lt;=$AC93)*(PayEarnCode=Q$2)*(PayEarnTax)*(PayEarnValues)),SUMPRODUCT((PayEmp=$C93)*(PayDate&lt;=$AC93)*(PayEarnCode=Q$2)*(PayEarnValues)))*IF(COUNTIFS(EmpNo,$C93,OFFSET(Emp!$R$4,1,MATCH(Q$5,DedListItem,0)-1,EmpCount,1),"&lt;&gt;")&gt;0,VLOOKUP($C93,EmpAll,COLUMN(Emp!$R$4)+MATCH(Q$5,DedListItem,0)-1,0),OFFSET(Setup!$E$73,MATCH(Q$5,DedListItem,0),0,1,1)),(MIN(IF(OFFSET(Setup!$G$73,MATCH(Q$5,DedListItem,0),0,1,1)="Taxable",SUMPRODUCT((PayEmp=$C93)*(PayDate&lt;=$AC93)*(ISERROR(SEARCH(PayEarnCode,Q$4)))*(PayEarnTax)*(PayEarnValues)),SUMPRODUCT((PayEmp=$C93)*(PayDate&lt;=$AC93)*(ISERROR(SEARCH(PayEarnCode,Q$4)))*(PayEarnValues))),IF(ISNUMBER(Q$3),Q$3/12*$AA93,IgnoreMin)))*IF(COUNTIFS(EmpNo,$C93,OFFSET(Emp!$R$4,1,MATCH(Q$5,DedListItem,0)-1,EmpCount,1),"&lt;&gt;")&gt;0,VLOOKUP($C93,EmpAll,COLUMN(Emp!$R$4)+MATCH(Q$5,DedListItem,0)-1,0),OFFSET(Setup!$E$73,MATCH(Q$5,DedListItem,0),0,1,1)))-SUMIFS(OFFSET(Q$6,1,0,PayCount,1),PayDate,"&lt;"&amp;$AC93,PayEmp,$C93))))))</f>
        <v>0</v>
      </c>
      <c r="R93" s="185">
        <f t="shared" ca="1" si="37"/>
        <v>50</v>
      </c>
      <c r="S93" s="139">
        <f t="shared" ca="1" si="38"/>
        <v>4950</v>
      </c>
      <c r="T93" s="133" cm="1">
        <f t="array" aca="1" ref="T93" ca="1">IF($F93="Terminated",0,IF($AA93=0,0,IF(ISNA(MATCH(T$5,CompListItem,0)),0,IF(COUNTIFS(OverEmp,$C93,OverComp,T$5,OverDate,"&lt;"&amp;DATE(YEAR($AC93),MONTH($AC93)+1,1),OverEnd,"&gt;="&amp;DATE(YEAR($AC93),MONTH($AC93),1))&gt;0,SUMIFS(OverValue,OverEmp,$C93,OverComp,T$5,OverDate,"&lt;"&amp;DATE(YEAR($AC93),MONTH($AC93)+1,1),OverEnd,"&gt;="&amp;DATE(YEAR($AC93),MONTH($AC93),1)),IF(OR(T$2="Fixed",T$2="Not Used"),(OFFSET(Setup!$E$81,MATCH(T$5,CompListItem,0),0,1,1)*$AA93)-SUMIFS(OFFSET(T$6,1,0,PayCount,1),PayDate,"&lt;"&amp;$AC93,PayEmp,$C93),IF(ISNA(MATCH(T$2,DedListItem,0))=FALSE,(SUMPRODUCT((PayEmp=$C93)*(PayDate&lt;=$AC93)*(PayDedList=T$2)*(PayDedValues))*OFFSET(Setup!$E$81,MATCH(T$5,CompListItem,0),0,1,1))-SUMIFS(OFFSET(T$6,1,0,PayCount,1),PayDate,"&lt;"&amp;$AC93,PayEmp,$C93),(MIN(IF(OFFSET(Setup!$G$81,MATCH(T$5,CompListItem,0),0,1,1)="Taxable",SUMPRODUCT((PayEmp=$C93)*(PayDate&lt;=$AC93)*(ISERROR(SEARCH(PayEarnCode,T$4)))*(PayEarnTax)*(PayEarnValues)),SUMPRODUCT((PayEmp=$C93)*(PayDate&lt;=$AC93)*(ISERROR(SEARCH(PayEarnCode,T$4)))*(PayEarnValues))),IF(ISNUMBER(T$3),T$3/12*$AA93,IgnoreMin)))*OFFSET(Setup!$E$81,MATCH(T$5,CompListItem,0),0,1,1)-SUMIFS(OFFSET(T$6,1,0,PayCount,1),PayDate,"&lt;"&amp;$AC93,PayEmp,$C93)))))))</f>
        <v>50</v>
      </c>
      <c r="U93" s="133" cm="1">
        <f t="array" aca="1" ref="U93" ca="1">IF($F93="Terminated",0,IF($AA93=0,0,IF(ISNA(MATCH(U$5,CompListItem,0)),0,IF(COUNTIFS(OverEmp,$C93,OverComp,U$5,OverDate,"&lt;"&amp;DATE(YEAR($AC93),MONTH($AC93)+1,1),OverEnd,"&gt;="&amp;DATE(YEAR($AC93),MONTH($AC93),1))&gt;0,SUMIFS(OverValue,OverEmp,$C93,OverComp,U$5,OverDate,"&lt;"&amp;DATE(YEAR($AC93),MONTH($AC93)+1,1),OverEnd,"&gt;="&amp;DATE(YEAR($AC93),MONTH($AC93),1)),IF(OR(U$2="Fixed",U$2="Not Used"),(OFFSET(Setup!$E$81,MATCH(U$5,CompListItem,0),0,1,1)*$AA93)-SUMIFS(OFFSET(U$6,1,0,PayCount,1),PayDate,"&lt;"&amp;$AC93,PayEmp,$C93),IF(ISNA(MATCH(U$2,DedListItem,0))=FALSE,(SUMPRODUCT((PayEmp=$C93)*(PayDate&lt;=$AC93)*(PayDedList=U$2)*(PayDedValues))*OFFSET(Setup!$E$81,MATCH(U$5,CompListItem,0),0,1,1))-SUMIFS(OFFSET(U$6,1,0,PayCount,1),PayDate,"&lt;"&amp;$AC93,PayEmp,$C93),(MIN(IF(OFFSET(Setup!$G$81,MATCH(U$5,CompListItem,0),0,1,1)="Taxable",SUMPRODUCT((PayEmp=$C93)*(PayDate&lt;=$AC93)*(ISERROR(SEARCH(PayEarnCode,U$4)))*(PayEarnTax)*(PayEarnValues)),SUMPRODUCT((PayEmp=$C93)*(PayDate&lt;=$AC93)*(ISERROR(SEARCH(PayEarnCode,U$4)))*(PayEarnValues))),IF(ISNUMBER(U$3),U$3/12*$AA93,IgnoreMin)))*OFFSET(Setup!$E$81,MATCH(U$5,CompListItem,0),0,1,1)-SUMIFS(OFFSET(U$6,1,0,PayCount,1),PayDate,"&lt;"&amp;$AC93,PayEmp,$C93)))))))</f>
        <v>50</v>
      </c>
      <c r="V93" s="133" cm="1">
        <f t="array" aca="1" ref="V93" ca="1">IF($F93="Terminated",0,IF($AA93=0,0,IF(ISNA(MATCH(V$5,CompListItem,0)),0,IF(COUNTIFS(OverEmp,$C93,OverComp,V$5,OverDate,"&lt;"&amp;DATE(YEAR($AC93),MONTH($AC93)+1,1),OverEnd,"&gt;="&amp;DATE(YEAR($AC93),MONTH($AC93),1))&gt;0,SUMIFS(OverValue,OverEmp,$C93,OverComp,V$5,OverDate,"&lt;"&amp;DATE(YEAR($AC93),MONTH($AC93)+1,1),OverEnd,"&gt;="&amp;DATE(YEAR($AC93),MONTH($AC93),1)),IF(OR(V$2="Fixed",V$2="Not Used"),(OFFSET(Setup!$E$81,MATCH(V$5,CompListItem,0),0,1,1)*$AA93)-SUMIFS(OFFSET(V$6,1,0,PayCount,1),PayDate,"&lt;"&amp;$AC93,PayEmp,$C93),IF(ISNA(MATCH(V$2,DedListItem,0))=FALSE,(SUMPRODUCT((PayEmp=$C93)*(PayDate&lt;=$AC93)*(PayDedList=V$2)*(PayDedValues))*OFFSET(Setup!$E$81,MATCH(V$5,CompListItem,0),0,1,1))-SUMIFS(OFFSET(V$6,1,0,PayCount,1),PayDate,"&lt;"&amp;$AC93,PayEmp,$C93),(MIN(IF(OFFSET(Setup!$G$81,MATCH(V$5,CompListItem,0),0,1,1)="Taxable",SUMPRODUCT((PayEmp=$C93)*(PayDate&lt;=$AC93)*(ISERROR(SEARCH(PayEarnCode,V$4)))*(PayEarnTax)*(PayEarnValues)),SUMPRODUCT((PayEmp=$C93)*(PayDate&lt;=$AC93)*(ISERROR(SEARCH(PayEarnCode,V$4)))*(PayEarnValues))),IF(ISNUMBER(V$3),V$3/12*$AA93,IgnoreMin)))*OFFSET(Setup!$E$81,MATCH(V$5,CompListItem,0),0,1,1)-SUMIFS(OFFSET(V$6,1,0,PayCount,1),PayDate,"&lt;"&amp;$AC93,PayEmp,$C93)))))))</f>
        <v>0</v>
      </c>
      <c r="W93" s="133" cm="1">
        <f t="array" aca="1" ref="W93" ca="1">IF($F93="Terminated",0,IF($AA93=0,0,IF(ISNA(MATCH(W$5,CompListItem,0)),0,IF(COUNTIFS(OverEmp,$C93,OverComp,W$5,OverDate,"&lt;"&amp;DATE(YEAR($AC93),MONTH($AC93)+1,1),OverEnd,"&gt;="&amp;DATE(YEAR($AC93),MONTH($AC93),1))&gt;0,SUMIFS(OverValue,OverEmp,$C93,OverComp,W$5,OverDate,"&lt;"&amp;DATE(YEAR($AC93),MONTH($AC93)+1,1),OverEnd,"&gt;="&amp;DATE(YEAR($AC93),MONTH($AC93),1)),IF(OR(W$2="Fixed",W$2="Not Used"),(OFFSET(Setup!$E$81,MATCH(W$5,CompListItem,0),0,1,1)*$AA93)-SUMIFS(OFFSET(W$6,1,0,PayCount,1),PayDate,"&lt;"&amp;$AC93,PayEmp,$C93),IF(ISNA(MATCH(W$2,DedListItem,0))=FALSE,(SUMPRODUCT((PayEmp=$C93)*(PayDate&lt;=$AC93)*(PayDedList=W$2)*(PayDedValues))*OFFSET(Setup!$E$81,MATCH(W$5,CompListItem,0),0,1,1))-SUMIFS(OFFSET(W$6,1,0,PayCount,1),PayDate,"&lt;"&amp;$AC93,PayEmp,$C93),(MIN(IF(OFFSET(Setup!$G$81,MATCH(W$5,CompListItem,0),0,1,1)="Taxable",SUMPRODUCT((PayEmp=$C93)*(PayDate&lt;=$AC93)*(ISERROR(SEARCH(PayEarnCode,W$4)))*(PayEarnTax)*(PayEarnValues)),SUMPRODUCT((PayEmp=$C93)*(PayDate&lt;=$AC93)*(ISERROR(SEARCH(PayEarnCode,W$4)))*(PayEarnValues))),IF(ISNUMBER(W$3),W$3/12*$AA93,IgnoreMin)))*OFFSET(Setup!$E$81,MATCH(W$5,CompListItem,0),0,1,1)-SUMIFS(OFFSET(W$6,1,0,PayCount,1),PayDate,"&lt;"&amp;$AC93,PayEmp,$C93)))))))</f>
        <v>0</v>
      </c>
      <c r="X93" s="185">
        <f t="shared" ca="1" si="30"/>
        <v>100</v>
      </c>
      <c r="Y93" s="139">
        <f t="shared" ca="1" si="39"/>
        <v>5100</v>
      </c>
      <c r="Z93" s="139">
        <f t="shared" ca="1" si="31"/>
        <v>150</v>
      </c>
      <c r="AA93" s="146">
        <f ca="1">IF(OR($B93&lt;=Setup!$E$12,$B93&gt;=Setup!$D$12+1),0,IF($F93&lt;&gt;"Active",0,IF($AE93="Yes",$AB93,((YEAR($AC93)*12)+MONTH($AC93))-((YEAR($AD93)*12)+MONTH($AD93)-1))))</f>
        <v>6</v>
      </c>
      <c r="AB93" s="146">
        <f ca="1">IF(OR($B93&lt;=Setup!$E$12,$B93&gt;=Setup!$D$12+1),0,((YEAR($AC93)*12)+MONTH($AC93))-((YEAR(Setup!$E$12)*12)+MONTH(Setup!$E$12)))</f>
        <v>6</v>
      </c>
      <c r="AC93" s="186">
        <f t="shared" ca="1" si="32"/>
        <v>45163</v>
      </c>
      <c r="AD93" s="144">
        <f ca="1">IF(ISNA(VLOOKUP($C93,EmpAll,COLUMN(Emp!$E$4),0)),$AC93,IF(VLOOKUP($C93,EmpAll,COLUMN(Emp!$E$4),0)&lt;=Setup!$E$12,DATE(YEAR(Setup!$E$12),MONTH(Setup!$E$12)+1,1),VLOOKUP($C93,EmpAll,COLUMN(Emp!$E$4),0)))</f>
        <v>44986</v>
      </c>
      <c r="AE93" s="144" t="str">
        <f ca="1">IF(ISNA(VLOOKUP($C93,EmpAll,COLUMN(Emp!$G$1),0)),"-",IF(VLOOKUP($C93,EmpAll,COLUMN(Emp!$G$1),0)=0,"-",VLOOKUP($C93,EmpAll,COLUMN(Emp!$G$1),0)))</f>
        <v>-</v>
      </c>
      <c r="AF93" s="145">
        <f ca="1">IF(A93=PaySlip!$G$3,1,0)</f>
        <v>0</v>
      </c>
      <c r="AG93" s="130" cm="1">
        <f t="array" aca="1" ref="AG93" ca="1">IF(COUNTIFS(OverEmp,$C93,OverMed,"MED",OverDate,"&lt;"&amp;DATE(YEAR($AC93),MONTH($AC93)+1,1),OverEnd,"&gt;="&amp;DATE(YEAR($AC93),MONTH($AC93),1))&gt;0,SUMIFS(OverValue,OverEmp,$C93,OverMed,"MED",OverDate,"&lt;"&amp;DATE(YEAR($AC93),MONTH($AC93)+1,1),OverEnd,"&gt;="&amp;DATE(YEAR($AC93),MONTH($AC93),1)),IF(ISNA(VLOOKUP($C93,EmpAll,COLUMN(Emp!$N$4),0)),0,VLOOKUP($C93,EmpAll,COLUMN(Emp!$N$4),0)))</f>
        <v>0</v>
      </c>
      <c r="AH93" s="146">
        <f ca="1">VLOOKUP($AG93,MedList,COLUMN(Setup!$C$49),1)</f>
        <v>0</v>
      </c>
      <c r="AI93" s="146">
        <f t="shared" ca="1" si="40"/>
        <v>0</v>
      </c>
      <c r="AJ93" s="101" t="str">
        <f ca="1">IF(ISNA(VLOOKUP($C93,EmpAll,COLUMN(Emp!$L$4),0)),"None!",VLOOKUP($C93,EmpAll,COLUMN(Emp!$L$4),0))</f>
        <v>A</v>
      </c>
      <c r="AK93" s="147">
        <f t="shared" ca="1" si="33"/>
        <v>17235</v>
      </c>
      <c r="AL93" s="101" t="str">
        <f ca="1">IF(ISNA(VLOOKUP($C93,Employees[],COLUMN(Emp!$M$4),0))=TRUE,"Error!",IF(VLOOKUP($C93,Employees[],COLUMN(Emp!$M$4),0)=0,"Yes",VLOOKUP($C93,Employees[],COLUMN(Emp!$M$4),0)))</f>
        <v>A</v>
      </c>
      <c r="AM93" s="148">
        <f t="shared" ca="1" si="41"/>
        <v>60000</v>
      </c>
      <c r="AN93" s="148" cm="1">
        <f t="array" aca="1" ref="AN93" ca="1">-IF($F93="Terminated",0,IF($AA93=0,0,IF(ISNA(MATCH(AN$5,PayDedList,0)),0,MIN(IF(COUNTIFS(OverEmp,$C93,OverDeduct,AN$5,OverDate,"&lt;"&amp;DATE(YEAR($AC93),MONTH($AC93)+1,1),OverEnd,"&gt;="&amp;DATE(YEAR($AC93),MONTH($AC93),1))&gt;0,SUMPRODUCT((PayEmp=$C93)*(PayDate&lt;=$AC93)*(OFFSET($N$6,1,MATCH(AN$5,PayDedList,0)-1,PayCount,1)))/$AA93*12*AN$3,IF(OR(AN$1="Fixed",AN$1="Not Used"),SUMPRODUCT((PayEmp=$C93)*(PayDate&lt;=$AC93)*(OFFSET($N$6,1,MATCH(AN$5,PayDedList,0)-1,PayCount,1)))/$AA93*12*AN$3,IF(ISNA(MATCH(AN$1,EarnListItem,0))=FALSE,SUMPRODUCT((PayEmp=$C93)*(PayDate&lt;=$AC93)*(OFFSET($N$6,1,MATCH(AN$5,PayDedList,0)-1,PayCount,1)))/$AA93*12*AN$3,(MIN(((SUMPRODUCT((PayEmp=$C93)*(PayDate&lt;=$AC93)*(ISERROR(SEARCH(PayEarnCode,AN$2)))*(PayEarnType="Monthly")*(PayEarnValues))/$AA93*12)+(SUMPRODUCT((PayEmp=$C93)*(PayDate&lt;=$AC93)*(ISERROR(SEARCH(PayEarnCode,AN$2)))*(PayEarnType="Quarterly")*(PayEarnValues))/MAX(1,ROUNDDOWN($AB93/3,0))*4)+(SUMPRODUCT((PayEmp=$C93)*(PayDate&lt;=$AC93)*(ISERROR(SEARCH(PayEarnCode,AN$2)))*(PayEarnType="Bi-Annual")*(PayEarnValues))/MAX(1,ROUNDDOWN($AB93/6,0))*2)+(SUMPRODUCT((PayEmp=$C93)*(PayDate&lt;=$AC93)*(ISERROR(SEARCH(PayEarnCode,AN$2)))*(PayEarnType="Annual")*(PayEarnValues)))),IF(ISNUMBER(OFFSET($N$3,0,MATCH(AN$5,PayDedList,0)-1,1,1)),OFFSET($N$3,0,MATCH(AN$5,PayDedList,0)-1,1,1),IgnoreMin)))*IF(COUNTIFS(EmpNo,$C93,OFFSET(Emp!$R$4,1,MATCH(AN$5,DedListItem,0)-1,EmpCount,1),"&lt;&gt;")&gt;0,VLOOKUP($C93,EmpAll,COLUMN(Emp!$R$4)+MATCH(AN$5,DedListItem,0)-1,0),OFFSET(Setup!$E$73,MATCH(AN$5,DedListItem,0),0,1,1))*AN$3))),IF(ISNUMBER(AN$4),AN$4,IgnoreMin)))))</f>
        <v>0</v>
      </c>
      <c r="AO93" s="148" cm="1">
        <f t="array" aca="1" ref="AO93" ca="1">-IF($F93="Terminated",0,IF($AA93=0,0,IF(ISNA(MATCH(AO$5,PayDedList,0)),0,MIN(IF(COUNTIFS(OverEmp,$C93,OverDeduct,AO$5,OverDate,"&lt;"&amp;DATE(YEAR($AC93),MONTH($AC93)+1,1),OverEnd,"&gt;="&amp;DATE(YEAR($AC93),MONTH($AC93),1))&gt;0,SUMPRODUCT((PayEmp=$C93)*(PayDate&lt;=$AC93)*(OFFSET($N$6,1,MATCH(AO$5,PayDedList,0)-1,PayCount,1)))/$AA93*12*AO$3,IF(OR(AO$1="Fixed",AO$1="Not Used"),SUMPRODUCT((PayEmp=$C93)*(PayDate&lt;=$AC93)*(OFFSET($N$6,1,MATCH(AO$5,PayDedList,0)-1,PayCount,1)))/$AA93*12*AO$3,IF(ISNA(MATCH(AO$1,EarnListItem,0))=FALSE,SUMPRODUCT((PayEmp=$C93)*(PayDate&lt;=$AC93)*(OFFSET($N$6,1,MATCH(AO$5,PayDedList,0)-1,PayCount,1)))/$AA93*12*AO$3,(MIN(((SUMPRODUCT((PayEmp=$C93)*(PayDate&lt;=$AC93)*(ISERROR(SEARCH(PayEarnCode,AO$2)))*(PayEarnType="Monthly")*(PayEarnValues))/$AA93*12)+(SUMPRODUCT((PayEmp=$C93)*(PayDate&lt;=$AC93)*(ISERROR(SEARCH(PayEarnCode,AO$2)))*(PayEarnType="Quarterly")*(PayEarnValues))/MAX(1,ROUNDDOWN($AB93/3,0))*4)+(SUMPRODUCT((PayEmp=$C93)*(PayDate&lt;=$AC93)*(ISERROR(SEARCH(PayEarnCode,AO$2)))*(PayEarnType="Bi-Annual")*(PayEarnValues))/MAX(1,ROUNDDOWN($AB93/6,0))*2)+(SUMPRODUCT((PayEmp=$C93)*(PayDate&lt;=$AC93)*(ISERROR(SEARCH(PayEarnCode,AO$2)))*(PayEarnType="Annual")*(PayEarnValues)))),IF(ISNUMBER(OFFSET($N$3,0,MATCH(AO$5,PayDedList,0)-1,1,1)),OFFSET($N$3,0,MATCH(AO$5,PayDedList,0)-1,1,1),IgnoreMin)))*IF(COUNTIFS(EmpNo,$C93,OFFSET(Emp!$R$4,1,MATCH(AO$5,DedListItem,0)-1,EmpCount,1),"&lt;&gt;")&gt;0,VLOOKUP($C93,EmpAll,COLUMN(Emp!$R$4)+MATCH(AO$5,DedListItem,0)-1,0),OFFSET(Setup!$E$73,MATCH(AO$5,DedListItem,0),0,1,1))*AO$3))),IF(ISNUMBER(AO$4),AO$4,IgnoreMin)))))</f>
        <v>0</v>
      </c>
      <c r="AP93" s="148" cm="1">
        <f t="array" aca="1" ref="AP93" ca="1">-IF($F93="Terminated",0,IF($AA93=0,0,IF(ISNA(MATCH(AP$5,PayDedList,0)),0,MIN(IF(COUNTIFS(OverEmp,$C93,OverDeduct,AP$5,OverDate,"&lt;"&amp;DATE(YEAR($AC93),MONTH($AC93)+1,1),OverEnd,"&gt;="&amp;DATE(YEAR($AC93),MONTH($AC93),1))&gt;0,SUMPRODUCT((PayEmp=$C93)*(PayDate&lt;=$AC93)*(OFFSET($N$6,1,MATCH(AP$5,PayDedList,0)-1,PayCount,1)))/$AA93*12*AP$3,IF(OR(AP$1="Fixed",AP$1="Not Used"),SUMPRODUCT((PayEmp=$C93)*(PayDate&lt;=$AC93)*(OFFSET($N$6,1,MATCH(AP$5,PayDedList,0)-1,PayCount,1)))/$AA93*12*AP$3,IF(ISNA(MATCH(AP$1,EarnListItem,0))=FALSE,SUMPRODUCT((PayEmp=$C93)*(PayDate&lt;=$AC93)*(OFFSET($N$6,1,MATCH(AP$5,PayDedList,0)-1,PayCount,1)))/$AA93*12*AP$3,(MIN(((SUMPRODUCT((PayEmp=$C93)*(PayDate&lt;=$AC93)*(ISERROR(SEARCH(PayEarnCode,AP$2)))*(PayEarnType="Monthly")*(PayEarnValues))/$AA93*12)+(SUMPRODUCT((PayEmp=$C93)*(PayDate&lt;=$AC93)*(ISERROR(SEARCH(PayEarnCode,AP$2)))*(PayEarnType="Quarterly")*(PayEarnValues))/MAX(1,ROUNDDOWN($AB93/3,0))*4)+(SUMPRODUCT((PayEmp=$C93)*(PayDate&lt;=$AC93)*(ISERROR(SEARCH(PayEarnCode,AP$2)))*(PayEarnType="Bi-Annual")*(PayEarnValues))/MAX(1,ROUNDDOWN($AB93/6,0))*2)+(SUMPRODUCT((PayEmp=$C93)*(PayDate&lt;=$AC93)*(ISERROR(SEARCH(PayEarnCode,AP$2)))*(PayEarnType="Annual")*(PayEarnValues)))),IF(ISNUMBER(OFFSET($N$3,0,MATCH(AP$5,PayDedList,0)-1,1,1)),OFFSET($N$3,0,MATCH(AP$5,PayDedList,0)-1,1,1),IgnoreMin)))*IF(COUNTIFS(EmpNo,$C93,OFFSET(Emp!$R$4,1,MATCH(AP$5,DedListItem,0)-1,EmpCount,1),"&lt;&gt;")&gt;0,VLOOKUP($C93,EmpAll,COLUMN(Emp!$R$4)+MATCH(AP$5,DedListItem,0)-1,0),OFFSET(Setup!$E$73,MATCH(AP$5,DedListItem,0),0,1,1))*AP$3))),IF(ISNUMBER(AP$4),AP$4,IgnoreMin)))))</f>
        <v>0</v>
      </c>
      <c r="AQ93" s="148" cm="1">
        <f t="array" aca="1" ref="AQ93" ca="1">-IF($F93="Terminated",0,IF($AA93=0,0,IF(ISNA(MATCH(AQ$5,PayDedList,0)),0,MIN(IF(COUNTIFS(OverEmp,$C93,OverDeduct,AQ$5,OverDate,"&lt;"&amp;DATE(YEAR($AC93),MONTH($AC93)+1,1),OverEnd,"&gt;="&amp;DATE(YEAR($AC93),MONTH($AC93),1))&gt;0,SUMPRODUCT((PayEmp=$C93)*(PayDate&lt;=$AC93)*(OFFSET($N$6,1,MATCH(AQ$5,PayDedList,0)-1,PayCount,1)))/$AA93*12*AQ$3,IF(OR(AQ$1="Fixed",AQ$1="Not Used"),SUMPRODUCT((PayEmp=$C93)*(PayDate&lt;=$AC93)*(OFFSET($N$6,1,MATCH(AQ$5,PayDedList,0)-1,PayCount,1)))/$AA93*12*AQ$3,IF(ISNA(MATCH(AQ$1,EarnListItem,0))=FALSE,SUMPRODUCT((PayEmp=$C93)*(PayDate&lt;=$AC93)*(OFFSET($N$6,1,MATCH(AQ$5,PayDedList,0)-1,PayCount,1)))/$AA93*12*AQ$3,(MIN(((SUMPRODUCT((PayEmp=$C93)*(PayDate&lt;=$AC93)*(ISERROR(SEARCH(PayEarnCode,AQ$2)))*(PayEarnType="Monthly")*(PayEarnValues))/$AA93*12)+(SUMPRODUCT((PayEmp=$C93)*(PayDate&lt;=$AC93)*(ISERROR(SEARCH(PayEarnCode,AQ$2)))*(PayEarnType="Quarterly")*(PayEarnValues))/MAX(1,ROUNDDOWN($AB93/3,0))*4)+(SUMPRODUCT((PayEmp=$C93)*(PayDate&lt;=$AC93)*(ISERROR(SEARCH(PayEarnCode,AQ$2)))*(PayEarnType="Bi-Annual")*(PayEarnValues))/MAX(1,ROUNDDOWN($AB93/6,0))*2)+(SUMPRODUCT((PayEmp=$C93)*(PayDate&lt;=$AC93)*(ISERROR(SEARCH(PayEarnCode,AQ$2)))*(PayEarnType="Annual")*(PayEarnValues)))),IF(ISNUMBER(OFFSET($N$3,0,MATCH(AQ$5,PayDedList,0)-1,1,1)),OFFSET($N$3,0,MATCH(AQ$5,PayDedList,0)-1,1,1),IgnoreMin)))*IF(COUNTIFS(EmpNo,$C93,OFFSET(Emp!$R$4,1,MATCH(AQ$5,DedListItem,0)-1,EmpCount,1),"&lt;&gt;")&gt;0,VLOOKUP($C93,EmpAll,COLUMN(Emp!$R$4)+MATCH(AQ$5,DedListItem,0)-1,0),OFFSET(Setup!$E$73,MATCH(AQ$5,DedListItem,0),0,1,1))*AQ$3))),IF(ISNUMBER(AQ$4),AQ$4,IgnoreMin)))))</f>
        <v>0</v>
      </c>
      <c r="AR93" s="148">
        <f t="shared" ca="1" si="34"/>
        <v>60000</v>
      </c>
      <c r="AS93" s="148">
        <f t="shared" ca="1" si="42"/>
        <v>60000</v>
      </c>
      <c r="AT93" s="148" cm="1">
        <f t="array" aca="1" ref="AT93" ca="1">-IF($F93="Terminated",0,IF($AA93=0,0,IF(ISNA(MATCH(AT$5,PayDedList,0)),0,MIN(IF(COUNTIFS(OverEmp,$C93,OverDeduct,AT$5,OverDate,"&lt;"&amp;DATE(YEAR($AC93),MONTH($AC93)+1,1),OverEnd,"&gt;="&amp;DATE(YEAR($AC93),MONTH($AC93),1))&gt;0,SUMPRODUCT((PayEmp=$C93)*(PayDate&lt;=$AC93)*(OFFSET($N$6,1,MATCH(AT$5,PayDedList,0)-1,PayCount,1)))/$AA93*12*AT$3,IF(OR(AT$1="Fixed",AT$1="Not Used"),SUMPRODUCT((PayEmp=$C93)*(PayDate&lt;=$AC93)*(OFFSET($N$6,1,MATCH(AT$5,PayDedList,0)-1,PayCount,1)))/$AA93*12*AT$3,IF(ISNA(MATCH(OFFSET($N$2,0,MATCH(AT$5,PayDedList,0)-1,1,1),EarnListItem,0))=FALSE,SUMPRODUCT((PayEmp=$C93)*(PayDate&lt;=$AC93)*(OFFSET($N$6,1,MATCH(AT$5,PayDedList,0)-1,PayCount,1)))/$AA93*12*AT$3,(MIN(SUMPRODUCT((PayEmp=$C93)*(PayDate&lt;=$AC93)*(ISERROR(SEARCH(PayEarnCode,AT$2)))*(PayEarnType="Monthly")*(PayEarnValues))/$AA93*12,IF(ISNUMBER(OFFSET($N$3,0,MATCH(AT$5,PayDedList,0)-1,1,1)),OFFSET($N$3,0,MATCH(AT$5,PayDedList,0)-1,1,1),IgnoreMin)))*IF(COUNTIFS(EmpNo,$C93,OFFSET(Emp!$R$4,1,MATCH(AT$5,DedListItem,0)-1,EmpCount,1),"&lt;&gt;")&gt;0,VLOOKUP($C93,EmpAll,COLUMN(Emp!$R$4)+MATCH(AT$5,DedListItem,0)-1,0),OFFSET(Setup!$E$73,MATCH(AT$5,DedListItem,0),0,1,1))*AT$3))),IF(ISNUMBER(AT$4),AT$4,IgnoreMin)))))</f>
        <v>0</v>
      </c>
      <c r="AU93" s="148" cm="1">
        <f t="array" aca="1" ref="AU93" ca="1">-IF($F93="Terminated",0,IF($AA93=0,0,IF(ISNA(MATCH(AU$5,PayDedList,0)),0,MIN(IF(COUNTIFS(OverEmp,$C93,OverDeduct,AU$5,OverDate,"&lt;"&amp;DATE(YEAR($AC93),MONTH($AC93)+1,1),OverEnd,"&gt;="&amp;DATE(YEAR($AC93),MONTH($AC93),1))&gt;0,SUMPRODUCT((PayEmp=$C93)*(PayDate&lt;=$AC93)*(OFFSET($N$6,1,MATCH(AU$5,PayDedList,0)-1,PayCount,1)))/$AA93*12*AU$3,IF(OR(AU$1="Fixed",AU$1="Not Used"),SUMPRODUCT((PayEmp=$C93)*(PayDate&lt;=$AC93)*(OFFSET($N$6,1,MATCH(AU$5,PayDedList,0)-1,PayCount,1)))/$AA93*12*AU$3,IF(ISNA(MATCH(OFFSET($N$2,0,MATCH(AU$5,PayDedList,0)-1,1,1),EarnListItem,0))=FALSE,SUMPRODUCT((PayEmp=$C93)*(PayDate&lt;=$AC93)*(OFFSET($N$6,1,MATCH(AU$5,PayDedList,0)-1,PayCount,1)))/$AA93*12*AU$3,(MIN(SUMPRODUCT((PayEmp=$C93)*(PayDate&lt;=$AC93)*(ISERROR(SEARCH(PayEarnCode,AU$2)))*(PayEarnType="Monthly")*(PayEarnValues))/$AA93*12,IF(ISNUMBER(OFFSET($N$3,0,MATCH(AU$5,PayDedList,0)-1,1,1)),OFFSET($N$3,0,MATCH(AU$5,PayDedList,0)-1,1,1),IgnoreMin)))*IF(COUNTIFS(EmpNo,$C93,OFFSET(Emp!$R$4,1,MATCH(AU$5,DedListItem,0)-1,EmpCount,1),"&lt;&gt;")&gt;0,VLOOKUP($C93,EmpAll,COLUMN(Emp!$R$4)+MATCH(AU$5,DedListItem,0)-1,0),OFFSET(Setup!$E$73,MATCH(AU$5,DedListItem,0),0,1,1))*AU$3))),IF(ISNUMBER(AU$4),AU$4,IgnoreMin)))))</f>
        <v>0</v>
      </c>
      <c r="AV93" s="148" cm="1">
        <f t="array" aca="1" ref="AV93" ca="1">-IF($F93="Terminated",0,IF($AA93=0,0,IF(ISNA(MATCH(AV$5,PayDedList,0)),0,MIN(IF(COUNTIFS(OverEmp,$C93,OverDeduct,AV$5,OverDate,"&lt;"&amp;DATE(YEAR($AC93),MONTH($AC93)+1,1),OverEnd,"&gt;="&amp;DATE(YEAR($AC93),MONTH($AC93),1))&gt;0,SUMPRODUCT((PayEmp=$C93)*(PayDate&lt;=$AC93)*(OFFSET($N$6,1,MATCH(AV$5,PayDedList,0)-1,PayCount,1)))/$AA93*12*AV$3,IF(OR(AV$1="Fixed",AV$1="Not Used"),SUMPRODUCT((PayEmp=$C93)*(PayDate&lt;=$AC93)*(OFFSET($N$6,1,MATCH(AV$5,PayDedList,0)-1,PayCount,1)))/$AA93*12*AV$3,IF(ISNA(MATCH(OFFSET($N$2,0,MATCH(AV$5,PayDedList,0)-1,1,1),EarnListItem,0))=FALSE,SUMPRODUCT((PayEmp=$C93)*(PayDate&lt;=$AC93)*(OFFSET($N$6,1,MATCH(AV$5,PayDedList,0)-1,PayCount,1)))/$AA93*12*AV$3,(MIN(SUMPRODUCT((PayEmp=$C93)*(PayDate&lt;=$AC93)*(ISERROR(SEARCH(PayEarnCode,AV$2)))*(PayEarnType="Monthly")*(PayEarnValues))/$AA93*12,IF(ISNUMBER(OFFSET($N$3,0,MATCH(AV$5,PayDedList,0)-1,1,1)),OFFSET($N$3,0,MATCH(AV$5,PayDedList,0)-1,1,1),IgnoreMin)))*IF(COUNTIFS(EmpNo,$C93,OFFSET(Emp!$R$4,1,MATCH(AV$5,DedListItem,0)-1,EmpCount,1),"&lt;&gt;")&gt;0,VLOOKUP($C93,EmpAll,COLUMN(Emp!$R$4)+MATCH(AV$5,DedListItem,0)-1,0),OFFSET(Setup!$E$73,MATCH(AV$5,DedListItem,0),0,1,1))*AV$3))),IF(ISNUMBER(AV$4),AV$4,IgnoreMin)))))</f>
        <v>0</v>
      </c>
      <c r="AW93" s="148" cm="1">
        <f t="array" aca="1" ref="AW93" ca="1">-IF($F93="Terminated",0,IF($AA93=0,0,IF(ISNA(MATCH(AW$5,PayDedList,0)),0,MIN(IF(COUNTIFS(OverEmp,$C93,OverDeduct,AW$5,OverDate,"&lt;"&amp;DATE(YEAR($AC93),MONTH($AC93)+1,1),OverEnd,"&gt;="&amp;DATE(YEAR($AC93),MONTH($AC93),1))&gt;0,SUMPRODUCT((PayEmp=$C93)*(PayDate&lt;=$AC93)*(OFFSET($N$6,1,MATCH(AW$5,PayDedList,0)-1,PayCount,1)))/$AA93*12*AW$3,IF(OR(AW$1="Fixed",AW$1="Not Used"),SUMPRODUCT((PayEmp=$C93)*(PayDate&lt;=$AC93)*(OFFSET($N$6,1,MATCH(AW$5,PayDedList,0)-1,PayCount,1)))/$AA93*12*AW$3,IF(ISNA(MATCH(OFFSET($N$2,0,MATCH(AW$5,PayDedList,0)-1,1,1),EarnListItem,0))=FALSE,SUMPRODUCT((PayEmp=$C93)*(PayDate&lt;=$AC93)*(OFFSET($N$6,1,MATCH(AW$5,PayDedList,0)-1,PayCount,1)))/$AA93*12*AW$3,(MIN(SUMPRODUCT((PayEmp=$C93)*(PayDate&lt;=$AC93)*(ISERROR(SEARCH(PayEarnCode,AW$2)))*(PayEarnType="Monthly")*(PayEarnValues))/$AA93*12,IF(ISNUMBER(OFFSET($N$3,0,MATCH(AW$5,PayDedList,0)-1,1,1)),OFFSET($N$3,0,MATCH(AW$5,PayDedList,0)-1,1,1),IgnoreMin)))*IF(COUNTIFS(EmpNo,$C93,OFFSET(Emp!$R$4,1,MATCH(AW$5,DedListItem,0)-1,EmpCount,1),"&lt;&gt;")&gt;0,VLOOKUP($C93,EmpAll,COLUMN(Emp!$R$4)+MATCH(AW$5,DedListItem,0)-1,0),OFFSET(Setup!$E$73,MATCH(AW$5,DedListItem,0),0,1,1))*AW$3))),IF(ISNUMBER(AW$4),AW$4,IgnoreMin)))))</f>
        <v>0</v>
      </c>
      <c r="AX93" s="148">
        <f t="shared" ca="1" si="43"/>
        <v>60000</v>
      </c>
      <c r="AY93" s="148">
        <f t="shared" ca="1" si="44"/>
        <v>0</v>
      </c>
      <c r="AZ93" s="148">
        <f ca="1">IF(ISNUMBER($AL93),($AR93*$AL93)-$AI93-$AK93,MAX(0,IF($AL93="B",IF($AR93&lt;Setup!$C$32,($AR93*Setup!$D$32)-$AI93-$AK93,(($AR93-VLOOKUP($AR93,TaxAll2,1,1))*OFFSET(Setup!$D$32,MATCH($AR93,TaxBracket2,1),0,1,1))+OFFSET(Setup!$E$31,MATCH($AR93,TaxBracket2,1),0,1,1)-$AI93-$AK93),IF($AR93&lt;Setup!$C$21,($AR93*Setup!$D$21)-$AI93-$AK93,(($AR93-VLOOKUP($AR93,TaxAll1,1,1))*OFFSET(Setup!$D$21,MATCH($AR93,TaxBracket1,1),0,1,1))+OFFSET(Setup!$E$20,MATCH($AR93,TaxBracket1,1),0,1,1)-$AI93-$AK93))))</f>
        <v>0</v>
      </c>
      <c r="BA93" s="148">
        <f ca="1">IF(ISNUMBER($AL93),($AX93*$AL93)-$AI93-$AK93,MAX(0,IF($AL93="B",IF($AX93&lt;Setup!$C$32,($AX93*Setup!$D$32)-$AI93-$AK93,(($AX93-VLOOKUP($AX93,TaxAll2,1,1))*OFFSET(Setup!$D$32,MATCH($AX93,TaxBracket2,1),0,1,1))+OFFSET(Setup!$E$31,MATCH($AX93,TaxBracket2,1),0,1,1)-$AI93-$AK93),IF($AX93&lt;Setup!$C$21,($AX93*Setup!$D$21)-$AI93-$AK93,(($AX93-VLOOKUP($AX93,TaxAll1,1,1))*OFFSET(Setup!$D$21,MATCH($AX93,TaxBracket1,1),0,1,1))+OFFSET(Setup!$E$20,MATCH($AX93,TaxBracket1,1),0,1,1)-$AI93-$AK93))))</f>
        <v>0</v>
      </c>
      <c r="BB93" s="148">
        <f t="shared" ca="1" si="35"/>
        <v>0</v>
      </c>
      <c r="BC93" s="150">
        <f t="shared" ca="1" si="45"/>
        <v>1</v>
      </c>
      <c r="BD93" s="150">
        <f t="shared" ca="1" si="46"/>
        <v>0</v>
      </c>
      <c r="BE93" s="148">
        <f t="shared" ca="1" si="47"/>
        <v>60000</v>
      </c>
    </row>
    <row r="94" spans="1:57" ht="16.149999999999999" customHeight="1" x14ac:dyDescent="0.25">
      <c r="A94" s="10" t="str" cm="1">
        <f t="array" aca="1" ref="A94" ca="1">IF(ROW($A94)-ROW($A$6)&gt;EmpCount*12,"-",TEXT($B94,"yyyy")&amp;TEXT($B94,"mm")&amp;"-"&amp;$C94)</f>
        <v>202308-EXS013</v>
      </c>
      <c r="B94" s="137" cm="1">
        <f t="array" aca="1" ref="B94" ca="1">IF(ROW($A94)-ROW($A$6)&gt;EmpCount*12,Setup!$D$12,DATE(YEAR(Setup!$F$12),MONTH(Setup!$F$12)+ROUNDDOWN((ROW($A94)-ROW($A$6)-1)/EmpCount,0),IF(Setup!$C$14&gt;DAY(DATE(YEAR(Setup!$F$12),MONTH(Setup!$F$12)+ROUNDDOWN((ROW($A94)-ROW($A$6)-1)/EmpCount,0)+1,0)),DAY(DATE(YEAR(Setup!$F$12),MONTH(Setup!$F$12)+ROUNDDOWN((ROW($A94)-ROW($A$6)-1)/EmpCount,0)+1,0)),Setup!$C$14)))</f>
        <v>45163</v>
      </c>
      <c r="C94" s="101" t="str" cm="1">
        <f t="array" aca="1" ref="C94" ca="1">IF(ROW($A94)-ROW($A$6)&gt;EmpCount*12,"-",OFFSET(Emp!$A$4,ROW($A94)-ROW($A$6)-IF(ROW($A94)-ROW($A$6)&gt;EmpCount,ROUNDDOWN((ROW($A94)-ROW($A$6)-1)/EmpCount,0)*EmpCount,0),0,1,1))</f>
        <v>EXS013</v>
      </c>
      <c r="D94" s="10" t="str">
        <f ca="1">IF(ISNA(VLOOKUP($C94,EmpAll,COLUMN(Emp!$B$4),0)),"-",VLOOKUP($C94,EmpAll,COLUMN(Emp!$B$4),0))</f>
        <v>East WD</v>
      </c>
      <c r="E94" s="145" t="str">
        <f ca="1">IF(ISNA(VLOOKUP($C94,EmpAll,COLUMN(Emp!$C$4),0)),"-",VLOOKUP($C94,EmpAll,COLUMN(Emp!$C$4),0))</f>
        <v>A</v>
      </c>
      <c r="F94" s="101" t="str">
        <f ca="1">IF(ISNA(VLOOKUP($C94,EmpAll,COLUMN(Emp!$A$4),0)),"-",IF(AND(VLOOKUP($C94,EmpAll,COLUMN(Emp!$E$4),0)&lt;&gt;0,VLOOKUP($C94,EmpAll,COLUMN(Emp!$E$4),0)&gt;=DATE(YEAR($AC94),MONTH($AC94)+1,0)),"Inactive",IF(AND(VLOOKUP($C94,EmpAll,COLUMN(Emp!$F$4),0)&lt;&gt;0,VLOOKUP($C94,EmpAll,COLUMN(Emp!$F$4),0)&lt;=DATE(YEAR($AC94),MONTH($AC94),0)),"Terminated","Active")))</f>
        <v>Active</v>
      </c>
      <c r="G94" s="133" cm="1">
        <f t="array" aca="1" ref="G94" ca="1">IF($F94&lt;&gt;"Active",0,IF(COUNTIFS(OverEmp,$C94,OverEarn,G$2,OverDate,"&lt;"&amp;DATE(YEAR($AC94),MONTH($AC94)+1,1),OverEnd,"&gt;="&amp;DATE(YEAR($AC94),MONTH($AC94),1))&gt;0,SUMIFS(OverValue,OverEmp,$C94,OverEarn,G$2,OverDate,"&lt;"&amp;DATE(YEAR($AC94),MONTH($AC94)+1,1),OverEnd,"&gt;="&amp;DATE(YEAR($AC94),MONTH($AC94),1)),IF(AND($AC94&gt;=Setup!$E$10,SUMIFS(EmpIncrease,EmpCode,$C94)&gt;0),SUMIFS(EmpIncrease,EmpCode,$C94),SUMIFS(EmpSalary,EmpCode,$C94))))</f>
        <v>5000</v>
      </c>
      <c r="H94" s="133" cm="1">
        <f t="array" aca="1" ref="H94" ca="1">IF($F94&lt;&gt;"Active",0,IF(COUNTIFS(OverEmp,$C94,OverEarn,H$2,OverDate,"&lt;"&amp;DATE(YEAR($AC94),MONTH($AC94)+1,1),OverEnd,"&gt;="&amp;DATE(YEAR($AC94),MONTH($AC94),1))&gt;0,SUMIFS(OverValue,OverEmp,$C94,OverEarn,H$2,OverDate,"&lt;"&amp;DATE(YEAR($AC94),MONTH($AC94)+1,1),OverEnd,"&gt;="&amp;DATE(YEAR($AC94),MONTH($AC94),1)),0))</f>
        <v>0</v>
      </c>
      <c r="I94" s="133" cm="1">
        <f t="array" aca="1" ref="I94" ca="1">IF($F94&lt;&gt;"Active",0,IF(COUNTIFS(OverEmp,$C94,OverEarn,I$2,OverDate,"&lt;"&amp;DATE(YEAR($AC94),MONTH($AC94)+1,1),OverEnd,"&gt;="&amp;DATE(YEAR($AC94),MONTH($AC94),1))&gt;0,SUMIFS(OverValue,OverEmp,$C94,OverEarn,I$2,OverDate,"&lt;"&amp;DATE(YEAR($AC94),MONTH($AC94)+1,1),OverEnd,"&gt;="&amp;DATE(YEAR($AC94),MONTH($AC94),1)),IF(MONTH(B94)=Setup!$C$15,SUMIFS(EmpBonus,EmpCode,$C94),0)))</f>
        <v>0</v>
      </c>
      <c r="J94" s="133" cm="1">
        <f t="array" aca="1" ref="J94" ca="1">IF($F94&lt;&gt;"Active",0,IF(COUNTIFS(OverEmp,$C94,OverEarn,J$2,OverDate,"&lt;"&amp;DATE(YEAR($AC94),MONTH($AC94)+1,1),OverEnd,"&gt;="&amp;DATE(YEAR($AC94),MONTH($AC94),1))&gt;0,SUMIFS(OverValue,OverEmp,$C94,OverEarn,J$2,OverDate,"&lt;"&amp;DATE(YEAR($AC94),MONTH($AC94)+1,1),OverEnd,"&gt;="&amp;DATE(YEAR($AC94),MONTH($AC94),1)),0))</f>
        <v>0</v>
      </c>
      <c r="K94" s="133" cm="1">
        <f t="array" aca="1" ref="K94" ca="1">IF($F94&lt;&gt;"Active",0,IF(COUNTIFS(OverEmp,$C94,OverEarn,K$2,OverDate,"&lt;"&amp;DATE(YEAR($AC94),MONTH($AC94)+1,1),OverEnd,"&gt;="&amp;DATE(YEAR($AC94),MONTH($AC94),1))&gt;0,SUMIFS(OverValue,OverEmp,$C94,OverEarn,K$2,OverDate,"&lt;"&amp;DATE(YEAR($AC94),MONTH($AC94)+1,1),OverEnd,"&gt;="&amp;DATE(YEAR($AC94),MONTH($AC94),1)),0))</f>
        <v>0</v>
      </c>
      <c r="L94" s="185">
        <f t="shared" ca="1" si="36"/>
        <v>5000</v>
      </c>
      <c r="M94" s="182" cm="1">
        <f t="array" aca="1" ref="M94" ca="1">IF(COUNTIFS(OverEmp,$C94,OverTax,M$5,OverDate,"&lt;"&amp;DATE(YEAR($AC94),MONTH($AC94)+1,1),OverEnd,"&gt;="&amp;DATE(YEAR($AC94),MONTH($AC94),1))&gt;0,SUMIFS(OverValue,OverEmp,$C94,OverTax,M$5,OverDate,"&lt;"&amp;DATE(YEAR($AC94),MONTH($AC94)+1,1),OverEnd,"&gt;="&amp;DATE(YEAR($AC94),MONTH($AC94),1)),(($BA94/12*$AA94)+(BB94*IF(1-$BC94=0,0,BD94/(1-$BC94))))-IF($F94="Terminated",0,SUMIFS(PayTaxDeduct,PayDate,"&lt;"&amp;$AC94,PayEmp,$C94)))</f>
        <v>0</v>
      </c>
      <c r="N94" s="133" cm="1">
        <f t="array" aca="1" ref="N94" ca="1">IF($F94="Terminated",0,IF($AA94=0,0,IF(ISNA(MATCH(N$5,DedListItem,0)),0,IF(COUNTIFS(OverEmp,$C94,OverDeduct,N$5,OverDate,"&lt;"&amp;DATE(YEAR($AC94),MONTH($AC94)+1,1),OverEnd,"&gt;="&amp;DATE(YEAR($AC94),MONTH($AC94),1))&gt;0,SUMIFS(OverValue,OverEmp,$C94,OverDeduct,N$5,OverDate,"&lt;"&amp;DATE(YEAR($AC94),MONTH($AC94)+1,1),OverEnd,"&gt;="&amp;DATE(YEAR($AC94),MONTH($AC94),1)),IF(OR(N$2="Fixed",N$2="Not Used"),(IF(COUNTIFS(EmpNo,$C94,OFFSET(Emp!$R$4,1,MATCH(N$5,DedListItem,0)-1,EmpCount,1),"&lt;&gt;")&gt;0,VLOOKUP($C94,EmpAll,COLUMN(Emp!$R$4)+MATCH(N$5,DedListItem,0)-1,0),OFFSET(Setup!$E$73,MATCH(N$5,DedListItem,0),0,1,1))*$AA94)-SUMIFS(OFFSET(N$6,1,0,PayCount,1),PayDate,"&lt;"&amp;$AC94,PayEmp,$C94),IF(ISNA(MATCH(N$2,EarnListItem,0))=FALSE,IF(OFFSET(Setup!$G$73,MATCH(N$5,DedListItem,0),0,1,1)="Taxable",SUMPRODUCT((PayEmp=$C94)*(PayDate&lt;=$AC94)*(PayEarnCode=N$2)*(PayEarnTax)*(PayEarnValues)),SUMPRODUCT((PayEmp=$C94)*(PayDate&lt;=$AC94)*(PayEarnCode=N$2)*(PayEarnValues)))*IF(COUNTIFS(EmpNo,$C94,OFFSET(Emp!$R$4,1,MATCH(N$5,DedListItem,0)-1,EmpCount,1),"&lt;&gt;")&gt;0,VLOOKUP($C94,EmpAll,COLUMN(Emp!$R$4)+MATCH(N$5,DedListItem,0)-1,0),OFFSET(Setup!$E$73,MATCH(N$5,DedListItem,0),0,1,1)),(MIN(IF(OFFSET(Setup!$G$73,MATCH(N$5,DedListItem,0),0,1,1)="Taxable",SUMPRODUCT((PayEmp=$C94)*(PayDate&lt;=$AC94)*(ISERROR(SEARCH(PayEarnCode,N$4)))*(PayEarnTax)*(PayEarnValues)),SUMPRODUCT((PayEmp=$C94)*(PayDate&lt;=$AC94)*(ISERROR(SEARCH(PayEarnCode,N$4)))*(PayEarnValues))),IF(ISNUMBER(N$3),N$3/12*$AA94,IgnoreMin)))*IF(COUNTIFS(EmpNo,$C94,OFFSET(Emp!$R$4,1,MATCH(N$5,DedListItem,0)-1,EmpCount,1),"&lt;&gt;")&gt;0,VLOOKUP($C94,EmpAll,COLUMN(Emp!$R$4)+MATCH(N$5,DedListItem,0)-1,0),OFFSET(Setup!$E$73,MATCH(N$5,DedListItem,0),0,1,1)))-SUMIFS(OFFSET(N$6,1,0,PayCount,1),PayDate,"&lt;"&amp;$AC94,PayEmp,$C94))))))</f>
        <v>50</v>
      </c>
      <c r="O94" s="133" cm="1">
        <f t="array" aca="1" ref="O94" ca="1">IF($F94="Terminated",0,IF($AA94=0,0,IF(ISNA(MATCH(O$5,DedListItem,0)),0,IF(COUNTIFS(OverEmp,$C94,OverDeduct,O$5,OverDate,"&lt;"&amp;DATE(YEAR($AC94),MONTH($AC94)+1,1),OverEnd,"&gt;="&amp;DATE(YEAR($AC94),MONTH($AC94),1))&gt;0,SUMIFS(OverValue,OverEmp,$C94,OverDeduct,O$5,OverDate,"&lt;"&amp;DATE(YEAR($AC94),MONTH($AC94)+1,1),OverEnd,"&gt;="&amp;DATE(YEAR($AC94),MONTH($AC94),1)),IF(OR(O$2="Fixed",O$2="Not Used"),(IF(COUNTIFS(EmpNo,$C94,OFFSET(Emp!$R$4,1,MATCH(O$5,DedListItem,0)-1,EmpCount,1),"&lt;&gt;")&gt;0,VLOOKUP($C94,EmpAll,COLUMN(Emp!$R$4)+MATCH(O$5,DedListItem,0)-1,0),OFFSET(Setup!$E$73,MATCH(O$5,DedListItem,0),0,1,1))*$AA94)-SUMIFS(OFFSET(O$6,1,0,PayCount,1),PayDate,"&lt;"&amp;$AC94,PayEmp,$C94),IF(ISNA(MATCH(O$2,EarnListItem,0))=FALSE,IF(OFFSET(Setup!$G$73,MATCH(O$5,DedListItem,0),0,1,1)="Taxable",SUMPRODUCT((PayEmp=$C94)*(PayDate&lt;=$AC94)*(PayEarnCode=O$2)*(PayEarnTax)*(PayEarnValues)),SUMPRODUCT((PayEmp=$C94)*(PayDate&lt;=$AC94)*(PayEarnCode=O$2)*(PayEarnValues)))*IF(COUNTIFS(EmpNo,$C94,OFFSET(Emp!$R$4,1,MATCH(O$5,DedListItem,0)-1,EmpCount,1),"&lt;&gt;")&gt;0,VLOOKUP($C94,EmpAll,COLUMN(Emp!$R$4)+MATCH(O$5,DedListItem,0)-1,0),OFFSET(Setup!$E$73,MATCH(O$5,DedListItem,0),0,1,1)),(MIN(IF(OFFSET(Setup!$G$73,MATCH(O$5,DedListItem,0),0,1,1)="Taxable",SUMPRODUCT((PayEmp=$C94)*(PayDate&lt;=$AC94)*(ISERROR(SEARCH(PayEarnCode,O$4)))*(PayEarnTax)*(PayEarnValues)),SUMPRODUCT((PayEmp=$C94)*(PayDate&lt;=$AC94)*(ISERROR(SEARCH(PayEarnCode,O$4)))*(PayEarnValues))),IF(ISNUMBER(O$3),O$3/12*$AA94,IgnoreMin)))*IF(COUNTIFS(EmpNo,$C94,OFFSET(Emp!$R$4,1,MATCH(O$5,DedListItem,0)-1,EmpCount,1),"&lt;&gt;")&gt;0,VLOOKUP($C94,EmpAll,COLUMN(Emp!$R$4)+MATCH(O$5,DedListItem,0)-1,0),OFFSET(Setup!$E$73,MATCH(O$5,DedListItem,0),0,1,1)))-SUMIFS(OFFSET(O$6,1,0,PayCount,1),PayDate,"&lt;"&amp;$AC94,PayEmp,$C94))))))</f>
        <v>0</v>
      </c>
      <c r="P94" s="133" cm="1">
        <f t="array" aca="1" ref="P94" ca="1">IF($F94="Terminated",0,IF($AA94=0,0,IF(ISNA(MATCH(P$5,DedListItem,0)),0,IF(COUNTIFS(OverEmp,$C94,OverDeduct,P$5,OverDate,"&lt;"&amp;DATE(YEAR($AC94),MONTH($AC94)+1,1),OverEnd,"&gt;="&amp;DATE(YEAR($AC94),MONTH($AC94),1))&gt;0,SUMIFS(OverValue,OverEmp,$C94,OverDeduct,P$5,OverDate,"&lt;"&amp;DATE(YEAR($AC94),MONTH($AC94)+1,1),OverEnd,"&gt;="&amp;DATE(YEAR($AC94),MONTH($AC94),1)),IF(OR(P$2="Fixed",P$2="Not Used"),(IF(COUNTIFS(EmpNo,$C94,OFFSET(Emp!$R$4,1,MATCH(P$5,DedListItem,0)-1,EmpCount,1),"&lt;&gt;")&gt;0,VLOOKUP($C94,EmpAll,COLUMN(Emp!$R$4)+MATCH(P$5,DedListItem,0)-1,0),OFFSET(Setup!$E$73,MATCH(P$5,DedListItem,0),0,1,1))*$AA94)-SUMIFS(OFFSET(P$6,1,0,PayCount,1),PayDate,"&lt;"&amp;$AC94,PayEmp,$C94),IF(ISNA(MATCH(P$2,EarnListItem,0))=FALSE,IF(OFFSET(Setup!$G$73,MATCH(P$5,DedListItem,0),0,1,1)="Taxable",SUMPRODUCT((PayEmp=$C94)*(PayDate&lt;=$AC94)*(PayEarnCode=P$2)*(PayEarnTax)*(PayEarnValues)),SUMPRODUCT((PayEmp=$C94)*(PayDate&lt;=$AC94)*(PayEarnCode=P$2)*(PayEarnValues)))*IF(COUNTIFS(EmpNo,$C94,OFFSET(Emp!$R$4,1,MATCH(P$5,DedListItem,0)-1,EmpCount,1),"&lt;&gt;")&gt;0,VLOOKUP($C94,EmpAll,COLUMN(Emp!$R$4)+MATCH(P$5,DedListItem,0)-1,0),OFFSET(Setup!$E$73,MATCH(P$5,DedListItem,0),0,1,1)),(MIN(IF(OFFSET(Setup!$G$73,MATCH(P$5,DedListItem,0),0,1,1)="Taxable",SUMPRODUCT((PayEmp=$C94)*(PayDate&lt;=$AC94)*(ISERROR(SEARCH(PayEarnCode,P$4)))*(PayEarnTax)*(PayEarnValues)),SUMPRODUCT((PayEmp=$C94)*(PayDate&lt;=$AC94)*(ISERROR(SEARCH(PayEarnCode,P$4)))*(PayEarnValues))),IF(ISNUMBER(P$3),P$3/12*$AA94,IgnoreMin)))*IF(COUNTIFS(EmpNo,$C94,OFFSET(Emp!$R$4,1,MATCH(P$5,DedListItem,0)-1,EmpCount,1),"&lt;&gt;")&gt;0,VLOOKUP($C94,EmpAll,COLUMN(Emp!$R$4)+MATCH(P$5,DedListItem,0)-1,0),OFFSET(Setup!$E$73,MATCH(P$5,DedListItem,0),0,1,1)))-SUMIFS(OFFSET(P$6,1,0,PayCount,1),PayDate,"&lt;"&amp;$AC94,PayEmp,$C94))))))</f>
        <v>0</v>
      </c>
      <c r="Q94" s="133" cm="1">
        <f t="array" aca="1" ref="Q94" ca="1">IF($F94="Terminated",0,IF($AA94=0,0,IF(ISNA(MATCH(Q$5,DedListItem,0)),0,IF(COUNTIFS(OverEmp,$C94,OverDeduct,Q$5,OverDate,"&lt;"&amp;DATE(YEAR($AC94),MONTH($AC94)+1,1),OverEnd,"&gt;="&amp;DATE(YEAR($AC94),MONTH($AC94),1))&gt;0,SUMIFS(OverValue,OverEmp,$C94,OverDeduct,Q$5,OverDate,"&lt;"&amp;DATE(YEAR($AC94),MONTH($AC94)+1,1),OverEnd,"&gt;="&amp;DATE(YEAR($AC94),MONTH($AC94),1)),IF(OR(Q$2="Fixed",Q$2="Not Used"),(IF(COUNTIFS(EmpNo,$C94,OFFSET(Emp!$R$4,1,MATCH(Q$5,DedListItem,0)-1,EmpCount,1),"&lt;&gt;")&gt;0,VLOOKUP($C94,EmpAll,COLUMN(Emp!$R$4)+MATCH(Q$5,DedListItem,0)-1,0),OFFSET(Setup!$E$73,MATCH(Q$5,DedListItem,0),0,1,1))*$AA94)-SUMIFS(OFFSET(Q$6,1,0,PayCount,1),PayDate,"&lt;"&amp;$AC94,PayEmp,$C94),IF(ISNA(MATCH(Q$2,EarnListItem,0))=FALSE,IF(OFFSET(Setup!$G$73,MATCH(Q$5,DedListItem,0),0,1,1)="Taxable",SUMPRODUCT((PayEmp=$C94)*(PayDate&lt;=$AC94)*(PayEarnCode=Q$2)*(PayEarnTax)*(PayEarnValues)),SUMPRODUCT((PayEmp=$C94)*(PayDate&lt;=$AC94)*(PayEarnCode=Q$2)*(PayEarnValues)))*IF(COUNTIFS(EmpNo,$C94,OFFSET(Emp!$R$4,1,MATCH(Q$5,DedListItem,0)-1,EmpCount,1),"&lt;&gt;")&gt;0,VLOOKUP($C94,EmpAll,COLUMN(Emp!$R$4)+MATCH(Q$5,DedListItem,0)-1,0),OFFSET(Setup!$E$73,MATCH(Q$5,DedListItem,0),0,1,1)),(MIN(IF(OFFSET(Setup!$G$73,MATCH(Q$5,DedListItem,0),0,1,1)="Taxable",SUMPRODUCT((PayEmp=$C94)*(PayDate&lt;=$AC94)*(ISERROR(SEARCH(PayEarnCode,Q$4)))*(PayEarnTax)*(PayEarnValues)),SUMPRODUCT((PayEmp=$C94)*(PayDate&lt;=$AC94)*(ISERROR(SEARCH(PayEarnCode,Q$4)))*(PayEarnValues))),IF(ISNUMBER(Q$3),Q$3/12*$AA94,IgnoreMin)))*IF(COUNTIFS(EmpNo,$C94,OFFSET(Emp!$R$4,1,MATCH(Q$5,DedListItem,0)-1,EmpCount,1),"&lt;&gt;")&gt;0,VLOOKUP($C94,EmpAll,COLUMN(Emp!$R$4)+MATCH(Q$5,DedListItem,0)-1,0),OFFSET(Setup!$E$73,MATCH(Q$5,DedListItem,0),0,1,1)))-SUMIFS(OFFSET(Q$6,1,0,PayCount,1),PayDate,"&lt;"&amp;$AC94,PayEmp,$C94))))))</f>
        <v>0</v>
      </c>
      <c r="R94" s="185">
        <f t="shared" ca="1" si="37"/>
        <v>50</v>
      </c>
      <c r="S94" s="139">
        <f t="shared" ca="1" si="38"/>
        <v>4950</v>
      </c>
      <c r="T94" s="133" cm="1">
        <f t="array" aca="1" ref="T94" ca="1">IF($F94="Terminated",0,IF($AA94=0,0,IF(ISNA(MATCH(T$5,CompListItem,0)),0,IF(COUNTIFS(OverEmp,$C94,OverComp,T$5,OverDate,"&lt;"&amp;DATE(YEAR($AC94),MONTH($AC94)+1,1),OverEnd,"&gt;="&amp;DATE(YEAR($AC94),MONTH($AC94),1))&gt;0,SUMIFS(OverValue,OverEmp,$C94,OverComp,T$5,OverDate,"&lt;"&amp;DATE(YEAR($AC94),MONTH($AC94)+1,1),OverEnd,"&gt;="&amp;DATE(YEAR($AC94),MONTH($AC94),1)),IF(OR(T$2="Fixed",T$2="Not Used"),(OFFSET(Setup!$E$81,MATCH(T$5,CompListItem,0),0,1,1)*$AA94)-SUMIFS(OFFSET(T$6,1,0,PayCount,1),PayDate,"&lt;"&amp;$AC94,PayEmp,$C94),IF(ISNA(MATCH(T$2,DedListItem,0))=FALSE,(SUMPRODUCT((PayEmp=$C94)*(PayDate&lt;=$AC94)*(PayDedList=T$2)*(PayDedValues))*OFFSET(Setup!$E$81,MATCH(T$5,CompListItem,0),0,1,1))-SUMIFS(OFFSET(T$6,1,0,PayCount,1),PayDate,"&lt;"&amp;$AC94,PayEmp,$C94),(MIN(IF(OFFSET(Setup!$G$81,MATCH(T$5,CompListItem,0),0,1,1)="Taxable",SUMPRODUCT((PayEmp=$C94)*(PayDate&lt;=$AC94)*(ISERROR(SEARCH(PayEarnCode,T$4)))*(PayEarnTax)*(PayEarnValues)),SUMPRODUCT((PayEmp=$C94)*(PayDate&lt;=$AC94)*(ISERROR(SEARCH(PayEarnCode,T$4)))*(PayEarnValues))),IF(ISNUMBER(T$3),T$3/12*$AA94,IgnoreMin)))*OFFSET(Setup!$E$81,MATCH(T$5,CompListItem,0),0,1,1)-SUMIFS(OFFSET(T$6,1,0,PayCount,1),PayDate,"&lt;"&amp;$AC94,PayEmp,$C94)))))))</f>
        <v>50</v>
      </c>
      <c r="U94" s="133" cm="1">
        <f t="array" aca="1" ref="U94" ca="1">IF($F94="Terminated",0,IF($AA94=0,0,IF(ISNA(MATCH(U$5,CompListItem,0)),0,IF(COUNTIFS(OverEmp,$C94,OverComp,U$5,OverDate,"&lt;"&amp;DATE(YEAR($AC94),MONTH($AC94)+1,1),OverEnd,"&gt;="&amp;DATE(YEAR($AC94),MONTH($AC94),1))&gt;0,SUMIFS(OverValue,OverEmp,$C94,OverComp,U$5,OverDate,"&lt;"&amp;DATE(YEAR($AC94),MONTH($AC94)+1,1),OverEnd,"&gt;="&amp;DATE(YEAR($AC94),MONTH($AC94),1)),IF(OR(U$2="Fixed",U$2="Not Used"),(OFFSET(Setup!$E$81,MATCH(U$5,CompListItem,0),0,1,1)*$AA94)-SUMIFS(OFFSET(U$6,1,0,PayCount,1),PayDate,"&lt;"&amp;$AC94,PayEmp,$C94),IF(ISNA(MATCH(U$2,DedListItem,0))=FALSE,(SUMPRODUCT((PayEmp=$C94)*(PayDate&lt;=$AC94)*(PayDedList=U$2)*(PayDedValues))*OFFSET(Setup!$E$81,MATCH(U$5,CompListItem,0),0,1,1))-SUMIFS(OFFSET(U$6,1,0,PayCount,1),PayDate,"&lt;"&amp;$AC94,PayEmp,$C94),(MIN(IF(OFFSET(Setup!$G$81,MATCH(U$5,CompListItem,0),0,1,1)="Taxable",SUMPRODUCT((PayEmp=$C94)*(PayDate&lt;=$AC94)*(ISERROR(SEARCH(PayEarnCode,U$4)))*(PayEarnTax)*(PayEarnValues)),SUMPRODUCT((PayEmp=$C94)*(PayDate&lt;=$AC94)*(ISERROR(SEARCH(PayEarnCode,U$4)))*(PayEarnValues))),IF(ISNUMBER(U$3),U$3/12*$AA94,IgnoreMin)))*OFFSET(Setup!$E$81,MATCH(U$5,CompListItem,0),0,1,1)-SUMIFS(OFFSET(U$6,1,0,PayCount,1),PayDate,"&lt;"&amp;$AC94,PayEmp,$C94)))))))</f>
        <v>50</v>
      </c>
      <c r="V94" s="133" cm="1">
        <f t="array" aca="1" ref="V94" ca="1">IF($F94="Terminated",0,IF($AA94=0,0,IF(ISNA(MATCH(V$5,CompListItem,0)),0,IF(COUNTIFS(OverEmp,$C94,OverComp,V$5,OverDate,"&lt;"&amp;DATE(YEAR($AC94),MONTH($AC94)+1,1),OverEnd,"&gt;="&amp;DATE(YEAR($AC94),MONTH($AC94),1))&gt;0,SUMIFS(OverValue,OverEmp,$C94,OverComp,V$5,OverDate,"&lt;"&amp;DATE(YEAR($AC94),MONTH($AC94)+1,1),OverEnd,"&gt;="&amp;DATE(YEAR($AC94),MONTH($AC94),1)),IF(OR(V$2="Fixed",V$2="Not Used"),(OFFSET(Setup!$E$81,MATCH(V$5,CompListItem,0),0,1,1)*$AA94)-SUMIFS(OFFSET(V$6,1,0,PayCount,1),PayDate,"&lt;"&amp;$AC94,PayEmp,$C94),IF(ISNA(MATCH(V$2,DedListItem,0))=FALSE,(SUMPRODUCT((PayEmp=$C94)*(PayDate&lt;=$AC94)*(PayDedList=V$2)*(PayDedValues))*OFFSET(Setup!$E$81,MATCH(V$5,CompListItem,0),0,1,1))-SUMIFS(OFFSET(V$6,1,0,PayCount,1),PayDate,"&lt;"&amp;$AC94,PayEmp,$C94),(MIN(IF(OFFSET(Setup!$G$81,MATCH(V$5,CompListItem,0),0,1,1)="Taxable",SUMPRODUCT((PayEmp=$C94)*(PayDate&lt;=$AC94)*(ISERROR(SEARCH(PayEarnCode,V$4)))*(PayEarnTax)*(PayEarnValues)),SUMPRODUCT((PayEmp=$C94)*(PayDate&lt;=$AC94)*(ISERROR(SEARCH(PayEarnCode,V$4)))*(PayEarnValues))),IF(ISNUMBER(V$3),V$3/12*$AA94,IgnoreMin)))*OFFSET(Setup!$E$81,MATCH(V$5,CompListItem,0),0,1,1)-SUMIFS(OFFSET(V$6,1,0,PayCount,1),PayDate,"&lt;"&amp;$AC94,PayEmp,$C94)))))))</f>
        <v>0</v>
      </c>
      <c r="W94" s="133" cm="1">
        <f t="array" aca="1" ref="W94" ca="1">IF($F94="Terminated",0,IF($AA94=0,0,IF(ISNA(MATCH(W$5,CompListItem,0)),0,IF(COUNTIFS(OverEmp,$C94,OverComp,W$5,OverDate,"&lt;"&amp;DATE(YEAR($AC94),MONTH($AC94)+1,1),OverEnd,"&gt;="&amp;DATE(YEAR($AC94),MONTH($AC94),1))&gt;0,SUMIFS(OverValue,OverEmp,$C94,OverComp,W$5,OverDate,"&lt;"&amp;DATE(YEAR($AC94),MONTH($AC94)+1,1),OverEnd,"&gt;="&amp;DATE(YEAR($AC94),MONTH($AC94),1)),IF(OR(W$2="Fixed",W$2="Not Used"),(OFFSET(Setup!$E$81,MATCH(W$5,CompListItem,0),0,1,1)*$AA94)-SUMIFS(OFFSET(W$6,1,0,PayCount,1),PayDate,"&lt;"&amp;$AC94,PayEmp,$C94),IF(ISNA(MATCH(W$2,DedListItem,0))=FALSE,(SUMPRODUCT((PayEmp=$C94)*(PayDate&lt;=$AC94)*(PayDedList=W$2)*(PayDedValues))*OFFSET(Setup!$E$81,MATCH(W$5,CompListItem,0),0,1,1))-SUMIFS(OFFSET(W$6,1,0,PayCount,1),PayDate,"&lt;"&amp;$AC94,PayEmp,$C94),(MIN(IF(OFFSET(Setup!$G$81,MATCH(W$5,CompListItem,0),0,1,1)="Taxable",SUMPRODUCT((PayEmp=$C94)*(PayDate&lt;=$AC94)*(ISERROR(SEARCH(PayEarnCode,W$4)))*(PayEarnTax)*(PayEarnValues)),SUMPRODUCT((PayEmp=$C94)*(PayDate&lt;=$AC94)*(ISERROR(SEARCH(PayEarnCode,W$4)))*(PayEarnValues))),IF(ISNUMBER(W$3),W$3/12*$AA94,IgnoreMin)))*OFFSET(Setup!$E$81,MATCH(W$5,CompListItem,0),0,1,1)-SUMIFS(OFFSET(W$6,1,0,PayCount,1),PayDate,"&lt;"&amp;$AC94,PayEmp,$C94)))))))</f>
        <v>0</v>
      </c>
      <c r="X94" s="185">
        <f t="shared" ca="1" si="30"/>
        <v>100</v>
      </c>
      <c r="Y94" s="139">
        <f t="shared" ca="1" si="39"/>
        <v>5100</v>
      </c>
      <c r="Z94" s="139">
        <f t="shared" ca="1" si="31"/>
        <v>150</v>
      </c>
      <c r="AA94" s="146">
        <f ca="1">IF(OR($B94&lt;=Setup!$E$12,$B94&gt;=Setup!$D$12+1),0,IF($F94&lt;&gt;"Active",0,IF($AE94="Yes",$AB94,((YEAR($AC94)*12)+MONTH($AC94))-((YEAR($AD94)*12)+MONTH($AD94)-1))))</f>
        <v>6</v>
      </c>
      <c r="AB94" s="146">
        <f ca="1">IF(OR($B94&lt;=Setup!$E$12,$B94&gt;=Setup!$D$12+1),0,((YEAR($AC94)*12)+MONTH($AC94))-((YEAR(Setup!$E$12)*12)+MONTH(Setup!$E$12)))</f>
        <v>6</v>
      </c>
      <c r="AC94" s="186">
        <f t="shared" ca="1" si="32"/>
        <v>45163</v>
      </c>
      <c r="AD94" s="144">
        <f ca="1">IF(ISNA(VLOOKUP($C94,EmpAll,COLUMN(Emp!$E$4),0)),$AC94,IF(VLOOKUP($C94,EmpAll,COLUMN(Emp!$E$4),0)&lt;=Setup!$E$12,DATE(YEAR(Setup!$E$12),MONTH(Setup!$E$12)+1,1),VLOOKUP($C94,EmpAll,COLUMN(Emp!$E$4),0)))</f>
        <v>44986</v>
      </c>
      <c r="AE94" s="144" t="str">
        <f ca="1">IF(ISNA(VLOOKUP($C94,EmpAll,COLUMN(Emp!$G$1),0)),"-",IF(VLOOKUP($C94,EmpAll,COLUMN(Emp!$G$1),0)=0,"-",VLOOKUP($C94,EmpAll,COLUMN(Emp!$G$1),0)))</f>
        <v>-</v>
      </c>
      <c r="AF94" s="145">
        <f ca="1">IF(A94=PaySlip!$G$3,1,0)</f>
        <v>0</v>
      </c>
      <c r="AG94" s="130" cm="1">
        <f t="array" aca="1" ref="AG94" ca="1">IF(COUNTIFS(OverEmp,$C94,OverMed,"MED",OverDate,"&lt;"&amp;DATE(YEAR($AC94),MONTH($AC94)+1,1),OverEnd,"&gt;="&amp;DATE(YEAR($AC94),MONTH($AC94),1))&gt;0,SUMIFS(OverValue,OverEmp,$C94,OverMed,"MED",OverDate,"&lt;"&amp;DATE(YEAR($AC94),MONTH($AC94)+1,1),OverEnd,"&gt;="&amp;DATE(YEAR($AC94),MONTH($AC94),1)),IF(ISNA(VLOOKUP($C94,EmpAll,COLUMN(Emp!$N$4),0)),0,VLOOKUP($C94,EmpAll,COLUMN(Emp!$N$4),0)))</f>
        <v>0</v>
      </c>
      <c r="AH94" s="146">
        <f ca="1">VLOOKUP($AG94,MedList,COLUMN(Setup!$C$49),1)</f>
        <v>0</v>
      </c>
      <c r="AI94" s="146">
        <f t="shared" ca="1" si="40"/>
        <v>0</v>
      </c>
      <c r="AJ94" s="101" t="str">
        <f ca="1">IF(ISNA(VLOOKUP($C94,EmpAll,COLUMN(Emp!$L$4),0)),"None!",VLOOKUP($C94,EmpAll,COLUMN(Emp!$L$4),0))</f>
        <v>A</v>
      </c>
      <c r="AK94" s="147">
        <f t="shared" ca="1" si="33"/>
        <v>17235</v>
      </c>
      <c r="AL94" s="101" t="str">
        <f ca="1">IF(ISNA(VLOOKUP($C94,Employees[],COLUMN(Emp!$M$4),0))=TRUE,"Error!",IF(VLOOKUP($C94,Employees[],COLUMN(Emp!$M$4),0)=0,"Yes",VLOOKUP($C94,Employees[],COLUMN(Emp!$M$4),0)))</f>
        <v>A</v>
      </c>
      <c r="AM94" s="148">
        <f t="shared" ca="1" si="41"/>
        <v>60000</v>
      </c>
      <c r="AN94" s="148" cm="1">
        <f t="array" aca="1" ref="AN94" ca="1">-IF($F94="Terminated",0,IF($AA94=0,0,IF(ISNA(MATCH(AN$5,PayDedList,0)),0,MIN(IF(COUNTIFS(OverEmp,$C94,OverDeduct,AN$5,OverDate,"&lt;"&amp;DATE(YEAR($AC94),MONTH($AC94)+1,1),OverEnd,"&gt;="&amp;DATE(YEAR($AC94),MONTH($AC94),1))&gt;0,SUMPRODUCT((PayEmp=$C94)*(PayDate&lt;=$AC94)*(OFFSET($N$6,1,MATCH(AN$5,PayDedList,0)-1,PayCount,1)))/$AA94*12*AN$3,IF(OR(AN$1="Fixed",AN$1="Not Used"),SUMPRODUCT((PayEmp=$C94)*(PayDate&lt;=$AC94)*(OFFSET($N$6,1,MATCH(AN$5,PayDedList,0)-1,PayCount,1)))/$AA94*12*AN$3,IF(ISNA(MATCH(AN$1,EarnListItem,0))=FALSE,SUMPRODUCT((PayEmp=$C94)*(PayDate&lt;=$AC94)*(OFFSET($N$6,1,MATCH(AN$5,PayDedList,0)-1,PayCount,1)))/$AA94*12*AN$3,(MIN(((SUMPRODUCT((PayEmp=$C94)*(PayDate&lt;=$AC94)*(ISERROR(SEARCH(PayEarnCode,AN$2)))*(PayEarnType="Monthly")*(PayEarnValues))/$AA94*12)+(SUMPRODUCT((PayEmp=$C94)*(PayDate&lt;=$AC94)*(ISERROR(SEARCH(PayEarnCode,AN$2)))*(PayEarnType="Quarterly")*(PayEarnValues))/MAX(1,ROUNDDOWN($AB94/3,0))*4)+(SUMPRODUCT((PayEmp=$C94)*(PayDate&lt;=$AC94)*(ISERROR(SEARCH(PayEarnCode,AN$2)))*(PayEarnType="Bi-Annual")*(PayEarnValues))/MAX(1,ROUNDDOWN($AB94/6,0))*2)+(SUMPRODUCT((PayEmp=$C94)*(PayDate&lt;=$AC94)*(ISERROR(SEARCH(PayEarnCode,AN$2)))*(PayEarnType="Annual")*(PayEarnValues)))),IF(ISNUMBER(OFFSET($N$3,0,MATCH(AN$5,PayDedList,0)-1,1,1)),OFFSET($N$3,0,MATCH(AN$5,PayDedList,0)-1,1,1),IgnoreMin)))*IF(COUNTIFS(EmpNo,$C94,OFFSET(Emp!$R$4,1,MATCH(AN$5,DedListItem,0)-1,EmpCount,1),"&lt;&gt;")&gt;0,VLOOKUP($C94,EmpAll,COLUMN(Emp!$R$4)+MATCH(AN$5,DedListItem,0)-1,0),OFFSET(Setup!$E$73,MATCH(AN$5,DedListItem,0),0,1,1))*AN$3))),IF(ISNUMBER(AN$4),AN$4,IgnoreMin)))))</f>
        <v>0</v>
      </c>
      <c r="AO94" s="148" cm="1">
        <f t="array" aca="1" ref="AO94" ca="1">-IF($F94="Terminated",0,IF($AA94=0,0,IF(ISNA(MATCH(AO$5,PayDedList,0)),0,MIN(IF(COUNTIFS(OverEmp,$C94,OverDeduct,AO$5,OverDate,"&lt;"&amp;DATE(YEAR($AC94),MONTH($AC94)+1,1),OverEnd,"&gt;="&amp;DATE(YEAR($AC94),MONTH($AC94),1))&gt;0,SUMPRODUCT((PayEmp=$C94)*(PayDate&lt;=$AC94)*(OFFSET($N$6,1,MATCH(AO$5,PayDedList,0)-1,PayCount,1)))/$AA94*12*AO$3,IF(OR(AO$1="Fixed",AO$1="Not Used"),SUMPRODUCT((PayEmp=$C94)*(PayDate&lt;=$AC94)*(OFFSET($N$6,1,MATCH(AO$5,PayDedList,0)-1,PayCount,1)))/$AA94*12*AO$3,IF(ISNA(MATCH(AO$1,EarnListItem,0))=FALSE,SUMPRODUCT((PayEmp=$C94)*(PayDate&lt;=$AC94)*(OFFSET($N$6,1,MATCH(AO$5,PayDedList,0)-1,PayCount,1)))/$AA94*12*AO$3,(MIN(((SUMPRODUCT((PayEmp=$C94)*(PayDate&lt;=$AC94)*(ISERROR(SEARCH(PayEarnCode,AO$2)))*(PayEarnType="Monthly")*(PayEarnValues))/$AA94*12)+(SUMPRODUCT((PayEmp=$C94)*(PayDate&lt;=$AC94)*(ISERROR(SEARCH(PayEarnCode,AO$2)))*(PayEarnType="Quarterly")*(PayEarnValues))/MAX(1,ROUNDDOWN($AB94/3,0))*4)+(SUMPRODUCT((PayEmp=$C94)*(PayDate&lt;=$AC94)*(ISERROR(SEARCH(PayEarnCode,AO$2)))*(PayEarnType="Bi-Annual")*(PayEarnValues))/MAX(1,ROUNDDOWN($AB94/6,0))*2)+(SUMPRODUCT((PayEmp=$C94)*(PayDate&lt;=$AC94)*(ISERROR(SEARCH(PayEarnCode,AO$2)))*(PayEarnType="Annual")*(PayEarnValues)))),IF(ISNUMBER(OFFSET($N$3,0,MATCH(AO$5,PayDedList,0)-1,1,1)),OFFSET($N$3,0,MATCH(AO$5,PayDedList,0)-1,1,1),IgnoreMin)))*IF(COUNTIFS(EmpNo,$C94,OFFSET(Emp!$R$4,1,MATCH(AO$5,DedListItem,0)-1,EmpCount,1),"&lt;&gt;")&gt;0,VLOOKUP($C94,EmpAll,COLUMN(Emp!$R$4)+MATCH(AO$5,DedListItem,0)-1,0),OFFSET(Setup!$E$73,MATCH(AO$5,DedListItem,0),0,1,1))*AO$3))),IF(ISNUMBER(AO$4),AO$4,IgnoreMin)))))</f>
        <v>0</v>
      </c>
      <c r="AP94" s="148" cm="1">
        <f t="array" aca="1" ref="AP94" ca="1">-IF($F94="Terminated",0,IF($AA94=0,0,IF(ISNA(MATCH(AP$5,PayDedList,0)),0,MIN(IF(COUNTIFS(OverEmp,$C94,OverDeduct,AP$5,OverDate,"&lt;"&amp;DATE(YEAR($AC94),MONTH($AC94)+1,1),OverEnd,"&gt;="&amp;DATE(YEAR($AC94),MONTH($AC94),1))&gt;0,SUMPRODUCT((PayEmp=$C94)*(PayDate&lt;=$AC94)*(OFFSET($N$6,1,MATCH(AP$5,PayDedList,0)-1,PayCount,1)))/$AA94*12*AP$3,IF(OR(AP$1="Fixed",AP$1="Not Used"),SUMPRODUCT((PayEmp=$C94)*(PayDate&lt;=$AC94)*(OFFSET($N$6,1,MATCH(AP$5,PayDedList,0)-1,PayCount,1)))/$AA94*12*AP$3,IF(ISNA(MATCH(AP$1,EarnListItem,0))=FALSE,SUMPRODUCT((PayEmp=$C94)*(PayDate&lt;=$AC94)*(OFFSET($N$6,1,MATCH(AP$5,PayDedList,0)-1,PayCount,1)))/$AA94*12*AP$3,(MIN(((SUMPRODUCT((PayEmp=$C94)*(PayDate&lt;=$AC94)*(ISERROR(SEARCH(PayEarnCode,AP$2)))*(PayEarnType="Monthly")*(PayEarnValues))/$AA94*12)+(SUMPRODUCT((PayEmp=$C94)*(PayDate&lt;=$AC94)*(ISERROR(SEARCH(PayEarnCode,AP$2)))*(PayEarnType="Quarterly")*(PayEarnValues))/MAX(1,ROUNDDOWN($AB94/3,0))*4)+(SUMPRODUCT((PayEmp=$C94)*(PayDate&lt;=$AC94)*(ISERROR(SEARCH(PayEarnCode,AP$2)))*(PayEarnType="Bi-Annual")*(PayEarnValues))/MAX(1,ROUNDDOWN($AB94/6,0))*2)+(SUMPRODUCT((PayEmp=$C94)*(PayDate&lt;=$AC94)*(ISERROR(SEARCH(PayEarnCode,AP$2)))*(PayEarnType="Annual")*(PayEarnValues)))),IF(ISNUMBER(OFFSET($N$3,0,MATCH(AP$5,PayDedList,0)-1,1,1)),OFFSET($N$3,0,MATCH(AP$5,PayDedList,0)-1,1,1),IgnoreMin)))*IF(COUNTIFS(EmpNo,$C94,OFFSET(Emp!$R$4,1,MATCH(AP$5,DedListItem,0)-1,EmpCount,1),"&lt;&gt;")&gt;0,VLOOKUP($C94,EmpAll,COLUMN(Emp!$R$4)+MATCH(AP$5,DedListItem,0)-1,0),OFFSET(Setup!$E$73,MATCH(AP$5,DedListItem,0),0,1,1))*AP$3))),IF(ISNUMBER(AP$4),AP$4,IgnoreMin)))))</f>
        <v>0</v>
      </c>
      <c r="AQ94" s="148" cm="1">
        <f t="array" aca="1" ref="AQ94" ca="1">-IF($F94="Terminated",0,IF($AA94=0,0,IF(ISNA(MATCH(AQ$5,PayDedList,0)),0,MIN(IF(COUNTIFS(OverEmp,$C94,OverDeduct,AQ$5,OverDate,"&lt;"&amp;DATE(YEAR($AC94),MONTH($AC94)+1,1),OverEnd,"&gt;="&amp;DATE(YEAR($AC94),MONTH($AC94),1))&gt;0,SUMPRODUCT((PayEmp=$C94)*(PayDate&lt;=$AC94)*(OFFSET($N$6,1,MATCH(AQ$5,PayDedList,0)-1,PayCount,1)))/$AA94*12*AQ$3,IF(OR(AQ$1="Fixed",AQ$1="Not Used"),SUMPRODUCT((PayEmp=$C94)*(PayDate&lt;=$AC94)*(OFFSET($N$6,1,MATCH(AQ$5,PayDedList,0)-1,PayCount,1)))/$AA94*12*AQ$3,IF(ISNA(MATCH(AQ$1,EarnListItem,0))=FALSE,SUMPRODUCT((PayEmp=$C94)*(PayDate&lt;=$AC94)*(OFFSET($N$6,1,MATCH(AQ$5,PayDedList,0)-1,PayCount,1)))/$AA94*12*AQ$3,(MIN(((SUMPRODUCT((PayEmp=$C94)*(PayDate&lt;=$AC94)*(ISERROR(SEARCH(PayEarnCode,AQ$2)))*(PayEarnType="Monthly")*(PayEarnValues))/$AA94*12)+(SUMPRODUCT((PayEmp=$C94)*(PayDate&lt;=$AC94)*(ISERROR(SEARCH(PayEarnCode,AQ$2)))*(PayEarnType="Quarterly")*(PayEarnValues))/MAX(1,ROUNDDOWN($AB94/3,0))*4)+(SUMPRODUCT((PayEmp=$C94)*(PayDate&lt;=$AC94)*(ISERROR(SEARCH(PayEarnCode,AQ$2)))*(PayEarnType="Bi-Annual")*(PayEarnValues))/MAX(1,ROUNDDOWN($AB94/6,0))*2)+(SUMPRODUCT((PayEmp=$C94)*(PayDate&lt;=$AC94)*(ISERROR(SEARCH(PayEarnCode,AQ$2)))*(PayEarnType="Annual")*(PayEarnValues)))),IF(ISNUMBER(OFFSET($N$3,0,MATCH(AQ$5,PayDedList,0)-1,1,1)),OFFSET($N$3,0,MATCH(AQ$5,PayDedList,0)-1,1,1),IgnoreMin)))*IF(COUNTIFS(EmpNo,$C94,OFFSET(Emp!$R$4,1,MATCH(AQ$5,DedListItem,0)-1,EmpCount,1),"&lt;&gt;")&gt;0,VLOOKUP($C94,EmpAll,COLUMN(Emp!$R$4)+MATCH(AQ$5,DedListItem,0)-1,0),OFFSET(Setup!$E$73,MATCH(AQ$5,DedListItem,0),0,1,1))*AQ$3))),IF(ISNUMBER(AQ$4),AQ$4,IgnoreMin)))))</f>
        <v>0</v>
      </c>
      <c r="AR94" s="148">
        <f t="shared" ca="1" si="34"/>
        <v>60000</v>
      </c>
      <c r="AS94" s="148">
        <f t="shared" ca="1" si="42"/>
        <v>60000</v>
      </c>
      <c r="AT94" s="148" cm="1">
        <f t="array" aca="1" ref="AT94" ca="1">-IF($F94="Terminated",0,IF($AA94=0,0,IF(ISNA(MATCH(AT$5,PayDedList,0)),0,MIN(IF(COUNTIFS(OverEmp,$C94,OverDeduct,AT$5,OverDate,"&lt;"&amp;DATE(YEAR($AC94),MONTH($AC94)+1,1),OverEnd,"&gt;="&amp;DATE(YEAR($AC94),MONTH($AC94),1))&gt;0,SUMPRODUCT((PayEmp=$C94)*(PayDate&lt;=$AC94)*(OFFSET($N$6,1,MATCH(AT$5,PayDedList,0)-1,PayCount,1)))/$AA94*12*AT$3,IF(OR(AT$1="Fixed",AT$1="Not Used"),SUMPRODUCT((PayEmp=$C94)*(PayDate&lt;=$AC94)*(OFFSET($N$6,1,MATCH(AT$5,PayDedList,0)-1,PayCount,1)))/$AA94*12*AT$3,IF(ISNA(MATCH(OFFSET($N$2,0,MATCH(AT$5,PayDedList,0)-1,1,1),EarnListItem,0))=FALSE,SUMPRODUCT((PayEmp=$C94)*(PayDate&lt;=$AC94)*(OFFSET($N$6,1,MATCH(AT$5,PayDedList,0)-1,PayCount,1)))/$AA94*12*AT$3,(MIN(SUMPRODUCT((PayEmp=$C94)*(PayDate&lt;=$AC94)*(ISERROR(SEARCH(PayEarnCode,AT$2)))*(PayEarnType="Monthly")*(PayEarnValues))/$AA94*12,IF(ISNUMBER(OFFSET($N$3,0,MATCH(AT$5,PayDedList,0)-1,1,1)),OFFSET($N$3,0,MATCH(AT$5,PayDedList,0)-1,1,1),IgnoreMin)))*IF(COUNTIFS(EmpNo,$C94,OFFSET(Emp!$R$4,1,MATCH(AT$5,DedListItem,0)-1,EmpCount,1),"&lt;&gt;")&gt;0,VLOOKUP($C94,EmpAll,COLUMN(Emp!$R$4)+MATCH(AT$5,DedListItem,0)-1,0),OFFSET(Setup!$E$73,MATCH(AT$5,DedListItem,0),0,1,1))*AT$3))),IF(ISNUMBER(AT$4),AT$4,IgnoreMin)))))</f>
        <v>0</v>
      </c>
      <c r="AU94" s="148" cm="1">
        <f t="array" aca="1" ref="AU94" ca="1">-IF($F94="Terminated",0,IF($AA94=0,0,IF(ISNA(MATCH(AU$5,PayDedList,0)),0,MIN(IF(COUNTIFS(OverEmp,$C94,OverDeduct,AU$5,OverDate,"&lt;"&amp;DATE(YEAR($AC94),MONTH($AC94)+1,1),OverEnd,"&gt;="&amp;DATE(YEAR($AC94),MONTH($AC94),1))&gt;0,SUMPRODUCT((PayEmp=$C94)*(PayDate&lt;=$AC94)*(OFFSET($N$6,1,MATCH(AU$5,PayDedList,0)-1,PayCount,1)))/$AA94*12*AU$3,IF(OR(AU$1="Fixed",AU$1="Not Used"),SUMPRODUCT((PayEmp=$C94)*(PayDate&lt;=$AC94)*(OFFSET($N$6,1,MATCH(AU$5,PayDedList,0)-1,PayCount,1)))/$AA94*12*AU$3,IF(ISNA(MATCH(OFFSET($N$2,0,MATCH(AU$5,PayDedList,0)-1,1,1),EarnListItem,0))=FALSE,SUMPRODUCT((PayEmp=$C94)*(PayDate&lt;=$AC94)*(OFFSET($N$6,1,MATCH(AU$5,PayDedList,0)-1,PayCount,1)))/$AA94*12*AU$3,(MIN(SUMPRODUCT((PayEmp=$C94)*(PayDate&lt;=$AC94)*(ISERROR(SEARCH(PayEarnCode,AU$2)))*(PayEarnType="Monthly")*(PayEarnValues))/$AA94*12,IF(ISNUMBER(OFFSET($N$3,0,MATCH(AU$5,PayDedList,0)-1,1,1)),OFFSET($N$3,0,MATCH(AU$5,PayDedList,0)-1,1,1),IgnoreMin)))*IF(COUNTIFS(EmpNo,$C94,OFFSET(Emp!$R$4,1,MATCH(AU$5,DedListItem,0)-1,EmpCount,1),"&lt;&gt;")&gt;0,VLOOKUP($C94,EmpAll,COLUMN(Emp!$R$4)+MATCH(AU$5,DedListItem,0)-1,0),OFFSET(Setup!$E$73,MATCH(AU$5,DedListItem,0),0,1,1))*AU$3))),IF(ISNUMBER(AU$4),AU$4,IgnoreMin)))))</f>
        <v>0</v>
      </c>
      <c r="AV94" s="148" cm="1">
        <f t="array" aca="1" ref="AV94" ca="1">-IF($F94="Terminated",0,IF($AA94=0,0,IF(ISNA(MATCH(AV$5,PayDedList,0)),0,MIN(IF(COUNTIFS(OverEmp,$C94,OverDeduct,AV$5,OverDate,"&lt;"&amp;DATE(YEAR($AC94),MONTH($AC94)+1,1),OverEnd,"&gt;="&amp;DATE(YEAR($AC94),MONTH($AC94),1))&gt;0,SUMPRODUCT((PayEmp=$C94)*(PayDate&lt;=$AC94)*(OFFSET($N$6,1,MATCH(AV$5,PayDedList,0)-1,PayCount,1)))/$AA94*12*AV$3,IF(OR(AV$1="Fixed",AV$1="Not Used"),SUMPRODUCT((PayEmp=$C94)*(PayDate&lt;=$AC94)*(OFFSET($N$6,1,MATCH(AV$5,PayDedList,0)-1,PayCount,1)))/$AA94*12*AV$3,IF(ISNA(MATCH(OFFSET($N$2,0,MATCH(AV$5,PayDedList,0)-1,1,1),EarnListItem,0))=FALSE,SUMPRODUCT((PayEmp=$C94)*(PayDate&lt;=$AC94)*(OFFSET($N$6,1,MATCH(AV$5,PayDedList,0)-1,PayCount,1)))/$AA94*12*AV$3,(MIN(SUMPRODUCT((PayEmp=$C94)*(PayDate&lt;=$AC94)*(ISERROR(SEARCH(PayEarnCode,AV$2)))*(PayEarnType="Monthly")*(PayEarnValues))/$AA94*12,IF(ISNUMBER(OFFSET($N$3,0,MATCH(AV$5,PayDedList,0)-1,1,1)),OFFSET($N$3,0,MATCH(AV$5,PayDedList,0)-1,1,1),IgnoreMin)))*IF(COUNTIFS(EmpNo,$C94,OFFSET(Emp!$R$4,1,MATCH(AV$5,DedListItem,0)-1,EmpCount,1),"&lt;&gt;")&gt;0,VLOOKUP($C94,EmpAll,COLUMN(Emp!$R$4)+MATCH(AV$5,DedListItem,0)-1,0),OFFSET(Setup!$E$73,MATCH(AV$5,DedListItem,0),0,1,1))*AV$3))),IF(ISNUMBER(AV$4),AV$4,IgnoreMin)))))</f>
        <v>0</v>
      </c>
      <c r="AW94" s="148" cm="1">
        <f t="array" aca="1" ref="AW94" ca="1">-IF($F94="Terminated",0,IF($AA94=0,0,IF(ISNA(MATCH(AW$5,PayDedList,0)),0,MIN(IF(COUNTIFS(OverEmp,$C94,OverDeduct,AW$5,OverDate,"&lt;"&amp;DATE(YEAR($AC94),MONTH($AC94)+1,1),OverEnd,"&gt;="&amp;DATE(YEAR($AC94),MONTH($AC94),1))&gt;0,SUMPRODUCT((PayEmp=$C94)*(PayDate&lt;=$AC94)*(OFFSET($N$6,1,MATCH(AW$5,PayDedList,0)-1,PayCount,1)))/$AA94*12*AW$3,IF(OR(AW$1="Fixed",AW$1="Not Used"),SUMPRODUCT((PayEmp=$C94)*(PayDate&lt;=$AC94)*(OFFSET($N$6,1,MATCH(AW$5,PayDedList,0)-1,PayCount,1)))/$AA94*12*AW$3,IF(ISNA(MATCH(OFFSET($N$2,0,MATCH(AW$5,PayDedList,0)-1,1,1),EarnListItem,0))=FALSE,SUMPRODUCT((PayEmp=$C94)*(PayDate&lt;=$AC94)*(OFFSET($N$6,1,MATCH(AW$5,PayDedList,0)-1,PayCount,1)))/$AA94*12*AW$3,(MIN(SUMPRODUCT((PayEmp=$C94)*(PayDate&lt;=$AC94)*(ISERROR(SEARCH(PayEarnCode,AW$2)))*(PayEarnType="Monthly")*(PayEarnValues))/$AA94*12,IF(ISNUMBER(OFFSET($N$3,0,MATCH(AW$5,PayDedList,0)-1,1,1)),OFFSET($N$3,0,MATCH(AW$5,PayDedList,0)-1,1,1),IgnoreMin)))*IF(COUNTIFS(EmpNo,$C94,OFFSET(Emp!$R$4,1,MATCH(AW$5,DedListItem,0)-1,EmpCount,1),"&lt;&gt;")&gt;0,VLOOKUP($C94,EmpAll,COLUMN(Emp!$R$4)+MATCH(AW$5,DedListItem,0)-1,0),OFFSET(Setup!$E$73,MATCH(AW$5,DedListItem,0),0,1,1))*AW$3))),IF(ISNUMBER(AW$4),AW$4,IgnoreMin)))))</f>
        <v>0</v>
      </c>
      <c r="AX94" s="148">
        <f t="shared" ca="1" si="43"/>
        <v>60000</v>
      </c>
      <c r="AY94" s="148">
        <f t="shared" ca="1" si="44"/>
        <v>0</v>
      </c>
      <c r="AZ94" s="148">
        <f ca="1">IF(ISNUMBER($AL94),($AR94*$AL94)-$AI94-$AK94,MAX(0,IF($AL94="B",IF($AR94&lt;Setup!$C$32,($AR94*Setup!$D$32)-$AI94-$AK94,(($AR94-VLOOKUP($AR94,TaxAll2,1,1))*OFFSET(Setup!$D$32,MATCH($AR94,TaxBracket2,1),0,1,1))+OFFSET(Setup!$E$31,MATCH($AR94,TaxBracket2,1),0,1,1)-$AI94-$AK94),IF($AR94&lt;Setup!$C$21,($AR94*Setup!$D$21)-$AI94-$AK94,(($AR94-VLOOKUP($AR94,TaxAll1,1,1))*OFFSET(Setup!$D$21,MATCH($AR94,TaxBracket1,1),0,1,1))+OFFSET(Setup!$E$20,MATCH($AR94,TaxBracket1,1),0,1,1)-$AI94-$AK94))))</f>
        <v>0</v>
      </c>
      <c r="BA94" s="148">
        <f ca="1">IF(ISNUMBER($AL94),($AX94*$AL94)-$AI94-$AK94,MAX(0,IF($AL94="B",IF($AX94&lt;Setup!$C$32,($AX94*Setup!$D$32)-$AI94-$AK94,(($AX94-VLOOKUP($AX94,TaxAll2,1,1))*OFFSET(Setup!$D$32,MATCH($AX94,TaxBracket2,1),0,1,1))+OFFSET(Setup!$E$31,MATCH($AX94,TaxBracket2,1),0,1,1)-$AI94-$AK94),IF($AX94&lt;Setup!$C$21,($AX94*Setup!$D$21)-$AI94-$AK94,(($AX94-VLOOKUP($AX94,TaxAll1,1,1))*OFFSET(Setup!$D$21,MATCH($AX94,TaxBracket1,1),0,1,1))+OFFSET(Setup!$E$20,MATCH($AX94,TaxBracket1,1),0,1,1)-$AI94-$AK94))))</f>
        <v>0</v>
      </c>
      <c r="BB94" s="148">
        <f t="shared" ca="1" si="35"/>
        <v>0</v>
      </c>
      <c r="BC94" s="150">
        <f t="shared" ca="1" si="45"/>
        <v>1</v>
      </c>
      <c r="BD94" s="150">
        <f t="shared" ca="1" si="46"/>
        <v>0</v>
      </c>
      <c r="BE94" s="148">
        <f t="shared" ca="1" si="47"/>
        <v>60000</v>
      </c>
    </row>
    <row r="95" spans="1:57" ht="16.149999999999999" customHeight="1" x14ac:dyDescent="0.25">
      <c r="A95" s="10" t="str" cm="1">
        <f t="array" aca="1" ref="A95" ca="1">IF(ROW($A95)-ROW($A$6)&gt;EmpCount*12,"-",TEXT($B95,"yyyy")&amp;TEXT($B95,"mm")&amp;"-"&amp;$C95)</f>
        <v>202308-EXS014</v>
      </c>
      <c r="B95" s="137" cm="1">
        <f t="array" aca="1" ref="B95" ca="1">IF(ROW($A95)-ROW($A$6)&gt;EmpCount*12,Setup!$D$12,DATE(YEAR(Setup!$F$12),MONTH(Setup!$F$12)+ROUNDDOWN((ROW($A95)-ROW($A$6)-1)/EmpCount,0),IF(Setup!$C$14&gt;DAY(DATE(YEAR(Setup!$F$12),MONTH(Setup!$F$12)+ROUNDDOWN((ROW($A95)-ROW($A$6)-1)/EmpCount,0)+1,0)),DAY(DATE(YEAR(Setup!$F$12),MONTH(Setup!$F$12)+ROUNDDOWN((ROW($A95)-ROW($A$6)-1)/EmpCount,0)+1,0)),Setup!$C$14)))</f>
        <v>45163</v>
      </c>
      <c r="C95" s="101" t="str" cm="1">
        <f t="array" aca="1" ref="C95" ca="1">IF(ROW($A95)-ROW($A$6)&gt;EmpCount*12,"-",OFFSET(Emp!$A$4,ROW($A95)-ROW($A$6)-IF(ROW($A95)-ROW($A$6)&gt;EmpCount,ROUNDDOWN((ROW($A95)-ROW($A$6)-1)/EmpCount,0)*EmpCount,0),0,1,1))</f>
        <v>EXS014</v>
      </c>
      <c r="D95" s="10" t="str">
        <f ca="1">IF(ISNA(VLOOKUP($C95,EmpAll,COLUMN(Emp!$B$4),0)),"-",VLOOKUP($C95,EmpAll,COLUMN(Emp!$B$4),0))</f>
        <v>Ross Q</v>
      </c>
      <c r="E95" s="145" t="str">
        <f ca="1">IF(ISNA(VLOOKUP($C95,EmpAll,COLUMN(Emp!$C$4),0)),"-",VLOOKUP($C95,EmpAll,COLUMN(Emp!$C$4),0))</f>
        <v>A</v>
      </c>
      <c r="F95" s="101" t="str">
        <f ca="1">IF(ISNA(VLOOKUP($C95,EmpAll,COLUMN(Emp!$A$4),0)),"-",IF(AND(VLOOKUP($C95,EmpAll,COLUMN(Emp!$E$4),0)&lt;&gt;0,VLOOKUP($C95,EmpAll,COLUMN(Emp!$E$4),0)&gt;=DATE(YEAR($AC95),MONTH($AC95)+1,0)),"Inactive",IF(AND(VLOOKUP($C95,EmpAll,COLUMN(Emp!$F$4),0)&lt;&gt;0,VLOOKUP($C95,EmpAll,COLUMN(Emp!$F$4),0)&lt;=DATE(YEAR($AC95),MONTH($AC95),0)),"Terminated","Active")))</f>
        <v>Active</v>
      </c>
      <c r="G95" s="133" cm="1">
        <f t="array" aca="1" ref="G95" ca="1">IF($F95&lt;&gt;"Active",0,IF(COUNTIFS(OverEmp,$C95,OverEarn,G$2,OverDate,"&lt;"&amp;DATE(YEAR($AC95),MONTH($AC95)+1,1),OverEnd,"&gt;="&amp;DATE(YEAR($AC95),MONTH($AC95),1))&gt;0,SUMIFS(OverValue,OverEmp,$C95,OverEarn,G$2,OverDate,"&lt;"&amp;DATE(YEAR($AC95),MONTH($AC95)+1,1),OverEnd,"&gt;="&amp;DATE(YEAR($AC95),MONTH($AC95),1)),IF(AND($AC95&gt;=Setup!$E$10,SUMIFS(EmpIncrease,EmpCode,$C95)&gt;0),SUMIFS(EmpIncrease,EmpCode,$C95),SUMIFS(EmpSalary,EmpCode,$C95))))</f>
        <v>29150</v>
      </c>
      <c r="H95" s="133" cm="1">
        <f t="array" aca="1" ref="H95" ca="1">IF($F95&lt;&gt;"Active",0,IF(COUNTIFS(OverEmp,$C95,OverEarn,H$2,OverDate,"&lt;"&amp;DATE(YEAR($AC95),MONTH($AC95)+1,1),OverEnd,"&gt;="&amp;DATE(YEAR($AC95),MONTH($AC95),1))&gt;0,SUMIFS(OverValue,OverEmp,$C95,OverEarn,H$2,OverDate,"&lt;"&amp;DATE(YEAR($AC95),MONTH($AC95)+1,1),OverEnd,"&gt;="&amp;DATE(YEAR($AC95),MONTH($AC95),1)),0))</f>
        <v>0</v>
      </c>
      <c r="I95" s="133" cm="1">
        <f t="array" aca="1" ref="I95" ca="1">IF($F95&lt;&gt;"Active",0,IF(COUNTIFS(OverEmp,$C95,OverEarn,I$2,OverDate,"&lt;"&amp;DATE(YEAR($AC95),MONTH($AC95)+1,1),OverEnd,"&gt;="&amp;DATE(YEAR($AC95),MONTH($AC95),1))&gt;0,SUMIFS(OverValue,OverEmp,$C95,OverEarn,I$2,OverDate,"&lt;"&amp;DATE(YEAR($AC95),MONTH($AC95)+1,1),OverEnd,"&gt;="&amp;DATE(YEAR($AC95),MONTH($AC95),1)),IF(MONTH(B95)=Setup!$C$15,SUMIFS(EmpBonus,EmpCode,$C95),0)))</f>
        <v>0</v>
      </c>
      <c r="J95" s="133" cm="1">
        <f t="array" aca="1" ref="J95" ca="1">IF($F95&lt;&gt;"Active",0,IF(COUNTIFS(OverEmp,$C95,OverEarn,J$2,OverDate,"&lt;"&amp;DATE(YEAR($AC95),MONTH($AC95)+1,1),OverEnd,"&gt;="&amp;DATE(YEAR($AC95),MONTH($AC95),1))&gt;0,SUMIFS(OverValue,OverEmp,$C95,OverEarn,J$2,OverDate,"&lt;"&amp;DATE(YEAR($AC95),MONTH($AC95)+1,1),OverEnd,"&gt;="&amp;DATE(YEAR($AC95),MONTH($AC95),1)),0))</f>
        <v>0</v>
      </c>
      <c r="K95" s="133" cm="1">
        <f t="array" aca="1" ref="K95" ca="1">IF($F95&lt;&gt;"Active",0,IF(COUNTIFS(OverEmp,$C95,OverEarn,K$2,OverDate,"&lt;"&amp;DATE(YEAR($AC95),MONTH($AC95)+1,1),OverEnd,"&gt;="&amp;DATE(YEAR($AC95),MONTH($AC95),1))&gt;0,SUMIFS(OverValue,OverEmp,$C95,OverEarn,K$2,OverDate,"&lt;"&amp;DATE(YEAR($AC95),MONTH($AC95)+1,1),OverEnd,"&gt;="&amp;DATE(YEAR($AC95),MONTH($AC95),1)),0))</f>
        <v>0</v>
      </c>
      <c r="L95" s="185">
        <f t="shared" ca="1" si="36"/>
        <v>29150</v>
      </c>
      <c r="M95" s="182" cm="1">
        <f t="array" aca="1" ref="M95" ca="1">IF(COUNTIFS(OverEmp,$C95,OverTax,M$5,OverDate,"&lt;"&amp;DATE(YEAR($AC95),MONTH($AC95)+1,1),OverEnd,"&gt;="&amp;DATE(YEAR($AC95),MONTH($AC95),1))&gt;0,SUMIFS(OverValue,OverEmp,$C95,OverTax,M$5,OverDate,"&lt;"&amp;DATE(YEAR($AC95),MONTH($AC95)+1,1),OverEnd,"&gt;="&amp;DATE(YEAR($AC95),MONTH($AC95),1)),(($BA95/12*$AA95)+(BB95*IF(1-$BC95=0,0,BD95/(1-$BC95))))-IF($F95="Terminated",0,SUMIFS(PayTaxDeduct,PayDate,"&lt;"&amp;$AC95,PayEmp,$C95)))</f>
        <v>4562.0833333333339</v>
      </c>
      <c r="N95" s="133" cm="1">
        <f t="array" aca="1" ref="N95" ca="1">IF($F95="Terminated",0,IF($AA95=0,0,IF(ISNA(MATCH(N$5,DedListItem,0)),0,IF(COUNTIFS(OverEmp,$C95,OverDeduct,N$5,OverDate,"&lt;"&amp;DATE(YEAR($AC95),MONTH($AC95)+1,1),OverEnd,"&gt;="&amp;DATE(YEAR($AC95),MONTH($AC95),1))&gt;0,SUMIFS(OverValue,OverEmp,$C95,OverDeduct,N$5,OverDate,"&lt;"&amp;DATE(YEAR($AC95),MONTH($AC95)+1,1),OverEnd,"&gt;="&amp;DATE(YEAR($AC95),MONTH($AC95),1)),IF(OR(N$2="Fixed",N$2="Not Used"),(IF(COUNTIFS(EmpNo,$C95,OFFSET(Emp!$R$4,1,MATCH(N$5,DedListItem,0)-1,EmpCount,1),"&lt;&gt;")&gt;0,VLOOKUP($C95,EmpAll,COLUMN(Emp!$R$4)+MATCH(N$5,DedListItem,0)-1,0),OFFSET(Setup!$E$73,MATCH(N$5,DedListItem,0),0,1,1))*$AA95)-SUMIFS(OFFSET(N$6,1,0,PayCount,1),PayDate,"&lt;"&amp;$AC95,PayEmp,$C95),IF(ISNA(MATCH(N$2,EarnListItem,0))=FALSE,IF(OFFSET(Setup!$G$73,MATCH(N$5,DedListItem,0),0,1,1)="Taxable",SUMPRODUCT((PayEmp=$C95)*(PayDate&lt;=$AC95)*(PayEarnCode=N$2)*(PayEarnTax)*(PayEarnValues)),SUMPRODUCT((PayEmp=$C95)*(PayDate&lt;=$AC95)*(PayEarnCode=N$2)*(PayEarnValues)))*IF(COUNTIFS(EmpNo,$C95,OFFSET(Emp!$R$4,1,MATCH(N$5,DedListItem,0)-1,EmpCount,1),"&lt;&gt;")&gt;0,VLOOKUP($C95,EmpAll,COLUMN(Emp!$R$4)+MATCH(N$5,DedListItem,0)-1,0),OFFSET(Setup!$E$73,MATCH(N$5,DedListItem,0),0,1,1)),(MIN(IF(OFFSET(Setup!$G$73,MATCH(N$5,DedListItem,0),0,1,1)="Taxable",SUMPRODUCT((PayEmp=$C95)*(PayDate&lt;=$AC95)*(ISERROR(SEARCH(PayEarnCode,N$4)))*(PayEarnTax)*(PayEarnValues)),SUMPRODUCT((PayEmp=$C95)*(PayDate&lt;=$AC95)*(ISERROR(SEARCH(PayEarnCode,N$4)))*(PayEarnValues))),IF(ISNUMBER(N$3),N$3/12*$AA95,IgnoreMin)))*IF(COUNTIFS(EmpNo,$C95,OFFSET(Emp!$R$4,1,MATCH(N$5,DedListItem,0)-1,EmpCount,1),"&lt;&gt;")&gt;0,VLOOKUP($C95,EmpAll,COLUMN(Emp!$R$4)+MATCH(N$5,DedListItem,0)-1,0),OFFSET(Setup!$E$73,MATCH(N$5,DedListItem,0),0,1,1)))-SUMIFS(OFFSET(N$6,1,0,PayCount,1),PayDate,"&lt;"&amp;$AC95,PayEmp,$C95))))))</f>
        <v>177.12</v>
      </c>
      <c r="O95" s="133" cm="1">
        <f t="array" aca="1" ref="O95" ca="1">IF($F95="Terminated",0,IF($AA95=0,0,IF(ISNA(MATCH(O$5,DedListItem,0)),0,IF(COUNTIFS(OverEmp,$C95,OverDeduct,O$5,OverDate,"&lt;"&amp;DATE(YEAR($AC95),MONTH($AC95)+1,1),OverEnd,"&gt;="&amp;DATE(YEAR($AC95),MONTH($AC95),1))&gt;0,SUMIFS(OverValue,OverEmp,$C95,OverDeduct,O$5,OverDate,"&lt;"&amp;DATE(YEAR($AC95),MONTH($AC95)+1,1),OverEnd,"&gt;="&amp;DATE(YEAR($AC95),MONTH($AC95),1)),IF(OR(O$2="Fixed",O$2="Not Used"),(IF(COUNTIFS(EmpNo,$C95,OFFSET(Emp!$R$4,1,MATCH(O$5,DedListItem,0)-1,EmpCount,1),"&lt;&gt;")&gt;0,VLOOKUP($C95,EmpAll,COLUMN(Emp!$R$4)+MATCH(O$5,DedListItem,0)-1,0),OFFSET(Setup!$E$73,MATCH(O$5,DedListItem,0),0,1,1))*$AA95)-SUMIFS(OFFSET(O$6,1,0,PayCount,1),PayDate,"&lt;"&amp;$AC95,PayEmp,$C95),IF(ISNA(MATCH(O$2,EarnListItem,0))=FALSE,IF(OFFSET(Setup!$G$73,MATCH(O$5,DedListItem,0),0,1,1)="Taxable",SUMPRODUCT((PayEmp=$C95)*(PayDate&lt;=$AC95)*(PayEarnCode=O$2)*(PayEarnTax)*(PayEarnValues)),SUMPRODUCT((PayEmp=$C95)*(PayDate&lt;=$AC95)*(PayEarnCode=O$2)*(PayEarnValues)))*IF(COUNTIFS(EmpNo,$C95,OFFSET(Emp!$R$4,1,MATCH(O$5,DedListItem,0)-1,EmpCount,1),"&lt;&gt;")&gt;0,VLOOKUP($C95,EmpAll,COLUMN(Emp!$R$4)+MATCH(O$5,DedListItem,0)-1,0),OFFSET(Setup!$E$73,MATCH(O$5,DedListItem,0),0,1,1)),(MIN(IF(OFFSET(Setup!$G$73,MATCH(O$5,DedListItem,0),0,1,1)="Taxable",SUMPRODUCT((PayEmp=$C95)*(PayDate&lt;=$AC95)*(ISERROR(SEARCH(PayEarnCode,O$4)))*(PayEarnTax)*(PayEarnValues)),SUMPRODUCT((PayEmp=$C95)*(PayDate&lt;=$AC95)*(ISERROR(SEARCH(PayEarnCode,O$4)))*(PayEarnValues))),IF(ISNUMBER(O$3),O$3/12*$AA95,IgnoreMin)))*IF(COUNTIFS(EmpNo,$C95,OFFSET(Emp!$R$4,1,MATCH(O$5,DedListItem,0)-1,EmpCount,1),"&lt;&gt;")&gt;0,VLOOKUP($C95,EmpAll,COLUMN(Emp!$R$4)+MATCH(O$5,DedListItem,0)-1,0),OFFSET(Setup!$E$73,MATCH(O$5,DedListItem,0),0,1,1)))-SUMIFS(OFFSET(O$6,1,0,PayCount,1),PayDate,"&lt;"&amp;$AC95,PayEmp,$C95))))))</f>
        <v>0</v>
      </c>
      <c r="P95" s="133" cm="1">
        <f t="array" aca="1" ref="P95" ca="1">IF($F95="Terminated",0,IF($AA95=0,0,IF(ISNA(MATCH(P$5,DedListItem,0)),0,IF(COUNTIFS(OverEmp,$C95,OverDeduct,P$5,OverDate,"&lt;"&amp;DATE(YEAR($AC95),MONTH($AC95)+1,1),OverEnd,"&gt;="&amp;DATE(YEAR($AC95),MONTH($AC95),1))&gt;0,SUMIFS(OverValue,OverEmp,$C95,OverDeduct,P$5,OverDate,"&lt;"&amp;DATE(YEAR($AC95),MONTH($AC95)+1,1),OverEnd,"&gt;="&amp;DATE(YEAR($AC95),MONTH($AC95),1)),IF(OR(P$2="Fixed",P$2="Not Used"),(IF(COUNTIFS(EmpNo,$C95,OFFSET(Emp!$R$4,1,MATCH(P$5,DedListItem,0)-1,EmpCount,1),"&lt;&gt;")&gt;0,VLOOKUP($C95,EmpAll,COLUMN(Emp!$R$4)+MATCH(P$5,DedListItem,0)-1,0),OFFSET(Setup!$E$73,MATCH(P$5,DedListItem,0),0,1,1))*$AA95)-SUMIFS(OFFSET(P$6,1,0,PayCount,1),PayDate,"&lt;"&amp;$AC95,PayEmp,$C95),IF(ISNA(MATCH(P$2,EarnListItem,0))=FALSE,IF(OFFSET(Setup!$G$73,MATCH(P$5,DedListItem,0),0,1,1)="Taxable",SUMPRODUCT((PayEmp=$C95)*(PayDate&lt;=$AC95)*(PayEarnCode=P$2)*(PayEarnTax)*(PayEarnValues)),SUMPRODUCT((PayEmp=$C95)*(PayDate&lt;=$AC95)*(PayEarnCode=P$2)*(PayEarnValues)))*IF(COUNTIFS(EmpNo,$C95,OFFSET(Emp!$R$4,1,MATCH(P$5,DedListItem,0)-1,EmpCount,1),"&lt;&gt;")&gt;0,VLOOKUP($C95,EmpAll,COLUMN(Emp!$R$4)+MATCH(P$5,DedListItem,0)-1,0),OFFSET(Setup!$E$73,MATCH(P$5,DedListItem,0),0,1,1)),(MIN(IF(OFFSET(Setup!$G$73,MATCH(P$5,DedListItem,0),0,1,1)="Taxable",SUMPRODUCT((PayEmp=$C95)*(PayDate&lt;=$AC95)*(ISERROR(SEARCH(PayEarnCode,P$4)))*(PayEarnTax)*(PayEarnValues)),SUMPRODUCT((PayEmp=$C95)*(PayDate&lt;=$AC95)*(ISERROR(SEARCH(PayEarnCode,P$4)))*(PayEarnValues))),IF(ISNUMBER(P$3),P$3/12*$AA95,IgnoreMin)))*IF(COUNTIFS(EmpNo,$C95,OFFSET(Emp!$R$4,1,MATCH(P$5,DedListItem,0)-1,EmpCount,1),"&lt;&gt;")&gt;0,VLOOKUP($C95,EmpAll,COLUMN(Emp!$R$4)+MATCH(P$5,DedListItem,0)-1,0),OFFSET(Setup!$E$73,MATCH(P$5,DedListItem,0),0,1,1)))-SUMIFS(OFFSET(P$6,1,0,PayCount,1),PayDate,"&lt;"&amp;$AC95,PayEmp,$C95))))))</f>
        <v>0</v>
      </c>
      <c r="Q95" s="133" cm="1">
        <f t="array" aca="1" ref="Q95" ca="1">IF($F95="Terminated",0,IF($AA95=0,0,IF(ISNA(MATCH(Q$5,DedListItem,0)),0,IF(COUNTIFS(OverEmp,$C95,OverDeduct,Q$5,OverDate,"&lt;"&amp;DATE(YEAR($AC95),MONTH($AC95)+1,1),OverEnd,"&gt;="&amp;DATE(YEAR($AC95),MONTH($AC95),1))&gt;0,SUMIFS(OverValue,OverEmp,$C95,OverDeduct,Q$5,OverDate,"&lt;"&amp;DATE(YEAR($AC95),MONTH($AC95)+1,1),OverEnd,"&gt;="&amp;DATE(YEAR($AC95),MONTH($AC95),1)),IF(OR(Q$2="Fixed",Q$2="Not Used"),(IF(COUNTIFS(EmpNo,$C95,OFFSET(Emp!$R$4,1,MATCH(Q$5,DedListItem,0)-1,EmpCount,1),"&lt;&gt;")&gt;0,VLOOKUP($C95,EmpAll,COLUMN(Emp!$R$4)+MATCH(Q$5,DedListItem,0)-1,0),OFFSET(Setup!$E$73,MATCH(Q$5,DedListItem,0),0,1,1))*$AA95)-SUMIFS(OFFSET(Q$6,1,0,PayCount,1),PayDate,"&lt;"&amp;$AC95,PayEmp,$C95),IF(ISNA(MATCH(Q$2,EarnListItem,0))=FALSE,IF(OFFSET(Setup!$G$73,MATCH(Q$5,DedListItem,0),0,1,1)="Taxable",SUMPRODUCT((PayEmp=$C95)*(PayDate&lt;=$AC95)*(PayEarnCode=Q$2)*(PayEarnTax)*(PayEarnValues)),SUMPRODUCT((PayEmp=$C95)*(PayDate&lt;=$AC95)*(PayEarnCode=Q$2)*(PayEarnValues)))*IF(COUNTIFS(EmpNo,$C95,OFFSET(Emp!$R$4,1,MATCH(Q$5,DedListItem,0)-1,EmpCount,1),"&lt;&gt;")&gt;0,VLOOKUP($C95,EmpAll,COLUMN(Emp!$R$4)+MATCH(Q$5,DedListItem,0)-1,0),OFFSET(Setup!$E$73,MATCH(Q$5,DedListItem,0),0,1,1)),(MIN(IF(OFFSET(Setup!$G$73,MATCH(Q$5,DedListItem,0),0,1,1)="Taxable",SUMPRODUCT((PayEmp=$C95)*(PayDate&lt;=$AC95)*(ISERROR(SEARCH(PayEarnCode,Q$4)))*(PayEarnTax)*(PayEarnValues)),SUMPRODUCT((PayEmp=$C95)*(PayDate&lt;=$AC95)*(ISERROR(SEARCH(PayEarnCode,Q$4)))*(PayEarnValues))),IF(ISNUMBER(Q$3),Q$3/12*$AA95,IgnoreMin)))*IF(COUNTIFS(EmpNo,$C95,OFFSET(Emp!$R$4,1,MATCH(Q$5,DedListItem,0)-1,EmpCount,1),"&lt;&gt;")&gt;0,VLOOKUP($C95,EmpAll,COLUMN(Emp!$R$4)+MATCH(Q$5,DedListItem,0)-1,0),OFFSET(Setup!$E$73,MATCH(Q$5,DedListItem,0),0,1,1)))-SUMIFS(OFFSET(Q$6,1,0,PayCount,1),PayDate,"&lt;"&amp;$AC95,PayEmp,$C95))))))</f>
        <v>0</v>
      </c>
      <c r="R95" s="185">
        <f t="shared" ca="1" si="37"/>
        <v>4739.2033333333338</v>
      </c>
      <c r="S95" s="139">
        <f t="shared" ca="1" si="38"/>
        <v>24410.799999999999</v>
      </c>
      <c r="T95" s="133" cm="1">
        <f t="array" aca="1" ref="T95" ca="1">IF($F95="Terminated",0,IF($AA95=0,0,IF(ISNA(MATCH(T$5,CompListItem,0)),0,IF(COUNTIFS(OverEmp,$C95,OverComp,T$5,OverDate,"&lt;"&amp;DATE(YEAR($AC95),MONTH($AC95)+1,1),OverEnd,"&gt;="&amp;DATE(YEAR($AC95),MONTH($AC95),1))&gt;0,SUMIFS(OverValue,OverEmp,$C95,OverComp,T$5,OverDate,"&lt;"&amp;DATE(YEAR($AC95),MONTH($AC95)+1,1),OverEnd,"&gt;="&amp;DATE(YEAR($AC95),MONTH($AC95),1)),IF(OR(T$2="Fixed",T$2="Not Used"),(OFFSET(Setup!$E$81,MATCH(T$5,CompListItem,0),0,1,1)*$AA95)-SUMIFS(OFFSET(T$6,1,0,PayCount,1),PayDate,"&lt;"&amp;$AC95,PayEmp,$C95),IF(ISNA(MATCH(T$2,DedListItem,0))=FALSE,(SUMPRODUCT((PayEmp=$C95)*(PayDate&lt;=$AC95)*(PayDedList=T$2)*(PayDedValues))*OFFSET(Setup!$E$81,MATCH(T$5,CompListItem,0),0,1,1))-SUMIFS(OFFSET(T$6,1,0,PayCount,1),PayDate,"&lt;"&amp;$AC95,PayEmp,$C95),(MIN(IF(OFFSET(Setup!$G$81,MATCH(T$5,CompListItem,0),0,1,1)="Taxable",SUMPRODUCT((PayEmp=$C95)*(PayDate&lt;=$AC95)*(ISERROR(SEARCH(PayEarnCode,T$4)))*(PayEarnTax)*(PayEarnValues)),SUMPRODUCT((PayEmp=$C95)*(PayDate&lt;=$AC95)*(ISERROR(SEARCH(PayEarnCode,T$4)))*(PayEarnValues))),IF(ISNUMBER(T$3),T$3/12*$AA95,IgnoreMin)))*OFFSET(Setup!$E$81,MATCH(T$5,CompListItem,0),0,1,1)-SUMIFS(OFFSET(T$6,1,0,PayCount,1),PayDate,"&lt;"&amp;$AC95,PayEmp,$C95)))))))</f>
        <v>177.12</v>
      </c>
      <c r="U95" s="133" cm="1">
        <f t="array" aca="1" ref="U95" ca="1">IF($F95="Terminated",0,IF($AA95=0,0,IF(ISNA(MATCH(U$5,CompListItem,0)),0,IF(COUNTIFS(OverEmp,$C95,OverComp,U$5,OverDate,"&lt;"&amp;DATE(YEAR($AC95),MONTH($AC95)+1,1),OverEnd,"&gt;="&amp;DATE(YEAR($AC95),MONTH($AC95),1))&gt;0,SUMIFS(OverValue,OverEmp,$C95,OverComp,U$5,OverDate,"&lt;"&amp;DATE(YEAR($AC95),MONTH($AC95)+1,1),OverEnd,"&gt;="&amp;DATE(YEAR($AC95),MONTH($AC95),1)),IF(OR(U$2="Fixed",U$2="Not Used"),(OFFSET(Setup!$E$81,MATCH(U$5,CompListItem,0),0,1,1)*$AA95)-SUMIFS(OFFSET(U$6,1,0,PayCount,1),PayDate,"&lt;"&amp;$AC95,PayEmp,$C95),IF(ISNA(MATCH(U$2,DedListItem,0))=FALSE,(SUMPRODUCT((PayEmp=$C95)*(PayDate&lt;=$AC95)*(PayDedList=U$2)*(PayDedValues))*OFFSET(Setup!$E$81,MATCH(U$5,CompListItem,0),0,1,1))-SUMIFS(OFFSET(U$6,1,0,PayCount,1),PayDate,"&lt;"&amp;$AC95,PayEmp,$C95),(MIN(IF(OFFSET(Setup!$G$81,MATCH(U$5,CompListItem,0),0,1,1)="Taxable",SUMPRODUCT((PayEmp=$C95)*(PayDate&lt;=$AC95)*(ISERROR(SEARCH(PayEarnCode,U$4)))*(PayEarnTax)*(PayEarnValues)),SUMPRODUCT((PayEmp=$C95)*(PayDate&lt;=$AC95)*(ISERROR(SEARCH(PayEarnCode,U$4)))*(PayEarnValues))),IF(ISNUMBER(U$3),U$3/12*$AA95,IgnoreMin)))*OFFSET(Setup!$E$81,MATCH(U$5,CompListItem,0),0,1,1)-SUMIFS(OFFSET(U$6,1,0,PayCount,1),PayDate,"&lt;"&amp;$AC95,PayEmp,$C95)))))))</f>
        <v>291.5</v>
      </c>
      <c r="V95" s="133" cm="1">
        <f t="array" aca="1" ref="V95" ca="1">IF($F95="Terminated",0,IF($AA95=0,0,IF(ISNA(MATCH(V$5,CompListItem,0)),0,IF(COUNTIFS(OverEmp,$C95,OverComp,V$5,OverDate,"&lt;"&amp;DATE(YEAR($AC95),MONTH($AC95)+1,1),OverEnd,"&gt;="&amp;DATE(YEAR($AC95),MONTH($AC95),1))&gt;0,SUMIFS(OverValue,OverEmp,$C95,OverComp,V$5,OverDate,"&lt;"&amp;DATE(YEAR($AC95),MONTH($AC95)+1,1),OverEnd,"&gt;="&amp;DATE(YEAR($AC95),MONTH($AC95),1)),IF(OR(V$2="Fixed",V$2="Not Used"),(OFFSET(Setup!$E$81,MATCH(V$5,CompListItem,0),0,1,1)*$AA95)-SUMIFS(OFFSET(V$6,1,0,PayCount,1),PayDate,"&lt;"&amp;$AC95,PayEmp,$C95),IF(ISNA(MATCH(V$2,DedListItem,0))=FALSE,(SUMPRODUCT((PayEmp=$C95)*(PayDate&lt;=$AC95)*(PayDedList=V$2)*(PayDedValues))*OFFSET(Setup!$E$81,MATCH(V$5,CompListItem,0),0,1,1))-SUMIFS(OFFSET(V$6,1,0,PayCount,1),PayDate,"&lt;"&amp;$AC95,PayEmp,$C95),(MIN(IF(OFFSET(Setup!$G$81,MATCH(V$5,CompListItem,0),0,1,1)="Taxable",SUMPRODUCT((PayEmp=$C95)*(PayDate&lt;=$AC95)*(ISERROR(SEARCH(PayEarnCode,V$4)))*(PayEarnTax)*(PayEarnValues)),SUMPRODUCT((PayEmp=$C95)*(PayDate&lt;=$AC95)*(ISERROR(SEARCH(PayEarnCode,V$4)))*(PayEarnValues))),IF(ISNUMBER(V$3),V$3/12*$AA95,IgnoreMin)))*OFFSET(Setup!$E$81,MATCH(V$5,CompListItem,0),0,1,1)-SUMIFS(OFFSET(V$6,1,0,PayCount,1),PayDate,"&lt;"&amp;$AC95,PayEmp,$C95)))))))</f>
        <v>0</v>
      </c>
      <c r="W95" s="133" cm="1">
        <f t="array" aca="1" ref="W95" ca="1">IF($F95="Terminated",0,IF($AA95=0,0,IF(ISNA(MATCH(W$5,CompListItem,0)),0,IF(COUNTIFS(OverEmp,$C95,OverComp,W$5,OverDate,"&lt;"&amp;DATE(YEAR($AC95),MONTH($AC95)+1,1),OverEnd,"&gt;="&amp;DATE(YEAR($AC95),MONTH($AC95),1))&gt;0,SUMIFS(OverValue,OverEmp,$C95,OverComp,W$5,OverDate,"&lt;"&amp;DATE(YEAR($AC95),MONTH($AC95)+1,1),OverEnd,"&gt;="&amp;DATE(YEAR($AC95),MONTH($AC95),1)),IF(OR(W$2="Fixed",W$2="Not Used"),(OFFSET(Setup!$E$81,MATCH(W$5,CompListItem,0),0,1,1)*$AA95)-SUMIFS(OFFSET(W$6,1,0,PayCount,1),PayDate,"&lt;"&amp;$AC95,PayEmp,$C95),IF(ISNA(MATCH(W$2,DedListItem,0))=FALSE,(SUMPRODUCT((PayEmp=$C95)*(PayDate&lt;=$AC95)*(PayDedList=W$2)*(PayDedValues))*OFFSET(Setup!$E$81,MATCH(W$5,CompListItem,0),0,1,1))-SUMIFS(OFFSET(W$6,1,0,PayCount,1),PayDate,"&lt;"&amp;$AC95,PayEmp,$C95),(MIN(IF(OFFSET(Setup!$G$81,MATCH(W$5,CompListItem,0),0,1,1)="Taxable",SUMPRODUCT((PayEmp=$C95)*(PayDate&lt;=$AC95)*(ISERROR(SEARCH(PayEarnCode,W$4)))*(PayEarnTax)*(PayEarnValues)),SUMPRODUCT((PayEmp=$C95)*(PayDate&lt;=$AC95)*(ISERROR(SEARCH(PayEarnCode,W$4)))*(PayEarnValues))),IF(ISNUMBER(W$3),W$3/12*$AA95,IgnoreMin)))*OFFSET(Setup!$E$81,MATCH(W$5,CompListItem,0),0,1,1)-SUMIFS(OFFSET(W$6,1,0,PayCount,1),PayDate,"&lt;"&amp;$AC95,PayEmp,$C95)))))))</f>
        <v>0</v>
      </c>
      <c r="X95" s="185">
        <f t="shared" ca="1" si="30"/>
        <v>468.62</v>
      </c>
      <c r="Y95" s="139">
        <f t="shared" ca="1" si="39"/>
        <v>29618.62</v>
      </c>
      <c r="Z95" s="139">
        <f t="shared" ca="1" si="31"/>
        <v>5207.82</v>
      </c>
      <c r="AA95" s="146">
        <f ca="1">IF(OR($B95&lt;=Setup!$E$12,$B95&gt;=Setup!$D$12+1),0,IF($F95&lt;&gt;"Active",0,IF($AE95="Yes",$AB95,((YEAR($AC95)*12)+MONTH($AC95))-((YEAR($AD95)*12)+MONTH($AD95)-1))))</f>
        <v>3</v>
      </c>
      <c r="AB95" s="146">
        <f ca="1">IF(OR($B95&lt;=Setup!$E$12,$B95&gt;=Setup!$D$12+1),0,((YEAR($AC95)*12)+MONTH($AC95))-((YEAR(Setup!$E$12)*12)+MONTH(Setup!$E$12)))</f>
        <v>6</v>
      </c>
      <c r="AC95" s="186">
        <f t="shared" ca="1" si="32"/>
        <v>45163</v>
      </c>
      <c r="AD95" s="144">
        <f ca="1">IF(ISNA(VLOOKUP($C95,EmpAll,COLUMN(Emp!$E$4),0)),$AC95,IF(VLOOKUP($C95,EmpAll,COLUMN(Emp!$E$4),0)&lt;=Setup!$E$12,DATE(YEAR(Setup!$E$12),MONTH(Setup!$E$12)+1,1),VLOOKUP($C95,EmpAll,COLUMN(Emp!$E$4),0)))</f>
        <v>45102</v>
      </c>
      <c r="AE95" s="144" t="str">
        <f ca="1">IF(ISNA(VLOOKUP($C95,EmpAll,COLUMN(Emp!$G$1),0)),"-",IF(VLOOKUP($C95,EmpAll,COLUMN(Emp!$G$1),0)=0,"-",VLOOKUP($C95,EmpAll,COLUMN(Emp!$G$1),0)))</f>
        <v>-</v>
      </c>
      <c r="AF95" s="145">
        <f ca="1">IF(A95=PaySlip!$G$3,1,0)</f>
        <v>0</v>
      </c>
      <c r="AG95" s="130" cm="1">
        <f t="array" aca="1" ref="AG95" ca="1">IF(COUNTIFS(OverEmp,$C95,OverMed,"MED",OverDate,"&lt;"&amp;DATE(YEAR($AC95),MONTH($AC95)+1,1),OverEnd,"&gt;="&amp;DATE(YEAR($AC95),MONTH($AC95),1))&gt;0,SUMIFS(OverValue,OverEmp,$C95,OverMed,"MED",OverDate,"&lt;"&amp;DATE(YEAR($AC95),MONTH($AC95)+1,1),OverEnd,"&gt;="&amp;DATE(YEAR($AC95),MONTH($AC95),1)),IF(ISNA(VLOOKUP($C95,EmpAll,COLUMN(Emp!$N$4),0)),0,VLOOKUP($C95,EmpAll,COLUMN(Emp!$N$4),0)))</f>
        <v>0</v>
      </c>
      <c r="AH95" s="146">
        <f ca="1">VLOOKUP($AG95,MedList,COLUMN(Setup!$C$49),1)</f>
        <v>0</v>
      </c>
      <c r="AI95" s="146">
        <f t="shared" ca="1" si="40"/>
        <v>0</v>
      </c>
      <c r="AJ95" s="101" t="str">
        <f ca="1">IF(ISNA(VLOOKUP($C95,EmpAll,COLUMN(Emp!$L$4),0)),"None!",VLOOKUP($C95,EmpAll,COLUMN(Emp!$L$4),0))</f>
        <v>A</v>
      </c>
      <c r="AK95" s="147">
        <f t="shared" ca="1" si="33"/>
        <v>17235</v>
      </c>
      <c r="AL95" s="101" t="str">
        <f ca="1">IF(ISNA(VLOOKUP($C95,Employees[],COLUMN(Emp!$M$4),0))=TRUE,"Error!",IF(VLOOKUP($C95,Employees[],COLUMN(Emp!$M$4),0)=0,"Yes",VLOOKUP($C95,Employees[],COLUMN(Emp!$M$4),0)))</f>
        <v>A</v>
      </c>
      <c r="AM95" s="148">
        <f t="shared" ca="1" si="41"/>
        <v>349800</v>
      </c>
      <c r="AN95" s="148" cm="1">
        <f t="array" aca="1" ref="AN95" ca="1">-IF($F95="Terminated",0,IF($AA95=0,0,IF(ISNA(MATCH(AN$5,PayDedList,0)),0,MIN(IF(COUNTIFS(OverEmp,$C95,OverDeduct,AN$5,OverDate,"&lt;"&amp;DATE(YEAR($AC95),MONTH($AC95)+1,1),OverEnd,"&gt;="&amp;DATE(YEAR($AC95),MONTH($AC95),1))&gt;0,SUMPRODUCT((PayEmp=$C95)*(PayDate&lt;=$AC95)*(OFFSET($N$6,1,MATCH(AN$5,PayDedList,0)-1,PayCount,1)))/$AA95*12*AN$3,IF(OR(AN$1="Fixed",AN$1="Not Used"),SUMPRODUCT((PayEmp=$C95)*(PayDate&lt;=$AC95)*(OFFSET($N$6,1,MATCH(AN$5,PayDedList,0)-1,PayCount,1)))/$AA95*12*AN$3,IF(ISNA(MATCH(AN$1,EarnListItem,0))=FALSE,SUMPRODUCT((PayEmp=$C95)*(PayDate&lt;=$AC95)*(OFFSET($N$6,1,MATCH(AN$5,PayDedList,0)-1,PayCount,1)))/$AA95*12*AN$3,(MIN(((SUMPRODUCT((PayEmp=$C95)*(PayDate&lt;=$AC95)*(ISERROR(SEARCH(PayEarnCode,AN$2)))*(PayEarnType="Monthly")*(PayEarnValues))/$AA95*12)+(SUMPRODUCT((PayEmp=$C95)*(PayDate&lt;=$AC95)*(ISERROR(SEARCH(PayEarnCode,AN$2)))*(PayEarnType="Quarterly")*(PayEarnValues))/MAX(1,ROUNDDOWN($AB95/3,0))*4)+(SUMPRODUCT((PayEmp=$C95)*(PayDate&lt;=$AC95)*(ISERROR(SEARCH(PayEarnCode,AN$2)))*(PayEarnType="Bi-Annual")*(PayEarnValues))/MAX(1,ROUNDDOWN($AB95/6,0))*2)+(SUMPRODUCT((PayEmp=$C95)*(PayDate&lt;=$AC95)*(ISERROR(SEARCH(PayEarnCode,AN$2)))*(PayEarnType="Annual")*(PayEarnValues)))),IF(ISNUMBER(OFFSET($N$3,0,MATCH(AN$5,PayDedList,0)-1,1,1)),OFFSET($N$3,0,MATCH(AN$5,PayDedList,0)-1,1,1),IgnoreMin)))*IF(COUNTIFS(EmpNo,$C95,OFFSET(Emp!$R$4,1,MATCH(AN$5,DedListItem,0)-1,EmpCount,1),"&lt;&gt;")&gt;0,VLOOKUP($C95,EmpAll,COLUMN(Emp!$R$4)+MATCH(AN$5,DedListItem,0)-1,0),OFFSET(Setup!$E$73,MATCH(AN$5,DedListItem,0),0,1,1))*AN$3))),IF(ISNUMBER(AN$4),AN$4,IgnoreMin)))))</f>
        <v>0</v>
      </c>
      <c r="AO95" s="148" cm="1">
        <f t="array" aca="1" ref="AO95" ca="1">-IF($F95="Terminated",0,IF($AA95=0,0,IF(ISNA(MATCH(AO$5,PayDedList,0)),0,MIN(IF(COUNTIFS(OverEmp,$C95,OverDeduct,AO$5,OverDate,"&lt;"&amp;DATE(YEAR($AC95),MONTH($AC95)+1,1),OverEnd,"&gt;="&amp;DATE(YEAR($AC95),MONTH($AC95),1))&gt;0,SUMPRODUCT((PayEmp=$C95)*(PayDate&lt;=$AC95)*(OFFSET($N$6,1,MATCH(AO$5,PayDedList,0)-1,PayCount,1)))/$AA95*12*AO$3,IF(OR(AO$1="Fixed",AO$1="Not Used"),SUMPRODUCT((PayEmp=$C95)*(PayDate&lt;=$AC95)*(OFFSET($N$6,1,MATCH(AO$5,PayDedList,0)-1,PayCount,1)))/$AA95*12*AO$3,IF(ISNA(MATCH(AO$1,EarnListItem,0))=FALSE,SUMPRODUCT((PayEmp=$C95)*(PayDate&lt;=$AC95)*(OFFSET($N$6,1,MATCH(AO$5,PayDedList,0)-1,PayCount,1)))/$AA95*12*AO$3,(MIN(((SUMPRODUCT((PayEmp=$C95)*(PayDate&lt;=$AC95)*(ISERROR(SEARCH(PayEarnCode,AO$2)))*(PayEarnType="Monthly")*(PayEarnValues))/$AA95*12)+(SUMPRODUCT((PayEmp=$C95)*(PayDate&lt;=$AC95)*(ISERROR(SEARCH(PayEarnCode,AO$2)))*(PayEarnType="Quarterly")*(PayEarnValues))/MAX(1,ROUNDDOWN($AB95/3,0))*4)+(SUMPRODUCT((PayEmp=$C95)*(PayDate&lt;=$AC95)*(ISERROR(SEARCH(PayEarnCode,AO$2)))*(PayEarnType="Bi-Annual")*(PayEarnValues))/MAX(1,ROUNDDOWN($AB95/6,0))*2)+(SUMPRODUCT((PayEmp=$C95)*(PayDate&lt;=$AC95)*(ISERROR(SEARCH(PayEarnCode,AO$2)))*(PayEarnType="Annual")*(PayEarnValues)))),IF(ISNUMBER(OFFSET($N$3,0,MATCH(AO$5,PayDedList,0)-1,1,1)),OFFSET($N$3,0,MATCH(AO$5,PayDedList,0)-1,1,1),IgnoreMin)))*IF(COUNTIFS(EmpNo,$C95,OFFSET(Emp!$R$4,1,MATCH(AO$5,DedListItem,0)-1,EmpCount,1),"&lt;&gt;")&gt;0,VLOOKUP($C95,EmpAll,COLUMN(Emp!$R$4)+MATCH(AO$5,DedListItem,0)-1,0),OFFSET(Setup!$E$73,MATCH(AO$5,DedListItem,0),0,1,1))*AO$3))),IF(ISNUMBER(AO$4),AO$4,IgnoreMin)))))</f>
        <v>0</v>
      </c>
      <c r="AP95" s="148" cm="1">
        <f t="array" aca="1" ref="AP95" ca="1">-IF($F95="Terminated",0,IF($AA95=0,0,IF(ISNA(MATCH(AP$5,PayDedList,0)),0,MIN(IF(COUNTIFS(OverEmp,$C95,OverDeduct,AP$5,OverDate,"&lt;"&amp;DATE(YEAR($AC95),MONTH($AC95)+1,1),OverEnd,"&gt;="&amp;DATE(YEAR($AC95),MONTH($AC95),1))&gt;0,SUMPRODUCT((PayEmp=$C95)*(PayDate&lt;=$AC95)*(OFFSET($N$6,1,MATCH(AP$5,PayDedList,0)-1,PayCount,1)))/$AA95*12*AP$3,IF(OR(AP$1="Fixed",AP$1="Not Used"),SUMPRODUCT((PayEmp=$C95)*(PayDate&lt;=$AC95)*(OFFSET($N$6,1,MATCH(AP$5,PayDedList,0)-1,PayCount,1)))/$AA95*12*AP$3,IF(ISNA(MATCH(AP$1,EarnListItem,0))=FALSE,SUMPRODUCT((PayEmp=$C95)*(PayDate&lt;=$AC95)*(OFFSET($N$6,1,MATCH(AP$5,PayDedList,0)-1,PayCount,1)))/$AA95*12*AP$3,(MIN(((SUMPRODUCT((PayEmp=$C95)*(PayDate&lt;=$AC95)*(ISERROR(SEARCH(PayEarnCode,AP$2)))*(PayEarnType="Monthly")*(PayEarnValues))/$AA95*12)+(SUMPRODUCT((PayEmp=$C95)*(PayDate&lt;=$AC95)*(ISERROR(SEARCH(PayEarnCode,AP$2)))*(PayEarnType="Quarterly")*(PayEarnValues))/MAX(1,ROUNDDOWN($AB95/3,0))*4)+(SUMPRODUCT((PayEmp=$C95)*(PayDate&lt;=$AC95)*(ISERROR(SEARCH(PayEarnCode,AP$2)))*(PayEarnType="Bi-Annual")*(PayEarnValues))/MAX(1,ROUNDDOWN($AB95/6,0))*2)+(SUMPRODUCT((PayEmp=$C95)*(PayDate&lt;=$AC95)*(ISERROR(SEARCH(PayEarnCode,AP$2)))*(PayEarnType="Annual")*(PayEarnValues)))),IF(ISNUMBER(OFFSET($N$3,0,MATCH(AP$5,PayDedList,0)-1,1,1)),OFFSET($N$3,0,MATCH(AP$5,PayDedList,0)-1,1,1),IgnoreMin)))*IF(COUNTIFS(EmpNo,$C95,OFFSET(Emp!$R$4,1,MATCH(AP$5,DedListItem,0)-1,EmpCount,1),"&lt;&gt;")&gt;0,VLOOKUP($C95,EmpAll,COLUMN(Emp!$R$4)+MATCH(AP$5,DedListItem,0)-1,0),OFFSET(Setup!$E$73,MATCH(AP$5,DedListItem,0),0,1,1))*AP$3))),IF(ISNUMBER(AP$4),AP$4,IgnoreMin)))))</f>
        <v>0</v>
      </c>
      <c r="AQ95" s="148" cm="1">
        <f t="array" aca="1" ref="AQ95" ca="1">-IF($F95="Terminated",0,IF($AA95=0,0,IF(ISNA(MATCH(AQ$5,PayDedList,0)),0,MIN(IF(COUNTIFS(OverEmp,$C95,OverDeduct,AQ$5,OverDate,"&lt;"&amp;DATE(YEAR($AC95),MONTH($AC95)+1,1),OverEnd,"&gt;="&amp;DATE(YEAR($AC95),MONTH($AC95),1))&gt;0,SUMPRODUCT((PayEmp=$C95)*(PayDate&lt;=$AC95)*(OFFSET($N$6,1,MATCH(AQ$5,PayDedList,0)-1,PayCount,1)))/$AA95*12*AQ$3,IF(OR(AQ$1="Fixed",AQ$1="Not Used"),SUMPRODUCT((PayEmp=$C95)*(PayDate&lt;=$AC95)*(OFFSET($N$6,1,MATCH(AQ$5,PayDedList,0)-1,PayCount,1)))/$AA95*12*AQ$3,IF(ISNA(MATCH(AQ$1,EarnListItem,0))=FALSE,SUMPRODUCT((PayEmp=$C95)*(PayDate&lt;=$AC95)*(OFFSET($N$6,1,MATCH(AQ$5,PayDedList,0)-1,PayCount,1)))/$AA95*12*AQ$3,(MIN(((SUMPRODUCT((PayEmp=$C95)*(PayDate&lt;=$AC95)*(ISERROR(SEARCH(PayEarnCode,AQ$2)))*(PayEarnType="Monthly")*(PayEarnValues))/$AA95*12)+(SUMPRODUCT((PayEmp=$C95)*(PayDate&lt;=$AC95)*(ISERROR(SEARCH(PayEarnCode,AQ$2)))*(PayEarnType="Quarterly")*(PayEarnValues))/MAX(1,ROUNDDOWN($AB95/3,0))*4)+(SUMPRODUCT((PayEmp=$C95)*(PayDate&lt;=$AC95)*(ISERROR(SEARCH(PayEarnCode,AQ$2)))*(PayEarnType="Bi-Annual")*(PayEarnValues))/MAX(1,ROUNDDOWN($AB95/6,0))*2)+(SUMPRODUCT((PayEmp=$C95)*(PayDate&lt;=$AC95)*(ISERROR(SEARCH(PayEarnCode,AQ$2)))*(PayEarnType="Annual")*(PayEarnValues)))),IF(ISNUMBER(OFFSET($N$3,0,MATCH(AQ$5,PayDedList,0)-1,1,1)),OFFSET($N$3,0,MATCH(AQ$5,PayDedList,0)-1,1,1),IgnoreMin)))*IF(COUNTIFS(EmpNo,$C95,OFFSET(Emp!$R$4,1,MATCH(AQ$5,DedListItem,0)-1,EmpCount,1),"&lt;&gt;")&gt;0,VLOOKUP($C95,EmpAll,COLUMN(Emp!$R$4)+MATCH(AQ$5,DedListItem,0)-1,0),OFFSET(Setup!$E$73,MATCH(AQ$5,DedListItem,0),0,1,1))*AQ$3))),IF(ISNUMBER(AQ$4),AQ$4,IgnoreMin)))))</f>
        <v>0</v>
      </c>
      <c r="AR95" s="148">
        <f t="shared" ca="1" si="34"/>
        <v>349800</v>
      </c>
      <c r="AS95" s="148">
        <f t="shared" ca="1" si="42"/>
        <v>349800</v>
      </c>
      <c r="AT95" s="148" cm="1">
        <f t="array" aca="1" ref="AT95" ca="1">-IF($F95="Terminated",0,IF($AA95=0,0,IF(ISNA(MATCH(AT$5,PayDedList,0)),0,MIN(IF(COUNTIFS(OverEmp,$C95,OverDeduct,AT$5,OverDate,"&lt;"&amp;DATE(YEAR($AC95),MONTH($AC95)+1,1),OverEnd,"&gt;="&amp;DATE(YEAR($AC95),MONTH($AC95),1))&gt;0,SUMPRODUCT((PayEmp=$C95)*(PayDate&lt;=$AC95)*(OFFSET($N$6,1,MATCH(AT$5,PayDedList,0)-1,PayCount,1)))/$AA95*12*AT$3,IF(OR(AT$1="Fixed",AT$1="Not Used"),SUMPRODUCT((PayEmp=$C95)*(PayDate&lt;=$AC95)*(OFFSET($N$6,1,MATCH(AT$5,PayDedList,0)-1,PayCount,1)))/$AA95*12*AT$3,IF(ISNA(MATCH(OFFSET($N$2,0,MATCH(AT$5,PayDedList,0)-1,1,1),EarnListItem,0))=FALSE,SUMPRODUCT((PayEmp=$C95)*(PayDate&lt;=$AC95)*(OFFSET($N$6,1,MATCH(AT$5,PayDedList,0)-1,PayCount,1)))/$AA95*12*AT$3,(MIN(SUMPRODUCT((PayEmp=$C95)*(PayDate&lt;=$AC95)*(ISERROR(SEARCH(PayEarnCode,AT$2)))*(PayEarnType="Monthly")*(PayEarnValues))/$AA95*12,IF(ISNUMBER(OFFSET($N$3,0,MATCH(AT$5,PayDedList,0)-1,1,1)),OFFSET($N$3,0,MATCH(AT$5,PayDedList,0)-1,1,1),IgnoreMin)))*IF(COUNTIFS(EmpNo,$C95,OFFSET(Emp!$R$4,1,MATCH(AT$5,DedListItem,0)-1,EmpCount,1),"&lt;&gt;")&gt;0,VLOOKUP($C95,EmpAll,COLUMN(Emp!$R$4)+MATCH(AT$5,DedListItem,0)-1,0),OFFSET(Setup!$E$73,MATCH(AT$5,DedListItem,0),0,1,1))*AT$3))),IF(ISNUMBER(AT$4),AT$4,IgnoreMin)))))</f>
        <v>0</v>
      </c>
      <c r="AU95" s="148" cm="1">
        <f t="array" aca="1" ref="AU95" ca="1">-IF($F95="Terminated",0,IF($AA95=0,0,IF(ISNA(MATCH(AU$5,PayDedList,0)),0,MIN(IF(COUNTIFS(OverEmp,$C95,OverDeduct,AU$5,OverDate,"&lt;"&amp;DATE(YEAR($AC95),MONTH($AC95)+1,1),OverEnd,"&gt;="&amp;DATE(YEAR($AC95),MONTH($AC95),1))&gt;0,SUMPRODUCT((PayEmp=$C95)*(PayDate&lt;=$AC95)*(OFFSET($N$6,1,MATCH(AU$5,PayDedList,0)-1,PayCount,1)))/$AA95*12*AU$3,IF(OR(AU$1="Fixed",AU$1="Not Used"),SUMPRODUCT((PayEmp=$C95)*(PayDate&lt;=$AC95)*(OFFSET($N$6,1,MATCH(AU$5,PayDedList,0)-1,PayCount,1)))/$AA95*12*AU$3,IF(ISNA(MATCH(OFFSET($N$2,0,MATCH(AU$5,PayDedList,0)-1,1,1),EarnListItem,0))=FALSE,SUMPRODUCT((PayEmp=$C95)*(PayDate&lt;=$AC95)*(OFFSET($N$6,1,MATCH(AU$5,PayDedList,0)-1,PayCount,1)))/$AA95*12*AU$3,(MIN(SUMPRODUCT((PayEmp=$C95)*(PayDate&lt;=$AC95)*(ISERROR(SEARCH(PayEarnCode,AU$2)))*(PayEarnType="Monthly")*(PayEarnValues))/$AA95*12,IF(ISNUMBER(OFFSET($N$3,0,MATCH(AU$5,PayDedList,0)-1,1,1)),OFFSET($N$3,0,MATCH(AU$5,PayDedList,0)-1,1,1),IgnoreMin)))*IF(COUNTIFS(EmpNo,$C95,OFFSET(Emp!$R$4,1,MATCH(AU$5,DedListItem,0)-1,EmpCount,1),"&lt;&gt;")&gt;0,VLOOKUP($C95,EmpAll,COLUMN(Emp!$R$4)+MATCH(AU$5,DedListItem,0)-1,0),OFFSET(Setup!$E$73,MATCH(AU$5,DedListItem,0),0,1,1))*AU$3))),IF(ISNUMBER(AU$4),AU$4,IgnoreMin)))))</f>
        <v>0</v>
      </c>
      <c r="AV95" s="148" cm="1">
        <f t="array" aca="1" ref="AV95" ca="1">-IF($F95="Terminated",0,IF($AA95=0,0,IF(ISNA(MATCH(AV$5,PayDedList,0)),0,MIN(IF(COUNTIFS(OverEmp,$C95,OverDeduct,AV$5,OverDate,"&lt;"&amp;DATE(YEAR($AC95),MONTH($AC95)+1,1),OverEnd,"&gt;="&amp;DATE(YEAR($AC95),MONTH($AC95),1))&gt;0,SUMPRODUCT((PayEmp=$C95)*(PayDate&lt;=$AC95)*(OFFSET($N$6,1,MATCH(AV$5,PayDedList,0)-1,PayCount,1)))/$AA95*12*AV$3,IF(OR(AV$1="Fixed",AV$1="Not Used"),SUMPRODUCT((PayEmp=$C95)*(PayDate&lt;=$AC95)*(OFFSET($N$6,1,MATCH(AV$5,PayDedList,0)-1,PayCount,1)))/$AA95*12*AV$3,IF(ISNA(MATCH(OFFSET($N$2,0,MATCH(AV$5,PayDedList,0)-1,1,1),EarnListItem,0))=FALSE,SUMPRODUCT((PayEmp=$C95)*(PayDate&lt;=$AC95)*(OFFSET($N$6,1,MATCH(AV$5,PayDedList,0)-1,PayCount,1)))/$AA95*12*AV$3,(MIN(SUMPRODUCT((PayEmp=$C95)*(PayDate&lt;=$AC95)*(ISERROR(SEARCH(PayEarnCode,AV$2)))*(PayEarnType="Monthly")*(PayEarnValues))/$AA95*12,IF(ISNUMBER(OFFSET($N$3,0,MATCH(AV$5,PayDedList,0)-1,1,1)),OFFSET($N$3,0,MATCH(AV$5,PayDedList,0)-1,1,1),IgnoreMin)))*IF(COUNTIFS(EmpNo,$C95,OFFSET(Emp!$R$4,1,MATCH(AV$5,DedListItem,0)-1,EmpCount,1),"&lt;&gt;")&gt;0,VLOOKUP($C95,EmpAll,COLUMN(Emp!$R$4)+MATCH(AV$5,DedListItem,0)-1,0),OFFSET(Setup!$E$73,MATCH(AV$5,DedListItem,0),0,1,1))*AV$3))),IF(ISNUMBER(AV$4),AV$4,IgnoreMin)))))</f>
        <v>0</v>
      </c>
      <c r="AW95" s="148" cm="1">
        <f t="array" aca="1" ref="AW95" ca="1">-IF($F95="Terminated",0,IF($AA95=0,0,IF(ISNA(MATCH(AW$5,PayDedList,0)),0,MIN(IF(COUNTIFS(OverEmp,$C95,OverDeduct,AW$5,OverDate,"&lt;"&amp;DATE(YEAR($AC95),MONTH($AC95)+1,1),OverEnd,"&gt;="&amp;DATE(YEAR($AC95),MONTH($AC95),1))&gt;0,SUMPRODUCT((PayEmp=$C95)*(PayDate&lt;=$AC95)*(OFFSET($N$6,1,MATCH(AW$5,PayDedList,0)-1,PayCount,1)))/$AA95*12*AW$3,IF(OR(AW$1="Fixed",AW$1="Not Used"),SUMPRODUCT((PayEmp=$C95)*(PayDate&lt;=$AC95)*(OFFSET($N$6,1,MATCH(AW$5,PayDedList,0)-1,PayCount,1)))/$AA95*12*AW$3,IF(ISNA(MATCH(OFFSET($N$2,0,MATCH(AW$5,PayDedList,0)-1,1,1),EarnListItem,0))=FALSE,SUMPRODUCT((PayEmp=$C95)*(PayDate&lt;=$AC95)*(OFFSET($N$6,1,MATCH(AW$5,PayDedList,0)-1,PayCount,1)))/$AA95*12*AW$3,(MIN(SUMPRODUCT((PayEmp=$C95)*(PayDate&lt;=$AC95)*(ISERROR(SEARCH(PayEarnCode,AW$2)))*(PayEarnType="Monthly")*(PayEarnValues))/$AA95*12,IF(ISNUMBER(OFFSET($N$3,0,MATCH(AW$5,PayDedList,0)-1,1,1)),OFFSET($N$3,0,MATCH(AW$5,PayDedList,0)-1,1,1),IgnoreMin)))*IF(COUNTIFS(EmpNo,$C95,OFFSET(Emp!$R$4,1,MATCH(AW$5,DedListItem,0)-1,EmpCount,1),"&lt;&gt;")&gt;0,VLOOKUP($C95,EmpAll,COLUMN(Emp!$R$4)+MATCH(AW$5,DedListItem,0)-1,0),OFFSET(Setup!$E$73,MATCH(AW$5,DedListItem,0),0,1,1))*AW$3))),IF(ISNUMBER(AW$4),AW$4,IgnoreMin)))))</f>
        <v>0</v>
      </c>
      <c r="AX95" s="148">
        <f t="shared" ca="1" si="43"/>
        <v>349800</v>
      </c>
      <c r="AY95" s="148">
        <f t="shared" ca="1" si="44"/>
        <v>0</v>
      </c>
      <c r="AZ95" s="148">
        <f ca="1">IF(ISNUMBER($AL95),($AR95*$AL95)-$AI95-$AK95,MAX(0,IF($AL95="B",IF($AR95&lt;Setup!$C$32,($AR95*Setup!$D$32)-$AI95-$AK95,(($AR95-VLOOKUP($AR95,TaxAll2,1,1))*OFFSET(Setup!$D$32,MATCH($AR95,TaxBracket2,1),0,1,1))+OFFSET(Setup!$E$31,MATCH($AR95,TaxBracket2,1),0,1,1)-$AI95-$AK95),IF($AR95&lt;Setup!$C$21,($AR95*Setup!$D$21)-$AI95-$AK95,(($AR95-VLOOKUP($AR95,TaxAll1,1,1))*OFFSET(Setup!$D$21,MATCH($AR95,TaxBracket1,1),0,1,1))+OFFSET(Setup!$E$20,MATCH($AR95,TaxBracket1,1),0,1,1)-$AI95-$AK95))))</f>
        <v>54745</v>
      </c>
      <c r="BA95" s="148">
        <f ca="1">IF(ISNUMBER($AL95),($AX95*$AL95)-$AI95-$AK95,MAX(0,IF($AL95="B",IF($AX95&lt;Setup!$C$32,($AX95*Setup!$D$32)-$AI95-$AK95,(($AX95-VLOOKUP($AX95,TaxAll2,1,1))*OFFSET(Setup!$D$32,MATCH($AX95,TaxBracket2,1),0,1,1))+OFFSET(Setup!$E$31,MATCH($AX95,TaxBracket2,1),0,1,1)-$AI95-$AK95),IF($AX95&lt;Setup!$C$21,($AX95*Setup!$D$21)-$AI95-$AK95,(($AX95-VLOOKUP($AX95,TaxAll1,1,1))*OFFSET(Setup!$D$21,MATCH($AX95,TaxBracket1,1),0,1,1))+OFFSET(Setup!$E$20,MATCH($AX95,TaxBracket1,1),0,1,1)-$AI95-$AK95))))</f>
        <v>54745</v>
      </c>
      <c r="BB95" s="148">
        <f t="shared" ca="1" si="35"/>
        <v>0</v>
      </c>
      <c r="BC95" s="150">
        <f t="shared" ca="1" si="45"/>
        <v>1</v>
      </c>
      <c r="BD95" s="150">
        <f t="shared" ca="1" si="46"/>
        <v>0</v>
      </c>
      <c r="BE95" s="148">
        <f t="shared" ca="1" si="47"/>
        <v>349800</v>
      </c>
    </row>
    <row r="96" spans="1:57" ht="16.149999999999999" customHeight="1" x14ac:dyDescent="0.25">
      <c r="A96" s="10" t="str" cm="1">
        <f t="array" aca="1" ref="A96" ca="1">IF(ROW($A96)-ROW($A$6)&gt;EmpCount*12,"-",TEXT($B96,"yyyy")&amp;TEXT($B96,"mm")&amp;"-"&amp;$C96)</f>
        <v>202308-EXS015</v>
      </c>
      <c r="B96" s="137" cm="1">
        <f t="array" aca="1" ref="B96" ca="1">IF(ROW($A96)-ROW($A$6)&gt;EmpCount*12,Setup!$D$12,DATE(YEAR(Setup!$F$12),MONTH(Setup!$F$12)+ROUNDDOWN((ROW($A96)-ROW($A$6)-1)/EmpCount,0),IF(Setup!$C$14&gt;DAY(DATE(YEAR(Setup!$F$12),MONTH(Setup!$F$12)+ROUNDDOWN((ROW($A96)-ROW($A$6)-1)/EmpCount,0)+1,0)),DAY(DATE(YEAR(Setup!$F$12),MONTH(Setup!$F$12)+ROUNDDOWN((ROW($A96)-ROW($A$6)-1)/EmpCount,0)+1,0)),Setup!$C$14)))</f>
        <v>45163</v>
      </c>
      <c r="C96" s="101" t="str" cm="1">
        <f t="array" aca="1" ref="C96" ca="1">IF(ROW($A96)-ROW($A$6)&gt;EmpCount*12,"-",OFFSET(Emp!$A$4,ROW($A96)-ROW($A$6)-IF(ROW($A96)-ROW($A$6)&gt;EmpCount,ROUNDDOWN((ROW($A96)-ROW($A$6)-1)/EmpCount,0)*EmpCount,0),0,1,1))</f>
        <v>EXS015</v>
      </c>
      <c r="D96" s="10" t="str">
        <f ca="1">IF(ISNA(VLOOKUP($C96,EmpAll,COLUMN(Emp!$B$4),0)),"-",VLOOKUP($C96,EmpAll,COLUMN(Emp!$B$4),0))</f>
        <v>Graham L</v>
      </c>
      <c r="E96" s="145" t="str">
        <f ca="1">IF(ISNA(VLOOKUP($C96,EmpAll,COLUMN(Emp!$C$4),0)),"-",VLOOKUP($C96,EmpAll,COLUMN(Emp!$C$4),0))</f>
        <v>S</v>
      </c>
      <c r="F96" s="101" t="str">
        <f ca="1">IF(ISNA(VLOOKUP($C96,EmpAll,COLUMN(Emp!$A$4),0)),"-",IF(AND(VLOOKUP($C96,EmpAll,COLUMN(Emp!$E$4),0)&lt;&gt;0,VLOOKUP($C96,EmpAll,COLUMN(Emp!$E$4),0)&gt;=DATE(YEAR($AC96),MONTH($AC96)+1,0)),"Inactive",IF(AND(VLOOKUP($C96,EmpAll,COLUMN(Emp!$F$4),0)&lt;&gt;0,VLOOKUP($C96,EmpAll,COLUMN(Emp!$F$4),0)&lt;=DATE(YEAR($AC96),MONTH($AC96),0)),"Terminated","Active")))</f>
        <v>Inactive</v>
      </c>
      <c r="G96" s="133" cm="1">
        <f t="array" aca="1" ref="G96" ca="1">IF($F96&lt;&gt;"Active",0,IF(COUNTIFS(OverEmp,$C96,OverEarn,G$2,OverDate,"&lt;"&amp;DATE(YEAR($AC96),MONTH($AC96)+1,1),OverEnd,"&gt;="&amp;DATE(YEAR($AC96),MONTH($AC96),1))&gt;0,SUMIFS(OverValue,OverEmp,$C96,OverEarn,G$2,OverDate,"&lt;"&amp;DATE(YEAR($AC96),MONTH($AC96)+1,1),OverEnd,"&gt;="&amp;DATE(YEAR($AC96),MONTH($AC96),1)),IF(AND($AC96&gt;=Setup!$E$10,SUMIFS(EmpIncrease,EmpCode,$C96)&gt;0),SUMIFS(EmpIncrease,EmpCode,$C96),SUMIFS(EmpSalary,EmpCode,$C96))))</f>
        <v>0</v>
      </c>
      <c r="H96" s="133" cm="1">
        <f t="array" aca="1" ref="H96" ca="1">IF($F96&lt;&gt;"Active",0,IF(COUNTIFS(OverEmp,$C96,OverEarn,H$2,OverDate,"&lt;"&amp;DATE(YEAR($AC96),MONTH($AC96)+1,1),OverEnd,"&gt;="&amp;DATE(YEAR($AC96),MONTH($AC96),1))&gt;0,SUMIFS(OverValue,OverEmp,$C96,OverEarn,H$2,OverDate,"&lt;"&amp;DATE(YEAR($AC96),MONTH($AC96)+1,1),OverEnd,"&gt;="&amp;DATE(YEAR($AC96),MONTH($AC96),1)),0))</f>
        <v>0</v>
      </c>
      <c r="I96" s="133" cm="1">
        <f t="array" aca="1" ref="I96" ca="1">IF($F96&lt;&gt;"Active",0,IF(COUNTIFS(OverEmp,$C96,OverEarn,I$2,OverDate,"&lt;"&amp;DATE(YEAR($AC96),MONTH($AC96)+1,1),OverEnd,"&gt;="&amp;DATE(YEAR($AC96),MONTH($AC96),1))&gt;0,SUMIFS(OverValue,OverEmp,$C96,OverEarn,I$2,OverDate,"&lt;"&amp;DATE(YEAR($AC96),MONTH($AC96)+1,1),OverEnd,"&gt;="&amp;DATE(YEAR($AC96),MONTH($AC96),1)),IF(MONTH(B96)=Setup!$C$15,SUMIFS(EmpBonus,EmpCode,$C96),0)))</f>
        <v>0</v>
      </c>
      <c r="J96" s="133" cm="1">
        <f t="array" aca="1" ref="J96" ca="1">IF($F96&lt;&gt;"Active",0,IF(COUNTIFS(OverEmp,$C96,OverEarn,J$2,OverDate,"&lt;"&amp;DATE(YEAR($AC96),MONTH($AC96)+1,1),OverEnd,"&gt;="&amp;DATE(YEAR($AC96),MONTH($AC96),1))&gt;0,SUMIFS(OverValue,OverEmp,$C96,OverEarn,J$2,OverDate,"&lt;"&amp;DATE(YEAR($AC96),MONTH($AC96)+1,1),OverEnd,"&gt;="&amp;DATE(YEAR($AC96),MONTH($AC96),1)),0))</f>
        <v>0</v>
      </c>
      <c r="K96" s="133" cm="1">
        <f t="array" aca="1" ref="K96" ca="1">IF($F96&lt;&gt;"Active",0,IF(COUNTIFS(OverEmp,$C96,OverEarn,K$2,OverDate,"&lt;"&amp;DATE(YEAR($AC96),MONTH($AC96)+1,1),OverEnd,"&gt;="&amp;DATE(YEAR($AC96),MONTH($AC96),1))&gt;0,SUMIFS(OverValue,OverEmp,$C96,OverEarn,K$2,OverDate,"&lt;"&amp;DATE(YEAR($AC96),MONTH($AC96)+1,1),OverEnd,"&gt;="&amp;DATE(YEAR($AC96),MONTH($AC96),1)),0))</f>
        <v>0</v>
      </c>
      <c r="L96" s="185">
        <f t="shared" ca="1" si="36"/>
        <v>0</v>
      </c>
      <c r="M96" s="182" cm="1">
        <f t="array" aca="1" ref="M96" ca="1">IF(COUNTIFS(OverEmp,$C96,OverTax,M$5,OverDate,"&lt;"&amp;DATE(YEAR($AC96),MONTH($AC96)+1,1),OverEnd,"&gt;="&amp;DATE(YEAR($AC96),MONTH($AC96),1))&gt;0,SUMIFS(OverValue,OverEmp,$C96,OverTax,M$5,OverDate,"&lt;"&amp;DATE(YEAR($AC96),MONTH($AC96)+1,1),OverEnd,"&gt;="&amp;DATE(YEAR($AC96),MONTH($AC96),1)),(($BA96/12*$AA96)+(BB96*IF(1-$BC96=0,0,BD96/(1-$BC96))))-IF($F96="Terminated",0,SUMIFS(PayTaxDeduct,PayDate,"&lt;"&amp;$AC96,PayEmp,$C96)))</f>
        <v>0</v>
      </c>
      <c r="N96" s="133" cm="1">
        <f t="array" aca="1" ref="N96" ca="1">IF($F96="Terminated",0,IF($AA96=0,0,IF(ISNA(MATCH(N$5,DedListItem,0)),0,IF(COUNTIFS(OverEmp,$C96,OverDeduct,N$5,OverDate,"&lt;"&amp;DATE(YEAR($AC96),MONTH($AC96)+1,1),OverEnd,"&gt;="&amp;DATE(YEAR($AC96),MONTH($AC96),1))&gt;0,SUMIFS(OverValue,OverEmp,$C96,OverDeduct,N$5,OverDate,"&lt;"&amp;DATE(YEAR($AC96),MONTH($AC96)+1,1),OverEnd,"&gt;="&amp;DATE(YEAR($AC96),MONTH($AC96),1)),IF(OR(N$2="Fixed",N$2="Not Used"),(IF(COUNTIFS(EmpNo,$C96,OFFSET(Emp!$R$4,1,MATCH(N$5,DedListItem,0)-1,EmpCount,1),"&lt;&gt;")&gt;0,VLOOKUP($C96,EmpAll,COLUMN(Emp!$R$4)+MATCH(N$5,DedListItem,0)-1,0),OFFSET(Setup!$E$73,MATCH(N$5,DedListItem,0),0,1,1))*$AA96)-SUMIFS(OFFSET(N$6,1,0,PayCount,1),PayDate,"&lt;"&amp;$AC96,PayEmp,$C96),IF(ISNA(MATCH(N$2,EarnListItem,0))=FALSE,IF(OFFSET(Setup!$G$73,MATCH(N$5,DedListItem,0),0,1,1)="Taxable",SUMPRODUCT((PayEmp=$C96)*(PayDate&lt;=$AC96)*(PayEarnCode=N$2)*(PayEarnTax)*(PayEarnValues)),SUMPRODUCT((PayEmp=$C96)*(PayDate&lt;=$AC96)*(PayEarnCode=N$2)*(PayEarnValues)))*IF(COUNTIFS(EmpNo,$C96,OFFSET(Emp!$R$4,1,MATCH(N$5,DedListItem,0)-1,EmpCount,1),"&lt;&gt;")&gt;0,VLOOKUP($C96,EmpAll,COLUMN(Emp!$R$4)+MATCH(N$5,DedListItem,0)-1,0),OFFSET(Setup!$E$73,MATCH(N$5,DedListItem,0),0,1,1)),(MIN(IF(OFFSET(Setup!$G$73,MATCH(N$5,DedListItem,0),0,1,1)="Taxable",SUMPRODUCT((PayEmp=$C96)*(PayDate&lt;=$AC96)*(ISERROR(SEARCH(PayEarnCode,N$4)))*(PayEarnTax)*(PayEarnValues)),SUMPRODUCT((PayEmp=$C96)*(PayDate&lt;=$AC96)*(ISERROR(SEARCH(PayEarnCode,N$4)))*(PayEarnValues))),IF(ISNUMBER(N$3),N$3/12*$AA96,IgnoreMin)))*IF(COUNTIFS(EmpNo,$C96,OFFSET(Emp!$R$4,1,MATCH(N$5,DedListItem,0)-1,EmpCount,1),"&lt;&gt;")&gt;0,VLOOKUP($C96,EmpAll,COLUMN(Emp!$R$4)+MATCH(N$5,DedListItem,0)-1,0),OFFSET(Setup!$E$73,MATCH(N$5,DedListItem,0),0,1,1)))-SUMIFS(OFFSET(N$6,1,0,PayCount,1),PayDate,"&lt;"&amp;$AC96,PayEmp,$C96))))))</f>
        <v>0</v>
      </c>
      <c r="O96" s="133" cm="1">
        <f t="array" aca="1" ref="O96" ca="1">IF($F96="Terminated",0,IF($AA96=0,0,IF(ISNA(MATCH(O$5,DedListItem,0)),0,IF(COUNTIFS(OverEmp,$C96,OverDeduct,O$5,OverDate,"&lt;"&amp;DATE(YEAR($AC96),MONTH($AC96)+1,1),OverEnd,"&gt;="&amp;DATE(YEAR($AC96),MONTH($AC96),1))&gt;0,SUMIFS(OverValue,OverEmp,$C96,OverDeduct,O$5,OverDate,"&lt;"&amp;DATE(YEAR($AC96),MONTH($AC96)+1,1),OverEnd,"&gt;="&amp;DATE(YEAR($AC96),MONTH($AC96),1)),IF(OR(O$2="Fixed",O$2="Not Used"),(IF(COUNTIFS(EmpNo,$C96,OFFSET(Emp!$R$4,1,MATCH(O$5,DedListItem,0)-1,EmpCount,1),"&lt;&gt;")&gt;0,VLOOKUP($C96,EmpAll,COLUMN(Emp!$R$4)+MATCH(O$5,DedListItem,0)-1,0),OFFSET(Setup!$E$73,MATCH(O$5,DedListItem,0),0,1,1))*$AA96)-SUMIFS(OFFSET(O$6,1,0,PayCount,1),PayDate,"&lt;"&amp;$AC96,PayEmp,$C96),IF(ISNA(MATCH(O$2,EarnListItem,0))=FALSE,IF(OFFSET(Setup!$G$73,MATCH(O$5,DedListItem,0),0,1,1)="Taxable",SUMPRODUCT((PayEmp=$C96)*(PayDate&lt;=$AC96)*(PayEarnCode=O$2)*(PayEarnTax)*(PayEarnValues)),SUMPRODUCT((PayEmp=$C96)*(PayDate&lt;=$AC96)*(PayEarnCode=O$2)*(PayEarnValues)))*IF(COUNTIFS(EmpNo,$C96,OFFSET(Emp!$R$4,1,MATCH(O$5,DedListItem,0)-1,EmpCount,1),"&lt;&gt;")&gt;0,VLOOKUP($C96,EmpAll,COLUMN(Emp!$R$4)+MATCH(O$5,DedListItem,0)-1,0),OFFSET(Setup!$E$73,MATCH(O$5,DedListItem,0),0,1,1)),(MIN(IF(OFFSET(Setup!$G$73,MATCH(O$5,DedListItem,0),0,1,1)="Taxable",SUMPRODUCT((PayEmp=$C96)*(PayDate&lt;=$AC96)*(ISERROR(SEARCH(PayEarnCode,O$4)))*(PayEarnTax)*(PayEarnValues)),SUMPRODUCT((PayEmp=$C96)*(PayDate&lt;=$AC96)*(ISERROR(SEARCH(PayEarnCode,O$4)))*(PayEarnValues))),IF(ISNUMBER(O$3),O$3/12*$AA96,IgnoreMin)))*IF(COUNTIFS(EmpNo,$C96,OFFSET(Emp!$R$4,1,MATCH(O$5,DedListItem,0)-1,EmpCount,1),"&lt;&gt;")&gt;0,VLOOKUP($C96,EmpAll,COLUMN(Emp!$R$4)+MATCH(O$5,DedListItem,0)-1,0),OFFSET(Setup!$E$73,MATCH(O$5,DedListItem,0),0,1,1)))-SUMIFS(OFFSET(O$6,1,0,PayCount,1),PayDate,"&lt;"&amp;$AC96,PayEmp,$C96))))))</f>
        <v>0</v>
      </c>
      <c r="P96" s="133" cm="1">
        <f t="array" aca="1" ref="P96" ca="1">IF($F96="Terminated",0,IF($AA96=0,0,IF(ISNA(MATCH(P$5,DedListItem,0)),0,IF(COUNTIFS(OverEmp,$C96,OverDeduct,P$5,OverDate,"&lt;"&amp;DATE(YEAR($AC96),MONTH($AC96)+1,1),OverEnd,"&gt;="&amp;DATE(YEAR($AC96),MONTH($AC96),1))&gt;0,SUMIFS(OverValue,OverEmp,$C96,OverDeduct,P$5,OverDate,"&lt;"&amp;DATE(YEAR($AC96),MONTH($AC96)+1,1),OverEnd,"&gt;="&amp;DATE(YEAR($AC96),MONTH($AC96),1)),IF(OR(P$2="Fixed",P$2="Not Used"),(IF(COUNTIFS(EmpNo,$C96,OFFSET(Emp!$R$4,1,MATCH(P$5,DedListItem,0)-1,EmpCount,1),"&lt;&gt;")&gt;0,VLOOKUP($C96,EmpAll,COLUMN(Emp!$R$4)+MATCH(P$5,DedListItem,0)-1,0),OFFSET(Setup!$E$73,MATCH(P$5,DedListItem,0),0,1,1))*$AA96)-SUMIFS(OFFSET(P$6,1,0,PayCount,1),PayDate,"&lt;"&amp;$AC96,PayEmp,$C96),IF(ISNA(MATCH(P$2,EarnListItem,0))=FALSE,IF(OFFSET(Setup!$G$73,MATCH(P$5,DedListItem,0),0,1,1)="Taxable",SUMPRODUCT((PayEmp=$C96)*(PayDate&lt;=$AC96)*(PayEarnCode=P$2)*(PayEarnTax)*(PayEarnValues)),SUMPRODUCT((PayEmp=$C96)*(PayDate&lt;=$AC96)*(PayEarnCode=P$2)*(PayEarnValues)))*IF(COUNTIFS(EmpNo,$C96,OFFSET(Emp!$R$4,1,MATCH(P$5,DedListItem,0)-1,EmpCount,1),"&lt;&gt;")&gt;0,VLOOKUP($C96,EmpAll,COLUMN(Emp!$R$4)+MATCH(P$5,DedListItem,0)-1,0),OFFSET(Setup!$E$73,MATCH(P$5,DedListItem,0),0,1,1)),(MIN(IF(OFFSET(Setup!$G$73,MATCH(P$5,DedListItem,0),0,1,1)="Taxable",SUMPRODUCT((PayEmp=$C96)*(PayDate&lt;=$AC96)*(ISERROR(SEARCH(PayEarnCode,P$4)))*(PayEarnTax)*(PayEarnValues)),SUMPRODUCT((PayEmp=$C96)*(PayDate&lt;=$AC96)*(ISERROR(SEARCH(PayEarnCode,P$4)))*(PayEarnValues))),IF(ISNUMBER(P$3),P$3/12*$AA96,IgnoreMin)))*IF(COUNTIFS(EmpNo,$C96,OFFSET(Emp!$R$4,1,MATCH(P$5,DedListItem,0)-1,EmpCount,1),"&lt;&gt;")&gt;0,VLOOKUP($C96,EmpAll,COLUMN(Emp!$R$4)+MATCH(P$5,DedListItem,0)-1,0),OFFSET(Setup!$E$73,MATCH(P$5,DedListItem,0),0,1,1)))-SUMIFS(OFFSET(P$6,1,0,PayCount,1),PayDate,"&lt;"&amp;$AC96,PayEmp,$C96))))))</f>
        <v>0</v>
      </c>
      <c r="Q96" s="133" cm="1">
        <f t="array" aca="1" ref="Q96" ca="1">IF($F96="Terminated",0,IF($AA96=0,0,IF(ISNA(MATCH(Q$5,DedListItem,0)),0,IF(COUNTIFS(OverEmp,$C96,OverDeduct,Q$5,OverDate,"&lt;"&amp;DATE(YEAR($AC96),MONTH($AC96)+1,1),OverEnd,"&gt;="&amp;DATE(YEAR($AC96),MONTH($AC96),1))&gt;0,SUMIFS(OverValue,OverEmp,$C96,OverDeduct,Q$5,OverDate,"&lt;"&amp;DATE(YEAR($AC96),MONTH($AC96)+1,1),OverEnd,"&gt;="&amp;DATE(YEAR($AC96),MONTH($AC96),1)),IF(OR(Q$2="Fixed",Q$2="Not Used"),(IF(COUNTIFS(EmpNo,$C96,OFFSET(Emp!$R$4,1,MATCH(Q$5,DedListItem,0)-1,EmpCount,1),"&lt;&gt;")&gt;0,VLOOKUP($C96,EmpAll,COLUMN(Emp!$R$4)+MATCH(Q$5,DedListItem,0)-1,0),OFFSET(Setup!$E$73,MATCH(Q$5,DedListItem,0),0,1,1))*$AA96)-SUMIFS(OFFSET(Q$6,1,0,PayCount,1),PayDate,"&lt;"&amp;$AC96,PayEmp,$C96),IF(ISNA(MATCH(Q$2,EarnListItem,0))=FALSE,IF(OFFSET(Setup!$G$73,MATCH(Q$5,DedListItem,0),0,1,1)="Taxable",SUMPRODUCT((PayEmp=$C96)*(PayDate&lt;=$AC96)*(PayEarnCode=Q$2)*(PayEarnTax)*(PayEarnValues)),SUMPRODUCT((PayEmp=$C96)*(PayDate&lt;=$AC96)*(PayEarnCode=Q$2)*(PayEarnValues)))*IF(COUNTIFS(EmpNo,$C96,OFFSET(Emp!$R$4,1,MATCH(Q$5,DedListItem,0)-1,EmpCount,1),"&lt;&gt;")&gt;0,VLOOKUP($C96,EmpAll,COLUMN(Emp!$R$4)+MATCH(Q$5,DedListItem,0)-1,0),OFFSET(Setup!$E$73,MATCH(Q$5,DedListItem,0),0,1,1)),(MIN(IF(OFFSET(Setup!$G$73,MATCH(Q$5,DedListItem,0),0,1,1)="Taxable",SUMPRODUCT((PayEmp=$C96)*(PayDate&lt;=$AC96)*(ISERROR(SEARCH(PayEarnCode,Q$4)))*(PayEarnTax)*(PayEarnValues)),SUMPRODUCT((PayEmp=$C96)*(PayDate&lt;=$AC96)*(ISERROR(SEARCH(PayEarnCode,Q$4)))*(PayEarnValues))),IF(ISNUMBER(Q$3),Q$3/12*$AA96,IgnoreMin)))*IF(COUNTIFS(EmpNo,$C96,OFFSET(Emp!$R$4,1,MATCH(Q$5,DedListItem,0)-1,EmpCount,1),"&lt;&gt;")&gt;0,VLOOKUP($C96,EmpAll,COLUMN(Emp!$R$4)+MATCH(Q$5,DedListItem,0)-1,0),OFFSET(Setup!$E$73,MATCH(Q$5,DedListItem,0),0,1,1)))-SUMIFS(OFFSET(Q$6,1,0,PayCount,1),PayDate,"&lt;"&amp;$AC96,PayEmp,$C96))))))</f>
        <v>0</v>
      </c>
      <c r="R96" s="185">
        <f t="shared" ca="1" si="37"/>
        <v>0</v>
      </c>
      <c r="S96" s="139">
        <f t="shared" ca="1" si="38"/>
        <v>0</v>
      </c>
      <c r="T96" s="133" cm="1">
        <f t="array" aca="1" ref="T96" ca="1">IF($F96="Terminated",0,IF($AA96=0,0,IF(ISNA(MATCH(T$5,CompListItem,0)),0,IF(COUNTIFS(OverEmp,$C96,OverComp,T$5,OverDate,"&lt;"&amp;DATE(YEAR($AC96),MONTH($AC96)+1,1),OverEnd,"&gt;="&amp;DATE(YEAR($AC96),MONTH($AC96),1))&gt;0,SUMIFS(OverValue,OverEmp,$C96,OverComp,T$5,OverDate,"&lt;"&amp;DATE(YEAR($AC96),MONTH($AC96)+1,1),OverEnd,"&gt;="&amp;DATE(YEAR($AC96),MONTH($AC96),1)),IF(OR(T$2="Fixed",T$2="Not Used"),(OFFSET(Setup!$E$81,MATCH(T$5,CompListItem,0),0,1,1)*$AA96)-SUMIFS(OFFSET(T$6,1,0,PayCount,1),PayDate,"&lt;"&amp;$AC96,PayEmp,$C96),IF(ISNA(MATCH(T$2,DedListItem,0))=FALSE,(SUMPRODUCT((PayEmp=$C96)*(PayDate&lt;=$AC96)*(PayDedList=T$2)*(PayDedValues))*OFFSET(Setup!$E$81,MATCH(T$5,CompListItem,0),0,1,1))-SUMIFS(OFFSET(T$6,1,0,PayCount,1),PayDate,"&lt;"&amp;$AC96,PayEmp,$C96),(MIN(IF(OFFSET(Setup!$G$81,MATCH(T$5,CompListItem,0),0,1,1)="Taxable",SUMPRODUCT((PayEmp=$C96)*(PayDate&lt;=$AC96)*(ISERROR(SEARCH(PayEarnCode,T$4)))*(PayEarnTax)*(PayEarnValues)),SUMPRODUCT((PayEmp=$C96)*(PayDate&lt;=$AC96)*(ISERROR(SEARCH(PayEarnCode,T$4)))*(PayEarnValues))),IF(ISNUMBER(T$3),T$3/12*$AA96,IgnoreMin)))*OFFSET(Setup!$E$81,MATCH(T$5,CompListItem,0),0,1,1)-SUMIFS(OFFSET(T$6,1,0,PayCount,1),PayDate,"&lt;"&amp;$AC96,PayEmp,$C96)))))))</f>
        <v>0</v>
      </c>
      <c r="U96" s="133" cm="1">
        <f t="array" aca="1" ref="U96" ca="1">IF($F96="Terminated",0,IF($AA96=0,0,IF(ISNA(MATCH(U$5,CompListItem,0)),0,IF(COUNTIFS(OverEmp,$C96,OverComp,U$5,OverDate,"&lt;"&amp;DATE(YEAR($AC96),MONTH($AC96)+1,1),OverEnd,"&gt;="&amp;DATE(YEAR($AC96),MONTH($AC96),1))&gt;0,SUMIFS(OverValue,OverEmp,$C96,OverComp,U$5,OverDate,"&lt;"&amp;DATE(YEAR($AC96),MONTH($AC96)+1,1),OverEnd,"&gt;="&amp;DATE(YEAR($AC96),MONTH($AC96),1)),IF(OR(U$2="Fixed",U$2="Not Used"),(OFFSET(Setup!$E$81,MATCH(U$5,CompListItem,0),0,1,1)*$AA96)-SUMIFS(OFFSET(U$6,1,0,PayCount,1),PayDate,"&lt;"&amp;$AC96,PayEmp,$C96),IF(ISNA(MATCH(U$2,DedListItem,0))=FALSE,(SUMPRODUCT((PayEmp=$C96)*(PayDate&lt;=$AC96)*(PayDedList=U$2)*(PayDedValues))*OFFSET(Setup!$E$81,MATCH(U$5,CompListItem,0),0,1,1))-SUMIFS(OFFSET(U$6,1,0,PayCount,1),PayDate,"&lt;"&amp;$AC96,PayEmp,$C96),(MIN(IF(OFFSET(Setup!$G$81,MATCH(U$5,CompListItem,0),0,1,1)="Taxable",SUMPRODUCT((PayEmp=$C96)*(PayDate&lt;=$AC96)*(ISERROR(SEARCH(PayEarnCode,U$4)))*(PayEarnTax)*(PayEarnValues)),SUMPRODUCT((PayEmp=$C96)*(PayDate&lt;=$AC96)*(ISERROR(SEARCH(PayEarnCode,U$4)))*(PayEarnValues))),IF(ISNUMBER(U$3),U$3/12*$AA96,IgnoreMin)))*OFFSET(Setup!$E$81,MATCH(U$5,CompListItem,0),0,1,1)-SUMIFS(OFFSET(U$6,1,0,PayCount,1),PayDate,"&lt;"&amp;$AC96,PayEmp,$C96)))))))</f>
        <v>0</v>
      </c>
      <c r="V96" s="133" cm="1">
        <f t="array" aca="1" ref="V96" ca="1">IF($F96="Terminated",0,IF($AA96=0,0,IF(ISNA(MATCH(V$5,CompListItem,0)),0,IF(COUNTIFS(OverEmp,$C96,OverComp,V$5,OverDate,"&lt;"&amp;DATE(YEAR($AC96),MONTH($AC96)+1,1),OverEnd,"&gt;="&amp;DATE(YEAR($AC96),MONTH($AC96),1))&gt;0,SUMIFS(OverValue,OverEmp,$C96,OverComp,V$5,OverDate,"&lt;"&amp;DATE(YEAR($AC96),MONTH($AC96)+1,1),OverEnd,"&gt;="&amp;DATE(YEAR($AC96),MONTH($AC96),1)),IF(OR(V$2="Fixed",V$2="Not Used"),(OFFSET(Setup!$E$81,MATCH(V$5,CompListItem,0),0,1,1)*$AA96)-SUMIFS(OFFSET(V$6,1,0,PayCount,1),PayDate,"&lt;"&amp;$AC96,PayEmp,$C96),IF(ISNA(MATCH(V$2,DedListItem,0))=FALSE,(SUMPRODUCT((PayEmp=$C96)*(PayDate&lt;=$AC96)*(PayDedList=V$2)*(PayDedValues))*OFFSET(Setup!$E$81,MATCH(V$5,CompListItem,0),0,1,1))-SUMIFS(OFFSET(V$6,1,0,PayCount,1),PayDate,"&lt;"&amp;$AC96,PayEmp,$C96),(MIN(IF(OFFSET(Setup!$G$81,MATCH(V$5,CompListItem,0),0,1,1)="Taxable",SUMPRODUCT((PayEmp=$C96)*(PayDate&lt;=$AC96)*(ISERROR(SEARCH(PayEarnCode,V$4)))*(PayEarnTax)*(PayEarnValues)),SUMPRODUCT((PayEmp=$C96)*(PayDate&lt;=$AC96)*(ISERROR(SEARCH(PayEarnCode,V$4)))*(PayEarnValues))),IF(ISNUMBER(V$3),V$3/12*$AA96,IgnoreMin)))*OFFSET(Setup!$E$81,MATCH(V$5,CompListItem,0),0,1,1)-SUMIFS(OFFSET(V$6,1,0,PayCount,1),PayDate,"&lt;"&amp;$AC96,PayEmp,$C96)))))))</f>
        <v>0</v>
      </c>
      <c r="W96" s="133" cm="1">
        <f t="array" aca="1" ref="W96" ca="1">IF($F96="Terminated",0,IF($AA96=0,0,IF(ISNA(MATCH(W$5,CompListItem,0)),0,IF(COUNTIFS(OverEmp,$C96,OverComp,W$5,OverDate,"&lt;"&amp;DATE(YEAR($AC96),MONTH($AC96)+1,1),OverEnd,"&gt;="&amp;DATE(YEAR($AC96),MONTH($AC96),1))&gt;0,SUMIFS(OverValue,OverEmp,$C96,OverComp,W$5,OverDate,"&lt;"&amp;DATE(YEAR($AC96),MONTH($AC96)+1,1),OverEnd,"&gt;="&amp;DATE(YEAR($AC96),MONTH($AC96),1)),IF(OR(W$2="Fixed",W$2="Not Used"),(OFFSET(Setup!$E$81,MATCH(W$5,CompListItem,0),0,1,1)*$AA96)-SUMIFS(OFFSET(W$6,1,0,PayCount,1),PayDate,"&lt;"&amp;$AC96,PayEmp,$C96),IF(ISNA(MATCH(W$2,DedListItem,0))=FALSE,(SUMPRODUCT((PayEmp=$C96)*(PayDate&lt;=$AC96)*(PayDedList=W$2)*(PayDedValues))*OFFSET(Setup!$E$81,MATCH(W$5,CompListItem,0),0,1,1))-SUMIFS(OFFSET(W$6,1,0,PayCount,1),PayDate,"&lt;"&amp;$AC96,PayEmp,$C96),(MIN(IF(OFFSET(Setup!$G$81,MATCH(W$5,CompListItem,0),0,1,1)="Taxable",SUMPRODUCT((PayEmp=$C96)*(PayDate&lt;=$AC96)*(ISERROR(SEARCH(PayEarnCode,W$4)))*(PayEarnTax)*(PayEarnValues)),SUMPRODUCT((PayEmp=$C96)*(PayDate&lt;=$AC96)*(ISERROR(SEARCH(PayEarnCode,W$4)))*(PayEarnValues))),IF(ISNUMBER(W$3),W$3/12*$AA96,IgnoreMin)))*OFFSET(Setup!$E$81,MATCH(W$5,CompListItem,0),0,1,1)-SUMIFS(OFFSET(W$6,1,0,PayCount,1),PayDate,"&lt;"&amp;$AC96,PayEmp,$C96)))))))</f>
        <v>0</v>
      </c>
      <c r="X96" s="185">
        <f t="shared" ca="1" si="30"/>
        <v>0</v>
      </c>
      <c r="Y96" s="139">
        <f t="shared" ca="1" si="39"/>
        <v>0</v>
      </c>
      <c r="Z96" s="139">
        <f t="shared" ca="1" si="31"/>
        <v>0</v>
      </c>
      <c r="AA96" s="146">
        <f ca="1">IF(OR($B96&lt;=Setup!$E$12,$B96&gt;=Setup!$D$12+1),0,IF($F96&lt;&gt;"Active",0,IF($AE96="Yes",$AB96,((YEAR($AC96)*12)+MONTH($AC96))-((YEAR($AD96)*12)+MONTH($AD96)-1))))</f>
        <v>0</v>
      </c>
      <c r="AB96" s="146">
        <f ca="1">IF(OR($B96&lt;=Setup!$E$12,$B96&gt;=Setup!$D$12+1),0,((YEAR($AC96)*12)+MONTH($AC96))-((YEAR(Setup!$E$12)*12)+MONTH(Setup!$E$12)))</f>
        <v>6</v>
      </c>
      <c r="AC96" s="186">
        <f t="shared" ca="1" si="32"/>
        <v>45163</v>
      </c>
      <c r="AD96" s="144">
        <f ca="1">IF(ISNA(VLOOKUP($C96,EmpAll,COLUMN(Emp!$E$4),0)),$AC96,IF(VLOOKUP($C96,EmpAll,COLUMN(Emp!$E$4),0)&lt;=Setup!$E$12,DATE(YEAR(Setup!$E$12),MONTH(Setup!$E$12)+1,1),VLOOKUP($C96,EmpAll,COLUMN(Emp!$E$4),0)))</f>
        <v>45316</v>
      </c>
      <c r="AE96" s="144" t="str">
        <f ca="1">IF(ISNA(VLOOKUP($C96,EmpAll,COLUMN(Emp!$G$1),0)),"-",IF(VLOOKUP($C96,EmpAll,COLUMN(Emp!$G$1),0)=0,"-",VLOOKUP($C96,EmpAll,COLUMN(Emp!$G$1),0)))</f>
        <v>-</v>
      </c>
      <c r="AF96" s="145">
        <f ca="1">IF(A96=PaySlip!$G$3,1,0)</f>
        <v>0</v>
      </c>
      <c r="AG96" s="130" cm="1">
        <f t="array" aca="1" ref="AG96" ca="1">IF(COUNTIFS(OverEmp,$C96,OverMed,"MED",OverDate,"&lt;"&amp;DATE(YEAR($AC96),MONTH($AC96)+1,1),OverEnd,"&gt;="&amp;DATE(YEAR($AC96),MONTH($AC96),1))&gt;0,SUMIFS(OverValue,OverEmp,$C96,OverMed,"MED",OverDate,"&lt;"&amp;DATE(YEAR($AC96),MONTH($AC96)+1,1),OverEnd,"&gt;="&amp;DATE(YEAR($AC96),MONTH($AC96),1)),IF(ISNA(VLOOKUP($C96,EmpAll,COLUMN(Emp!$N$4),0)),0,VLOOKUP($C96,EmpAll,COLUMN(Emp!$N$4),0)))</f>
        <v>1</v>
      </c>
      <c r="AH96" s="146">
        <f ca="1">VLOOKUP($AG96,MedList,COLUMN(Setup!$C$49),1)</f>
        <v>364</v>
      </c>
      <c r="AI96" s="146">
        <f t="shared" ca="1" si="40"/>
        <v>6552</v>
      </c>
      <c r="AJ96" s="101" t="str">
        <f ca="1">IF(ISNA(VLOOKUP($C96,EmpAll,COLUMN(Emp!$L$4),0)),"None!",VLOOKUP($C96,EmpAll,COLUMN(Emp!$L$4),0))</f>
        <v>A</v>
      </c>
      <c r="AK96" s="147">
        <f t="shared" ca="1" si="33"/>
        <v>17235</v>
      </c>
      <c r="AL96" s="101" t="str">
        <f ca="1">IF(ISNA(VLOOKUP($C96,Employees[],COLUMN(Emp!$M$4),0))=TRUE,"Error!",IF(VLOOKUP($C96,Employees[],COLUMN(Emp!$M$4),0)=0,"Yes",VLOOKUP($C96,Employees[],COLUMN(Emp!$M$4),0)))</f>
        <v>A</v>
      </c>
      <c r="AM96" s="148">
        <f t="shared" ca="1" si="41"/>
        <v>0</v>
      </c>
      <c r="AN96" s="148" cm="1">
        <f t="array" aca="1" ref="AN96" ca="1">-IF($F96="Terminated",0,IF($AA96=0,0,IF(ISNA(MATCH(AN$5,PayDedList,0)),0,MIN(IF(COUNTIFS(OverEmp,$C96,OverDeduct,AN$5,OverDate,"&lt;"&amp;DATE(YEAR($AC96),MONTH($AC96)+1,1),OverEnd,"&gt;="&amp;DATE(YEAR($AC96),MONTH($AC96),1))&gt;0,SUMPRODUCT((PayEmp=$C96)*(PayDate&lt;=$AC96)*(OFFSET($N$6,1,MATCH(AN$5,PayDedList,0)-1,PayCount,1)))/$AA96*12*AN$3,IF(OR(AN$1="Fixed",AN$1="Not Used"),SUMPRODUCT((PayEmp=$C96)*(PayDate&lt;=$AC96)*(OFFSET($N$6,1,MATCH(AN$5,PayDedList,0)-1,PayCount,1)))/$AA96*12*AN$3,IF(ISNA(MATCH(AN$1,EarnListItem,0))=FALSE,SUMPRODUCT((PayEmp=$C96)*(PayDate&lt;=$AC96)*(OFFSET($N$6,1,MATCH(AN$5,PayDedList,0)-1,PayCount,1)))/$AA96*12*AN$3,(MIN(((SUMPRODUCT((PayEmp=$C96)*(PayDate&lt;=$AC96)*(ISERROR(SEARCH(PayEarnCode,AN$2)))*(PayEarnType="Monthly")*(PayEarnValues))/$AA96*12)+(SUMPRODUCT((PayEmp=$C96)*(PayDate&lt;=$AC96)*(ISERROR(SEARCH(PayEarnCode,AN$2)))*(PayEarnType="Quarterly")*(PayEarnValues))/MAX(1,ROUNDDOWN($AB96/3,0))*4)+(SUMPRODUCT((PayEmp=$C96)*(PayDate&lt;=$AC96)*(ISERROR(SEARCH(PayEarnCode,AN$2)))*(PayEarnType="Bi-Annual")*(PayEarnValues))/MAX(1,ROUNDDOWN($AB96/6,0))*2)+(SUMPRODUCT((PayEmp=$C96)*(PayDate&lt;=$AC96)*(ISERROR(SEARCH(PayEarnCode,AN$2)))*(PayEarnType="Annual")*(PayEarnValues)))),IF(ISNUMBER(OFFSET($N$3,0,MATCH(AN$5,PayDedList,0)-1,1,1)),OFFSET($N$3,0,MATCH(AN$5,PayDedList,0)-1,1,1),IgnoreMin)))*IF(COUNTIFS(EmpNo,$C96,OFFSET(Emp!$R$4,1,MATCH(AN$5,DedListItem,0)-1,EmpCount,1),"&lt;&gt;")&gt;0,VLOOKUP($C96,EmpAll,COLUMN(Emp!$R$4)+MATCH(AN$5,DedListItem,0)-1,0),OFFSET(Setup!$E$73,MATCH(AN$5,DedListItem,0),0,1,1))*AN$3))),IF(ISNUMBER(AN$4),AN$4,IgnoreMin)))))</f>
        <v>0</v>
      </c>
      <c r="AO96" s="148" cm="1">
        <f t="array" aca="1" ref="AO96" ca="1">-IF($F96="Terminated",0,IF($AA96=0,0,IF(ISNA(MATCH(AO$5,PayDedList,0)),0,MIN(IF(COUNTIFS(OverEmp,$C96,OverDeduct,AO$5,OverDate,"&lt;"&amp;DATE(YEAR($AC96),MONTH($AC96)+1,1),OverEnd,"&gt;="&amp;DATE(YEAR($AC96),MONTH($AC96),1))&gt;0,SUMPRODUCT((PayEmp=$C96)*(PayDate&lt;=$AC96)*(OFFSET($N$6,1,MATCH(AO$5,PayDedList,0)-1,PayCount,1)))/$AA96*12*AO$3,IF(OR(AO$1="Fixed",AO$1="Not Used"),SUMPRODUCT((PayEmp=$C96)*(PayDate&lt;=$AC96)*(OFFSET($N$6,1,MATCH(AO$5,PayDedList,0)-1,PayCount,1)))/$AA96*12*AO$3,IF(ISNA(MATCH(AO$1,EarnListItem,0))=FALSE,SUMPRODUCT((PayEmp=$C96)*(PayDate&lt;=$AC96)*(OFFSET($N$6,1,MATCH(AO$5,PayDedList,0)-1,PayCount,1)))/$AA96*12*AO$3,(MIN(((SUMPRODUCT((PayEmp=$C96)*(PayDate&lt;=$AC96)*(ISERROR(SEARCH(PayEarnCode,AO$2)))*(PayEarnType="Monthly")*(PayEarnValues))/$AA96*12)+(SUMPRODUCT((PayEmp=$C96)*(PayDate&lt;=$AC96)*(ISERROR(SEARCH(PayEarnCode,AO$2)))*(PayEarnType="Quarterly")*(PayEarnValues))/MAX(1,ROUNDDOWN($AB96/3,0))*4)+(SUMPRODUCT((PayEmp=$C96)*(PayDate&lt;=$AC96)*(ISERROR(SEARCH(PayEarnCode,AO$2)))*(PayEarnType="Bi-Annual")*(PayEarnValues))/MAX(1,ROUNDDOWN($AB96/6,0))*2)+(SUMPRODUCT((PayEmp=$C96)*(PayDate&lt;=$AC96)*(ISERROR(SEARCH(PayEarnCode,AO$2)))*(PayEarnType="Annual")*(PayEarnValues)))),IF(ISNUMBER(OFFSET($N$3,0,MATCH(AO$5,PayDedList,0)-1,1,1)),OFFSET($N$3,0,MATCH(AO$5,PayDedList,0)-1,1,1),IgnoreMin)))*IF(COUNTIFS(EmpNo,$C96,OFFSET(Emp!$R$4,1,MATCH(AO$5,DedListItem,0)-1,EmpCount,1),"&lt;&gt;")&gt;0,VLOOKUP($C96,EmpAll,COLUMN(Emp!$R$4)+MATCH(AO$5,DedListItem,0)-1,0),OFFSET(Setup!$E$73,MATCH(AO$5,DedListItem,0),0,1,1))*AO$3))),IF(ISNUMBER(AO$4),AO$4,IgnoreMin)))))</f>
        <v>0</v>
      </c>
      <c r="AP96" s="148" cm="1">
        <f t="array" aca="1" ref="AP96" ca="1">-IF($F96="Terminated",0,IF($AA96=0,0,IF(ISNA(MATCH(AP$5,PayDedList,0)),0,MIN(IF(COUNTIFS(OverEmp,$C96,OverDeduct,AP$5,OverDate,"&lt;"&amp;DATE(YEAR($AC96),MONTH($AC96)+1,1),OverEnd,"&gt;="&amp;DATE(YEAR($AC96),MONTH($AC96),1))&gt;0,SUMPRODUCT((PayEmp=$C96)*(PayDate&lt;=$AC96)*(OFFSET($N$6,1,MATCH(AP$5,PayDedList,0)-1,PayCount,1)))/$AA96*12*AP$3,IF(OR(AP$1="Fixed",AP$1="Not Used"),SUMPRODUCT((PayEmp=$C96)*(PayDate&lt;=$AC96)*(OFFSET($N$6,1,MATCH(AP$5,PayDedList,0)-1,PayCount,1)))/$AA96*12*AP$3,IF(ISNA(MATCH(AP$1,EarnListItem,0))=FALSE,SUMPRODUCT((PayEmp=$C96)*(PayDate&lt;=$AC96)*(OFFSET($N$6,1,MATCH(AP$5,PayDedList,0)-1,PayCount,1)))/$AA96*12*AP$3,(MIN(((SUMPRODUCT((PayEmp=$C96)*(PayDate&lt;=$AC96)*(ISERROR(SEARCH(PayEarnCode,AP$2)))*(PayEarnType="Monthly")*(PayEarnValues))/$AA96*12)+(SUMPRODUCT((PayEmp=$C96)*(PayDate&lt;=$AC96)*(ISERROR(SEARCH(PayEarnCode,AP$2)))*(PayEarnType="Quarterly")*(PayEarnValues))/MAX(1,ROUNDDOWN($AB96/3,0))*4)+(SUMPRODUCT((PayEmp=$C96)*(PayDate&lt;=$AC96)*(ISERROR(SEARCH(PayEarnCode,AP$2)))*(PayEarnType="Bi-Annual")*(PayEarnValues))/MAX(1,ROUNDDOWN($AB96/6,0))*2)+(SUMPRODUCT((PayEmp=$C96)*(PayDate&lt;=$AC96)*(ISERROR(SEARCH(PayEarnCode,AP$2)))*(PayEarnType="Annual")*(PayEarnValues)))),IF(ISNUMBER(OFFSET($N$3,0,MATCH(AP$5,PayDedList,0)-1,1,1)),OFFSET($N$3,0,MATCH(AP$5,PayDedList,0)-1,1,1),IgnoreMin)))*IF(COUNTIFS(EmpNo,$C96,OFFSET(Emp!$R$4,1,MATCH(AP$5,DedListItem,0)-1,EmpCount,1),"&lt;&gt;")&gt;0,VLOOKUP($C96,EmpAll,COLUMN(Emp!$R$4)+MATCH(AP$5,DedListItem,0)-1,0),OFFSET(Setup!$E$73,MATCH(AP$5,DedListItem,0),0,1,1))*AP$3))),IF(ISNUMBER(AP$4),AP$4,IgnoreMin)))))</f>
        <v>0</v>
      </c>
      <c r="AQ96" s="148" cm="1">
        <f t="array" aca="1" ref="AQ96" ca="1">-IF($F96="Terminated",0,IF($AA96=0,0,IF(ISNA(MATCH(AQ$5,PayDedList,0)),0,MIN(IF(COUNTIFS(OverEmp,$C96,OverDeduct,AQ$5,OverDate,"&lt;"&amp;DATE(YEAR($AC96),MONTH($AC96)+1,1),OverEnd,"&gt;="&amp;DATE(YEAR($AC96),MONTH($AC96),1))&gt;0,SUMPRODUCT((PayEmp=$C96)*(PayDate&lt;=$AC96)*(OFFSET($N$6,1,MATCH(AQ$5,PayDedList,0)-1,PayCount,1)))/$AA96*12*AQ$3,IF(OR(AQ$1="Fixed",AQ$1="Not Used"),SUMPRODUCT((PayEmp=$C96)*(PayDate&lt;=$AC96)*(OFFSET($N$6,1,MATCH(AQ$5,PayDedList,0)-1,PayCount,1)))/$AA96*12*AQ$3,IF(ISNA(MATCH(AQ$1,EarnListItem,0))=FALSE,SUMPRODUCT((PayEmp=$C96)*(PayDate&lt;=$AC96)*(OFFSET($N$6,1,MATCH(AQ$5,PayDedList,0)-1,PayCount,1)))/$AA96*12*AQ$3,(MIN(((SUMPRODUCT((PayEmp=$C96)*(PayDate&lt;=$AC96)*(ISERROR(SEARCH(PayEarnCode,AQ$2)))*(PayEarnType="Monthly")*(PayEarnValues))/$AA96*12)+(SUMPRODUCT((PayEmp=$C96)*(PayDate&lt;=$AC96)*(ISERROR(SEARCH(PayEarnCode,AQ$2)))*(PayEarnType="Quarterly")*(PayEarnValues))/MAX(1,ROUNDDOWN($AB96/3,0))*4)+(SUMPRODUCT((PayEmp=$C96)*(PayDate&lt;=$AC96)*(ISERROR(SEARCH(PayEarnCode,AQ$2)))*(PayEarnType="Bi-Annual")*(PayEarnValues))/MAX(1,ROUNDDOWN($AB96/6,0))*2)+(SUMPRODUCT((PayEmp=$C96)*(PayDate&lt;=$AC96)*(ISERROR(SEARCH(PayEarnCode,AQ$2)))*(PayEarnType="Annual")*(PayEarnValues)))),IF(ISNUMBER(OFFSET($N$3,0,MATCH(AQ$5,PayDedList,0)-1,1,1)),OFFSET($N$3,0,MATCH(AQ$5,PayDedList,0)-1,1,1),IgnoreMin)))*IF(COUNTIFS(EmpNo,$C96,OFFSET(Emp!$R$4,1,MATCH(AQ$5,DedListItem,0)-1,EmpCount,1),"&lt;&gt;")&gt;0,VLOOKUP($C96,EmpAll,COLUMN(Emp!$R$4)+MATCH(AQ$5,DedListItem,0)-1,0),OFFSET(Setup!$E$73,MATCH(AQ$5,DedListItem,0),0,1,1))*AQ$3))),IF(ISNUMBER(AQ$4),AQ$4,IgnoreMin)))))</f>
        <v>0</v>
      </c>
      <c r="AR96" s="148">
        <f t="shared" ca="1" si="34"/>
        <v>0</v>
      </c>
      <c r="AS96" s="148">
        <f t="shared" ca="1" si="42"/>
        <v>0</v>
      </c>
      <c r="AT96" s="148" cm="1">
        <f t="array" aca="1" ref="AT96" ca="1">-IF($F96="Terminated",0,IF($AA96=0,0,IF(ISNA(MATCH(AT$5,PayDedList,0)),0,MIN(IF(COUNTIFS(OverEmp,$C96,OverDeduct,AT$5,OverDate,"&lt;"&amp;DATE(YEAR($AC96),MONTH($AC96)+1,1),OverEnd,"&gt;="&amp;DATE(YEAR($AC96),MONTH($AC96),1))&gt;0,SUMPRODUCT((PayEmp=$C96)*(PayDate&lt;=$AC96)*(OFFSET($N$6,1,MATCH(AT$5,PayDedList,0)-1,PayCount,1)))/$AA96*12*AT$3,IF(OR(AT$1="Fixed",AT$1="Not Used"),SUMPRODUCT((PayEmp=$C96)*(PayDate&lt;=$AC96)*(OFFSET($N$6,1,MATCH(AT$5,PayDedList,0)-1,PayCount,1)))/$AA96*12*AT$3,IF(ISNA(MATCH(OFFSET($N$2,0,MATCH(AT$5,PayDedList,0)-1,1,1),EarnListItem,0))=FALSE,SUMPRODUCT((PayEmp=$C96)*(PayDate&lt;=$AC96)*(OFFSET($N$6,1,MATCH(AT$5,PayDedList,0)-1,PayCount,1)))/$AA96*12*AT$3,(MIN(SUMPRODUCT((PayEmp=$C96)*(PayDate&lt;=$AC96)*(ISERROR(SEARCH(PayEarnCode,AT$2)))*(PayEarnType="Monthly")*(PayEarnValues))/$AA96*12,IF(ISNUMBER(OFFSET($N$3,0,MATCH(AT$5,PayDedList,0)-1,1,1)),OFFSET($N$3,0,MATCH(AT$5,PayDedList,0)-1,1,1),IgnoreMin)))*IF(COUNTIFS(EmpNo,$C96,OFFSET(Emp!$R$4,1,MATCH(AT$5,DedListItem,0)-1,EmpCount,1),"&lt;&gt;")&gt;0,VLOOKUP($C96,EmpAll,COLUMN(Emp!$R$4)+MATCH(AT$5,DedListItem,0)-1,0),OFFSET(Setup!$E$73,MATCH(AT$5,DedListItem,0),0,1,1))*AT$3))),IF(ISNUMBER(AT$4),AT$4,IgnoreMin)))))</f>
        <v>0</v>
      </c>
      <c r="AU96" s="148" cm="1">
        <f t="array" aca="1" ref="AU96" ca="1">-IF($F96="Terminated",0,IF($AA96=0,0,IF(ISNA(MATCH(AU$5,PayDedList,0)),0,MIN(IF(COUNTIFS(OverEmp,$C96,OverDeduct,AU$5,OverDate,"&lt;"&amp;DATE(YEAR($AC96),MONTH($AC96)+1,1),OverEnd,"&gt;="&amp;DATE(YEAR($AC96),MONTH($AC96),1))&gt;0,SUMPRODUCT((PayEmp=$C96)*(PayDate&lt;=$AC96)*(OFFSET($N$6,1,MATCH(AU$5,PayDedList,0)-1,PayCount,1)))/$AA96*12*AU$3,IF(OR(AU$1="Fixed",AU$1="Not Used"),SUMPRODUCT((PayEmp=$C96)*(PayDate&lt;=$AC96)*(OFFSET($N$6,1,MATCH(AU$5,PayDedList,0)-1,PayCount,1)))/$AA96*12*AU$3,IF(ISNA(MATCH(OFFSET($N$2,0,MATCH(AU$5,PayDedList,0)-1,1,1),EarnListItem,0))=FALSE,SUMPRODUCT((PayEmp=$C96)*(PayDate&lt;=$AC96)*(OFFSET($N$6,1,MATCH(AU$5,PayDedList,0)-1,PayCount,1)))/$AA96*12*AU$3,(MIN(SUMPRODUCT((PayEmp=$C96)*(PayDate&lt;=$AC96)*(ISERROR(SEARCH(PayEarnCode,AU$2)))*(PayEarnType="Monthly")*(PayEarnValues))/$AA96*12,IF(ISNUMBER(OFFSET($N$3,0,MATCH(AU$5,PayDedList,0)-1,1,1)),OFFSET($N$3,0,MATCH(AU$5,PayDedList,0)-1,1,1),IgnoreMin)))*IF(COUNTIFS(EmpNo,$C96,OFFSET(Emp!$R$4,1,MATCH(AU$5,DedListItem,0)-1,EmpCount,1),"&lt;&gt;")&gt;0,VLOOKUP($C96,EmpAll,COLUMN(Emp!$R$4)+MATCH(AU$5,DedListItem,0)-1,0),OFFSET(Setup!$E$73,MATCH(AU$5,DedListItem,0),0,1,1))*AU$3))),IF(ISNUMBER(AU$4),AU$4,IgnoreMin)))))</f>
        <v>0</v>
      </c>
      <c r="AV96" s="148" cm="1">
        <f t="array" aca="1" ref="AV96" ca="1">-IF($F96="Terminated",0,IF($AA96=0,0,IF(ISNA(MATCH(AV$5,PayDedList,0)),0,MIN(IF(COUNTIFS(OverEmp,$C96,OverDeduct,AV$5,OverDate,"&lt;"&amp;DATE(YEAR($AC96),MONTH($AC96)+1,1),OverEnd,"&gt;="&amp;DATE(YEAR($AC96),MONTH($AC96),1))&gt;0,SUMPRODUCT((PayEmp=$C96)*(PayDate&lt;=$AC96)*(OFFSET($N$6,1,MATCH(AV$5,PayDedList,0)-1,PayCount,1)))/$AA96*12*AV$3,IF(OR(AV$1="Fixed",AV$1="Not Used"),SUMPRODUCT((PayEmp=$C96)*(PayDate&lt;=$AC96)*(OFFSET($N$6,1,MATCH(AV$5,PayDedList,0)-1,PayCount,1)))/$AA96*12*AV$3,IF(ISNA(MATCH(OFFSET($N$2,0,MATCH(AV$5,PayDedList,0)-1,1,1),EarnListItem,0))=FALSE,SUMPRODUCT((PayEmp=$C96)*(PayDate&lt;=$AC96)*(OFFSET($N$6,1,MATCH(AV$5,PayDedList,0)-1,PayCount,1)))/$AA96*12*AV$3,(MIN(SUMPRODUCT((PayEmp=$C96)*(PayDate&lt;=$AC96)*(ISERROR(SEARCH(PayEarnCode,AV$2)))*(PayEarnType="Monthly")*(PayEarnValues))/$AA96*12,IF(ISNUMBER(OFFSET($N$3,0,MATCH(AV$5,PayDedList,0)-1,1,1)),OFFSET($N$3,0,MATCH(AV$5,PayDedList,0)-1,1,1),IgnoreMin)))*IF(COUNTIFS(EmpNo,$C96,OFFSET(Emp!$R$4,1,MATCH(AV$5,DedListItem,0)-1,EmpCount,1),"&lt;&gt;")&gt;0,VLOOKUP($C96,EmpAll,COLUMN(Emp!$R$4)+MATCH(AV$5,DedListItem,0)-1,0),OFFSET(Setup!$E$73,MATCH(AV$5,DedListItem,0),0,1,1))*AV$3))),IF(ISNUMBER(AV$4),AV$4,IgnoreMin)))))</f>
        <v>0</v>
      </c>
      <c r="AW96" s="148" cm="1">
        <f t="array" aca="1" ref="AW96" ca="1">-IF($F96="Terminated",0,IF($AA96=0,0,IF(ISNA(MATCH(AW$5,PayDedList,0)),0,MIN(IF(COUNTIFS(OverEmp,$C96,OverDeduct,AW$5,OverDate,"&lt;"&amp;DATE(YEAR($AC96),MONTH($AC96)+1,1),OverEnd,"&gt;="&amp;DATE(YEAR($AC96),MONTH($AC96),1))&gt;0,SUMPRODUCT((PayEmp=$C96)*(PayDate&lt;=$AC96)*(OFFSET($N$6,1,MATCH(AW$5,PayDedList,0)-1,PayCount,1)))/$AA96*12*AW$3,IF(OR(AW$1="Fixed",AW$1="Not Used"),SUMPRODUCT((PayEmp=$C96)*(PayDate&lt;=$AC96)*(OFFSET($N$6,1,MATCH(AW$5,PayDedList,0)-1,PayCount,1)))/$AA96*12*AW$3,IF(ISNA(MATCH(OFFSET($N$2,0,MATCH(AW$5,PayDedList,0)-1,1,1),EarnListItem,0))=FALSE,SUMPRODUCT((PayEmp=$C96)*(PayDate&lt;=$AC96)*(OFFSET($N$6,1,MATCH(AW$5,PayDedList,0)-1,PayCount,1)))/$AA96*12*AW$3,(MIN(SUMPRODUCT((PayEmp=$C96)*(PayDate&lt;=$AC96)*(ISERROR(SEARCH(PayEarnCode,AW$2)))*(PayEarnType="Monthly")*(PayEarnValues))/$AA96*12,IF(ISNUMBER(OFFSET($N$3,0,MATCH(AW$5,PayDedList,0)-1,1,1)),OFFSET($N$3,0,MATCH(AW$5,PayDedList,0)-1,1,1),IgnoreMin)))*IF(COUNTIFS(EmpNo,$C96,OFFSET(Emp!$R$4,1,MATCH(AW$5,DedListItem,0)-1,EmpCount,1),"&lt;&gt;")&gt;0,VLOOKUP($C96,EmpAll,COLUMN(Emp!$R$4)+MATCH(AW$5,DedListItem,0)-1,0),OFFSET(Setup!$E$73,MATCH(AW$5,DedListItem,0),0,1,1))*AW$3))),IF(ISNUMBER(AW$4),AW$4,IgnoreMin)))))</f>
        <v>0</v>
      </c>
      <c r="AX96" s="148">
        <f t="shared" ca="1" si="43"/>
        <v>0</v>
      </c>
      <c r="AY96" s="148">
        <f t="shared" ca="1" si="44"/>
        <v>0</v>
      </c>
      <c r="AZ96" s="148">
        <f ca="1">IF(ISNUMBER($AL96),($AR96*$AL96)-$AI96-$AK96,MAX(0,IF($AL96="B",IF($AR96&lt;Setup!$C$32,($AR96*Setup!$D$32)-$AI96-$AK96,(($AR96-VLOOKUP($AR96,TaxAll2,1,1))*OFFSET(Setup!$D$32,MATCH($AR96,TaxBracket2,1),0,1,1))+OFFSET(Setup!$E$31,MATCH($AR96,TaxBracket2,1),0,1,1)-$AI96-$AK96),IF($AR96&lt;Setup!$C$21,($AR96*Setup!$D$21)-$AI96-$AK96,(($AR96-VLOOKUP($AR96,TaxAll1,1,1))*OFFSET(Setup!$D$21,MATCH($AR96,TaxBracket1,1),0,1,1))+OFFSET(Setup!$E$20,MATCH($AR96,TaxBracket1,1),0,1,1)-$AI96-$AK96))))</f>
        <v>0</v>
      </c>
      <c r="BA96" s="148">
        <f ca="1">IF(ISNUMBER($AL96),($AX96*$AL96)-$AI96-$AK96,MAX(0,IF($AL96="B",IF($AX96&lt;Setup!$C$32,($AX96*Setup!$D$32)-$AI96-$AK96,(($AX96-VLOOKUP($AX96,TaxAll2,1,1))*OFFSET(Setup!$D$32,MATCH($AX96,TaxBracket2,1),0,1,1))+OFFSET(Setup!$E$31,MATCH($AX96,TaxBracket2,1),0,1,1)-$AI96-$AK96),IF($AX96&lt;Setup!$C$21,($AX96*Setup!$D$21)-$AI96-$AK96,(($AX96-VLOOKUP($AX96,TaxAll1,1,1))*OFFSET(Setup!$D$21,MATCH($AX96,TaxBracket1,1),0,1,1))+OFFSET(Setup!$E$20,MATCH($AX96,TaxBracket1,1),0,1,1)-$AI96-$AK96))))</f>
        <v>0</v>
      </c>
      <c r="BB96" s="148">
        <f t="shared" ca="1" si="35"/>
        <v>0</v>
      </c>
      <c r="BC96" s="150">
        <f t="shared" ca="1" si="45"/>
        <v>0</v>
      </c>
      <c r="BD96" s="150">
        <f t="shared" ca="1" si="46"/>
        <v>0</v>
      </c>
      <c r="BE96" s="148">
        <f t="shared" ca="1" si="47"/>
        <v>0</v>
      </c>
    </row>
    <row r="97" spans="1:57" ht="16.149999999999999" customHeight="1" x14ac:dyDescent="0.25">
      <c r="A97" s="10" t="str" cm="1">
        <f t="array" aca="1" ref="A97" ca="1">IF(ROW($A97)-ROW($A$6)&gt;EmpCount*12,"-",TEXT($B97,"yyyy")&amp;TEXT($B97,"mm")&amp;"-"&amp;$C97)</f>
        <v>202309-EXS001</v>
      </c>
      <c r="B97" s="137" cm="1">
        <f t="array" aca="1" ref="B97" ca="1">IF(ROW($A97)-ROW($A$6)&gt;EmpCount*12,Setup!$D$12,DATE(YEAR(Setup!$F$12),MONTH(Setup!$F$12)+ROUNDDOWN((ROW($A97)-ROW($A$6)-1)/EmpCount,0),IF(Setup!$C$14&gt;DAY(DATE(YEAR(Setup!$F$12),MONTH(Setup!$F$12)+ROUNDDOWN((ROW($A97)-ROW($A$6)-1)/EmpCount,0)+1,0)),DAY(DATE(YEAR(Setup!$F$12),MONTH(Setup!$F$12)+ROUNDDOWN((ROW($A97)-ROW($A$6)-1)/EmpCount,0)+1,0)),Setup!$C$14)))</f>
        <v>45194</v>
      </c>
      <c r="C97" s="101" t="str" cm="1">
        <f t="array" aca="1" ref="C97" ca="1">IF(ROW($A97)-ROW($A$6)&gt;EmpCount*12,"-",OFFSET(Emp!$A$4,ROW($A97)-ROW($A$6)-IF(ROW($A97)-ROW($A$6)&gt;EmpCount,ROUNDDOWN((ROW($A97)-ROW($A$6)-1)/EmpCount,0)*EmpCount,0),0,1,1))</f>
        <v>EXS001</v>
      </c>
      <c r="D97" s="10" t="str">
        <f ca="1">IF(ISNA(VLOOKUP($C97,EmpAll,COLUMN(Emp!$B$4),0)),"-",VLOOKUP($C97,EmpAll,COLUMN(Emp!$B$4),0))</f>
        <v>Taylor AE</v>
      </c>
      <c r="E97" s="145" t="str">
        <f ca="1">IF(ISNA(VLOOKUP($C97,EmpAll,COLUMN(Emp!$C$4),0)),"-",VLOOKUP($C97,EmpAll,COLUMN(Emp!$C$4),0))</f>
        <v>M</v>
      </c>
      <c r="F97" s="101" t="str">
        <f ca="1">IF(ISNA(VLOOKUP($C97,EmpAll,COLUMN(Emp!$A$4),0)),"-",IF(AND(VLOOKUP($C97,EmpAll,COLUMN(Emp!$E$4),0)&lt;&gt;0,VLOOKUP($C97,EmpAll,COLUMN(Emp!$E$4),0)&gt;=DATE(YEAR($AC97),MONTH($AC97)+1,0)),"Inactive",IF(AND(VLOOKUP($C97,EmpAll,COLUMN(Emp!$F$4),0)&lt;&gt;0,VLOOKUP($C97,EmpAll,COLUMN(Emp!$F$4),0)&lt;=DATE(YEAR($AC97),MONTH($AC97),0)),"Terminated","Active")))</f>
        <v>Active</v>
      </c>
      <c r="G97" s="133" cm="1">
        <f t="array" aca="1" ref="G97" ca="1">IF($F97&lt;&gt;"Active",0,IF(COUNTIFS(OverEmp,$C97,OverEarn,G$2,OverDate,"&lt;"&amp;DATE(YEAR($AC97),MONTH($AC97)+1,1),OverEnd,"&gt;="&amp;DATE(YEAR($AC97),MONTH($AC97),1))&gt;0,SUMIFS(OverValue,OverEmp,$C97,OverEarn,G$2,OverDate,"&lt;"&amp;DATE(YEAR($AC97),MONTH($AC97)+1,1),OverEnd,"&gt;="&amp;DATE(YEAR($AC97),MONTH($AC97),1)),IF(AND($AC97&gt;=Setup!$E$10,SUMIFS(EmpIncrease,EmpCode,$C97)&gt;0),SUMIFS(EmpIncrease,EmpCode,$C97),SUMIFS(EmpSalary,EmpCode,$C97))))</f>
        <v>150000</v>
      </c>
      <c r="H97" s="133" cm="1">
        <f t="array" aca="1" ref="H97" ca="1">IF($F97&lt;&gt;"Active",0,IF(COUNTIFS(OverEmp,$C97,OverEarn,H$2,OverDate,"&lt;"&amp;DATE(YEAR($AC97),MONTH($AC97)+1,1),OverEnd,"&gt;="&amp;DATE(YEAR($AC97),MONTH($AC97),1))&gt;0,SUMIFS(OverValue,OverEmp,$C97,OverEarn,H$2,OverDate,"&lt;"&amp;DATE(YEAR($AC97),MONTH($AC97)+1,1),OverEnd,"&gt;="&amp;DATE(YEAR($AC97),MONTH($AC97),1)),0))</f>
        <v>0</v>
      </c>
      <c r="I97" s="133" cm="1">
        <f t="array" aca="1" ref="I97" ca="1">IF($F97&lt;&gt;"Active",0,IF(COUNTIFS(OverEmp,$C97,OverEarn,I$2,OverDate,"&lt;"&amp;DATE(YEAR($AC97),MONTH($AC97)+1,1),OverEnd,"&gt;="&amp;DATE(YEAR($AC97),MONTH($AC97),1))&gt;0,SUMIFS(OverValue,OverEmp,$C97,OverEarn,I$2,OverDate,"&lt;"&amp;DATE(YEAR($AC97),MONTH($AC97)+1,1),OverEnd,"&gt;="&amp;DATE(YEAR($AC97),MONTH($AC97),1)),IF(MONTH(B97)=Setup!$C$15,SUMIFS(EmpBonus,EmpCode,$C97),0)))</f>
        <v>0</v>
      </c>
      <c r="J97" s="133" cm="1">
        <f t="array" aca="1" ref="J97" ca="1">IF($F97&lt;&gt;"Active",0,IF(COUNTIFS(OverEmp,$C97,OverEarn,J$2,OverDate,"&lt;"&amp;DATE(YEAR($AC97),MONTH($AC97)+1,1),OverEnd,"&gt;="&amp;DATE(YEAR($AC97),MONTH($AC97),1))&gt;0,SUMIFS(OverValue,OverEmp,$C97,OverEarn,J$2,OverDate,"&lt;"&amp;DATE(YEAR($AC97),MONTH($AC97)+1,1),OverEnd,"&gt;="&amp;DATE(YEAR($AC97),MONTH($AC97),1)),0))</f>
        <v>0</v>
      </c>
      <c r="K97" s="133" cm="1">
        <f t="array" aca="1" ref="K97" ca="1">IF($F97&lt;&gt;"Active",0,IF(COUNTIFS(OverEmp,$C97,OverEarn,K$2,OverDate,"&lt;"&amp;DATE(YEAR($AC97),MONTH($AC97)+1,1),OverEnd,"&gt;="&amp;DATE(YEAR($AC97),MONTH($AC97),1))&gt;0,SUMIFS(OverValue,OverEmp,$C97,OverEarn,K$2,OverDate,"&lt;"&amp;DATE(YEAR($AC97),MONTH($AC97)+1,1),OverEnd,"&gt;="&amp;DATE(YEAR($AC97),MONTH($AC97),1)),0))</f>
        <v>0</v>
      </c>
      <c r="L97" s="185">
        <f t="shared" ca="1" si="36"/>
        <v>150000</v>
      </c>
      <c r="M97" s="182" cm="1">
        <f t="array" aca="1" ref="M97" ca="1">IF(COUNTIFS(OverEmp,$C97,OverTax,M$5,OverDate,"&lt;"&amp;DATE(YEAR($AC97),MONTH($AC97)+1,1),OverEnd,"&gt;="&amp;DATE(YEAR($AC97),MONTH($AC97),1))&gt;0,SUMIFS(OverValue,OverEmp,$C97,OverTax,M$5,OverDate,"&lt;"&amp;DATE(YEAR($AC97),MONTH($AC97)+1,1),OverEnd,"&gt;="&amp;DATE(YEAR($AC97),MONTH($AC97),1)),(($BA97/12*$AA97)+(BB97*IF(1-$BC97=0,0,BD97/(1-$BC97))))-IF($F97="Terminated",0,SUMIFS(PayTaxDeduct,PayDate,"&lt;"&amp;$AC97,PayEmp,$C97)))</f>
        <v>45611.833333333372</v>
      </c>
      <c r="N97" s="133" cm="1">
        <f t="array" aca="1" ref="N97" ca="1">IF($F97="Terminated",0,IF($AA97=0,0,IF(ISNA(MATCH(N$5,DedListItem,0)),0,IF(COUNTIFS(OverEmp,$C97,OverDeduct,N$5,OverDate,"&lt;"&amp;DATE(YEAR($AC97),MONTH($AC97)+1,1),OverEnd,"&gt;="&amp;DATE(YEAR($AC97),MONTH($AC97),1))&gt;0,SUMIFS(OverValue,OverEmp,$C97,OverDeduct,N$5,OverDate,"&lt;"&amp;DATE(YEAR($AC97),MONTH($AC97)+1,1),OverEnd,"&gt;="&amp;DATE(YEAR($AC97),MONTH($AC97),1)),IF(OR(N$2="Fixed",N$2="Not Used"),(IF(COUNTIFS(EmpNo,$C97,OFFSET(Emp!$R$4,1,MATCH(N$5,DedListItem,0)-1,EmpCount,1),"&lt;&gt;")&gt;0,VLOOKUP($C97,EmpAll,COLUMN(Emp!$R$4)+MATCH(N$5,DedListItem,0)-1,0),OFFSET(Setup!$E$73,MATCH(N$5,DedListItem,0),0,1,1))*$AA97)-SUMIFS(OFFSET(N$6,1,0,PayCount,1),PayDate,"&lt;"&amp;$AC97,PayEmp,$C97),IF(ISNA(MATCH(N$2,EarnListItem,0))=FALSE,IF(OFFSET(Setup!$G$73,MATCH(N$5,DedListItem,0),0,1,1)="Taxable",SUMPRODUCT((PayEmp=$C97)*(PayDate&lt;=$AC97)*(PayEarnCode=N$2)*(PayEarnTax)*(PayEarnValues)),SUMPRODUCT((PayEmp=$C97)*(PayDate&lt;=$AC97)*(PayEarnCode=N$2)*(PayEarnValues)))*IF(COUNTIFS(EmpNo,$C97,OFFSET(Emp!$R$4,1,MATCH(N$5,DedListItem,0)-1,EmpCount,1),"&lt;&gt;")&gt;0,VLOOKUP($C97,EmpAll,COLUMN(Emp!$R$4)+MATCH(N$5,DedListItem,0)-1,0),OFFSET(Setup!$E$73,MATCH(N$5,DedListItem,0),0,1,1)),(MIN(IF(OFFSET(Setup!$G$73,MATCH(N$5,DedListItem,0),0,1,1)="Taxable",SUMPRODUCT((PayEmp=$C97)*(PayDate&lt;=$AC97)*(ISERROR(SEARCH(PayEarnCode,N$4)))*(PayEarnTax)*(PayEarnValues)),SUMPRODUCT((PayEmp=$C97)*(PayDate&lt;=$AC97)*(ISERROR(SEARCH(PayEarnCode,N$4)))*(PayEarnValues))),IF(ISNUMBER(N$3),N$3/12*$AA97,IgnoreMin)))*IF(COUNTIFS(EmpNo,$C97,OFFSET(Emp!$R$4,1,MATCH(N$5,DedListItem,0)-1,EmpCount,1),"&lt;&gt;")&gt;0,VLOOKUP($C97,EmpAll,COLUMN(Emp!$R$4)+MATCH(N$5,DedListItem,0)-1,0),OFFSET(Setup!$E$73,MATCH(N$5,DedListItem,0),0,1,1)))-SUMIFS(OFFSET(N$6,1,0,PayCount,1),PayDate,"&lt;"&amp;$AC97,PayEmp,$C97))))))</f>
        <v>177.11999999999989</v>
      </c>
      <c r="O97" s="133" cm="1">
        <f t="array" aca="1" ref="O97" ca="1">IF($F97="Terminated",0,IF($AA97=0,0,IF(ISNA(MATCH(O$5,DedListItem,0)),0,IF(COUNTIFS(OverEmp,$C97,OverDeduct,O$5,OverDate,"&lt;"&amp;DATE(YEAR($AC97),MONTH($AC97)+1,1),OverEnd,"&gt;="&amp;DATE(YEAR($AC97),MONTH($AC97),1))&gt;0,SUMIFS(OverValue,OverEmp,$C97,OverDeduct,O$5,OverDate,"&lt;"&amp;DATE(YEAR($AC97),MONTH($AC97)+1,1),OverEnd,"&gt;="&amp;DATE(YEAR($AC97),MONTH($AC97),1)),IF(OR(O$2="Fixed",O$2="Not Used"),(IF(COUNTIFS(EmpNo,$C97,OFFSET(Emp!$R$4,1,MATCH(O$5,DedListItem,0)-1,EmpCount,1),"&lt;&gt;")&gt;0,VLOOKUP($C97,EmpAll,COLUMN(Emp!$R$4)+MATCH(O$5,DedListItem,0)-1,0),OFFSET(Setup!$E$73,MATCH(O$5,DedListItem,0),0,1,1))*$AA97)-SUMIFS(OFFSET(O$6,1,0,PayCount,1),PayDate,"&lt;"&amp;$AC97,PayEmp,$C97),IF(ISNA(MATCH(O$2,EarnListItem,0))=FALSE,IF(OFFSET(Setup!$G$73,MATCH(O$5,DedListItem,0),0,1,1)="Taxable",SUMPRODUCT((PayEmp=$C97)*(PayDate&lt;=$AC97)*(PayEarnCode=O$2)*(PayEarnTax)*(PayEarnValues)),SUMPRODUCT((PayEmp=$C97)*(PayDate&lt;=$AC97)*(PayEarnCode=O$2)*(PayEarnValues)))*IF(COUNTIFS(EmpNo,$C97,OFFSET(Emp!$R$4,1,MATCH(O$5,DedListItem,0)-1,EmpCount,1),"&lt;&gt;")&gt;0,VLOOKUP($C97,EmpAll,COLUMN(Emp!$R$4)+MATCH(O$5,DedListItem,0)-1,0),OFFSET(Setup!$E$73,MATCH(O$5,DedListItem,0),0,1,1)),(MIN(IF(OFFSET(Setup!$G$73,MATCH(O$5,DedListItem,0),0,1,1)="Taxable",SUMPRODUCT((PayEmp=$C97)*(PayDate&lt;=$AC97)*(ISERROR(SEARCH(PayEarnCode,O$4)))*(PayEarnTax)*(PayEarnValues)),SUMPRODUCT((PayEmp=$C97)*(PayDate&lt;=$AC97)*(ISERROR(SEARCH(PayEarnCode,O$4)))*(PayEarnValues))),IF(ISNUMBER(O$3),O$3/12*$AA97,IgnoreMin)))*IF(COUNTIFS(EmpNo,$C97,OFFSET(Emp!$R$4,1,MATCH(O$5,DedListItem,0)-1,EmpCount,1),"&lt;&gt;")&gt;0,VLOOKUP($C97,EmpAll,COLUMN(Emp!$R$4)+MATCH(O$5,DedListItem,0)-1,0),OFFSET(Setup!$E$73,MATCH(O$5,DedListItem,0),0,1,1)))-SUMIFS(OFFSET(O$6,1,0,PayCount,1),PayDate,"&lt;"&amp;$AC97,PayEmp,$C97))))))</f>
        <v>11250</v>
      </c>
      <c r="P97" s="133" cm="1">
        <f t="array" aca="1" ref="P97" ca="1">IF($F97="Terminated",0,IF($AA97=0,0,IF(ISNA(MATCH(P$5,DedListItem,0)),0,IF(COUNTIFS(OverEmp,$C97,OverDeduct,P$5,OverDate,"&lt;"&amp;DATE(YEAR($AC97),MONTH($AC97)+1,1),OverEnd,"&gt;="&amp;DATE(YEAR($AC97),MONTH($AC97),1))&gt;0,SUMIFS(OverValue,OverEmp,$C97,OverDeduct,P$5,OverDate,"&lt;"&amp;DATE(YEAR($AC97),MONTH($AC97)+1,1),OverEnd,"&gt;="&amp;DATE(YEAR($AC97),MONTH($AC97),1)),IF(OR(P$2="Fixed",P$2="Not Used"),(IF(COUNTIFS(EmpNo,$C97,OFFSET(Emp!$R$4,1,MATCH(P$5,DedListItem,0)-1,EmpCount,1),"&lt;&gt;")&gt;0,VLOOKUP($C97,EmpAll,COLUMN(Emp!$R$4)+MATCH(P$5,DedListItem,0)-1,0),OFFSET(Setup!$E$73,MATCH(P$5,DedListItem,0),0,1,1))*$AA97)-SUMIFS(OFFSET(P$6,1,0,PayCount,1),PayDate,"&lt;"&amp;$AC97,PayEmp,$C97),IF(ISNA(MATCH(P$2,EarnListItem,0))=FALSE,IF(OFFSET(Setup!$G$73,MATCH(P$5,DedListItem,0),0,1,1)="Taxable",SUMPRODUCT((PayEmp=$C97)*(PayDate&lt;=$AC97)*(PayEarnCode=P$2)*(PayEarnTax)*(PayEarnValues)),SUMPRODUCT((PayEmp=$C97)*(PayDate&lt;=$AC97)*(PayEarnCode=P$2)*(PayEarnValues)))*IF(COUNTIFS(EmpNo,$C97,OFFSET(Emp!$R$4,1,MATCH(P$5,DedListItem,0)-1,EmpCount,1),"&lt;&gt;")&gt;0,VLOOKUP($C97,EmpAll,COLUMN(Emp!$R$4)+MATCH(P$5,DedListItem,0)-1,0),OFFSET(Setup!$E$73,MATCH(P$5,DedListItem,0),0,1,1)),(MIN(IF(OFFSET(Setup!$G$73,MATCH(P$5,DedListItem,0),0,1,1)="Taxable",SUMPRODUCT((PayEmp=$C97)*(PayDate&lt;=$AC97)*(ISERROR(SEARCH(PayEarnCode,P$4)))*(PayEarnTax)*(PayEarnValues)),SUMPRODUCT((PayEmp=$C97)*(PayDate&lt;=$AC97)*(ISERROR(SEARCH(PayEarnCode,P$4)))*(PayEarnValues))),IF(ISNUMBER(P$3),P$3/12*$AA97,IgnoreMin)))*IF(COUNTIFS(EmpNo,$C97,OFFSET(Emp!$R$4,1,MATCH(P$5,DedListItem,0)-1,EmpCount,1),"&lt;&gt;")&gt;0,VLOOKUP($C97,EmpAll,COLUMN(Emp!$R$4)+MATCH(P$5,DedListItem,0)-1,0),OFFSET(Setup!$E$73,MATCH(P$5,DedListItem,0),0,1,1)))-SUMIFS(OFFSET(P$6,1,0,PayCount,1),PayDate,"&lt;"&amp;$AC97,PayEmp,$C97))))))</f>
        <v>0</v>
      </c>
      <c r="Q97" s="133" cm="1">
        <f t="array" aca="1" ref="Q97" ca="1">IF($F97="Terminated",0,IF($AA97=0,0,IF(ISNA(MATCH(Q$5,DedListItem,0)),0,IF(COUNTIFS(OverEmp,$C97,OverDeduct,Q$5,OverDate,"&lt;"&amp;DATE(YEAR($AC97),MONTH($AC97)+1,1),OverEnd,"&gt;="&amp;DATE(YEAR($AC97),MONTH($AC97),1))&gt;0,SUMIFS(OverValue,OverEmp,$C97,OverDeduct,Q$5,OverDate,"&lt;"&amp;DATE(YEAR($AC97),MONTH($AC97)+1,1),OverEnd,"&gt;="&amp;DATE(YEAR($AC97),MONTH($AC97),1)),IF(OR(Q$2="Fixed",Q$2="Not Used"),(IF(COUNTIFS(EmpNo,$C97,OFFSET(Emp!$R$4,1,MATCH(Q$5,DedListItem,0)-1,EmpCount,1),"&lt;&gt;")&gt;0,VLOOKUP($C97,EmpAll,COLUMN(Emp!$R$4)+MATCH(Q$5,DedListItem,0)-1,0),OFFSET(Setup!$E$73,MATCH(Q$5,DedListItem,0),0,1,1))*$AA97)-SUMIFS(OFFSET(Q$6,1,0,PayCount,1),PayDate,"&lt;"&amp;$AC97,PayEmp,$C97),IF(ISNA(MATCH(Q$2,EarnListItem,0))=FALSE,IF(OFFSET(Setup!$G$73,MATCH(Q$5,DedListItem,0),0,1,1)="Taxable",SUMPRODUCT((PayEmp=$C97)*(PayDate&lt;=$AC97)*(PayEarnCode=Q$2)*(PayEarnTax)*(PayEarnValues)),SUMPRODUCT((PayEmp=$C97)*(PayDate&lt;=$AC97)*(PayEarnCode=Q$2)*(PayEarnValues)))*IF(COUNTIFS(EmpNo,$C97,OFFSET(Emp!$R$4,1,MATCH(Q$5,DedListItem,0)-1,EmpCount,1),"&lt;&gt;")&gt;0,VLOOKUP($C97,EmpAll,COLUMN(Emp!$R$4)+MATCH(Q$5,DedListItem,0)-1,0),OFFSET(Setup!$E$73,MATCH(Q$5,DedListItem,0),0,1,1)),(MIN(IF(OFFSET(Setup!$G$73,MATCH(Q$5,DedListItem,0),0,1,1)="Taxable",SUMPRODUCT((PayEmp=$C97)*(PayDate&lt;=$AC97)*(ISERROR(SEARCH(PayEarnCode,Q$4)))*(PayEarnTax)*(PayEarnValues)),SUMPRODUCT((PayEmp=$C97)*(PayDate&lt;=$AC97)*(ISERROR(SEARCH(PayEarnCode,Q$4)))*(PayEarnValues))),IF(ISNUMBER(Q$3),Q$3/12*$AA97,IgnoreMin)))*IF(COUNTIFS(EmpNo,$C97,OFFSET(Emp!$R$4,1,MATCH(Q$5,DedListItem,0)-1,EmpCount,1),"&lt;&gt;")&gt;0,VLOOKUP($C97,EmpAll,COLUMN(Emp!$R$4)+MATCH(Q$5,DedListItem,0)-1,0),OFFSET(Setup!$E$73,MATCH(Q$5,DedListItem,0),0,1,1)))-SUMIFS(OFFSET(Q$6,1,0,PayCount,1),PayDate,"&lt;"&amp;$AC97,PayEmp,$C97))))))</f>
        <v>0</v>
      </c>
      <c r="R97" s="185">
        <f t="shared" ca="1" si="37"/>
        <v>57038.953333333375</v>
      </c>
      <c r="S97" s="139">
        <f t="shared" ca="1" si="38"/>
        <v>92961.05</v>
      </c>
      <c r="T97" s="133" cm="1">
        <f t="array" aca="1" ref="T97" ca="1">IF($F97="Terminated",0,IF($AA97=0,0,IF(ISNA(MATCH(T$5,CompListItem,0)),0,IF(COUNTIFS(OverEmp,$C97,OverComp,T$5,OverDate,"&lt;"&amp;DATE(YEAR($AC97),MONTH($AC97)+1,1),OverEnd,"&gt;="&amp;DATE(YEAR($AC97),MONTH($AC97),1))&gt;0,SUMIFS(OverValue,OverEmp,$C97,OverComp,T$5,OverDate,"&lt;"&amp;DATE(YEAR($AC97),MONTH($AC97)+1,1),OverEnd,"&gt;="&amp;DATE(YEAR($AC97),MONTH($AC97),1)),IF(OR(T$2="Fixed",T$2="Not Used"),(OFFSET(Setup!$E$81,MATCH(T$5,CompListItem,0),0,1,1)*$AA97)-SUMIFS(OFFSET(T$6,1,0,PayCount,1),PayDate,"&lt;"&amp;$AC97,PayEmp,$C97),IF(ISNA(MATCH(T$2,DedListItem,0))=FALSE,(SUMPRODUCT((PayEmp=$C97)*(PayDate&lt;=$AC97)*(PayDedList=T$2)*(PayDedValues))*OFFSET(Setup!$E$81,MATCH(T$5,CompListItem,0),0,1,1))-SUMIFS(OFFSET(T$6,1,0,PayCount,1),PayDate,"&lt;"&amp;$AC97,PayEmp,$C97),(MIN(IF(OFFSET(Setup!$G$81,MATCH(T$5,CompListItem,0),0,1,1)="Taxable",SUMPRODUCT((PayEmp=$C97)*(PayDate&lt;=$AC97)*(ISERROR(SEARCH(PayEarnCode,T$4)))*(PayEarnTax)*(PayEarnValues)),SUMPRODUCT((PayEmp=$C97)*(PayDate&lt;=$AC97)*(ISERROR(SEARCH(PayEarnCode,T$4)))*(PayEarnValues))),IF(ISNUMBER(T$3),T$3/12*$AA97,IgnoreMin)))*OFFSET(Setup!$E$81,MATCH(T$5,CompListItem,0),0,1,1)-SUMIFS(OFFSET(T$6,1,0,PayCount,1),PayDate,"&lt;"&amp;$AC97,PayEmp,$C97)))))))</f>
        <v>177.11999999999989</v>
      </c>
      <c r="U97" s="133" cm="1">
        <f t="array" aca="1" ref="U97" ca="1">IF($F97="Terminated",0,IF($AA97=0,0,IF(ISNA(MATCH(U$5,CompListItem,0)),0,IF(COUNTIFS(OverEmp,$C97,OverComp,U$5,OverDate,"&lt;"&amp;DATE(YEAR($AC97),MONTH($AC97)+1,1),OverEnd,"&gt;="&amp;DATE(YEAR($AC97),MONTH($AC97),1))&gt;0,SUMIFS(OverValue,OverEmp,$C97,OverComp,U$5,OverDate,"&lt;"&amp;DATE(YEAR($AC97),MONTH($AC97)+1,1),OverEnd,"&gt;="&amp;DATE(YEAR($AC97),MONTH($AC97),1)),IF(OR(U$2="Fixed",U$2="Not Used"),(OFFSET(Setup!$E$81,MATCH(U$5,CompListItem,0),0,1,1)*$AA97)-SUMIFS(OFFSET(U$6,1,0,PayCount,1),PayDate,"&lt;"&amp;$AC97,PayEmp,$C97),IF(ISNA(MATCH(U$2,DedListItem,0))=FALSE,(SUMPRODUCT((PayEmp=$C97)*(PayDate&lt;=$AC97)*(PayDedList=U$2)*(PayDedValues))*OFFSET(Setup!$E$81,MATCH(U$5,CompListItem,0),0,1,1))-SUMIFS(OFFSET(U$6,1,0,PayCount,1),PayDate,"&lt;"&amp;$AC97,PayEmp,$C97),(MIN(IF(OFFSET(Setup!$G$81,MATCH(U$5,CompListItem,0),0,1,1)="Taxable",SUMPRODUCT((PayEmp=$C97)*(PayDate&lt;=$AC97)*(ISERROR(SEARCH(PayEarnCode,U$4)))*(PayEarnTax)*(PayEarnValues)),SUMPRODUCT((PayEmp=$C97)*(PayDate&lt;=$AC97)*(ISERROR(SEARCH(PayEarnCode,U$4)))*(PayEarnValues))),IF(ISNUMBER(U$3),U$3/12*$AA97,IgnoreMin)))*OFFSET(Setup!$E$81,MATCH(U$5,CompListItem,0),0,1,1)-SUMIFS(OFFSET(U$6,1,0,PayCount,1),PayDate,"&lt;"&amp;$AC97,PayEmp,$C97)))))))</f>
        <v>1500</v>
      </c>
      <c r="V97" s="133" cm="1">
        <f t="array" aca="1" ref="V97" ca="1">IF($F97="Terminated",0,IF($AA97=0,0,IF(ISNA(MATCH(V$5,CompListItem,0)),0,IF(COUNTIFS(OverEmp,$C97,OverComp,V$5,OverDate,"&lt;"&amp;DATE(YEAR($AC97),MONTH($AC97)+1,1),OverEnd,"&gt;="&amp;DATE(YEAR($AC97),MONTH($AC97),1))&gt;0,SUMIFS(OverValue,OverEmp,$C97,OverComp,V$5,OverDate,"&lt;"&amp;DATE(YEAR($AC97),MONTH($AC97)+1,1),OverEnd,"&gt;="&amp;DATE(YEAR($AC97),MONTH($AC97),1)),IF(OR(V$2="Fixed",V$2="Not Used"),(OFFSET(Setup!$E$81,MATCH(V$5,CompListItem,0),0,1,1)*$AA97)-SUMIFS(OFFSET(V$6,1,0,PayCount,1),PayDate,"&lt;"&amp;$AC97,PayEmp,$C97),IF(ISNA(MATCH(V$2,DedListItem,0))=FALSE,(SUMPRODUCT((PayEmp=$C97)*(PayDate&lt;=$AC97)*(PayDedList=V$2)*(PayDedValues))*OFFSET(Setup!$E$81,MATCH(V$5,CompListItem,0),0,1,1))-SUMIFS(OFFSET(V$6,1,0,PayCount,1),PayDate,"&lt;"&amp;$AC97,PayEmp,$C97),(MIN(IF(OFFSET(Setup!$G$81,MATCH(V$5,CompListItem,0),0,1,1)="Taxable",SUMPRODUCT((PayEmp=$C97)*(PayDate&lt;=$AC97)*(ISERROR(SEARCH(PayEarnCode,V$4)))*(PayEarnTax)*(PayEarnValues)),SUMPRODUCT((PayEmp=$C97)*(PayDate&lt;=$AC97)*(ISERROR(SEARCH(PayEarnCode,V$4)))*(PayEarnValues))),IF(ISNUMBER(V$3),V$3/12*$AA97,IgnoreMin)))*OFFSET(Setup!$E$81,MATCH(V$5,CompListItem,0),0,1,1)-SUMIFS(OFFSET(V$6,1,0,PayCount,1),PayDate,"&lt;"&amp;$AC97,PayEmp,$C97)))))))</f>
        <v>0</v>
      </c>
      <c r="W97" s="133" cm="1">
        <f t="array" aca="1" ref="W97" ca="1">IF($F97="Terminated",0,IF($AA97=0,0,IF(ISNA(MATCH(W$5,CompListItem,0)),0,IF(COUNTIFS(OverEmp,$C97,OverComp,W$5,OverDate,"&lt;"&amp;DATE(YEAR($AC97),MONTH($AC97)+1,1),OverEnd,"&gt;="&amp;DATE(YEAR($AC97),MONTH($AC97),1))&gt;0,SUMIFS(OverValue,OverEmp,$C97,OverComp,W$5,OverDate,"&lt;"&amp;DATE(YEAR($AC97),MONTH($AC97)+1,1),OverEnd,"&gt;="&amp;DATE(YEAR($AC97),MONTH($AC97),1)),IF(OR(W$2="Fixed",W$2="Not Used"),(OFFSET(Setup!$E$81,MATCH(W$5,CompListItem,0),0,1,1)*$AA97)-SUMIFS(OFFSET(W$6,1,0,PayCount,1),PayDate,"&lt;"&amp;$AC97,PayEmp,$C97),IF(ISNA(MATCH(W$2,DedListItem,0))=FALSE,(SUMPRODUCT((PayEmp=$C97)*(PayDate&lt;=$AC97)*(PayDedList=W$2)*(PayDedValues))*OFFSET(Setup!$E$81,MATCH(W$5,CompListItem,0),0,1,1))-SUMIFS(OFFSET(W$6,1,0,PayCount,1),PayDate,"&lt;"&amp;$AC97,PayEmp,$C97),(MIN(IF(OFFSET(Setup!$G$81,MATCH(W$5,CompListItem,0),0,1,1)="Taxable",SUMPRODUCT((PayEmp=$C97)*(PayDate&lt;=$AC97)*(ISERROR(SEARCH(PayEarnCode,W$4)))*(PayEarnTax)*(PayEarnValues)),SUMPRODUCT((PayEmp=$C97)*(PayDate&lt;=$AC97)*(ISERROR(SEARCH(PayEarnCode,W$4)))*(PayEarnValues))),IF(ISNUMBER(W$3),W$3/12*$AA97,IgnoreMin)))*OFFSET(Setup!$E$81,MATCH(W$5,CompListItem,0),0,1,1)-SUMIFS(OFFSET(W$6,1,0,PayCount,1),PayDate,"&lt;"&amp;$AC97,PayEmp,$C97)))))))</f>
        <v>0</v>
      </c>
      <c r="X97" s="185">
        <f t="shared" ca="1" si="30"/>
        <v>1677.12</v>
      </c>
      <c r="Y97" s="139">
        <f t="shared" ca="1" si="39"/>
        <v>151677.12</v>
      </c>
      <c r="Z97" s="139">
        <f t="shared" ca="1" si="31"/>
        <v>58716.07</v>
      </c>
      <c r="AA97" s="146">
        <f ca="1">IF(OR($B97&lt;=Setup!$E$12,$B97&gt;=Setup!$D$12+1),0,IF($F97&lt;&gt;"Active",0,IF($AE97="Yes",$AB97,((YEAR($AC97)*12)+MONTH($AC97))-((YEAR($AD97)*12)+MONTH($AD97)-1))))</f>
        <v>7</v>
      </c>
      <c r="AB97" s="146">
        <f ca="1">IF(OR($B97&lt;=Setup!$E$12,$B97&gt;=Setup!$D$12+1),0,((YEAR($AC97)*12)+MONTH($AC97))-((YEAR(Setup!$E$12)*12)+MONTH(Setup!$E$12)))</f>
        <v>7</v>
      </c>
      <c r="AC97" s="186">
        <f t="shared" ca="1" si="32"/>
        <v>45194</v>
      </c>
      <c r="AD97" s="144">
        <f ca="1">IF(ISNA(VLOOKUP($C97,EmpAll,COLUMN(Emp!$E$4),0)),$AC97,IF(VLOOKUP($C97,EmpAll,COLUMN(Emp!$E$4),0)&lt;=Setup!$E$12,DATE(YEAR(Setup!$E$12),MONTH(Setup!$E$12)+1,1),VLOOKUP($C97,EmpAll,COLUMN(Emp!$E$4),0)))</f>
        <v>44986</v>
      </c>
      <c r="AE97" s="144" t="str">
        <f ca="1">IF(ISNA(VLOOKUP($C97,EmpAll,COLUMN(Emp!$G$1),0)),"-",IF(VLOOKUP($C97,EmpAll,COLUMN(Emp!$G$1),0)=0,"-",VLOOKUP($C97,EmpAll,COLUMN(Emp!$G$1),0)))</f>
        <v>-</v>
      </c>
      <c r="AF97" s="145">
        <f ca="1">IF(A97=PaySlip!$G$3,1,0)</f>
        <v>0</v>
      </c>
      <c r="AG97" s="130" cm="1">
        <f t="array" aca="1" ref="AG97" ca="1">IF(COUNTIFS(OverEmp,$C97,OverMed,"MED",OverDate,"&lt;"&amp;DATE(YEAR($AC97),MONTH($AC97)+1,1),OverEnd,"&gt;="&amp;DATE(YEAR($AC97),MONTH($AC97),1))&gt;0,SUMIFS(OverValue,OverEmp,$C97,OverMed,"MED",OverDate,"&lt;"&amp;DATE(YEAR($AC97),MONTH($AC97)+1,1),OverEnd,"&gt;="&amp;DATE(YEAR($AC97),MONTH($AC97),1)),IF(ISNA(VLOOKUP($C97,EmpAll,COLUMN(Emp!$N$4),0)),0,VLOOKUP($C97,EmpAll,COLUMN(Emp!$N$4),0)))</f>
        <v>5</v>
      </c>
      <c r="AH97" s="146">
        <f ca="1">VLOOKUP($AG97,MedList,COLUMN(Setup!$C$49),1)</f>
        <v>1466</v>
      </c>
      <c r="AI97" s="146">
        <f t="shared" ca="1" si="40"/>
        <v>17592</v>
      </c>
      <c r="AJ97" s="101" t="str">
        <f ca="1">IF(ISNA(VLOOKUP($C97,EmpAll,COLUMN(Emp!$L$4),0)),"None!",VLOOKUP($C97,EmpAll,COLUMN(Emp!$L$4),0))</f>
        <v>A</v>
      </c>
      <c r="AK97" s="147">
        <f t="shared" ca="1" si="33"/>
        <v>17235</v>
      </c>
      <c r="AL97" s="101" t="str">
        <f ca="1">IF(ISNA(VLOOKUP($C97,Employees[],COLUMN(Emp!$M$4),0))=TRUE,"Error!",IF(VLOOKUP($C97,Employees[],COLUMN(Emp!$M$4),0)=0,"Yes",VLOOKUP($C97,Employees[],COLUMN(Emp!$M$4),0)))</f>
        <v>A</v>
      </c>
      <c r="AM97" s="148">
        <f t="shared" ca="1" si="41"/>
        <v>1800000</v>
      </c>
      <c r="AN97" s="148" cm="1">
        <f t="array" aca="1" ref="AN97" ca="1">-IF($F97="Terminated",0,IF($AA97=0,0,IF(ISNA(MATCH(AN$5,PayDedList,0)),0,MIN(IF(COUNTIFS(OverEmp,$C97,OverDeduct,AN$5,OverDate,"&lt;"&amp;DATE(YEAR($AC97),MONTH($AC97)+1,1),OverEnd,"&gt;="&amp;DATE(YEAR($AC97),MONTH($AC97),1))&gt;0,SUMPRODUCT((PayEmp=$C97)*(PayDate&lt;=$AC97)*(OFFSET($N$6,1,MATCH(AN$5,PayDedList,0)-1,PayCount,1)))/$AA97*12*AN$3,IF(OR(AN$1="Fixed",AN$1="Not Used"),SUMPRODUCT((PayEmp=$C97)*(PayDate&lt;=$AC97)*(OFFSET($N$6,1,MATCH(AN$5,PayDedList,0)-1,PayCount,1)))/$AA97*12*AN$3,IF(ISNA(MATCH(AN$1,EarnListItem,0))=FALSE,SUMPRODUCT((PayEmp=$C97)*(PayDate&lt;=$AC97)*(OFFSET($N$6,1,MATCH(AN$5,PayDedList,0)-1,PayCount,1)))/$AA97*12*AN$3,(MIN(((SUMPRODUCT((PayEmp=$C97)*(PayDate&lt;=$AC97)*(ISERROR(SEARCH(PayEarnCode,AN$2)))*(PayEarnType="Monthly")*(PayEarnValues))/$AA97*12)+(SUMPRODUCT((PayEmp=$C97)*(PayDate&lt;=$AC97)*(ISERROR(SEARCH(PayEarnCode,AN$2)))*(PayEarnType="Quarterly")*(PayEarnValues))/MAX(1,ROUNDDOWN($AB97/3,0))*4)+(SUMPRODUCT((PayEmp=$C97)*(PayDate&lt;=$AC97)*(ISERROR(SEARCH(PayEarnCode,AN$2)))*(PayEarnType="Bi-Annual")*(PayEarnValues))/MAX(1,ROUNDDOWN($AB97/6,0))*2)+(SUMPRODUCT((PayEmp=$C97)*(PayDate&lt;=$AC97)*(ISERROR(SEARCH(PayEarnCode,AN$2)))*(PayEarnType="Annual")*(PayEarnValues)))),IF(ISNUMBER(OFFSET($N$3,0,MATCH(AN$5,PayDedList,0)-1,1,1)),OFFSET($N$3,0,MATCH(AN$5,PayDedList,0)-1,1,1),IgnoreMin)))*IF(COUNTIFS(EmpNo,$C97,OFFSET(Emp!$R$4,1,MATCH(AN$5,DedListItem,0)-1,EmpCount,1),"&lt;&gt;")&gt;0,VLOOKUP($C97,EmpAll,COLUMN(Emp!$R$4)+MATCH(AN$5,DedListItem,0)-1,0),OFFSET(Setup!$E$73,MATCH(AN$5,DedListItem,0),0,1,1))*AN$3))),IF(ISNUMBER(AN$4),AN$4,IgnoreMin)))))</f>
        <v>0</v>
      </c>
      <c r="AO97" s="148" cm="1">
        <f t="array" aca="1" ref="AO97" ca="1">-IF($F97="Terminated",0,IF($AA97=0,0,IF(ISNA(MATCH(AO$5,PayDedList,0)),0,MIN(IF(COUNTIFS(OverEmp,$C97,OverDeduct,AO$5,OverDate,"&lt;"&amp;DATE(YEAR($AC97),MONTH($AC97)+1,1),OverEnd,"&gt;="&amp;DATE(YEAR($AC97),MONTH($AC97),1))&gt;0,SUMPRODUCT((PayEmp=$C97)*(PayDate&lt;=$AC97)*(OFFSET($N$6,1,MATCH(AO$5,PayDedList,0)-1,PayCount,1)))/$AA97*12*AO$3,IF(OR(AO$1="Fixed",AO$1="Not Used"),SUMPRODUCT((PayEmp=$C97)*(PayDate&lt;=$AC97)*(OFFSET($N$6,1,MATCH(AO$5,PayDedList,0)-1,PayCount,1)))/$AA97*12*AO$3,IF(ISNA(MATCH(AO$1,EarnListItem,0))=FALSE,SUMPRODUCT((PayEmp=$C97)*(PayDate&lt;=$AC97)*(OFFSET($N$6,1,MATCH(AO$5,PayDedList,0)-1,PayCount,1)))/$AA97*12*AO$3,(MIN(((SUMPRODUCT((PayEmp=$C97)*(PayDate&lt;=$AC97)*(ISERROR(SEARCH(PayEarnCode,AO$2)))*(PayEarnType="Monthly")*(PayEarnValues))/$AA97*12)+(SUMPRODUCT((PayEmp=$C97)*(PayDate&lt;=$AC97)*(ISERROR(SEARCH(PayEarnCode,AO$2)))*(PayEarnType="Quarterly")*(PayEarnValues))/MAX(1,ROUNDDOWN($AB97/3,0))*4)+(SUMPRODUCT((PayEmp=$C97)*(PayDate&lt;=$AC97)*(ISERROR(SEARCH(PayEarnCode,AO$2)))*(PayEarnType="Bi-Annual")*(PayEarnValues))/MAX(1,ROUNDDOWN($AB97/6,0))*2)+(SUMPRODUCT((PayEmp=$C97)*(PayDate&lt;=$AC97)*(ISERROR(SEARCH(PayEarnCode,AO$2)))*(PayEarnType="Annual")*(PayEarnValues)))),IF(ISNUMBER(OFFSET($N$3,0,MATCH(AO$5,PayDedList,0)-1,1,1)),OFFSET($N$3,0,MATCH(AO$5,PayDedList,0)-1,1,1),IgnoreMin)))*IF(COUNTIFS(EmpNo,$C97,OFFSET(Emp!$R$4,1,MATCH(AO$5,DedListItem,0)-1,EmpCount,1),"&lt;&gt;")&gt;0,VLOOKUP($C97,EmpAll,COLUMN(Emp!$R$4)+MATCH(AO$5,DedListItem,0)-1,0),OFFSET(Setup!$E$73,MATCH(AO$5,DedListItem,0),0,1,1))*AO$3))),IF(ISNUMBER(AO$4),AO$4,IgnoreMin)))))</f>
        <v>-135000</v>
      </c>
      <c r="AP97" s="148" cm="1">
        <f t="array" aca="1" ref="AP97" ca="1">-IF($F97="Terminated",0,IF($AA97=0,0,IF(ISNA(MATCH(AP$5,PayDedList,0)),0,MIN(IF(COUNTIFS(OverEmp,$C97,OverDeduct,AP$5,OverDate,"&lt;"&amp;DATE(YEAR($AC97),MONTH($AC97)+1,1),OverEnd,"&gt;="&amp;DATE(YEAR($AC97),MONTH($AC97),1))&gt;0,SUMPRODUCT((PayEmp=$C97)*(PayDate&lt;=$AC97)*(OFFSET($N$6,1,MATCH(AP$5,PayDedList,0)-1,PayCount,1)))/$AA97*12*AP$3,IF(OR(AP$1="Fixed",AP$1="Not Used"),SUMPRODUCT((PayEmp=$C97)*(PayDate&lt;=$AC97)*(OFFSET($N$6,1,MATCH(AP$5,PayDedList,0)-1,PayCount,1)))/$AA97*12*AP$3,IF(ISNA(MATCH(AP$1,EarnListItem,0))=FALSE,SUMPRODUCT((PayEmp=$C97)*(PayDate&lt;=$AC97)*(OFFSET($N$6,1,MATCH(AP$5,PayDedList,0)-1,PayCount,1)))/$AA97*12*AP$3,(MIN(((SUMPRODUCT((PayEmp=$C97)*(PayDate&lt;=$AC97)*(ISERROR(SEARCH(PayEarnCode,AP$2)))*(PayEarnType="Monthly")*(PayEarnValues))/$AA97*12)+(SUMPRODUCT((PayEmp=$C97)*(PayDate&lt;=$AC97)*(ISERROR(SEARCH(PayEarnCode,AP$2)))*(PayEarnType="Quarterly")*(PayEarnValues))/MAX(1,ROUNDDOWN($AB97/3,0))*4)+(SUMPRODUCT((PayEmp=$C97)*(PayDate&lt;=$AC97)*(ISERROR(SEARCH(PayEarnCode,AP$2)))*(PayEarnType="Bi-Annual")*(PayEarnValues))/MAX(1,ROUNDDOWN($AB97/6,0))*2)+(SUMPRODUCT((PayEmp=$C97)*(PayDate&lt;=$AC97)*(ISERROR(SEARCH(PayEarnCode,AP$2)))*(PayEarnType="Annual")*(PayEarnValues)))),IF(ISNUMBER(OFFSET($N$3,0,MATCH(AP$5,PayDedList,0)-1,1,1)),OFFSET($N$3,0,MATCH(AP$5,PayDedList,0)-1,1,1),IgnoreMin)))*IF(COUNTIFS(EmpNo,$C97,OFFSET(Emp!$R$4,1,MATCH(AP$5,DedListItem,0)-1,EmpCount,1),"&lt;&gt;")&gt;0,VLOOKUP($C97,EmpAll,COLUMN(Emp!$R$4)+MATCH(AP$5,DedListItem,0)-1,0),OFFSET(Setup!$E$73,MATCH(AP$5,DedListItem,0),0,1,1))*AP$3))),IF(ISNUMBER(AP$4),AP$4,IgnoreMin)))))</f>
        <v>0</v>
      </c>
      <c r="AQ97" s="148" cm="1">
        <f t="array" aca="1" ref="AQ97" ca="1">-IF($F97="Terminated",0,IF($AA97=0,0,IF(ISNA(MATCH(AQ$5,PayDedList,0)),0,MIN(IF(COUNTIFS(OverEmp,$C97,OverDeduct,AQ$5,OverDate,"&lt;"&amp;DATE(YEAR($AC97),MONTH($AC97)+1,1),OverEnd,"&gt;="&amp;DATE(YEAR($AC97),MONTH($AC97),1))&gt;0,SUMPRODUCT((PayEmp=$C97)*(PayDate&lt;=$AC97)*(OFFSET($N$6,1,MATCH(AQ$5,PayDedList,0)-1,PayCount,1)))/$AA97*12*AQ$3,IF(OR(AQ$1="Fixed",AQ$1="Not Used"),SUMPRODUCT((PayEmp=$C97)*(PayDate&lt;=$AC97)*(OFFSET($N$6,1,MATCH(AQ$5,PayDedList,0)-1,PayCount,1)))/$AA97*12*AQ$3,IF(ISNA(MATCH(AQ$1,EarnListItem,0))=FALSE,SUMPRODUCT((PayEmp=$C97)*(PayDate&lt;=$AC97)*(OFFSET($N$6,1,MATCH(AQ$5,PayDedList,0)-1,PayCount,1)))/$AA97*12*AQ$3,(MIN(((SUMPRODUCT((PayEmp=$C97)*(PayDate&lt;=$AC97)*(ISERROR(SEARCH(PayEarnCode,AQ$2)))*(PayEarnType="Monthly")*(PayEarnValues))/$AA97*12)+(SUMPRODUCT((PayEmp=$C97)*(PayDate&lt;=$AC97)*(ISERROR(SEARCH(PayEarnCode,AQ$2)))*(PayEarnType="Quarterly")*(PayEarnValues))/MAX(1,ROUNDDOWN($AB97/3,0))*4)+(SUMPRODUCT((PayEmp=$C97)*(PayDate&lt;=$AC97)*(ISERROR(SEARCH(PayEarnCode,AQ$2)))*(PayEarnType="Bi-Annual")*(PayEarnValues))/MAX(1,ROUNDDOWN($AB97/6,0))*2)+(SUMPRODUCT((PayEmp=$C97)*(PayDate&lt;=$AC97)*(ISERROR(SEARCH(PayEarnCode,AQ$2)))*(PayEarnType="Annual")*(PayEarnValues)))),IF(ISNUMBER(OFFSET($N$3,0,MATCH(AQ$5,PayDedList,0)-1,1,1)),OFFSET($N$3,0,MATCH(AQ$5,PayDedList,0)-1,1,1),IgnoreMin)))*IF(COUNTIFS(EmpNo,$C97,OFFSET(Emp!$R$4,1,MATCH(AQ$5,DedListItem,0)-1,EmpCount,1),"&lt;&gt;")&gt;0,VLOOKUP($C97,EmpAll,COLUMN(Emp!$R$4)+MATCH(AQ$5,DedListItem,0)-1,0),OFFSET(Setup!$E$73,MATCH(AQ$5,DedListItem,0),0,1,1))*AQ$3))),IF(ISNUMBER(AQ$4),AQ$4,IgnoreMin)))))</f>
        <v>0</v>
      </c>
      <c r="AR97" s="148">
        <f t="shared" ca="1" si="34"/>
        <v>1665000</v>
      </c>
      <c r="AS97" s="148">
        <f t="shared" ca="1" si="42"/>
        <v>1800000</v>
      </c>
      <c r="AT97" s="148" cm="1">
        <f t="array" aca="1" ref="AT97" ca="1">-IF($F97="Terminated",0,IF($AA97=0,0,IF(ISNA(MATCH(AT$5,PayDedList,0)),0,MIN(IF(COUNTIFS(OverEmp,$C97,OverDeduct,AT$5,OverDate,"&lt;"&amp;DATE(YEAR($AC97),MONTH($AC97)+1,1),OverEnd,"&gt;="&amp;DATE(YEAR($AC97),MONTH($AC97),1))&gt;0,SUMPRODUCT((PayEmp=$C97)*(PayDate&lt;=$AC97)*(OFFSET($N$6,1,MATCH(AT$5,PayDedList,0)-1,PayCount,1)))/$AA97*12*AT$3,IF(OR(AT$1="Fixed",AT$1="Not Used"),SUMPRODUCT((PayEmp=$C97)*(PayDate&lt;=$AC97)*(OFFSET($N$6,1,MATCH(AT$5,PayDedList,0)-1,PayCount,1)))/$AA97*12*AT$3,IF(ISNA(MATCH(OFFSET($N$2,0,MATCH(AT$5,PayDedList,0)-1,1,1),EarnListItem,0))=FALSE,SUMPRODUCT((PayEmp=$C97)*(PayDate&lt;=$AC97)*(OFFSET($N$6,1,MATCH(AT$5,PayDedList,0)-1,PayCount,1)))/$AA97*12*AT$3,(MIN(SUMPRODUCT((PayEmp=$C97)*(PayDate&lt;=$AC97)*(ISERROR(SEARCH(PayEarnCode,AT$2)))*(PayEarnType="Monthly")*(PayEarnValues))/$AA97*12,IF(ISNUMBER(OFFSET($N$3,0,MATCH(AT$5,PayDedList,0)-1,1,1)),OFFSET($N$3,0,MATCH(AT$5,PayDedList,0)-1,1,1),IgnoreMin)))*IF(COUNTIFS(EmpNo,$C97,OFFSET(Emp!$R$4,1,MATCH(AT$5,DedListItem,0)-1,EmpCount,1),"&lt;&gt;")&gt;0,VLOOKUP($C97,EmpAll,COLUMN(Emp!$R$4)+MATCH(AT$5,DedListItem,0)-1,0),OFFSET(Setup!$E$73,MATCH(AT$5,DedListItem,0),0,1,1))*AT$3))),IF(ISNUMBER(AT$4),AT$4,IgnoreMin)))))</f>
        <v>0</v>
      </c>
      <c r="AU97" s="148" cm="1">
        <f t="array" aca="1" ref="AU97" ca="1">-IF($F97="Terminated",0,IF($AA97=0,0,IF(ISNA(MATCH(AU$5,PayDedList,0)),0,MIN(IF(COUNTIFS(OverEmp,$C97,OverDeduct,AU$5,OverDate,"&lt;"&amp;DATE(YEAR($AC97),MONTH($AC97)+1,1),OverEnd,"&gt;="&amp;DATE(YEAR($AC97),MONTH($AC97),1))&gt;0,SUMPRODUCT((PayEmp=$C97)*(PayDate&lt;=$AC97)*(OFFSET($N$6,1,MATCH(AU$5,PayDedList,0)-1,PayCount,1)))/$AA97*12*AU$3,IF(OR(AU$1="Fixed",AU$1="Not Used"),SUMPRODUCT((PayEmp=$C97)*(PayDate&lt;=$AC97)*(OFFSET($N$6,1,MATCH(AU$5,PayDedList,0)-1,PayCount,1)))/$AA97*12*AU$3,IF(ISNA(MATCH(OFFSET($N$2,0,MATCH(AU$5,PayDedList,0)-1,1,1),EarnListItem,0))=FALSE,SUMPRODUCT((PayEmp=$C97)*(PayDate&lt;=$AC97)*(OFFSET($N$6,1,MATCH(AU$5,PayDedList,0)-1,PayCount,1)))/$AA97*12*AU$3,(MIN(SUMPRODUCT((PayEmp=$C97)*(PayDate&lt;=$AC97)*(ISERROR(SEARCH(PayEarnCode,AU$2)))*(PayEarnType="Monthly")*(PayEarnValues))/$AA97*12,IF(ISNUMBER(OFFSET($N$3,0,MATCH(AU$5,PayDedList,0)-1,1,1)),OFFSET($N$3,0,MATCH(AU$5,PayDedList,0)-1,1,1),IgnoreMin)))*IF(COUNTIFS(EmpNo,$C97,OFFSET(Emp!$R$4,1,MATCH(AU$5,DedListItem,0)-1,EmpCount,1),"&lt;&gt;")&gt;0,VLOOKUP($C97,EmpAll,COLUMN(Emp!$R$4)+MATCH(AU$5,DedListItem,0)-1,0),OFFSET(Setup!$E$73,MATCH(AU$5,DedListItem,0),0,1,1))*AU$3))),IF(ISNUMBER(AU$4),AU$4,IgnoreMin)))))</f>
        <v>-135000</v>
      </c>
      <c r="AV97" s="148" cm="1">
        <f t="array" aca="1" ref="AV97" ca="1">-IF($F97="Terminated",0,IF($AA97=0,0,IF(ISNA(MATCH(AV$5,PayDedList,0)),0,MIN(IF(COUNTIFS(OverEmp,$C97,OverDeduct,AV$5,OverDate,"&lt;"&amp;DATE(YEAR($AC97),MONTH($AC97)+1,1),OverEnd,"&gt;="&amp;DATE(YEAR($AC97),MONTH($AC97),1))&gt;0,SUMPRODUCT((PayEmp=$C97)*(PayDate&lt;=$AC97)*(OFFSET($N$6,1,MATCH(AV$5,PayDedList,0)-1,PayCount,1)))/$AA97*12*AV$3,IF(OR(AV$1="Fixed",AV$1="Not Used"),SUMPRODUCT((PayEmp=$C97)*(PayDate&lt;=$AC97)*(OFFSET($N$6,1,MATCH(AV$5,PayDedList,0)-1,PayCount,1)))/$AA97*12*AV$3,IF(ISNA(MATCH(OFFSET($N$2,0,MATCH(AV$5,PayDedList,0)-1,1,1),EarnListItem,0))=FALSE,SUMPRODUCT((PayEmp=$C97)*(PayDate&lt;=$AC97)*(OFFSET($N$6,1,MATCH(AV$5,PayDedList,0)-1,PayCount,1)))/$AA97*12*AV$3,(MIN(SUMPRODUCT((PayEmp=$C97)*(PayDate&lt;=$AC97)*(ISERROR(SEARCH(PayEarnCode,AV$2)))*(PayEarnType="Monthly")*(PayEarnValues))/$AA97*12,IF(ISNUMBER(OFFSET($N$3,0,MATCH(AV$5,PayDedList,0)-1,1,1)),OFFSET($N$3,0,MATCH(AV$5,PayDedList,0)-1,1,1),IgnoreMin)))*IF(COUNTIFS(EmpNo,$C97,OFFSET(Emp!$R$4,1,MATCH(AV$5,DedListItem,0)-1,EmpCount,1),"&lt;&gt;")&gt;0,VLOOKUP($C97,EmpAll,COLUMN(Emp!$R$4)+MATCH(AV$5,DedListItem,0)-1,0),OFFSET(Setup!$E$73,MATCH(AV$5,DedListItem,0),0,1,1))*AV$3))),IF(ISNUMBER(AV$4),AV$4,IgnoreMin)))))</f>
        <v>0</v>
      </c>
      <c r="AW97" s="148" cm="1">
        <f t="array" aca="1" ref="AW97" ca="1">-IF($F97="Terminated",0,IF($AA97=0,0,IF(ISNA(MATCH(AW$5,PayDedList,0)),0,MIN(IF(COUNTIFS(OverEmp,$C97,OverDeduct,AW$5,OverDate,"&lt;"&amp;DATE(YEAR($AC97),MONTH($AC97)+1,1),OverEnd,"&gt;="&amp;DATE(YEAR($AC97),MONTH($AC97),1))&gt;0,SUMPRODUCT((PayEmp=$C97)*(PayDate&lt;=$AC97)*(OFFSET($N$6,1,MATCH(AW$5,PayDedList,0)-1,PayCount,1)))/$AA97*12*AW$3,IF(OR(AW$1="Fixed",AW$1="Not Used"),SUMPRODUCT((PayEmp=$C97)*(PayDate&lt;=$AC97)*(OFFSET($N$6,1,MATCH(AW$5,PayDedList,0)-1,PayCount,1)))/$AA97*12*AW$3,IF(ISNA(MATCH(OFFSET($N$2,0,MATCH(AW$5,PayDedList,0)-1,1,1),EarnListItem,0))=FALSE,SUMPRODUCT((PayEmp=$C97)*(PayDate&lt;=$AC97)*(OFFSET($N$6,1,MATCH(AW$5,PayDedList,0)-1,PayCount,1)))/$AA97*12*AW$3,(MIN(SUMPRODUCT((PayEmp=$C97)*(PayDate&lt;=$AC97)*(ISERROR(SEARCH(PayEarnCode,AW$2)))*(PayEarnType="Monthly")*(PayEarnValues))/$AA97*12,IF(ISNUMBER(OFFSET($N$3,0,MATCH(AW$5,PayDedList,0)-1,1,1)),OFFSET($N$3,0,MATCH(AW$5,PayDedList,0)-1,1,1),IgnoreMin)))*IF(COUNTIFS(EmpNo,$C97,OFFSET(Emp!$R$4,1,MATCH(AW$5,DedListItem,0)-1,EmpCount,1),"&lt;&gt;")&gt;0,VLOOKUP($C97,EmpAll,COLUMN(Emp!$R$4)+MATCH(AW$5,DedListItem,0)-1,0),OFFSET(Setup!$E$73,MATCH(AW$5,DedListItem,0),0,1,1))*AW$3))),IF(ISNUMBER(AW$4),AW$4,IgnoreMin)))))</f>
        <v>0</v>
      </c>
      <c r="AX97" s="148">
        <f t="shared" ca="1" si="43"/>
        <v>1665000</v>
      </c>
      <c r="AY97" s="148">
        <f t="shared" ca="1" si="44"/>
        <v>0</v>
      </c>
      <c r="AZ97" s="148">
        <f ca="1">IF(ISNUMBER($AL97),($AR97*$AL97)-$AI97-$AK97,MAX(0,IF($AL97="B",IF($AR97&lt;Setup!$C$32,($AR97*Setup!$D$32)-$AI97-$AK97,(($AR97-VLOOKUP($AR97,TaxAll2,1,1))*OFFSET(Setup!$D$32,MATCH($AR97,TaxBracket2,1),0,1,1))+OFFSET(Setup!$E$31,MATCH($AR97,TaxBracket2,1),0,1,1)-$AI97-$AK97),IF($AR97&lt;Setup!$C$21,($AR97*Setup!$D$21)-$AI97-$AK97,(($AR97-VLOOKUP($AR97,TaxAll1,1,1))*OFFSET(Setup!$D$21,MATCH($AR97,TaxBracket1,1),0,1,1))+OFFSET(Setup!$E$20,MATCH($AR97,TaxBracket1,1),0,1,1)-$AI97-$AK97))))</f>
        <v>547342</v>
      </c>
      <c r="BA97" s="148">
        <f ca="1">IF(ISNUMBER($AL97),($AX97*$AL97)-$AI97-$AK97,MAX(0,IF($AL97="B",IF($AX97&lt;Setup!$C$32,($AX97*Setup!$D$32)-$AI97-$AK97,(($AX97-VLOOKUP($AX97,TaxAll2,1,1))*OFFSET(Setup!$D$32,MATCH($AX97,TaxBracket2,1),0,1,1))+OFFSET(Setup!$E$31,MATCH($AX97,TaxBracket2,1),0,1,1)-$AI97-$AK97),IF($AX97&lt;Setup!$C$21,($AX97*Setup!$D$21)-$AI97-$AK97,(($AX97-VLOOKUP($AX97,TaxAll1,1,1))*OFFSET(Setup!$D$21,MATCH($AX97,TaxBracket1,1),0,1,1))+OFFSET(Setup!$E$20,MATCH($AX97,TaxBracket1,1),0,1,1)-$AI97-$AK97))))</f>
        <v>547342</v>
      </c>
      <c r="BB97" s="148">
        <f t="shared" ca="1" si="35"/>
        <v>0</v>
      </c>
      <c r="BC97" s="150">
        <f t="shared" ca="1" si="45"/>
        <v>1</v>
      </c>
      <c r="BD97" s="150">
        <f t="shared" ca="1" si="46"/>
        <v>0</v>
      </c>
      <c r="BE97" s="148">
        <f t="shared" ca="1" si="47"/>
        <v>1800000</v>
      </c>
    </row>
    <row r="98" spans="1:57" ht="16.149999999999999" customHeight="1" x14ac:dyDescent="0.25">
      <c r="A98" s="10" t="str" cm="1">
        <f t="array" aca="1" ref="A98" ca="1">IF(ROW($A98)-ROW($A$6)&gt;EmpCount*12,"-",TEXT($B98,"yyyy")&amp;TEXT($B98,"mm")&amp;"-"&amp;$C98)</f>
        <v>202309-EXS002</v>
      </c>
      <c r="B98" s="137" cm="1">
        <f t="array" aca="1" ref="B98" ca="1">IF(ROW($A98)-ROW($A$6)&gt;EmpCount*12,Setup!$D$12,DATE(YEAR(Setup!$F$12),MONTH(Setup!$F$12)+ROUNDDOWN((ROW($A98)-ROW($A$6)-1)/EmpCount,0),IF(Setup!$C$14&gt;DAY(DATE(YEAR(Setup!$F$12),MONTH(Setup!$F$12)+ROUNDDOWN((ROW($A98)-ROW($A$6)-1)/EmpCount,0)+1,0)),DAY(DATE(YEAR(Setup!$F$12),MONTH(Setup!$F$12)+ROUNDDOWN((ROW($A98)-ROW($A$6)-1)/EmpCount,0)+1,0)),Setup!$C$14)))</f>
        <v>45194</v>
      </c>
      <c r="C98" s="101" t="str" cm="1">
        <f t="array" aca="1" ref="C98" ca="1">IF(ROW($A98)-ROW($A$6)&gt;EmpCount*12,"-",OFFSET(Emp!$A$4,ROW($A98)-ROW($A$6)-IF(ROW($A98)-ROW($A$6)&gt;EmpCount,ROUNDDOWN((ROW($A98)-ROW($A$6)-1)/EmpCount,0)*EmpCount,0),0,1,1))</f>
        <v>EXS002</v>
      </c>
      <c r="D98" s="10" t="str">
        <f ca="1">IF(ISNA(VLOOKUP($C98,EmpAll,COLUMN(Emp!$B$4),0)),"-",VLOOKUP($C98,EmpAll,COLUMN(Emp!$B$4),0))</f>
        <v>Smith F</v>
      </c>
      <c r="E98" s="145" t="str">
        <f ca="1">IF(ISNA(VLOOKUP($C98,EmpAll,COLUMN(Emp!$C$4),0)),"-",VLOOKUP($C98,EmpAll,COLUMN(Emp!$C$4),0))</f>
        <v>M</v>
      </c>
      <c r="F98" s="101" t="str">
        <f ca="1">IF(ISNA(VLOOKUP($C98,EmpAll,COLUMN(Emp!$A$4),0)),"-",IF(AND(VLOOKUP($C98,EmpAll,COLUMN(Emp!$E$4),0)&lt;&gt;0,VLOOKUP($C98,EmpAll,COLUMN(Emp!$E$4),0)&gt;=DATE(YEAR($AC98),MONTH($AC98)+1,0)),"Inactive",IF(AND(VLOOKUP($C98,EmpAll,COLUMN(Emp!$F$4),0)&lt;&gt;0,VLOOKUP($C98,EmpAll,COLUMN(Emp!$F$4),0)&lt;=DATE(YEAR($AC98),MONTH($AC98),0)),"Terminated","Active")))</f>
        <v>Active</v>
      </c>
      <c r="G98" s="133" cm="1">
        <f t="array" aca="1" ref="G98" ca="1">IF($F98&lt;&gt;"Active",0,IF(COUNTIFS(OverEmp,$C98,OverEarn,G$2,OverDate,"&lt;"&amp;DATE(YEAR($AC98),MONTH($AC98)+1,1),OverEnd,"&gt;="&amp;DATE(YEAR($AC98),MONTH($AC98),1))&gt;0,SUMIFS(OverValue,OverEmp,$C98,OverEarn,G$2,OverDate,"&lt;"&amp;DATE(YEAR($AC98),MONTH($AC98)+1,1),OverEnd,"&gt;="&amp;DATE(YEAR($AC98),MONTH($AC98),1)),IF(AND($AC98&gt;=Setup!$E$10,SUMIFS(EmpIncrease,EmpCode,$C98)&gt;0),SUMIFS(EmpIncrease,EmpCode,$C98),SUMIFS(EmpSalary,EmpCode,$C98))))</f>
        <v>120000</v>
      </c>
      <c r="H98" s="133" cm="1">
        <f t="array" aca="1" ref="H98" ca="1">IF($F98&lt;&gt;"Active",0,IF(COUNTIFS(OverEmp,$C98,OverEarn,H$2,OverDate,"&lt;"&amp;DATE(YEAR($AC98),MONTH($AC98)+1,1),OverEnd,"&gt;="&amp;DATE(YEAR($AC98),MONTH($AC98),1))&gt;0,SUMIFS(OverValue,OverEmp,$C98,OverEarn,H$2,OverDate,"&lt;"&amp;DATE(YEAR($AC98),MONTH($AC98)+1,1),OverEnd,"&gt;="&amp;DATE(YEAR($AC98),MONTH($AC98),1)),0))</f>
        <v>0</v>
      </c>
      <c r="I98" s="133" cm="1">
        <f t="array" aca="1" ref="I98" ca="1">IF($F98&lt;&gt;"Active",0,IF(COUNTIFS(OverEmp,$C98,OverEarn,I$2,OverDate,"&lt;"&amp;DATE(YEAR($AC98),MONTH($AC98)+1,1),OverEnd,"&gt;="&amp;DATE(YEAR($AC98),MONTH($AC98),1))&gt;0,SUMIFS(OverValue,OverEmp,$C98,OverEarn,I$2,OverDate,"&lt;"&amp;DATE(YEAR($AC98),MONTH($AC98)+1,1),OverEnd,"&gt;="&amp;DATE(YEAR($AC98),MONTH($AC98),1)),IF(MONTH(B98)=Setup!$C$15,SUMIFS(EmpBonus,EmpCode,$C98),0)))</f>
        <v>0</v>
      </c>
      <c r="J98" s="133" cm="1">
        <f t="array" aca="1" ref="J98" ca="1">IF($F98&lt;&gt;"Active",0,IF(COUNTIFS(OverEmp,$C98,OverEarn,J$2,OverDate,"&lt;"&amp;DATE(YEAR($AC98),MONTH($AC98)+1,1),OverEnd,"&gt;="&amp;DATE(YEAR($AC98),MONTH($AC98),1))&gt;0,SUMIFS(OverValue,OverEmp,$C98,OverEarn,J$2,OverDate,"&lt;"&amp;DATE(YEAR($AC98),MONTH($AC98)+1,1),OverEnd,"&gt;="&amp;DATE(YEAR($AC98),MONTH($AC98),1)),0))</f>
        <v>0</v>
      </c>
      <c r="K98" s="133" cm="1">
        <f t="array" aca="1" ref="K98" ca="1">IF($F98&lt;&gt;"Active",0,IF(COUNTIFS(OverEmp,$C98,OverEarn,K$2,OverDate,"&lt;"&amp;DATE(YEAR($AC98),MONTH($AC98)+1,1),OverEnd,"&gt;="&amp;DATE(YEAR($AC98),MONTH($AC98),1))&gt;0,SUMIFS(OverValue,OverEmp,$C98,OverEarn,K$2,OverDate,"&lt;"&amp;DATE(YEAR($AC98),MONTH($AC98)+1,1),OverEnd,"&gt;="&amp;DATE(YEAR($AC98),MONTH($AC98),1)),0))</f>
        <v>0</v>
      </c>
      <c r="L98" s="185">
        <f t="shared" ca="1" si="36"/>
        <v>120000</v>
      </c>
      <c r="M98" s="182" cm="1">
        <f t="array" aca="1" ref="M98" ca="1">IF(COUNTIFS(OverEmp,$C98,OverTax,M$5,OverDate,"&lt;"&amp;DATE(YEAR($AC98),MONTH($AC98)+1,1),OverEnd,"&gt;="&amp;DATE(YEAR($AC98),MONTH($AC98),1))&gt;0,SUMIFS(OverValue,OverEmp,$C98,OverTax,M$5,OverDate,"&lt;"&amp;DATE(YEAR($AC98),MONTH($AC98)+1,1),OverEnd,"&gt;="&amp;DATE(YEAR($AC98),MONTH($AC98),1)),(($BA98/12*$AA98)+(BB98*IF(1-$BC98=0,0,BD98/(1-$BC98))))-IF($F98="Terminated",0,SUMIFS(PayTaxDeduct,PayDate,"&lt;"&amp;$AC98,PayEmp,$C98)))</f>
        <v>38498.333333333372</v>
      </c>
      <c r="N98" s="133" cm="1">
        <f t="array" aca="1" ref="N98" ca="1">IF($F98="Terminated",0,IF($AA98=0,0,IF(ISNA(MATCH(N$5,DedListItem,0)),0,IF(COUNTIFS(OverEmp,$C98,OverDeduct,N$5,OverDate,"&lt;"&amp;DATE(YEAR($AC98),MONTH($AC98)+1,1),OverEnd,"&gt;="&amp;DATE(YEAR($AC98),MONTH($AC98),1))&gt;0,SUMIFS(OverValue,OverEmp,$C98,OverDeduct,N$5,OverDate,"&lt;"&amp;DATE(YEAR($AC98),MONTH($AC98)+1,1),OverEnd,"&gt;="&amp;DATE(YEAR($AC98),MONTH($AC98),1)),IF(OR(N$2="Fixed",N$2="Not Used"),(IF(COUNTIFS(EmpNo,$C98,OFFSET(Emp!$R$4,1,MATCH(N$5,DedListItem,0)-1,EmpCount,1),"&lt;&gt;")&gt;0,VLOOKUP($C98,EmpAll,COLUMN(Emp!$R$4)+MATCH(N$5,DedListItem,0)-1,0),OFFSET(Setup!$E$73,MATCH(N$5,DedListItem,0),0,1,1))*$AA98)-SUMIFS(OFFSET(N$6,1,0,PayCount,1),PayDate,"&lt;"&amp;$AC98,PayEmp,$C98),IF(ISNA(MATCH(N$2,EarnListItem,0))=FALSE,IF(OFFSET(Setup!$G$73,MATCH(N$5,DedListItem,0),0,1,1)="Taxable",SUMPRODUCT((PayEmp=$C98)*(PayDate&lt;=$AC98)*(PayEarnCode=N$2)*(PayEarnTax)*(PayEarnValues)),SUMPRODUCT((PayEmp=$C98)*(PayDate&lt;=$AC98)*(PayEarnCode=N$2)*(PayEarnValues)))*IF(COUNTIFS(EmpNo,$C98,OFFSET(Emp!$R$4,1,MATCH(N$5,DedListItem,0)-1,EmpCount,1),"&lt;&gt;")&gt;0,VLOOKUP($C98,EmpAll,COLUMN(Emp!$R$4)+MATCH(N$5,DedListItem,0)-1,0),OFFSET(Setup!$E$73,MATCH(N$5,DedListItem,0),0,1,1)),(MIN(IF(OFFSET(Setup!$G$73,MATCH(N$5,DedListItem,0),0,1,1)="Taxable",SUMPRODUCT((PayEmp=$C98)*(PayDate&lt;=$AC98)*(ISERROR(SEARCH(PayEarnCode,N$4)))*(PayEarnTax)*(PayEarnValues)),SUMPRODUCT((PayEmp=$C98)*(PayDate&lt;=$AC98)*(ISERROR(SEARCH(PayEarnCode,N$4)))*(PayEarnValues))),IF(ISNUMBER(N$3),N$3/12*$AA98,IgnoreMin)))*IF(COUNTIFS(EmpNo,$C98,OFFSET(Emp!$R$4,1,MATCH(N$5,DedListItem,0)-1,EmpCount,1),"&lt;&gt;")&gt;0,VLOOKUP($C98,EmpAll,COLUMN(Emp!$R$4)+MATCH(N$5,DedListItem,0)-1,0),OFFSET(Setup!$E$73,MATCH(N$5,DedListItem,0),0,1,1)))-SUMIFS(OFFSET(N$6,1,0,PayCount,1),PayDate,"&lt;"&amp;$AC98,PayEmp,$C98))))))</f>
        <v>177.11999999999989</v>
      </c>
      <c r="O98" s="133" cm="1">
        <f t="array" aca="1" ref="O98" ca="1">IF($F98="Terminated",0,IF($AA98=0,0,IF(ISNA(MATCH(O$5,DedListItem,0)),0,IF(COUNTIFS(OverEmp,$C98,OverDeduct,O$5,OverDate,"&lt;"&amp;DATE(YEAR($AC98),MONTH($AC98)+1,1),OverEnd,"&gt;="&amp;DATE(YEAR($AC98),MONTH($AC98),1))&gt;0,SUMIFS(OverValue,OverEmp,$C98,OverDeduct,O$5,OverDate,"&lt;"&amp;DATE(YEAR($AC98),MONTH($AC98)+1,1),OverEnd,"&gt;="&amp;DATE(YEAR($AC98),MONTH($AC98),1)),IF(OR(O$2="Fixed",O$2="Not Used"),(IF(COUNTIFS(EmpNo,$C98,OFFSET(Emp!$R$4,1,MATCH(O$5,DedListItem,0)-1,EmpCount,1),"&lt;&gt;")&gt;0,VLOOKUP($C98,EmpAll,COLUMN(Emp!$R$4)+MATCH(O$5,DedListItem,0)-1,0),OFFSET(Setup!$E$73,MATCH(O$5,DedListItem,0),0,1,1))*$AA98)-SUMIFS(OFFSET(O$6,1,0,PayCount,1),PayDate,"&lt;"&amp;$AC98,PayEmp,$C98),IF(ISNA(MATCH(O$2,EarnListItem,0))=FALSE,IF(OFFSET(Setup!$G$73,MATCH(O$5,DedListItem,0),0,1,1)="Taxable",SUMPRODUCT((PayEmp=$C98)*(PayDate&lt;=$AC98)*(PayEarnCode=O$2)*(PayEarnTax)*(PayEarnValues)),SUMPRODUCT((PayEmp=$C98)*(PayDate&lt;=$AC98)*(PayEarnCode=O$2)*(PayEarnValues)))*IF(COUNTIFS(EmpNo,$C98,OFFSET(Emp!$R$4,1,MATCH(O$5,DedListItem,0)-1,EmpCount,1),"&lt;&gt;")&gt;0,VLOOKUP($C98,EmpAll,COLUMN(Emp!$R$4)+MATCH(O$5,DedListItem,0)-1,0),OFFSET(Setup!$E$73,MATCH(O$5,DedListItem,0),0,1,1)),(MIN(IF(OFFSET(Setup!$G$73,MATCH(O$5,DedListItem,0),0,1,1)="Taxable",SUMPRODUCT((PayEmp=$C98)*(PayDate&lt;=$AC98)*(ISERROR(SEARCH(PayEarnCode,O$4)))*(PayEarnTax)*(PayEarnValues)),SUMPRODUCT((PayEmp=$C98)*(PayDate&lt;=$AC98)*(ISERROR(SEARCH(PayEarnCode,O$4)))*(PayEarnValues))),IF(ISNUMBER(O$3),O$3/12*$AA98,IgnoreMin)))*IF(COUNTIFS(EmpNo,$C98,OFFSET(Emp!$R$4,1,MATCH(O$5,DedListItem,0)-1,EmpCount,1),"&lt;&gt;")&gt;0,VLOOKUP($C98,EmpAll,COLUMN(Emp!$R$4)+MATCH(O$5,DedListItem,0)-1,0),OFFSET(Setup!$E$73,MATCH(O$5,DedListItem,0),0,1,1)))-SUMIFS(OFFSET(O$6,1,0,PayCount,1),PayDate,"&lt;"&amp;$AC98,PayEmp,$C98))))))</f>
        <v>0</v>
      </c>
      <c r="P98" s="133" cm="1">
        <f t="array" aca="1" ref="P98" ca="1">IF($F98="Terminated",0,IF($AA98=0,0,IF(ISNA(MATCH(P$5,DedListItem,0)),0,IF(COUNTIFS(OverEmp,$C98,OverDeduct,P$5,OverDate,"&lt;"&amp;DATE(YEAR($AC98),MONTH($AC98)+1,1),OverEnd,"&gt;="&amp;DATE(YEAR($AC98),MONTH($AC98),1))&gt;0,SUMIFS(OverValue,OverEmp,$C98,OverDeduct,P$5,OverDate,"&lt;"&amp;DATE(YEAR($AC98),MONTH($AC98)+1,1),OverEnd,"&gt;="&amp;DATE(YEAR($AC98),MONTH($AC98),1)),IF(OR(P$2="Fixed",P$2="Not Used"),(IF(COUNTIFS(EmpNo,$C98,OFFSET(Emp!$R$4,1,MATCH(P$5,DedListItem,0)-1,EmpCount,1),"&lt;&gt;")&gt;0,VLOOKUP($C98,EmpAll,COLUMN(Emp!$R$4)+MATCH(P$5,DedListItem,0)-1,0),OFFSET(Setup!$E$73,MATCH(P$5,DedListItem,0),0,1,1))*$AA98)-SUMIFS(OFFSET(P$6,1,0,PayCount,1),PayDate,"&lt;"&amp;$AC98,PayEmp,$C98),IF(ISNA(MATCH(P$2,EarnListItem,0))=FALSE,IF(OFFSET(Setup!$G$73,MATCH(P$5,DedListItem,0),0,1,1)="Taxable",SUMPRODUCT((PayEmp=$C98)*(PayDate&lt;=$AC98)*(PayEarnCode=P$2)*(PayEarnTax)*(PayEarnValues)),SUMPRODUCT((PayEmp=$C98)*(PayDate&lt;=$AC98)*(PayEarnCode=P$2)*(PayEarnValues)))*IF(COUNTIFS(EmpNo,$C98,OFFSET(Emp!$R$4,1,MATCH(P$5,DedListItem,0)-1,EmpCount,1),"&lt;&gt;")&gt;0,VLOOKUP($C98,EmpAll,COLUMN(Emp!$R$4)+MATCH(P$5,DedListItem,0)-1,0),OFFSET(Setup!$E$73,MATCH(P$5,DedListItem,0),0,1,1)),(MIN(IF(OFFSET(Setup!$G$73,MATCH(P$5,DedListItem,0),0,1,1)="Taxable",SUMPRODUCT((PayEmp=$C98)*(PayDate&lt;=$AC98)*(ISERROR(SEARCH(PayEarnCode,P$4)))*(PayEarnTax)*(PayEarnValues)),SUMPRODUCT((PayEmp=$C98)*(PayDate&lt;=$AC98)*(ISERROR(SEARCH(PayEarnCode,P$4)))*(PayEarnValues))),IF(ISNUMBER(P$3),P$3/12*$AA98,IgnoreMin)))*IF(COUNTIFS(EmpNo,$C98,OFFSET(Emp!$R$4,1,MATCH(P$5,DedListItem,0)-1,EmpCount,1),"&lt;&gt;")&gt;0,VLOOKUP($C98,EmpAll,COLUMN(Emp!$R$4)+MATCH(P$5,DedListItem,0)-1,0),OFFSET(Setup!$E$73,MATCH(P$5,DedListItem,0),0,1,1)))-SUMIFS(OFFSET(P$6,1,0,PayCount,1),PayDate,"&lt;"&amp;$AC98,PayEmp,$C98))))))</f>
        <v>0</v>
      </c>
      <c r="Q98" s="133" cm="1">
        <f t="array" aca="1" ref="Q98" ca="1">IF($F98="Terminated",0,IF($AA98=0,0,IF(ISNA(MATCH(Q$5,DedListItem,0)),0,IF(COUNTIFS(OverEmp,$C98,OverDeduct,Q$5,OverDate,"&lt;"&amp;DATE(YEAR($AC98),MONTH($AC98)+1,1),OverEnd,"&gt;="&amp;DATE(YEAR($AC98),MONTH($AC98),1))&gt;0,SUMIFS(OverValue,OverEmp,$C98,OverDeduct,Q$5,OverDate,"&lt;"&amp;DATE(YEAR($AC98),MONTH($AC98)+1,1),OverEnd,"&gt;="&amp;DATE(YEAR($AC98),MONTH($AC98),1)),IF(OR(Q$2="Fixed",Q$2="Not Used"),(IF(COUNTIFS(EmpNo,$C98,OFFSET(Emp!$R$4,1,MATCH(Q$5,DedListItem,0)-1,EmpCount,1),"&lt;&gt;")&gt;0,VLOOKUP($C98,EmpAll,COLUMN(Emp!$R$4)+MATCH(Q$5,DedListItem,0)-1,0),OFFSET(Setup!$E$73,MATCH(Q$5,DedListItem,0),0,1,1))*$AA98)-SUMIFS(OFFSET(Q$6,1,0,PayCount,1),PayDate,"&lt;"&amp;$AC98,PayEmp,$C98),IF(ISNA(MATCH(Q$2,EarnListItem,0))=FALSE,IF(OFFSET(Setup!$G$73,MATCH(Q$5,DedListItem,0),0,1,1)="Taxable",SUMPRODUCT((PayEmp=$C98)*(PayDate&lt;=$AC98)*(PayEarnCode=Q$2)*(PayEarnTax)*(PayEarnValues)),SUMPRODUCT((PayEmp=$C98)*(PayDate&lt;=$AC98)*(PayEarnCode=Q$2)*(PayEarnValues)))*IF(COUNTIFS(EmpNo,$C98,OFFSET(Emp!$R$4,1,MATCH(Q$5,DedListItem,0)-1,EmpCount,1),"&lt;&gt;")&gt;0,VLOOKUP($C98,EmpAll,COLUMN(Emp!$R$4)+MATCH(Q$5,DedListItem,0)-1,0),OFFSET(Setup!$E$73,MATCH(Q$5,DedListItem,0),0,1,1)),(MIN(IF(OFFSET(Setup!$G$73,MATCH(Q$5,DedListItem,0),0,1,1)="Taxable",SUMPRODUCT((PayEmp=$C98)*(PayDate&lt;=$AC98)*(ISERROR(SEARCH(PayEarnCode,Q$4)))*(PayEarnTax)*(PayEarnValues)),SUMPRODUCT((PayEmp=$C98)*(PayDate&lt;=$AC98)*(ISERROR(SEARCH(PayEarnCode,Q$4)))*(PayEarnValues))),IF(ISNUMBER(Q$3),Q$3/12*$AA98,IgnoreMin)))*IF(COUNTIFS(EmpNo,$C98,OFFSET(Emp!$R$4,1,MATCH(Q$5,DedListItem,0)-1,EmpCount,1),"&lt;&gt;")&gt;0,VLOOKUP($C98,EmpAll,COLUMN(Emp!$R$4)+MATCH(Q$5,DedListItem,0)-1,0),OFFSET(Setup!$E$73,MATCH(Q$5,DedListItem,0),0,1,1)))-SUMIFS(OFFSET(Q$6,1,0,PayCount,1),PayDate,"&lt;"&amp;$AC98,PayEmp,$C98))))))</f>
        <v>0</v>
      </c>
      <c r="R98" s="185">
        <f t="shared" ca="1" si="37"/>
        <v>38675.453333333375</v>
      </c>
      <c r="S98" s="139">
        <f t="shared" ca="1" si="38"/>
        <v>81324.55</v>
      </c>
      <c r="T98" s="133" cm="1">
        <f t="array" aca="1" ref="T98" ca="1">IF($F98="Terminated",0,IF($AA98=0,0,IF(ISNA(MATCH(T$5,CompListItem,0)),0,IF(COUNTIFS(OverEmp,$C98,OverComp,T$5,OverDate,"&lt;"&amp;DATE(YEAR($AC98),MONTH($AC98)+1,1),OverEnd,"&gt;="&amp;DATE(YEAR($AC98),MONTH($AC98),1))&gt;0,SUMIFS(OverValue,OverEmp,$C98,OverComp,T$5,OverDate,"&lt;"&amp;DATE(YEAR($AC98),MONTH($AC98)+1,1),OverEnd,"&gt;="&amp;DATE(YEAR($AC98),MONTH($AC98),1)),IF(OR(T$2="Fixed",T$2="Not Used"),(OFFSET(Setup!$E$81,MATCH(T$5,CompListItem,0),0,1,1)*$AA98)-SUMIFS(OFFSET(T$6,1,0,PayCount,1),PayDate,"&lt;"&amp;$AC98,PayEmp,$C98),IF(ISNA(MATCH(T$2,DedListItem,0))=FALSE,(SUMPRODUCT((PayEmp=$C98)*(PayDate&lt;=$AC98)*(PayDedList=T$2)*(PayDedValues))*OFFSET(Setup!$E$81,MATCH(T$5,CompListItem,0),0,1,1))-SUMIFS(OFFSET(T$6,1,0,PayCount,1),PayDate,"&lt;"&amp;$AC98,PayEmp,$C98),(MIN(IF(OFFSET(Setup!$G$81,MATCH(T$5,CompListItem,0),0,1,1)="Taxable",SUMPRODUCT((PayEmp=$C98)*(PayDate&lt;=$AC98)*(ISERROR(SEARCH(PayEarnCode,T$4)))*(PayEarnTax)*(PayEarnValues)),SUMPRODUCT((PayEmp=$C98)*(PayDate&lt;=$AC98)*(ISERROR(SEARCH(PayEarnCode,T$4)))*(PayEarnValues))),IF(ISNUMBER(T$3),T$3/12*$AA98,IgnoreMin)))*OFFSET(Setup!$E$81,MATCH(T$5,CompListItem,0),0,1,1)-SUMIFS(OFFSET(T$6,1,0,PayCount,1),PayDate,"&lt;"&amp;$AC98,PayEmp,$C98)))))))</f>
        <v>177.11999999999989</v>
      </c>
      <c r="U98" s="133" cm="1">
        <f t="array" aca="1" ref="U98" ca="1">IF($F98="Terminated",0,IF($AA98=0,0,IF(ISNA(MATCH(U$5,CompListItem,0)),0,IF(COUNTIFS(OverEmp,$C98,OverComp,U$5,OverDate,"&lt;"&amp;DATE(YEAR($AC98),MONTH($AC98)+1,1),OverEnd,"&gt;="&amp;DATE(YEAR($AC98),MONTH($AC98),1))&gt;0,SUMIFS(OverValue,OverEmp,$C98,OverComp,U$5,OverDate,"&lt;"&amp;DATE(YEAR($AC98),MONTH($AC98)+1,1),OverEnd,"&gt;="&amp;DATE(YEAR($AC98),MONTH($AC98),1)),IF(OR(U$2="Fixed",U$2="Not Used"),(OFFSET(Setup!$E$81,MATCH(U$5,CompListItem,0),0,1,1)*$AA98)-SUMIFS(OFFSET(U$6,1,0,PayCount,1),PayDate,"&lt;"&amp;$AC98,PayEmp,$C98),IF(ISNA(MATCH(U$2,DedListItem,0))=FALSE,(SUMPRODUCT((PayEmp=$C98)*(PayDate&lt;=$AC98)*(PayDedList=U$2)*(PayDedValues))*OFFSET(Setup!$E$81,MATCH(U$5,CompListItem,0),0,1,1))-SUMIFS(OFFSET(U$6,1,0,PayCount,1),PayDate,"&lt;"&amp;$AC98,PayEmp,$C98),(MIN(IF(OFFSET(Setup!$G$81,MATCH(U$5,CompListItem,0),0,1,1)="Taxable",SUMPRODUCT((PayEmp=$C98)*(PayDate&lt;=$AC98)*(ISERROR(SEARCH(PayEarnCode,U$4)))*(PayEarnTax)*(PayEarnValues)),SUMPRODUCT((PayEmp=$C98)*(PayDate&lt;=$AC98)*(ISERROR(SEARCH(PayEarnCode,U$4)))*(PayEarnValues))),IF(ISNUMBER(U$3),U$3/12*$AA98,IgnoreMin)))*OFFSET(Setup!$E$81,MATCH(U$5,CompListItem,0),0,1,1)-SUMIFS(OFFSET(U$6,1,0,PayCount,1),PayDate,"&lt;"&amp;$AC98,PayEmp,$C98)))))))</f>
        <v>1200</v>
      </c>
      <c r="V98" s="133" cm="1">
        <f t="array" aca="1" ref="V98" ca="1">IF($F98="Terminated",0,IF($AA98=0,0,IF(ISNA(MATCH(V$5,CompListItem,0)),0,IF(COUNTIFS(OverEmp,$C98,OverComp,V$5,OverDate,"&lt;"&amp;DATE(YEAR($AC98),MONTH($AC98)+1,1),OverEnd,"&gt;="&amp;DATE(YEAR($AC98),MONTH($AC98),1))&gt;0,SUMIFS(OverValue,OverEmp,$C98,OverComp,V$5,OverDate,"&lt;"&amp;DATE(YEAR($AC98),MONTH($AC98)+1,1),OverEnd,"&gt;="&amp;DATE(YEAR($AC98),MONTH($AC98),1)),IF(OR(V$2="Fixed",V$2="Not Used"),(OFFSET(Setup!$E$81,MATCH(V$5,CompListItem,0),0,1,1)*$AA98)-SUMIFS(OFFSET(V$6,1,0,PayCount,1),PayDate,"&lt;"&amp;$AC98,PayEmp,$C98),IF(ISNA(MATCH(V$2,DedListItem,0))=FALSE,(SUMPRODUCT((PayEmp=$C98)*(PayDate&lt;=$AC98)*(PayDedList=V$2)*(PayDedValues))*OFFSET(Setup!$E$81,MATCH(V$5,CompListItem,0),0,1,1))-SUMIFS(OFFSET(V$6,1,0,PayCount,1),PayDate,"&lt;"&amp;$AC98,PayEmp,$C98),(MIN(IF(OFFSET(Setup!$G$81,MATCH(V$5,CompListItem,0),0,1,1)="Taxable",SUMPRODUCT((PayEmp=$C98)*(PayDate&lt;=$AC98)*(ISERROR(SEARCH(PayEarnCode,V$4)))*(PayEarnTax)*(PayEarnValues)),SUMPRODUCT((PayEmp=$C98)*(PayDate&lt;=$AC98)*(ISERROR(SEARCH(PayEarnCode,V$4)))*(PayEarnValues))),IF(ISNUMBER(V$3),V$3/12*$AA98,IgnoreMin)))*OFFSET(Setup!$E$81,MATCH(V$5,CompListItem,0),0,1,1)-SUMIFS(OFFSET(V$6,1,0,PayCount,1),PayDate,"&lt;"&amp;$AC98,PayEmp,$C98)))))))</f>
        <v>0</v>
      </c>
      <c r="W98" s="133" cm="1">
        <f t="array" aca="1" ref="W98" ca="1">IF($F98="Terminated",0,IF($AA98=0,0,IF(ISNA(MATCH(W$5,CompListItem,0)),0,IF(COUNTIFS(OverEmp,$C98,OverComp,W$5,OverDate,"&lt;"&amp;DATE(YEAR($AC98),MONTH($AC98)+1,1),OverEnd,"&gt;="&amp;DATE(YEAR($AC98),MONTH($AC98),1))&gt;0,SUMIFS(OverValue,OverEmp,$C98,OverComp,W$5,OverDate,"&lt;"&amp;DATE(YEAR($AC98),MONTH($AC98)+1,1),OverEnd,"&gt;="&amp;DATE(YEAR($AC98),MONTH($AC98),1)),IF(OR(W$2="Fixed",W$2="Not Used"),(OFFSET(Setup!$E$81,MATCH(W$5,CompListItem,0),0,1,1)*$AA98)-SUMIFS(OFFSET(W$6,1,0,PayCount,1),PayDate,"&lt;"&amp;$AC98,PayEmp,$C98),IF(ISNA(MATCH(W$2,DedListItem,0))=FALSE,(SUMPRODUCT((PayEmp=$C98)*(PayDate&lt;=$AC98)*(PayDedList=W$2)*(PayDedValues))*OFFSET(Setup!$E$81,MATCH(W$5,CompListItem,0),0,1,1))-SUMIFS(OFFSET(W$6,1,0,PayCount,1),PayDate,"&lt;"&amp;$AC98,PayEmp,$C98),(MIN(IF(OFFSET(Setup!$G$81,MATCH(W$5,CompListItem,0),0,1,1)="Taxable",SUMPRODUCT((PayEmp=$C98)*(PayDate&lt;=$AC98)*(ISERROR(SEARCH(PayEarnCode,W$4)))*(PayEarnTax)*(PayEarnValues)),SUMPRODUCT((PayEmp=$C98)*(PayDate&lt;=$AC98)*(ISERROR(SEARCH(PayEarnCode,W$4)))*(PayEarnValues))),IF(ISNUMBER(W$3),W$3/12*$AA98,IgnoreMin)))*OFFSET(Setup!$E$81,MATCH(W$5,CompListItem,0),0,1,1)-SUMIFS(OFFSET(W$6,1,0,PayCount,1),PayDate,"&lt;"&amp;$AC98,PayEmp,$C98)))))))</f>
        <v>0</v>
      </c>
      <c r="X98" s="185">
        <f t="shared" ca="1" si="30"/>
        <v>1377.12</v>
      </c>
      <c r="Y98" s="139">
        <f t="shared" ca="1" si="39"/>
        <v>121377.12</v>
      </c>
      <c r="Z98" s="139">
        <f t="shared" ca="1" si="31"/>
        <v>40052.57</v>
      </c>
      <c r="AA98" s="146">
        <f ca="1">IF(OR($B98&lt;=Setup!$E$12,$B98&gt;=Setup!$D$12+1),0,IF($F98&lt;&gt;"Active",0,IF($AE98="Yes",$AB98,((YEAR($AC98)*12)+MONTH($AC98))-((YEAR($AD98)*12)+MONTH($AD98)-1))))</f>
        <v>7</v>
      </c>
      <c r="AB98" s="146">
        <f ca="1">IF(OR($B98&lt;=Setup!$E$12,$B98&gt;=Setup!$D$12+1),0,((YEAR($AC98)*12)+MONTH($AC98))-((YEAR(Setup!$E$12)*12)+MONTH(Setup!$E$12)))</f>
        <v>7</v>
      </c>
      <c r="AC98" s="186">
        <f t="shared" ca="1" si="32"/>
        <v>45194</v>
      </c>
      <c r="AD98" s="144">
        <f ca="1">IF(ISNA(VLOOKUP($C98,EmpAll,COLUMN(Emp!$E$4),0)),$AC98,IF(VLOOKUP($C98,EmpAll,COLUMN(Emp!$E$4),0)&lt;=Setup!$E$12,DATE(YEAR(Setup!$E$12),MONTH(Setup!$E$12)+1,1),VLOOKUP($C98,EmpAll,COLUMN(Emp!$E$4),0)))</f>
        <v>44986</v>
      </c>
      <c r="AE98" s="144" t="str">
        <f ca="1">IF(ISNA(VLOOKUP($C98,EmpAll,COLUMN(Emp!$G$1),0)),"-",IF(VLOOKUP($C98,EmpAll,COLUMN(Emp!$G$1),0)=0,"-",VLOOKUP($C98,EmpAll,COLUMN(Emp!$G$1),0)))</f>
        <v>-</v>
      </c>
      <c r="AF98" s="145">
        <f ca="1">IF(A98=PaySlip!$G$3,1,0)</f>
        <v>0</v>
      </c>
      <c r="AG98" s="130" cm="1">
        <f t="array" aca="1" ref="AG98" ca="1">IF(COUNTIFS(OverEmp,$C98,OverMed,"MED",OverDate,"&lt;"&amp;DATE(YEAR($AC98),MONTH($AC98)+1,1),OverEnd,"&gt;="&amp;DATE(YEAR($AC98),MONTH($AC98),1))&gt;0,SUMIFS(OverValue,OverEmp,$C98,OverMed,"MED",OverDate,"&lt;"&amp;DATE(YEAR($AC98),MONTH($AC98)+1,1),OverEnd,"&gt;="&amp;DATE(YEAR($AC98),MONTH($AC98),1)),IF(ISNA(VLOOKUP($C98,EmpAll,COLUMN(Emp!$N$4),0)),0,VLOOKUP($C98,EmpAll,COLUMN(Emp!$N$4),0)))</f>
        <v>3</v>
      </c>
      <c r="AH98" s="146">
        <f ca="1">VLOOKUP($AG98,MedList,COLUMN(Setup!$C$49),1)</f>
        <v>974</v>
      </c>
      <c r="AI98" s="146">
        <f t="shared" ca="1" si="40"/>
        <v>10704</v>
      </c>
      <c r="AJ98" s="101" t="str">
        <f ca="1">IF(ISNA(VLOOKUP($C98,EmpAll,COLUMN(Emp!$L$4),0)),"None!",VLOOKUP($C98,EmpAll,COLUMN(Emp!$L$4),0))</f>
        <v>A</v>
      </c>
      <c r="AK98" s="147">
        <f t="shared" ca="1" si="33"/>
        <v>17235</v>
      </c>
      <c r="AL98" s="101" t="str">
        <f ca="1">IF(ISNA(VLOOKUP($C98,Employees[],COLUMN(Emp!$M$4),0))=TRUE,"Error!",IF(VLOOKUP($C98,Employees[],COLUMN(Emp!$M$4),0)=0,"Yes",VLOOKUP($C98,Employees[],COLUMN(Emp!$M$4),0)))</f>
        <v>A</v>
      </c>
      <c r="AM98" s="148">
        <f t="shared" ca="1" si="41"/>
        <v>1440000</v>
      </c>
      <c r="AN98" s="148" cm="1">
        <f t="array" aca="1" ref="AN98" ca="1">-IF($F98="Terminated",0,IF($AA98=0,0,IF(ISNA(MATCH(AN$5,PayDedList,0)),0,MIN(IF(COUNTIFS(OverEmp,$C98,OverDeduct,AN$5,OverDate,"&lt;"&amp;DATE(YEAR($AC98),MONTH($AC98)+1,1),OverEnd,"&gt;="&amp;DATE(YEAR($AC98),MONTH($AC98),1))&gt;0,SUMPRODUCT((PayEmp=$C98)*(PayDate&lt;=$AC98)*(OFFSET($N$6,1,MATCH(AN$5,PayDedList,0)-1,PayCount,1)))/$AA98*12*AN$3,IF(OR(AN$1="Fixed",AN$1="Not Used"),SUMPRODUCT((PayEmp=$C98)*(PayDate&lt;=$AC98)*(OFFSET($N$6,1,MATCH(AN$5,PayDedList,0)-1,PayCount,1)))/$AA98*12*AN$3,IF(ISNA(MATCH(AN$1,EarnListItem,0))=FALSE,SUMPRODUCT((PayEmp=$C98)*(PayDate&lt;=$AC98)*(OFFSET($N$6,1,MATCH(AN$5,PayDedList,0)-1,PayCount,1)))/$AA98*12*AN$3,(MIN(((SUMPRODUCT((PayEmp=$C98)*(PayDate&lt;=$AC98)*(ISERROR(SEARCH(PayEarnCode,AN$2)))*(PayEarnType="Monthly")*(PayEarnValues))/$AA98*12)+(SUMPRODUCT((PayEmp=$C98)*(PayDate&lt;=$AC98)*(ISERROR(SEARCH(PayEarnCode,AN$2)))*(PayEarnType="Quarterly")*(PayEarnValues))/MAX(1,ROUNDDOWN($AB98/3,0))*4)+(SUMPRODUCT((PayEmp=$C98)*(PayDate&lt;=$AC98)*(ISERROR(SEARCH(PayEarnCode,AN$2)))*(PayEarnType="Bi-Annual")*(PayEarnValues))/MAX(1,ROUNDDOWN($AB98/6,0))*2)+(SUMPRODUCT((PayEmp=$C98)*(PayDate&lt;=$AC98)*(ISERROR(SEARCH(PayEarnCode,AN$2)))*(PayEarnType="Annual")*(PayEarnValues)))),IF(ISNUMBER(OFFSET($N$3,0,MATCH(AN$5,PayDedList,0)-1,1,1)),OFFSET($N$3,0,MATCH(AN$5,PayDedList,0)-1,1,1),IgnoreMin)))*IF(COUNTIFS(EmpNo,$C98,OFFSET(Emp!$R$4,1,MATCH(AN$5,DedListItem,0)-1,EmpCount,1),"&lt;&gt;")&gt;0,VLOOKUP($C98,EmpAll,COLUMN(Emp!$R$4)+MATCH(AN$5,DedListItem,0)-1,0),OFFSET(Setup!$E$73,MATCH(AN$5,DedListItem,0),0,1,1))*AN$3))),IF(ISNUMBER(AN$4),AN$4,IgnoreMin)))))</f>
        <v>0</v>
      </c>
      <c r="AO98" s="148" cm="1">
        <f t="array" aca="1" ref="AO98" ca="1">-IF($F98="Terminated",0,IF($AA98=0,0,IF(ISNA(MATCH(AO$5,PayDedList,0)),0,MIN(IF(COUNTIFS(OverEmp,$C98,OverDeduct,AO$5,OverDate,"&lt;"&amp;DATE(YEAR($AC98),MONTH($AC98)+1,1),OverEnd,"&gt;="&amp;DATE(YEAR($AC98),MONTH($AC98),1))&gt;0,SUMPRODUCT((PayEmp=$C98)*(PayDate&lt;=$AC98)*(OFFSET($N$6,1,MATCH(AO$5,PayDedList,0)-1,PayCount,1)))/$AA98*12*AO$3,IF(OR(AO$1="Fixed",AO$1="Not Used"),SUMPRODUCT((PayEmp=$C98)*(PayDate&lt;=$AC98)*(OFFSET($N$6,1,MATCH(AO$5,PayDedList,0)-1,PayCount,1)))/$AA98*12*AO$3,IF(ISNA(MATCH(AO$1,EarnListItem,0))=FALSE,SUMPRODUCT((PayEmp=$C98)*(PayDate&lt;=$AC98)*(OFFSET($N$6,1,MATCH(AO$5,PayDedList,0)-1,PayCount,1)))/$AA98*12*AO$3,(MIN(((SUMPRODUCT((PayEmp=$C98)*(PayDate&lt;=$AC98)*(ISERROR(SEARCH(PayEarnCode,AO$2)))*(PayEarnType="Monthly")*(PayEarnValues))/$AA98*12)+(SUMPRODUCT((PayEmp=$C98)*(PayDate&lt;=$AC98)*(ISERROR(SEARCH(PayEarnCode,AO$2)))*(PayEarnType="Quarterly")*(PayEarnValues))/MAX(1,ROUNDDOWN($AB98/3,0))*4)+(SUMPRODUCT((PayEmp=$C98)*(PayDate&lt;=$AC98)*(ISERROR(SEARCH(PayEarnCode,AO$2)))*(PayEarnType="Bi-Annual")*(PayEarnValues))/MAX(1,ROUNDDOWN($AB98/6,0))*2)+(SUMPRODUCT((PayEmp=$C98)*(PayDate&lt;=$AC98)*(ISERROR(SEARCH(PayEarnCode,AO$2)))*(PayEarnType="Annual")*(PayEarnValues)))),IF(ISNUMBER(OFFSET($N$3,0,MATCH(AO$5,PayDedList,0)-1,1,1)),OFFSET($N$3,0,MATCH(AO$5,PayDedList,0)-1,1,1),IgnoreMin)))*IF(COUNTIFS(EmpNo,$C98,OFFSET(Emp!$R$4,1,MATCH(AO$5,DedListItem,0)-1,EmpCount,1),"&lt;&gt;")&gt;0,VLOOKUP($C98,EmpAll,COLUMN(Emp!$R$4)+MATCH(AO$5,DedListItem,0)-1,0),OFFSET(Setup!$E$73,MATCH(AO$5,DedListItem,0),0,1,1))*AO$3))),IF(ISNUMBER(AO$4),AO$4,IgnoreMin)))))</f>
        <v>0</v>
      </c>
      <c r="AP98" s="148" cm="1">
        <f t="array" aca="1" ref="AP98" ca="1">-IF($F98="Terminated",0,IF($AA98=0,0,IF(ISNA(MATCH(AP$5,PayDedList,0)),0,MIN(IF(COUNTIFS(OverEmp,$C98,OverDeduct,AP$5,OverDate,"&lt;"&amp;DATE(YEAR($AC98),MONTH($AC98)+1,1),OverEnd,"&gt;="&amp;DATE(YEAR($AC98),MONTH($AC98),1))&gt;0,SUMPRODUCT((PayEmp=$C98)*(PayDate&lt;=$AC98)*(OFFSET($N$6,1,MATCH(AP$5,PayDedList,0)-1,PayCount,1)))/$AA98*12*AP$3,IF(OR(AP$1="Fixed",AP$1="Not Used"),SUMPRODUCT((PayEmp=$C98)*(PayDate&lt;=$AC98)*(OFFSET($N$6,1,MATCH(AP$5,PayDedList,0)-1,PayCount,1)))/$AA98*12*AP$3,IF(ISNA(MATCH(AP$1,EarnListItem,0))=FALSE,SUMPRODUCT((PayEmp=$C98)*(PayDate&lt;=$AC98)*(OFFSET($N$6,1,MATCH(AP$5,PayDedList,0)-1,PayCount,1)))/$AA98*12*AP$3,(MIN(((SUMPRODUCT((PayEmp=$C98)*(PayDate&lt;=$AC98)*(ISERROR(SEARCH(PayEarnCode,AP$2)))*(PayEarnType="Monthly")*(PayEarnValues))/$AA98*12)+(SUMPRODUCT((PayEmp=$C98)*(PayDate&lt;=$AC98)*(ISERROR(SEARCH(PayEarnCode,AP$2)))*(PayEarnType="Quarterly")*(PayEarnValues))/MAX(1,ROUNDDOWN($AB98/3,0))*4)+(SUMPRODUCT((PayEmp=$C98)*(PayDate&lt;=$AC98)*(ISERROR(SEARCH(PayEarnCode,AP$2)))*(PayEarnType="Bi-Annual")*(PayEarnValues))/MAX(1,ROUNDDOWN($AB98/6,0))*2)+(SUMPRODUCT((PayEmp=$C98)*(PayDate&lt;=$AC98)*(ISERROR(SEARCH(PayEarnCode,AP$2)))*(PayEarnType="Annual")*(PayEarnValues)))),IF(ISNUMBER(OFFSET($N$3,0,MATCH(AP$5,PayDedList,0)-1,1,1)),OFFSET($N$3,0,MATCH(AP$5,PayDedList,0)-1,1,1),IgnoreMin)))*IF(COUNTIFS(EmpNo,$C98,OFFSET(Emp!$R$4,1,MATCH(AP$5,DedListItem,0)-1,EmpCount,1),"&lt;&gt;")&gt;0,VLOOKUP($C98,EmpAll,COLUMN(Emp!$R$4)+MATCH(AP$5,DedListItem,0)-1,0),OFFSET(Setup!$E$73,MATCH(AP$5,DedListItem,0),0,1,1))*AP$3))),IF(ISNUMBER(AP$4),AP$4,IgnoreMin)))))</f>
        <v>0</v>
      </c>
      <c r="AQ98" s="148" cm="1">
        <f t="array" aca="1" ref="AQ98" ca="1">-IF($F98="Terminated",0,IF($AA98=0,0,IF(ISNA(MATCH(AQ$5,PayDedList,0)),0,MIN(IF(COUNTIFS(OverEmp,$C98,OverDeduct,AQ$5,OverDate,"&lt;"&amp;DATE(YEAR($AC98),MONTH($AC98)+1,1),OverEnd,"&gt;="&amp;DATE(YEAR($AC98),MONTH($AC98),1))&gt;0,SUMPRODUCT((PayEmp=$C98)*(PayDate&lt;=$AC98)*(OFFSET($N$6,1,MATCH(AQ$5,PayDedList,0)-1,PayCount,1)))/$AA98*12*AQ$3,IF(OR(AQ$1="Fixed",AQ$1="Not Used"),SUMPRODUCT((PayEmp=$C98)*(PayDate&lt;=$AC98)*(OFFSET($N$6,1,MATCH(AQ$5,PayDedList,0)-1,PayCount,1)))/$AA98*12*AQ$3,IF(ISNA(MATCH(AQ$1,EarnListItem,0))=FALSE,SUMPRODUCT((PayEmp=$C98)*(PayDate&lt;=$AC98)*(OFFSET($N$6,1,MATCH(AQ$5,PayDedList,0)-1,PayCount,1)))/$AA98*12*AQ$3,(MIN(((SUMPRODUCT((PayEmp=$C98)*(PayDate&lt;=$AC98)*(ISERROR(SEARCH(PayEarnCode,AQ$2)))*(PayEarnType="Monthly")*(PayEarnValues))/$AA98*12)+(SUMPRODUCT((PayEmp=$C98)*(PayDate&lt;=$AC98)*(ISERROR(SEARCH(PayEarnCode,AQ$2)))*(PayEarnType="Quarterly")*(PayEarnValues))/MAX(1,ROUNDDOWN($AB98/3,0))*4)+(SUMPRODUCT((PayEmp=$C98)*(PayDate&lt;=$AC98)*(ISERROR(SEARCH(PayEarnCode,AQ$2)))*(PayEarnType="Bi-Annual")*(PayEarnValues))/MAX(1,ROUNDDOWN($AB98/6,0))*2)+(SUMPRODUCT((PayEmp=$C98)*(PayDate&lt;=$AC98)*(ISERROR(SEARCH(PayEarnCode,AQ$2)))*(PayEarnType="Annual")*(PayEarnValues)))),IF(ISNUMBER(OFFSET($N$3,0,MATCH(AQ$5,PayDedList,0)-1,1,1)),OFFSET($N$3,0,MATCH(AQ$5,PayDedList,0)-1,1,1),IgnoreMin)))*IF(COUNTIFS(EmpNo,$C98,OFFSET(Emp!$R$4,1,MATCH(AQ$5,DedListItem,0)-1,EmpCount,1),"&lt;&gt;")&gt;0,VLOOKUP($C98,EmpAll,COLUMN(Emp!$R$4)+MATCH(AQ$5,DedListItem,0)-1,0),OFFSET(Setup!$E$73,MATCH(AQ$5,DedListItem,0),0,1,1))*AQ$3))),IF(ISNUMBER(AQ$4),AQ$4,IgnoreMin)))))</f>
        <v>0</v>
      </c>
      <c r="AR98" s="148">
        <f t="shared" ca="1" si="34"/>
        <v>1440000</v>
      </c>
      <c r="AS98" s="148">
        <f t="shared" ca="1" si="42"/>
        <v>1440000</v>
      </c>
      <c r="AT98" s="148" cm="1">
        <f t="array" aca="1" ref="AT98" ca="1">-IF($F98="Terminated",0,IF($AA98=0,0,IF(ISNA(MATCH(AT$5,PayDedList,0)),0,MIN(IF(COUNTIFS(OverEmp,$C98,OverDeduct,AT$5,OverDate,"&lt;"&amp;DATE(YEAR($AC98),MONTH($AC98)+1,1),OverEnd,"&gt;="&amp;DATE(YEAR($AC98),MONTH($AC98),1))&gt;0,SUMPRODUCT((PayEmp=$C98)*(PayDate&lt;=$AC98)*(OFFSET($N$6,1,MATCH(AT$5,PayDedList,0)-1,PayCount,1)))/$AA98*12*AT$3,IF(OR(AT$1="Fixed",AT$1="Not Used"),SUMPRODUCT((PayEmp=$C98)*(PayDate&lt;=$AC98)*(OFFSET($N$6,1,MATCH(AT$5,PayDedList,0)-1,PayCount,1)))/$AA98*12*AT$3,IF(ISNA(MATCH(OFFSET($N$2,0,MATCH(AT$5,PayDedList,0)-1,1,1),EarnListItem,0))=FALSE,SUMPRODUCT((PayEmp=$C98)*(PayDate&lt;=$AC98)*(OFFSET($N$6,1,MATCH(AT$5,PayDedList,0)-1,PayCount,1)))/$AA98*12*AT$3,(MIN(SUMPRODUCT((PayEmp=$C98)*(PayDate&lt;=$AC98)*(ISERROR(SEARCH(PayEarnCode,AT$2)))*(PayEarnType="Monthly")*(PayEarnValues))/$AA98*12,IF(ISNUMBER(OFFSET($N$3,0,MATCH(AT$5,PayDedList,0)-1,1,1)),OFFSET($N$3,0,MATCH(AT$5,PayDedList,0)-1,1,1),IgnoreMin)))*IF(COUNTIFS(EmpNo,$C98,OFFSET(Emp!$R$4,1,MATCH(AT$5,DedListItem,0)-1,EmpCount,1),"&lt;&gt;")&gt;0,VLOOKUP($C98,EmpAll,COLUMN(Emp!$R$4)+MATCH(AT$5,DedListItem,0)-1,0),OFFSET(Setup!$E$73,MATCH(AT$5,DedListItem,0),0,1,1))*AT$3))),IF(ISNUMBER(AT$4),AT$4,IgnoreMin)))))</f>
        <v>0</v>
      </c>
      <c r="AU98" s="148" cm="1">
        <f t="array" aca="1" ref="AU98" ca="1">-IF($F98="Terminated",0,IF($AA98=0,0,IF(ISNA(MATCH(AU$5,PayDedList,0)),0,MIN(IF(COUNTIFS(OverEmp,$C98,OverDeduct,AU$5,OverDate,"&lt;"&amp;DATE(YEAR($AC98),MONTH($AC98)+1,1),OverEnd,"&gt;="&amp;DATE(YEAR($AC98),MONTH($AC98),1))&gt;0,SUMPRODUCT((PayEmp=$C98)*(PayDate&lt;=$AC98)*(OFFSET($N$6,1,MATCH(AU$5,PayDedList,0)-1,PayCount,1)))/$AA98*12*AU$3,IF(OR(AU$1="Fixed",AU$1="Not Used"),SUMPRODUCT((PayEmp=$C98)*(PayDate&lt;=$AC98)*(OFFSET($N$6,1,MATCH(AU$5,PayDedList,0)-1,PayCount,1)))/$AA98*12*AU$3,IF(ISNA(MATCH(OFFSET($N$2,0,MATCH(AU$5,PayDedList,0)-1,1,1),EarnListItem,0))=FALSE,SUMPRODUCT((PayEmp=$C98)*(PayDate&lt;=$AC98)*(OFFSET($N$6,1,MATCH(AU$5,PayDedList,0)-1,PayCount,1)))/$AA98*12*AU$3,(MIN(SUMPRODUCT((PayEmp=$C98)*(PayDate&lt;=$AC98)*(ISERROR(SEARCH(PayEarnCode,AU$2)))*(PayEarnType="Monthly")*(PayEarnValues))/$AA98*12,IF(ISNUMBER(OFFSET($N$3,0,MATCH(AU$5,PayDedList,0)-1,1,1)),OFFSET($N$3,0,MATCH(AU$5,PayDedList,0)-1,1,1),IgnoreMin)))*IF(COUNTIFS(EmpNo,$C98,OFFSET(Emp!$R$4,1,MATCH(AU$5,DedListItem,0)-1,EmpCount,1),"&lt;&gt;")&gt;0,VLOOKUP($C98,EmpAll,COLUMN(Emp!$R$4)+MATCH(AU$5,DedListItem,0)-1,0),OFFSET(Setup!$E$73,MATCH(AU$5,DedListItem,0),0,1,1))*AU$3))),IF(ISNUMBER(AU$4),AU$4,IgnoreMin)))))</f>
        <v>0</v>
      </c>
      <c r="AV98" s="148" cm="1">
        <f t="array" aca="1" ref="AV98" ca="1">-IF($F98="Terminated",0,IF($AA98=0,0,IF(ISNA(MATCH(AV$5,PayDedList,0)),0,MIN(IF(COUNTIFS(OverEmp,$C98,OverDeduct,AV$5,OverDate,"&lt;"&amp;DATE(YEAR($AC98),MONTH($AC98)+1,1),OverEnd,"&gt;="&amp;DATE(YEAR($AC98),MONTH($AC98),1))&gt;0,SUMPRODUCT((PayEmp=$C98)*(PayDate&lt;=$AC98)*(OFFSET($N$6,1,MATCH(AV$5,PayDedList,0)-1,PayCount,1)))/$AA98*12*AV$3,IF(OR(AV$1="Fixed",AV$1="Not Used"),SUMPRODUCT((PayEmp=$C98)*(PayDate&lt;=$AC98)*(OFFSET($N$6,1,MATCH(AV$5,PayDedList,0)-1,PayCount,1)))/$AA98*12*AV$3,IF(ISNA(MATCH(OFFSET($N$2,0,MATCH(AV$5,PayDedList,0)-1,1,1),EarnListItem,0))=FALSE,SUMPRODUCT((PayEmp=$C98)*(PayDate&lt;=$AC98)*(OFFSET($N$6,1,MATCH(AV$5,PayDedList,0)-1,PayCount,1)))/$AA98*12*AV$3,(MIN(SUMPRODUCT((PayEmp=$C98)*(PayDate&lt;=$AC98)*(ISERROR(SEARCH(PayEarnCode,AV$2)))*(PayEarnType="Monthly")*(PayEarnValues))/$AA98*12,IF(ISNUMBER(OFFSET($N$3,0,MATCH(AV$5,PayDedList,0)-1,1,1)),OFFSET($N$3,0,MATCH(AV$5,PayDedList,0)-1,1,1),IgnoreMin)))*IF(COUNTIFS(EmpNo,$C98,OFFSET(Emp!$R$4,1,MATCH(AV$5,DedListItem,0)-1,EmpCount,1),"&lt;&gt;")&gt;0,VLOOKUP($C98,EmpAll,COLUMN(Emp!$R$4)+MATCH(AV$5,DedListItem,0)-1,0),OFFSET(Setup!$E$73,MATCH(AV$5,DedListItem,0),0,1,1))*AV$3))),IF(ISNUMBER(AV$4),AV$4,IgnoreMin)))))</f>
        <v>0</v>
      </c>
      <c r="AW98" s="148" cm="1">
        <f t="array" aca="1" ref="AW98" ca="1">-IF($F98="Terminated",0,IF($AA98=0,0,IF(ISNA(MATCH(AW$5,PayDedList,0)),0,MIN(IF(COUNTIFS(OverEmp,$C98,OverDeduct,AW$5,OverDate,"&lt;"&amp;DATE(YEAR($AC98),MONTH($AC98)+1,1),OverEnd,"&gt;="&amp;DATE(YEAR($AC98),MONTH($AC98),1))&gt;0,SUMPRODUCT((PayEmp=$C98)*(PayDate&lt;=$AC98)*(OFFSET($N$6,1,MATCH(AW$5,PayDedList,0)-1,PayCount,1)))/$AA98*12*AW$3,IF(OR(AW$1="Fixed",AW$1="Not Used"),SUMPRODUCT((PayEmp=$C98)*(PayDate&lt;=$AC98)*(OFFSET($N$6,1,MATCH(AW$5,PayDedList,0)-1,PayCount,1)))/$AA98*12*AW$3,IF(ISNA(MATCH(OFFSET($N$2,0,MATCH(AW$5,PayDedList,0)-1,1,1),EarnListItem,0))=FALSE,SUMPRODUCT((PayEmp=$C98)*(PayDate&lt;=$AC98)*(OFFSET($N$6,1,MATCH(AW$5,PayDedList,0)-1,PayCount,1)))/$AA98*12*AW$3,(MIN(SUMPRODUCT((PayEmp=$C98)*(PayDate&lt;=$AC98)*(ISERROR(SEARCH(PayEarnCode,AW$2)))*(PayEarnType="Monthly")*(PayEarnValues))/$AA98*12,IF(ISNUMBER(OFFSET($N$3,0,MATCH(AW$5,PayDedList,0)-1,1,1)),OFFSET($N$3,0,MATCH(AW$5,PayDedList,0)-1,1,1),IgnoreMin)))*IF(COUNTIFS(EmpNo,$C98,OFFSET(Emp!$R$4,1,MATCH(AW$5,DedListItem,0)-1,EmpCount,1),"&lt;&gt;")&gt;0,VLOOKUP($C98,EmpAll,COLUMN(Emp!$R$4)+MATCH(AW$5,DedListItem,0)-1,0),OFFSET(Setup!$E$73,MATCH(AW$5,DedListItem,0),0,1,1))*AW$3))),IF(ISNUMBER(AW$4),AW$4,IgnoreMin)))))</f>
        <v>0</v>
      </c>
      <c r="AX98" s="148">
        <f t="shared" ca="1" si="43"/>
        <v>1440000</v>
      </c>
      <c r="AY98" s="148">
        <f t="shared" ca="1" si="44"/>
        <v>0</v>
      </c>
      <c r="AZ98" s="148">
        <f ca="1">IF(ISNUMBER($AL98),($AR98*$AL98)-$AI98-$AK98,MAX(0,IF($AL98="B",IF($AR98&lt;Setup!$C$32,($AR98*Setup!$D$32)-$AI98-$AK98,(($AR98-VLOOKUP($AR98,TaxAll2,1,1))*OFFSET(Setup!$D$32,MATCH($AR98,TaxBracket2,1),0,1,1))+OFFSET(Setup!$E$31,MATCH($AR98,TaxBracket2,1),0,1,1)-$AI98-$AK98),IF($AR98&lt;Setup!$C$21,($AR98*Setup!$D$21)-$AI98-$AK98,(($AR98-VLOOKUP($AR98,TaxAll1,1,1))*OFFSET(Setup!$D$21,MATCH($AR98,TaxBracket1,1),0,1,1))+OFFSET(Setup!$E$20,MATCH($AR98,TaxBracket1,1),0,1,1)-$AI98-$AK98))))</f>
        <v>461980</v>
      </c>
      <c r="BA98" s="148">
        <f ca="1">IF(ISNUMBER($AL98),($AX98*$AL98)-$AI98-$AK98,MAX(0,IF($AL98="B",IF($AX98&lt;Setup!$C$32,($AX98*Setup!$D$32)-$AI98-$AK98,(($AX98-VLOOKUP($AX98,TaxAll2,1,1))*OFFSET(Setup!$D$32,MATCH($AX98,TaxBracket2,1),0,1,1))+OFFSET(Setup!$E$31,MATCH($AX98,TaxBracket2,1),0,1,1)-$AI98-$AK98),IF($AX98&lt;Setup!$C$21,($AX98*Setup!$D$21)-$AI98-$AK98,(($AX98-VLOOKUP($AX98,TaxAll1,1,1))*OFFSET(Setup!$D$21,MATCH($AX98,TaxBracket1,1),0,1,1))+OFFSET(Setup!$E$20,MATCH($AX98,TaxBracket1,1),0,1,1)-$AI98-$AK98))))</f>
        <v>461980</v>
      </c>
      <c r="BB98" s="148">
        <f t="shared" ca="1" si="35"/>
        <v>0</v>
      </c>
      <c r="BC98" s="150">
        <f t="shared" ca="1" si="45"/>
        <v>1</v>
      </c>
      <c r="BD98" s="150">
        <f t="shared" ca="1" si="46"/>
        <v>0</v>
      </c>
      <c r="BE98" s="148">
        <f t="shared" ca="1" si="47"/>
        <v>1440000</v>
      </c>
    </row>
    <row r="99" spans="1:57" ht="16.149999999999999" customHeight="1" x14ac:dyDescent="0.25">
      <c r="A99" s="10" t="str" cm="1">
        <f t="array" aca="1" ref="A99" ca="1">IF(ROW($A99)-ROW($A$6)&gt;EmpCount*12,"-",TEXT($B99,"yyyy")&amp;TEXT($B99,"mm")&amp;"-"&amp;$C99)</f>
        <v>202309-EXS003</v>
      </c>
      <c r="B99" s="137" cm="1">
        <f t="array" aca="1" ref="B99" ca="1">IF(ROW($A99)-ROW($A$6)&gt;EmpCount*12,Setup!$D$12,DATE(YEAR(Setup!$F$12),MONTH(Setup!$F$12)+ROUNDDOWN((ROW($A99)-ROW($A$6)-1)/EmpCount,0),IF(Setup!$C$14&gt;DAY(DATE(YEAR(Setup!$F$12),MONTH(Setup!$F$12)+ROUNDDOWN((ROW($A99)-ROW($A$6)-1)/EmpCount,0)+1,0)),DAY(DATE(YEAR(Setup!$F$12),MONTH(Setup!$F$12)+ROUNDDOWN((ROW($A99)-ROW($A$6)-1)/EmpCount,0)+1,0)),Setup!$C$14)))</f>
        <v>45194</v>
      </c>
      <c r="C99" s="101" t="str" cm="1">
        <f t="array" aca="1" ref="C99" ca="1">IF(ROW($A99)-ROW($A$6)&gt;EmpCount*12,"-",OFFSET(Emp!$A$4,ROW($A99)-ROW($A$6)-IF(ROW($A99)-ROW($A$6)&gt;EmpCount,ROUNDDOWN((ROW($A99)-ROW($A$6)-1)/EmpCount,0)*EmpCount,0),0,1,1))</f>
        <v>EXS003</v>
      </c>
      <c r="D99" s="10" t="str">
        <f ca="1">IF(ISNA(VLOOKUP($C99,EmpAll,COLUMN(Emp!$B$4),0)),"-",VLOOKUP($C99,EmpAll,COLUMN(Emp!$B$4),0))</f>
        <v>Wilson PG</v>
      </c>
      <c r="E99" s="145" t="str">
        <f ca="1">IF(ISNA(VLOOKUP($C99,EmpAll,COLUMN(Emp!$C$4),0)),"-",VLOOKUP($C99,EmpAll,COLUMN(Emp!$C$4),0))</f>
        <v>S</v>
      </c>
      <c r="F99" s="101" t="str">
        <f ca="1">IF(ISNA(VLOOKUP($C99,EmpAll,COLUMN(Emp!$A$4),0)),"-",IF(AND(VLOOKUP($C99,EmpAll,COLUMN(Emp!$E$4),0)&lt;&gt;0,VLOOKUP($C99,EmpAll,COLUMN(Emp!$E$4),0)&gt;=DATE(YEAR($AC99),MONTH($AC99)+1,0)),"Inactive",IF(AND(VLOOKUP($C99,EmpAll,COLUMN(Emp!$F$4),0)&lt;&gt;0,VLOOKUP($C99,EmpAll,COLUMN(Emp!$F$4),0)&lt;=DATE(YEAR($AC99),MONTH($AC99),0)),"Terminated","Active")))</f>
        <v>Active</v>
      </c>
      <c r="G99" s="133" cm="1">
        <f t="array" aca="1" ref="G99" ca="1">IF($F99&lt;&gt;"Active",0,IF(COUNTIFS(OverEmp,$C99,OverEarn,G$2,OverDate,"&lt;"&amp;DATE(YEAR($AC99),MONTH($AC99)+1,1),OverEnd,"&gt;="&amp;DATE(YEAR($AC99),MONTH($AC99),1))&gt;0,SUMIFS(OverValue,OverEmp,$C99,OverEarn,G$2,OverDate,"&lt;"&amp;DATE(YEAR($AC99),MONTH($AC99)+1,1),OverEnd,"&gt;="&amp;DATE(YEAR($AC99),MONTH($AC99),1)),IF(AND($AC99&gt;=Setup!$E$10,SUMIFS(EmpIncrease,EmpCode,$C99)&gt;0),SUMIFS(EmpIncrease,EmpCode,$C99),SUMIFS(EmpSalary,EmpCode,$C99))))</f>
        <v>15000</v>
      </c>
      <c r="H99" s="133" cm="1">
        <f t="array" aca="1" ref="H99" ca="1">IF($F99&lt;&gt;"Active",0,IF(COUNTIFS(OverEmp,$C99,OverEarn,H$2,OverDate,"&lt;"&amp;DATE(YEAR($AC99),MONTH($AC99)+1,1),OverEnd,"&gt;="&amp;DATE(YEAR($AC99),MONTH($AC99),1))&gt;0,SUMIFS(OverValue,OverEmp,$C99,OverEarn,H$2,OverDate,"&lt;"&amp;DATE(YEAR($AC99),MONTH($AC99)+1,1),OverEnd,"&gt;="&amp;DATE(YEAR($AC99),MONTH($AC99),1)),0))</f>
        <v>0</v>
      </c>
      <c r="I99" s="133" cm="1">
        <f t="array" aca="1" ref="I99" ca="1">IF($F99&lt;&gt;"Active",0,IF(COUNTIFS(OverEmp,$C99,OverEarn,I$2,OverDate,"&lt;"&amp;DATE(YEAR($AC99),MONTH($AC99)+1,1),OverEnd,"&gt;="&amp;DATE(YEAR($AC99),MONTH($AC99),1))&gt;0,SUMIFS(OverValue,OverEmp,$C99,OverEarn,I$2,OverDate,"&lt;"&amp;DATE(YEAR($AC99),MONTH($AC99)+1,1),OverEnd,"&gt;="&amp;DATE(YEAR($AC99),MONTH($AC99),1)),IF(MONTH(B99)=Setup!$C$15,SUMIFS(EmpBonus,EmpCode,$C99),0)))</f>
        <v>0</v>
      </c>
      <c r="J99" s="133" cm="1">
        <f t="array" aca="1" ref="J99" ca="1">IF($F99&lt;&gt;"Active",0,IF(COUNTIFS(OverEmp,$C99,OverEarn,J$2,OverDate,"&lt;"&amp;DATE(YEAR($AC99),MONTH($AC99)+1,1),OverEnd,"&gt;="&amp;DATE(YEAR($AC99),MONTH($AC99),1))&gt;0,SUMIFS(OverValue,OverEmp,$C99,OverEarn,J$2,OverDate,"&lt;"&amp;DATE(YEAR($AC99),MONTH($AC99)+1,1),OverEnd,"&gt;="&amp;DATE(YEAR($AC99),MONTH($AC99),1)),0))</f>
        <v>10000</v>
      </c>
      <c r="K99" s="133" cm="1">
        <f t="array" aca="1" ref="K99" ca="1">IF($F99&lt;&gt;"Active",0,IF(COUNTIFS(OverEmp,$C99,OverEarn,K$2,OverDate,"&lt;"&amp;DATE(YEAR($AC99),MONTH($AC99)+1,1),OverEnd,"&gt;="&amp;DATE(YEAR($AC99),MONTH($AC99),1))&gt;0,SUMIFS(OverValue,OverEmp,$C99,OverEarn,K$2,OverDate,"&lt;"&amp;DATE(YEAR($AC99),MONTH($AC99)+1,1),OverEnd,"&gt;="&amp;DATE(YEAR($AC99),MONTH($AC99),1)),0))</f>
        <v>0</v>
      </c>
      <c r="L99" s="185">
        <f t="shared" ca="1" si="36"/>
        <v>25000</v>
      </c>
      <c r="M99" s="182" cm="1">
        <f t="array" aca="1" ref="M99" ca="1">IF(COUNTIFS(OverEmp,$C99,OverTax,M$5,OverDate,"&lt;"&amp;DATE(YEAR($AC99),MONTH($AC99)+1,1),OverEnd,"&gt;="&amp;DATE(YEAR($AC99),MONTH($AC99),1))&gt;0,SUMIFS(OverValue,OverEmp,$C99,OverTax,M$5,OverDate,"&lt;"&amp;DATE(YEAR($AC99),MONTH($AC99)+1,1),OverEnd,"&gt;="&amp;DATE(YEAR($AC99),MONTH($AC99),1)),(($BA99/12*$AA99)+(BB99*IF(1-$BC99=0,0,BD99/(1-$BC99))))-IF($F99="Terminated",0,SUMIFS(PayTaxDeduct,PayDate,"&lt;"&amp;$AC99,PayEmp,$C99)))</f>
        <v>899.75</v>
      </c>
      <c r="N99" s="133" cm="1">
        <f t="array" aca="1" ref="N99" ca="1">IF($F99="Terminated",0,IF($AA99=0,0,IF(ISNA(MATCH(N$5,DedListItem,0)),0,IF(COUNTIFS(OverEmp,$C99,OverDeduct,N$5,OverDate,"&lt;"&amp;DATE(YEAR($AC99),MONTH($AC99)+1,1),OverEnd,"&gt;="&amp;DATE(YEAR($AC99),MONTH($AC99),1))&gt;0,SUMIFS(OverValue,OverEmp,$C99,OverDeduct,N$5,OverDate,"&lt;"&amp;DATE(YEAR($AC99),MONTH($AC99)+1,1),OverEnd,"&gt;="&amp;DATE(YEAR($AC99),MONTH($AC99),1)),IF(OR(N$2="Fixed",N$2="Not Used"),(IF(COUNTIFS(EmpNo,$C99,OFFSET(Emp!$R$4,1,MATCH(N$5,DedListItem,0)-1,EmpCount,1),"&lt;&gt;")&gt;0,VLOOKUP($C99,EmpAll,COLUMN(Emp!$R$4)+MATCH(N$5,DedListItem,0)-1,0),OFFSET(Setup!$E$73,MATCH(N$5,DedListItem,0),0,1,1))*$AA99)-SUMIFS(OFFSET(N$6,1,0,PayCount,1),PayDate,"&lt;"&amp;$AC99,PayEmp,$C99),IF(ISNA(MATCH(N$2,EarnListItem,0))=FALSE,IF(OFFSET(Setup!$G$73,MATCH(N$5,DedListItem,0),0,1,1)="Taxable",SUMPRODUCT((PayEmp=$C99)*(PayDate&lt;=$AC99)*(PayEarnCode=N$2)*(PayEarnTax)*(PayEarnValues)),SUMPRODUCT((PayEmp=$C99)*(PayDate&lt;=$AC99)*(PayEarnCode=N$2)*(PayEarnValues)))*IF(COUNTIFS(EmpNo,$C99,OFFSET(Emp!$R$4,1,MATCH(N$5,DedListItem,0)-1,EmpCount,1),"&lt;&gt;")&gt;0,VLOOKUP($C99,EmpAll,COLUMN(Emp!$R$4)+MATCH(N$5,DedListItem,0)-1,0),OFFSET(Setup!$E$73,MATCH(N$5,DedListItem,0),0,1,1)),(MIN(IF(OFFSET(Setup!$G$73,MATCH(N$5,DedListItem,0),0,1,1)="Taxable",SUMPRODUCT((PayEmp=$C99)*(PayDate&lt;=$AC99)*(ISERROR(SEARCH(PayEarnCode,N$4)))*(PayEarnTax)*(PayEarnValues)),SUMPRODUCT((PayEmp=$C99)*(PayDate&lt;=$AC99)*(ISERROR(SEARCH(PayEarnCode,N$4)))*(PayEarnValues))),IF(ISNUMBER(N$3),N$3/12*$AA99,IgnoreMin)))*IF(COUNTIFS(EmpNo,$C99,OFFSET(Emp!$R$4,1,MATCH(N$5,DedListItem,0)-1,EmpCount,1),"&lt;&gt;")&gt;0,VLOOKUP($C99,EmpAll,COLUMN(Emp!$R$4)+MATCH(N$5,DedListItem,0)-1,0),OFFSET(Setup!$E$73,MATCH(N$5,DedListItem,0),0,1,1)))-SUMIFS(OFFSET(N$6,1,0,PayCount,1),PayDate,"&lt;"&amp;$AC99,PayEmp,$C99))))))</f>
        <v>150</v>
      </c>
      <c r="O99" s="133" cm="1">
        <f t="array" aca="1" ref="O99" ca="1">IF($F99="Terminated",0,IF($AA99=0,0,IF(ISNA(MATCH(O$5,DedListItem,0)),0,IF(COUNTIFS(OverEmp,$C99,OverDeduct,O$5,OverDate,"&lt;"&amp;DATE(YEAR($AC99),MONTH($AC99)+1,1),OverEnd,"&gt;="&amp;DATE(YEAR($AC99),MONTH($AC99),1))&gt;0,SUMIFS(OverValue,OverEmp,$C99,OverDeduct,O$5,OverDate,"&lt;"&amp;DATE(YEAR($AC99),MONTH($AC99)+1,1),OverEnd,"&gt;="&amp;DATE(YEAR($AC99),MONTH($AC99),1)),IF(OR(O$2="Fixed",O$2="Not Used"),(IF(COUNTIFS(EmpNo,$C99,OFFSET(Emp!$R$4,1,MATCH(O$5,DedListItem,0)-1,EmpCount,1),"&lt;&gt;")&gt;0,VLOOKUP($C99,EmpAll,COLUMN(Emp!$R$4)+MATCH(O$5,DedListItem,0)-1,0),OFFSET(Setup!$E$73,MATCH(O$5,DedListItem,0),0,1,1))*$AA99)-SUMIFS(OFFSET(O$6,1,0,PayCount,1),PayDate,"&lt;"&amp;$AC99,PayEmp,$C99),IF(ISNA(MATCH(O$2,EarnListItem,0))=FALSE,IF(OFFSET(Setup!$G$73,MATCH(O$5,DedListItem,0),0,1,1)="Taxable",SUMPRODUCT((PayEmp=$C99)*(PayDate&lt;=$AC99)*(PayEarnCode=O$2)*(PayEarnTax)*(PayEarnValues)),SUMPRODUCT((PayEmp=$C99)*(PayDate&lt;=$AC99)*(PayEarnCode=O$2)*(PayEarnValues)))*IF(COUNTIFS(EmpNo,$C99,OFFSET(Emp!$R$4,1,MATCH(O$5,DedListItem,0)-1,EmpCount,1),"&lt;&gt;")&gt;0,VLOOKUP($C99,EmpAll,COLUMN(Emp!$R$4)+MATCH(O$5,DedListItem,0)-1,0),OFFSET(Setup!$E$73,MATCH(O$5,DedListItem,0),0,1,1)),(MIN(IF(OFFSET(Setup!$G$73,MATCH(O$5,DedListItem,0),0,1,1)="Taxable",SUMPRODUCT((PayEmp=$C99)*(PayDate&lt;=$AC99)*(ISERROR(SEARCH(PayEarnCode,O$4)))*(PayEarnTax)*(PayEarnValues)),SUMPRODUCT((PayEmp=$C99)*(PayDate&lt;=$AC99)*(ISERROR(SEARCH(PayEarnCode,O$4)))*(PayEarnValues))),IF(ISNUMBER(O$3),O$3/12*$AA99,IgnoreMin)))*IF(COUNTIFS(EmpNo,$C99,OFFSET(Emp!$R$4,1,MATCH(O$5,DedListItem,0)-1,EmpCount,1),"&lt;&gt;")&gt;0,VLOOKUP($C99,EmpAll,COLUMN(Emp!$R$4)+MATCH(O$5,DedListItem,0)-1,0),OFFSET(Setup!$E$73,MATCH(O$5,DedListItem,0),0,1,1)))-SUMIFS(OFFSET(O$6,1,0,PayCount,1),PayDate,"&lt;"&amp;$AC99,PayEmp,$C99))))))</f>
        <v>0</v>
      </c>
      <c r="P99" s="133" cm="1">
        <f t="array" aca="1" ref="P99" ca="1">IF($F99="Terminated",0,IF($AA99=0,0,IF(ISNA(MATCH(P$5,DedListItem,0)),0,IF(COUNTIFS(OverEmp,$C99,OverDeduct,P$5,OverDate,"&lt;"&amp;DATE(YEAR($AC99),MONTH($AC99)+1,1),OverEnd,"&gt;="&amp;DATE(YEAR($AC99),MONTH($AC99),1))&gt;0,SUMIFS(OverValue,OverEmp,$C99,OverDeduct,P$5,OverDate,"&lt;"&amp;DATE(YEAR($AC99),MONTH($AC99)+1,1),OverEnd,"&gt;="&amp;DATE(YEAR($AC99),MONTH($AC99),1)),IF(OR(P$2="Fixed",P$2="Not Used"),(IF(COUNTIFS(EmpNo,$C99,OFFSET(Emp!$R$4,1,MATCH(P$5,DedListItem,0)-1,EmpCount,1),"&lt;&gt;")&gt;0,VLOOKUP($C99,EmpAll,COLUMN(Emp!$R$4)+MATCH(P$5,DedListItem,0)-1,0),OFFSET(Setup!$E$73,MATCH(P$5,DedListItem,0),0,1,1))*$AA99)-SUMIFS(OFFSET(P$6,1,0,PayCount,1),PayDate,"&lt;"&amp;$AC99,PayEmp,$C99),IF(ISNA(MATCH(P$2,EarnListItem,0))=FALSE,IF(OFFSET(Setup!$G$73,MATCH(P$5,DedListItem,0),0,1,1)="Taxable",SUMPRODUCT((PayEmp=$C99)*(PayDate&lt;=$AC99)*(PayEarnCode=P$2)*(PayEarnTax)*(PayEarnValues)),SUMPRODUCT((PayEmp=$C99)*(PayDate&lt;=$AC99)*(PayEarnCode=P$2)*(PayEarnValues)))*IF(COUNTIFS(EmpNo,$C99,OFFSET(Emp!$R$4,1,MATCH(P$5,DedListItem,0)-1,EmpCount,1),"&lt;&gt;")&gt;0,VLOOKUP($C99,EmpAll,COLUMN(Emp!$R$4)+MATCH(P$5,DedListItem,0)-1,0),OFFSET(Setup!$E$73,MATCH(P$5,DedListItem,0),0,1,1)),(MIN(IF(OFFSET(Setup!$G$73,MATCH(P$5,DedListItem,0),0,1,1)="Taxable",SUMPRODUCT((PayEmp=$C99)*(PayDate&lt;=$AC99)*(ISERROR(SEARCH(PayEarnCode,P$4)))*(PayEarnTax)*(PayEarnValues)),SUMPRODUCT((PayEmp=$C99)*(PayDate&lt;=$AC99)*(ISERROR(SEARCH(PayEarnCode,P$4)))*(PayEarnValues))),IF(ISNUMBER(P$3),P$3/12*$AA99,IgnoreMin)))*IF(COUNTIFS(EmpNo,$C99,OFFSET(Emp!$R$4,1,MATCH(P$5,DedListItem,0)-1,EmpCount,1),"&lt;&gt;")&gt;0,VLOOKUP($C99,EmpAll,COLUMN(Emp!$R$4)+MATCH(P$5,DedListItem,0)-1,0),OFFSET(Setup!$E$73,MATCH(P$5,DedListItem,0),0,1,1)))-SUMIFS(OFFSET(P$6,1,0,PayCount,1),PayDate,"&lt;"&amp;$AC99,PayEmp,$C99))))))</f>
        <v>0</v>
      </c>
      <c r="Q99" s="133" cm="1">
        <f t="array" aca="1" ref="Q99" ca="1">IF($F99="Terminated",0,IF($AA99=0,0,IF(ISNA(MATCH(Q$5,DedListItem,0)),0,IF(COUNTIFS(OverEmp,$C99,OverDeduct,Q$5,OverDate,"&lt;"&amp;DATE(YEAR($AC99),MONTH($AC99)+1,1),OverEnd,"&gt;="&amp;DATE(YEAR($AC99),MONTH($AC99),1))&gt;0,SUMIFS(OverValue,OverEmp,$C99,OverDeduct,Q$5,OverDate,"&lt;"&amp;DATE(YEAR($AC99),MONTH($AC99)+1,1),OverEnd,"&gt;="&amp;DATE(YEAR($AC99),MONTH($AC99),1)),IF(OR(Q$2="Fixed",Q$2="Not Used"),(IF(COUNTIFS(EmpNo,$C99,OFFSET(Emp!$R$4,1,MATCH(Q$5,DedListItem,0)-1,EmpCount,1),"&lt;&gt;")&gt;0,VLOOKUP($C99,EmpAll,COLUMN(Emp!$R$4)+MATCH(Q$5,DedListItem,0)-1,0),OFFSET(Setup!$E$73,MATCH(Q$5,DedListItem,0),0,1,1))*$AA99)-SUMIFS(OFFSET(Q$6,1,0,PayCount,1),PayDate,"&lt;"&amp;$AC99,PayEmp,$C99),IF(ISNA(MATCH(Q$2,EarnListItem,0))=FALSE,IF(OFFSET(Setup!$G$73,MATCH(Q$5,DedListItem,0),0,1,1)="Taxable",SUMPRODUCT((PayEmp=$C99)*(PayDate&lt;=$AC99)*(PayEarnCode=Q$2)*(PayEarnTax)*(PayEarnValues)),SUMPRODUCT((PayEmp=$C99)*(PayDate&lt;=$AC99)*(PayEarnCode=Q$2)*(PayEarnValues)))*IF(COUNTIFS(EmpNo,$C99,OFFSET(Emp!$R$4,1,MATCH(Q$5,DedListItem,0)-1,EmpCount,1),"&lt;&gt;")&gt;0,VLOOKUP($C99,EmpAll,COLUMN(Emp!$R$4)+MATCH(Q$5,DedListItem,0)-1,0),OFFSET(Setup!$E$73,MATCH(Q$5,DedListItem,0),0,1,1)),(MIN(IF(OFFSET(Setup!$G$73,MATCH(Q$5,DedListItem,0),0,1,1)="Taxable",SUMPRODUCT((PayEmp=$C99)*(PayDate&lt;=$AC99)*(ISERROR(SEARCH(PayEarnCode,Q$4)))*(PayEarnTax)*(PayEarnValues)),SUMPRODUCT((PayEmp=$C99)*(PayDate&lt;=$AC99)*(ISERROR(SEARCH(PayEarnCode,Q$4)))*(PayEarnValues))),IF(ISNUMBER(Q$3),Q$3/12*$AA99,IgnoreMin)))*IF(COUNTIFS(EmpNo,$C99,OFFSET(Emp!$R$4,1,MATCH(Q$5,DedListItem,0)-1,EmpCount,1),"&lt;&gt;")&gt;0,VLOOKUP($C99,EmpAll,COLUMN(Emp!$R$4)+MATCH(Q$5,DedListItem,0)-1,0),OFFSET(Setup!$E$73,MATCH(Q$5,DedListItem,0),0,1,1)))-SUMIFS(OFFSET(Q$6,1,0,PayCount,1),PayDate,"&lt;"&amp;$AC99,PayEmp,$C99))))))</f>
        <v>0</v>
      </c>
      <c r="R99" s="185">
        <f t="shared" ca="1" si="37"/>
        <v>1049.75</v>
      </c>
      <c r="S99" s="139">
        <f t="shared" ca="1" si="38"/>
        <v>23950.25</v>
      </c>
      <c r="T99" s="133" cm="1">
        <f t="array" aca="1" ref="T99" ca="1">IF($F99="Terminated",0,IF($AA99=0,0,IF(ISNA(MATCH(T$5,CompListItem,0)),0,IF(COUNTIFS(OverEmp,$C99,OverComp,T$5,OverDate,"&lt;"&amp;DATE(YEAR($AC99),MONTH($AC99)+1,1),OverEnd,"&gt;="&amp;DATE(YEAR($AC99),MONTH($AC99),1))&gt;0,SUMIFS(OverValue,OverEmp,$C99,OverComp,T$5,OverDate,"&lt;"&amp;DATE(YEAR($AC99),MONTH($AC99)+1,1),OverEnd,"&gt;="&amp;DATE(YEAR($AC99),MONTH($AC99),1)),IF(OR(T$2="Fixed",T$2="Not Used"),(OFFSET(Setup!$E$81,MATCH(T$5,CompListItem,0),0,1,1)*$AA99)-SUMIFS(OFFSET(T$6,1,0,PayCount,1),PayDate,"&lt;"&amp;$AC99,PayEmp,$C99),IF(ISNA(MATCH(T$2,DedListItem,0))=FALSE,(SUMPRODUCT((PayEmp=$C99)*(PayDate&lt;=$AC99)*(PayDedList=T$2)*(PayDedValues))*OFFSET(Setup!$E$81,MATCH(T$5,CompListItem,0),0,1,1))-SUMIFS(OFFSET(T$6,1,0,PayCount,1),PayDate,"&lt;"&amp;$AC99,PayEmp,$C99),(MIN(IF(OFFSET(Setup!$G$81,MATCH(T$5,CompListItem,0),0,1,1)="Taxable",SUMPRODUCT((PayEmp=$C99)*(PayDate&lt;=$AC99)*(ISERROR(SEARCH(PayEarnCode,T$4)))*(PayEarnTax)*(PayEarnValues)),SUMPRODUCT((PayEmp=$C99)*(PayDate&lt;=$AC99)*(ISERROR(SEARCH(PayEarnCode,T$4)))*(PayEarnValues))),IF(ISNUMBER(T$3),T$3/12*$AA99,IgnoreMin)))*OFFSET(Setup!$E$81,MATCH(T$5,CompListItem,0),0,1,1)-SUMIFS(OFFSET(T$6,1,0,PayCount,1),PayDate,"&lt;"&amp;$AC99,PayEmp,$C99)))))))</f>
        <v>150</v>
      </c>
      <c r="U99" s="133" cm="1">
        <f t="array" aca="1" ref="U99" ca="1">IF($F99="Terminated",0,IF($AA99=0,0,IF(ISNA(MATCH(U$5,CompListItem,0)),0,IF(COUNTIFS(OverEmp,$C99,OverComp,U$5,OverDate,"&lt;"&amp;DATE(YEAR($AC99),MONTH($AC99)+1,1),OverEnd,"&gt;="&amp;DATE(YEAR($AC99),MONTH($AC99),1))&gt;0,SUMIFS(OverValue,OverEmp,$C99,OverComp,U$5,OverDate,"&lt;"&amp;DATE(YEAR($AC99),MONTH($AC99)+1,1),OverEnd,"&gt;="&amp;DATE(YEAR($AC99),MONTH($AC99),1)),IF(OR(U$2="Fixed",U$2="Not Used"),(OFFSET(Setup!$E$81,MATCH(U$5,CompListItem,0),0,1,1)*$AA99)-SUMIFS(OFFSET(U$6,1,0,PayCount,1),PayDate,"&lt;"&amp;$AC99,PayEmp,$C99),IF(ISNA(MATCH(U$2,DedListItem,0))=FALSE,(SUMPRODUCT((PayEmp=$C99)*(PayDate&lt;=$AC99)*(PayDedList=U$2)*(PayDedValues))*OFFSET(Setup!$E$81,MATCH(U$5,CompListItem,0),0,1,1))-SUMIFS(OFFSET(U$6,1,0,PayCount,1),PayDate,"&lt;"&amp;$AC99,PayEmp,$C99),(MIN(IF(OFFSET(Setup!$G$81,MATCH(U$5,CompListItem,0),0,1,1)="Taxable",SUMPRODUCT((PayEmp=$C99)*(PayDate&lt;=$AC99)*(ISERROR(SEARCH(PayEarnCode,U$4)))*(PayEarnTax)*(PayEarnValues)),SUMPRODUCT((PayEmp=$C99)*(PayDate&lt;=$AC99)*(ISERROR(SEARCH(PayEarnCode,U$4)))*(PayEarnValues))),IF(ISNUMBER(U$3),U$3/12*$AA99,IgnoreMin)))*OFFSET(Setup!$E$81,MATCH(U$5,CompListItem,0),0,1,1)-SUMIFS(OFFSET(U$6,1,0,PayCount,1),PayDate,"&lt;"&amp;$AC99,PayEmp,$C99)))))))</f>
        <v>150</v>
      </c>
      <c r="V99" s="133" cm="1">
        <f t="array" aca="1" ref="V99" ca="1">IF($F99="Terminated",0,IF($AA99=0,0,IF(ISNA(MATCH(V$5,CompListItem,0)),0,IF(COUNTIFS(OverEmp,$C99,OverComp,V$5,OverDate,"&lt;"&amp;DATE(YEAR($AC99),MONTH($AC99)+1,1),OverEnd,"&gt;="&amp;DATE(YEAR($AC99),MONTH($AC99),1))&gt;0,SUMIFS(OverValue,OverEmp,$C99,OverComp,V$5,OverDate,"&lt;"&amp;DATE(YEAR($AC99),MONTH($AC99)+1,1),OverEnd,"&gt;="&amp;DATE(YEAR($AC99),MONTH($AC99),1)),IF(OR(V$2="Fixed",V$2="Not Used"),(OFFSET(Setup!$E$81,MATCH(V$5,CompListItem,0),0,1,1)*$AA99)-SUMIFS(OFFSET(V$6,1,0,PayCount,1),PayDate,"&lt;"&amp;$AC99,PayEmp,$C99),IF(ISNA(MATCH(V$2,DedListItem,0))=FALSE,(SUMPRODUCT((PayEmp=$C99)*(PayDate&lt;=$AC99)*(PayDedList=V$2)*(PayDedValues))*OFFSET(Setup!$E$81,MATCH(V$5,CompListItem,0),0,1,1))-SUMIFS(OFFSET(V$6,1,0,PayCount,1),PayDate,"&lt;"&amp;$AC99,PayEmp,$C99),(MIN(IF(OFFSET(Setup!$G$81,MATCH(V$5,CompListItem,0),0,1,1)="Taxable",SUMPRODUCT((PayEmp=$C99)*(PayDate&lt;=$AC99)*(ISERROR(SEARCH(PayEarnCode,V$4)))*(PayEarnTax)*(PayEarnValues)),SUMPRODUCT((PayEmp=$C99)*(PayDate&lt;=$AC99)*(ISERROR(SEARCH(PayEarnCode,V$4)))*(PayEarnValues))),IF(ISNUMBER(V$3),V$3/12*$AA99,IgnoreMin)))*OFFSET(Setup!$E$81,MATCH(V$5,CompListItem,0),0,1,1)-SUMIFS(OFFSET(V$6,1,0,PayCount,1),PayDate,"&lt;"&amp;$AC99,PayEmp,$C99)))))))</f>
        <v>0</v>
      </c>
      <c r="W99" s="133" cm="1">
        <f t="array" aca="1" ref="W99" ca="1">IF($F99="Terminated",0,IF($AA99=0,0,IF(ISNA(MATCH(W$5,CompListItem,0)),0,IF(COUNTIFS(OverEmp,$C99,OverComp,W$5,OverDate,"&lt;"&amp;DATE(YEAR($AC99),MONTH($AC99)+1,1),OverEnd,"&gt;="&amp;DATE(YEAR($AC99),MONTH($AC99),1))&gt;0,SUMIFS(OverValue,OverEmp,$C99,OverComp,W$5,OverDate,"&lt;"&amp;DATE(YEAR($AC99),MONTH($AC99)+1,1),OverEnd,"&gt;="&amp;DATE(YEAR($AC99),MONTH($AC99),1)),IF(OR(W$2="Fixed",W$2="Not Used"),(OFFSET(Setup!$E$81,MATCH(W$5,CompListItem,0),0,1,1)*$AA99)-SUMIFS(OFFSET(W$6,1,0,PayCount,1),PayDate,"&lt;"&amp;$AC99,PayEmp,$C99),IF(ISNA(MATCH(W$2,DedListItem,0))=FALSE,(SUMPRODUCT((PayEmp=$C99)*(PayDate&lt;=$AC99)*(PayDedList=W$2)*(PayDedValues))*OFFSET(Setup!$E$81,MATCH(W$5,CompListItem,0),0,1,1))-SUMIFS(OFFSET(W$6,1,0,PayCount,1),PayDate,"&lt;"&amp;$AC99,PayEmp,$C99),(MIN(IF(OFFSET(Setup!$G$81,MATCH(W$5,CompListItem,0),0,1,1)="Taxable",SUMPRODUCT((PayEmp=$C99)*(PayDate&lt;=$AC99)*(ISERROR(SEARCH(PayEarnCode,W$4)))*(PayEarnTax)*(PayEarnValues)),SUMPRODUCT((PayEmp=$C99)*(PayDate&lt;=$AC99)*(ISERROR(SEARCH(PayEarnCode,W$4)))*(PayEarnValues))),IF(ISNUMBER(W$3),W$3/12*$AA99,IgnoreMin)))*OFFSET(Setup!$E$81,MATCH(W$5,CompListItem,0),0,1,1)-SUMIFS(OFFSET(W$6,1,0,PayCount,1),PayDate,"&lt;"&amp;$AC99,PayEmp,$C99)))))))</f>
        <v>0</v>
      </c>
      <c r="X99" s="185">
        <f t="shared" ca="1" si="30"/>
        <v>300</v>
      </c>
      <c r="Y99" s="139">
        <f t="shared" ca="1" si="39"/>
        <v>25300</v>
      </c>
      <c r="Z99" s="139">
        <f t="shared" ca="1" si="31"/>
        <v>1349.75</v>
      </c>
      <c r="AA99" s="146">
        <f ca="1">IF(OR($B99&lt;=Setup!$E$12,$B99&gt;=Setup!$D$12+1),0,IF($F99&lt;&gt;"Active",0,IF($AE99="Yes",$AB99,((YEAR($AC99)*12)+MONTH($AC99))-((YEAR($AD99)*12)+MONTH($AD99)-1))))</f>
        <v>7</v>
      </c>
      <c r="AB99" s="146">
        <f ca="1">IF(OR($B99&lt;=Setup!$E$12,$B99&gt;=Setup!$D$12+1),0,((YEAR($AC99)*12)+MONTH($AC99))-((YEAR(Setup!$E$12)*12)+MONTH(Setup!$E$12)))</f>
        <v>7</v>
      </c>
      <c r="AC99" s="186">
        <f t="shared" ca="1" si="32"/>
        <v>45194</v>
      </c>
      <c r="AD99" s="144">
        <f ca="1">IF(ISNA(VLOOKUP($C99,EmpAll,COLUMN(Emp!$E$4),0)),$AC99,IF(VLOOKUP($C99,EmpAll,COLUMN(Emp!$E$4),0)&lt;=Setup!$E$12,DATE(YEAR(Setup!$E$12),MONTH(Setup!$E$12)+1,1),VLOOKUP($C99,EmpAll,COLUMN(Emp!$E$4),0)))</f>
        <v>44986</v>
      </c>
      <c r="AE99" s="144" t="str">
        <f ca="1">IF(ISNA(VLOOKUP($C99,EmpAll,COLUMN(Emp!$G$1),0)),"-",IF(VLOOKUP($C99,EmpAll,COLUMN(Emp!$G$1),0)=0,"-",VLOOKUP($C99,EmpAll,COLUMN(Emp!$G$1),0)))</f>
        <v>-</v>
      </c>
      <c r="AF99" s="145">
        <f ca="1">IF(A99=PaySlip!$G$3,1,0)</f>
        <v>0</v>
      </c>
      <c r="AG99" s="130" cm="1">
        <f t="array" aca="1" ref="AG99" ca="1">IF(COUNTIFS(OverEmp,$C99,OverMed,"MED",OverDate,"&lt;"&amp;DATE(YEAR($AC99),MONTH($AC99)+1,1),OverEnd,"&gt;="&amp;DATE(YEAR($AC99),MONTH($AC99),1))&gt;0,SUMIFS(OverValue,OverEmp,$C99,OverMed,"MED",OverDate,"&lt;"&amp;DATE(YEAR($AC99),MONTH($AC99)+1,1),OverEnd,"&gt;="&amp;DATE(YEAR($AC99),MONTH($AC99),1)),IF(ISNA(VLOOKUP($C99,EmpAll,COLUMN(Emp!$N$4),0)),0,VLOOKUP($C99,EmpAll,COLUMN(Emp!$N$4),0)))</f>
        <v>1</v>
      </c>
      <c r="AH99" s="146">
        <f ca="1">VLOOKUP($AG99,MedList,COLUMN(Setup!$C$49),1)</f>
        <v>364</v>
      </c>
      <c r="AI99" s="146">
        <f t="shared" ca="1" si="40"/>
        <v>4368</v>
      </c>
      <c r="AJ99" s="101" t="str">
        <f ca="1">IF(ISNA(VLOOKUP($C99,EmpAll,COLUMN(Emp!$L$4),0)),"None!",VLOOKUP($C99,EmpAll,COLUMN(Emp!$L$4),0))</f>
        <v>A</v>
      </c>
      <c r="AK99" s="147">
        <f t="shared" ca="1" si="33"/>
        <v>17235</v>
      </c>
      <c r="AL99" s="101" t="str">
        <f ca="1">IF(ISNA(VLOOKUP($C99,Employees[],COLUMN(Emp!$M$4),0))=TRUE,"Error!",IF(VLOOKUP($C99,Employees[],COLUMN(Emp!$M$4),0)=0,"Yes",VLOOKUP($C99,Employees[],COLUMN(Emp!$M$4),0)))</f>
        <v>A</v>
      </c>
      <c r="AM99" s="148">
        <f t="shared" ca="1" si="41"/>
        <v>180000</v>
      </c>
      <c r="AN99" s="148" cm="1">
        <f t="array" aca="1" ref="AN99" ca="1">-IF($F99="Terminated",0,IF($AA99=0,0,IF(ISNA(MATCH(AN$5,PayDedList,0)),0,MIN(IF(COUNTIFS(OverEmp,$C99,OverDeduct,AN$5,OverDate,"&lt;"&amp;DATE(YEAR($AC99),MONTH($AC99)+1,1),OverEnd,"&gt;="&amp;DATE(YEAR($AC99),MONTH($AC99),1))&gt;0,SUMPRODUCT((PayEmp=$C99)*(PayDate&lt;=$AC99)*(OFFSET($N$6,1,MATCH(AN$5,PayDedList,0)-1,PayCount,1)))/$AA99*12*AN$3,IF(OR(AN$1="Fixed",AN$1="Not Used"),SUMPRODUCT((PayEmp=$C99)*(PayDate&lt;=$AC99)*(OFFSET($N$6,1,MATCH(AN$5,PayDedList,0)-1,PayCount,1)))/$AA99*12*AN$3,IF(ISNA(MATCH(AN$1,EarnListItem,0))=FALSE,SUMPRODUCT((PayEmp=$C99)*(PayDate&lt;=$AC99)*(OFFSET($N$6,1,MATCH(AN$5,PayDedList,0)-1,PayCount,1)))/$AA99*12*AN$3,(MIN(((SUMPRODUCT((PayEmp=$C99)*(PayDate&lt;=$AC99)*(ISERROR(SEARCH(PayEarnCode,AN$2)))*(PayEarnType="Monthly")*(PayEarnValues))/$AA99*12)+(SUMPRODUCT((PayEmp=$C99)*(PayDate&lt;=$AC99)*(ISERROR(SEARCH(PayEarnCode,AN$2)))*(PayEarnType="Quarterly")*(PayEarnValues))/MAX(1,ROUNDDOWN($AB99/3,0))*4)+(SUMPRODUCT((PayEmp=$C99)*(PayDate&lt;=$AC99)*(ISERROR(SEARCH(PayEarnCode,AN$2)))*(PayEarnType="Bi-Annual")*(PayEarnValues))/MAX(1,ROUNDDOWN($AB99/6,0))*2)+(SUMPRODUCT((PayEmp=$C99)*(PayDate&lt;=$AC99)*(ISERROR(SEARCH(PayEarnCode,AN$2)))*(PayEarnType="Annual")*(PayEarnValues)))),IF(ISNUMBER(OFFSET($N$3,0,MATCH(AN$5,PayDedList,0)-1,1,1)),OFFSET($N$3,0,MATCH(AN$5,PayDedList,0)-1,1,1),IgnoreMin)))*IF(COUNTIFS(EmpNo,$C99,OFFSET(Emp!$R$4,1,MATCH(AN$5,DedListItem,0)-1,EmpCount,1),"&lt;&gt;")&gt;0,VLOOKUP($C99,EmpAll,COLUMN(Emp!$R$4)+MATCH(AN$5,DedListItem,0)-1,0),OFFSET(Setup!$E$73,MATCH(AN$5,DedListItem,0),0,1,1))*AN$3))),IF(ISNUMBER(AN$4),AN$4,IgnoreMin)))))</f>
        <v>0</v>
      </c>
      <c r="AO99" s="148" cm="1">
        <f t="array" aca="1" ref="AO99" ca="1">-IF($F99="Terminated",0,IF($AA99=0,0,IF(ISNA(MATCH(AO$5,PayDedList,0)),0,MIN(IF(COUNTIFS(OverEmp,$C99,OverDeduct,AO$5,OverDate,"&lt;"&amp;DATE(YEAR($AC99),MONTH($AC99)+1,1),OverEnd,"&gt;="&amp;DATE(YEAR($AC99),MONTH($AC99),1))&gt;0,SUMPRODUCT((PayEmp=$C99)*(PayDate&lt;=$AC99)*(OFFSET($N$6,1,MATCH(AO$5,PayDedList,0)-1,PayCount,1)))/$AA99*12*AO$3,IF(OR(AO$1="Fixed",AO$1="Not Used"),SUMPRODUCT((PayEmp=$C99)*(PayDate&lt;=$AC99)*(OFFSET($N$6,1,MATCH(AO$5,PayDedList,0)-1,PayCount,1)))/$AA99*12*AO$3,IF(ISNA(MATCH(AO$1,EarnListItem,0))=FALSE,SUMPRODUCT((PayEmp=$C99)*(PayDate&lt;=$AC99)*(OFFSET($N$6,1,MATCH(AO$5,PayDedList,0)-1,PayCount,1)))/$AA99*12*AO$3,(MIN(((SUMPRODUCT((PayEmp=$C99)*(PayDate&lt;=$AC99)*(ISERROR(SEARCH(PayEarnCode,AO$2)))*(PayEarnType="Monthly")*(PayEarnValues))/$AA99*12)+(SUMPRODUCT((PayEmp=$C99)*(PayDate&lt;=$AC99)*(ISERROR(SEARCH(PayEarnCode,AO$2)))*(PayEarnType="Quarterly")*(PayEarnValues))/MAX(1,ROUNDDOWN($AB99/3,0))*4)+(SUMPRODUCT((PayEmp=$C99)*(PayDate&lt;=$AC99)*(ISERROR(SEARCH(PayEarnCode,AO$2)))*(PayEarnType="Bi-Annual")*(PayEarnValues))/MAX(1,ROUNDDOWN($AB99/6,0))*2)+(SUMPRODUCT((PayEmp=$C99)*(PayDate&lt;=$AC99)*(ISERROR(SEARCH(PayEarnCode,AO$2)))*(PayEarnType="Annual")*(PayEarnValues)))),IF(ISNUMBER(OFFSET($N$3,0,MATCH(AO$5,PayDedList,0)-1,1,1)),OFFSET($N$3,0,MATCH(AO$5,PayDedList,0)-1,1,1),IgnoreMin)))*IF(COUNTIFS(EmpNo,$C99,OFFSET(Emp!$R$4,1,MATCH(AO$5,DedListItem,0)-1,EmpCount,1),"&lt;&gt;")&gt;0,VLOOKUP($C99,EmpAll,COLUMN(Emp!$R$4)+MATCH(AO$5,DedListItem,0)-1,0),OFFSET(Setup!$E$73,MATCH(AO$5,DedListItem,0),0,1,1))*AO$3))),IF(ISNUMBER(AO$4),AO$4,IgnoreMin)))))</f>
        <v>0</v>
      </c>
      <c r="AP99" s="148" cm="1">
        <f t="array" aca="1" ref="AP99" ca="1">-IF($F99="Terminated",0,IF($AA99=0,0,IF(ISNA(MATCH(AP$5,PayDedList,0)),0,MIN(IF(COUNTIFS(OverEmp,$C99,OverDeduct,AP$5,OverDate,"&lt;"&amp;DATE(YEAR($AC99),MONTH($AC99)+1,1),OverEnd,"&gt;="&amp;DATE(YEAR($AC99),MONTH($AC99),1))&gt;0,SUMPRODUCT((PayEmp=$C99)*(PayDate&lt;=$AC99)*(OFFSET($N$6,1,MATCH(AP$5,PayDedList,0)-1,PayCount,1)))/$AA99*12*AP$3,IF(OR(AP$1="Fixed",AP$1="Not Used"),SUMPRODUCT((PayEmp=$C99)*(PayDate&lt;=$AC99)*(OFFSET($N$6,1,MATCH(AP$5,PayDedList,0)-1,PayCount,1)))/$AA99*12*AP$3,IF(ISNA(MATCH(AP$1,EarnListItem,0))=FALSE,SUMPRODUCT((PayEmp=$C99)*(PayDate&lt;=$AC99)*(OFFSET($N$6,1,MATCH(AP$5,PayDedList,0)-1,PayCount,1)))/$AA99*12*AP$3,(MIN(((SUMPRODUCT((PayEmp=$C99)*(PayDate&lt;=$AC99)*(ISERROR(SEARCH(PayEarnCode,AP$2)))*(PayEarnType="Monthly")*(PayEarnValues))/$AA99*12)+(SUMPRODUCT((PayEmp=$C99)*(PayDate&lt;=$AC99)*(ISERROR(SEARCH(PayEarnCode,AP$2)))*(PayEarnType="Quarterly")*(PayEarnValues))/MAX(1,ROUNDDOWN($AB99/3,0))*4)+(SUMPRODUCT((PayEmp=$C99)*(PayDate&lt;=$AC99)*(ISERROR(SEARCH(PayEarnCode,AP$2)))*(PayEarnType="Bi-Annual")*(PayEarnValues))/MAX(1,ROUNDDOWN($AB99/6,0))*2)+(SUMPRODUCT((PayEmp=$C99)*(PayDate&lt;=$AC99)*(ISERROR(SEARCH(PayEarnCode,AP$2)))*(PayEarnType="Annual")*(PayEarnValues)))),IF(ISNUMBER(OFFSET($N$3,0,MATCH(AP$5,PayDedList,0)-1,1,1)),OFFSET($N$3,0,MATCH(AP$5,PayDedList,0)-1,1,1),IgnoreMin)))*IF(COUNTIFS(EmpNo,$C99,OFFSET(Emp!$R$4,1,MATCH(AP$5,DedListItem,0)-1,EmpCount,1),"&lt;&gt;")&gt;0,VLOOKUP($C99,EmpAll,COLUMN(Emp!$R$4)+MATCH(AP$5,DedListItem,0)-1,0),OFFSET(Setup!$E$73,MATCH(AP$5,DedListItem,0),0,1,1))*AP$3))),IF(ISNUMBER(AP$4),AP$4,IgnoreMin)))))</f>
        <v>0</v>
      </c>
      <c r="AQ99" s="148" cm="1">
        <f t="array" aca="1" ref="AQ99" ca="1">-IF($F99="Terminated",0,IF($AA99=0,0,IF(ISNA(MATCH(AQ$5,PayDedList,0)),0,MIN(IF(COUNTIFS(OverEmp,$C99,OverDeduct,AQ$5,OverDate,"&lt;"&amp;DATE(YEAR($AC99),MONTH($AC99)+1,1),OverEnd,"&gt;="&amp;DATE(YEAR($AC99),MONTH($AC99),1))&gt;0,SUMPRODUCT((PayEmp=$C99)*(PayDate&lt;=$AC99)*(OFFSET($N$6,1,MATCH(AQ$5,PayDedList,0)-1,PayCount,1)))/$AA99*12*AQ$3,IF(OR(AQ$1="Fixed",AQ$1="Not Used"),SUMPRODUCT((PayEmp=$C99)*(PayDate&lt;=$AC99)*(OFFSET($N$6,1,MATCH(AQ$5,PayDedList,0)-1,PayCount,1)))/$AA99*12*AQ$3,IF(ISNA(MATCH(AQ$1,EarnListItem,0))=FALSE,SUMPRODUCT((PayEmp=$C99)*(PayDate&lt;=$AC99)*(OFFSET($N$6,1,MATCH(AQ$5,PayDedList,0)-1,PayCount,1)))/$AA99*12*AQ$3,(MIN(((SUMPRODUCT((PayEmp=$C99)*(PayDate&lt;=$AC99)*(ISERROR(SEARCH(PayEarnCode,AQ$2)))*(PayEarnType="Monthly")*(PayEarnValues))/$AA99*12)+(SUMPRODUCT((PayEmp=$C99)*(PayDate&lt;=$AC99)*(ISERROR(SEARCH(PayEarnCode,AQ$2)))*(PayEarnType="Quarterly")*(PayEarnValues))/MAX(1,ROUNDDOWN($AB99/3,0))*4)+(SUMPRODUCT((PayEmp=$C99)*(PayDate&lt;=$AC99)*(ISERROR(SEARCH(PayEarnCode,AQ$2)))*(PayEarnType="Bi-Annual")*(PayEarnValues))/MAX(1,ROUNDDOWN($AB99/6,0))*2)+(SUMPRODUCT((PayEmp=$C99)*(PayDate&lt;=$AC99)*(ISERROR(SEARCH(PayEarnCode,AQ$2)))*(PayEarnType="Annual")*(PayEarnValues)))),IF(ISNUMBER(OFFSET($N$3,0,MATCH(AQ$5,PayDedList,0)-1,1,1)),OFFSET($N$3,0,MATCH(AQ$5,PayDedList,0)-1,1,1),IgnoreMin)))*IF(COUNTIFS(EmpNo,$C99,OFFSET(Emp!$R$4,1,MATCH(AQ$5,DedListItem,0)-1,EmpCount,1),"&lt;&gt;")&gt;0,VLOOKUP($C99,EmpAll,COLUMN(Emp!$R$4)+MATCH(AQ$5,DedListItem,0)-1,0),OFFSET(Setup!$E$73,MATCH(AQ$5,DedListItem,0),0,1,1))*AQ$3))),IF(ISNUMBER(AQ$4),AQ$4,IgnoreMin)))))</f>
        <v>0</v>
      </c>
      <c r="AR99" s="148">
        <f t="shared" ca="1" si="34"/>
        <v>180000</v>
      </c>
      <c r="AS99" s="148">
        <f t="shared" ca="1" si="42"/>
        <v>180000</v>
      </c>
      <c r="AT99" s="148" cm="1">
        <f t="array" aca="1" ref="AT99" ca="1">-IF($F99="Terminated",0,IF($AA99=0,0,IF(ISNA(MATCH(AT$5,PayDedList,0)),0,MIN(IF(COUNTIFS(OverEmp,$C99,OverDeduct,AT$5,OverDate,"&lt;"&amp;DATE(YEAR($AC99),MONTH($AC99)+1,1),OverEnd,"&gt;="&amp;DATE(YEAR($AC99),MONTH($AC99),1))&gt;0,SUMPRODUCT((PayEmp=$C99)*(PayDate&lt;=$AC99)*(OFFSET($N$6,1,MATCH(AT$5,PayDedList,0)-1,PayCount,1)))/$AA99*12*AT$3,IF(OR(AT$1="Fixed",AT$1="Not Used"),SUMPRODUCT((PayEmp=$C99)*(PayDate&lt;=$AC99)*(OFFSET($N$6,1,MATCH(AT$5,PayDedList,0)-1,PayCount,1)))/$AA99*12*AT$3,IF(ISNA(MATCH(OFFSET($N$2,0,MATCH(AT$5,PayDedList,0)-1,1,1),EarnListItem,0))=FALSE,SUMPRODUCT((PayEmp=$C99)*(PayDate&lt;=$AC99)*(OFFSET($N$6,1,MATCH(AT$5,PayDedList,0)-1,PayCount,1)))/$AA99*12*AT$3,(MIN(SUMPRODUCT((PayEmp=$C99)*(PayDate&lt;=$AC99)*(ISERROR(SEARCH(PayEarnCode,AT$2)))*(PayEarnType="Monthly")*(PayEarnValues))/$AA99*12,IF(ISNUMBER(OFFSET($N$3,0,MATCH(AT$5,PayDedList,0)-1,1,1)),OFFSET($N$3,0,MATCH(AT$5,PayDedList,0)-1,1,1),IgnoreMin)))*IF(COUNTIFS(EmpNo,$C99,OFFSET(Emp!$R$4,1,MATCH(AT$5,DedListItem,0)-1,EmpCount,1),"&lt;&gt;")&gt;0,VLOOKUP($C99,EmpAll,COLUMN(Emp!$R$4)+MATCH(AT$5,DedListItem,0)-1,0),OFFSET(Setup!$E$73,MATCH(AT$5,DedListItem,0),0,1,1))*AT$3))),IF(ISNUMBER(AT$4),AT$4,IgnoreMin)))))</f>
        <v>0</v>
      </c>
      <c r="AU99" s="148" cm="1">
        <f t="array" aca="1" ref="AU99" ca="1">-IF($F99="Terminated",0,IF($AA99=0,0,IF(ISNA(MATCH(AU$5,PayDedList,0)),0,MIN(IF(COUNTIFS(OverEmp,$C99,OverDeduct,AU$5,OverDate,"&lt;"&amp;DATE(YEAR($AC99),MONTH($AC99)+1,1),OverEnd,"&gt;="&amp;DATE(YEAR($AC99),MONTH($AC99),1))&gt;0,SUMPRODUCT((PayEmp=$C99)*(PayDate&lt;=$AC99)*(OFFSET($N$6,1,MATCH(AU$5,PayDedList,0)-1,PayCount,1)))/$AA99*12*AU$3,IF(OR(AU$1="Fixed",AU$1="Not Used"),SUMPRODUCT((PayEmp=$C99)*(PayDate&lt;=$AC99)*(OFFSET($N$6,1,MATCH(AU$5,PayDedList,0)-1,PayCount,1)))/$AA99*12*AU$3,IF(ISNA(MATCH(OFFSET($N$2,0,MATCH(AU$5,PayDedList,0)-1,1,1),EarnListItem,0))=FALSE,SUMPRODUCT((PayEmp=$C99)*(PayDate&lt;=$AC99)*(OFFSET($N$6,1,MATCH(AU$5,PayDedList,0)-1,PayCount,1)))/$AA99*12*AU$3,(MIN(SUMPRODUCT((PayEmp=$C99)*(PayDate&lt;=$AC99)*(ISERROR(SEARCH(PayEarnCode,AU$2)))*(PayEarnType="Monthly")*(PayEarnValues))/$AA99*12,IF(ISNUMBER(OFFSET($N$3,0,MATCH(AU$5,PayDedList,0)-1,1,1)),OFFSET($N$3,0,MATCH(AU$5,PayDedList,0)-1,1,1),IgnoreMin)))*IF(COUNTIFS(EmpNo,$C99,OFFSET(Emp!$R$4,1,MATCH(AU$5,DedListItem,0)-1,EmpCount,1),"&lt;&gt;")&gt;0,VLOOKUP($C99,EmpAll,COLUMN(Emp!$R$4)+MATCH(AU$5,DedListItem,0)-1,0),OFFSET(Setup!$E$73,MATCH(AU$5,DedListItem,0),0,1,1))*AU$3))),IF(ISNUMBER(AU$4),AU$4,IgnoreMin)))))</f>
        <v>0</v>
      </c>
      <c r="AV99" s="148" cm="1">
        <f t="array" aca="1" ref="AV99" ca="1">-IF($F99="Terminated",0,IF($AA99=0,0,IF(ISNA(MATCH(AV$5,PayDedList,0)),0,MIN(IF(COUNTIFS(OverEmp,$C99,OverDeduct,AV$5,OverDate,"&lt;"&amp;DATE(YEAR($AC99),MONTH($AC99)+1,1),OverEnd,"&gt;="&amp;DATE(YEAR($AC99),MONTH($AC99),1))&gt;0,SUMPRODUCT((PayEmp=$C99)*(PayDate&lt;=$AC99)*(OFFSET($N$6,1,MATCH(AV$5,PayDedList,0)-1,PayCount,1)))/$AA99*12*AV$3,IF(OR(AV$1="Fixed",AV$1="Not Used"),SUMPRODUCT((PayEmp=$C99)*(PayDate&lt;=$AC99)*(OFFSET($N$6,1,MATCH(AV$5,PayDedList,0)-1,PayCount,1)))/$AA99*12*AV$3,IF(ISNA(MATCH(OFFSET($N$2,0,MATCH(AV$5,PayDedList,0)-1,1,1),EarnListItem,0))=FALSE,SUMPRODUCT((PayEmp=$C99)*(PayDate&lt;=$AC99)*(OFFSET($N$6,1,MATCH(AV$5,PayDedList,0)-1,PayCount,1)))/$AA99*12*AV$3,(MIN(SUMPRODUCT((PayEmp=$C99)*(PayDate&lt;=$AC99)*(ISERROR(SEARCH(PayEarnCode,AV$2)))*(PayEarnType="Monthly")*(PayEarnValues))/$AA99*12,IF(ISNUMBER(OFFSET($N$3,0,MATCH(AV$5,PayDedList,0)-1,1,1)),OFFSET($N$3,0,MATCH(AV$5,PayDedList,0)-1,1,1),IgnoreMin)))*IF(COUNTIFS(EmpNo,$C99,OFFSET(Emp!$R$4,1,MATCH(AV$5,DedListItem,0)-1,EmpCount,1),"&lt;&gt;")&gt;0,VLOOKUP($C99,EmpAll,COLUMN(Emp!$R$4)+MATCH(AV$5,DedListItem,0)-1,0),OFFSET(Setup!$E$73,MATCH(AV$5,DedListItem,0),0,1,1))*AV$3))),IF(ISNUMBER(AV$4),AV$4,IgnoreMin)))))</f>
        <v>0</v>
      </c>
      <c r="AW99" s="148" cm="1">
        <f t="array" aca="1" ref="AW99" ca="1">-IF($F99="Terminated",0,IF($AA99=0,0,IF(ISNA(MATCH(AW$5,PayDedList,0)),0,MIN(IF(COUNTIFS(OverEmp,$C99,OverDeduct,AW$5,OverDate,"&lt;"&amp;DATE(YEAR($AC99),MONTH($AC99)+1,1),OverEnd,"&gt;="&amp;DATE(YEAR($AC99),MONTH($AC99),1))&gt;0,SUMPRODUCT((PayEmp=$C99)*(PayDate&lt;=$AC99)*(OFFSET($N$6,1,MATCH(AW$5,PayDedList,0)-1,PayCount,1)))/$AA99*12*AW$3,IF(OR(AW$1="Fixed",AW$1="Not Used"),SUMPRODUCT((PayEmp=$C99)*(PayDate&lt;=$AC99)*(OFFSET($N$6,1,MATCH(AW$5,PayDedList,0)-1,PayCount,1)))/$AA99*12*AW$3,IF(ISNA(MATCH(OFFSET($N$2,0,MATCH(AW$5,PayDedList,0)-1,1,1),EarnListItem,0))=FALSE,SUMPRODUCT((PayEmp=$C99)*(PayDate&lt;=$AC99)*(OFFSET($N$6,1,MATCH(AW$5,PayDedList,0)-1,PayCount,1)))/$AA99*12*AW$3,(MIN(SUMPRODUCT((PayEmp=$C99)*(PayDate&lt;=$AC99)*(ISERROR(SEARCH(PayEarnCode,AW$2)))*(PayEarnType="Monthly")*(PayEarnValues))/$AA99*12,IF(ISNUMBER(OFFSET($N$3,0,MATCH(AW$5,PayDedList,0)-1,1,1)),OFFSET($N$3,0,MATCH(AW$5,PayDedList,0)-1,1,1),IgnoreMin)))*IF(COUNTIFS(EmpNo,$C99,OFFSET(Emp!$R$4,1,MATCH(AW$5,DedListItem,0)-1,EmpCount,1),"&lt;&gt;")&gt;0,VLOOKUP($C99,EmpAll,COLUMN(Emp!$R$4)+MATCH(AW$5,DedListItem,0)-1,0),OFFSET(Setup!$E$73,MATCH(AW$5,DedListItem,0),0,1,1))*AW$3))),IF(ISNUMBER(AW$4),AW$4,IgnoreMin)))))</f>
        <v>0</v>
      </c>
      <c r="AX99" s="148">
        <f t="shared" ca="1" si="43"/>
        <v>180000</v>
      </c>
      <c r="AY99" s="148">
        <f t="shared" ca="1" si="44"/>
        <v>0</v>
      </c>
      <c r="AZ99" s="148">
        <f ca="1">IF(ISNUMBER($AL99),($AR99*$AL99)-$AI99-$AK99,MAX(0,IF($AL99="B",IF($AR99&lt;Setup!$C$32,($AR99*Setup!$D$32)-$AI99-$AK99,(($AR99-VLOOKUP($AR99,TaxAll2,1,1))*OFFSET(Setup!$D$32,MATCH($AR99,TaxBracket2,1),0,1,1))+OFFSET(Setup!$E$31,MATCH($AR99,TaxBracket2,1),0,1,1)-$AI99-$AK99),IF($AR99&lt;Setup!$C$21,($AR99*Setup!$D$21)-$AI99-$AK99,(($AR99-VLOOKUP($AR99,TaxAll1,1,1))*OFFSET(Setup!$D$21,MATCH($AR99,TaxBracket1,1),0,1,1))+OFFSET(Setup!$E$20,MATCH($AR99,TaxBracket1,1),0,1,1)-$AI99-$AK99))))</f>
        <v>10797</v>
      </c>
      <c r="BA99" s="148">
        <f ca="1">IF(ISNUMBER($AL99),($AX99*$AL99)-$AI99-$AK99,MAX(0,IF($AL99="B",IF($AX99&lt;Setup!$C$32,($AX99*Setup!$D$32)-$AI99-$AK99,(($AX99-VLOOKUP($AX99,TaxAll2,1,1))*OFFSET(Setup!$D$32,MATCH($AX99,TaxBracket2,1),0,1,1))+OFFSET(Setup!$E$31,MATCH($AX99,TaxBracket2,1),0,1,1)-$AI99-$AK99),IF($AX99&lt;Setup!$C$21,($AX99*Setup!$D$21)-$AI99-$AK99,(($AX99-VLOOKUP($AX99,TaxAll1,1,1))*OFFSET(Setup!$D$21,MATCH($AX99,TaxBracket1,1),0,1,1))+OFFSET(Setup!$E$20,MATCH($AX99,TaxBracket1,1),0,1,1)-$AI99-$AK99))))</f>
        <v>10797</v>
      </c>
      <c r="BB99" s="148">
        <f t="shared" ca="1" si="35"/>
        <v>0</v>
      </c>
      <c r="BC99" s="150">
        <f t="shared" ca="1" si="45"/>
        <v>1</v>
      </c>
      <c r="BD99" s="150">
        <f t="shared" ca="1" si="46"/>
        <v>0</v>
      </c>
      <c r="BE99" s="148">
        <f t="shared" ca="1" si="47"/>
        <v>180000</v>
      </c>
    </row>
    <row r="100" spans="1:57" ht="16.149999999999999" customHeight="1" x14ac:dyDescent="0.25">
      <c r="A100" s="10" t="str" cm="1">
        <f t="array" aca="1" ref="A100" ca="1">IF(ROW($A100)-ROW($A$6)&gt;EmpCount*12,"-",TEXT($B100,"yyyy")&amp;TEXT($B100,"mm")&amp;"-"&amp;$C100)</f>
        <v>202309-EXS004</v>
      </c>
      <c r="B100" s="137" cm="1">
        <f t="array" aca="1" ref="B100" ca="1">IF(ROW($A100)-ROW($A$6)&gt;EmpCount*12,Setup!$D$12,DATE(YEAR(Setup!$F$12),MONTH(Setup!$F$12)+ROUNDDOWN((ROW($A100)-ROW($A$6)-1)/EmpCount,0),IF(Setup!$C$14&gt;DAY(DATE(YEAR(Setup!$F$12),MONTH(Setup!$F$12)+ROUNDDOWN((ROW($A100)-ROW($A$6)-1)/EmpCount,0)+1,0)),DAY(DATE(YEAR(Setup!$F$12),MONTH(Setup!$F$12)+ROUNDDOWN((ROW($A100)-ROW($A$6)-1)/EmpCount,0)+1,0)),Setup!$C$14)))</f>
        <v>45194</v>
      </c>
      <c r="C100" s="101" t="str" cm="1">
        <f t="array" aca="1" ref="C100" ca="1">IF(ROW($A100)-ROW($A$6)&gt;EmpCount*12,"-",OFFSET(Emp!$A$4,ROW($A100)-ROW($A$6)-IF(ROW($A100)-ROW($A$6)&gt;EmpCount,ROUNDDOWN((ROW($A100)-ROW($A$6)-1)/EmpCount,0)*EmpCount,0),0,1,1))</f>
        <v>EXS004</v>
      </c>
      <c r="D100" s="10" t="str">
        <f ca="1">IF(ISNA(VLOOKUP($C100,EmpAll,COLUMN(Emp!$B$4),0)),"-",VLOOKUP($C100,EmpAll,COLUMN(Emp!$B$4),0))</f>
        <v>Osborne S</v>
      </c>
      <c r="E100" s="145" t="str">
        <f ca="1">IF(ISNA(VLOOKUP($C100,EmpAll,COLUMN(Emp!$C$4),0)),"-",VLOOKUP($C100,EmpAll,COLUMN(Emp!$C$4),0))</f>
        <v>S</v>
      </c>
      <c r="F100" s="101" t="str">
        <f ca="1">IF(ISNA(VLOOKUP($C100,EmpAll,COLUMN(Emp!$A$4),0)),"-",IF(AND(VLOOKUP($C100,EmpAll,COLUMN(Emp!$E$4),0)&lt;&gt;0,VLOOKUP($C100,EmpAll,COLUMN(Emp!$E$4),0)&gt;=DATE(YEAR($AC100),MONTH($AC100)+1,0)),"Inactive",IF(AND(VLOOKUP($C100,EmpAll,COLUMN(Emp!$F$4),0)&lt;&gt;0,VLOOKUP($C100,EmpAll,COLUMN(Emp!$F$4),0)&lt;=DATE(YEAR($AC100),MONTH($AC100),0)),"Terminated","Active")))</f>
        <v>Active</v>
      </c>
      <c r="G100" s="133" cm="1">
        <f t="array" aca="1" ref="G100" ca="1">IF($F100&lt;&gt;"Active",0,IF(COUNTIFS(OverEmp,$C100,OverEarn,G$2,OverDate,"&lt;"&amp;DATE(YEAR($AC100),MONTH($AC100)+1,1),OverEnd,"&gt;="&amp;DATE(YEAR($AC100),MONTH($AC100),1))&gt;0,SUMIFS(OverValue,OverEmp,$C100,OverEarn,G$2,OverDate,"&lt;"&amp;DATE(YEAR($AC100),MONTH($AC100)+1,1),OverEnd,"&gt;="&amp;DATE(YEAR($AC100),MONTH($AC100),1)),IF(AND($AC100&gt;=Setup!$E$10,SUMIFS(EmpIncrease,EmpCode,$C100)&gt;0),SUMIFS(EmpIncrease,EmpCode,$C100),SUMIFS(EmpSalary,EmpCode,$C100))))</f>
        <v>15000</v>
      </c>
      <c r="H100" s="133" cm="1">
        <f t="array" aca="1" ref="H100" ca="1">IF($F100&lt;&gt;"Active",0,IF(COUNTIFS(OverEmp,$C100,OverEarn,H$2,OverDate,"&lt;"&amp;DATE(YEAR($AC100),MONTH($AC100)+1,1),OverEnd,"&gt;="&amp;DATE(YEAR($AC100),MONTH($AC100),1))&gt;0,SUMIFS(OverValue,OverEmp,$C100,OverEarn,H$2,OverDate,"&lt;"&amp;DATE(YEAR($AC100),MONTH($AC100)+1,1),OverEnd,"&gt;="&amp;DATE(YEAR($AC100),MONTH($AC100),1)),0))</f>
        <v>0</v>
      </c>
      <c r="I100" s="133" cm="1">
        <f t="array" aca="1" ref="I100" ca="1">IF($F100&lt;&gt;"Active",0,IF(COUNTIFS(OverEmp,$C100,OverEarn,I$2,OverDate,"&lt;"&amp;DATE(YEAR($AC100),MONTH($AC100)+1,1),OverEnd,"&gt;="&amp;DATE(YEAR($AC100),MONTH($AC100),1))&gt;0,SUMIFS(OverValue,OverEmp,$C100,OverEarn,I$2,OverDate,"&lt;"&amp;DATE(YEAR($AC100),MONTH($AC100)+1,1),OverEnd,"&gt;="&amp;DATE(YEAR($AC100),MONTH($AC100),1)),IF(MONTH(B100)=Setup!$C$15,SUMIFS(EmpBonus,EmpCode,$C100),0)))</f>
        <v>0</v>
      </c>
      <c r="J100" s="133" cm="1">
        <f t="array" aca="1" ref="J100" ca="1">IF($F100&lt;&gt;"Active",0,IF(COUNTIFS(OverEmp,$C100,OverEarn,J$2,OverDate,"&lt;"&amp;DATE(YEAR($AC100),MONTH($AC100)+1,1),OverEnd,"&gt;="&amp;DATE(YEAR($AC100),MONTH($AC100),1))&gt;0,SUMIFS(OverValue,OverEmp,$C100,OverEarn,J$2,OverDate,"&lt;"&amp;DATE(YEAR($AC100),MONTH($AC100)+1,1),OverEnd,"&gt;="&amp;DATE(YEAR($AC100),MONTH($AC100),1)),0))</f>
        <v>0</v>
      </c>
      <c r="K100" s="133" cm="1">
        <f t="array" aca="1" ref="K100" ca="1">IF($F100&lt;&gt;"Active",0,IF(COUNTIFS(OverEmp,$C100,OverEarn,K$2,OverDate,"&lt;"&amp;DATE(YEAR($AC100),MONTH($AC100)+1,1),OverEnd,"&gt;="&amp;DATE(YEAR($AC100),MONTH($AC100),1))&gt;0,SUMIFS(OverValue,OverEmp,$C100,OverEarn,K$2,OverDate,"&lt;"&amp;DATE(YEAR($AC100),MONTH($AC100)+1,1),OverEnd,"&gt;="&amp;DATE(YEAR($AC100),MONTH($AC100),1)),0))</f>
        <v>0</v>
      </c>
      <c r="L100" s="185">
        <f t="shared" ca="1" si="36"/>
        <v>15000</v>
      </c>
      <c r="M100" s="182" cm="1">
        <f t="array" aca="1" ref="M100" ca="1">IF(COUNTIFS(OverEmp,$C100,OverTax,M$5,OverDate,"&lt;"&amp;DATE(YEAR($AC100),MONTH($AC100)+1,1),OverEnd,"&gt;="&amp;DATE(YEAR($AC100),MONTH($AC100),1))&gt;0,SUMIFS(OverValue,OverEmp,$C100,OverTax,M$5,OverDate,"&lt;"&amp;DATE(YEAR($AC100),MONTH($AC100)+1,1),OverEnd,"&gt;="&amp;DATE(YEAR($AC100),MONTH($AC100),1)),(($BA100/12*$AA100)+(BB100*IF(1-$BC100=0,0,BD100/(1-$BC100))))-IF($F100="Terminated",0,SUMIFS(PayTaxDeduct,PayDate,"&lt;"&amp;$AC100,PayEmp,$C100)))</f>
        <v>899.75</v>
      </c>
      <c r="N100" s="133" cm="1">
        <f t="array" aca="1" ref="N100" ca="1">IF($F100="Terminated",0,IF($AA100=0,0,IF(ISNA(MATCH(N$5,DedListItem,0)),0,IF(COUNTIFS(OverEmp,$C100,OverDeduct,N$5,OverDate,"&lt;"&amp;DATE(YEAR($AC100),MONTH($AC100)+1,1),OverEnd,"&gt;="&amp;DATE(YEAR($AC100),MONTH($AC100),1))&gt;0,SUMIFS(OverValue,OverEmp,$C100,OverDeduct,N$5,OverDate,"&lt;"&amp;DATE(YEAR($AC100),MONTH($AC100)+1,1),OverEnd,"&gt;="&amp;DATE(YEAR($AC100),MONTH($AC100),1)),IF(OR(N$2="Fixed",N$2="Not Used"),(IF(COUNTIFS(EmpNo,$C100,OFFSET(Emp!$R$4,1,MATCH(N$5,DedListItem,0)-1,EmpCount,1),"&lt;&gt;")&gt;0,VLOOKUP($C100,EmpAll,COLUMN(Emp!$R$4)+MATCH(N$5,DedListItem,0)-1,0),OFFSET(Setup!$E$73,MATCH(N$5,DedListItem,0),0,1,1))*$AA100)-SUMIFS(OFFSET(N$6,1,0,PayCount,1),PayDate,"&lt;"&amp;$AC100,PayEmp,$C100),IF(ISNA(MATCH(N$2,EarnListItem,0))=FALSE,IF(OFFSET(Setup!$G$73,MATCH(N$5,DedListItem,0),0,1,1)="Taxable",SUMPRODUCT((PayEmp=$C100)*(PayDate&lt;=$AC100)*(PayEarnCode=N$2)*(PayEarnTax)*(PayEarnValues)),SUMPRODUCT((PayEmp=$C100)*(PayDate&lt;=$AC100)*(PayEarnCode=N$2)*(PayEarnValues)))*IF(COUNTIFS(EmpNo,$C100,OFFSET(Emp!$R$4,1,MATCH(N$5,DedListItem,0)-1,EmpCount,1),"&lt;&gt;")&gt;0,VLOOKUP($C100,EmpAll,COLUMN(Emp!$R$4)+MATCH(N$5,DedListItem,0)-1,0),OFFSET(Setup!$E$73,MATCH(N$5,DedListItem,0),0,1,1)),(MIN(IF(OFFSET(Setup!$G$73,MATCH(N$5,DedListItem,0),0,1,1)="Taxable",SUMPRODUCT((PayEmp=$C100)*(PayDate&lt;=$AC100)*(ISERROR(SEARCH(PayEarnCode,N$4)))*(PayEarnTax)*(PayEarnValues)),SUMPRODUCT((PayEmp=$C100)*(PayDate&lt;=$AC100)*(ISERROR(SEARCH(PayEarnCode,N$4)))*(PayEarnValues))),IF(ISNUMBER(N$3),N$3/12*$AA100,IgnoreMin)))*IF(COUNTIFS(EmpNo,$C100,OFFSET(Emp!$R$4,1,MATCH(N$5,DedListItem,0)-1,EmpCount,1),"&lt;&gt;")&gt;0,VLOOKUP($C100,EmpAll,COLUMN(Emp!$R$4)+MATCH(N$5,DedListItem,0)-1,0),OFFSET(Setup!$E$73,MATCH(N$5,DedListItem,0),0,1,1)))-SUMIFS(OFFSET(N$6,1,0,PayCount,1),PayDate,"&lt;"&amp;$AC100,PayEmp,$C100))))))</f>
        <v>150</v>
      </c>
      <c r="O100" s="133" cm="1">
        <f t="array" aca="1" ref="O100" ca="1">IF($F100="Terminated",0,IF($AA100=0,0,IF(ISNA(MATCH(O$5,DedListItem,0)),0,IF(COUNTIFS(OverEmp,$C100,OverDeduct,O$5,OverDate,"&lt;"&amp;DATE(YEAR($AC100),MONTH($AC100)+1,1),OverEnd,"&gt;="&amp;DATE(YEAR($AC100),MONTH($AC100),1))&gt;0,SUMIFS(OverValue,OverEmp,$C100,OverDeduct,O$5,OverDate,"&lt;"&amp;DATE(YEAR($AC100),MONTH($AC100)+1,1),OverEnd,"&gt;="&amp;DATE(YEAR($AC100),MONTH($AC100),1)),IF(OR(O$2="Fixed",O$2="Not Used"),(IF(COUNTIFS(EmpNo,$C100,OFFSET(Emp!$R$4,1,MATCH(O$5,DedListItem,0)-1,EmpCount,1),"&lt;&gt;")&gt;0,VLOOKUP($C100,EmpAll,COLUMN(Emp!$R$4)+MATCH(O$5,DedListItem,0)-1,0),OFFSET(Setup!$E$73,MATCH(O$5,DedListItem,0),0,1,1))*$AA100)-SUMIFS(OFFSET(O$6,1,0,PayCount,1),PayDate,"&lt;"&amp;$AC100,PayEmp,$C100),IF(ISNA(MATCH(O$2,EarnListItem,0))=FALSE,IF(OFFSET(Setup!$G$73,MATCH(O$5,DedListItem,0),0,1,1)="Taxable",SUMPRODUCT((PayEmp=$C100)*(PayDate&lt;=$AC100)*(PayEarnCode=O$2)*(PayEarnTax)*(PayEarnValues)),SUMPRODUCT((PayEmp=$C100)*(PayDate&lt;=$AC100)*(PayEarnCode=O$2)*(PayEarnValues)))*IF(COUNTIFS(EmpNo,$C100,OFFSET(Emp!$R$4,1,MATCH(O$5,DedListItem,0)-1,EmpCount,1),"&lt;&gt;")&gt;0,VLOOKUP($C100,EmpAll,COLUMN(Emp!$R$4)+MATCH(O$5,DedListItem,0)-1,0),OFFSET(Setup!$E$73,MATCH(O$5,DedListItem,0),0,1,1)),(MIN(IF(OFFSET(Setup!$G$73,MATCH(O$5,DedListItem,0),0,1,1)="Taxable",SUMPRODUCT((PayEmp=$C100)*(PayDate&lt;=$AC100)*(ISERROR(SEARCH(PayEarnCode,O$4)))*(PayEarnTax)*(PayEarnValues)),SUMPRODUCT((PayEmp=$C100)*(PayDate&lt;=$AC100)*(ISERROR(SEARCH(PayEarnCode,O$4)))*(PayEarnValues))),IF(ISNUMBER(O$3),O$3/12*$AA100,IgnoreMin)))*IF(COUNTIFS(EmpNo,$C100,OFFSET(Emp!$R$4,1,MATCH(O$5,DedListItem,0)-1,EmpCount,1),"&lt;&gt;")&gt;0,VLOOKUP($C100,EmpAll,COLUMN(Emp!$R$4)+MATCH(O$5,DedListItem,0)-1,0),OFFSET(Setup!$E$73,MATCH(O$5,DedListItem,0),0,1,1)))-SUMIFS(OFFSET(O$6,1,0,PayCount,1),PayDate,"&lt;"&amp;$AC100,PayEmp,$C100))))))</f>
        <v>0</v>
      </c>
      <c r="P100" s="133" cm="1">
        <f t="array" aca="1" ref="P100" ca="1">IF($F100="Terminated",0,IF($AA100=0,0,IF(ISNA(MATCH(P$5,DedListItem,0)),0,IF(COUNTIFS(OverEmp,$C100,OverDeduct,P$5,OverDate,"&lt;"&amp;DATE(YEAR($AC100),MONTH($AC100)+1,1),OverEnd,"&gt;="&amp;DATE(YEAR($AC100),MONTH($AC100),1))&gt;0,SUMIFS(OverValue,OverEmp,$C100,OverDeduct,P$5,OverDate,"&lt;"&amp;DATE(YEAR($AC100),MONTH($AC100)+1,1),OverEnd,"&gt;="&amp;DATE(YEAR($AC100),MONTH($AC100),1)),IF(OR(P$2="Fixed",P$2="Not Used"),(IF(COUNTIFS(EmpNo,$C100,OFFSET(Emp!$R$4,1,MATCH(P$5,DedListItem,0)-1,EmpCount,1),"&lt;&gt;")&gt;0,VLOOKUP($C100,EmpAll,COLUMN(Emp!$R$4)+MATCH(P$5,DedListItem,0)-1,0),OFFSET(Setup!$E$73,MATCH(P$5,DedListItem,0),0,1,1))*$AA100)-SUMIFS(OFFSET(P$6,1,0,PayCount,1),PayDate,"&lt;"&amp;$AC100,PayEmp,$C100),IF(ISNA(MATCH(P$2,EarnListItem,0))=FALSE,IF(OFFSET(Setup!$G$73,MATCH(P$5,DedListItem,0),0,1,1)="Taxable",SUMPRODUCT((PayEmp=$C100)*(PayDate&lt;=$AC100)*(PayEarnCode=P$2)*(PayEarnTax)*(PayEarnValues)),SUMPRODUCT((PayEmp=$C100)*(PayDate&lt;=$AC100)*(PayEarnCode=P$2)*(PayEarnValues)))*IF(COUNTIFS(EmpNo,$C100,OFFSET(Emp!$R$4,1,MATCH(P$5,DedListItem,0)-1,EmpCount,1),"&lt;&gt;")&gt;0,VLOOKUP($C100,EmpAll,COLUMN(Emp!$R$4)+MATCH(P$5,DedListItem,0)-1,0),OFFSET(Setup!$E$73,MATCH(P$5,DedListItem,0),0,1,1)),(MIN(IF(OFFSET(Setup!$G$73,MATCH(P$5,DedListItem,0),0,1,1)="Taxable",SUMPRODUCT((PayEmp=$C100)*(PayDate&lt;=$AC100)*(ISERROR(SEARCH(PayEarnCode,P$4)))*(PayEarnTax)*(PayEarnValues)),SUMPRODUCT((PayEmp=$C100)*(PayDate&lt;=$AC100)*(ISERROR(SEARCH(PayEarnCode,P$4)))*(PayEarnValues))),IF(ISNUMBER(P$3),P$3/12*$AA100,IgnoreMin)))*IF(COUNTIFS(EmpNo,$C100,OFFSET(Emp!$R$4,1,MATCH(P$5,DedListItem,0)-1,EmpCount,1),"&lt;&gt;")&gt;0,VLOOKUP($C100,EmpAll,COLUMN(Emp!$R$4)+MATCH(P$5,DedListItem,0)-1,0),OFFSET(Setup!$E$73,MATCH(P$5,DedListItem,0),0,1,1)))-SUMIFS(OFFSET(P$6,1,0,PayCount,1),PayDate,"&lt;"&amp;$AC100,PayEmp,$C100))))))</f>
        <v>500</v>
      </c>
      <c r="Q100" s="133" cm="1">
        <f t="array" aca="1" ref="Q100" ca="1">IF($F100="Terminated",0,IF($AA100=0,0,IF(ISNA(MATCH(Q$5,DedListItem,0)),0,IF(COUNTIFS(OverEmp,$C100,OverDeduct,Q$5,OverDate,"&lt;"&amp;DATE(YEAR($AC100),MONTH($AC100)+1,1),OverEnd,"&gt;="&amp;DATE(YEAR($AC100),MONTH($AC100),1))&gt;0,SUMIFS(OverValue,OverEmp,$C100,OverDeduct,Q$5,OverDate,"&lt;"&amp;DATE(YEAR($AC100),MONTH($AC100)+1,1),OverEnd,"&gt;="&amp;DATE(YEAR($AC100),MONTH($AC100),1)),IF(OR(Q$2="Fixed",Q$2="Not Used"),(IF(COUNTIFS(EmpNo,$C100,OFFSET(Emp!$R$4,1,MATCH(Q$5,DedListItem,0)-1,EmpCount,1),"&lt;&gt;")&gt;0,VLOOKUP($C100,EmpAll,COLUMN(Emp!$R$4)+MATCH(Q$5,DedListItem,0)-1,0),OFFSET(Setup!$E$73,MATCH(Q$5,DedListItem,0),0,1,1))*$AA100)-SUMIFS(OFFSET(Q$6,1,0,PayCount,1),PayDate,"&lt;"&amp;$AC100,PayEmp,$C100),IF(ISNA(MATCH(Q$2,EarnListItem,0))=FALSE,IF(OFFSET(Setup!$G$73,MATCH(Q$5,DedListItem,0),0,1,1)="Taxable",SUMPRODUCT((PayEmp=$C100)*(PayDate&lt;=$AC100)*(PayEarnCode=Q$2)*(PayEarnTax)*(PayEarnValues)),SUMPRODUCT((PayEmp=$C100)*(PayDate&lt;=$AC100)*(PayEarnCode=Q$2)*(PayEarnValues)))*IF(COUNTIFS(EmpNo,$C100,OFFSET(Emp!$R$4,1,MATCH(Q$5,DedListItem,0)-1,EmpCount,1),"&lt;&gt;")&gt;0,VLOOKUP($C100,EmpAll,COLUMN(Emp!$R$4)+MATCH(Q$5,DedListItem,0)-1,0),OFFSET(Setup!$E$73,MATCH(Q$5,DedListItem,0),0,1,1)),(MIN(IF(OFFSET(Setup!$G$73,MATCH(Q$5,DedListItem,0),0,1,1)="Taxable",SUMPRODUCT((PayEmp=$C100)*(PayDate&lt;=$AC100)*(ISERROR(SEARCH(PayEarnCode,Q$4)))*(PayEarnTax)*(PayEarnValues)),SUMPRODUCT((PayEmp=$C100)*(PayDate&lt;=$AC100)*(ISERROR(SEARCH(PayEarnCode,Q$4)))*(PayEarnValues))),IF(ISNUMBER(Q$3),Q$3/12*$AA100,IgnoreMin)))*IF(COUNTIFS(EmpNo,$C100,OFFSET(Emp!$R$4,1,MATCH(Q$5,DedListItem,0)-1,EmpCount,1),"&lt;&gt;")&gt;0,VLOOKUP($C100,EmpAll,COLUMN(Emp!$R$4)+MATCH(Q$5,DedListItem,0)-1,0),OFFSET(Setup!$E$73,MATCH(Q$5,DedListItem,0),0,1,1)))-SUMIFS(OFFSET(Q$6,1,0,PayCount,1),PayDate,"&lt;"&amp;$AC100,PayEmp,$C100))))))</f>
        <v>0</v>
      </c>
      <c r="R100" s="185">
        <f t="shared" ca="1" si="37"/>
        <v>1549.75</v>
      </c>
      <c r="S100" s="139">
        <f t="shared" ca="1" si="38"/>
        <v>13450.25</v>
      </c>
      <c r="T100" s="133" cm="1">
        <f t="array" aca="1" ref="T100" ca="1">IF($F100="Terminated",0,IF($AA100=0,0,IF(ISNA(MATCH(T$5,CompListItem,0)),0,IF(COUNTIFS(OverEmp,$C100,OverComp,T$5,OverDate,"&lt;"&amp;DATE(YEAR($AC100),MONTH($AC100)+1,1),OverEnd,"&gt;="&amp;DATE(YEAR($AC100),MONTH($AC100),1))&gt;0,SUMIFS(OverValue,OverEmp,$C100,OverComp,T$5,OverDate,"&lt;"&amp;DATE(YEAR($AC100),MONTH($AC100)+1,1),OverEnd,"&gt;="&amp;DATE(YEAR($AC100),MONTH($AC100),1)),IF(OR(T$2="Fixed",T$2="Not Used"),(OFFSET(Setup!$E$81,MATCH(T$5,CompListItem,0),0,1,1)*$AA100)-SUMIFS(OFFSET(T$6,1,0,PayCount,1),PayDate,"&lt;"&amp;$AC100,PayEmp,$C100),IF(ISNA(MATCH(T$2,DedListItem,0))=FALSE,(SUMPRODUCT((PayEmp=$C100)*(PayDate&lt;=$AC100)*(PayDedList=T$2)*(PayDedValues))*OFFSET(Setup!$E$81,MATCH(T$5,CompListItem,0),0,1,1))-SUMIFS(OFFSET(T$6,1,0,PayCount,1),PayDate,"&lt;"&amp;$AC100,PayEmp,$C100),(MIN(IF(OFFSET(Setup!$G$81,MATCH(T$5,CompListItem,0),0,1,1)="Taxable",SUMPRODUCT((PayEmp=$C100)*(PayDate&lt;=$AC100)*(ISERROR(SEARCH(PayEarnCode,T$4)))*(PayEarnTax)*(PayEarnValues)),SUMPRODUCT((PayEmp=$C100)*(PayDate&lt;=$AC100)*(ISERROR(SEARCH(PayEarnCode,T$4)))*(PayEarnValues))),IF(ISNUMBER(T$3),T$3/12*$AA100,IgnoreMin)))*OFFSET(Setup!$E$81,MATCH(T$5,CompListItem,0),0,1,1)-SUMIFS(OFFSET(T$6,1,0,PayCount,1),PayDate,"&lt;"&amp;$AC100,PayEmp,$C100)))))))</f>
        <v>150</v>
      </c>
      <c r="U100" s="133" cm="1">
        <f t="array" aca="1" ref="U100" ca="1">IF($F100="Terminated",0,IF($AA100=0,0,IF(ISNA(MATCH(U$5,CompListItem,0)),0,IF(COUNTIFS(OverEmp,$C100,OverComp,U$5,OverDate,"&lt;"&amp;DATE(YEAR($AC100),MONTH($AC100)+1,1),OverEnd,"&gt;="&amp;DATE(YEAR($AC100),MONTH($AC100),1))&gt;0,SUMIFS(OverValue,OverEmp,$C100,OverComp,U$5,OverDate,"&lt;"&amp;DATE(YEAR($AC100),MONTH($AC100)+1,1),OverEnd,"&gt;="&amp;DATE(YEAR($AC100),MONTH($AC100),1)),IF(OR(U$2="Fixed",U$2="Not Used"),(OFFSET(Setup!$E$81,MATCH(U$5,CompListItem,0),0,1,1)*$AA100)-SUMIFS(OFFSET(U$6,1,0,PayCount,1),PayDate,"&lt;"&amp;$AC100,PayEmp,$C100),IF(ISNA(MATCH(U$2,DedListItem,0))=FALSE,(SUMPRODUCT((PayEmp=$C100)*(PayDate&lt;=$AC100)*(PayDedList=U$2)*(PayDedValues))*OFFSET(Setup!$E$81,MATCH(U$5,CompListItem,0),0,1,1))-SUMIFS(OFFSET(U$6,1,0,PayCount,1),PayDate,"&lt;"&amp;$AC100,PayEmp,$C100),(MIN(IF(OFFSET(Setup!$G$81,MATCH(U$5,CompListItem,0),0,1,1)="Taxable",SUMPRODUCT((PayEmp=$C100)*(PayDate&lt;=$AC100)*(ISERROR(SEARCH(PayEarnCode,U$4)))*(PayEarnTax)*(PayEarnValues)),SUMPRODUCT((PayEmp=$C100)*(PayDate&lt;=$AC100)*(ISERROR(SEARCH(PayEarnCode,U$4)))*(PayEarnValues))),IF(ISNUMBER(U$3),U$3/12*$AA100,IgnoreMin)))*OFFSET(Setup!$E$81,MATCH(U$5,CompListItem,0),0,1,1)-SUMIFS(OFFSET(U$6,1,0,PayCount,1),PayDate,"&lt;"&amp;$AC100,PayEmp,$C100)))))))</f>
        <v>150</v>
      </c>
      <c r="V100" s="133" cm="1">
        <f t="array" aca="1" ref="V100" ca="1">IF($F100="Terminated",0,IF($AA100=0,0,IF(ISNA(MATCH(V$5,CompListItem,0)),0,IF(COUNTIFS(OverEmp,$C100,OverComp,V$5,OverDate,"&lt;"&amp;DATE(YEAR($AC100),MONTH($AC100)+1,1),OverEnd,"&gt;="&amp;DATE(YEAR($AC100),MONTH($AC100),1))&gt;0,SUMIFS(OverValue,OverEmp,$C100,OverComp,V$5,OverDate,"&lt;"&amp;DATE(YEAR($AC100),MONTH($AC100)+1,1),OverEnd,"&gt;="&amp;DATE(YEAR($AC100),MONTH($AC100),1)),IF(OR(V$2="Fixed",V$2="Not Used"),(OFFSET(Setup!$E$81,MATCH(V$5,CompListItem,0),0,1,1)*$AA100)-SUMIFS(OFFSET(V$6,1,0,PayCount,1),PayDate,"&lt;"&amp;$AC100,PayEmp,$C100),IF(ISNA(MATCH(V$2,DedListItem,0))=FALSE,(SUMPRODUCT((PayEmp=$C100)*(PayDate&lt;=$AC100)*(PayDedList=V$2)*(PayDedValues))*OFFSET(Setup!$E$81,MATCH(V$5,CompListItem,0),0,1,1))-SUMIFS(OFFSET(V$6,1,0,PayCount,1),PayDate,"&lt;"&amp;$AC100,PayEmp,$C100),(MIN(IF(OFFSET(Setup!$G$81,MATCH(V$5,CompListItem,0),0,1,1)="Taxable",SUMPRODUCT((PayEmp=$C100)*(PayDate&lt;=$AC100)*(ISERROR(SEARCH(PayEarnCode,V$4)))*(PayEarnTax)*(PayEarnValues)),SUMPRODUCT((PayEmp=$C100)*(PayDate&lt;=$AC100)*(ISERROR(SEARCH(PayEarnCode,V$4)))*(PayEarnValues))),IF(ISNUMBER(V$3),V$3/12*$AA100,IgnoreMin)))*OFFSET(Setup!$E$81,MATCH(V$5,CompListItem,0),0,1,1)-SUMIFS(OFFSET(V$6,1,0,PayCount,1),PayDate,"&lt;"&amp;$AC100,PayEmp,$C100)))))))</f>
        <v>0</v>
      </c>
      <c r="W100" s="133" cm="1">
        <f t="array" aca="1" ref="W100" ca="1">IF($F100="Terminated",0,IF($AA100=0,0,IF(ISNA(MATCH(W$5,CompListItem,0)),0,IF(COUNTIFS(OverEmp,$C100,OverComp,W$5,OverDate,"&lt;"&amp;DATE(YEAR($AC100),MONTH($AC100)+1,1),OverEnd,"&gt;="&amp;DATE(YEAR($AC100),MONTH($AC100),1))&gt;0,SUMIFS(OverValue,OverEmp,$C100,OverComp,W$5,OverDate,"&lt;"&amp;DATE(YEAR($AC100),MONTH($AC100)+1,1),OverEnd,"&gt;="&amp;DATE(YEAR($AC100),MONTH($AC100),1)),IF(OR(W$2="Fixed",W$2="Not Used"),(OFFSET(Setup!$E$81,MATCH(W$5,CompListItem,0),0,1,1)*$AA100)-SUMIFS(OFFSET(W$6,1,0,PayCount,1),PayDate,"&lt;"&amp;$AC100,PayEmp,$C100),IF(ISNA(MATCH(W$2,DedListItem,0))=FALSE,(SUMPRODUCT((PayEmp=$C100)*(PayDate&lt;=$AC100)*(PayDedList=W$2)*(PayDedValues))*OFFSET(Setup!$E$81,MATCH(W$5,CompListItem,0),0,1,1))-SUMIFS(OFFSET(W$6,1,0,PayCount,1),PayDate,"&lt;"&amp;$AC100,PayEmp,$C100),(MIN(IF(OFFSET(Setup!$G$81,MATCH(W$5,CompListItem,0),0,1,1)="Taxable",SUMPRODUCT((PayEmp=$C100)*(PayDate&lt;=$AC100)*(ISERROR(SEARCH(PayEarnCode,W$4)))*(PayEarnTax)*(PayEarnValues)),SUMPRODUCT((PayEmp=$C100)*(PayDate&lt;=$AC100)*(ISERROR(SEARCH(PayEarnCode,W$4)))*(PayEarnValues))),IF(ISNUMBER(W$3),W$3/12*$AA100,IgnoreMin)))*OFFSET(Setup!$E$81,MATCH(W$5,CompListItem,0),0,1,1)-SUMIFS(OFFSET(W$6,1,0,PayCount,1),PayDate,"&lt;"&amp;$AC100,PayEmp,$C100)))))))</f>
        <v>0</v>
      </c>
      <c r="X100" s="185">
        <f t="shared" ca="1" si="30"/>
        <v>300</v>
      </c>
      <c r="Y100" s="139">
        <f t="shared" ca="1" si="39"/>
        <v>15300</v>
      </c>
      <c r="Z100" s="139">
        <f t="shared" ca="1" si="31"/>
        <v>1849.75</v>
      </c>
      <c r="AA100" s="146">
        <f ca="1">IF(OR($B100&lt;=Setup!$E$12,$B100&gt;=Setup!$D$12+1),0,IF($F100&lt;&gt;"Active",0,IF($AE100="Yes",$AB100,((YEAR($AC100)*12)+MONTH($AC100))-((YEAR($AD100)*12)+MONTH($AD100)-1))))</f>
        <v>7</v>
      </c>
      <c r="AB100" s="146">
        <f ca="1">IF(OR($B100&lt;=Setup!$E$12,$B100&gt;=Setup!$D$12+1),0,((YEAR($AC100)*12)+MONTH($AC100))-((YEAR(Setup!$E$12)*12)+MONTH(Setup!$E$12)))</f>
        <v>7</v>
      </c>
      <c r="AC100" s="186">
        <f t="shared" ca="1" si="32"/>
        <v>45194</v>
      </c>
      <c r="AD100" s="144">
        <f ca="1">IF(ISNA(VLOOKUP($C100,EmpAll,COLUMN(Emp!$E$4),0)),$AC100,IF(VLOOKUP($C100,EmpAll,COLUMN(Emp!$E$4),0)&lt;=Setup!$E$12,DATE(YEAR(Setup!$E$12),MONTH(Setup!$E$12)+1,1),VLOOKUP($C100,EmpAll,COLUMN(Emp!$E$4),0)))</f>
        <v>44986</v>
      </c>
      <c r="AE100" s="144" t="str">
        <f ca="1">IF(ISNA(VLOOKUP($C100,EmpAll,COLUMN(Emp!$G$1),0)),"-",IF(VLOOKUP($C100,EmpAll,COLUMN(Emp!$G$1),0)=0,"-",VLOOKUP($C100,EmpAll,COLUMN(Emp!$G$1),0)))</f>
        <v>-</v>
      </c>
      <c r="AF100" s="145">
        <f ca="1">IF(A100=PaySlip!$G$3,1,0)</f>
        <v>0</v>
      </c>
      <c r="AG100" s="130" cm="1">
        <f t="array" aca="1" ref="AG100" ca="1">IF(COUNTIFS(OverEmp,$C100,OverMed,"MED",OverDate,"&lt;"&amp;DATE(YEAR($AC100),MONTH($AC100)+1,1),OverEnd,"&gt;="&amp;DATE(YEAR($AC100),MONTH($AC100),1))&gt;0,SUMIFS(OverValue,OverEmp,$C100,OverMed,"MED",OverDate,"&lt;"&amp;DATE(YEAR($AC100),MONTH($AC100)+1,1),OverEnd,"&gt;="&amp;DATE(YEAR($AC100),MONTH($AC100),1)),IF(ISNA(VLOOKUP($C100,EmpAll,COLUMN(Emp!$N$4),0)),0,VLOOKUP($C100,EmpAll,COLUMN(Emp!$N$4),0)))</f>
        <v>1</v>
      </c>
      <c r="AH100" s="146">
        <f ca="1">VLOOKUP($AG100,MedList,COLUMN(Setup!$C$49),1)</f>
        <v>364</v>
      </c>
      <c r="AI100" s="146">
        <f t="shared" ca="1" si="40"/>
        <v>4368</v>
      </c>
      <c r="AJ100" s="101" t="str">
        <f ca="1">IF(ISNA(VLOOKUP($C100,EmpAll,COLUMN(Emp!$L$4),0)),"None!",VLOOKUP($C100,EmpAll,COLUMN(Emp!$L$4),0))</f>
        <v>A</v>
      </c>
      <c r="AK100" s="147">
        <f t="shared" ca="1" si="33"/>
        <v>17235</v>
      </c>
      <c r="AL100" s="101" t="str">
        <f ca="1">IF(ISNA(VLOOKUP($C100,Employees[],COLUMN(Emp!$M$4),0))=TRUE,"Error!",IF(VLOOKUP($C100,Employees[],COLUMN(Emp!$M$4),0)=0,"Yes",VLOOKUP($C100,Employees[],COLUMN(Emp!$M$4),0)))</f>
        <v>A</v>
      </c>
      <c r="AM100" s="148">
        <f t="shared" ca="1" si="41"/>
        <v>183600</v>
      </c>
      <c r="AN100" s="148" cm="1">
        <f t="array" aca="1" ref="AN100" ca="1">-IF($F100="Terminated",0,IF($AA100=0,0,IF(ISNA(MATCH(AN$5,PayDedList,0)),0,MIN(IF(COUNTIFS(OverEmp,$C100,OverDeduct,AN$5,OverDate,"&lt;"&amp;DATE(YEAR($AC100),MONTH($AC100)+1,1),OverEnd,"&gt;="&amp;DATE(YEAR($AC100),MONTH($AC100),1))&gt;0,SUMPRODUCT((PayEmp=$C100)*(PayDate&lt;=$AC100)*(OFFSET($N$6,1,MATCH(AN$5,PayDedList,0)-1,PayCount,1)))/$AA100*12*AN$3,IF(OR(AN$1="Fixed",AN$1="Not Used"),SUMPRODUCT((PayEmp=$C100)*(PayDate&lt;=$AC100)*(OFFSET($N$6,1,MATCH(AN$5,PayDedList,0)-1,PayCount,1)))/$AA100*12*AN$3,IF(ISNA(MATCH(AN$1,EarnListItem,0))=FALSE,SUMPRODUCT((PayEmp=$C100)*(PayDate&lt;=$AC100)*(OFFSET($N$6,1,MATCH(AN$5,PayDedList,0)-1,PayCount,1)))/$AA100*12*AN$3,(MIN(((SUMPRODUCT((PayEmp=$C100)*(PayDate&lt;=$AC100)*(ISERROR(SEARCH(PayEarnCode,AN$2)))*(PayEarnType="Monthly")*(PayEarnValues))/$AA100*12)+(SUMPRODUCT((PayEmp=$C100)*(PayDate&lt;=$AC100)*(ISERROR(SEARCH(PayEarnCode,AN$2)))*(PayEarnType="Quarterly")*(PayEarnValues))/MAX(1,ROUNDDOWN($AB100/3,0))*4)+(SUMPRODUCT((PayEmp=$C100)*(PayDate&lt;=$AC100)*(ISERROR(SEARCH(PayEarnCode,AN$2)))*(PayEarnType="Bi-Annual")*(PayEarnValues))/MAX(1,ROUNDDOWN($AB100/6,0))*2)+(SUMPRODUCT((PayEmp=$C100)*(PayDate&lt;=$AC100)*(ISERROR(SEARCH(PayEarnCode,AN$2)))*(PayEarnType="Annual")*(PayEarnValues)))),IF(ISNUMBER(OFFSET($N$3,0,MATCH(AN$5,PayDedList,0)-1,1,1)),OFFSET($N$3,0,MATCH(AN$5,PayDedList,0)-1,1,1),IgnoreMin)))*IF(COUNTIFS(EmpNo,$C100,OFFSET(Emp!$R$4,1,MATCH(AN$5,DedListItem,0)-1,EmpCount,1),"&lt;&gt;")&gt;0,VLOOKUP($C100,EmpAll,COLUMN(Emp!$R$4)+MATCH(AN$5,DedListItem,0)-1,0),OFFSET(Setup!$E$73,MATCH(AN$5,DedListItem,0),0,1,1))*AN$3))),IF(ISNUMBER(AN$4),AN$4,IgnoreMin)))))</f>
        <v>0</v>
      </c>
      <c r="AO100" s="148" cm="1">
        <f t="array" aca="1" ref="AO100" ca="1">-IF($F100="Terminated",0,IF($AA100=0,0,IF(ISNA(MATCH(AO$5,PayDedList,0)),0,MIN(IF(COUNTIFS(OverEmp,$C100,OverDeduct,AO$5,OverDate,"&lt;"&amp;DATE(YEAR($AC100),MONTH($AC100)+1,1),OverEnd,"&gt;="&amp;DATE(YEAR($AC100),MONTH($AC100),1))&gt;0,SUMPRODUCT((PayEmp=$C100)*(PayDate&lt;=$AC100)*(OFFSET($N$6,1,MATCH(AO$5,PayDedList,0)-1,PayCount,1)))/$AA100*12*AO$3,IF(OR(AO$1="Fixed",AO$1="Not Used"),SUMPRODUCT((PayEmp=$C100)*(PayDate&lt;=$AC100)*(OFFSET($N$6,1,MATCH(AO$5,PayDedList,0)-1,PayCount,1)))/$AA100*12*AO$3,IF(ISNA(MATCH(AO$1,EarnListItem,0))=FALSE,SUMPRODUCT((PayEmp=$C100)*(PayDate&lt;=$AC100)*(OFFSET($N$6,1,MATCH(AO$5,PayDedList,0)-1,PayCount,1)))/$AA100*12*AO$3,(MIN(((SUMPRODUCT((PayEmp=$C100)*(PayDate&lt;=$AC100)*(ISERROR(SEARCH(PayEarnCode,AO$2)))*(PayEarnType="Monthly")*(PayEarnValues))/$AA100*12)+(SUMPRODUCT((PayEmp=$C100)*(PayDate&lt;=$AC100)*(ISERROR(SEARCH(PayEarnCode,AO$2)))*(PayEarnType="Quarterly")*(PayEarnValues))/MAX(1,ROUNDDOWN($AB100/3,0))*4)+(SUMPRODUCT((PayEmp=$C100)*(PayDate&lt;=$AC100)*(ISERROR(SEARCH(PayEarnCode,AO$2)))*(PayEarnType="Bi-Annual")*(PayEarnValues))/MAX(1,ROUNDDOWN($AB100/6,0))*2)+(SUMPRODUCT((PayEmp=$C100)*(PayDate&lt;=$AC100)*(ISERROR(SEARCH(PayEarnCode,AO$2)))*(PayEarnType="Annual")*(PayEarnValues)))),IF(ISNUMBER(OFFSET($N$3,0,MATCH(AO$5,PayDedList,0)-1,1,1)),OFFSET($N$3,0,MATCH(AO$5,PayDedList,0)-1,1,1),IgnoreMin)))*IF(COUNTIFS(EmpNo,$C100,OFFSET(Emp!$R$4,1,MATCH(AO$5,DedListItem,0)-1,EmpCount,1),"&lt;&gt;")&gt;0,VLOOKUP($C100,EmpAll,COLUMN(Emp!$R$4)+MATCH(AO$5,DedListItem,0)-1,0),OFFSET(Setup!$E$73,MATCH(AO$5,DedListItem,0),0,1,1))*AO$3))),IF(ISNUMBER(AO$4),AO$4,IgnoreMin)))))</f>
        <v>0</v>
      </c>
      <c r="AP100" s="148" cm="1">
        <f t="array" aca="1" ref="AP100" ca="1">-IF($F100="Terminated",0,IF($AA100=0,0,IF(ISNA(MATCH(AP$5,PayDedList,0)),0,MIN(IF(COUNTIFS(OverEmp,$C100,OverDeduct,AP$5,OverDate,"&lt;"&amp;DATE(YEAR($AC100),MONTH($AC100)+1,1),OverEnd,"&gt;="&amp;DATE(YEAR($AC100),MONTH($AC100),1))&gt;0,SUMPRODUCT((PayEmp=$C100)*(PayDate&lt;=$AC100)*(OFFSET($N$6,1,MATCH(AP$5,PayDedList,0)-1,PayCount,1)))/$AA100*12*AP$3,IF(OR(AP$1="Fixed",AP$1="Not Used"),SUMPRODUCT((PayEmp=$C100)*(PayDate&lt;=$AC100)*(OFFSET($N$6,1,MATCH(AP$5,PayDedList,0)-1,PayCount,1)))/$AA100*12*AP$3,IF(ISNA(MATCH(AP$1,EarnListItem,0))=FALSE,SUMPRODUCT((PayEmp=$C100)*(PayDate&lt;=$AC100)*(OFFSET($N$6,1,MATCH(AP$5,PayDedList,0)-1,PayCount,1)))/$AA100*12*AP$3,(MIN(((SUMPRODUCT((PayEmp=$C100)*(PayDate&lt;=$AC100)*(ISERROR(SEARCH(PayEarnCode,AP$2)))*(PayEarnType="Monthly")*(PayEarnValues))/$AA100*12)+(SUMPRODUCT((PayEmp=$C100)*(PayDate&lt;=$AC100)*(ISERROR(SEARCH(PayEarnCode,AP$2)))*(PayEarnType="Quarterly")*(PayEarnValues))/MAX(1,ROUNDDOWN($AB100/3,0))*4)+(SUMPRODUCT((PayEmp=$C100)*(PayDate&lt;=$AC100)*(ISERROR(SEARCH(PayEarnCode,AP$2)))*(PayEarnType="Bi-Annual")*(PayEarnValues))/MAX(1,ROUNDDOWN($AB100/6,0))*2)+(SUMPRODUCT((PayEmp=$C100)*(PayDate&lt;=$AC100)*(ISERROR(SEARCH(PayEarnCode,AP$2)))*(PayEarnType="Annual")*(PayEarnValues)))),IF(ISNUMBER(OFFSET($N$3,0,MATCH(AP$5,PayDedList,0)-1,1,1)),OFFSET($N$3,0,MATCH(AP$5,PayDedList,0)-1,1,1),IgnoreMin)))*IF(COUNTIFS(EmpNo,$C100,OFFSET(Emp!$R$4,1,MATCH(AP$5,DedListItem,0)-1,EmpCount,1),"&lt;&gt;")&gt;0,VLOOKUP($C100,EmpAll,COLUMN(Emp!$R$4)+MATCH(AP$5,DedListItem,0)-1,0),OFFSET(Setup!$E$73,MATCH(AP$5,DedListItem,0),0,1,1))*AP$3))),IF(ISNUMBER(AP$4),AP$4,IgnoreMin)))))</f>
        <v>0</v>
      </c>
      <c r="AQ100" s="148" cm="1">
        <f t="array" aca="1" ref="AQ100" ca="1">-IF($F100="Terminated",0,IF($AA100=0,0,IF(ISNA(MATCH(AQ$5,PayDedList,0)),0,MIN(IF(COUNTIFS(OverEmp,$C100,OverDeduct,AQ$5,OverDate,"&lt;"&amp;DATE(YEAR($AC100),MONTH($AC100)+1,1),OverEnd,"&gt;="&amp;DATE(YEAR($AC100),MONTH($AC100),1))&gt;0,SUMPRODUCT((PayEmp=$C100)*(PayDate&lt;=$AC100)*(OFFSET($N$6,1,MATCH(AQ$5,PayDedList,0)-1,PayCount,1)))/$AA100*12*AQ$3,IF(OR(AQ$1="Fixed",AQ$1="Not Used"),SUMPRODUCT((PayEmp=$C100)*(PayDate&lt;=$AC100)*(OFFSET($N$6,1,MATCH(AQ$5,PayDedList,0)-1,PayCount,1)))/$AA100*12*AQ$3,IF(ISNA(MATCH(AQ$1,EarnListItem,0))=FALSE,SUMPRODUCT((PayEmp=$C100)*(PayDate&lt;=$AC100)*(OFFSET($N$6,1,MATCH(AQ$5,PayDedList,0)-1,PayCount,1)))/$AA100*12*AQ$3,(MIN(((SUMPRODUCT((PayEmp=$C100)*(PayDate&lt;=$AC100)*(ISERROR(SEARCH(PayEarnCode,AQ$2)))*(PayEarnType="Monthly")*(PayEarnValues))/$AA100*12)+(SUMPRODUCT((PayEmp=$C100)*(PayDate&lt;=$AC100)*(ISERROR(SEARCH(PayEarnCode,AQ$2)))*(PayEarnType="Quarterly")*(PayEarnValues))/MAX(1,ROUNDDOWN($AB100/3,0))*4)+(SUMPRODUCT((PayEmp=$C100)*(PayDate&lt;=$AC100)*(ISERROR(SEARCH(PayEarnCode,AQ$2)))*(PayEarnType="Bi-Annual")*(PayEarnValues))/MAX(1,ROUNDDOWN($AB100/6,0))*2)+(SUMPRODUCT((PayEmp=$C100)*(PayDate&lt;=$AC100)*(ISERROR(SEARCH(PayEarnCode,AQ$2)))*(PayEarnType="Annual")*(PayEarnValues)))),IF(ISNUMBER(OFFSET($N$3,0,MATCH(AQ$5,PayDedList,0)-1,1,1)),OFFSET($N$3,0,MATCH(AQ$5,PayDedList,0)-1,1,1),IgnoreMin)))*IF(COUNTIFS(EmpNo,$C100,OFFSET(Emp!$R$4,1,MATCH(AQ$5,DedListItem,0)-1,EmpCount,1),"&lt;&gt;")&gt;0,VLOOKUP($C100,EmpAll,COLUMN(Emp!$R$4)+MATCH(AQ$5,DedListItem,0)-1,0),OFFSET(Setup!$E$73,MATCH(AQ$5,DedListItem,0),0,1,1))*AQ$3))),IF(ISNUMBER(AQ$4),AQ$4,IgnoreMin)))))</f>
        <v>0</v>
      </c>
      <c r="AR100" s="148">
        <f t="shared" ca="1" si="34"/>
        <v>183600</v>
      </c>
      <c r="AS100" s="148">
        <f t="shared" ca="1" si="42"/>
        <v>180000</v>
      </c>
      <c r="AT100" s="148" cm="1">
        <f t="array" aca="1" ref="AT100" ca="1">-IF($F100="Terminated",0,IF($AA100=0,0,IF(ISNA(MATCH(AT$5,PayDedList,0)),0,MIN(IF(COUNTIFS(OverEmp,$C100,OverDeduct,AT$5,OverDate,"&lt;"&amp;DATE(YEAR($AC100),MONTH($AC100)+1,1),OverEnd,"&gt;="&amp;DATE(YEAR($AC100),MONTH($AC100),1))&gt;0,SUMPRODUCT((PayEmp=$C100)*(PayDate&lt;=$AC100)*(OFFSET($N$6,1,MATCH(AT$5,PayDedList,0)-1,PayCount,1)))/$AA100*12*AT$3,IF(OR(AT$1="Fixed",AT$1="Not Used"),SUMPRODUCT((PayEmp=$C100)*(PayDate&lt;=$AC100)*(OFFSET($N$6,1,MATCH(AT$5,PayDedList,0)-1,PayCount,1)))/$AA100*12*AT$3,IF(ISNA(MATCH(OFFSET($N$2,0,MATCH(AT$5,PayDedList,0)-1,1,1),EarnListItem,0))=FALSE,SUMPRODUCT((PayEmp=$C100)*(PayDate&lt;=$AC100)*(OFFSET($N$6,1,MATCH(AT$5,PayDedList,0)-1,PayCount,1)))/$AA100*12*AT$3,(MIN(SUMPRODUCT((PayEmp=$C100)*(PayDate&lt;=$AC100)*(ISERROR(SEARCH(PayEarnCode,AT$2)))*(PayEarnType="Monthly")*(PayEarnValues))/$AA100*12,IF(ISNUMBER(OFFSET($N$3,0,MATCH(AT$5,PayDedList,0)-1,1,1)),OFFSET($N$3,0,MATCH(AT$5,PayDedList,0)-1,1,1),IgnoreMin)))*IF(COUNTIFS(EmpNo,$C100,OFFSET(Emp!$R$4,1,MATCH(AT$5,DedListItem,0)-1,EmpCount,1),"&lt;&gt;")&gt;0,VLOOKUP($C100,EmpAll,COLUMN(Emp!$R$4)+MATCH(AT$5,DedListItem,0)-1,0),OFFSET(Setup!$E$73,MATCH(AT$5,DedListItem,0),0,1,1))*AT$3))),IF(ISNUMBER(AT$4),AT$4,IgnoreMin)))))</f>
        <v>0</v>
      </c>
      <c r="AU100" s="148" cm="1">
        <f t="array" aca="1" ref="AU100" ca="1">-IF($F100="Terminated",0,IF($AA100=0,0,IF(ISNA(MATCH(AU$5,PayDedList,0)),0,MIN(IF(COUNTIFS(OverEmp,$C100,OverDeduct,AU$5,OverDate,"&lt;"&amp;DATE(YEAR($AC100),MONTH($AC100)+1,1),OverEnd,"&gt;="&amp;DATE(YEAR($AC100),MONTH($AC100),1))&gt;0,SUMPRODUCT((PayEmp=$C100)*(PayDate&lt;=$AC100)*(OFFSET($N$6,1,MATCH(AU$5,PayDedList,0)-1,PayCount,1)))/$AA100*12*AU$3,IF(OR(AU$1="Fixed",AU$1="Not Used"),SUMPRODUCT((PayEmp=$C100)*(PayDate&lt;=$AC100)*(OFFSET($N$6,1,MATCH(AU$5,PayDedList,0)-1,PayCount,1)))/$AA100*12*AU$3,IF(ISNA(MATCH(OFFSET($N$2,0,MATCH(AU$5,PayDedList,0)-1,1,1),EarnListItem,0))=FALSE,SUMPRODUCT((PayEmp=$C100)*(PayDate&lt;=$AC100)*(OFFSET($N$6,1,MATCH(AU$5,PayDedList,0)-1,PayCount,1)))/$AA100*12*AU$3,(MIN(SUMPRODUCT((PayEmp=$C100)*(PayDate&lt;=$AC100)*(ISERROR(SEARCH(PayEarnCode,AU$2)))*(PayEarnType="Monthly")*(PayEarnValues))/$AA100*12,IF(ISNUMBER(OFFSET($N$3,0,MATCH(AU$5,PayDedList,0)-1,1,1)),OFFSET($N$3,0,MATCH(AU$5,PayDedList,0)-1,1,1),IgnoreMin)))*IF(COUNTIFS(EmpNo,$C100,OFFSET(Emp!$R$4,1,MATCH(AU$5,DedListItem,0)-1,EmpCount,1),"&lt;&gt;")&gt;0,VLOOKUP($C100,EmpAll,COLUMN(Emp!$R$4)+MATCH(AU$5,DedListItem,0)-1,0),OFFSET(Setup!$E$73,MATCH(AU$5,DedListItem,0),0,1,1))*AU$3))),IF(ISNUMBER(AU$4),AU$4,IgnoreMin)))))</f>
        <v>0</v>
      </c>
      <c r="AV100" s="148" cm="1">
        <f t="array" aca="1" ref="AV100" ca="1">-IF($F100="Terminated",0,IF($AA100=0,0,IF(ISNA(MATCH(AV$5,PayDedList,0)),0,MIN(IF(COUNTIFS(OverEmp,$C100,OverDeduct,AV$5,OverDate,"&lt;"&amp;DATE(YEAR($AC100),MONTH($AC100)+1,1),OverEnd,"&gt;="&amp;DATE(YEAR($AC100),MONTH($AC100),1))&gt;0,SUMPRODUCT((PayEmp=$C100)*(PayDate&lt;=$AC100)*(OFFSET($N$6,1,MATCH(AV$5,PayDedList,0)-1,PayCount,1)))/$AA100*12*AV$3,IF(OR(AV$1="Fixed",AV$1="Not Used"),SUMPRODUCT((PayEmp=$C100)*(PayDate&lt;=$AC100)*(OFFSET($N$6,1,MATCH(AV$5,PayDedList,0)-1,PayCount,1)))/$AA100*12*AV$3,IF(ISNA(MATCH(OFFSET($N$2,0,MATCH(AV$5,PayDedList,0)-1,1,1),EarnListItem,0))=FALSE,SUMPRODUCT((PayEmp=$C100)*(PayDate&lt;=$AC100)*(OFFSET($N$6,1,MATCH(AV$5,PayDedList,0)-1,PayCount,1)))/$AA100*12*AV$3,(MIN(SUMPRODUCT((PayEmp=$C100)*(PayDate&lt;=$AC100)*(ISERROR(SEARCH(PayEarnCode,AV$2)))*(PayEarnType="Monthly")*(PayEarnValues))/$AA100*12,IF(ISNUMBER(OFFSET($N$3,0,MATCH(AV$5,PayDedList,0)-1,1,1)),OFFSET($N$3,0,MATCH(AV$5,PayDedList,0)-1,1,1),IgnoreMin)))*IF(COUNTIFS(EmpNo,$C100,OFFSET(Emp!$R$4,1,MATCH(AV$5,DedListItem,0)-1,EmpCount,1),"&lt;&gt;")&gt;0,VLOOKUP($C100,EmpAll,COLUMN(Emp!$R$4)+MATCH(AV$5,DedListItem,0)-1,0),OFFSET(Setup!$E$73,MATCH(AV$5,DedListItem,0),0,1,1))*AV$3))),IF(ISNUMBER(AV$4),AV$4,IgnoreMin)))))</f>
        <v>0</v>
      </c>
      <c r="AW100" s="148" cm="1">
        <f t="array" aca="1" ref="AW100" ca="1">-IF($F100="Terminated",0,IF($AA100=0,0,IF(ISNA(MATCH(AW$5,PayDedList,0)),0,MIN(IF(COUNTIFS(OverEmp,$C100,OverDeduct,AW$5,OverDate,"&lt;"&amp;DATE(YEAR($AC100),MONTH($AC100)+1,1),OverEnd,"&gt;="&amp;DATE(YEAR($AC100),MONTH($AC100),1))&gt;0,SUMPRODUCT((PayEmp=$C100)*(PayDate&lt;=$AC100)*(OFFSET($N$6,1,MATCH(AW$5,PayDedList,0)-1,PayCount,1)))/$AA100*12*AW$3,IF(OR(AW$1="Fixed",AW$1="Not Used"),SUMPRODUCT((PayEmp=$C100)*(PayDate&lt;=$AC100)*(OFFSET($N$6,1,MATCH(AW$5,PayDedList,0)-1,PayCount,1)))/$AA100*12*AW$3,IF(ISNA(MATCH(OFFSET($N$2,0,MATCH(AW$5,PayDedList,0)-1,1,1),EarnListItem,0))=FALSE,SUMPRODUCT((PayEmp=$C100)*(PayDate&lt;=$AC100)*(OFFSET($N$6,1,MATCH(AW$5,PayDedList,0)-1,PayCount,1)))/$AA100*12*AW$3,(MIN(SUMPRODUCT((PayEmp=$C100)*(PayDate&lt;=$AC100)*(ISERROR(SEARCH(PayEarnCode,AW$2)))*(PayEarnType="Monthly")*(PayEarnValues))/$AA100*12,IF(ISNUMBER(OFFSET($N$3,0,MATCH(AW$5,PayDedList,0)-1,1,1)),OFFSET($N$3,0,MATCH(AW$5,PayDedList,0)-1,1,1),IgnoreMin)))*IF(COUNTIFS(EmpNo,$C100,OFFSET(Emp!$R$4,1,MATCH(AW$5,DedListItem,0)-1,EmpCount,1),"&lt;&gt;")&gt;0,VLOOKUP($C100,EmpAll,COLUMN(Emp!$R$4)+MATCH(AW$5,DedListItem,0)-1,0),OFFSET(Setup!$E$73,MATCH(AW$5,DedListItem,0),0,1,1))*AW$3))),IF(ISNUMBER(AW$4),AW$4,IgnoreMin)))))</f>
        <v>0</v>
      </c>
      <c r="AX100" s="148">
        <f t="shared" ca="1" si="43"/>
        <v>180000</v>
      </c>
      <c r="AY100" s="148">
        <f t="shared" ca="1" si="44"/>
        <v>3600</v>
      </c>
      <c r="AZ100" s="148">
        <f ca="1">IF(ISNUMBER($AL100),($AR100*$AL100)-$AI100-$AK100,MAX(0,IF($AL100="B",IF($AR100&lt;Setup!$C$32,($AR100*Setup!$D$32)-$AI100-$AK100,(($AR100-VLOOKUP($AR100,TaxAll2,1,1))*OFFSET(Setup!$D$32,MATCH($AR100,TaxBracket2,1),0,1,1))+OFFSET(Setup!$E$31,MATCH($AR100,TaxBracket2,1),0,1,1)-$AI100-$AK100),IF($AR100&lt;Setup!$C$21,($AR100*Setup!$D$21)-$AI100-$AK100,(($AR100-VLOOKUP($AR100,TaxAll1,1,1))*OFFSET(Setup!$D$21,MATCH($AR100,TaxBracket1,1),0,1,1))+OFFSET(Setup!$E$20,MATCH($AR100,TaxBracket1,1),0,1,1)-$AI100-$AK100))))</f>
        <v>11445</v>
      </c>
      <c r="BA100" s="148">
        <f ca="1">IF(ISNUMBER($AL100),($AX100*$AL100)-$AI100-$AK100,MAX(0,IF($AL100="B",IF($AX100&lt;Setup!$C$32,($AX100*Setup!$D$32)-$AI100-$AK100,(($AX100-VLOOKUP($AX100,TaxAll2,1,1))*OFFSET(Setup!$D$32,MATCH($AX100,TaxBracket2,1),0,1,1))+OFFSET(Setup!$E$31,MATCH($AX100,TaxBracket2,1),0,1,1)-$AI100-$AK100),IF($AX100&lt;Setup!$C$21,($AX100*Setup!$D$21)-$AI100-$AK100,(($AX100-VLOOKUP($AX100,TaxAll1,1,1))*OFFSET(Setup!$D$21,MATCH($AX100,TaxBracket1,1),0,1,1))+OFFSET(Setup!$E$20,MATCH($AX100,TaxBracket1,1),0,1,1)-$AI100-$AK100))))</f>
        <v>10797</v>
      </c>
      <c r="BB100" s="148">
        <f t="shared" ca="1" si="35"/>
        <v>648</v>
      </c>
      <c r="BC100" s="150">
        <f t="shared" ca="1" si="45"/>
        <v>0.98039215686274506</v>
      </c>
      <c r="BD100" s="150">
        <f t="shared" ca="1" si="46"/>
        <v>1.9607843137254902E-2</v>
      </c>
      <c r="BE100" s="148">
        <f t="shared" ca="1" si="47"/>
        <v>183600</v>
      </c>
    </row>
    <row r="101" spans="1:57" ht="16.149999999999999" customHeight="1" x14ac:dyDescent="0.25">
      <c r="A101" s="10" t="str" cm="1">
        <f t="array" aca="1" ref="A101" ca="1">IF(ROW($A101)-ROW($A$6)&gt;EmpCount*12,"-",TEXT($B101,"yyyy")&amp;TEXT($B101,"mm")&amp;"-"&amp;$C101)</f>
        <v>202309-EXS005</v>
      </c>
      <c r="B101" s="137" cm="1">
        <f t="array" aca="1" ref="B101" ca="1">IF(ROW($A101)-ROW($A$6)&gt;EmpCount*12,Setup!$D$12,DATE(YEAR(Setup!$F$12),MONTH(Setup!$F$12)+ROUNDDOWN((ROW($A101)-ROW($A$6)-1)/EmpCount,0),IF(Setup!$C$14&gt;DAY(DATE(YEAR(Setup!$F$12),MONTH(Setup!$F$12)+ROUNDDOWN((ROW($A101)-ROW($A$6)-1)/EmpCount,0)+1,0)),DAY(DATE(YEAR(Setup!$F$12),MONTH(Setup!$F$12)+ROUNDDOWN((ROW($A101)-ROW($A$6)-1)/EmpCount,0)+1,0)),Setup!$C$14)))</f>
        <v>45194</v>
      </c>
      <c r="C101" s="101" t="str" cm="1">
        <f t="array" aca="1" ref="C101" ca="1">IF(ROW($A101)-ROW($A$6)&gt;EmpCount*12,"-",OFFSET(Emp!$A$4,ROW($A101)-ROW($A$6)-IF(ROW($A101)-ROW($A$6)&gt;EmpCount,ROUNDDOWN((ROW($A101)-ROW($A$6)-1)/EmpCount,0)*EmpCount,0),0,1,1))</f>
        <v>EXS005</v>
      </c>
      <c r="D101" s="10" t="str">
        <f ca="1">IF(ISNA(VLOOKUP($C101,EmpAll,COLUMN(Emp!$B$4),0)),"-",VLOOKUP($C101,EmpAll,COLUMN(Emp!$B$4),0))</f>
        <v>Miller R</v>
      </c>
      <c r="E101" s="145" t="str">
        <f ca="1">IF(ISNA(VLOOKUP($C101,EmpAll,COLUMN(Emp!$C$4),0)),"-",VLOOKUP($C101,EmpAll,COLUMN(Emp!$C$4),0))</f>
        <v>S</v>
      </c>
      <c r="F101" s="101" t="str">
        <f ca="1">IF(ISNA(VLOOKUP($C101,EmpAll,COLUMN(Emp!$A$4),0)),"-",IF(AND(VLOOKUP($C101,EmpAll,COLUMN(Emp!$E$4),0)&lt;&gt;0,VLOOKUP($C101,EmpAll,COLUMN(Emp!$E$4),0)&gt;=DATE(YEAR($AC101),MONTH($AC101)+1,0)),"Inactive",IF(AND(VLOOKUP($C101,EmpAll,COLUMN(Emp!$F$4),0)&lt;&gt;0,VLOOKUP($C101,EmpAll,COLUMN(Emp!$F$4),0)&lt;=DATE(YEAR($AC101),MONTH($AC101),0)),"Terminated","Active")))</f>
        <v>Active</v>
      </c>
      <c r="G101" s="133" cm="1">
        <f t="array" aca="1" ref="G101" ca="1">IF($F101&lt;&gt;"Active",0,IF(COUNTIFS(OverEmp,$C101,OverEarn,G$2,OverDate,"&lt;"&amp;DATE(YEAR($AC101),MONTH($AC101)+1,1),OverEnd,"&gt;="&amp;DATE(YEAR($AC101),MONTH($AC101),1))&gt;0,SUMIFS(OverValue,OverEmp,$C101,OverEarn,G$2,OverDate,"&lt;"&amp;DATE(YEAR($AC101),MONTH($AC101)+1,1),OverEnd,"&gt;="&amp;DATE(YEAR($AC101),MONTH($AC101),1)),IF(AND($AC101&gt;=Setup!$E$10,SUMIFS(EmpIncrease,EmpCode,$C101)&gt;0),SUMIFS(EmpIncrease,EmpCode,$C101),SUMIFS(EmpSalary,EmpCode,$C101))))</f>
        <v>10000</v>
      </c>
      <c r="H101" s="133" cm="1">
        <f t="array" aca="1" ref="H101" ca="1">IF($F101&lt;&gt;"Active",0,IF(COUNTIFS(OverEmp,$C101,OverEarn,H$2,OverDate,"&lt;"&amp;DATE(YEAR($AC101),MONTH($AC101)+1,1),OverEnd,"&gt;="&amp;DATE(YEAR($AC101),MONTH($AC101),1))&gt;0,SUMIFS(OverValue,OverEmp,$C101,OverEarn,H$2,OverDate,"&lt;"&amp;DATE(YEAR($AC101),MONTH($AC101)+1,1),OverEnd,"&gt;="&amp;DATE(YEAR($AC101),MONTH($AC101),1)),0))</f>
        <v>0</v>
      </c>
      <c r="I101" s="133" cm="1">
        <f t="array" aca="1" ref="I101" ca="1">IF($F101&lt;&gt;"Active",0,IF(COUNTIFS(OverEmp,$C101,OverEarn,I$2,OverDate,"&lt;"&amp;DATE(YEAR($AC101),MONTH($AC101)+1,1),OverEnd,"&gt;="&amp;DATE(YEAR($AC101),MONTH($AC101),1))&gt;0,SUMIFS(OverValue,OverEmp,$C101,OverEarn,I$2,OverDate,"&lt;"&amp;DATE(YEAR($AC101),MONTH($AC101)+1,1),OverEnd,"&gt;="&amp;DATE(YEAR($AC101),MONTH($AC101),1)),IF(MONTH(B101)=Setup!$C$15,SUMIFS(EmpBonus,EmpCode,$C101),0)))</f>
        <v>0</v>
      </c>
      <c r="J101" s="133" cm="1">
        <f t="array" aca="1" ref="J101" ca="1">IF($F101&lt;&gt;"Active",0,IF(COUNTIFS(OverEmp,$C101,OverEarn,J$2,OverDate,"&lt;"&amp;DATE(YEAR($AC101),MONTH($AC101)+1,1),OverEnd,"&gt;="&amp;DATE(YEAR($AC101),MONTH($AC101),1))&gt;0,SUMIFS(OverValue,OverEmp,$C101,OverEarn,J$2,OverDate,"&lt;"&amp;DATE(YEAR($AC101),MONTH($AC101)+1,1),OverEnd,"&gt;="&amp;DATE(YEAR($AC101),MONTH($AC101),1)),0))</f>
        <v>0</v>
      </c>
      <c r="K101" s="133" cm="1">
        <f t="array" aca="1" ref="K101" ca="1">IF($F101&lt;&gt;"Active",0,IF(COUNTIFS(OverEmp,$C101,OverEarn,K$2,OverDate,"&lt;"&amp;DATE(YEAR($AC101),MONTH($AC101)+1,1),OverEnd,"&gt;="&amp;DATE(YEAR($AC101),MONTH($AC101),1))&gt;0,SUMIFS(OverValue,OverEmp,$C101,OverEarn,K$2,OverDate,"&lt;"&amp;DATE(YEAR($AC101),MONTH($AC101)+1,1),OverEnd,"&gt;="&amp;DATE(YEAR($AC101),MONTH($AC101),1)),0))</f>
        <v>0</v>
      </c>
      <c r="L101" s="185">
        <f t="shared" ca="1" si="36"/>
        <v>10000</v>
      </c>
      <c r="M101" s="182" cm="1">
        <f t="array" aca="1" ref="M101" ca="1">IF(COUNTIFS(OverEmp,$C101,OverTax,M$5,OverDate,"&lt;"&amp;DATE(YEAR($AC101),MONTH($AC101)+1,1),OverEnd,"&gt;="&amp;DATE(YEAR($AC101),MONTH($AC101),1))&gt;0,SUMIFS(OverValue,OverEmp,$C101,OverTax,M$5,OverDate,"&lt;"&amp;DATE(YEAR($AC101),MONTH($AC101)+1,1),OverEnd,"&gt;="&amp;DATE(YEAR($AC101),MONTH($AC101),1)),(($BA101/12*$AA101)+(BB101*IF(1-$BC101=0,0,BD101/(1-$BC101))))-IF($F101="Terminated",0,SUMIFS(PayTaxDeduct,PayDate,"&lt;"&amp;$AC101,PayEmp,$C101)))</f>
        <v>0</v>
      </c>
      <c r="N101" s="133" cm="1">
        <f t="array" aca="1" ref="N101" ca="1">IF($F101="Terminated",0,IF($AA101=0,0,IF(ISNA(MATCH(N$5,DedListItem,0)),0,IF(COUNTIFS(OverEmp,$C101,OverDeduct,N$5,OverDate,"&lt;"&amp;DATE(YEAR($AC101),MONTH($AC101)+1,1),OverEnd,"&gt;="&amp;DATE(YEAR($AC101),MONTH($AC101),1))&gt;0,SUMIFS(OverValue,OverEmp,$C101,OverDeduct,N$5,OverDate,"&lt;"&amp;DATE(YEAR($AC101),MONTH($AC101)+1,1),OverEnd,"&gt;="&amp;DATE(YEAR($AC101),MONTH($AC101),1)),IF(OR(N$2="Fixed",N$2="Not Used"),(IF(COUNTIFS(EmpNo,$C101,OFFSET(Emp!$R$4,1,MATCH(N$5,DedListItem,0)-1,EmpCount,1),"&lt;&gt;")&gt;0,VLOOKUP($C101,EmpAll,COLUMN(Emp!$R$4)+MATCH(N$5,DedListItem,0)-1,0),OFFSET(Setup!$E$73,MATCH(N$5,DedListItem,0),0,1,1))*$AA101)-SUMIFS(OFFSET(N$6,1,0,PayCount,1),PayDate,"&lt;"&amp;$AC101,PayEmp,$C101),IF(ISNA(MATCH(N$2,EarnListItem,0))=FALSE,IF(OFFSET(Setup!$G$73,MATCH(N$5,DedListItem,0),0,1,1)="Taxable",SUMPRODUCT((PayEmp=$C101)*(PayDate&lt;=$AC101)*(PayEarnCode=N$2)*(PayEarnTax)*(PayEarnValues)),SUMPRODUCT((PayEmp=$C101)*(PayDate&lt;=$AC101)*(PayEarnCode=N$2)*(PayEarnValues)))*IF(COUNTIFS(EmpNo,$C101,OFFSET(Emp!$R$4,1,MATCH(N$5,DedListItem,0)-1,EmpCount,1),"&lt;&gt;")&gt;0,VLOOKUP($C101,EmpAll,COLUMN(Emp!$R$4)+MATCH(N$5,DedListItem,0)-1,0),OFFSET(Setup!$E$73,MATCH(N$5,DedListItem,0),0,1,1)),(MIN(IF(OFFSET(Setup!$G$73,MATCH(N$5,DedListItem,0),0,1,1)="Taxable",SUMPRODUCT((PayEmp=$C101)*(PayDate&lt;=$AC101)*(ISERROR(SEARCH(PayEarnCode,N$4)))*(PayEarnTax)*(PayEarnValues)),SUMPRODUCT((PayEmp=$C101)*(PayDate&lt;=$AC101)*(ISERROR(SEARCH(PayEarnCode,N$4)))*(PayEarnValues))),IF(ISNUMBER(N$3),N$3/12*$AA101,IgnoreMin)))*IF(COUNTIFS(EmpNo,$C101,OFFSET(Emp!$R$4,1,MATCH(N$5,DedListItem,0)-1,EmpCount,1),"&lt;&gt;")&gt;0,VLOOKUP($C101,EmpAll,COLUMN(Emp!$R$4)+MATCH(N$5,DedListItem,0)-1,0),OFFSET(Setup!$E$73,MATCH(N$5,DedListItem,0),0,1,1)))-SUMIFS(OFFSET(N$6,1,0,PayCount,1),PayDate,"&lt;"&amp;$AC101,PayEmp,$C101))))))</f>
        <v>100</v>
      </c>
      <c r="O101" s="133" cm="1">
        <f t="array" aca="1" ref="O101" ca="1">IF($F101="Terminated",0,IF($AA101=0,0,IF(ISNA(MATCH(O$5,DedListItem,0)),0,IF(COUNTIFS(OverEmp,$C101,OverDeduct,O$5,OverDate,"&lt;"&amp;DATE(YEAR($AC101),MONTH($AC101)+1,1),OverEnd,"&gt;="&amp;DATE(YEAR($AC101),MONTH($AC101),1))&gt;0,SUMIFS(OverValue,OverEmp,$C101,OverDeduct,O$5,OverDate,"&lt;"&amp;DATE(YEAR($AC101),MONTH($AC101)+1,1),OverEnd,"&gt;="&amp;DATE(YEAR($AC101),MONTH($AC101),1)),IF(OR(O$2="Fixed",O$2="Not Used"),(IF(COUNTIFS(EmpNo,$C101,OFFSET(Emp!$R$4,1,MATCH(O$5,DedListItem,0)-1,EmpCount,1),"&lt;&gt;")&gt;0,VLOOKUP($C101,EmpAll,COLUMN(Emp!$R$4)+MATCH(O$5,DedListItem,0)-1,0),OFFSET(Setup!$E$73,MATCH(O$5,DedListItem,0),0,1,1))*$AA101)-SUMIFS(OFFSET(O$6,1,0,PayCount,1),PayDate,"&lt;"&amp;$AC101,PayEmp,$C101),IF(ISNA(MATCH(O$2,EarnListItem,0))=FALSE,IF(OFFSET(Setup!$G$73,MATCH(O$5,DedListItem,0),0,1,1)="Taxable",SUMPRODUCT((PayEmp=$C101)*(PayDate&lt;=$AC101)*(PayEarnCode=O$2)*(PayEarnTax)*(PayEarnValues)),SUMPRODUCT((PayEmp=$C101)*(PayDate&lt;=$AC101)*(PayEarnCode=O$2)*(PayEarnValues)))*IF(COUNTIFS(EmpNo,$C101,OFFSET(Emp!$R$4,1,MATCH(O$5,DedListItem,0)-1,EmpCount,1),"&lt;&gt;")&gt;0,VLOOKUP($C101,EmpAll,COLUMN(Emp!$R$4)+MATCH(O$5,DedListItem,0)-1,0),OFFSET(Setup!$E$73,MATCH(O$5,DedListItem,0),0,1,1)),(MIN(IF(OFFSET(Setup!$G$73,MATCH(O$5,DedListItem,0),0,1,1)="Taxable",SUMPRODUCT((PayEmp=$C101)*(PayDate&lt;=$AC101)*(ISERROR(SEARCH(PayEarnCode,O$4)))*(PayEarnTax)*(PayEarnValues)),SUMPRODUCT((PayEmp=$C101)*(PayDate&lt;=$AC101)*(ISERROR(SEARCH(PayEarnCode,O$4)))*(PayEarnValues))),IF(ISNUMBER(O$3),O$3/12*$AA101,IgnoreMin)))*IF(COUNTIFS(EmpNo,$C101,OFFSET(Emp!$R$4,1,MATCH(O$5,DedListItem,0)-1,EmpCount,1),"&lt;&gt;")&gt;0,VLOOKUP($C101,EmpAll,COLUMN(Emp!$R$4)+MATCH(O$5,DedListItem,0)-1,0),OFFSET(Setup!$E$73,MATCH(O$5,DedListItem,0),0,1,1)))-SUMIFS(OFFSET(O$6,1,0,PayCount,1),PayDate,"&lt;"&amp;$AC101,PayEmp,$C101))))))</f>
        <v>0</v>
      </c>
      <c r="P101" s="133" cm="1">
        <f t="array" aca="1" ref="P101" ca="1">IF($F101="Terminated",0,IF($AA101=0,0,IF(ISNA(MATCH(P$5,DedListItem,0)),0,IF(COUNTIFS(OverEmp,$C101,OverDeduct,P$5,OverDate,"&lt;"&amp;DATE(YEAR($AC101),MONTH($AC101)+1,1),OverEnd,"&gt;="&amp;DATE(YEAR($AC101),MONTH($AC101),1))&gt;0,SUMIFS(OverValue,OverEmp,$C101,OverDeduct,P$5,OverDate,"&lt;"&amp;DATE(YEAR($AC101),MONTH($AC101)+1,1),OverEnd,"&gt;="&amp;DATE(YEAR($AC101),MONTH($AC101),1)),IF(OR(P$2="Fixed",P$2="Not Used"),(IF(COUNTIFS(EmpNo,$C101,OFFSET(Emp!$R$4,1,MATCH(P$5,DedListItem,0)-1,EmpCount,1),"&lt;&gt;")&gt;0,VLOOKUP($C101,EmpAll,COLUMN(Emp!$R$4)+MATCH(P$5,DedListItem,0)-1,0),OFFSET(Setup!$E$73,MATCH(P$5,DedListItem,0),0,1,1))*$AA101)-SUMIFS(OFFSET(P$6,1,0,PayCount,1),PayDate,"&lt;"&amp;$AC101,PayEmp,$C101),IF(ISNA(MATCH(P$2,EarnListItem,0))=FALSE,IF(OFFSET(Setup!$G$73,MATCH(P$5,DedListItem,0),0,1,1)="Taxable",SUMPRODUCT((PayEmp=$C101)*(PayDate&lt;=$AC101)*(PayEarnCode=P$2)*(PayEarnTax)*(PayEarnValues)),SUMPRODUCT((PayEmp=$C101)*(PayDate&lt;=$AC101)*(PayEarnCode=P$2)*(PayEarnValues)))*IF(COUNTIFS(EmpNo,$C101,OFFSET(Emp!$R$4,1,MATCH(P$5,DedListItem,0)-1,EmpCount,1),"&lt;&gt;")&gt;0,VLOOKUP($C101,EmpAll,COLUMN(Emp!$R$4)+MATCH(P$5,DedListItem,0)-1,0),OFFSET(Setup!$E$73,MATCH(P$5,DedListItem,0),0,1,1)),(MIN(IF(OFFSET(Setup!$G$73,MATCH(P$5,DedListItem,0),0,1,1)="Taxable",SUMPRODUCT((PayEmp=$C101)*(PayDate&lt;=$AC101)*(ISERROR(SEARCH(PayEarnCode,P$4)))*(PayEarnTax)*(PayEarnValues)),SUMPRODUCT((PayEmp=$C101)*(PayDate&lt;=$AC101)*(ISERROR(SEARCH(PayEarnCode,P$4)))*(PayEarnValues))),IF(ISNUMBER(P$3),P$3/12*$AA101,IgnoreMin)))*IF(COUNTIFS(EmpNo,$C101,OFFSET(Emp!$R$4,1,MATCH(P$5,DedListItem,0)-1,EmpCount,1),"&lt;&gt;")&gt;0,VLOOKUP($C101,EmpAll,COLUMN(Emp!$R$4)+MATCH(P$5,DedListItem,0)-1,0),OFFSET(Setup!$E$73,MATCH(P$5,DedListItem,0),0,1,1)))-SUMIFS(OFFSET(P$6,1,0,PayCount,1),PayDate,"&lt;"&amp;$AC101,PayEmp,$C101))))))</f>
        <v>0</v>
      </c>
      <c r="Q101" s="133" cm="1">
        <f t="array" aca="1" ref="Q101" ca="1">IF($F101="Terminated",0,IF($AA101=0,0,IF(ISNA(MATCH(Q$5,DedListItem,0)),0,IF(COUNTIFS(OverEmp,$C101,OverDeduct,Q$5,OverDate,"&lt;"&amp;DATE(YEAR($AC101),MONTH($AC101)+1,1),OverEnd,"&gt;="&amp;DATE(YEAR($AC101),MONTH($AC101),1))&gt;0,SUMIFS(OverValue,OverEmp,$C101,OverDeduct,Q$5,OverDate,"&lt;"&amp;DATE(YEAR($AC101),MONTH($AC101)+1,1),OverEnd,"&gt;="&amp;DATE(YEAR($AC101),MONTH($AC101),1)),IF(OR(Q$2="Fixed",Q$2="Not Used"),(IF(COUNTIFS(EmpNo,$C101,OFFSET(Emp!$R$4,1,MATCH(Q$5,DedListItem,0)-1,EmpCount,1),"&lt;&gt;")&gt;0,VLOOKUP($C101,EmpAll,COLUMN(Emp!$R$4)+MATCH(Q$5,DedListItem,0)-1,0),OFFSET(Setup!$E$73,MATCH(Q$5,DedListItem,0),0,1,1))*$AA101)-SUMIFS(OFFSET(Q$6,1,0,PayCount,1),PayDate,"&lt;"&amp;$AC101,PayEmp,$C101),IF(ISNA(MATCH(Q$2,EarnListItem,0))=FALSE,IF(OFFSET(Setup!$G$73,MATCH(Q$5,DedListItem,0),0,1,1)="Taxable",SUMPRODUCT((PayEmp=$C101)*(PayDate&lt;=$AC101)*(PayEarnCode=Q$2)*(PayEarnTax)*(PayEarnValues)),SUMPRODUCT((PayEmp=$C101)*(PayDate&lt;=$AC101)*(PayEarnCode=Q$2)*(PayEarnValues)))*IF(COUNTIFS(EmpNo,$C101,OFFSET(Emp!$R$4,1,MATCH(Q$5,DedListItem,0)-1,EmpCount,1),"&lt;&gt;")&gt;0,VLOOKUP($C101,EmpAll,COLUMN(Emp!$R$4)+MATCH(Q$5,DedListItem,0)-1,0),OFFSET(Setup!$E$73,MATCH(Q$5,DedListItem,0),0,1,1)),(MIN(IF(OFFSET(Setup!$G$73,MATCH(Q$5,DedListItem,0),0,1,1)="Taxable",SUMPRODUCT((PayEmp=$C101)*(PayDate&lt;=$AC101)*(ISERROR(SEARCH(PayEarnCode,Q$4)))*(PayEarnTax)*(PayEarnValues)),SUMPRODUCT((PayEmp=$C101)*(PayDate&lt;=$AC101)*(ISERROR(SEARCH(PayEarnCode,Q$4)))*(PayEarnValues))),IF(ISNUMBER(Q$3),Q$3/12*$AA101,IgnoreMin)))*IF(COUNTIFS(EmpNo,$C101,OFFSET(Emp!$R$4,1,MATCH(Q$5,DedListItem,0)-1,EmpCount,1),"&lt;&gt;")&gt;0,VLOOKUP($C101,EmpAll,COLUMN(Emp!$R$4)+MATCH(Q$5,DedListItem,0)-1,0),OFFSET(Setup!$E$73,MATCH(Q$5,DedListItem,0),0,1,1)))-SUMIFS(OFFSET(Q$6,1,0,PayCount,1),PayDate,"&lt;"&amp;$AC101,PayEmp,$C101))))))</f>
        <v>0</v>
      </c>
      <c r="R101" s="185">
        <f t="shared" ca="1" si="37"/>
        <v>100</v>
      </c>
      <c r="S101" s="139">
        <f t="shared" ca="1" si="38"/>
        <v>9900</v>
      </c>
      <c r="T101" s="133" cm="1">
        <f t="array" aca="1" ref="T101" ca="1">IF($F101="Terminated",0,IF($AA101=0,0,IF(ISNA(MATCH(T$5,CompListItem,0)),0,IF(COUNTIFS(OverEmp,$C101,OverComp,T$5,OverDate,"&lt;"&amp;DATE(YEAR($AC101),MONTH($AC101)+1,1),OverEnd,"&gt;="&amp;DATE(YEAR($AC101),MONTH($AC101),1))&gt;0,SUMIFS(OverValue,OverEmp,$C101,OverComp,T$5,OverDate,"&lt;"&amp;DATE(YEAR($AC101),MONTH($AC101)+1,1),OverEnd,"&gt;="&amp;DATE(YEAR($AC101),MONTH($AC101),1)),IF(OR(T$2="Fixed",T$2="Not Used"),(OFFSET(Setup!$E$81,MATCH(T$5,CompListItem,0),0,1,1)*$AA101)-SUMIFS(OFFSET(T$6,1,0,PayCount,1),PayDate,"&lt;"&amp;$AC101,PayEmp,$C101),IF(ISNA(MATCH(T$2,DedListItem,0))=FALSE,(SUMPRODUCT((PayEmp=$C101)*(PayDate&lt;=$AC101)*(PayDedList=T$2)*(PayDedValues))*OFFSET(Setup!$E$81,MATCH(T$5,CompListItem,0),0,1,1))-SUMIFS(OFFSET(T$6,1,0,PayCount,1),PayDate,"&lt;"&amp;$AC101,PayEmp,$C101),(MIN(IF(OFFSET(Setup!$G$81,MATCH(T$5,CompListItem,0),0,1,1)="Taxable",SUMPRODUCT((PayEmp=$C101)*(PayDate&lt;=$AC101)*(ISERROR(SEARCH(PayEarnCode,T$4)))*(PayEarnTax)*(PayEarnValues)),SUMPRODUCT((PayEmp=$C101)*(PayDate&lt;=$AC101)*(ISERROR(SEARCH(PayEarnCode,T$4)))*(PayEarnValues))),IF(ISNUMBER(T$3),T$3/12*$AA101,IgnoreMin)))*OFFSET(Setup!$E$81,MATCH(T$5,CompListItem,0),0,1,1)-SUMIFS(OFFSET(T$6,1,0,PayCount,1),PayDate,"&lt;"&amp;$AC101,PayEmp,$C101)))))))</f>
        <v>100</v>
      </c>
      <c r="U101" s="133" cm="1">
        <f t="array" aca="1" ref="U101" ca="1">IF($F101="Terminated",0,IF($AA101=0,0,IF(ISNA(MATCH(U$5,CompListItem,0)),0,IF(COUNTIFS(OverEmp,$C101,OverComp,U$5,OverDate,"&lt;"&amp;DATE(YEAR($AC101),MONTH($AC101)+1,1),OverEnd,"&gt;="&amp;DATE(YEAR($AC101),MONTH($AC101),1))&gt;0,SUMIFS(OverValue,OverEmp,$C101,OverComp,U$5,OverDate,"&lt;"&amp;DATE(YEAR($AC101),MONTH($AC101)+1,1),OverEnd,"&gt;="&amp;DATE(YEAR($AC101),MONTH($AC101),1)),IF(OR(U$2="Fixed",U$2="Not Used"),(OFFSET(Setup!$E$81,MATCH(U$5,CompListItem,0),0,1,1)*$AA101)-SUMIFS(OFFSET(U$6,1,0,PayCount,1),PayDate,"&lt;"&amp;$AC101,PayEmp,$C101),IF(ISNA(MATCH(U$2,DedListItem,0))=FALSE,(SUMPRODUCT((PayEmp=$C101)*(PayDate&lt;=$AC101)*(PayDedList=U$2)*(PayDedValues))*OFFSET(Setup!$E$81,MATCH(U$5,CompListItem,0),0,1,1))-SUMIFS(OFFSET(U$6,1,0,PayCount,1),PayDate,"&lt;"&amp;$AC101,PayEmp,$C101),(MIN(IF(OFFSET(Setup!$G$81,MATCH(U$5,CompListItem,0),0,1,1)="Taxable",SUMPRODUCT((PayEmp=$C101)*(PayDate&lt;=$AC101)*(ISERROR(SEARCH(PayEarnCode,U$4)))*(PayEarnTax)*(PayEarnValues)),SUMPRODUCT((PayEmp=$C101)*(PayDate&lt;=$AC101)*(ISERROR(SEARCH(PayEarnCode,U$4)))*(PayEarnValues))),IF(ISNUMBER(U$3),U$3/12*$AA101,IgnoreMin)))*OFFSET(Setup!$E$81,MATCH(U$5,CompListItem,0),0,1,1)-SUMIFS(OFFSET(U$6,1,0,PayCount,1),PayDate,"&lt;"&amp;$AC101,PayEmp,$C101)))))))</f>
        <v>100</v>
      </c>
      <c r="V101" s="133" cm="1">
        <f t="array" aca="1" ref="V101" ca="1">IF($F101="Terminated",0,IF($AA101=0,0,IF(ISNA(MATCH(V$5,CompListItem,0)),0,IF(COUNTIFS(OverEmp,$C101,OverComp,V$5,OverDate,"&lt;"&amp;DATE(YEAR($AC101),MONTH($AC101)+1,1),OverEnd,"&gt;="&amp;DATE(YEAR($AC101),MONTH($AC101),1))&gt;0,SUMIFS(OverValue,OverEmp,$C101,OverComp,V$5,OverDate,"&lt;"&amp;DATE(YEAR($AC101),MONTH($AC101)+1,1),OverEnd,"&gt;="&amp;DATE(YEAR($AC101),MONTH($AC101),1)),IF(OR(V$2="Fixed",V$2="Not Used"),(OFFSET(Setup!$E$81,MATCH(V$5,CompListItem,0),0,1,1)*$AA101)-SUMIFS(OFFSET(V$6,1,0,PayCount,1),PayDate,"&lt;"&amp;$AC101,PayEmp,$C101),IF(ISNA(MATCH(V$2,DedListItem,0))=FALSE,(SUMPRODUCT((PayEmp=$C101)*(PayDate&lt;=$AC101)*(PayDedList=V$2)*(PayDedValues))*OFFSET(Setup!$E$81,MATCH(V$5,CompListItem,0),0,1,1))-SUMIFS(OFFSET(V$6,1,0,PayCount,1),PayDate,"&lt;"&amp;$AC101,PayEmp,$C101),(MIN(IF(OFFSET(Setup!$G$81,MATCH(V$5,CompListItem,0),0,1,1)="Taxable",SUMPRODUCT((PayEmp=$C101)*(PayDate&lt;=$AC101)*(ISERROR(SEARCH(PayEarnCode,V$4)))*(PayEarnTax)*(PayEarnValues)),SUMPRODUCT((PayEmp=$C101)*(PayDate&lt;=$AC101)*(ISERROR(SEARCH(PayEarnCode,V$4)))*(PayEarnValues))),IF(ISNUMBER(V$3),V$3/12*$AA101,IgnoreMin)))*OFFSET(Setup!$E$81,MATCH(V$5,CompListItem,0),0,1,1)-SUMIFS(OFFSET(V$6,1,0,PayCount,1),PayDate,"&lt;"&amp;$AC101,PayEmp,$C101)))))))</f>
        <v>0</v>
      </c>
      <c r="W101" s="133" cm="1">
        <f t="array" aca="1" ref="W101" ca="1">IF($F101="Terminated",0,IF($AA101=0,0,IF(ISNA(MATCH(W$5,CompListItem,0)),0,IF(COUNTIFS(OverEmp,$C101,OverComp,W$5,OverDate,"&lt;"&amp;DATE(YEAR($AC101),MONTH($AC101)+1,1),OverEnd,"&gt;="&amp;DATE(YEAR($AC101),MONTH($AC101),1))&gt;0,SUMIFS(OverValue,OverEmp,$C101,OverComp,W$5,OverDate,"&lt;"&amp;DATE(YEAR($AC101),MONTH($AC101)+1,1),OverEnd,"&gt;="&amp;DATE(YEAR($AC101),MONTH($AC101),1)),IF(OR(W$2="Fixed",W$2="Not Used"),(OFFSET(Setup!$E$81,MATCH(W$5,CompListItem,0),0,1,1)*$AA101)-SUMIFS(OFFSET(W$6,1,0,PayCount,1),PayDate,"&lt;"&amp;$AC101,PayEmp,$C101),IF(ISNA(MATCH(W$2,DedListItem,0))=FALSE,(SUMPRODUCT((PayEmp=$C101)*(PayDate&lt;=$AC101)*(PayDedList=W$2)*(PayDedValues))*OFFSET(Setup!$E$81,MATCH(W$5,CompListItem,0),0,1,1))-SUMIFS(OFFSET(W$6,1,0,PayCount,1),PayDate,"&lt;"&amp;$AC101,PayEmp,$C101),(MIN(IF(OFFSET(Setup!$G$81,MATCH(W$5,CompListItem,0),0,1,1)="Taxable",SUMPRODUCT((PayEmp=$C101)*(PayDate&lt;=$AC101)*(ISERROR(SEARCH(PayEarnCode,W$4)))*(PayEarnTax)*(PayEarnValues)),SUMPRODUCT((PayEmp=$C101)*(PayDate&lt;=$AC101)*(ISERROR(SEARCH(PayEarnCode,W$4)))*(PayEarnValues))),IF(ISNUMBER(W$3),W$3/12*$AA101,IgnoreMin)))*OFFSET(Setup!$E$81,MATCH(W$5,CompListItem,0),0,1,1)-SUMIFS(OFFSET(W$6,1,0,PayCount,1),PayDate,"&lt;"&amp;$AC101,PayEmp,$C101)))))))</f>
        <v>0</v>
      </c>
      <c r="X101" s="185">
        <f t="shared" ref="X101:X132" ca="1" si="48">SUM(OFFSET($T101,0,0,1,COLUMN($X$6)-COLUMN($T$7)))</f>
        <v>200</v>
      </c>
      <c r="Y101" s="139">
        <f t="shared" ca="1" si="39"/>
        <v>10200</v>
      </c>
      <c r="Z101" s="139">
        <f t="shared" ref="Z101:Z132" ca="1" si="49">ROUND(SUM(R101,X101),2)</f>
        <v>300</v>
      </c>
      <c r="AA101" s="146">
        <f ca="1">IF(OR($B101&lt;=Setup!$E$12,$B101&gt;=Setup!$D$12+1),0,IF($F101&lt;&gt;"Active",0,IF($AE101="Yes",$AB101,((YEAR($AC101)*12)+MONTH($AC101))-((YEAR($AD101)*12)+MONTH($AD101)-1))))</f>
        <v>7</v>
      </c>
      <c r="AB101" s="146">
        <f ca="1">IF(OR($B101&lt;=Setup!$E$12,$B101&gt;=Setup!$D$12+1),0,((YEAR($AC101)*12)+MONTH($AC101))-((YEAR(Setup!$E$12)*12)+MONTH(Setup!$E$12)))</f>
        <v>7</v>
      </c>
      <c r="AC101" s="186">
        <f t="shared" ref="AC101:AC132" ca="1" si="50">DATE(YEAR($B101),MONTH($B101),DAY($B101))</f>
        <v>45194</v>
      </c>
      <c r="AD101" s="144">
        <f ca="1">IF(ISNA(VLOOKUP($C101,EmpAll,COLUMN(Emp!$E$4),0)),$AC101,IF(VLOOKUP($C101,EmpAll,COLUMN(Emp!$E$4),0)&lt;=Setup!$E$12,DATE(YEAR(Setup!$E$12),MONTH(Setup!$E$12)+1,1),VLOOKUP($C101,EmpAll,COLUMN(Emp!$E$4),0)))</f>
        <v>44986</v>
      </c>
      <c r="AE101" s="144" t="str">
        <f ca="1">IF(ISNA(VLOOKUP($C101,EmpAll,COLUMN(Emp!$G$1),0)),"-",IF(VLOOKUP($C101,EmpAll,COLUMN(Emp!$G$1),0)=0,"-",VLOOKUP($C101,EmpAll,COLUMN(Emp!$G$1),0)))</f>
        <v>-</v>
      </c>
      <c r="AF101" s="145">
        <f ca="1">IF(A101=PaySlip!$G$3,1,0)</f>
        <v>0</v>
      </c>
      <c r="AG101" s="130" cm="1">
        <f t="array" aca="1" ref="AG101" ca="1">IF(COUNTIFS(OverEmp,$C101,OverMed,"MED",OverDate,"&lt;"&amp;DATE(YEAR($AC101),MONTH($AC101)+1,1),OverEnd,"&gt;="&amp;DATE(YEAR($AC101),MONTH($AC101),1))&gt;0,SUMIFS(OverValue,OverEmp,$C101,OverMed,"MED",OverDate,"&lt;"&amp;DATE(YEAR($AC101),MONTH($AC101)+1,1),OverEnd,"&gt;="&amp;DATE(YEAR($AC101),MONTH($AC101),1)),IF(ISNA(VLOOKUP($C101,EmpAll,COLUMN(Emp!$N$4),0)),0,VLOOKUP($C101,EmpAll,COLUMN(Emp!$N$4),0)))</f>
        <v>1</v>
      </c>
      <c r="AH101" s="146">
        <f ca="1">VLOOKUP($AG101,MedList,COLUMN(Setup!$C$49),1)</f>
        <v>364</v>
      </c>
      <c r="AI101" s="146">
        <f t="shared" ca="1" si="40"/>
        <v>4368</v>
      </c>
      <c r="AJ101" s="101" t="str">
        <f ca="1">IF(ISNA(VLOOKUP($C101,EmpAll,COLUMN(Emp!$L$4),0)),"None!",VLOOKUP($C101,EmpAll,COLUMN(Emp!$L$4),0))</f>
        <v>A</v>
      </c>
      <c r="AK101" s="147">
        <f t="shared" ref="AK101:AK132" ca="1" si="51">IF(ISNA(VLOOKUP($AJ101,RebateList,4,0)),VLOOKUP("A",RebateList,3,0),VLOOKUP($AJ101,RebateList,4,0))</f>
        <v>17235</v>
      </c>
      <c r="AL101" s="101" t="str">
        <f ca="1">IF(ISNA(VLOOKUP($C101,Employees[],COLUMN(Emp!$M$4),0))=TRUE,"Error!",IF(VLOOKUP($C101,Employees[],COLUMN(Emp!$M$4),0)=0,"Yes",VLOOKUP($C101,Employees[],COLUMN(Emp!$M$4),0)))</f>
        <v>A</v>
      </c>
      <c r="AM101" s="148">
        <f t="shared" ca="1" si="41"/>
        <v>120000</v>
      </c>
      <c r="AN101" s="148" cm="1">
        <f t="array" aca="1" ref="AN101" ca="1">-IF($F101="Terminated",0,IF($AA101=0,0,IF(ISNA(MATCH(AN$5,PayDedList,0)),0,MIN(IF(COUNTIFS(OverEmp,$C101,OverDeduct,AN$5,OverDate,"&lt;"&amp;DATE(YEAR($AC101),MONTH($AC101)+1,1),OverEnd,"&gt;="&amp;DATE(YEAR($AC101),MONTH($AC101),1))&gt;0,SUMPRODUCT((PayEmp=$C101)*(PayDate&lt;=$AC101)*(OFFSET($N$6,1,MATCH(AN$5,PayDedList,0)-1,PayCount,1)))/$AA101*12*AN$3,IF(OR(AN$1="Fixed",AN$1="Not Used"),SUMPRODUCT((PayEmp=$C101)*(PayDate&lt;=$AC101)*(OFFSET($N$6,1,MATCH(AN$5,PayDedList,0)-1,PayCount,1)))/$AA101*12*AN$3,IF(ISNA(MATCH(AN$1,EarnListItem,0))=FALSE,SUMPRODUCT((PayEmp=$C101)*(PayDate&lt;=$AC101)*(OFFSET($N$6,1,MATCH(AN$5,PayDedList,0)-1,PayCount,1)))/$AA101*12*AN$3,(MIN(((SUMPRODUCT((PayEmp=$C101)*(PayDate&lt;=$AC101)*(ISERROR(SEARCH(PayEarnCode,AN$2)))*(PayEarnType="Monthly")*(PayEarnValues))/$AA101*12)+(SUMPRODUCT((PayEmp=$C101)*(PayDate&lt;=$AC101)*(ISERROR(SEARCH(PayEarnCode,AN$2)))*(PayEarnType="Quarterly")*(PayEarnValues))/MAX(1,ROUNDDOWN($AB101/3,0))*4)+(SUMPRODUCT((PayEmp=$C101)*(PayDate&lt;=$AC101)*(ISERROR(SEARCH(PayEarnCode,AN$2)))*(PayEarnType="Bi-Annual")*(PayEarnValues))/MAX(1,ROUNDDOWN($AB101/6,0))*2)+(SUMPRODUCT((PayEmp=$C101)*(PayDate&lt;=$AC101)*(ISERROR(SEARCH(PayEarnCode,AN$2)))*(PayEarnType="Annual")*(PayEarnValues)))),IF(ISNUMBER(OFFSET($N$3,0,MATCH(AN$5,PayDedList,0)-1,1,1)),OFFSET($N$3,0,MATCH(AN$5,PayDedList,0)-1,1,1),IgnoreMin)))*IF(COUNTIFS(EmpNo,$C101,OFFSET(Emp!$R$4,1,MATCH(AN$5,DedListItem,0)-1,EmpCount,1),"&lt;&gt;")&gt;0,VLOOKUP($C101,EmpAll,COLUMN(Emp!$R$4)+MATCH(AN$5,DedListItem,0)-1,0),OFFSET(Setup!$E$73,MATCH(AN$5,DedListItem,0),0,1,1))*AN$3))),IF(ISNUMBER(AN$4),AN$4,IgnoreMin)))))</f>
        <v>0</v>
      </c>
      <c r="AO101" s="148" cm="1">
        <f t="array" aca="1" ref="AO101" ca="1">-IF($F101="Terminated",0,IF($AA101=0,0,IF(ISNA(MATCH(AO$5,PayDedList,0)),0,MIN(IF(COUNTIFS(OverEmp,$C101,OverDeduct,AO$5,OverDate,"&lt;"&amp;DATE(YEAR($AC101),MONTH($AC101)+1,1),OverEnd,"&gt;="&amp;DATE(YEAR($AC101),MONTH($AC101),1))&gt;0,SUMPRODUCT((PayEmp=$C101)*(PayDate&lt;=$AC101)*(OFFSET($N$6,1,MATCH(AO$5,PayDedList,0)-1,PayCount,1)))/$AA101*12*AO$3,IF(OR(AO$1="Fixed",AO$1="Not Used"),SUMPRODUCT((PayEmp=$C101)*(PayDate&lt;=$AC101)*(OFFSET($N$6,1,MATCH(AO$5,PayDedList,0)-1,PayCount,1)))/$AA101*12*AO$3,IF(ISNA(MATCH(AO$1,EarnListItem,0))=FALSE,SUMPRODUCT((PayEmp=$C101)*(PayDate&lt;=$AC101)*(OFFSET($N$6,1,MATCH(AO$5,PayDedList,0)-1,PayCount,1)))/$AA101*12*AO$3,(MIN(((SUMPRODUCT((PayEmp=$C101)*(PayDate&lt;=$AC101)*(ISERROR(SEARCH(PayEarnCode,AO$2)))*(PayEarnType="Monthly")*(PayEarnValues))/$AA101*12)+(SUMPRODUCT((PayEmp=$C101)*(PayDate&lt;=$AC101)*(ISERROR(SEARCH(PayEarnCode,AO$2)))*(PayEarnType="Quarterly")*(PayEarnValues))/MAX(1,ROUNDDOWN($AB101/3,0))*4)+(SUMPRODUCT((PayEmp=$C101)*(PayDate&lt;=$AC101)*(ISERROR(SEARCH(PayEarnCode,AO$2)))*(PayEarnType="Bi-Annual")*(PayEarnValues))/MAX(1,ROUNDDOWN($AB101/6,0))*2)+(SUMPRODUCT((PayEmp=$C101)*(PayDate&lt;=$AC101)*(ISERROR(SEARCH(PayEarnCode,AO$2)))*(PayEarnType="Annual")*(PayEarnValues)))),IF(ISNUMBER(OFFSET($N$3,0,MATCH(AO$5,PayDedList,0)-1,1,1)),OFFSET($N$3,0,MATCH(AO$5,PayDedList,0)-1,1,1),IgnoreMin)))*IF(COUNTIFS(EmpNo,$C101,OFFSET(Emp!$R$4,1,MATCH(AO$5,DedListItem,0)-1,EmpCount,1),"&lt;&gt;")&gt;0,VLOOKUP($C101,EmpAll,COLUMN(Emp!$R$4)+MATCH(AO$5,DedListItem,0)-1,0),OFFSET(Setup!$E$73,MATCH(AO$5,DedListItem,0),0,1,1))*AO$3))),IF(ISNUMBER(AO$4),AO$4,IgnoreMin)))))</f>
        <v>0</v>
      </c>
      <c r="AP101" s="148" cm="1">
        <f t="array" aca="1" ref="AP101" ca="1">-IF($F101="Terminated",0,IF($AA101=0,0,IF(ISNA(MATCH(AP$5,PayDedList,0)),0,MIN(IF(COUNTIFS(OverEmp,$C101,OverDeduct,AP$5,OverDate,"&lt;"&amp;DATE(YEAR($AC101),MONTH($AC101)+1,1),OverEnd,"&gt;="&amp;DATE(YEAR($AC101),MONTH($AC101),1))&gt;0,SUMPRODUCT((PayEmp=$C101)*(PayDate&lt;=$AC101)*(OFFSET($N$6,1,MATCH(AP$5,PayDedList,0)-1,PayCount,1)))/$AA101*12*AP$3,IF(OR(AP$1="Fixed",AP$1="Not Used"),SUMPRODUCT((PayEmp=$C101)*(PayDate&lt;=$AC101)*(OFFSET($N$6,1,MATCH(AP$5,PayDedList,0)-1,PayCount,1)))/$AA101*12*AP$3,IF(ISNA(MATCH(AP$1,EarnListItem,0))=FALSE,SUMPRODUCT((PayEmp=$C101)*(PayDate&lt;=$AC101)*(OFFSET($N$6,1,MATCH(AP$5,PayDedList,0)-1,PayCount,1)))/$AA101*12*AP$3,(MIN(((SUMPRODUCT((PayEmp=$C101)*(PayDate&lt;=$AC101)*(ISERROR(SEARCH(PayEarnCode,AP$2)))*(PayEarnType="Monthly")*(PayEarnValues))/$AA101*12)+(SUMPRODUCT((PayEmp=$C101)*(PayDate&lt;=$AC101)*(ISERROR(SEARCH(PayEarnCode,AP$2)))*(PayEarnType="Quarterly")*(PayEarnValues))/MAX(1,ROUNDDOWN($AB101/3,0))*4)+(SUMPRODUCT((PayEmp=$C101)*(PayDate&lt;=$AC101)*(ISERROR(SEARCH(PayEarnCode,AP$2)))*(PayEarnType="Bi-Annual")*(PayEarnValues))/MAX(1,ROUNDDOWN($AB101/6,0))*2)+(SUMPRODUCT((PayEmp=$C101)*(PayDate&lt;=$AC101)*(ISERROR(SEARCH(PayEarnCode,AP$2)))*(PayEarnType="Annual")*(PayEarnValues)))),IF(ISNUMBER(OFFSET($N$3,0,MATCH(AP$5,PayDedList,0)-1,1,1)),OFFSET($N$3,0,MATCH(AP$5,PayDedList,0)-1,1,1),IgnoreMin)))*IF(COUNTIFS(EmpNo,$C101,OFFSET(Emp!$R$4,1,MATCH(AP$5,DedListItem,0)-1,EmpCount,1),"&lt;&gt;")&gt;0,VLOOKUP($C101,EmpAll,COLUMN(Emp!$R$4)+MATCH(AP$5,DedListItem,0)-1,0),OFFSET(Setup!$E$73,MATCH(AP$5,DedListItem,0),0,1,1))*AP$3))),IF(ISNUMBER(AP$4),AP$4,IgnoreMin)))))</f>
        <v>0</v>
      </c>
      <c r="AQ101" s="148" cm="1">
        <f t="array" aca="1" ref="AQ101" ca="1">-IF($F101="Terminated",0,IF($AA101=0,0,IF(ISNA(MATCH(AQ$5,PayDedList,0)),0,MIN(IF(COUNTIFS(OverEmp,$C101,OverDeduct,AQ$5,OverDate,"&lt;"&amp;DATE(YEAR($AC101),MONTH($AC101)+1,1),OverEnd,"&gt;="&amp;DATE(YEAR($AC101),MONTH($AC101),1))&gt;0,SUMPRODUCT((PayEmp=$C101)*(PayDate&lt;=$AC101)*(OFFSET($N$6,1,MATCH(AQ$5,PayDedList,0)-1,PayCount,1)))/$AA101*12*AQ$3,IF(OR(AQ$1="Fixed",AQ$1="Not Used"),SUMPRODUCT((PayEmp=$C101)*(PayDate&lt;=$AC101)*(OFFSET($N$6,1,MATCH(AQ$5,PayDedList,0)-1,PayCount,1)))/$AA101*12*AQ$3,IF(ISNA(MATCH(AQ$1,EarnListItem,0))=FALSE,SUMPRODUCT((PayEmp=$C101)*(PayDate&lt;=$AC101)*(OFFSET($N$6,1,MATCH(AQ$5,PayDedList,0)-1,PayCount,1)))/$AA101*12*AQ$3,(MIN(((SUMPRODUCT((PayEmp=$C101)*(PayDate&lt;=$AC101)*(ISERROR(SEARCH(PayEarnCode,AQ$2)))*(PayEarnType="Monthly")*(PayEarnValues))/$AA101*12)+(SUMPRODUCT((PayEmp=$C101)*(PayDate&lt;=$AC101)*(ISERROR(SEARCH(PayEarnCode,AQ$2)))*(PayEarnType="Quarterly")*(PayEarnValues))/MAX(1,ROUNDDOWN($AB101/3,0))*4)+(SUMPRODUCT((PayEmp=$C101)*(PayDate&lt;=$AC101)*(ISERROR(SEARCH(PayEarnCode,AQ$2)))*(PayEarnType="Bi-Annual")*(PayEarnValues))/MAX(1,ROUNDDOWN($AB101/6,0))*2)+(SUMPRODUCT((PayEmp=$C101)*(PayDate&lt;=$AC101)*(ISERROR(SEARCH(PayEarnCode,AQ$2)))*(PayEarnType="Annual")*(PayEarnValues)))),IF(ISNUMBER(OFFSET($N$3,0,MATCH(AQ$5,PayDedList,0)-1,1,1)),OFFSET($N$3,0,MATCH(AQ$5,PayDedList,0)-1,1,1),IgnoreMin)))*IF(COUNTIFS(EmpNo,$C101,OFFSET(Emp!$R$4,1,MATCH(AQ$5,DedListItem,0)-1,EmpCount,1),"&lt;&gt;")&gt;0,VLOOKUP($C101,EmpAll,COLUMN(Emp!$R$4)+MATCH(AQ$5,DedListItem,0)-1,0),OFFSET(Setup!$E$73,MATCH(AQ$5,DedListItem,0),0,1,1))*AQ$3))),IF(ISNUMBER(AQ$4),AQ$4,IgnoreMin)))))</f>
        <v>0</v>
      </c>
      <c r="AR101" s="148">
        <f t="shared" ref="AR101:AR132" ca="1" si="52">$AM101+SUM(OFFSET($AM101,0,1,1,COLUMN($AR$2)-COLUMN($AM$2)-1))</f>
        <v>120000</v>
      </c>
      <c r="AS101" s="148">
        <f t="shared" ca="1" si="42"/>
        <v>120000</v>
      </c>
      <c r="AT101" s="148" cm="1">
        <f t="array" aca="1" ref="AT101" ca="1">-IF($F101="Terminated",0,IF($AA101=0,0,IF(ISNA(MATCH(AT$5,PayDedList,0)),0,MIN(IF(COUNTIFS(OverEmp,$C101,OverDeduct,AT$5,OverDate,"&lt;"&amp;DATE(YEAR($AC101),MONTH($AC101)+1,1),OverEnd,"&gt;="&amp;DATE(YEAR($AC101),MONTH($AC101),1))&gt;0,SUMPRODUCT((PayEmp=$C101)*(PayDate&lt;=$AC101)*(OFFSET($N$6,1,MATCH(AT$5,PayDedList,0)-1,PayCount,1)))/$AA101*12*AT$3,IF(OR(AT$1="Fixed",AT$1="Not Used"),SUMPRODUCT((PayEmp=$C101)*(PayDate&lt;=$AC101)*(OFFSET($N$6,1,MATCH(AT$5,PayDedList,0)-1,PayCount,1)))/$AA101*12*AT$3,IF(ISNA(MATCH(OFFSET($N$2,0,MATCH(AT$5,PayDedList,0)-1,1,1),EarnListItem,0))=FALSE,SUMPRODUCT((PayEmp=$C101)*(PayDate&lt;=$AC101)*(OFFSET($N$6,1,MATCH(AT$5,PayDedList,0)-1,PayCount,1)))/$AA101*12*AT$3,(MIN(SUMPRODUCT((PayEmp=$C101)*(PayDate&lt;=$AC101)*(ISERROR(SEARCH(PayEarnCode,AT$2)))*(PayEarnType="Monthly")*(PayEarnValues))/$AA101*12,IF(ISNUMBER(OFFSET($N$3,0,MATCH(AT$5,PayDedList,0)-1,1,1)),OFFSET($N$3,0,MATCH(AT$5,PayDedList,0)-1,1,1),IgnoreMin)))*IF(COUNTIFS(EmpNo,$C101,OFFSET(Emp!$R$4,1,MATCH(AT$5,DedListItem,0)-1,EmpCount,1),"&lt;&gt;")&gt;0,VLOOKUP($C101,EmpAll,COLUMN(Emp!$R$4)+MATCH(AT$5,DedListItem,0)-1,0),OFFSET(Setup!$E$73,MATCH(AT$5,DedListItem,0),0,1,1))*AT$3))),IF(ISNUMBER(AT$4),AT$4,IgnoreMin)))))</f>
        <v>0</v>
      </c>
      <c r="AU101" s="148" cm="1">
        <f t="array" aca="1" ref="AU101" ca="1">-IF($F101="Terminated",0,IF($AA101=0,0,IF(ISNA(MATCH(AU$5,PayDedList,0)),0,MIN(IF(COUNTIFS(OverEmp,$C101,OverDeduct,AU$5,OverDate,"&lt;"&amp;DATE(YEAR($AC101),MONTH($AC101)+1,1),OverEnd,"&gt;="&amp;DATE(YEAR($AC101),MONTH($AC101),1))&gt;0,SUMPRODUCT((PayEmp=$C101)*(PayDate&lt;=$AC101)*(OFFSET($N$6,1,MATCH(AU$5,PayDedList,0)-1,PayCount,1)))/$AA101*12*AU$3,IF(OR(AU$1="Fixed",AU$1="Not Used"),SUMPRODUCT((PayEmp=$C101)*(PayDate&lt;=$AC101)*(OFFSET($N$6,1,MATCH(AU$5,PayDedList,0)-1,PayCount,1)))/$AA101*12*AU$3,IF(ISNA(MATCH(OFFSET($N$2,0,MATCH(AU$5,PayDedList,0)-1,1,1),EarnListItem,0))=FALSE,SUMPRODUCT((PayEmp=$C101)*(PayDate&lt;=$AC101)*(OFFSET($N$6,1,MATCH(AU$5,PayDedList,0)-1,PayCount,1)))/$AA101*12*AU$3,(MIN(SUMPRODUCT((PayEmp=$C101)*(PayDate&lt;=$AC101)*(ISERROR(SEARCH(PayEarnCode,AU$2)))*(PayEarnType="Monthly")*(PayEarnValues))/$AA101*12,IF(ISNUMBER(OFFSET($N$3,0,MATCH(AU$5,PayDedList,0)-1,1,1)),OFFSET($N$3,0,MATCH(AU$5,PayDedList,0)-1,1,1),IgnoreMin)))*IF(COUNTIFS(EmpNo,$C101,OFFSET(Emp!$R$4,1,MATCH(AU$5,DedListItem,0)-1,EmpCount,1),"&lt;&gt;")&gt;0,VLOOKUP($C101,EmpAll,COLUMN(Emp!$R$4)+MATCH(AU$5,DedListItem,0)-1,0),OFFSET(Setup!$E$73,MATCH(AU$5,DedListItem,0),0,1,1))*AU$3))),IF(ISNUMBER(AU$4),AU$4,IgnoreMin)))))</f>
        <v>0</v>
      </c>
      <c r="AV101" s="148" cm="1">
        <f t="array" aca="1" ref="AV101" ca="1">-IF($F101="Terminated",0,IF($AA101=0,0,IF(ISNA(MATCH(AV$5,PayDedList,0)),0,MIN(IF(COUNTIFS(OverEmp,$C101,OverDeduct,AV$5,OverDate,"&lt;"&amp;DATE(YEAR($AC101),MONTH($AC101)+1,1),OverEnd,"&gt;="&amp;DATE(YEAR($AC101),MONTH($AC101),1))&gt;0,SUMPRODUCT((PayEmp=$C101)*(PayDate&lt;=$AC101)*(OFFSET($N$6,1,MATCH(AV$5,PayDedList,0)-1,PayCount,1)))/$AA101*12*AV$3,IF(OR(AV$1="Fixed",AV$1="Not Used"),SUMPRODUCT((PayEmp=$C101)*(PayDate&lt;=$AC101)*(OFFSET($N$6,1,MATCH(AV$5,PayDedList,0)-1,PayCount,1)))/$AA101*12*AV$3,IF(ISNA(MATCH(OFFSET($N$2,0,MATCH(AV$5,PayDedList,0)-1,1,1),EarnListItem,0))=FALSE,SUMPRODUCT((PayEmp=$C101)*(PayDate&lt;=$AC101)*(OFFSET($N$6,1,MATCH(AV$5,PayDedList,0)-1,PayCount,1)))/$AA101*12*AV$3,(MIN(SUMPRODUCT((PayEmp=$C101)*(PayDate&lt;=$AC101)*(ISERROR(SEARCH(PayEarnCode,AV$2)))*(PayEarnType="Monthly")*(PayEarnValues))/$AA101*12,IF(ISNUMBER(OFFSET($N$3,0,MATCH(AV$5,PayDedList,0)-1,1,1)),OFFSET($N$3,0,MATCH(AV$5,PayDedList,0)-1,1,1),IgnoreMin)))*IF(COUNTIFS(EmpNo,$C101,OFFSET(Emp!$R$4,1,MATCH(AV$5,DedListItem,0)-1,EmpCount,1),"&lt;&gt;")&gt;0,VLOOKUP($C101,EmpAll,COLUMN(Emp!$R$4)+MATCH(AV$5,DedListItem,0)-1,0),OFFSET(Setup!$E$73,MATCH(AV$5,DedListItem,0),0,1,1))*AV$3))),IF(ISNUMBER(AV$4),AV$4,IgnoreMin)))))</f>
        <v>0</v>
      </c>
      <c r="AW101" s="148" cm="1">
        <f t="array" aca="1" ref="AW101" ca="1">-IF($F101="Terminated",0,IF($AA101=0,0,IF(ISNA(MATCH(AW$5,PayDedList,0)),0,MIN(IF(COUNTIFS(OverEmp,$C101,OverDeduct,AW$5,OverDate,"&lt;"&amp;DATE(YEAR($AC101),MONTH($AC101)+1,1),OverEnd,"&gt;="&amp;DATE(YEAR($AC101),MONTH($AC101),1))&gt;0,SUMPRODUCT((PayEmp=$C101)*(PayDate&lt;=$AC101)*(OFFSET($N$6,1,MATCH(AW$5,PayDedList,0)-1,PayCount,1)))/$AA101*12*AW$3,IF(OR(AW$1="Fixed",AW$1="Not Used"),SUMPRODUCT((PayEmp=$C101)*(PayDate&lt;=$AC101)*(OFFSET($N$6,1,MATCH(AW$5,PayDedList,0)-1,PayCount,1)))/$AA101*12*AW$3,IF(ISNA(MATCH(OFFSET($N$2,0,MATCH(AW$5,PayDedList,0)-1,1,1),EarnListItem,0))=FALSE,SUMPRODUCT((PayEmp=$C101)*(PayDate&lt;=$AC101)*(OFFSET($N$6,1,MATCH(AW$5,PayDedList,0)-1,PayCount,1)))/$AA101*12*AW$3,(MIN(SUMPRODUCT((PayEmp=$C101)*(PayDate&lt;=$AC101)*(ISERROR(SEARCH(PayEarnCode,AW$2)))*(PayEarnType="Monthly")*(PayEarnValues))/$AA101*12,IF(ISNUMBER(OFFSET($N$3,0,MATCH(AW$5,PayDedList,0)-1,1,1)),OFFSET($N$3,0,MATCH(AW$5,PayDedList,0)-1,1,1),IgnoreMin)))*IF(COUNTIFS(EmpNo,$C101,OFFSET(Emp!$R$4,1,MATCH(AW$5,DedListItem,0)-1,EmpCount,1),"&lt;&gt;")&gt;0,VLOOKUP($C101,EmpAll,COLUMN(Emp!$R$4)+MATCH(AW$5,DedListItem,0)-1,0),OFFSET(Setup!$E$73,MATCH(AW$5,DedListItem,0),0,1,1))*AW$3))),IF(ISNUMBER(AW$4),AW$4,IgnoreMin)))))</f>
        <v>0</v>
      </c>
      <c r="AX101" s="148">
        <f t="shared" ca="1" si="43"/>
        <v>120000</v>
      </c>
      <c r="AY101" s="148">
        <f t="shared" ca="1" si="44"/>
        <v>0</v>
      </c>
      <c r="AZ101" s="148">
        <f ca="1">IF(ISNUMBER($AL101),($AR101*$AL101)-$AI101-$AK101,MAX(0,IF($AL101="B",IF($AR101&lt;Setup!$C$32,($AR101*Setup!$D$32)-$AI101-$AK101,(($AR101-VLOOKUP($AR101,TaxAll2,1,1))*OFFSET(Setup!$D$32,MATCH($AR101,TaxBracket2,1),0,1,1))+OFFSET(Setup!$E$31,MATCH($AR101,TaxBracket2,1),0,1,1)-$AI101-$AK101),IF($AR101&lt;Setup!$C$21,($AR101*Setup!$D$21)-$AI101-$AK101,(($AR101-VLOOKUP($AR101,TaxAll1,1,1))*OFFSET(Setup!$D$21,MATCH($AR101,TaxBracket1,1),0,1,1))+OFFSET(Setup!$E$20,MATCH($AR101,TaxBracket1,1),0,1,1)-$AI101-$AK101))))</f>
        <v>0</v>
      </c>
      <c r="BA101" s="148">
        <f ca="1">IF(ISNUMBER($AL101),($AX101*$AL101)-$AI101-$AK101,MAX(0,IF($AL101="B",IF($AX101&lt;Setup!$C$32,($AX101*Setup!$D$32)-$AI101-$AK101,(($AX101-VLOOKUP($AX101,TaxAll2,1,1))*OFFSET(Setup!$D$32,MATCH($AX101,TaxBracket2,1),0,1,1))+OFFSET(Setup!$E$31,MATCH($AX101,TaxBracket2,1),0,1,1)-$AI101-$AK101),IF($AX101&lt;Setup!$C$21,($AX101*Setup!$D$21)-$AI101-$AK101,(($AX101-VLOOKUP($AX101,TaxAll1,1,1))*OFFSET(Setup!$D$21,MATCH($AX101,TaxBracket1,1),0,1,1))+OFFSET(Setup!$E$20,MATCH($AX101,TaxBracket1,1),0,1,1)-$AI101-$AK101))))</f>
        <v>0</v>
      </c>
      <c r="BB101" s="148">
        <f t="shared" ref="BB101:BB132" ca="1" si="53">AZ101-BA101</f>
        <v>0</v>
      </c>
      <c r="BC101" s="150">
        <f t="shared" ca="1" si="45"/>
        <v>1</v>
      </c>
      <c r="BD101" s="150">
        <f t="shared" ca="1" si="46"/>
        <v>0</v>
      </c>
      <c r="BE101" s="148">
        <f t="shared" ca="1" si="47"/>
        <v>120000</v>
      </c>
    </row>
    <row r="102" spans="1:57" ht="16.149999999999999" customHeight="1" x14ac:dyDescent="0.25">
      <c r="A102" s="10" t="str" cm="1">
        <f t="array" aca="1" ref="A102" ca="1">IF(ROW($A102)-ROW($A$6)&gt;EmpCount*12,"-",TEXT($B102,"yyyy")&amp;TEXT($B102,"mm")&amp;"-"&amp;$C102)</f>
        <v>202309-EXS006</v>
      </c>
      <c r="B102" s="137" cm="1">
        <f t="array" aca="1" ref="B102" ca="1">IF(ROW($A102)-ROW($A$6)&gt;EmpCount*12,Setup!$D$12,DATE(YEAR(Setup!$F$12),MONTH(Setup!$F$12)+ROUNDDOWN((ROW($A102)-ROW($A$6)-1)/EmpCount,0),IF(Setup!$C$14&gt;DAY(DATE(YEAR(Setup!$F$12),MONTH(Setup!$F$12)+ROUNDDOWN((ROW($A102)-ROW($A$6)-1)/EmpCount,0)+1,0)),DAY(DATE(YEAR(Setup!$F$12),MONTH(Setup!$F$12)+ROUNDDOWN((ROW($A102)-ROW($A$6)-1)/EmpCount,0)+1,0)),Setup!$C$14)))</f>
        <v>45194</v>
      </c>
      <c r="C102" s="101" t="str" cm="1">
        <f t="array" aca="1" ref="C102" ca="1">IF(ROW($A102)-ROW($A$6)&gt;EmpCount*12,"-",OFFSET(Emp!$A$4,ROW($A102)-ROW($A$6)-IF(ROW($A102)-ROW($A$6)&gt;EmpCount,ROUNDDOWN((ROW($A102)-ROW($A$6)-1)/EmpCount,0)*EmpCount,0),0,1,1))</f>
        <v>EXS006</v>
      </c>
      <c r="D102" s="10" t="str">
        <f ca="1">IF(ISNA(VLOOKUP($C102,EmpAll,COLUMN(Emp!$B$4),0)),"-",VLOOKUP($C102,EmpAll,COLUMN(Emp!$B$4),0))</f>
        <v>Andrews MS</v>
      </c>
      <c r="E102" s="145" t="str">
        <f ca="1">IF(ISNA(VLOOKUP($C102,EmpAll,COLUMN(Emp!$C$4),0)),"-",VLOOKUP($C102,EmpAll,COLUMN(Emp!$C$4),0))</f>
        <v>S</v>
      </c>
      <c r="F102" s="101" t="str">
        <f ca="1">IF(ISNA(VLOOKUP($C102,EmpAll,COLUMN(Emp!$A$4),0)),"-",IF(AND(VLOOKUP($C102,EmpAll,COLUMN(Emp!$E$4),0)&lt;&gt;0,VLOOKUP($C102,EmpAll,COLUMN(Emp!$E$4),0)&gt;=DATE(YEAR($AC102),MONTH($AC102)+1,0)),"Inactive",IF(AND(VLOOKUP($C102,EmpAll,COLUMN(Emp!$F$4),0)&lt;&gt;0,VLOOKUP($C102,EmpAll,COLUMN(Emp!$F$4),0)&lt;=DATE(YEAR($AC102),MONTH($AC102),0)),"Terminated","Active")))</f>
        <v>Active</v>
      </c>
      <c r="G102" s="133" cm="1">
        <f t="array" aca="1" ref="G102" ca="1">IF($F102&lt;&gt;"Active",0,IF(COUNTIFS(OverEmp,$C102,OverEarn,G$2,OverDate,"&lt;"&amp;DATE(YEAR($AC102),MONTH($AC102)+1,1),OverEnd,"&gt;="&amp;DATE(YEAR($AC102),MONTH($AC102),1))&gt;0,SUMIFS(OverValue,OverEmp,$C102,OverEarn,G$2,OverDate,"&lt;"&amp;DATE(YEAR($AC102),MONTH($AC102)+1,1),OverEnd,"&gt;="&amp;DATE(YEAR($AC102),MONTH($AC102),1)),IF(AND($AC102&gt;=Setup!$E$10,SUMIFS(EmpIncrease,EmpCode,$C102)&gt;0),SUMIFS(EmpIncrease,EmpCode,$C102),SUMIFS(EmpSalary,EmpCode,$C102))))</f>
        <v>10000</v>
      </c>
      <c r="H102" s="133" cm="1">
        <f t="array" aca="1" ref="H102" ca="1">IF($F102&lt;&gt;"Active",0,IF(COUNTIFS(OverEmp,$C102,OverEarn,H$2,OverDate,"&lt;"&amp;DATE(YEAR($AC102),MONTH($AC102)+1,1),OverEnd,"&gt;="&amp;DATE(YEAR($AC102),MONTH($AC102),1))&gt;0,SUMIFS(OverValue,OverEmp,$C102,OverEarn,H$2,OverDate,"&lt;"&amp;DATE(YEAR($AC102),MONTH($AC102)+1,1),OverEnd,"&gt;="&amp;DATE(YEAR($AC102),MONTH($AC102),1)),0))</f>
        <v>0</v>
      </c>
      <c r="I102" s="133" cm="1">
        <f t="array" aca="1" ref="I102" ca="1">IF($F102&lt;&gt;"Active",0,IF(COUNTIFS(OverEmp,$C102,OverEarn,I$2,OverDate,"&lt;"&amp;DATE(YEAR($AC102),MONTH($AC102)+1,1),OverEnd,"&gt;="&amp;DATE(YEAR($AC102),MONTH($AC102),1))&gt;0,SUMIFS(OverValue,OverEmp,$C102,OverEarn,I$2,OverDate,"&lt;"&amp;DATE(YEAR($AC102),MONTH($AC102)+1,1),OverEnd,"&gt;="&amp;DATE(YEAR($AC102),MONTH($AC102),1)),IF(MONTH(B102)=Setup!$C$15,SUMIFS(EmpBonus,EmpCode,$C102),0)))</f>
        <v>0</v>
      </c>
      <c r="J102" s="133" cm="1">
        <f t="array" aca="1" ref="J102" ca="1">IF($F102&lt;&gt;"Active",0,IF(COUNTIFS(OverEmp,$C102,OverEarn,J$2,OverDate,"&lt;"&amp;DATE(YEAR($AC102),MONTH($AC102)+1,1),OverEnd,"&gt;="&amp;DATE(YEAR($AC102),MONTH($AC102),1))&gt;0,SUMIFS(OverValue,OverEmp,$C102,OverEarn,J$2,OverDate,"&lt;"&amp;DATE(YEAR($AC102),MONTH($AC102)+1,1),OverEnd,"&gt;="&amp;DATE(YEAR($AC102),MONTH($AC102),1)),0))</f>
        <v>0</v>
      </c>
      <c r="K102" s="133" cm="1">
        <f t="array" aca="1" ref="K102" ca="1">IF($F102&lt;&gt;"Active",0,IF(COUNTIFS(OverEmp,$C102,OverEarn,K$2,OverDate,"&lt;"&amp;DATE(YEAR($AC102),MONTH($AC102)+1,1),OverEnd,"&gt;="&amp;DATE(YEAR($AC102),MONTH($AC102),1))&gt;0,SUMIFS(OverValue,OverEmp,$C102,OverEarn,K$2,OverDate,"&lt;"&amp;DATE(YEAR($AC102),MONTH($AC102)+1,1),OverEnd,"&gt;="&amp;DATE(YEAR($AC102),MONTH($AC102),1)),0))</f>
        <v>0</v>
      </c>
      <c r="L102" s="185">
        <f t="shared" ca="1" si="36"/>
        <v>10000</v>
      </c>
      <c r="M102" s="182" cm="1">
        <f t="array" aca="1" ref="M102" ca="1">IF(COUNTIFS(OverEmp,$C102,OverTax,M$5,OverDate,"&lt;"&amp;DATE(YEAR($AC102),MONTH($AC102)+1,1),OverEnd,"&gt;="&amp;DATE(YEAR($AC102),MONTH($AC102),1))&gt;0,SUMIFS(OverValue,OverEmp,$C102,OverTax,M$5,OverDate,"&lt;"&amp;DATE(YEAR($AC102),MONTH($AC102)+1,1),OverEnd,"&gt;="&amp;DATE(YEAR($AC102),MONTH($AC102),1)),(($BA102/12*$AA102)+(BB102*IF(1-$BC102=0,0,BD102/(1-$BC102))))-IF($F102="Terminated",0,SUMIFS(PayTaxDeduct,PayDate,"&lt;"&amp;$AC102,PayEmp,$C102)))</f>
        <v>0</v>
      </c>
      <c r="N102" s="133" cm="1">
        <f t="array" aca="1" ref="N102" ca="1">IF($F102="Terminated",0,IF($AA102=0,0,IF(ISNA(MATCH(N$5,DedListItem,0)),0,IF(COUNTIFS(OverEmp,$C102,OverDeduct,N$5,OverDate,"&lt;"&amp;DATE(YEAR($AC102),MONTH($AC102)+1,1),OverEnd,"&gt;="&amp;DATE(YEAR($AC102),MONTH($AC102),1))&gt;0,SUMIFS(OverValue,OverEmp,$C102,OverDeduct,N$5,OverDate,"&lt;"&amp;DATE(YEAR($AC102),MONTH($AC102)+1,1),OverEnd,"&gt;="&amp;DATE(YEAR($AC102),MONTH($AC102),1)),IF(OR(N$2="Fixed",N$2="Not Used"),(IF(COUNTIFS(EmpNo,$C102,OFFSET(Emp!$R$4,1,MATCH(N$5,DedListItem,0)-1,EmpCount,1),"&lt;&gt;")&gt;0,VLOOKUP($C102,EmpAll,COLUMN(Emp!$R$4)+MATCH(N$5,DedListItem,0)-1,0),OFFSET(Setup!$E$73,MATCH(N$5,DedListItem,0),0,1,1))*$AA102)-SUMIFS(OFFSET(N$6,1,0,PayCount,1),PayDate,"&lt;"&amp;$AC102,PayEmp,$C102),IF(ISNA(MATCH(N$2,EarnListItem,0))=FALSE,IF(OFFSET(Setup!$G$73,MATCH(N$5,DedListItem,0),0,1,1)="Taxable",SUMPRODUCT((PayEmp=$C102)*(PayDate&lt;=$AC102)*(PayEarnCode=N$2)*(PayEarnTax)*(PayEarnValues)),SUMPRODUCT((PayEmp=$C102)*(PayDate&lt;=$AC102)*(PayEarnCode=N$2)*(PayEarnValues)))*IF(COUNTIFS(EmpNo,$C102,OFFSET(Emp!$R$4,1,MATCH(N$5,DedListItem,0)-1,EmpCount,1),"&lt;&gt;")&gt;0,VLOOKUP($C102,EmpAll,COLUMN(Emp!$R$4)+MATCH(N$5,DedListItem,0)-1,0),OFFSET(Setup!$E$73,MATCH(N$5,DedListItem,0),0,1,1)),(MIN(IF(OFFSET(Setup!$G$73,MATCH(N$5,DedListItem,0),0,1,1)="Taxable",SUMPRODUCT((PayEmp=$C102)*(PayDate&lt;=$AC102)*(ISERROR(SEARCH(PayEarnCode,N$4)))*(PayEarnTax)*(PayEarnValues)),SUMPRODUCT((PayEmp=$C102)*(PayDate&lt;=$AC102)*(ISERROR(SEARCH(PayEarnCode,N$4)))*(PayEarnValues))),IF(ISNUMBER(N$3),N$3/12*$AA102,IgnoreMin)))*IF(COUNTIFS(EmpNo,$C102,OFFSET(Emp!$R$4,1,MATCH(N$5,DedListItem,0)-1,EmpCount,1),"&lt;&gt;")&gt;0,VLOOKUP($C102,EmpAll,COLUMN(Emp!$R$4)+MATCH(N$5,DedListItem,0)-1,0),OFFSET(Setup!$E$73,MATCH(N$5,DedListItem,0),0,1,1)))-SUMIFS(OFFSET(N$6,1,0,PayCount,1),PayDate,"&lt;"&amp;$AC102,PayEmp,$C102))))))</f>
        <v>100</v>
      </c>
      <c r="O102" s="133" cm="1">
        <f t="array" aca="1" ref="O102" ca="1">IF($F102="Terminated",0,IF($AA102=0,0,IF(ISNA(MATCH(O$5,DedListItem,0)),0,IF(COUNTIFS(OverEmp,$C102,OverDeduct,O$5,OverDate,"&lt;"&amp;DATE(YEAR($AC102),MONTH($AC102)+1,1),OverEnd,"&gt;="&amp;DATE(YEAR($AC102),MONTH($AC102),1))&gt;0,SUMIFS(OverValue,OverEmp,$C102,OverDeduct,O$5,OverDate,"&lt;"&amp;DATE(YEAR($AC102),MONTH($AC102)+1,1),OverEnd,"&gt;="&amp;DATE(YEAR($AC102),MONTH($AC102),1)),IF(OR(O$2="Fixed",O$2="Not Used"),(IF(COUNTIFS(EmpNo,$C102,OFFSET(Emp!$R$4,1,MATCH(O$5,DedListItem,0)-1,EmpCount,1),"&lt;&gt;")&gt;0,VLOOKUP($C102,EmpAll,COLUMN(Emp!$R$4)+MATCH(O$5,DedListItem,0)-1,0),OFFSET(Setup!$E$73,MATCH(O$5,DedListItem,0),0,1,1))*$AA102)-SUMIFS(OFFSET(O$6,1,0,PayCount,1),PayDate,"&lt;"&amp;$AC102,PayEmp,$C102),IF(ISNA(MATCH(O$2,EarnListItem,0))=FALSE,IF(OFFSET(Setup!$G$73,MATCH(O$5,DedListItem,0),0,1,1)="Taxable",SUMPRODUCT((PayEmp=$C102)*(PayDate&lt;=$AC102)*(PayEarnCode=O$2)*(PayEarnTax)*(PayEarnValues)),SUMPRODUCT((PayEmp=$C102)*(PayDate&lt;=$AC102)*(PayEarnCode=O$2)*(PayEarnValues)))*IF(COUNTIFS(EmpNo,$C102,OFFSET(Emp!$R$4,1,MATCH(O$5,DedListItem,0)-1,EmpCount,1),"&lt;&gt;")&gt;0,VLOOKUP($C102,EmpAll,COLUMN(Emp!$R$4)+MATCH(O$5,DedListItem,0)-1,0),OFFSET(Setup!$E$73,MATCH(O$5,DedListItem,0),0,1,1)),(MIN(IF(OFFSET(Setup!$G$73,MATCH(O$5,DedListItem,0),0,1,1)="Taxable",SUMPRODUCT((PayEmp=$C102)*(PayDate&lt;=$AC102)*(ISERROR(SEARCH(PayEarnCode,O$4)))*(PayEarnTax)*(PayEarnValues)),SUMPRODUCT((PayEmp=$C102)*(PayDate&lt;=$AC102)*(ISERROR(SEARCH(PayEarnCode,O$4)))*(PayEarnValues))),IF(ISNUMBER(O$3),O$3/12*$AA102,IgnoreMin)))*IF(COUNTIFS(EmpNo,$C102,OFFSET(Emp!$R$4,1,MATCH(O$5,DedListItem,0)-1,EmpCount,1),"&lt;&gt;")&gt;0,VLOOKUP($C102,EmpAll,COLUMN(Emp!$R$4)+MATCH(O$5,DedListItem,0)-1,0),OFFSET(Setup!$E$73,MATCH(O$5,DedListItem,0),0,1,1)))-SUMIFS(OFFSET(O$6,1,0,PayCount,1),PayDate,"&lt;"&amp;$AC102,PayEmp,$C102))))))</f>
        <v>0</v>
      </c>
      <c r="P102" s="133" cm="1">
        <f t="array" aca="1" ref="P102" ca="1">IF($F102="Terminated",0,IF($AA102=0,0,IF(ISNA(MATCH(P$5,DedListItem,0)),0,IF(COUNTIFS(OverEmp,$C102,OverDeduct,P$5,OverDate,"&lt;"&amp;DATE(YEAR($AC102),MONTH($AC102)+1,1),OverEnd,"&gt;="&amp;DATE(YEAR($AC102),MONTH($AC102),1))&gt;0,SUMIFS(OverValue,OverEmp,$C102,OverDeduct,P$5,OverDate,"&lt;"&amp;DATE(YEAR($AC102),MONTH($AC102)+1,1),OverEnd,"&gt;="&amp;DATE(YEAR($AC102),MONTH($AC102),1)),IF(OR(P$2="Fixed",P$2="Not Used"),(IF(COUNTIFS(EmpNo,$C102,OFFSET(Emp!$R$4,1,MATCH(P$5,DedListItem,0)-1,EmpCount,1),"&lt;&gt;")&gt;0,VLOOKUP($C102,EmpAll,COLUMN(Emp!$R$4)+MATCH(P$5,DedListItem,0)-1,0),OFFSET(Setup!$E$73,MATCH(P$5,DedListItem,0),0,1,1))*$AA102)-SUMIFS(OFFSET(P$6,1,0,PayCount,1),PayDate,"&lt;"&amp;$AC102,PayEmp,$C102),IF(ISNA(MATCH(P$2,EarnListItem,0))=FALSE,IF(OFFSET(Setup!$G$73,MATCH(P$5,DedListItem,0),0,1,1)="Taxable",SUMPRODUCT((PayEmp=$C102)*(PayDate&lt;=$AC102)*(PayEarnCode=P$2)*(PayEarnTax)*(PayEarnValues)),SUMPRODUCT((PayEmp=$C102)*(PayDate&lt;=$AC102)*(PayEarnCode=P$2)*(PayEarnValues)))*IF(COUNTIFS(EmpNo,$C102,OFFSET(Emp!$R$4,1,MATCH(P$5,DedListItem,0)-1,EmpCount,1),"&lt;&gt;")&gt;0,VLOOKUP($C102,EmpAll,COLUMN(Emp!$R$4)+MATCH(P$5,DedListItem,0)-1,0),OFFSET(Setup!$E$73,MATCH(P$5,DedListItem,0),0,1,1)),(MIN(IF(OFFSET(Setup!$G$73,MATCH(P$5,DedListItem,0),0,1,1)="Taxable",SUMPRODUCT((PayEmp=$C102)*(PayDate&lt;=$AC102)*(ISERROR(SEARCH(PayEarnCode,P$4)))*(PayEarnTax)*(PayEarnValues)),SUMPRODUCT((PayEmp=$C102)*(PayDate&lt;=$AC102)*(ISERROR(SEARCH(PayEarnCode,P$4)))*(PayEarnValues))),IF(ISNUMBER(P$3),P$3/12*$AA102,IgnoreMin)))*IF(COUNTIFS(EmpNo,$C102,OFFSET(Emp!$R$4,1,MATCH(P$5,DedListItem,0)-1,EmpCount,1),"&lt;&gt;")&gt;0,VLOOKUP($C102,EmpAll,COLUMN(Emp!$R$4)+MATCH(P$5,DedListItem,0)-1,0),OFFSET(Setup!$E$73,MATCH(P$5,DedListItem,0),0,1,1)))-SUMIFS(OFFSET(P$6,1,0,PayCount,1),PayDate,"&lt;"&amp;$AC102,PayEmp,$C102))))))</f>
        <v>0</v>
      </c>
      <c r="Q102" s="133" cm="1">
        <f t="array" aca="1" ref="Q102" ca="1">IF($F102="Terminated",0,IF($AA102=0,0,IF(ISNA(MATCH(Q$5,DedListItem,0)),0,IF(COUNTIFS(OverEmp,$C102,OverDeduct,Q$5,OverDate,"&lt;"&amp;DATE(YEAR($AC102),MONTH($AC102)+1,1),OverEnd,"&gt;="&amp;DATE(YEAR($AC102),MONTH($AC102),1))&gt;0,SUMIFS(OverValue,OverEmp,$C102,OverDeduct,Q$5,OverDate,"&lt;"&amp;DATE(YEAR($AC102),MONTH($AC102)+1,1),OverEnd,"&gt;="&amp;DATE(YEAR($AC102),MONTH($AC102),1)),IF(OR(Q$2="Fixed",Q$2="Not Used"),(IF(COUNTIFS(EmpNo,$C102,OFFSET(Emp!$R$4,1,MATCH(Q$5,DedListItem,0)-1,EmpCount,1),"&lt;&gt;")&gt;0,VLOOKUP($C102,EmpAll,COLUMN(Emp!$R$4)+MATCH(Q$5,DedListItem,0)-1,0),OFFSET(Setup!$E$73,MATCH(Q$5,DedListItem,0),0,1,1))*$AA102)-SUMIFS(OFFSET(Q$6,1,0,PayCount,1),PayDate,"&lt;"&amp;$AC102,PayEmp,$C102),IF(ISNA(MATCH(Q$2,EarnListItem,0))=FALSE,IF(OFFSET(Setup!$G$73,MATCH(Q$5,DedListItem,0),0,1,1)="Taxable",SUMPRODUCT((PayEmp=$C102)*(PayDate&lt;=$AC102)*(PayEarnCode=Q$2)*(PayEarnTax)*(PayEarnValues)),SUMPRODUCT((PayEmp=$C102)*(PayDate&lt;=$AC102)*(PayEarnCode=Q$2)*(PayEarnValues)))*IF(COUNTIFS(EmpNo,$C102,OFFSET(Emp!$R$4,1,MATCH(Q$5,DedListItem,0)-1,EmpCount,1),"&lt;&gt;")&gt;0,VLOOKUP($C102,EmpAll,COLUMN(Emp!$R$4)+MATCH(Q$5,DedListItem,0)-1,0),OFFSET(Setup!$E$73,MATCH(Q$5,DedListItem,0),0,1,1)),(MIN(IF(OFFSET(Setup!$G$73,MATCH(Q$5,DedListItem,0),0,1,1)="Taxable",SUMPRODUCT((PayEmp=$C102)*(PayDate&lt;=$AC102)*(ISERROR(SEARCH(PayEarnCode,Q$4)))*(PayEarnTax)*(PayEarnValues)),SUMPRODUCT((PayEmp=$C102)*(PayDate&lt;=$AC102)*(ISERROR(SEARCH(PayEarnCode,Q$4)))*(PayEarnValues))),IF(ISNUMBER(Q$3),Q$3/12*$AA102,IgnoreMin)))*IF(COUNTIFS(EmpNo,$C102,OFFSET(Emp!$R$4,1,MATCH(Q$5,DedListItem,0)-1,EmpCount,1),"&lt;&gt;")&gt;0,VLOOKUP($C102,EmpAll,COLUMN(Emp!$R$4)+MATCH(Q$5,DedListItem,0)-1,0),OFFSET(Setup!$E$73,MATCH(Q$5,DedListItem,0),0,1,1)))-SUMIFS(OFFSET(Q$6,1,0,PayCount,1),PayDate,"&lt;"&amp;$AC102,PayEmp,$C102))))))</f>
        <v>0</v>
      </c>
      <c r="R102" s="185">
        <f t="shared" ca="1" si="37"/>
        <v>100</v>
      </c>
      <c r="S102" s="139">
        <f t="shared" ca="1" si="38"/>
        <v>9900</v>
      </c>
      <c r="T102" s="133" cm="1">
        <f t="array" aca="1" ref="T102" ca="1">IF($F102="Terminated",0,IF($AA102=0,0,IF(ISNA(MATCH(T$5,CompListItem,0)),0,IF(COUNTIFS(OverEmp,$C102,OverComp,T$5,OverDate,"&lt;"&amp;DATE(YEAR($AC102),MONTH($AC102)+1,1),OverEnd,"&gt;="&amp;DATE(YEAR($AC102),MONTH($AC102),1))&gt;0,SUMIFS(OverValue,OverEmp,$C102,OverComp,T$5,OverDate,"&lt;"&amp;DATE(YEAR($AC102),MONTH($AC102)+1,1),OverEnd,"&gt;="&amp;DATE(YEAR($AC102),MONTH($AC102),1)),IF(OR(T$2="Fixed",T$2="Not Used"),(OFFSET(Setup!$E$81,MATCH(T$5,CompListItem,0),0,1,1)*$AA102)-SUMIFS(OFFSET(T$6,1,0,PayCount,1),PayDate,"&lt;"&amp;$AC102,PayEmp,$C102),IF(ISNA(MATCH(T$2,DedListItem,0))=FALSE,(SUMPRODUCT((PayEmp=$C102)*(PayDate&lt;=$AC102)*(PayDedList=T$2)*(PayDedValues))*OFFSET(Setup!$E$81,MATCH(T$5,CompListItem,0),0,1,1))-SUMIFS(OFFSET(T$6,1,0,PayCount,1),PayDate,"&lt;"&amp;$AC102,PayEmp,$C102),(MIN(IF(OFFSET(Setup!$G$81,MATCH(T$5,CompListItem,0),0,1,1)="Taxable",SUMPRODUCT((PayEmp=$C102)*(PayDate&lt;=$AC102)*(ISERROR(SEARCH(PayEarnCode,T$4)))*(PayEarnTax)*(PayEarnValues)),SUMPRODUCT((PayEmp=$C102)*(PayDate&lt;=$AC102)*(ISERROR(SEARCH(PayEarnCode,T$4)))*(PayEarnValues))),IF(ISNUMBER(T$3),T$3/12*$AA102,IgnoreMin)))*OFFSET(Setup!$E$81,MATCH(T$5,CompListItem,0),0,1,1)-SUMIFS(OFFSET(T$6,1,0,PayCount,1),PayDate,"&lt;"&amp;$AC102,PayEmp,$C102)))))))</f>
        <v>100</v>
      </c>
      <c r="U102" s="133" cm="1">
        <f t="array" aca="1" ref="U102" ca="1">IF($F102="Terminated",0,IF($AA102=0,0,IF(ISNA(MATCH(U$5,CompListItem,0)),0,IF(COUNTIFS(OverEmp,$C102,OverComp,U$5,OverDate,"&lt;"&amp;DATE(YEAR($AC102),MONTH($AC102)+1,1),OverEnd,"&gt;="&amp;DATE(YEAR($AC102),MONTH($AC102),1))&gt;0,SUMIFS(OverValue,OverEmp,$C102,OverComp,U$5,OverDate,"&lt;"&amp;DATE(YEAR($AC102),MONTH($AC102)+1,1),OverEnd,"&gt;="&amp;DATE(YEAR($AC102),MONTH($AC102),1)),IF(OR(U$2="Fixed",U$2="Not Used"),(OFFSET(Setup!$E$81,MATCH(U$5,CompListItem,0),0,1,1)*$AA102)-SUMIFS(OFFSET(U$6,1,0,PayCount,1),PayDate,"&lt;"&amp;$AC102,PayEmp,$C102),IF(ISNA(MATCH(U$2,DedListItem,0))=FALSE,(SUMPRODUCT((PayEmp=$C102)*(PayDate&lt;=$AC102)*(PayDedList=U$2)*(PayDedValues))*OFFSET(Setup!$E$81,MATCH(U$5,CompListItem,0),0,1,1))-SUMIFS(OFFSET(U$6,1,0,PayCount,1),PayDate,"&lt;"&amp;$AC102,PayEmp,$C102),(MIN(IF(OFFSET(Setup!$G$81,MATCH(U$5,CompListItem,0),0,1,1)="Taxable",SUMPRODUCT((PayEmp=$C102)*(PayDate&lt;=$AC102)*(ISERROR(SEARCH(PayEarnCode,U$4)))*(PayEarnTax)*(PayEarnValues)),SUMPRODUCT((PayEmp=$C102)*(PayDate&lt;=$AC102)*(ISERROR(SEARCH(PayEarnCode,U$4)))*(PayEarnValues))),IF(ISNUMBER(U$3),U$3/12*$AA102,IgnoreMin)))*OFFSET(Setup!$E$81,MATCH(U$5,CompListItem,0),0,1,1)-SUMIFS(OFFSET(U$6,1,0,PayCount,1),PayDate,"&lt;"&amp;$AC102,PayEmp,$C102)))))))</f>
        <v>100</v>
      </c>
      <c r="V102" s="133" cm="1">
        <f t="array" aca="1" ref="V102" ca="1">IF($F102="Terminated",0,IF($AA102=0,0,IF(ISNA(MATCH(V$5,CompListItem,0)),0,IF(COUNTIFS(OverEmp,$C102,OverComp,V$5,OverDate,"&lt;"&amp;DATE(YEAR($AC102),MONTH($AC102)+1,1),OverEnd,"&gt;="&amp;DATE(YEAR($AC102),MONTH($AC102),1))&gt;0,SUMIFS(OverValue,OverEmp,$C102,OverComp,V$5,OverDate,"&lt;"&amp;DATE(YEAR($AC102),MONTH($AC102)+1,1),OverEnd,"&gt;="&amp;DATE(YEAR($AC102),MONTH($AC102),1)),IF(OR(V$2="Fixed",V$2="Not Used"),(OFFSET(Setup!$E$81,MATCH(V$5,CompListItem,0),0,1,1)*$AA102)-SUMIFS(OFFSET(V$6,1,0,PayCount,1),PayDate,"&lt;"&amp;$AC102,PayEmp,$C102),IF(ISNA(MATCH(V$2,DedListItem,0))=FALSE,(SUMPRODUCT((PayEmp=$C102)*(PayDate&lt;=$AC102)*(PayDedList=V$2)*(PayDedValues))*OFFSET(Setup!$E$81,MATCH(V$5,CompListItem,0),0,1,1))-SUMIFS(OFFSET(V$6,1,0,PayCount,1),PayDate,"&lt;"&amp;$AC102,PayEmp,$C102),(MIN(IF(OFFSET(Setup!$G$81,MATCH(V$5,CompListItem,0),0,1,1)="Taxable",SUMPRODUCT((PayEmp=$C102)*(PayDate&lt;=$AC102)*(ISERROR(SEARCH(PayEarnCode,V$4)))*(PayEarnTax)*(PayEarnValues)),SUMPRODUCT((PayEmp=$C102)*(PayDate&lt;=$AC102)*(ISERROR(SEARCH(PayEarnCode,V$4)))*(PayEarnValues))),IF(ISNUMBER(V$3),V$3/12*$AA102,IgnoreMin)))*OFFSET(Setup!$E$81,MATCH(V$5,CompListItem,0),0,1,1)-SUMIFS(OFFSET(V$6,1,0,PayCount,1),PayDate,"&lt;"&amp;$AC102,PayEmp,$C102)))))))</f>
        <v>0</v>
      </c>
      <c r="W102" s="133" cm="1">
        <f t="array" aca="1" ref="W102" ca="1">IF($F102="Terminated",0,IF($AA102=0,0,IF(ISNA(MATCH(W$5,CompListItem,0)),0,IF(COUNTIFS(OverEmp,$C102,OverComp,W$5,OverDate,"&lt;"&amp;DATE(YEAR($AC102),MONTH($AC102)+1,1),OverEnd,"&gt;="&amp;DATE(YEAR($AC102),MONTH($AC102),1))&gt;0,SUMIFS(OverValue,OverEmp,$C102,OverComp,W$5,OverDate,"&lt;"&amp;DATE(YEAR($AC102),MONTH($AC102)+1,1),OverEnd,"&gt;="&amp;DATE(YEAR($AC102),MONTH($AC102),1)),IF(OR(W$2="Fixed",W$2="Not Used"),(OFFSET(Setup!$E$81,MATCH(W$5,CompListItem,0),0,1,1)*$AA102)-SUMIFS(OFFSET(W$6,1,0,PayCount,1),PayDate,"&lt;"&amp;$AC102,PayEmp,$C102),IF(ISNA(MATCH(W$2,DedListItem,0))=FALSE,(SUMPRODUCT((PayEmp=$C102)*(PayDate&lt;=$AC102)*(PayDedList=W$2)*(PayDedValues))*OFFSET(Setup!$E$81,MATCH(W$5,CompListItem,0),0,1,1))-SUMIFS(OFFSET(W$6,1,0,PayCount,1),PayDate,"&lt;"&amp;$AC102,PayEmp,$C102),(MIN(IF(OFFSET(Setup!$G$81,MATCH(W$5,CompListItem,0),0,1,1)="Taxable",SUMPRODUCT((PayEmp=$C102)*(PayDate&lt;=$AC102)*(ISERROR(SEARCH(PayEarnCode,W$4)))*(PayEarnTax)*(PayEarnValues)),SUMPRODUCT((PayEmp=$C102)*(PayDate&lt;=$AC102)*(ISERROR(SEARCH(PayEarnCode,W$4)))*(PayEarnValues))),IF(ISNUMBER(W$3),W$3/12*$AA102,IgnoreMin)))*OFFSET(Setup!$E$81,MATCH(W$5,CompListItem,0),0,1,1)-SUMIFS(OFFSET(W$6,1,0,PayCount,1),PayDate,"&lt;"&amp;$AC102,PayEmp,$C102)))))))</f>
        <v>0</v>
      </c>
      <c r="X102" s="185">
        <f t="shared" ca="1" si="48"/>
        <v>200</v>
      </c>
      <c r="Y102" s="139">
        <f t="shared" ca="1" si="39"/>
        <v>10200</v>
      </c>
      <c r="Z102" s="139">
        <f t="shared" ca="1" si="49"/>
        <v>300</v>
      </c>
      <c r="AA102" s="146">
        <f ca="1">IF(OR($B102&lt;=Setup!$E$12,$B102&gt;=Setup!$D$12+1),0,IF($F102&lt;&gt;"Active",0,IF($AE102="Yes",$AB102,((YEAR($AC102)*12)+MONTH($AC102))-((YEAR($AD102)*12)+MONTH($AD102)-1))))</f>
        <v>7</v>
      </c>
      <c r="AB102" s="146">
        <f ca="1">IF(OR($B102&lt;=Setup!$E$12,$B102&gt;=Setup!$D$12+1),0,((YEAR($AC102)*12)+MONTH($AC102))-((YEAR(Setup!$E$12)*12)+MONTH(Setup!$E$12)))</f>
        <v>7</v>
      </c>
      <c r="AC102" s="186">
        <f t="shared" ca="1" si="50"/>
        <v>45194</v>
      </c>
      <c r="AD102" s="144">
        <f ca="1">IF(ISNA(VLOOKUP($C102,EmpAll,COLUMN(Emp!$E$4),0)),$AC102,IF(VLOOKUP($C102,EmpAll,COLUMN(Emp!$E$4),0)&lt;=Setup!$E$12,DATE(YEAR(Setup!$E$12),MONTH(Setup!$E$12)+1,1),VLOOKUP($C102,EmpAll,COLUMN(Emp!$E$4),0)))</f>
        <v>44986</v>
      </c>
      <c r="AE102" s="144" t="str">
        <f ca="1">IF(ISNA(VLOOKUP($C102,EmpAll,COLUMN(Emp!$G$1),0)),"-",IF(VLOOKUP($C102,EmpAll,COLUMN(Emp!$G$1),0)=0,"-",VLOOKUP($C102,EmpAll,COLUMN(Emp!$G$1),0)))</f>
        <v>-</v>
      </c>
      <c r="AF102" s="145">
        <f ca="1">IF(A102=PaySlip!$G$3,1,0)</f>
        <v>0</v>
      </c>
      <c r="AG102" s="130" cm="1">
        <f t="array" aca="1" ref="AG102" ca="1">IF(COUNTIFS(OverEmp,$C102,OverMed,"MED",OverDate,"&lt;"&amp;DATE(YEAR($AC102),MONTH($AC102)+1,1),OverEnd,"&gt;="&amp;DATE(YEAR($AC102),MONTH($AC102),1))&gt;0,SUMIFS(OverValue,OverEmp,$C102,OverMed,"MED",OverDate,"&lt;"&amp;DATE(YEAR($AC102),MONTH($AC102)+1,1),OverEnd,"&gt;="&amp;DATE(YEAR($AC102),MONTH($AC102),1)),IF(ISNA(VLOOKUP($C102,EmpAll,COLUMN(Emp!$N$4),0)),0,VLOOKUP($C102,EmpAll,COLUMN(Emp!$N$4),0)))</f>
        <v>1</v>
      </c>
      <c r="AH102" s="146">
        <f ca="1">VLOOKUP($AG102,MedList,COLUMN(Setup!$C$49),1)</f>
        <v>364</v>
      </c>
      <c r="AI102" s="146">
        <f t="shared" ca="1" si="40"/>
        <v>4368</v>
      </c>
      <c r="AJ102" s="101" t="str">
        <f ca="1">IF(ISNA(VLOOKUP($C102,EmpAll,COLUMN(Emp!$L$4),0)),"None!",VLOOKUP($C102,EmpAll,COLUMN(Emp!$L$4),0))</f>
        <v>A</v>
      </c>
      <c r="AK102" s="147">
        <f t="shared" ca="1" si="51"/>
        <v>17235</v>
      </c>
      <c r="AL102" s="101" t="str">
        <f ca="1">IF(ISNA(VLOOKUP($C102,Employees[],COLUMN(Emp!$M$4),0))=TRUE,"Error!",IF(VLOOKUP($C102,Employees[],COLUMN(Emp!$M$4),0)=0,"Yes",VLOOKUP($C102,Employees[],COLUMN(Emp!$M$4),0)))</f>
        <v>A</v>
      </c>
      <c r="AM102" s="148">
        <f t="shared" ca="1" si="41"/>
        <v>120000</v>
      </c>
      <c r="AN102" s="148" cm="1">
        <f t="array" aca="1" ref="AN102" ca="1">-IF($F102="Terminated",0,IF($AA102=0,0,IF(ISNA(MATCH(AN$5,PayDedList,0)),0,MIN(IF(COUNTIFS(OverEmp,$C102,OverDeduct,AN$5,OverDate,"&lt;"&amp;DATE(YEAR($AC102),MONTH($AC102)+1,1),OverEnd,"&gt;="&amp;DATE(YEAR($AC102),MONTH($AC102),1))&gt;0,SUMPRODUCT((PayEmp=$C102)*(PayDate&lt;=$AC102)*(OFFSET($N$6,1,MATCH(AN$5,PayDedList,0)-1,PayCount,1)))/$AA102*12*AN$3,IF(OR(AN$1="Fixed",AN$1="Not Used"),SUMPRODUCT((PayEmp=$C102)*(PayDate&lt;=$AC102)*(OFFSET($N$6,1,MATCH(AN$5,PayDedList,0)-1,PayCount,1)))/$AA102*12*AN$3,IF(ISNA(MATCH(AN$1,EarnListItem,0))=FALSE,SUMPRODUCT((PayEmp=$C102)*(PayDate&lt;=$AC102)*(OFFSET($N$6,1,MATCH(AN$5,PayDedList,0)-1,PayCount,1)))/$AA102*12*AN$3,(MIN(((SUMPRODUCT((PayEmp=$C102)*(PayDate&lt;=$AC102)*(ISERROR(SEARCH(PayEarnCode,AN$2)))*(PayEarnType="Monthly")*(PayEarnValues))/$AA102*12)+(SUMPRODUCT((PayEmp=$C102)*(PayDate&lt;=$AC102)*(ISERROR(SEARCH(PayEarnCode,AN$2)))*(PayEarnType="Quarterly")*(PayEarnValues))/MAX(1,ROUNDDOWN($AB102/3,0))*4)+(SUMPRODUCT((PayEmp=$C102)*(PayDate&lt;=$AC102)*(ISERROR(SEARCH(PayEarnCode,AN$2)))*(PayEarnType="Bi-Annual")*(PayEarnValues))/MAX(1,ROUNDDOWN($AB102/6,0))*2)+(SUMPRODUCT((PayEmp=$C102)*(PayDate&lt;=$AC102)*(ISERROR(SEARCH(PayEarnCode,AN$2)))*(PayEarnType="Annual")*(PayEarnValues)))),IF(ISNUMBER(OFFSET($N$3,0,MATCH(AN$5,PayDedList,0)-1,1,1)),OFFSET($N$3,0,MATCH(AN$5,PayDedList,0)-1,1,1),IgnoreMin)))*IF(COUNTIFS(EmpNo,$C102,OFFSET(Emp!$R$4,1,MATCH(AN$5,DedListItem,0)-1,EmpCount,1),"&lt;&gt;")&gt;0,VLOOKUP($C102,EmpAll,COLUMN(Emp!$R$4)+MATCH(AN$5,DedListItem,0)-1,0),OFFSET(Setup!$E$73,MATCH(AN$5,DedListItem,0),0,1,1))*AN$3))),IF(ISNUMBER(AN$4),AN$4,IgnoreMin)))))</f>
        <v>0</v>
      </c>
      <c r="AO102" s="148" cm="1">
        <f t="array" aca="1" ref="AO102" ca="1">-IF($F102="Terminated",0,IF($AA102=0,0,IF(ISNA(MATCH(AO$5,PayDedList,0)),0,MIN(IF(COUNTIFS(OverEmp,$C102,OverDeduct,AO$5,OverDate,"&lt;"&amp;DATE(YEAR($AC102),MONTH($AC102)+1,1),OverEnd,"&gt;="&amp;DATE(YEAR($AC102),MONTH($AC102),1))&gt;0,SUMPRODUCT((PayEmp=$C102)*(PayDate&lt;=$AC102)*(OFFSET($N$6,1,MATCH(AO$5,PayDedList,0)-1,PayCount,1)))/$AA102*12*AO$3,IF(OR(AO$1="Fixed",AO$1="Not Used"),SUMPRODUCT((PayEmp=$C102)*(PayDate&lt;=$AC102)*(OFFSET($N$6,1,MATCH(AO$5,PayDedList,0)-1,PayCount,1)))/$AA102*12*AO$3,IF(ISNA(MATCH(AO$1,EarnListItem,0))=FALSE,SUMPRODUCT((PayEmp=$C102)*(PayDate&lt;=$AC102)*(OFFSET($N$6,1,MATCH(AO$5,PayDedList,0)-1,PayCount,1)))/$AA102*12*AO$3,(MIN(((SUMPRODUCT((PayEmp=$C102)*(PayDate&lt;=$AC102)*(ISERROR(SEARCH(PayEarnCode,AO$2)))*(PayEarnType="Monthly")*(PayEarnValues))/$AA102*12)+(SUMPRODUCT((PayEmp=$C102)*(PayDate&lt;=$AC102)*(ISERROR(SEARCH(PayEarnCode,AO$2)))*(PayEarnType="Quarterly")*(PayEarnValues))/MAX(1,ROUNDDOWN($AB102/3,0))*4)+(SUMPRODUCT((PayEmp=$C102)*(PayDate&lt;=$AC102)*(ISERROR(SEARCH(PayEarnCode,AO$2)))*(PayEarnType="Bi-Annual")*(PayEarnValues))/MAX(1,ROUNDDOWN($AB102/6,0))*2)+(SUMPRODUCT((PayEmp=$C102)*(PayDate&lt;=$AC102)*(ISERROR(SEARCH(PayEarnCode,AO$2)))*(PayEarnType="Annual")*(PayEarnValues)))),IF(ISNUMBER(OFFSET($N$3,0,MATCH(AO$5,PayDedList,0)-1,1,1)),OFFSET($N$3,0,MATCH(AO$5,PayDedList,0)-1,1,1),IgnoreMin)))*IF(COUNTIFS(EmpNo,$C102,OFFSET(Emp!$R$4,1,MATCH(AO$5,DedListItem,0)-1,EmpCount,1),"&lt;&gt;")&gt;0,VLOOKUP($C102,EmpAll,COLUMN(Emp!$R$4)+MATCH(AO$5,DedListItem,0)-1,0),OFFSET(Setup!$E$73,MATCH(AO$5,DedListItem,0),0,1,1))*AO$3))),IF(ISNUMBER(AO$4),AO$4,IgnoreMin)))))</f>
        <v>0</v>
      </c>
      <c r="AP102" s="148" cm="1">
        <f t="array" aca="1" ref="AP102" ca="1">-IF($F102="Terminated",0,IF($AA102=0,0,IF(ISNA(MATCH(AP$5,PayDedList,0)),0,MIN(IF(COUNTIFS(OverEmp,$C102,OverDeduct,AP$5,OverDate,"&lt;"&amp;DATE(YEAR($AC102),MONTH($AC102)+1,1),OverEnd,"&gt;="&amp;DATE(YEAR($AC102),MONTH($AC102),1))&gt;0,SUMPRODUCT((PayEmp=$C102)*(PayDate&lt;=$AC102)*(OFFSET($N$6,1,MATCH(AP$5,PayDedList,0)-1,PayCount,1)))/$AA102*12*AP$3,IF(OR(AP$1="Fixed",AP$1="Not Used"),SUMPRODUCT((PayEmp=$C102)*(PayDate&lt;=$AC102)*(OFFSET($N$6,1,MATCH(AP$5,PayDedList,0)-1,PayCount,1)))/$AA102*12*AP$3,IF(ISNA(MATCH(AP$1,EarnListItem,0))=FALSE,SUMPRODUCT((PayEmp=$C102)*(PayDate&lt;=$AC102)*(OFFSET($N$6,1,MATCH(AP$5,PayDedList,0)-1,PayCount,1)))/$AA102*12*AP$3,(MIN(((SUMPRODUCT((PayEmp=$C102)*(PayDate&lt;=$AC102)*(ISERROR(SEARCH(PayEarnCode,AP$2)))*(PayEarnType="Monthly")*(PayEarnValues))/$AA102*12)+(SUMPRODUCT((PayEmp=$C102)*(PayDate&lt;=$AC102)*(ISERROR(SEARCH(PayEarnCode,AP$2)))*(PayEarnType="Quarterly")*(PayEarnValues))/MAX(1,ROUNDDOWN($AB102/3,0))*4)+(SUMPRODUCT((PayEmp=$C102)*(PayDate&lt;=$AC102)*(ISERROR(SEARCH(PayEarnCode,AP$2)))*(PayEarnType="Bi-Annual")*(PayEarnValues))/MAX(1,ROUNDDOWN($AB102/6,0))*2)+(SUMPRODUCT((PayEmp=$C102)*(PayDate&lt;=$AC102)*(ISERROR(SEARCH(PayEarnCode,AP$2)))*(PayEarnType="Annual")*(PayEarnValues)))),IF(ISNUMBER(OFFSET($N$3,0,MATCH(AP$5,PayDedList,0)-1,1,1)),OFFSET($N$3,0,MATCH(AP$5,PayDedList,0)-1,1,1),IgnoreMin)))*IF(COUNTIFS(EmpNo,$C102,OFFSET(Emp!$R$4,1,MATCH(AP$5,DedListItem,0)-1,EmpCount,1),"&lt;&gt;")&gt;0,VLOOKUP($C102,EmpAll,COLUMN(Emp!$R$4)+MATCH(AP$5,DedListItem,0)-1,0),OFFSET(Setup!$E$73,MATCH(AP$5,DedListItem,0),0,1,1))*AP$3))),IF(ISNUMBER(AP$4),AP$4,IgnoreMin)))))</f>
        <v>0</v>
      </c>
      <c r="AQ102" s="148" cm="1">
        <f t="array" aca="1" ref="AQ102" ca="1">-IF($F102="Terminated",0,IF($AA102=0,0,IF(ISNA(MATCH(AQ$5,PayDedList,0)),0,MIN(IF(COUNTIFS(OverEmp,$C102,OverDeduct,AQ$5,OverDate,"&lt;"&amp;DATE(YEAR($AC102),MONTH($AC102)+1,1),OverEnd,"&gt;="&amp;DATE(YEAR($AC102),MONTH($AC102),1))&gt;0,SUMPRODUCT((PayEmp=$C102)*(PayDate&lt;=$AC102)*(OFFSET($N$6,1,MATCH(AQ$5,PayDedList,0)-1,PayCount,1)))/$AA102*12*AQ$3,IF(OR(AQ$1="Fixed",AQ$1="Not Used"),SUMPRODUCT((PayEmp=$C102)*(PayDate&lt;=$AC102)*(OFFSET($N$6,1,MATCH(AQ$5,PayDedList,0)-1,PayCount,1)))/$AA102*12*AQ$3,IF(ISNA(MATCH(AQ$1,EarnListItem,0))=FALSE,SUMPRODUCT((PayEmp=$C102)*(PayDate&lt;=$AC102)*(OFFSET($N$6,1,MATCH(AQ$5,PayDedList,0)-1,PayCount,1)))/$AA102*12*AQ$3,(MIN(((SUMPRODUCT((PayEmp=$C102)*(PayDate&lt;=$AC102)*(ISERROR(SEARCH(PayEarnCode,AQ$2)))*(PayEarnType="Monthly")*(PayEarnValues))/$AA102*12)+(SUMPRODUCT((PayEmp=$C102)*(PayDate&lt;=$AC102)*(ISERROR(SEARCH(PayEarnCode,AQ$2)))*(PayEarnType="Quarterly")*(PayEarnValues))/MAX(1,ROUNDDOWN($AB102/3,0))*4)+(SUMPRODUCT((PayEmp=$C102)*(PayDate&lt;=$AC102)*(ISERROR(SEARCH(PayEarnCode,AQ$2)))*(PayEarnType="Bi-Annual")*(PayEarnValues))/MAX(1,ROUNDDOWN($AB102/6,0))*2)+(SUMPRODUCT((PayEmp=$C102)*(PayDate&lt;=$AC102)*(ISERROR(SEARCH(PayEarnCode,AQ$2)))*(PayEarnType="Annual")*(PayEarnValues)))),IF(ISNUMBER(OFFSET($N$3,0,MATCH(AQ$5,PayDedList,0)-1,1,1)),OFFSET($N$3,0,MATCH(AQ$5,PayDedList,0)-1,1,1),IgnoreMin)))*IF(COUNTIFS(EmpNo,$C102,OFFSET(Emp!$R$4,1,MATCH(AQ$5,DedListItem,0)-1,EmpCount,1),"&lt;&gt;")&gt;0,VLOOKUP($C102,EmpAll,COLUMN(Emp!$R$4)+MATCH(AQ$5,DedListItem,0)-1,0),OFFSET(Setup!$E$73,MATCH(AQ$5,DedListItem,0),0,1,1))*AQ$3))),IF(ISNUMBER(AQ$4),AQ$4,IgnoreMin)))))</f>
        <v>0</v>
      </c>
      <c r="AR102" s="148">
        <f t="shared" ca="1" si="52"/>
        <v>120000</v>
      </c>
      <c r="AS102" s="148">
        <f t="shared" ca="1" si="42"/>
        <v>120000</v>
      </c>
      <c r="AT102" s="148" cm="1">
        <f t="array" aca="1" ref="AT102" ca="1">-IF($F102="Terminated",0,IF($AA102=0,0,IF(ISNA(MATCH(AT$5,PayDedList,0)),0,MIN(IF(COUNTIFS(OverEmp,$C102,OverDeduct,AT$5,OverDate,"&lt;"&amp;DATE(YEAR($AC102),MONTH($AC102)+1,1),OverEnd,"&gt;="&amp;DATE(YEAR($AC102),MONTH($AC102),1))&gt;0,SUMPRODUCT((PayEmp=$C102)*(PayDate&lt;=$AC102)*(OFFSET($N$6,1,MATCH(AT$5,PayDedList,0)-1,PayCount,1)))/$AA102*12*AT$3,IF(OR(AT$1="Fixed",AT$1="Not Used"),SUMPRODUCT((PayEmp=$C102)*(PayDate&lt;=$AC102)*(OFFSET($N$6,1,MATCH(AT$5,PayDedList,0)-1,PayCount,1)))/$AA102*12*AT$3,IF(ISNA(MATCH(OFFSET($N$2,0,MATCH(AT$5,PayDedList,0)-1,1,1),EarnListItem,0))=FALSE,SUMPRODUCT((PayEmp=$C102)*(PayDate&lt;=$AC102)*(OFFSET($N$6,1,MATCH(AT$5,PayDedList,0)-1,PayCount,1)))/$AA102*12*AT$3,(MIN(SUMPRODUCT((PayEmp=$C102)*(PayDate&lt;=$AC102)*(ISERROR(SEARCH(PayEarnCode,AT$2)))*(PayEarnType="Monthly")*(PayEarnValues))/$AA102*12,IF(ISNUMBER(OFFSET($N$3,0,MATCH(AT$5,PayDedList,0)-1,1,1)),OFFSET($N$3,0,MATCH(AT$5,PayDedList,0)-1,1,1),IgnoreMin)))*IF(COUNTIFS(EmpNo,$C102,OFFSET(Emp!$R$4,1,MATCH(AT$5,DedListItem,0)-1,EmpCount,1),"&lt;&gt;")&gt;0,VLOOKUP($C102,EmpAll,COLUMN(Emp!$R$4)+MATCH(AT$5,DedListItem,0)-1,0),OFFSET(Setup!$E$73,MATCH(AT$5,DedListItem,0),0,1,1))*AT$3))),IF(ISNUMBER(AT$4),AT$4,IgnoreMin)))))</f>
        <v>0</v>
      </c>
      <c r="AU102" s="148" cm="1">
        <f t="array" aca="1" ref="AU102" ca="1">-IF($F102="Terminated",0,IF($AA102=0,0,IF(ISNA(MATCH(AU$5,PayDedList,0)),0,MIN(IF(COUNTIFS(OverEmp,$C102,OverDeduct,AU$5,OverDate,"&lt;"&amp;DATE(YEAR($AC102),MONTH($AC102)+1,1),OverEnd,"&gt;="&amp;DATE(YEAR($AC102),MONTH($AC102),1))&gt;0,SUMPRODUCT((PayEmp=$C102)*(PayDate&lt;=$AC102)*(OFFSET($N$6,1,MATCH(AU$5,PayDedList,0)-1,PayCount,1)))/$AA102*12*AU$3,IF(OR(AU$1="Fixed",AU$1="Not Used"),SUMPRODUCT((PayEmp=$C102)*(PayDate&lt;=$AC102)*(OFFSET($N$6,1,MATCH(AU$5,PayDedList,0)-1,PayCount,1)))/$AA102*12*AU$3,IF(ISNA(MATCH(OFFSET($N$2,0,MATCH(AU$5,PayDedList,0)-1,1,1),EarnListItem,0))=FALSE,SUMPRODUCT((PayEmp=$C102)*(PayDate&lt;=$AC102)*(OFFSET($N$6,1,MATCH(AU$5,PayDedList,0)-1,PayCount,1)))/$AA102*12*AU$3,(MIN(SUMPRODUCT((PayEmp=$C102)*(PayDate&lt;=$AC102)*(ISERROR(SEARCH(PayEarnCode,AU$2)))*(PayEarnType="Monthly")*(PayEarnValues))/$AA102*12,IF(ISNUMBER(OFFSET($N$3,0,MATCH(AU$5,PayDedList,0)-1,1,1)),OFFSET($N$3,0,MATCH(AU$5,PayDedList,0)-1,1,1),IgnoreMin)))*IF(COUNTIFS(EmpNo,$C102,OFFSET(Emp!$R$4,1,MATCH(AU$5,DedListItem,0)-1,EmpCount,1),"&lt;&gt;")&gt;0,VLOOKUP($C102,EmpAll,COLUMN(Emp!$R$4)+MATCH(AU$5,DedListItem,0)-1,0),OFFSET(Setup!$E$73,MATCH(AU$5,DedListItem,0),0,1,1))*AU$3))),IF(ISNUMBER(AU$4),AU$4,IgnoreMin)))))</f>
        <v>0</v>
      </c>
      <c r="AV102" s="148" cm="1">
        <f t="array" aca="1" ref="AV102" ca="1">-IF($F102="Terminated",0,IF($AA102=0,0,IF(ISNA(MATCH(AV$5,PayDedList,0)),0,MIN(IF(COUNTIFS(OverEmp,$C102,OverDeduct,AV$5,OverDate,"&lt;"&amp;DATE(YEAR($AC102),MONTH($AC102)+1,1),OverEnd,"&gt;="&amp;DATE(YEAR($AC102),MONTH($AC102),1))&gt;0,SUMPRODUCT((PayEmp=$C102)*(PayDate&lt;=$AC102)*(OFFSET($N$6,1,MATCH(AV$5,PayDedList,0)-1,PayCount,1)))/$AA102*12*AV$3,IF(OR(AV$1="Fixed",AV$1="Not Used"),SUMPRODUCT((PayEmp=$C102)*(PayDate&lt;=$AC102)*(OFFSET($N$6,1,MATCH(AV$5,PayDedList,0)-1,PayCount,1)))/$AA102*12*AV$3,IF(ISNA(MATCH(OFFSET($N$2,0,MATCH(AV$5,PayDedList,0)-1,1,1),EarnListItem,0))=FALSE,SUMPRODUCT((PayEmp=$C102)*(PayDate&lt;=$AC102)*(OFFSET($N$6,1,MATCH(AV$5,PayDedList,0)-1,PayCount,1)))/$AA102*12*AV$3,(MIN(SUMPRODUCT((PayEmp=$C102)*(PayDate&lt;=$AC102)*(ISERROR(SEARCH(PayEarnCode,AV$2)))*(PayEarnType="Monthly")*(PayEarnValues))/$AA102*12,IF(ISNUMBER(OFFSET($N$3,0,MATCH(AV$5,PayDedList,0)-1,1,1)),OFFSET($N$3,0,MATCH(AV$5,PayDedList,0)-1,1,1),IgnoreMin)))*IF(COUNTIFS(EmpNo,$C102,OFFSET(Emp!$R$4,1,MATCH(AV$5,DedListItem,0)-1,EmpCount,1),"&lt;&gt;")&gt;0,VLOOKUP($C102,EmpAll,COLUMN(Emp!$R$4)+MATCH(AV$5,DedListItem,0)-1,0),OFFSET(Setup!$E$73,MATCH(AV$5,DedListItem,0),0,1,1))*AV$3))),IF(ISNUMBER(AV$4),AV$4,IgnoreMin)))))</f>
        <v>0</v>
      </c>
      <c r="AW102" s="148" cm="1">
        <f t="array" aca="1" ref="AW102" ca="1">-IF($F102="Terminated",0,IF($AA102=0,0,IF(ISNA(MATCH(AW$5,PayDedList,0)),0,MIN(IF(COUNTIFS(OverEmp,$C102,OverDeduct,AW$5,OverDate,"&lt;"&amp;DATE(YEAR($AC102),MONTH($AC102)+1,1),OverEnd,"&gt;="&amp;DATE(YEAR($AC102),MONTH($AC102),1))&gt;0,SUMPRODUCT((PayEmp=$C102)*(PayDate&lt;=$AC102)*(OFFSET($N$6,1,MATCH(AW$5,PayDedList,0)-1,PayCount,1)))/$AA102*12*AW$3,IF(OR(AW$1="Fixed",AW$1="Not Used"),SUMPRODUCT((PayEmp=$C102)*(PayDate&lt;=$AC102)*(OFFSET($N$6,1,MATCH(AW$5,PayDedList,0)-1,PayCount,1)))/$AA102*12*AW$3,IF(ISNA(MATCH(OFFSET($N$2,0,MATCH(AW$5,PayDedList,0)-1,1,1),EarnListItem,0))=FALSE,SUMPRODUCT((PayEmp=$C102)*(PayDate&lt;=$AC102)*(OFFSET($N$6,1,MATCH(AW$5,PayDedList,0)-1,PayCount,1)))/$AA102*12*AW$3,(MIN(SUMPRODUCT((PayEmp=$C102)*(PayDate&lt;=$AC102)*(ISERROR(SEARCH(PayEarnCode,AW$2)))*(PayEarnType="Monthly")*(PayEarnValues))/$AA102*12,IF(ISNUMBER(OFFSET($N$3,0,MATCH(AW$5,PayDedList,0)-1,1,1)),OFFSET($N$3,0,MATCH(AW$5,PayDedList,0)-1,1,1),IgnoreMin)))*IF(COUNTIFS(EmpNo,$C102,OFFSET(Emp!$R$4,1,MATCH(AW$5,DedListItem,0)-1,EmpCount,1),"&lt;&gt;")&gt;0,VLOOKUP($C102,EmpAll,COLUMN(Emp!$R$4)+MATCH(AW$5,DedListItem,0)-1,0),OFFSET(Setup!$E$73,MATCH(AW$5,DedListItem,0),0,1,1))*AW$3))),IF(ISNUMBER(AW$4),AW$4,IgnoreMin)))))</f>
        <v>0</v>
      </c>
      <c r="AX102" s="148">
        <f t="shared" ca="1" si="43"/>
        <v>120000</v>
      </c>
      <c r="AY102" s="148">
        <f t="shared" ca="1" si="44"/>
        <v>0</v>
      </c>
      <c r="AZ102" s="148">
        <f ca="1">IF(ISNUMBER($AL102),($AR102*$AL102)-$AI102-$AK102,MAX(0,IF($AL102="B",IF($AR102&lt;Setup!$C$32,($AR102*Setup!$D$32)-$AI102-$AK102,(($AR102-VLOOKUP($AR102,TaxAll2,1,1))*OFFSET(Setup!$D$32,MATCH($AR102,TaxBracket2,1),0,1,1))+OFFSET(Setup!$E$31,MATCH($AR102,TaxBracket2,1),0,1,1)-$AI102-$AK102),IF($AR102&lt;Setup!$C$21,($AR102*Setup!$D$21)-$AI102-$AK102,(($AR102-VLOOKUP($AR102,TaxAll1,1,1))*OFFSET(Setup!$D$21,MATCH($AR102,TaxBracket1,1),0,1,1))+OFFSET(Setup!$E$20,MATCH($AR102,TaxBracket1,1),0,1,1)-$AI102-$AK102))))</f>
        <v>0</v>
      </c>
      <c r="BA102" s="148">
        <f ca="1">IF(ISNUMBER($AL102),($AX102*$AL102)-$AI102-$AK102,MAX(0,IF($AL102="B",IF($AX102&lt;Setup!$C$32,($AX102*Setup!$D$32)-$AI102-$AK102,(($AX102-VLOOKUP($AX102,TaxAll2,1,1))*OFFSET(Setup!$D$32,MATCH($AX102,TaxBracket2,1),0,1,1))+OFFSET(Setup!$E$31,MATCH($AX102,TaxBracket2,1),0,1,1)-$AI102-$AK102),IF($AX102&lt;Setup!$C$21,($AX102*Setup!$D$21)-$AI102-$AK102,(($AX102-VLOOKUP($AX102,TaxAll1,1,1))*OFFSET(Setup!$D$21,MATCH($AX102,TaxBracket1,1),0,1,1))+OFFSET(Setup!$E$20,MATCH($AX102,TaxBracket1,1),0,1,1)-$AI102-$AK102))))</f>
        <v>0</v>
      </c>
      <c r="BB102" s="148">
        <f t="shared" ca="1" si="53"/>
        <v>0</v>
      </c>
      <c r="BC102" s="150">
        <f t="shared" ca="1" si="45"/>
        <v>1</v>
      </c>
      <c r="BD102" s="150">
        <f t="shared" ca="1" si="46"/>
        <v>0</v>
      </c>
      <c r="BE102" s="148">
        <f t="shared" ca="1" si="47"/>
        <v>120000</v>
      </c>
    </row>
    <row r="103" spans="1:57" ht="16.149999999999999" customHeight="1" x14ac:dyDescent="0.25">
      <c r="A103" s="10" t="str" cm="1">
        <f t="array" aca="1" ref="A103" ca="1">IF(ROW($A103)-ROW($A$6)&gt;EmpCount*12,"-",TEXT($B103,"yyyy")&amp;TEXT($B103,"mm")&amp;"-"&amp;$C103)</f>
        <v>202309-EXS007</v>
      </c>
      <c r="B103" s="137" cm="1">
        <f t="array" aca="1" ref="B103" ca="1">IF(ROW($A103)-ROW($A$6)&gt;EmpCount*12,Setup!$D$12,DATE(YEAR(Setup!$F$12),MONTH(Setup!$F$12)+ROUNDDOWN((ROW($A103)-ROW($A$6)-1)/EmpCount,0),IF(Setup!$C$14&gt;DAY(DATE(YEAR(Setup!$F$12),MONTH(Setup!$F$12)+ROUNDDOWN((ROW($A103)-ROW($A$6)-1)/EmpCount,0)+1,0)),DAY(DATE(YEAR(Setup!$F$12),MONTH(Setup!$F$12)+ROUNDDOWN((ROW($A103)-ROW($A$6)-1)/EmpCount,0)+1,0)),Setup!$C$14)))</f>
        <v>45194</v>
      </c>
      <c r="C103" s="101" t="str" cm="1">
        <f t="array" aca="1" ref="C103" ca="1">IF(ROW($A103)-ROW($A$6)&gt;EmpCount*12,"-",OFFSET(Emp!$A$4,ROW($A103)-ROW($A$6)-IF(ROW($A103)-ROW($A$6)&gt;EmpCount,ROUNDDOWN((ROW($A103)-ROW($A$6)-1)/EmpCount,0)*EmpCount,0),0,1,1))</f>
        <v>EXS007</v>
      </c>
      <c r="D103" s="10" t="str">
        <f ca="1">IF(ISNA(VLOOKUP($C103,EmpAll,COLUMN(Emp!$B$4),0)),"-",VLOOKUP($C103,EmpAll,COLUMN(Emp!$B$4),0))</f>
        <v>Phillips KE</v>
      </c>
      <c r="E103" s="145" t="str">
        <f ca="1">IF(ISNA(VLOOKUP($C103,EmpAll,COLUMN(Emp!$C$4),0)),"-",VLOOKUP($C103,EmpAll,COLUMN(Emp!$C$4),0))</f>
        <v>A</v>
      </c>
      <c r="F103" s="101" t="str">
        <f ca="1">IF(ISNA(VLOOKUP($C103,EmpAll,COLUMN(Emp!$A$4),0)),"-",IF(AND(VLOOKUP($C103,EmpAll,COLUMN(Emp!$E$4),0)&lt;&gt;0,VLOOKUP($C103,EmpAll,COLUMN(Emp!$E$4),0)&gt;=DATE(YEAR($AC103),MONTH($AC103)+1,0)),"Inactive",IF(AND(VLOOKUP($C103,EmpAll,COLUMN(Emp!$F$4),0)&lt;&gt;0,VLOOKUP($C103,EmpAll,COLUMN(Emp!$F$4),0)&lt;=DATE(YEAR($AC103),MONTH($AC103),0)),"Terminated","Active")))</f>
        <v>Terminated</v>
      </c>
      <c r="G103" s="133" cm="1">
        <f t="array" aca="1" ref="G103" ca="1">IF($F103&lt;&gt;"Active",0,IF(COUNTIFS(OverEmp,$C103,OverEarn,G$2,OverDate,"&lt;"&amp;DATE(YEAR($AC103),MONTH($AC103)+1,1),OverEnd,"&gt;="&amp;DATE(YEAR($AC103),MONTH($AC103),1))&gt;0,SUMIFS(OverValue,OverEmp,$C103,OverEarn,G$2,OverDate,"&lt;"&amp;DATE(YEAR($AC103),MONTH($AC103)+1,1),OverEnd,"&gt;="&amp;DATE(YEAR($AC103),MONTH($AC103),1)),IF(AND($AC103&gt;=Setup!$E$10,SUMIFS(EmpIncrease,EmpCode,$C103)&gt;0),SUMIFS(EmpIncrease,EmpCode,$C103),SUMIFS(EmpSalary,EmpCode,$C103))))</f>
        <v>0</v>
      </c>
      <c r="H103" s="133" cm="1">
        <f t="array" aca="1" ref="H103" ca="1">IF($F103&lt;&gt;"Active",0,IF(COUNTIFS(OverEmp,$C103,OverEarn,H$2,OverDate,"&lt;"&amp;DATE(YEAR($AC103),MONTH($AC103)+1,1),OverEnd,"&gt;="&amp;DATE(YEAR($AC103),MONTH($AC103),1))&gt;0,SUMIFS(OverValue,OverEmp,$C103,OverEarn,H$2,OverDate,"&lt;"&amp;DATE(YEAR($AC103),MONTH($AC103)+1,1),OverEnd,"&gt;="&amp;DATE(YEAR($AC103),MONTH($AC103),1)),0))</f>
        <v>0</v>
      </c>
      <c r="I103" s="133" cm="1">
        <f t="array" aca="1" ref="I103" ca="1">IF($F103&lt;&gt;"Active",0,IF(COUNTIFS(OverEmp,$C103,OverEarn,I$2,OverDate,"&lt;"&amp;DATE(YEAR($AC103),MONTH($AC103)+1,1),OverEnd,"&gt;="&amp;DATE(YEAR($AC103),MONTH($AC103),1))&gt;0,SUMIFS(OverValue,OverEmp,$C103,OverEarn,I$2,OverDate,"&lt;"&amp;DATE(YEAR($AC103),MONTH($AC103)+1,1),OverEnd,"&gt;="&amp;DATE(YEAR($AC103),MONTH($AC103),1)),IF(MONTH(B103)=Setup!$C$15,SUMIFS(EmpBonus,EmpCode,$C103),0)))</f>
        <v>0</v>
      </c>
      <c r="J103" s="133" cm="1">
        <f t="array" aca="1" ref="J103" ca="1">IF($F103&lt;&gt;"Active",0,IF(COUNTIFS(OverEmp,$C103,OverEarn,J$2,OverDate,"&lt;"&amp;DATE(YEAR($AC103),MONTH($AC103)+1,1),OverEnd,"&gt;="&amp;DATE(YEAR($AC103),MONTH($AC103),1))&gt;0,SUMIFS(OverValue,OverEmp,$C103,OverEarn,J$2,OverDate,"&lt;"&amp;DATE(YEAR($AC103),MONTH($AC103)+1,1),OverEnd,"&gt;="&amp;DATE(YEAR($AC103),MONTH($AC103),1)),0))</f>
        <v>0</v>
      </c>
      <c r="K103" s="133" cm="1">
        <f t="array" aca="1" ref="K103" ca="1">IF($F103&lt;&gt;"Active",0,IF(COUNTIFS(OverEmp,$C103,OverEarn,K$2,OverDate,"&lt;"&amp;DATE(YEAR($AC103),MONTH($AC103)+1,1),OverEnd,"&gt;="&amp;DATE(YEAR($AC103),MONTH($AC103),1))&gt;0,SUMIFS(OverValue,OverEmp,$C103,OverEarn,K$2,OverDate,"&lt;"&amp;DATE(YEAR($AC103),MONTH($AC103)+1,1),OverEnd,"&gt;="&amp;DATE(YEAR($AC103),MONTH($AC103),1)),0))</f>
        <v>0</v>
      </c>
      <c r="L103" s="185">
        <f t="shared" ref="L103:L134" ca="1" si="54">IF($AA103=0,0,SUM(OFFSET($G103,0,0,1,COLUMN($L$6)-COLUMN($G$6))))</f>
        <v>0</v>
      </c>
      <c r="M103" s="182" cm="1">
        <f t="array" aca="1" ref="M103" ca="1">IF(COUNTIFS(OverEmp,$C103,OverTax,M$5,OverDate,"&lt;"&amp;DATE(YEAR($AC103),MONTH($AC103)+1,1),OverEnd,"&gt;="&amp;DATE(YEAR($AC103),MONTH($AC103),1))&gt;0,SUMIFS(OverValue,OverEmp,$C103,OverTax,M$5,OverDate,"&lt;"&amp;DATE(YEAR($AC103),MONTH($AC103)+1,1),OverEnd,"&gt;="&amp;DATE(YEAR($AC103),MONTH($AC103),1)),(($BA103/12*$AA103)+(BB103*IF(1-$BC103=0,0,BD103/(1-$BC103))))-IF($F103="Terminated",0,SUMIFS(PayTaxDeduct,PayDate,"&lt;"&amp;$AC103,PayEmp,$C103)))</f>
        <v>0</v>
      </c>
      <c r="N103" s="133" cm="1">
        <f t="array" aca="1" ref="N103" ca="1">IF($F103="Terminated",0,IF($AA103=0,0,IF(ISNA(MATCH(N$5,DedListItem,0)),0,IF(COUNTIFS(OverEmp,$C103,OverDeduct,N$5,OverDate,"&lt;"&amp;DATE(YEAR($AC103),MONTH($AC103)+1,1),OverEnd,"&gt;="&amp;DATE(YEAR($AC103),MONTH($AC103),1))&gt;0,SUMIFS(OverValue,OverEmp,$C103,OverDeduct,N$5,OverDate,"&lt;"&amp;DATE(YEAR($AC103),MONTH($AC103)+1,1),OverEnd,"&gt;="&amp;DATE(YEAR($AC103),MONTH($AC103),1)),IF(OR(N$2="Fixed",N$2="Not Used"),(IF(COUNTIFS(EmpNo,$C103,OFFSET(Emp!$R$4,1,MATCH(N$5,DedListItem,0)-1,EmpCount,1),"&lt;&gt;")&gt;0,VLOOKUP($C103,EmpAll,COLUMN(Emp!$R$4)+MATCH(N$5,DedListItem,0)-1,0),OFFSET(Setup!$E$73,MATCH(N$5,DedListItem,0),0,1,1))*$AA103)-SUMIFS(OFFSET(N$6,1,0,PayCount,1),PayDate,"&lt;"&amp;$AC103,PayEmp,$C103),IF(ISNA(MATCH(N$2,EarnListItem,0))=FALSE,IF(OFFSET(Setup!$G$73,MATCH(N$5,DedListItem,0),0,1,1)="Taxable",SUMPRODUCT((PayEmp=$C103)*(PayDate&lt;=$AC103)*(PayEarnCode=N$2)*(PayEarnTax)*(PayEarnValues)),SUMPRODUCT((PayEmp=$C103)*(PayDate&lt;=$AC103)*(PayEarnCode=N$2)*(PayEarnValues)))*IF(COUNTIFS(EmpNo,$C103,OFFSET(Emp!$R$4,1,MATCH(N$5,DedListItem,0)-1,EmpCount,1),"&lt;&gt;")&gt;0,VLOOKUP($C103,EmpAll,COLUMN(Emp!$R$4)+MATCH(N$5,DedListItem,0)-1,0),OFFSET(Setup!$E$73,MATCH(N$5,DedListItem,0),0,1,1)),(MIN(IF(OFFSET(Setup!$G$73,MATCH(N$5,DedListItem,0),0,1,1)="Taxable",SUMPRODUCT((PayEmp=$C103)*(PayDate&lt;=$AC103)*(ISERROR(SEARCH(PayEarnCode,N$4)))*(PayEarnTax)*(PayEarnValues)),SUMPRODUCT((PayEmp=$C103)*(PayDate&lt;=$AC103)*(ISERROR(SEARCH(PayEarnCode,N$4)))*(PayEarnValues))),IF(ISNUMBER(N$3),N$3/12*$AA103,IgnoreMin)))*IF(COUNTIFS(EmpNo,$C103,OFFSET(Emp!$R$4,1,MATCH(N$5,DedListItem,0)-1,EmpCount,1),"&lt;&gt;")&gt;0,VLOOKUP($C103,EmpAll,COLUMN(Emp!$R$4)+MATCH(N$5,DedListItem,0)-1,0),OFFSET(Setup!$E$73,MATCH(N$5,DedListItem,0),0,1,1)))-SUMIFS(OFFSET(N$6,1,0,PayCount,1),PayDate,"&lt;"&amp;$AC103,PayEmp,$C103))))))</f>
        <v>0</v>
      </c>
      <c r="O103" s="133" cm="1">
        <f t="array" aca="1" ref="O103" ca="1">IF($F103="Terminated",0,IF($AA103=0,0,IF(ISNA(MATCH(O$5,DedListItem,0)),0,IF(COUNTIFS(OverEmp,$C103,OverDeduct,O$5,OverDate,"&lt;"&amp;DATE(YEAR($AC103),MONTH($AC103)+1,1),OverEnd,"&gt;="&amp;DATE(YEAR($AC103),MONTH($AC103),1))&gt;0,SUMIFS(OverValue,OverEmp,$C103,OverDeduct,O$5,OverDate,"&lt;"&amp;DATE(YEAR($AC103),MONTH($AC103)+1,1),OverEnd,"&gt;="&amp;DATE(YEAR($AC103),MONTH($AC103),1)),IF(OR(O$2="Fixed",O$2="Not Used"),(IF(COUNTIFS(EmpNo,$C103,OFFSET(Emp!$R$4,1,MATCH(O$5,DedListItem,0)-1,EmpCount,1),"&lt;&gt;")&gt;0,VLOOKUP($C103,EmpAll,COLUMN(Emp!$R$4)+MATCH(O$5,DedListItem,0)-1,0),OFFSET(Setup!$E$73,MATCH(O$5,DedListItem,0),0,1,1))*$AA103)-SUMIFS(OFFSET(O$6,1,0,PayCount,1),PayDate,"&lt;"&amp;$AC103,PayEmp,$C103),IF(ISNA(MATCH(O$2,EarnListItem,0))=FALSE,IF(OFFSET(Setup!$G$73,MATCH(O$5,DedListItem,0),0,1,1)="Taxable",SUMPRODUCT((PayEmp=$C103)*(PayDate&lt;=$AC103)*(PayEarnCode=O$2)*(PayEarnTax)*(PayEarnValues)),SUMPRODUCT((PayEmp=$C103)*(PayDate&lt;=$AC103)*(PayEarnCode=O$2)*(PayEarnValues)))*IF(COUNTIFS(EmpNo,$C103,OFFSET(Emp!$R$4,1,MATCH(O$5,DedListItem,0)-1,EmpCount,1),"&lt;&gt;")&gt;0,VLOOKUP($C103,EmpAll,COLUMN(Emp!$R$4)+MATCH(O$5,DedListItem,0)-1,0),OFFSET(Setup!$E$73,MATCH(O$5,DedListItem,0),0,1,1)),(MIN(IF(OFFSET(Setup!$G$73,MATCH(O$5,DedListItem,0),0,1,1)="Taxable",SUMPRODUCT((PayEmp=$C103)*(PayDate&lt;=$AC103)*(ISERROR(SEARCH(PayEarnCode,O$4)))*(PayEarnTax)*(PayEarnValues)),SUMPRODUCT((PayEmp=$C103)*(PayDate&lt;=$AC103)*(ISERROR(SEARCH(PayEarnCode,O$4)))*(PayEarnValues))),IF(ISNUMBER(O$3),O$3/12*$AA103,IgnoreMin)))*IF(COUNTIFS(EmpNo,$C103,OFFSET(Emp!$R$4,1,MATCH(O$5,DedListItem,0)-1,EmpCount,1),"&lt;&gt;")&gt;0,VLOOKUP($C103,EmpAll,COLUMN(Emp!$R$4)+MATCH(O$5,DedListItem,0)-1,0),OFFSET(Setup!$E$73,MATCH(O$5,DedListItem,0),0,1,1)))-SUMIFS(OFFSET(O$6,1,0,PayCount,1),PayDate,"&lt;"&amp;$AC103,PayEmp,$C103))))))</f>
        <v>0</v>
      </c>
      <c r="P103" s="133" cm="1">
        <f t="array" aca="1" ref="P103" ca="1">IF($F103="Terminated",0,IF($AA103=0,0,IF(ISNA(MATCH(P$5,DedListItem,0)),0,IF(COUNTIFS(OverEmp,$C103,OverDeduct,P$5,OverDate,"&lt;"&amp;DATE(YEAR($AC103),MONTH($AC103)+1,1),OverEnd,"&gt;="&amp;DATE(YEAR($AC103),MONTH($AC103),1))&gt;0,SUMIFS(OverValue,OverEmp,$C103,OverDeduct,P$5,OverDate,"&lt;"&amp;DATE(YEAR($AC103),MONTH($AC103)+1,1),OverEnd,"&gt;="&amp;DATE(YEAR($AC103),MONTH($AC103),1)),IF(OR(P$2="Fixed",P$2="Not Used"),(IF(COUNTIFS(EmpNo,$C103,OFFSET(Emp!$R$4,1,MATCH(P$5,DedListItem,0)-1,EmpCount,1),"&lt;&gt;")&gt;0,VLOOKUP($C103,EmpAll,COLUMN(Emp!$R$4)+MATCH(P$5,DedListItem,0)-1,0),OFFSET(Setup!$E$73,MATCH(P$5,DedListItem,0),0,1,1))*$AA103)-SUMIFS(OFFSET(P$6,1,0,PayCount,1),PayDate,"&lt;"&amp;$AC103,PayEmp,$C103),IF(ISNA(MATCH(P$2,EarnListItem,0))=FALSE,IF(OFFSET(Setup!$G$73,MATCH(P$5,DedListItem,0),0,1,1)="Taxable",SUMPRODUCT((PayEmp=$C103)*(PayDate&lt;=$AC103)*(PayEarnCode=P$2)*(PayEarnTax)*(PayEarnValues)),SUMPRODUCT((PayEmp=$C103)*(PayDate&lt;=$AC103)*(PayEarnCode=P$2)*(PayEarnValues)))*IF(COUNTIFS(EmpNo,$C103,OFFSET(Emp!$R$4,1,MATCH(P$5,DedListItem,0)-1,EmpCount,1),"&lt;&gt;")&gt;0,VLOOKUP($C103,EmpAll,COLUMN(Emp!$R$4)+MATCH(P$5,DedListItem,0)-1,0),OFFSET(Setup!$E$73,MATCH(P$5,DedListItem,0),0,1,1)),(MIN(IF(OFFSET(Setup!$G$73,MATCH(P$5,DedListItem,0),0,1,1)="Taxable",SUMPRODUCT((PayEmp=$C103)*(PayDate&lt;=$AC103)*(ISERROR(SEARCH(PayEarnCode,P$4)))*(PayEarnTax)*(PayEarnValues)),SUMPRODUCT((PayEmp=$C103)*(PayDate&lt;=$AC103)*(ISERROR(SEARCH(PayEarnCode,P$4)))*(PayEarnValues))),IF(ISNUMBER(P$3),P$3/12*$AA103,IgnoreMin)))*IF(COUNTIFS(EmpNo,$C103,OFFSET(Emp!$R$4,1,MATCH(P$5,DedListItem,0)-1,EmpCount,1),"&lt;&gt;")&gt;0,VLOOKUP($C103,EmpAll,COLUMN(Emp!$R$4)+MATCH(P$5,DedListItem,0)-1,0),OFFSET(Setup!$E$73,MATCH(P$5,DedListItem,0),0,1,1)))-SUMIFS(OFFSET(P$6,1,0,PayCount,1),PayDate,"&lt;"&amp;$AC103,PayEmp,$C103))))))</f>
        <v>0</v>
      </c>
      <c r="Q103" s="133" cm="1">
        <f t="array" aca="1" ref="Q103" ca="1">IF($F103="Terminated",0,IF($AA103=0,0,IF(ISNA(MATCH(Q$5,DedListItem,0)),0,IF(COUNTIFS(OverEmp,$C103,OverDeduct,Q$5,OverDate,"&lt;"&amp;DATE(YEAR($AC103),MONTH($AC103)+1,1),OverEnd,"&gt;="&amp;DATE(YEAR($AC103),MONTH($AC103),1))&gt;0,SUMIFS(OverValue,OverEmp,$C103,OverDeduct,Q$5,OverDate,"&lt;"&amp;DATE(YEAR($AC103),MONTH($AC103)+1,1),OverEnd,"&gt;="&amp;DATE(YEAR($AC103),MONTH($AC103),1)),IF(OR(Q$2="Fixed",Q$2="Not Used"),(IF(COUNTIFS(EmpNo,$C103,OFFSET(Emp!$R$4,1,MATCH(Q$5,DedListItem,0)-1,EmpCount,1),"&lt;&gt;")&gt;0,VLOOKUP($C103,EmpAll,COLUMN(Emp!$R$4)+MATCH(Q$5,DedListItem,0)-1,0),OFFSET(Setup!$E$73,MATCH(Q$5,DedListItem,0),0,1,1))*$AA103)-SUMIFS(OFFSET(Q$6,1,0,PayCount,1),PayDate,"&lt;"&amp;$AC103,PayEmp,$C103),IF(ISNA(MATCH(Q$2,EarnListItem,0))=FALSE,IF(OFFSET(Setup!$G$73,MATCH(Q$5,DedListItem,0),0,1,1)="Taxable",SUMPRODUCT((PayEmp=$C103)*(PayDate&lt;=$AC103)*(PayEarnCode=Q$2)*(PayEarnTax)*(PayEarnValues)),SUMPRODUCT((PayEmp=$C103)*(PayDate&lt;=$AC103)*(PayEarnCode=Q$2)*(PayEarnValues)))*IF(COUNTIFS(EmpNo,$C103,OFFSET(Emp!$R$4,1,MATCH(Q$5,DedListItem,0)-1,EmpCount,1),"&lt;&gt;")&gt;0,VLOOKUP($C103,EmpAll,COLUMN(Emp!$R$4)+MATCH(Q$5,DedListItem,0)-1,0),OFFSET(Setup!$E$73,MATCH(Q$5,DedListItem,0),0,1,1)),(MIN(IF(OFFSET(Setup!$G$73,MATCH(Q$5,DedListItem,0),0,1,1)="Taxable",SUMPRODUCT((PayEmp=$C103)*(PayDate&lt;=$AC103)*(ISERROR(SEARCH(PayEarnCode,Q$4)))*(PayEarnTax)*(PayEarnValues)),SUMPRODUCT((PayEmp=$C103)*(PayDate&lt;=$AC103)*(ISERROR(SEARCH(PayEarnCode,Q$4)))*(PayEarnValues))),IF(ISNUMBER(Q$3),Q$3/12*$AA103,IgnoreMin)))*IF(COUNTIFS(EmpNo,$C103,OFFSET(Emp!$R$4,1,MATCH(Q$5,DedListItem,0)-1,EmpCount,1),"&lt;&gt;")&gt;0,VLOOKUP($C103,EmpAll,COLUMN(Emp!$R$4)+MATCH(Q$5,DedListItem,0)-1,0),OFFSET(Setup!$E$73,MATCH(Q$5,DedListItem,0),0,1,1)))-SUMIFS(OFFSET(Q$6,1,0,PayCount,1),PayDate,"&lt;"&amp;$AC103,PayEmp,$C103))))))</f>
        <v>0</v>
      </c>
      <c r="R103" s="185">
        <f t="shared" ref="R103:R134" ca="1" si="55">SUM(OFFSET(M103,0,0,1,COLUMN($R$6)-COLUMN($M$6)))</f>
        <v>0</v>
      </c>
      <c r="S103" s="139">
        <f t="shared" ref="S103:S134" ca="1" si="56">ROUND(SUM(L103,-R103),2)</f>
        <v>0</v>
      </c>
      <c r="T103" s="133" cm="1">
        <f t="array" aca="1" ref="T103" ca="1">IF($F103="Terminated",0,IF($AA103=0,0,IF(ISNA(MATCH(T$5,CompListItem,0)),0,IF(COUNTIFS(OverEmp,$C103,OverComp,T$5,OverDate,"&lt;"&amp;DATE(YEAR($AC103),MONTH($AC103)+1,1),OverEnd,"&gt;="&amp;DATE(YEAR($AC103),MONTH($AC103),1))&gt;0,SUMIFS(OverValue,OverEmp,$C103,OverComp,T$5,OverDate,"&lt;"&amp;DATE(YEAR($AC103),MONTH($AC103)+1,1),OverEnd,"&gt;="&amp;DATE(YEAR($AC103),MONTH($AC103),1)),IF(OR(T$2="Fixed",T$2="Not Used"),(OFFSET(Setup!$E$81,MATCH(T$5,CompListItem,0),0,1,1)*$AA103)-SUMIFS(OFFSET(T$6,1,0,PayCount,1),PayDate,"&lt;"&amp;$AC103,PayEmp,$C103),IF(ISNA(MATCH(T$2,DedListItem,0))=FALSE,(SUMPRODUCT((PayEmp=$C103)*(PayDate&lt;=$AC103)*(PayDedList=T$2)*(PayDedValues))*OFFSET(Setup!$E$81,MATCH(T$5,CompListItem,0),0,1,1))-SUMIFS(OFFSET(T$6,1,0,PayCount,1),PayDate,"&lt;"&amp;$AC103,PayEmp,$C103),(MIN(IF(OFFSET(Setup!$G$81,MATCH(T$5,CompListItem,0),0,1,1)="Taxable",SUMPRODUCT((PayEmp=$C103)*(PayDate&lt;=$AC103)*(ISERROR(SEARCH(PayEarnCode,T$4)))*(PayEarnTax)*(PayEarnValues)),SUMPRODUCT((PayEmp=$C103)*(PayDate&lt;=$AC103)*(ISERROR(SEARCH(PayEarnCode,T$4)))*(PayEarnValues))),IF(ISNUMBER(T$3),T$3/12*$AA103,IgnoreMin)))*OFFSET(Setup!$E$81,MATCH(T$5,CompListItem,0),0,1,1)-SUMIFS(OFFSET(T$6,1,0,PayCount,1),PayDate,"&lt;"&amp;$AC103,PayEmp,$C103)))))))</f>
        <v>0</v>
      </c>
      <c r="U103" s="133" cm="1">
        <f t="array" aca="1" ref="U103" ca="1">IF($F103="Terminated",0,IF($AA103=0,0,IF(ISNA(MATCH(U$5,CompListItem,0)),0,IF(COUNTIFS(OverEmp,$C103,OverComp,U$5,OverDate,"&lt;"&amp;DATE(YEAR($AC103),MONTH($AC103)+1,1),OverEnd,"&gt;="&amp;DATE(YEAR($AC103),MONTH($AC103),1))&gt;0,SUMIFS(OverValue,OverEmp,$C103,OverComp,U$5,OverDate,"&lt;"&amp;DATE(YEAR($AC103),MONTH($AC103)+1,1),OverEnd,"&gt;="&amp;DATE(YEAR($AC103),MONTH($AC103),1)),IF(OR(U$2="Fixed",U$2="Not Used"),(OFFSET(Setup!$E$81,MATCH(U$5,CompListItem,0),0,1,1)*$AA103)-SUMIFS(OFFSET(U$6,1,0,PayCount,1),PayDate,"&lt;"&amp;$AC103,PayEmp,$C103),IF(ISNA(MATCH(U$2,DedListItem,0))=FALSE,(SUMPRODUCT((PayEmp=$C103)*(PayDate&lt;=$AC103)*(PayDedList=U$2)*(PayDedValues))*OFFSET(Setup!$E$81,MATCH(U$5,CompListItem,0),0,1,1))-SUMIFS(OFFSET(U$6,1,0,PayCount,1),PayDate,"&lt;"&amp;$AC103,PayEmp,$C103),(MIN(IF(OFFSET(Setup!$G$81,MATCH(U$5,CompListItem,0),0,1,1)="Taxable",SUMPRODUCT((PayEmp=$C103)*(PayDate&lt;=$AC103)*(ISERROR(SEARCH(PayEarnCode,U$4)))*(PayEarnTax)*(PayEarnValues)),SUMPRODUCT((PayEmp=$C103)*(PayDate&lt;=$AC103)*(ISERROR(SEARCH(PayEarnCode,U$4)))*(PayEarnValues))),IF(ISNUMBER(U$3),U$3/12*$AA103,IgnoreMin)))*OFFSET(Setup!$E$81,MATCH(U$5,CompListItem,0),0,1,1)-SUMIFS(OFFSET(U$6,1,0,PayCount,1),PayDate,"&lt;"&amp;$AC103,PayEmp,$C103)))))))</f>
        <v>0</v>
      </c>
      <c r="V103" s="133" cm="1">
        <f t="array" aca="1" ref="V103" ca="1">IF($F103="Terminated",0,IF($AA103=0,0,IF(ISNA(MATCH(V$5,CompListItem,0)),0,IF(COUNTIFS(OverEmp,$C103,OverComp,V$5,OverDate,"&lt;"&amp;DATE(YEAR($AC103),MONTH($AC103)+1,1),OverEnd,"&gt;="&amp;DATE(YEAR($AC103),MONTH($AC103),1))&gt;0,SUMIFS(OverValue,OverEmp,$C103,OverComp,V$5,OverDate,"&lt;"&amp;DATE(YEAR($AC103),MONTH($AC103)+1,1),OverEnd,"&gt;="&amp;DATE(YEAR($AC103),MONTH($AC103),1)),IF(OR(V$2="Fixed",V$2="Not Used"),(OFFSET(Setup!$E$81,MATCH(V$5,CompListItem,0),0,1,1)*$AA103)-SUMIFS(OFFSET(V$6,1,0,PayCount,1),PayDate,"&lt;"&amp;$AC103,PayEmp,$C103),IF(ISNA(MATCH(V$2,DedListItem,0))=FALSE,(SUMPRODUCT((PayEmp=$C103)*(PayDate&lt;=$AC103)*(PayDedList=V$2)*(PayDedValues))*OFFSET(Setup!$E$81,MATCH(V$5,CompListItem,0),0,1,1))-SUMIFS(OFFSET(V$6,1,0,PayCount,1),PayDate,"&lt;"&amp;$AC103,PayEmp,$C103),(MIN(IF(OFFSET(Setup!$G$81,MATCH(V$5,CompListItem,0),0,1,1)="Taxable",SUMPRODUCT((PayEmp=$C103)*(PayDate&lt;=$AC103)*(ISERROR(SEARCH(PayEarnCode,V$4)))*(PayEarnTax)*(PayEarnValues)),SUMPRODUCT((PayEmp=$C103)*(PayDate&lt;=$AC103)*(ISERROR(SEARCH(PayEarnCode,V$4)))*(PayEarnValues))),IF(ISNUMBER(V$3),V$3/12*$AA103,IgnoreMin)))*OFFSET(Setup!$E$81,MATCH(V$5,CompListItem,0),0,1,1)-SUMIFS(OFFSET(V$6,1,0,PayCount,1),PayDate,"&lt;"&amp;$AC103,PayEmp,$C103)))))))</f>
        <v>0</v>
      </c>
      <c r="W103" s="133" cm="1">
        <f t="array" aca="1" ref="W103" ca="1">IF($F103="Terminated",0,IF($AA103=0,0,IF(ISNA(MATCH(W$5,CompListItem,0)),0,IF(COUNTIFS(OverEmp,$C103,OverComp,W$5,OverDate,"&lt;"&amp;DATE(YEAR($AC103),MONTH($AC103)+1,1),OverEnd,"&gt;="&amp;DATE(YEAR($AC103),MONTH($AC103),1))&gt;0,SUMIFS(OverValue,OverEmp,$C103,OverComp,W$5,OverDate,"&lt;"&amp;DATE(YEAR($AC103),MONTH($AC103)+1,1),OverEnd,"&gt;="&amp;DATE(YEAR($AC103),MONTH($AC103),1)),IF(OR(W$2="Fixed",W$2="Not Used"),(OFFSET(Setup!$E$81,MATCH(W$5,CompListItem,0),0,1,1)*$AA103)-SUMIFS(OFFSET(W$6,1,0,PayCount,1),PayDate,"&lt;"&amp;$AC103,PayEmp,$C103),IF(ISNA(MATCH(W$2,DedListItem,0))=FALSE,(SUMPRODUCT((PayEmp=$C103)*(PayDate&lt;=$AC103)*(PayDedList=W$2)*(PayDedValues))*OFFSET(Setup!$E$81,MATCH(W$5,CompListItem,0),0,1,1))-SUMIFS(OFFSET(W$6,1,0,PayCount,1),PayDate,"&lt;"&amp;$AC103,PayEmp,$C103),(MIN(IF(OFFSET(Setup!$G$81,MATCH(W$5,CompListItem,0),0,1,1)="Taxable",SUMPRODUCT((PayEmp=$C103)*(PayDate&lt;=$AC103)*(ISERROR(SEARCH(PayEarnCode,W$4)))*(PayEarnTax)*(PayEarnValues)),SUMPRODUCT((PayEmp=$C103)*(PayDate&lt;=$AC103)*(ISERROR(SEARCH(PayEarnCode,W$4)))*(PayEarnValues))),IF(ISNUMBER(W$3),W$3/12*$AA103,IgnoreMin)))*OFFSET(Setup!$E$81,MATCH(W$5,CompListItem,0),0,1,1)-SUMIFS(OFFSET(W$6,1,0,PayCount,1),PayDate,"&lt;"&amp;$AC103,PayEmp,$C103)))))))</f>
        <v>0</v>
      </c>
      <c r="X103" s="185">
        <f t="shared" ca="1" si="48"/>
        <v>0</v>
      </c>
      <c r="Y103" s="139">
        <f t="shared" ref="Y103:Y134" ca="1" si="57">L103+X103</f>
        <v>0</v>
      </c>
      <c r="Z103" s="139">
        <f t="shared" ca="1" si="49"/>
        <v>0</v>
      </c>
      <c r="AA103" s="146">
        <f ca="1">IF(OR($B103&lt;=Setup!$E$12,$B103&gt;=Setup!$D$12+1),0,IF($F103&lt;&gt;"Active",0,IF($AE103="Yes",$AB103,((YEAR($AC103)*12)+MONTH($AC103))-((YEAR($AD103)*12)+MONTH($AD103)-1))))</f>
        <v>0</v>
      </c>
      <c r="AB103" s="146">
        <f ca="1">IF(OR($B103&lt;=Setup!$E$12,$B103&gt;=Setup!$D$12+1),0,((YEAR($AC103)*12)+MONTH($AC103))-((YEAR(Setup!$E$12)*12)+MONTH(Setup!$E$12)))</f>
        <v>7</v>
      </c>
      <c r="AC103" s="186">
        <f t="shared" ca="1" si="50"/>
        <v>45194</v>
      </c>
      <c r="AD103" s="144">
        <f ca="1">IF(ISNA(VLOOKUP($C103,EmpAll,COLUMN(Emp!$E$4),0)),$AC103,IF(VLOOKUP($C103,EmpAll,COLUMN(Emp!$E$4),0)&lt;=Setup!$E$12,DATE(YEAR(Setup!$E$12),MONTH(Setup!$E$12)+1,1),VLOOKUP($C103,EmpAll,COLUMN(Emp!$E$4),0)))</f>
        <v>44986</v>
      </c>
      <c r="AE103" s="144" t="str">
        <f ca="1">IF(ISNA(VLOOKUP($C103,EmpAll,COLUMN(Emp!$G$1),0)),"-",IF(VLOOKUP($C103,EmpAll,COLUMN(Emp!$G$1),0)=0,"-",VLOOKUP($C103,EmpAll,COLUMN(Emp!$G$1),0)))</f>
        <v>-</v>
      </c>
      <c r="AF103" s="145">
        <f ca="1">IF(A103=PaySlip!$G$3,1,0)</f>
        <v>0</v>
      </c>
      <c r="AG103" s="130" cm="1">
        <f t="array" aca="1" ref="AG103" ca="1">IF(COUNTIFS(OverEmp,$C103,OverMed,"MED",OverDate,"&lt;"&amp;DATE(YEAR($AC103),MONTH($AC103)+1,1),OverEnd,"&gt;="&amp;DATE(YEAR($AC103),MONTH($AC103),1))&gt;0,SUMIFS(OverValue,OverEmp,$C103,OverMed,"MED",OverDate,"&lt;"&amp;DATE(YEAR($AC103),MONTH($AC103)+1,1),OverEnd,"&gt;="&amp;DATE(YEAR($AC103),MONTH($AC103),1)),IF(ISNA(VLOOKUP($C103,EmpAll,COLUMN(Emp!$N$4),0)),0,VLOOKUP($C103,EmpAll,COLUMN(Emp!$N$4),0)))</f>
        <v>0</v>
      </c>
      <c r="AH103" s="146">
        <f ca="1">VLOOKUP($AG103,MedList,COLUMN(Setup!$C$49),1)</f>
        <v>0</v>
      </c>
      <c r="AI103" s="146">
        <f t="shared" ca="1" si="40"/>
        <v>0</v>
      </c>
      <c r="AJ103" s="101" t="str">
        <f ca="1">IF(ISNA(VLOOKUP($C103,EmpAll,COLUMN(Emp!$L$4),0)),"None!",VLOOKUP($C103,EmpAll,COLUMN(Emp!$L$4),0))</f>
        <v>A</v>
      </c>
      <c r="AK103" s="147">
        <f t="shared" ca="1" si="51"/>
        <v>17235</v>
      </c>
      <c r="AL103" s="101" t="str">
        <f ca="1">IF(ISNA(VLOOKUP($C103,Employees[],COLUMN(Emp!$M$4),0))=TRUE,"Error!",IF(VLOOKUP($C103,Employees[],COLUMN(Emp!$M$4),0)=0,"Yes",VLOOKUP($C103,Employees[],COLUMN(Emp!$M$4),0)))</f>
        <v>A</v>
      </c>
      <c r="AM103" s="148">
        <f t="shared" ca="1" si="41"/>
        <v>0</v>
      </c>
      <c r="AN103" s="148" cm="1">
        <f t="array" aca="1" ref="AN103" ca="1">-IF($F103="Terminated",0,IF($AA103=0,0,IF(ISNA(MATCH(AN$5,PayDedList,0)),0,MIN(IF(COUNTIFS(OverEmp,$C103,OverDeduct,AN$5,OverDate,"&lt;"&amp;DATE(YEAR($AC103),MONTH($AC103)+1,1),OverEnd,"&gt;="&amp;DATE(YEAR($AC103),MONTH($AC103),1))&gt;0,SUMPRODUCT((PayEmp=$C103)*(PayDate&lt;=$AC103)*(OFFSET($N$6,1,MATCH(AN$5,PayDedList,0)-1,PayCount,1)))/$AA103*12*AN$3,IF(OR(AN$1="Fixed",AN$1="Not Used"),SUMPRODUCT((PayEmp=$C103)*(PayDate&lt;=$AC103)*(OFFSET($N$6,1,MATCH(AN$5,PayDedList,0)-1,PayCount,1)))/$AA103*12*AN$3,IF(ISNA(MATCH(AN$1,EarnListItem,0))=FALSE,SUMPRODUCT((PayEmp=$C103)*(PayDate&lt;=$AC103)*(OFFSET($N$6,1,MATCH(AN$5,PayDedList,0)-1,PayCount,1)))/$AA103*12*AN$3,(MIN(((SUMPRODUCT((PayEmp=$C103)*(PayDate&lt;=$AC103)*(ISERROR(SEARCH(PayEarnCode,AN$2)))*(PayEarnType="Monthly")*(PayEarnValues))/$AA103*12)+(SUMPRODUCT((PayEmp=$C103)*(PayDate&lt;=$AC103)*(ISERROR(SEARCH(PayEarnCode,AN$2)))*(PayEarnType="Quarterly")*(PayEarnValues))/MAX(1,ROUNDDOWN($AB103/3,0))*4)+(SUMPRODUCT((PayEmp=$C103)*(PayDate&lt;=$AC103)*(ISERROR(SEARCH(PayEarnCode,AN$2)))*(PayEarnType="Bi-Annual")*(PayEarnValues))/MAX(1,ROUNDDOWN($AB103/6,0))*2)+(SUMPRODUCT((PayEmp=$C103)*(PayDate&lt;=$AC103)*(ISERROR(SEARCH(PayEarnCode,AN$2)))*(PayEarnType="Annual")*(PayEarnValues)))),IF(ISNUMBER(OFFSET($N$3,0,MATCH(AN$5,PayDedList,0)-1,1,1)),OFFSET($N$3,0,MATCH(AN$5,PayDedList,0)-1,1,1),IgnoreMin)))*IF(COUNTIFS(EmpNo,$C103,OFFSET(Emp!$R$4,1,MATCH(AN$5,DedListItem,0)-1,EmpCount,1),"&lt;&gt;")&gt;0,VLOOKUP($C103,EmpAll,COLUMN(Emp!$R$4)+MATCH(AN$5,DedListItem,0)-1,0),OFFSET(Setup!$E$73,MATCH(AN$5,DedListItem,0),0,1,1))*AN$3))),IF(ISNUMBER(AN$4),AN$4,IgnoreMin)))))</f>
        <v>0</v>
      </c>
      <c r="AO103" s="148" cm="1">
        <f t="array" aca="1" ref="AO103" ca="1">-IF($F103="Terminated",0,IF($AA103=0,0,IF(ISNA(MATCH(AO$5,PayDedList,0)),0,MIN(IF(COUNTIFS(OverEmp,$C103,OverDeduct,AO$5,OverDate,"&lt;"&amp;DATE(YEAR($AC103),MONTH($AC103)+1,1),OverEnd,"&gt;="&amp;DATE(YEAR($AC103),MONTH($AC103),1))&gt;0,SUMPRODUCT((PayEmp=$C103)*(PayDate&lt;=$AC103)*(OFFSET($N$6,1,MATCH(AO$5,PayDedList,0)-1,PayCount,1)))/$AA103*12*AO$3,IF(OR(AO$1="Fixed",AO$1="Not Used"),SUMPRODUCT((PayEmp=$C103)*(PayDate&lt;=$AC103)*(OFFSET($N$6,1,MATCH(AO$5,PayDedList,0)-1,PayCount,1)))/$AA103*12*AO$3,IF(ISNA(MATCH(AO$1,EarnListItem,0))=FALSE,SUMPRODUCT((PayEmp=$C103)*(PayDate&lt;=$AC103)*(OFFSET($N$6,1,MATCH(AO$5,PayDedList,0)-1,PayCount,1)))/$AA103*12*AO$3,(MIN(((SUMPRODUCT((PayEmp=$C103)*(PayDate&lt;=$AC103)*(ISERROR(SEARCH(PayEarnCode,AO$2)))*(PayEarnType="Monthly")*(PayEarnValues))/$AA103*12)+(SUMPRODUCT((PayEmp=$C103)*(PayDate&lt;=$AC103)*(ISERROR(SEARCH(PayEarnCode,AO$2)))*(PayEarnType="Quarterly")*(PayEarnValues))/MAX(1,ROUNDDOWN($AB103/3,0))*4)+(SUMPRODUCT((PayEmp=$C103)*(PayDate&lt;=$AC103)*(ISERROR(SEARCH(PayEarnCode,AO$2)))*(PayEarnType="Bi-Annual")*(PayEarnValues))/MAX(1,ROUNDDOWN($AB103/6,0))*2)+(SUMPRODUCT((PayEmp=$C103)*(PayDate&lt;=$AC103)*(ISERROR(SEARCH(PayEarnCode,AO$2)))*(PayEarnType="Annual")*(PayEarnValues)))),IF(ISNUMBER(OFFSET($N$3,0,MATCH(AO$5,PayDedList,0)-1,1,1)),OFFSET($N$3,0,MATCH(AO$5,PayDedList,0)-1,1,1),IgnoreMin)))*IF(COUNTIFS(EmpNo,$C103,OFFSET(Emp!$R$4,1,MATCH(AO$5,DedListItem,0)-1,EmpCount,1),"&lt;&gt;")&gt;0,VLOOKUP($C103,EmpAll,COLUMN(Emp!$R$4)+MATCH(AO$5,DedListItem,0)-1,0),OFFSET(Setup!$E$73,MATCH(AO$5,DedListItem,0),0,1,1))*AO$3))),IF(ISNUMBER(AO$4),AO$4,IgnoreMin)))))</f>
        <v>0</v>
      </c>
      <c r="AP103" s="148" cm="1">
        <f t="array" aca="1" ref="AP103" ca="1">-IF($F103="Terminated",0,IF($AA103=0,0,IF(ISNA(MATCH(AP$5,PayDedList,0)),0,MIN(IF(COUNTIFS(OverEmp,$C103,OverDeduct,AP$5,OverDate,"&lt;"&amp;DATE(YEAR($AC103),MONTH($AC103)+1,1),OverEnd,"&gt;="&amp;DATE(YEAR($AC103),MONTH($AC103),1))&gt;0,SUMPRODUCT((PayEmp=$C103)*(PayDate&lt;=$AC103)*(OFFSET($N$6,1,MATCH(AP$5,PayDedList,0)-1,PayCount,1)))/$AA103*12*AP$3,IF(OR(AP$1="Fixed",AP$1="Not Used"),SUMPRODUCT((PayEmp=$C103)*(PayDate&lt;=$AC103)*(OFFSET($N$6,1,MATCH(AP$5,PayDedList,0)-1,PayCount,1)))/$AA103*12*AP$3,IF(ISNA(MATCH(AP$1,EarnListItem,0))=FALSE,SUMPRODUCT((PayEmp=$C103)*(PayDate&lt;=$AC103)*(OFFSET($N$6,1,MATCH(AP$5,PayDedList,0)-1,PayCount,1)))/$AA103*12*AP$3,(MIN(((SUMPRODUCT((PayEmp=$C103)*(PayDate&lt;=$AC103)*(ISERROR(SEARCH(PayEarnCode,AP$2)))*(PayEarnType="Monthly")*(PayEarnValues))/$AA103*12)+(SUMPRODUCT((PayEmp=$C103)*(PayDate&lt;=$AC103)*(ISERROR(SEARCH(PayEarnCode,AP$2)))*(PayEarnType="Quarterly")*(PayEarnValues))/MAX(1,ROUNDDOWN($AB103/3,0))*4)+(SUMPRODUCT((PayEmp=$C103)*(PayDate&lt;=$AC103)*(ISERROR(SEARCH(PayEarnCode,AP$2)))*(PayEarnType="Bi-Annual")*(PayEarnValues))/MAX(1,ROUNDDOWN($AB103/6,0))*2)+(SUMPRODUCT((PayEmp=$C103)*(PayDate&lt;=$AC103)*(ISERROR(SEARCH(PayEarnCode,AP$2)))*(PayEarnType="Annual")*(PayEarnValues)))),IF(ISNUMBER(OFFSET($N$3,0,MATCH(AP$5,PayDedList,0)-1,1,1)),OFFSET($N$3,0,MATCH(AP$5,PayDedList,0)-1,1,1),IgnoreMin)))*IF(COUNTIFS(EmpNo,$C103,OFFSET(Emp!$R$4,1,MATCH(AP$5,DedListItem,0)-1,EmpCount,1),"&lt;&gt;")&gt;0,VLOOKUP($C103,EmpAll,COLUMN(Emp!$R$4)+MATCH(AP$5,DedListItem,0)-1,0),OFFSET(Setup!$E$73,MATCH(AP$5,DedListItem,0),0,1,1))*AP$3))),IF(ISNUMBER(AP$4),AP$4,IgnoreMin)))))</f>
        <v>0</v>
      </c>
      <c r="AQ103" s="148" cm="1">
        <f t="array" aca="1" ref="AQ103" ca="1">-IF($F103="Terminated",0,IF($AA103=0,0,IF(ISNA(MATCH(AQ$5,PayDedList,0)),0,MIN(IF(COUNTIFS(OverEmp,$C103,OverDeduct,AQ$5,OverDate,"&lt;"&amp;DATE(YEAR($AC103),MONTH($AC103)+1,1),OverEnd,"&gt;="&amp;DATE(YEAR($AC103),MONTH($AC103),1))&gt;0,SUMPRODUCT((PayEmp=$C103)*(PayDate&lt;=$AC103)*(OFFSET($N$6,1,MATCH(AQ$5,PayDedList,0)-1,PayCount,1)))/$AA103*12*AQ$3,IF(OR(AQ$1="Fixed",AQ$1="Not Used"),SUMPRODUCT((PayEmp=$C103)*(PayDate&lt;=$AC103)*(OFFSET($N$6,1,MATCH(AQ$5,PayDedList,0)-1,PayCount,1)))/$AA103*12*AQ$3,IF(ISNA(MATCH(AQ$1,EarnListItem,0))=FALSE,SUMPRODUCT((PayEmp=$C103)*(PayDate&lt;=$AC103)*(OFFSET($N$6,1,MATCH(AQ$5,PayDedList,0)-1,PayCount,1)))/$AA103*12*AQ$3,(MIN(((SUMPRODUCT((PayEmp=$C103)*(PayDate&lt;=$AC103)*(ISERROR(SEARCH(PayEarnCode,AQ$2)))*(PayEarnType="Monthly")*(PayEarnValues))/$AA103*12)+(SUMPRODUCT((PayEmp=$C103)*(PayDate&lt;=$AC103)*(ISERROR(SEARCH(PayEarnCode,AQ$2)))*(PayEarnType="Quarterly")*(PayEarnValues))/MAX(1,ROUNDDOWN($AB103/3,0))*4)+(SUMPRODUCT((PayEmp=$C103)*(PayDate&lt;=$AC103)*(ISERROR(SEARCH(PayEarnCode,AQ$2)))*(PayEarnType="Bi-Annual")*(PayEarnValues))/MAX(1,ROUNDDOWN($AB103/6,0))*2)+(SUMPRODUCT((PayEmp=$C103)*(PayDate&lt;=$AC103)*(ISERROR(SEARCH(PayEarnCode,AQ$2)))*(PayEarnType="Annual")*(PayEarnValues)))),IF(ISNUMBER(OFFSET($N$3,0,MATCH(AQ$5,PayDedList,0)-1,1,1)),OFFSET($N$3,0,MATCH(AQ$5,PayDedList,0)-1,1,1),IgnoreMin)))*IF(COUNTIFS(EmpNo,$C103,OFFSET(Emp!$R$4,1,MATCH(AQ$5,DedListItem,0)-1,EmpCount,1),"&lt;&gt;")&gt;0,VLOOKUP($C103,EmpAll,COLUMN(Emp!$R$4)+MATCH(AQ$5,DedListItem,0)-1,0),OFFSET(Setup!$E$73,MATCH(AQ$5,DedListItem,0),0,1,1))*AQ$3))),IF(ISNUMBER(AQ$4),AQ$4,IgnoreMin)))))</f>
        <v>0</v>
      </c>
      <c r="AR103" s="148">
        <f t="shared" ca="1" si="52"/>
        <v>0</v>
      </c>
      <c r="AS103" s="148">
        <f t="shared" ca="1" si="42"/>
        <v>0</v>
      </c>
      <c r="AT103" s="148" cm="1">
        <f t="array" aca="1" ref="AT103" ca="1">-IF($F103="Terminated",0,IF($AA103=0,0,IF(ISNA(MATCH(AT$5,PayDedList,0)),0,MIN(IF(COUNTIFS(OverEmp,$C103,OverDeduct,AT$5,OverDate,"&lt;"&amp;DATE(YEAR($AC103),MONTH($AC103)+1,1),OverEnd,"&gt;="&amp;DATE(YEAR($AC103),MONTH($AC103),1))&gt;0,SUMPRODUCT((PayEmp=$C103)*(PayDate&lt;=$AC103)*(OFFSET($N$6,1,MATCH(AT$5,PayDedList,0)-1,PayCount,1)))/$AA103*12*AT$3,IF(OR(AT$1="Fixed",AT$1="Not Used"),SUMPRODUCT((PayEmp=$C103)*(PayDate&lt;=$AC103)*(OFFSET($N$6,1,MATCH(AT$5,PayDedList,0)-1,PayCount,1)))/$AA103*12*AT$3,IF(ISNA(MATCH(OFFSET($N$2,0,MATCH(AT$5,PayDedList,0)-1,1,1),EarnListItem,0))=FALSE,SUMPRODUCT((PayEmp=$C103)*(PayDate&lt;=$AC103)*(OFFSET($N$6,1,MATCH(AT$5,PayDedList,0)-1,PayCount,1)))/$AA103*12*AT$3,(MIN(SUMPRODUCT((PayEmp=$C103)*(PayDate&lt;=$AC103)*(ISERROR(SEARCH(PayEarnCode,AT$2)))*(PayEarnType="Monthly")*(PayEarnValues))/$AA103*12,IF(ISNUMBER(OFFSET($N$3,0,MATCH(AT$5,PayDedList,0)-1,1,1)),OFFSET($N$3,0,MATCH(AT$5,PayDedList,0)-1,1,1),IgnoreMin)))*IF(COUNTIFS(EmpNo,$C103,OFFSET(Emp!$R$4,1,MATCH(AT$5,DedListItem,0)-1,EmpCount,1),"&lt;&gt;")&gt;0,VLOOKUP($C103,EmpAll,COLUMN(Emp!$R$4)+MATCH(AT$5,DedListItem,0)-1,0),OFFSET(Setup!$E$73,MATCH(AT$5,DedListItem,0),0,1,1))*AT$3))),IF(ISNUMBER(AT$4),AT$4,IgnoreMin)))))</f>
        <v>0</v>
      </c>
      <c r="AU103" s="148" cm="1">
        <f t="array" aca="1" ref="AU103" ca="1">-IF($F103="Terminated",0,IF($AA103=0,0,IF(ISNA(MATCH(AU$5,PayDedList,0)),0,MIN(IF(COUNTIFS(OverEmp,$C103,OverDeduct,AU$5,OverDate,"&lt;"&amp;DATE(YEAR($AC103),MONTH($AC103)+1,1),OverEnd,"&gt;="&amp;DATE(YEAR($AC103),MONTH($AC103),1))&gt;0,SUMPRODUCT((PayEmp=$C103)*(PayDate&lt;=$AC103)*(OFFSET($N$6,1,MATCH(AU$5,PayDedList,0)-1,PayCount,1)))/$AA103*12*AU$3,IF(OR(AU$1="Fixed",AU$1="Not Used"),SUMPRODUCT((PayEmp=$C103)*(PayDate&lt;=$AC103)*(OFFSET($N$6,1,MATCH(AU$5,PayDedList,0)-1,PayCount,1)))/$AA103*12*AU$3,IF(ISNA(MATCH(OFFSET($N$2,0,MATCH(AU$5,PayDedList,0)-1,1,1),EarnListItem,0))=FALSE,SUMPRODUCT((PayEmp=$C103)*(PayDate&lt;=$AC103)*(OFFSET($N$6,1,MATCH(AU$5,PayDedList,0)-1,PayCount,1)))/$AA103*12*AU$3,(MIN(SUMPRODUCT((PayEmp=$C103)*(PayDate&lt;=$AC103)*(ISERROR(SEARCH(PayEarnCode,AU$2)))*(PayEarnType="Monthly")*(PayEarnValues))/$AA103*12,IF(ISNUMBER(OFFSET($N$3,0,MATCH(AU$5,PayDedList,0)-1,1,1)),OFFSET($N$3,0,MATCH(AU$5,PayDedList,0)-1,1,1),IgnoreMin)))*IF(COUNTIFS(EmpNo,$C103,OFFSET(Emp!$R$4,1,MATCH(AU$5,DedListItem,0)-1,EmpCount,1),"&lt;&gt;")&gt;0,VLOOKUP($C103,EmpAll,COLUMN(Emp!$R$4)+MATCH(AU$5,DedListItem,0)-1,0),OFFSET(Setup!$E$73,MATCH(AU$5,DedListItem,0),0,1,1))*AU$3))),IF(ISNUMBER(AU$4),AU$4,IgnoreMin)))))</f>
        <v>0</v>
      </c>
      <c r="AV103" s="148" cm="1">
        <f t="array" aca="1" ref="AV103" ca="1">-IF($F103="Terminated",0,IF($AA103=0,0,IF(ISNA(MATCH(AV$5,PayDedList,0)),0,MIN(IF(COUNTIFS(OverEmp,$C103,OverDeduct,AV$5,OverDate,"&lt;"&amp;DATE(YEAR($AC103),MONTH($AC103)+1,1),OverEnd,"&gt;="&amp;DATE(YEAR($AC103),MONTH($AC103),1))&gt;0,SUMPRODUCT((PayEmp=$C103)*(PayDate&lt;=$AC103)*(OFFSET($N$6,1,MATCH(AV$5,PayDedList,0)-1,PayCount,1)))/$AA103*12*AV$3,IF(OR(AV$1="Fixed",AV$1="Not Used"),SUMPRODUCT((PayEmp=$C103)*(PayDate&lt;=$AC103)*(OFFSET($N$6,1,MATCH(AV$5,PayDedList,0)-1,PayCount,1)))/$AA103*12*AV$3,IF(ISNA(MATCH(OFFSET($N$2,0,MATCH(AV$5,PayDedList,0)-1,1,1),EarnListItem,0))=FALSE,SUMPRODUCT((PayEmp=$C103)*(PayDate&lt;=$AC103)*(OFFSET($N$6,1,MATCH(AV$5,PayDedList,0)-1,PayCount,1)))/$AA103*12*AV$3,(MIN(SUMPRODUCT((PayEmp=$C103)*(PayDate&lt;=$AC103)*(ISERROR(SEARCH(PayEarnCode,AV$2)))*(PayEarnType="Monthly")*(PayEarnValues))/$AA103*12,IF(ISNUMBER(OFFSET($N$3,0,MATCH(AV$5,PayDedList,0)-1,1,1)),OFFSET($N$3,0,MATCH(AV$5,PayDedList,0)-1,1,1),IgnoreMin)))*IF(COUNTIFS(EmpNo,$C103,OFFSET(Emp!$R$4,1,MATCH(AV$5,DedListItem,0)-1,EmpCount,1),"&lt;&gt;")&gt;0,VLOOKUP($C103,EmpAll,COLUMN(Emp!$R$4)+MATCH(AV$5,DedListItem,0)-1,0),OFFSET(Setup!$E$73,MATCH(AV$5,DedListItem,0),0,1,1))*AV$3))),IF(ISNUMBER(AV$4),AV$4,IgnoreMin)))))</f>
        <v>0</v>
      </c>
      <c r="AW103" s="148" cm="1">
        <f t="array" aca="1" ref="AW103" ca="1">-IF($F103="Terminated",0,IF($AA103=0,0,IF(ISNA(MATCH(AW$5,PayDedList,0)),0,MIN(IF(COUNTIFS(OverEmp,$C103,OverDeduct,AW$5,OverDate,"&lt;"&amp;DATE(YEAR($AC103),MONTH($AC103)+1,1),OverEnd,"&gt;="&amp;DATE(YEAR($AC103),MONTH($AC103),1))&gt;0,SUMPRODUCT((PayEmp=$C103)*(PayDate&lt;=$AC103)*(OFFSET($N$6,1,MATCH(AW$5,PayDedList,0)-1,PayCount,1)))/$AA103*12*AW$3,IF(OR(AW$1="Fixed",AW$1="Not Used"),SUMPRODUCT((PayEmp=$C103)*(PayDate&lt;=$AC103)*(OFFSET($N$6,1,MATCH(AW$5,PayDedList,0)-1,PayCount,1)))/$AA103*12*AW$3,IF(ISNA(MATCH(OFFSET($N$2,0,MATCH(AW$5,PayDedList,0)-1,1,1),EarnListItem,0))=FALSE,SUMPRODUCT((PayEmp=$C103)*(PayDate&lt;=$AC103)*(OFFSET($N$6,1,MATCH(AW$5,PayDedList,0)-1,PayCount,1)))/$AA103*12*AW$3,(MIN(SUMPRODUCT((PayEmp=$C103)*(PayDate&lt;=$AC103)*(ISERROR(SEARCH(PayEarnCode,AW$2)))*(PayEarnType="Monthly")*(PayEarnValues))/$AA103*12,IF(ISNUMBER(OFFSET($N$3,0,MATCH(AW$5,PayDedList,0)-1,1,1)),OFFSET($N$3,0,MATCH(AW$5,PayDedList,0)-1,1,1),IgnoreMin)))*IF(COUNTIFS(EmpNo,$C103,OFFSET(Emp!$R$4,1,MATCH(AW$5,DedListItem,0)-1,EmpCount,1),"&lt;&gt;")&gt;0,VLOOKUP($C103,EmpAll,COLUMN(Emp!$R$4)+MATCH(AW$5,DedListItem,0)-1,0),OFFSET(Setup!$E$73,MATCH(AW$5,DedListItem,0),0,1,1))*AW$3))),IF(ISNUMBER(AW$4),AW$4,IgnoreMin)))))</f>
        <v>0</v>
      </c>
      <c r="AX103" s="148">
        <f t="shared" ref="AX103:AX134" ca="1" si="58">$AS103+SUM(OFFSET($AT103,0,0,1,COLUMN($AX$2)-COLUMN($AT$2)))</f>
        <v>0</v>
      </c>
      <c r="AY103" s="148">
        <f t="shared" ref="AY103:AY134" ca="1" si="59">AR103-AX103</f>
        <v>0</v>
      </c>
      <c r="AZ103" s="148">
        <f ca="1">IF(ISNUMBER($AL103),($AR103*$AL103)-$AI103-$AK103,MAX(0,IF($AL103="B",IF($AR103&lt;Setup!$C$32,($AR103*Setup!$D$32)-$AI103-$AK103,(($AR103-VLOOKUP($AR103,TaxAll2,1,1))*OFFSET(Setup!$D$32,MATCH($AR103,TaxBracket2,1),0,1,1))+OFFSET(Setup!$E$31,MATCH($AR103,TaxBracket2,1),0,1,1)-$AI103-$AK103),IF($AR103&lt;Setup!$C$21,($AR103*Setup!$D$21)-$AI103-$AK103,(($AR103-VLOOKUP($AR103,TaxAll1,1,1))*OFFSET(Setup!$D$21,MATCH($AR103,TaxBracket1,1),0,1,1))+OFFSET(Setup!$E$20,MATCH($AR103,TaxBracket1,1),0,1,1)-$AI103-$AK103))))</f>
        <v>0</v>
      </c>
      <c r="BA103" s="148">
        <f ca="1">IF(ISNUMBER($AL103),($AX103*$AL103)-$AI103-$AK103,MAX(0,IF($AL103="B",IF($AX103&lt;Setup!$C$32,($AX103*Setup!$D$32)-$AI103-$AK103,(($AX103-VLOOKUP($AX103,TaxAll2,1,1))*OFFSET(Setup!$D$32,MATCH($AX103,TaxBracket2,1),0,1,1))+OFFSET(Setup!$E$31,MATCH($AX103,TaxBracket2,1),0,1,1)-$AI103-$AK103),IF($AX103&lt;Setup!$C$21,($AX103*Setup!$D$21)-$AI103-$AK103,(($AX103-VLOOKUP($AX103,TaxAll1,1,1))*OFFSET(Setup!$D$21,MATCH($AX103,TaxBracket1,1),0,1,1))+OFFSET(Setup!$E$20,MATCH($AX103,TaxBracket1,1),0,1,1)-$AI103-$AK103))))</f>
        <v>0</v>
      </c>
      <c r="BB103" s="148">
        <f t="shared" ca="1" si="53"/>
        <v>0</v>
      </c>
      <c r="BC103" s="150">
        <f t="shared" ca="1" si="45"/>
        <v>0</v>
      </c>
      <c r="BD103" s="150">
        <f t="shared" ca="1" si="46"/>
        <v>0</v>
      </c>
      <c r="BE103" s="148">
        <f t="shared" ca="1" si="47"/>
        <v>0</v>
      </c>
    </row>
    <row r="104" spans="1:57" ht="16.149999999999999" customHeight="1" x14ac:dyDescent="0.25">
      <c r="A104" s="10" t="str" cm="1">
        <f t="array" aca="1" ref="A104" ca="1">IF(ROW($A104)-ROW($A$6)&gt;EmpCount*12,"-",TEXT($B104,"yyyy")&amp;TEXT($B104,"mm")&amp;"-"&amp;$C104)</f>
        <v>202309-EXS008</v>
      </c>
      <c r="B104" s="137" cm="1">
        <f t="array" aca="1" ref="B104" ca="1">IF(ROW($A104)-ROW($A$6)&gt;EmpCount*12,Setup!$D$12,DATE(YEAR(Setup!$F$12),MONTH(Setup!$F$12)+ROUNDDOWN((ROW($A104)-ROW($A$6)-1)/EmpCount,0),IF(Setup!$C$14&gt;DAY(DATE(YEAR(Setup!$F$12),MONTH(Setup!$F$12)+ROUNDDOWN((ROW($A104)-ROW($A$6)-1)/EmpCount,0)+1,0)),DAY(DATE(YEAR(Setup!$F$12),MONTH(Setup!$F$12)+ROUNDDOWN((ROW($A104)-ROW($A$6)-1)/EmpCount,0)+1,0)),Setup!$C$14)))</f>
        <v>45194</v>
      </c>
      <c r="C104" s="101" t="str" cm="1">
        <f t="array" aca="1" ref="C104" ca="1">IF(ROW($A104)-ROW($A$6)&gt;EmpCount*12,"-",OFFSET(Emp!$A$4,ROW($A104)-ROW($A$6)-IF(ROW($A104)-ROW($A$6)&gt;EmpCount,ROUNDDOWN((ROW($A104)-ROW($A$6)-1)/EmpCount,0)*EmpCount,0),0,1,1))</f>
        <v>EXS008</v>
      </c>
      <c r="D104" s="10" t="str">
        <f ca="1">IF(ISNA(VLOOKUP($C104,EmpAll,COLUMN(Emp!$B$4),0)),"-",VLOOKUP($C104,EmpAll,COLUMN(Emp!$B$4),0))</f>
        <v>Matthews B</v>
      </c>
      <c r="E104" s="145" t="str">
        <f ca="1">IF(ISNA(VLOOKUP($C104,EmpAll,COLUMN(Emp!$C$4),0)),"-",VLOOKUP($C104,EmpAll,COLUMN(Emp!$C$4),0))</f>
        <v>A</v>
      </c>
      <c r="F104" s="101" t="str">
        <f ca="1">IF(ISNA(VLOOKUP($C104,EmpAll,COLUMN(Emp!$A$4),0)),"-",IF(AND(VLOOKUP($C104,EmpAll,COLUMN(Emp!$E$4),0)&lt;&gt;0,VLOOKUP($C104,EmpAll,COLUMN(Emp!$E$4),0)&gt;=DATE(YEAR($AC104),MONTH($AC104)+1,0)),"Inactive",IF(AND(VLOOKUP($C104,EmpAll,COLUMN(Emp!$F$4),0)&lt;&gt;0,VLOOKUP($C104,EmpAll,COLUMN(Emp!$F$4),0)&lt;=DATE(YEAR($AC104),MONTH($AC104),0)),"Terminated","Active")))</f>
        <v>Active</v>
      </c>
      <c r="G104" s="133" cm="1">
        <f t="array" aca="1" ref="G104" ca="1">IF($F104&lt;&gt;"Active",0,IF(COUNTIFS(OverEmp,$C104,OverEarn,G$2,OverDate,"&lt;"&amp;DATE(YEAR($AC104),MONTH($AC104)+1,1),OverEnd,"&gt;="&amp;DATE(YEAR($AC104),MONTH($AC104),1))&gt;0,SUMIFS(OverValue,OverEmp,$C104,OverEarn,G$2,OverDate,"&lt;"&amp;DATE(YEAR($AC104),MONTH($AC104)+1,1),OverEnd,"&gt;="&amp;DATE(YEAR($AC104),MONTH($AC104),1)),IF(AND($AC104&gt;=Setup!$E$10,SUMIFS(EmpIncrease,EmpCode,$C104)&gt;0),SUMIFS(EmpIncrease,EmpCode,$C104),SUMIFS(EmpSalary,EmpCode,$C104))))</f>
        <v>9000</v>
      </c>
      <c r="H104" s="133" cm="1">
        <f t="array" aca="1" ref="H104" ca="1">IF($F104&lt;&gt;"Active",0,IF(COUNTIFS(OverEmp,$C104,OverEarn,H$2,OverDate,"&lt;"&amp;DATE(YEAR($AC104),MONTH($AC104)+1,1),OverEnd,"&gt;="&amp;DATE(YEAR($AC104),MONTH($AC104),1))&gt;0,SUMIFS(OverValue,OverEmp,$C104,OverEarn,H$2,OverDate,"&lt;"&amp;DATE(YEAR($AC104),MONTH($AC104)+1,1),OverEnd,"&gt;="&amp;DATE(YEAR($AC104),MONTH($AC104),1)),0))</f>
        <v>0</v>
      </c>
      <c r="I104" s="133" cm="1">
        <f t="array" aca="1" ref="I104" ca="1">IF($F104&lt;&gt;"Active",0,IF(COUNTIFS(OverEmp,$C104,OverEarn,I$2,OverDate,"&lt;"&amp;DATE(YEAR($AC104),MONTH($AC104)+1,1),OverEnd,"&gt;="&amp;DATE(YEAR($AC104),MONTH($AC104),1))&gt;0,SUMIFS(OverValue,OverEmp,$C104,OverEarn,I$2,OverDate,"&lt;"&amp;DATE(YEAR($AC104),MONTH($AC104)+1,1),OverEnd,"&gt;="&amp;DATE(YEAR($AC104),MONTH($AC104),1)),IF(MONTH(B104)=Setup!$C$15,SUMIFS(EmpBonus,EmpCode,$C104),0)))</f>
        <v>0</v>
      </c>
      <c r="J104" s="133" cm="1">
        <f t="array" aca="1" ref="J104" ca="1">IF($F104&lt;&gt;"Active",0,IF(COUNTIFS(OverEmp,$C104,OverEarn,J$2,OverDate,"&lt;"&amp;DATE(YEAR($AC104),MONTH($AC104)+1,1),OverEnd,"&gt;="&amp;DATE(YEAR($AC104),MONTH($AC104),1))&gt;0,SUMIFS(OverValue,OverEmp,$C104,OverEarn,J$2,OverDate,"&lt;"&amp;DATE(YEAR($AC104),MONTH($AC104)+1,1),OverEnd,"&gt;="&amp;DATE(YEAR($AC104),MONTH($AC104),1)),0))</f>
        <v>0</v>
      </c>
      <c r="K104" s="133" cm="1">
        <f t="array" aca="1" ref="K104" ca="1">IF($F104&lt;&gt;"Active",0,IF(COUNTIFS(OverEmp,$C104,OverEarn,K$2,OverDate,"&lt;"&amp;DATE(YEAR($AC104),MONTH($AC104)+1,1),OverEnd,"&gt;="&amp;DATE(YEAR($AC104),MONTH($AC104),1))&gt;0,SUMIFS(OverValue,OverEmp,$C104,OverEarn,K$2,OverDate,"&lt;"&amp;DATE(YEAR($AC104),MONTH($AC104)+1,1),OverEnd,"&gt;="&amp;DATE(YEAR($AC104),MONTH($AC104),1)),0))</f>
        <v>0</v>
      </c>
      <c r="L104" s="185">
        <f t="shared" ca="1" si="54"/>
        <v>9000</v>
      </c>
      <c r="M104" s="182" cm="1">
        <f t="array" aca="1" ref="M104" ca="1">IF(COUNTIFS(OverEmp,$C104,OverTax,M$5,OverDate,"&lt;"&amp;DATE(YEAR($AC104),MONTH($AC104)+1,1),OverEnd,"&gt;="&amp;DATE(YEAR($AC104),MONTH($AC104),1))&gt;0,SUMIFS(OverValue,OverEmp,$C104,OverTax,M$5,OverDate,"&lt;"&amp;DATE(YEAR($AC104),MONTH($AC104)+1,1),OverEnd,"&gt;="&amp;DATE(YEAR($AC104),MONTH($AC104),1)),(($BA104/12*$AA104)+(BB104*IF(1-$BC104=0,0,BD104/(1-$BC104))))-IF($F104="Terminated",0,SUMIFS(PayTaxDeduct,PayDate,"&lt;"&amp;$AC104,PayEmp,$C104)))</f>
        <v>183.75</v>
      </c>
      <c r="N104" s="133" cm="1">
        <f t="array" aca="1" ref="N104" ca="1">IF($F104="Terminated",0,IF($AA104=0,0,IF(ISNA(MATCH(N$5,DedListItem,0)),0,IF(COUNTIFS(OverEmp,$C104,OverDeduct,N$5,OverDate,"&lt;"&amp;DATE(YEAR($AC104),MONTH($AC104)+1,1),OverEnd,"&gt;="&amp;DATE(YEAR($AC104),MONTH($AC104),1))&gt;0,SUMIFS(OverValue,OverEmp,$C104,OverDeduct,N$5,OverDate,"&lt;"&amp;DATE(YEAR($AC104),MONTH($AC104)+1,1),OverEnd,"&gt;="&amp;DATE(YEAR($AC104),MONTH($AC104),1)),IF(OR(N$2="Fixed",N$2="Not Used"),(IF(COUNTIFS(EmpNo,$C104,OFFSET(Emp!$R$4,1,MATCH(N$5,DedListItem,0)-1,EmpCount,1),"&lt;&gt;")&gt;0,VLOOKUP($C104,EmpAll,COLUMN(Emp!$R$4)+MATCH(N$5,DedListItem,0)-1,0),OFFSET(Setup!$E$73,MATCH(N$5,DedListItem,0),0,1,1))*$AA104)-SUMIFS(OFFSET(N$6,1,0,PayCount,1),PayDate,"&lt;"&amp;$AC104,PayEmp,$C104),IF(ISNA(MATCH(N$2,EarnListItem,0))=FALSE,IF(OFFSET(Setup!$G$73,MATCH(N$5,DedListItem,0),0,1,1)="Taxable",SUMPRODUCT((PayEmp=$C104)*(PayDate&lt;=$AC104)*(PayEarnCode=N$2)*(PayEarnTax)*(PayEarnValues)),SUMPRODUCT((PayEmp=$C104)*(PayDate&lt;=$AC104)*(PayEarnCode=N$2)*(PayEarnValues)))*IF(COUNTIFS(EmpNo,$C104,OFFSET(Emp!$R$4,1,MATCH(N$5,DedListItem,0)-1,EmpCount,1),"&lt;&gt;")&gt;0,VLOOKUP($C104,EmpAll,COLUMN(Emp!$R$4)+MATCH(N$5,DedListItem,0)-1,0),OFFSET(Setup!$E$73,MATCH(N$5,DedListItem,0),0,1,1)),(MIN(IF(OFFSET(Setup!$G$73,MATCH(N$5,DedListItem,0),0,1,1)="Taxable",SUMPRODUCT((PayEmp=$C104)*(PayDate&lt;=$AC104)*(ISERROR(SEARCH(PayEarnCode,N$4)))*(PayEarnTax)*(PayEarnValues)),SUMPRODUCT((PayEmp=$C104)*(PayDate&lt;=$AC104)*(ISERROR(SEARCH(PayEarnCode,N$4)))*(PayEarnValues))),IF(ISNUMBER(N$3),N$3/12*$AA104,IgnoreMin)))*IF(COUNTIFS(EmpNo,$C104,OFFSET(Emp!$R$4,1,MATCH(N$5,DedListItem,0)-1,EmpCount,1),"&lt;&gt;")&gt;0,VLOOKUP($C104,EmpAll,COLUMN(Emp!$R$4)+MATCH(N$5,DedListItem,0)-1,0),OFFSET(Setup!$E$73,MATCH(N$5,DedListItem,0),0,1,1)))-SUMIFS(OFFSET(N$6,1,0,PayCount,1),PayDate,"&lt;"&amp;$AC104,PayEmp,$C104))))))</f>
        <v>90</v>
      </c>
      <c r="O104" s="133" cm="1">
        <f t="array" aca="1" ref="O104" ca="1">IF($F104="Terminated",0,IF($AA104=0,0,IF(ISNA(MATCH(O$5,DedListItem,0)),0,IF(COUNTIFS(OverEmp,$C104,OverDeduct,O$5,OverDate,"&lt;"&amp;DATE(YEAR($AC104),MONTH($AC104)+1,1),OverEnd,"&gt;="&amp;DATE(YEAR($AC104),MONTH($AC104),1))&gt;0,SUMIFS(OverValue,OverEmp,$C104,OverDeduct,O$5,OverDate,"&lt;"&amp;DATE(YEAR($AC104),MONTH($AC104)+1,1),OverEnd,"&gt;="&amp;DATE(YEAR($AC104),MONTH($AC104),1)),IF(OR(O$2="Fixed",O$2="Not Used"),(IF(COUNTIFS(EmpNo,$C104,OFFSET(Emp!$R$4,1,MATCH(O$5,DedListItem,0)-1,EmpCount,1),"&lt;&gt;")&gt;0,VLOOKUP($C104,EmpAll,COLUMN(Emp!$R$4)+MATCH(O$5,DedListItem,0)-1,0),OFFSET(Setup!$E$73,MATCH(O$5,DedListItem,0),0,1,1))*$AA104)-SUMIFS(OFFSET(O$6,1,0,PayCount,1),PayDate,"&lt;"&amp;$AC104,PayEmp,$C104),IF(ISNA(MATCH(O$2,EarnListItem,0))=FALSE,IF(OFFSET(Setup!$G$73,MATCH(O$5,DedListItem,0),0,1,1)="Taxable",SUMPRODUCT((PayEmp=$C104)*(PayDate&lt;=$AC104)*(PayEarnCode=O$2)*(PayEarnTax)*(PayEarnValues)),SUMPRODUCT((PayEmp=$C104)*(PayDate&lt;=$AC104)*(PayEarnCode=O$2)*(PayEarnValues)))*IF(COUNTIFS(EmpNo,$C104,OFFSET(Emp!$R$4,1,MATCH(O$5,DedListItem,0)-1,EmpCount,1),"&lt;&gt;")&gt;0,VLOOKUP($C104,EmpAll,COLUMN(Emp!$R$4)+MATCH(O$5,DedListItem,0)-1,0),OFFSET(Setup!$E$73,MATCH(O$5,DedListItem,0),0,1,1)),(MIN(IF(OFFSET(Setup!$G$73,MATCH(O$5,DedListItem,0),0,1,1)="Taxable",SUMPRODUCT((PayEmp=$C104)*(PayDate&lt;=$AC104)*(ISERROR(SEARCH(PayEarnCode,O$4)))*(PayEarnTax)*(PayEarnValues)),SUMPRODUCT((PayEmp=$C104)*(PayDate&lt;=$AC104)*(ISERROR(SEARCH(PayEarnCode,O$4)))*(PayEarnValues))),IF(ISNUMBER(O$3),O$3/12*$AA104,IgnoreMin)))*IF(COUNTIFS(EmpNo,$C104,OFFSET(Emp!$R$4,1,MATCH(O$5,DedListItem,0)-1,EmpCount,1),"&lt;&gt;")&gt;0,VLOOKUP($C104,EmpAll,COLUMN(Emp!$R$4)+MATCH(O$5,DedListItem,0)-1,0),OFFSET(Setup!$E$73,MATCH(O$5,DedListItem,0),0,1,1)))-SUMIFS(OFFSET(O$6,1,0,PayCount,1),PayDate,"&lt;"&amp;$AC104,PayEmp,$C104))))))</f>
        <v>0</v>
      </c>
      <c r="P104" s="133" cm="1">
        <f t="array" aca="1" ref="P104" ca="1">IF($F104="Terminated",0,IF($AA104=0,0,IF(ISNA(MATCH(P$5,DedListItem,0)),0,IF(COUNTIFS(OverEmp,$C104,OverDeduct,P$5,OverDate,"&lt;"&amp;DATE(YEAR($AC104),MONTH($AC104)+1,1),OverEnd,"&gt;="&amp;DATE(YEAR($AC104),MONTH($AC104),1))&gt;0,SUMIFS(OverValue,OverEmp,$C104,OverDeduct,P$5,OverDate,"&lt;"&amp;DATE(YEAR($AC104),MONTH($AC104)+1,1),OverEnd,"&gt;="&amp;DATE(YEAR($AC104),MONTH($AC104),1)),IF(OR(P$2="Fixed",P$2="Not Used"),(IF(COUNTIFS(EmpNo,$C104,OFFSET(Emp!$R$4,1,MATCH(P$5,DedListItem,0)-1,EmpCount,1),"&lt;&gt;")&gt;0,VLOOKUP($C104,EmpAll,COLUMN(Emp!$R$4)+MATCH(P$5,DedListItem,0)-1,0),OFFSET(Setup!$E$73,MATCH(P$5,DedListItem,0),0,1,1))*$AA104)-SUMIFS(OFFSET(P$6,1,0,PayCount,1),PayDate,"&lt;"&amp;$AC104,PayEmp,$C104),IF(ISNA(MATCH(P$2,EarnListItem,0))=FALSE,IF(OFFSET(Setup!$G$73,MATCH(P$5,DedListItem,0),0,1,1)="Taxable",SUMPRODUCT((PayEmp=$C104)*(PayDate&lt;=$AC104)*(PayEarnCode=P$2)*(PayEarnTax)*(PayEarnValues)),SUMPRODUCT((PayEmp=$C104)*(PayDate&lt;=$AC104)*(PayEarnCode=P$2)*(PayEarnValues)))*IF(COUNTIFS(EmpNo,$C104,OFFSET(Emp!$R$4,1,MATCH(P$5,DedListItem,0)-1,EmpCount,1),"&lt;&gt;")&gt;0,VLOOKUP($C104,EmpAll,COLUMN(Emp!$R$4)+MATCH(P$5,DedListItem,0)-1,0),OFFSET(Setup!$E$73,MATCH(P$5,DedListItem,0),0,1,1)),(MIN(IF(OFFSET(Setup!$G$73,MATCH(P$5,DedListItem,0),0,1,1)="Taxable",SUMPRODUCT((PayEmp=$C104)*(PayDate&lt;=$AC104)*(ISERROR(SEARCH(PayEarnCode,P$4)))*(PayEarnTax)*(PayEarnValues)),SUMPRODUCT((PayEmp=$C104)*(PayDate&lt;=$AC104)*(ISERROR(SEARCH(PayEarnCode,P$4)))*(PayEarnValues))),IF(ISNUMBER(P$3),P$3/12*$AA104,IgnoreMin)))*IF(COUNTIFS(EmpNo,$C104,OFFSET(Emp!$R$4,1,MATCH(P$5,DedListItem,0)-1,EmpCount,1),"&lt;&gt;")&gt;0,VLOOKUP($C104,EmpAll,COLUMN(Emp!$R$4)+MATCH(P$5,DedListItem,0)-1,0),OFFSET(Setup!$E$73,MATCH(P$5,DedListItem,0),0,1,1)))-SUMIFS(OFFSET(P$6,1,0,PayCount,1),PayDate,"&lt;"&amp;$AC104,PayEmp,$C104))))))</f>
        <v>0</v>
      </c>
      <c r="Q104" s="133" cm="1">
        <f t="array" aca="1" ref="Q104" ca="1">IF($F104="Terminated",0,IF($AA104=0,0,IF(ISNA(MATCH(Q$5,DedListItem,0)),0,IF(COUNTIFS(OverEmp,$C104,OverDeduct,Q$5,OverDate,"&lt;"&amp;DATE(YEAR($AC104),MONTH($AC104)+1,1),OverEnd,"&gt;="&amp;DATE(YEAR($AC104),MONTH($AC104),1))&gt;0,SUMIFS(OverValue,OverEmp,$C104,OverDeduct,Q$5,OverDate,"&lt;"&amp;DATE(YEAR($AC104),MONTH($AC104)+1,1),OverEnd,"&gt;="&amp;DATE(YEAR($AC104),MONTH($AC104),1)),IF(OR(Q$2="Fixed",Q$2="Not Used"),(IF(COUNTIFS(EmpNo,$C104,OFFSET(Emp!$R$4,1,MATCH(Q$5,DedListItem,0)-1,EmpCount,1),"&lt;&gt;")&gt;0,VLOOKUP($C104,EmpAll,COLUMN(Emp!$R$4)+MATCH(Q$5,DedListItem,0)-1,0),OFFSET(Setup!$E$73,MATCH(Q$5,DedListItem,0),0,1,1))*$AA104)-SUMIFS(OFFSET(Q$6,1,0,PayCount,1),PayDate,"&lt;"&amp;$AC104,PayEmp,$C104),IF(ISNA(MATCH(Q$2,EarnListItem,0))=FALSE,IF(OFFSET(Setup!$G$73,MATCH(Q$5,DedListItem,0),0,1,1)="Taxable",SUMPRODUCT((PayEmp=$C104)*(PayDate&lt;=$AC104)*(PayEarnCode=Q$2)*(PayEarnTax)*(PayEarnValues)),SUMPRODUCT((PayEmp=$C104)*(PayDate&lt;=$AC104)*(PayEarnCode=Q$2)*(PayEarnValues)))*IF(COUNTIFS(EmpNo,$C104,OFFSET(Emp!$R$4,1,MATCH(Q$5,DedListItem,0)-1,EmpCount,1),"&lt;&gt;")&gt;0,VLOOKUP($C104,EmpAll,COLUMN(Emp!$R$4)+MATCH(Q$5,DedListItem,0)-1,0),OFFSET(Setup!$E$73,MATCH(Q$5,DedListItem,0),0,1,1)),(MIN(IF(OFFSET(Setup!$G$73,MATCH(Q$5,DedListItem,0),0,1,1)="Taxable",SUMPRODUCT((PayEmp=$C104)*(PayDate&lt;=$AC104)*(ISERROR(SEARCH(PayEarnCode,Q$4)))*(PayEarnTax)*(PayEarnValues)),SUMPRODUCT((PayEmp=$C104)*(PayDate&lt;=$AC104)*(ISERROR(SEARCH(PayEarnCode,Q$4)))*(PayEarnValues))),IF(ISNUMBER(Q$3),Q$3/12*$AA104,IgnoreMin)))*IF(COUNTIFS(EmpNo,$C104,OFFSET(Emp!$R$4,1,MATCH(Q$5,DedListItem,0)-1,EmpCount,1),"&lt;&gt;")&gt;0,VLOOKUP($C104,EmpAll,COLUMN(Emp!$R$4)+MATCH(Q$5,DedListItem,0)-1,0),OFFSET(Setup!$E$73,MATCH(Q$5,DedListItem,0),0,1,1)))-SUMIFS(OFFSET(Q$6,1,0,PayCount,1),PayDate,"&lt;"&amp;$AC104,PayEmp,$C104))))))</f>
        <v>0</v>
      </c>
      <c r="R104" s="185">
        <f t="shared" ca="1" si="55"/>
        <v>273.75</v>
      </c>
      <c r="S104" s="139">
        <f t="shared" ca="1" si="56"/>
        <v>8726.25</v>
      </c>
      <c r="T104" s="133" cm="1">
        <f t="array" aca="1" ref="T104" ca="1">IF($F104="Terminated",0,IF($AA104=0,0,IF(ISNA(MATCH(T$5,CompListItem,0)),0,IF(COUNTIFS(OverEmp,$C104,OverComp,T$5,OverDate,"&lt;"&amp;DATE(YEAR($AC104),MONTH($AC104)+1,1),OverEnd,"&gt;="&amp;DATE(YEAR($AC104),MONTH($AC104),1))&gt;0,SUMIFS(OverValue,OverEmp,$C104,OverComp,T$5,OverDate,"&lt;"&amp;DATE(YEAR($AC104),MONTH($AC104)+1,1),OverEnd,"&gt;="&amp;DATE(YEAR($AC104),MONTH($AC104),1)),IF(OR(T$2="Fixed",T$2="Not Used"),(OFFSET(Setup!$E$81,MATCH(T$5,CompListItem,0),0,1,1)*$AA104)-SUMIFS(OFFSET(T$6,1,0,PayCount,1),PayDate,"&lt;"&amp;$AC104,PayEmp,$C104),IF(ISNA(MATCH(T$2,DedListItem,0))=FALSE,(SUMPRODUCT((PayEmp=$C104)*(PayDate&lt;=$AC104)*(PayDedList=T$2)*(PayDedValues))*OFFSET(Setup!$E$81,MATCH(T$5,CompListItem,0),0,1,1))-SUMIFS(OFFSET(T$6,1,0,PayCount,1),PayDate,"&lt;"&amp;$AC104,PayEmp,$C104),(MIN(IF(OFFSET(Setup!$G$81,MATCH(T$5,CompListItem,0),0,1,1)="Taxable",SUMPRODUCT((PayEmp=$C104)*(PayDate&lt;=$AC104)*(ISERROR(SEARCH(PayEarnCode,T$4)))*(PayEarnTax)*(PayEarnValues)),SUMPRODUCT((PayEmp=$C104)*(PayDate&lt;=$AC104)*(ISERROR(SEARCH(PayEarnCode,T$4)))*(PayEarnValues))),IF(ISNUMBER(T$3),T$3/12*$AA104,IgnoreMin)))*OFFSET(Setup!$E$81,MATCH(T$5,CompListItem,0),0,1,1)-SUMIFS(OFFSET(T$6,1,0,PayCount,1),PayDate,"&lt;"&amp;$AC104,PayEmp,$C104)))))))</f>
        <v>90</v>
      </c>
      <c r="U104" s="133" cm="1">
        <f t="array" aca="1" ref="U104" ca="1">IF($F104="Terminated",0,IF($AA104=0,0,IF(ISNA(MATCH(U$5,CompListItem,0)),0,IF(COUNTIFS(OverEmp,$C104,OverComp,U$5,OverDate,"&lt;"&amp;DATE(YEAR($AC104),MONTH($AC104)+1,1),OverEnd,"&gt;="&amp;DATE(YEAR($AC104),MONTH($AC104),1))&gt;0,SUMIFS(OverValue,OverEmp,$C104,OverComp,U$5,OverDate,"&lt;"&amp;DATE(YEAR($AC104),MONTH($AC104)+1,1),OverEnd,"&gt;="&amp;DATE(YEAR($AC104),MONTH($AC104),1)),IF(OR(U$2="Fixed",U$2="Not Used"),(OFFSET(Setup!$E$81,MATCH(U$5,CompListItem,0),0,1,1)*$AA104)-SUMIFS(OFFSET(U$6,1,0,PayCount,1),PayDate,"&lt;"&amp;$AC104,PayEmp,$C104),IF(ISNA(MATCH(U$2,DedListItem,0))=FALSE,(SUMPRODUCT((PayEmp=$C104)*(PayDate&lt;=$AC104)*(PayDedList=U$2)*(PayDedValues))*OFFSET(Setup!$E$81,MATCH(U$5,CompListItem,0),0,1,1))-SUMIFS(OFFSET(U$6,1,0,PayCount,1),PayDate,"&lt;"&amp;$AC104,PayEmp,$C104),(MIN(IF(OFFSET(Setup!$G$81,MATCH(U$5,CompListItem,0),0,1,1)="Taxable",SUMPRODUCT((PayEmp=$C104)*(PayDate&lt;=$AC104)*(ISERROR(SEARCH(PayEarnCode,U$4)))*(PayEarnTax)*(PayEarnValues)),SUMPRODUCT((PayEmp=$C104)*(PayDate&lt;=$AC104)*(ISERROR(SEARCH(PayEarnCode,U$4)))*(PayEarnValues))),IF(ISNUMBER(U$3),U$3/12*$AA104,IgnoreMin)))*OFFSET(Setup!$E$81,MATCH(U$5,CompListItem,0),0,1,1)-SUMIFS(OFFSET(U$6,1,0,PayCount,1),PayDate,"&lt;"&amp;$AC104,PayEmp,$C104)))))))</f>
        <v>90</v>
      </c>
      <c r="V104" s="133" cm="1">
        <f t="array" aca="1" ref="V104" ca="1">IF($F104="Terminated",0,IF($AA104=0,0,IF(ISNA(MATCH(V$5,CompListItem,0)),0,IF(COUNTIFS(OverEmp,$C104,OverComp,V$5,OverDate,"&lt;"&amp;DATE(YEAR($AC104),MONTH($AC104)+1,1),OverEnd,"&gt;="&amp;DATE(YEAR($AC104),MONTH($AC104),1))&gt;0,SUMIFS(OverValue,OverEmp,$C104,OverComp,V$5,OverDate,"&lt;"&amp;DATE(YEAR($AC104),MONTH($AC104)+1,1),OverEnd,"&gt;="&amp;DATE(YEAR($AC104),MONTH($AC104),1)),IF(OR(V$2="Fixed",V$2="Not Used"),(OFFSET(Setup!$E$81,MATCH(V$5,CompListItem,0),0,1,1)*$AA104)-SUMIFS(OFFSET(V$6,1,0,PayCount,1),PayDate,"&lt;"&amp;$AC104,PayEmp,$C104),IF(ISNA(MATCH(V$2,DedListItem,0))=FALSE,(SUMPRODUCT((PayEmp=$C104)*(PayDate&lt;=$AC104)*(PayDedList=V$2)*(PayDedValues))*OFFSET(Setup!$E$81,MATCH(V$5,CompListItem,0),0,1,1))-SUMIFS(OFFSET(V$6,1,0,PayCount,1),PayDate,"&lt;"&amp;$AC104,PayEmp,$C104),(MIN(IF(OFFSET(Setup!$G$81,MATCH(V$5,CompListItem,0),0,1,1)="Taxable",SUMPRODUCT((PayEmp=$C104)*(PayDate&lt;=$AC104)*(ISERROR(SEARCH(PayEarnCode,V$4)))*(PayEarnTax)*(PayEarnValues)),SUMPRODUCT((PayEmp=$C104)*(PayDate&lt;=$AC104)*(ISERROR(SEARCH(PayEarnCode,V$4)))*(PayEarnValues))),IF(ISNUMBER(V$3),V$3/12*$AA104,IgnoreMin)))*OFFSET(Setup!$E$81,MATCH(V$5,CompListItem,0),0,1,1)-SUMIFS(OFFSET(V$6,1,0,PayCount,1),PayDate,"&lt;"&amp;$AC104,PayEmp,$C104)))))))</f>
        <v>0</v>
      </c>
      <c r="W104" s="133" cm="1">
        <f t="array" aca="1" ref="W104" ca="1">IF($F104="Terminated",0,IF($AA104=0,0,IF(ISNA(MATCH(W$5,CompListItem,0)),0,IF(COUNTIFS(OverEmp,$C104,OverComp,W$5,OverDate,"&lt;"&amp;DATE(YEAR($AC104),MONTH($AC104)+1,1),OverEnd,"&gt;="&amp;DATE(YEAR($AC104),MONTH($AC104),1))&gt;0,SUMIFS(OverValue,OverEmp,$C104,OverComp,W$5,OverDate,"&lt;"&amp;DATE(YEAR($AC104),MONTH($AC104)+1,1),OverEnd,"&gt;="&amp;DATE(YEAR($AC104),MONTH($AC104),1)),IF(OR(W$2="Fixed",W$2="Not Used"),(OFFSET(Setup!$E$81,MATCH(W$5,CompListItem,0),0,1,1)*$AA104)-SUMIFS(OFFSET(W$6,1,0,PayCount,1),PayDate,"&lt;"&amp;$AC104,PayEmp,$C104),IF(ISNA(MATCH(W$2,DedListItem,0))=FALSE,(SUMPRODUCT((PayEmp=$C104)*(PayDate&lt;=$AC104)*(PayDedList=W$2)*(PayDedValues))*OFFSET(Setup!$E$81,MATCH(W$5,CompListItem,0),0,1,1))-SUMIFS(OFFSET(W$6,1,0,PayCount,1),PayDate,"&lt;"&amp;$AC104,PayEmp,$C104),(MIN(IF(OFFSET(Setup!$G$81,MATCH(W$5,CompListItem,0),0,1,1)="Taxable",SUMPRODUCT((PayEmp=$C104)*(PayDate&lt;=$AC104)*(ISERROR(SEARCH(PayEarnCode,W$4)))*(PayEarnTax)*(PayEarnValues)),SUMPRODUCT((PayEmp=$C104)*(PayDate&lt;=$AC104)*(ISERROR(SEARCH(PayEarnCode,W$4)))*(PayEarnValues))),IF(ISNUMBER(W$3),W$3/12*$AA104,IgnoreMin)))*OFFSET(Setup!$E$81,MATCH(W$5,CompListItem,0),0,1,1)-SUMIFS(OFFSET(W$6,1,0,PayCount,1),PayDate,"&lt;"&amp;$AC104,PayEmp,$C104)))))))</f>
        <v>0</v>
      </c>
      <c r="X104" s="185">
        <f t="shared" ca="1" si="48"/>
        <v>180</v>
      </c>
      <c r="Y104" s="139">
        <f t="shared" ca="1" si="57"/>
        <v>9180</v>
      </c>
      <c r="Z104" s="139">
        <f t="shared" ca="1" si="49"/>
        <v>453.75</v>
      </c>
      <c r="AA104" s="146">
        <f ca="1">IF(OR($B104&lt;=Setup!$E$12,$B104&gt;=Setup!$D$12+1),0,IF($F104&lt;&gt;"Active",0,IF($AE104="Yes",$AB104,((YEAR($AC104)*12)+MONTH($AC104))-((YEAR($AD104)*12)+MONTH($AD104)-1))))</f>
        <v>7</v>
      </c>
      <c r="AB104" s="146">
        <f ca="1">IF(OR($B104&lt;=Setup!$E$12,$B104&gt;=Setup!$D$12+1),0,((YEAR($AC104)*12)+MONTH($AC104))-((YEAR(Setup!$E$12)*12)+MONTH(Setup!$E$12)))</f>
        <v>7</v>
      </c>
      <c r="AC104" s="186">
        <f t="shared" ca="1" si="50"/>
        <v>45194</v>
      </c>
      <c r="AD104" s="144">
        <f ca="1">IF(ISNA(VLOOKUP($C104,EmpAll,COLUMN(Emp!$E$4),0)),$AC104,IF(VLOOKUP($C104,EmpAll,COLUMN(Emp!$E$4),0)&lt;=Setup!$E$12,DATE(YEAR(Setup!$E$12),MONTH(Setup!$E$12)+1,1),VLOOKUP($C104,EmpAll,COLUMN(Emp!$E$4),0)))</f>
        <v>44986</v>
      </c>
      <c r="AE104" s="144" t="str">
        <f ca="1">IF(ISNA(VLOOKUP($C104,EmpAll,COLUMN(Emp!$G$1),0)),"-",IF(VLOOKUP($C104,EmpAll,COLUMN(Emp!$G$1),0)=0,"-",VLOOKUP($C104,EmpAll,COLUMN(Emp!$G$1),0)))</f>
        <v>-</v>
      </c>
      <c r="AF104" s="145">
        <f ca="1">IF(A104=PaySlip!$G$3,1,0)</f>
        <v>0</v>
      </c>
      <c r="AG104" s="130" cm="1">
        <f t="array" aca="1" ref="AG104" ca="1">IF(COUNTIFS(OverEmp,$C104,OverMed,"MED",OverDate,"&lt;"&amp;DATE(YEAR($AC104),MONTH($AC104)+1,1),OverEnd,"&gt;="&amp;DATE(YEAR($AC104),MONTH($AC104),1))&gt;0,SUMIFS(OverValue,OverEmp,$C104,OverMed,"MED",OverDate,"&lt;"&amp;DATE(YEAR($AC104),MONTH($AC104)+1,1),OverEnd,"&gt;="&amp;DATE(YEAR($AC104),MONTH($AC104),1)),IF(ISNA(VLOOKUP($C104,EmpAll,COLUMN(Emp!$N$4),0)),0,VLOOKUP($C104,EmpAll,COLUMN(Emp!$N$4),0)))</f>
        <v>0</v>
      </c>
      <c r="AH104" s="146">
        <f ca="1">VLOOKUP($AG104,MedList,COLUMN(Setup!$C$49),1)</f>
        <v>0</v>
      </c>
      <c r="AI104" s="146">
        <f t="shared" ca="1" si="40"/>
        <v>0</v>
      </c>
      <c r="AJ104" s="101" t="str">
        <f ca="1">IF(ISNA(VLOOKUP($C104,EmpAll,COLUMN(Emp!$L$4),0)),"None!",VLOOKUP($C104,EmpAll,COLUMN(Emp!$L$4),0))</f>
        <v>A</v>
      </c>
      <c r="AK104" s="147">
        <f t="shared" ca="1" si="51"/>
        <v>17235</v>
      </c>
      <c r="AL104" s="101" t="str">
        <f ca="1">IF(ISNA(VLOOKUP($C104,Employees[],COLUMN(Emp!$M$4),0))=TRUE,"Error!",IF(VLOOKUP($C104,Employees[],COLUMN(Emp!$M$4),0)=0,"Yes",VLOOKUP($C104,Employees[],COLUMN(Emp!$M$4),0)))</f>
        <v>A</v>
      </c>
      <c r="AM104" s="148">
        <f t="shared" ca="1" si="41"/>
        <v>108000</v>
      </c>
      <c r="AN104" s="148" cm="1">
        <f t="array" aca="1" ref="AN104" ca="1">-IF($F104="Terminated",0,IF($AA104=0,0,IF(ISNA(MATCH(AN$5,PayDedList,0)),0,MIN(IF(COUNTIFS(OverEmp,$C104,OverDeduct,AN$5,OverDate,"&lt;"&amp;DATE(YEAR($AC104),MONTH($AC104)+1,1),OverEnd,"&gt;="&amp;DATE(YEAR($AC104),MONTH($AC104),1))&gt;0,SUMPRODUCT((PayEmp=$C104)*(PayDate&lt;=$AC104)*(OFFSET($N$6,1,MATCH(AN$5,PayDedList,0)-1,PayCount,1)))/$AA104*12*AN$3,IF(OR(AN$1="Fixed",AN$1="Not Used"),SUMPRODUCT((PayEmp=$C104)*(PayDate&lt;=$AC104)*(OFFSET($N$6,1,MATCH(AN$5,PayDedList,0)-1,PayCount,1)))/$AA104*12*AN$3,IF(ISNA(MATCH(AN$1,EarnListItem,0))=FALSE,SUMPRODUCT((PayEmp=$C104)*(PayDate&lt;=$AC104)*(OFFSET($N$6,1,MATCH(AN$5,PayDedList,0)-1,PayCount,1)))/$AA104*12*AN$3,(MIN(((SUMPRODUCT((PayEmp=$C104)*(PayDate&lt;=$AC104)*(ISERROR(SEARCH(PayEarnCode,AN$2)))*(PayEarnType="Monthly")*(PayEarnValues))/$AA104*12)+(SUMPRODUCT((PayEmp=$C104)*(PayDate&lt;=$AC104)*(ISERROR(SEARCH(PayEarnCode,AN$2)))*(PayEarnType="Quarterly")*(PayEarnValues))/MAX(1,ROUNDDOWN($AB104/3,0))*4)+(SUMPRODUCT((PayEmp=$C104)*(PayDate&lt;=$AC104)*(ISERROR(SEARCH(PayEarnCode,AN$2)))*(PayEarnType="Bi-Annual")*(PayEarnValues))/MAX(1,ROUNDDOWN($AB104/6,0))*2)+(SUMPRODUCT((PayEmp=$C104)*(PayDate&lt;=$AC104)*(ISERROR(SEARCH(PayEarnCode,AN$2)))*(PayEarnType="Annual")*(PayEarnValues)))),IF(ISNUMBER(OFFSET($N$3,0,MATCH(AN$5,PayDedList,0)-1,1,1)),OFFSET($N$3,0,MATCH(AN$5,PayDedList,0)-1,1,1),IgnoreMin)))*IF(COUNTIFS(EmpNo,$C104,OFFSET(Emp!$R$4,1,MATCH(AN$5,DedListItem,0)-1,EmpCount,1),"&lt;&gt;")&gt;0,VLOOKUP($C104,EmpAll,COLUMN(Emp!$R$4)+MATCH(AN$5,DedListItem,0)-1,0),OFFSET(Setup!$E$73,MATCH(AN$5,DedListItem,0),0,1,1))*AN$3))),IF(ISNUMBER(AN$4),AN$4,IgnoreMin)))))</f>
        <v>0</v>
      </c>
      <c r="AO104" s="148" cm="1">
        <f t="array" aca="1" ref="AO104" ca="1">-IF($F104="Terminated",0,IF($AA104=0,0,IF(ISNA(MATCH(AO$5,PayDedList,0)),0,MIN(IF(COUNTIFS(OverEmp,$C104,OverDeduct,AO$5,OverDate,"&lt;"&amp;DATE(YEAR($AC104),MONTH($AC104)+1,1),OverEnd,"&gt;="&amp;DATE(YEAR($AC104),MONTH($AC104),1))&gt;0,SUMPRODUCT((PayEmp=$C104)*(PayDate&lt;=$AC104)*(OFFSET($N$6,1,MATCH(AO$5,PayDedList,0)-1,PayCount,1)))/$AA104*12*AO$3,IF(OR(AO$1="Fixed",AO$1="Not Used"),SUMPRODUCT((PayEmp=$C104)*(PayDate&lt;=$AC104)*(OFFSET($N$6,1,MATCH(AO$5,PayDedList,0)-1,PayCount,1)))/$AA104*12*AO$3,IF(ISNA(MATCH(AO$1,EarnListItem,0))=FALSE,SUMPRODUCT((PayEmp=$C104)*(PayDate&lt;=$AC104)*(OFFSET($N$6,1,MATCH(AO$5,PayDedList,0)-1,PayCount,1)))/$AA104*12*AO$3,(MIN(((SUMPRODUCT((PayEmp=$C104)*(PayDate&lt;=$AC104)*(ISERROR(SEARCH(PayEarnCode,AO$2)))*(PayEarnType="Monthly")*(PayEarnValues))/$AA104*12)+(SUMPRODUCT((PayEmp=$C104)*(PayDate&lt;=$AC104)*(ISERROR(SEARCH(PayEarnCode,AO$2)))*(PayEarnType="Quarterly")*(PayEarnValues))/MAX(1,ROUNDDOWN($AB104/3,0))*4)+(SUMPRODUCT((PayEmp=$C104)*(PayDate&lt;=$AC104)*(ISERROR(SEARCH(PayEarnCode,AO$2)))*(PayEarnType="Bi-Annual")*(PayEarnValues))/MAX(1,ROUNDDOWN($AB104/6,0))*2)+(SUMPRODUCT((PayEmp=$C104)*(PayDate&lt;=$AC104)*(ISERROR(SEARCH(PayEarnCode,AO$2)))*(PayEarnType="Annual")*(PayEarnValues)))),IF(ISNUMBER(OFFSET($N$3,0,MATCH(AO$5,PayDedList,0)-1,1,1)),OFFSET($N$3,0,MATCH(AO$5,PayDedList,0)-1,1,1),IgnoreMin)))*IF(COUNTIFS(EmpNo,$C104,OFFSET(Emp!$R$4,1,MATCH(AO$5,DedListItem,0)-1,EmpCount,1),"&lt;&gt;")&gt;0,VLOOKUP($C104,EmpAll,COLUMN(Emp!$R$4)+MATCH(AO$5,DedListItem,0)-1,0),OFFSET(Setup!$E$73,MATCH(AO$5,DedListItem,0),0,1,1))*AO$3))),IF(ISNUMBER(AO$4),AO$4,IgnoreMin)))))</f>
        <v>0</v>
      </c>
      <c r="AP104" s="148" cm="1">
        <f t="array" aca="1" ref="AP104" ca="1">-IF($F104="Terminated",0,IF($AA104=0,0,IF(ISNA(MATCH(AP$5,PayDedList,0)),0,MIN(IF(COUNTIFS(OverEmp,$C104,OverDeduct,AP$5,OverDate,"&lt;"&amp;DATE(YEAR($AC104),MONTH($AC104)+1,1),OverEnd,"&gt;="&amp;DATE(YEAR($AC104),MONTH($AC104),1))&gt;0,SUMPRODUCT((PayEmp=$C104)*(PayDate&lt;=$AC104)*(OFFSET($N$6,1,MATCH(AP$5,PayDedList,0)-1,PayCount,1)))/$AA104*12*AP$3,IF(OR(AP$1="Fixed",AP$1="Not Used"),SUMPRODUCT((PayEmp=$C104)*(PayDate&lt;=$AC104)*(OFFSET($N$6,1,MATCH(AP$5,PayDedList,0)-1,PayCount,1)))/$AA104*12*AP$3,IF(ISNA(MATCH(AP$1,EarnListItem,0))=FALSE,SUMPRODUCT((PayEmp=$C104)*(PayDate&lt;=$AC104)*(OFFSET($N$6,1,MATCH(AP$5,PayDedList,0)-1,PayCount,1)))/$AA104*12*AP$3,(MIN(((SUMPRODUCT((PayEmp=$C104)*(PayDate&lt;=$AC104)*(ISERROR(SEARCH(PayEarnCode,AP$2)))*(PayEarnType="Monthly")*(PayEarnValues))/$AA104*12)+(SUMPRODUCT((PayEmp=$C104)*(PayDate&lt;=$AC104)*(ISERROR(SEARCH(PayEarnCode,AP$2)))*(PayEarnType="Quarterly")*(PayEarnValues))/MAX(1,ROUNDDOWN($AB104/3,0))*4)+(SUMPRODUCT((PayEmp=$C104)*(PayDate&lt;=$AC104)*(ISERROR(SEARCH(PayEarnCode,AP$2)))*(PayEarnType="Bi-Annual")*(PayEarnValues))/MAX(1,ROUNDDOWN($AB104/6,0))*2)+(SUMPRODUCT((PayEmp=$C104)*(PayDate&lt;=$AC104)*(ISERROR(SEARCH(PayEarnCode,AP$2)))*(PayEarnType="Annual")*(PayEarnValues)))),IF(ISNUMBER(OFFSET($N$3,0,MATCH(AP$5,PayDedList,0)-1,1,1)),OFFSET($N$3,0,MATCH(AP$5,PayDedList,0)-1,1,1),IgnoreMin)))*IF(COUNTIFS(EmpNo,$C104,OFFSET(Emp!$R$4,1,MATCH(AP$5,DedListItem,0)-1,EmpCount,1),"&lt;&gt;")&gt;0,VLOOKUP($C104,EmpAll,COLUMN(Emp!$R$4)+MATCH(AP$5,DedListItem,0)-1,0),OFFSET(Setup!$E$73,MATCH(AP$5,DedListItem,0),0,1,1))*AP$3))),IF(ISNUMBER(AP$4),AP$4,IgnoreMin)))))</f>
        <v>0</v>
      </c>
      <c r="AQ104" s="148" cm="1">
        <f t="array" aca="1" ref="AQ104" ca="1">-IF($F104="Terminated",0,IF($AA104=0,0,IF(ISNA(MATCH(AQ$5,PayDedList,0)),0,MIN(IF(COUNTIFS(OverEmp,$C104,OverDeduct,AQ$5,OverDate,"&lt;"&amp;DATE(YEAR($AC104),MONTH($AC104)+1,1),OverEnd,"&gt;="&amp;DATE(YEAR($AC104),MONTH($AC104),1))&gt;0,SUMPRODUCT((PayEmp=$C104)*(PayDate&lt;=$AC104)*(OFFSET($N$6,1,MATCH(AQ$5,PayDedList,0)-1,PayCount,1)))/$AA104*12*AQ$3,IF(OR(AQ$1="Fixed",AQ$1="Not Used"),SUMPRODUCT((PayEmp=$C104)*(PayDate&lt;=$AC104)*(OFFSET($N$6,1,MATCH(AQ$5,PayDedList,0)-1,PayCount,1)))/$AA104*12*AQ$3,IF(ISNA(MATCH(AQ$1,EarnListItem,0))=FALSE,SUMPRODUCT((PayEmp=$C104)*(PayDate&lt;=$AC104)*(OFFSET($N$6,1,MATCH(AQ$5,PayDedList,0)-1,PayCount,1)))/$AA104*12*AQ$3,(MIN(((SUMPRODUCT((PayEmp=$C104)*(PayDate&lt;=$AC104)*(ISERROR(SEARCH(PayEarnCode,AQ$2)))*(PayEarnType="Monthly")*(PayEarnValues))/$AA104*12)+(SUMPRODUCT((PayEmp=$C104)*(PayDate&lt;=$AC104)*(ISERROR(SEARCH(PayEarnCode,AQ$2)))*(PayEarnType="Quarterly")*(PayEarnValues))/MAX(1,ROUNDDOWN($AB104/3,0))*4)+(SUMPRODUCT((PayEmp=$C104)*(PayDate&lt;=$AC104)*(ISERROR(SEARCH(PayEarnCode,AQ$2)))*(PayEarnType="Bi-Annual")*(PayEarnValues))/MAX(1,ROUNDDOWN($AB104/6,0))*2)+(SUMPRODUCT((PayEmp=$C104)*(PayDate&lt;=$AC104)*(ISERROR(SEARCH(PayEarnCode,AQ$2)))*(PayEarnType="Annual")*(PayEarnValues)))),IF(ISNUMBER(OFFSET($N$3,0,MATCH(AQ$5,PayDedList,0)-1,1,1)),OFFSET($N$3,0,MATCH(AQ$5,PayDedList,0)-1,1,1),IgnoreMin)))*IF(COUNTIFS(EmpNo,$C104,OFFSET(Emp!$R$4,1,MATCH(AQ$5,DedListItem,0)-1,EmpCount,1),"&lt;&gt;")&gt;0,VLOOKUP($C104,EmpAll,COLUMN(Emp!$R$4)+MATCH(AQ$5,DedListItem,0)-1,0),OFFSET(Setup!$E$73,MATCH(AQ$5,DedListItem,0),0,1,1))*AQ$3))),IF(ISNUMBER(AQ$4),AQ$4,IgnoreMin)))))</f>
        <v>0</v>
      </c>
      <c r="AR104" s="148">
        <f t="shared" ca="1" si="52"/>
        <v>108000</v>
      </c>
      <c r="AS104" s="148">
        <f t="shared" ca="1" si="42"/>
        <v>108000</v>
      </c>
      <c r="AT104" s="148" cm="1">
        <f t="array" aca="1" ref="AT104" ca="1">-IF($F104="Terminated",0,IF($AA104=0,0,IF(ISNA(MATCH(AT$5,PayDedList,0)),0,MIN(IF(COUNTIFS(OverEmp,$C104,OverDeduct,AT$5,OverDate,"&lt;"&amp;DATE(YEAR($AC104),MONTH($AC104)+1,1),OverEnd,"&gt;="&amp;DATE(YEAR($AC104),MONTH($AC104),1))&gt;0,SUMPRODUCT((PayEmp=$C104)*(PayDate&lt;=$AC104)*(OFFSET($N$6,1,MATCH(AT$5,PayDedList,0)-1,PayCount,1)))/$AA104*12*AT$3,IF(OR(AT$1="Fixed",AT$1="Not Used"),SUMPRODUCT((PayEmp=$C104)*(PayDate&lt;=$AC104)*(OFFSET($N$6,1,MATCH(AT$5,PayDedList,0)-1,PayCount,1)))/$AA104*12*AT$3,IF(ISNA(MATCH(OFFSET($N$2,0,MATCH(AT$5,PayDedList,0)-1,1,1),EarnListItem,0))=FALSE,SUMPRODUCT((PayEmp=$C104)*(PayDate&lt;=$AC104)*(OFFSET($N$6,1,MATCH(AT$5,PayDedList,0)-1,PayCount,1)))/$AA104*12*AT$3,(MIN(SUMPRODUCT((PayEmp=$C104)*(PayDate&lt;=$AC104)*(ISERROR(SEARCH(PayEarnCode,AT$2)))*(PayEarnType="Monthly")*(PayEarnValues))/$AA104*12,IF(ISNUMBER(OFFSET($N$3,0,MATCH(AT$5,PayDedList,0)-1,1,1)),OFFSET($N$3,0,MATCH(AT$5,PayDedList,0)-1,1,1),IgnoreMin)))*IF(COUNTIFS(EmpNo,$C104,OFFSET(Emp!$R$4,1,MATCH(AT$5,DedListItem,0)-1,EmpCount,1),"&lt;&gt;")&gt;0,VLOOKUP($C104,EmpAll,COLUMN(Emp!$R$4)+MATCH(AT$5,DedListItem,0)-1,0),OFFSET(Setup!$E$73,MATCH(AT$5,DedListItem,0),0,1,1))*AT$3))),IF(ISNUMBER(AT$4),AT$4,IgnoreMin)))))</f>
        <v>0</v>
      </c>
      <c r="AU104" s="148" cm="1">
        <f t="array" aca="1" ref="AU104" ca="1">-IF($F104="Terminated",0,IF($AA104=0,0,IF(ISNA(MATCH(AU$5,PayDedList,0)),0,MIN(IF(COUNTIFS(OverEmp,$C104,OverDeduct,AU$5,OverDate,"&lt;"&amp;DATE(YEAR($AC104),MONTH($AC104)+1,1),OverEnd,"&gt;="&amp;DATE(YEAR($AC104),MONTH($AC104),1))&gt;0,SUMPRODUCT((PayEmp=$C104)*(PayDate&lt;=$AC104)*(OFFSET($N$6,1,MATCH(AU$5,PayDedList,0)-1,PayCount,1)))/$AA104*12*AU$3,IF(OR(AU$1="Fixed",AU$1="Not Used"),SUMPRODUCT((PayEmp=$C104)*(PayDate&lt;=$AC104)*(OFFSET($N$6,1,MATCH(AU$5,PayDedList,0)-1,PayCount,1)))/$AA104*12*AU$3,IF(ISNA(MATCH(OFFSET($N$2,0,MATCH(AU$5,PayDedList,0)-1,1,1),EarnListItem,0))=FALSE,SUMPRODUCT((PayEmp=$C104)*(PayDate&lt;=$AC104)*(OFFSET($N$6,1,MATCH(AU$5,PayDedList,0)-1,PayCount,1)))/$AA104*12*AU$3,(MIN(SUMPRODUCT((PayEmp=$C104)*(PayDate&lt;=$AC104)*(ISERROR(SEARCH(PayEarnCode,AU$2)))*(PayEarnType="Monthly")*(PayEarnValues))/$AA104*12,IF(ISNUMBER(OFFSET($N$3,0,MATCH(AU$5,PayDedList,0)-1,1,1)),OFFSET($N$3,0,MATCH(AU$5,PayDedList,0)-1,1,1),IgnoreMin)))*IF(COUNTIFS(EmpNo,$C104,OFFSET(Emp!$R$4,1,MATCH(AU$5,DedListItem,0)-1,EmpCount,1),"&lt;&gt;")&gt;0,VLOOKUP($C104,EmpAll,COLUMN(Emp!$R$4)+MATCH(AU$5,DedListItem,0)-1,0),OFFSET(Setup!$E$73,MATCH(AU$5,DedListItem,0),0,1,1))*AU$3))),IF(ISNUMBER(AU$4),AU$4,IgnoreMin)))))</f>
        <v>0</v>
      </c>
      <c r="AV104" s="148" cm="1">
        <f t="array" aca="1" ref="AV104" ca="1">-IF($F104="Terminated",0,IF($AA104=0,0,IF(ISNA(MATCH(AV$5,PayDedList,0)),0,MIN(IF(COUNTIFS(OverEmp,$C104,OverDeduct,AV$5,OverDate,"&lt;"&amp;DATE(YEAR($AC104),MONTH($AC104)+1,1),OverEnd,"&gt;="&amp;DATE(YEAR($AC104),MONTH($AC104),1))&gt;0,SUMPRODUCT((PayEmp=$C104)*(PayDate&lt;=$AC104)*(OFFSET($N$6,1,MATCH(AV$5,PayDedList,0)-1,PayCount,1)))/$AA104*12*AV$3,IF(OR(AV$1="Fixed",AV$1="Not Used"),SUMPRODUCT((PayEmp=$C104)*(PayDate&lt;=$AC104)*(OFFSET($N$6,1,MATCH(AV$5,PayDedList,0)-1,PayCount,1)))/$AA104*12*AV$3,IF(ISNA(MATCH(OFFSET($N$2,0,MATCH(AV$5,PayDedList,0)-1,1,1),EarnListItem,0))=FALSE,SUMPRODUCT((PayEmp=$C104)*(PayDate&lt;=$AC104)*(OFFSET($N$6,1,MATCH(AV$5,PayDedList,0)-1,PayCount,1)))/$AA104*12*AV$3,(MIN(SUMPRODUCT((PayEmp=$C104)*(PayDate&lt;=$AC104)*(ISERROR(SEARCH(PayEarnCode,AV$2)))*(PayEarnType="Monthly")*(PayEarnValues))/$AA104*12,IF(ISNUMBER(OFFSET($N$3,0,MATCH(AV$5,PayDedList,0)-1,1,1)),OFFSET($N$3,0,MATCH(AV$5,PayDedList,0)-1,1,1),IgnoreMin)))*IF(COUNTIFS(EmpNo,$C104,OFFSET(Emp!$R$4,1,MATCH(AV$5,DedListItem,0)-1,EmpCount,1),"&lt;&gt;")&gt;0,VLOOKUP($C104,EmpAll,COLUMN(Emp!$R$4)+MATCH(AV$5,DedListItem,0)-1,0),OFFSET(Setup!$E$73,MATCH(AV$5,DedListItem,0),0,1,1))*AV$3))),IF(ISNUMBER(AV$4),AV$4,IgnoreMin)))))</f>
        <v>0</v>
      </c>
      <c r="AW104" s="148" cm="1">
        <f t="array" aca="1" ref="AW104" ca="1">-IF($F104="Terminated",0,IF($AA104=0,0,IF(ISNA(MATCH(AW$5,PayDedList,0)),0,MIN(IF(COUNTIFS(OverEmp,$C104,OverDeduct,AW$5,OverDate,"&lt;"&amp;DATE(YEAR($AC104),MONTH($AC104)+1,1),OverEnd,"&gt;="&amp;DATE(YEAR($AC104),MONTH($AC104),1))&gt;0,SUMPRODUCT((PayEmp=$C104)*(PayDate&lt;=$AC104)*(OFFSET($N$6,1,MATCH(AW$5,PayDedList,0)-1,PayCount,1)))/$AA104*12*AW$3,IF(OR(AW$1="Fixed",AW$1="Not Used"),SUMPRODUCT((PayEmp=$C104)*(PayDate&lt;=$AC104)*(OFFSET($N$6,1,MATCH(AW$5,PayDedList,0)-1,PayCount,1)))/$AA104*12*AW$3,IF(ISNA(MATCH(OFFSET($N$2,0,MATCH(AW$5,PayDedList,0)-1,1,1),EarnListItem,0))=FALSE,SUMPRODUCT((PayEmp=$C104)*(PayDate&lt;=$AC104)*(OFFSET($N$6,1,MATCH(AW$5,PayDedList,0)-1,PayCount,1)))/$AA104*12*AW$3,(MIN(SUMPRODUCT((PayEmp=$C104)*(PayDate&lt;=$AC104)*(ISERROR(SEARCH(PayEarnCode,AW$2)))*(PayEarnType="Monthly")*(PayEarnValues))/$AA104*12,IF(ISNUMBER(OFFSET($N$3,0,MATCH(AW$5,PayDedList,0)-1,1,1)),OFFSET($N$3,0,MATCH(AW$5,PayDedList,0)-1,1,1),IgnoreMin)))*IF(COUNTIFS(EmpNo,$C104,OFFSET(Emp!$R$4,1,MATCH(AW$5,DedListItem,0)-1,EmpCount,1),"&lt;&gt;")&gt;0,VLOOKUP($C104,EmpAll,COLUMN(Emp!$R$4)+MATCH(AW$5,DedListItem,0)-1,0),OFFSET(Setup!$E$73,MATCH(AW$5,DedListItem,0),0,1,1))*AW$3))),IF(ISNUMBER(AW$4),AW$4,IgnoreMin)))))</f>
        <v>0</v>
      </c>
      <c r="AX104" s="148">
        <f t="shared" ca="1" si="58"/>
        <v>108000</v>
      </c>
      <c r="AY104" s="148">
        <f t="shared" ca="1" si="59"/>
        <v>0</v>
      </c>
      <c r="AZ104" s="148">
        <f ca="1">IF(ISNUMBER($AL104),($AR104*$AL104)-$AI104-$AK104,MAX(0,IF($AL104="B",IF($AR104&lt;Setup!$C$32,($AR104*Setup!$D$32)-$AI104-$AK104,(($AR104-VLOOKUP($AR104,TaxAll2,1,1))*OFFSET(Setup!$D$32,MATCH($AR104,TaxBracket2,1),0,1,1))+OFFSET(Setup!$E$31,MATCH($AR104,TaxBracket2,1),0,1,1)-$AI104-$AK104),IF($AR104&lt;Setup!$C$21,($AR104*Setup!$D$21)-$AI104-$AK104,(($AR104-VLOOKUP($AR104,TaxAll1,1,1))*OFFSET(Setup!$D$21,MATCH($AR104,TaxBracket1,1),0,1,1))+OFFSET(Setup!$E$20,MATCH($AR104,TaxBracket1,1),0,1,1)-$AI104-$AK104))))</f>
        <v>2205</v>
      </c>
      <c r="BA104" s="148">
        <f ca="1">IF(ISNUMBER($AL104),($AX104*$AL104)-$AI104-$AK104,MAX(0,IF($AL104="B",IF($AX104&lt;Setup!$C$32,($AX104*Setup!$D$32)-$AI104-$AK104,(($AX104-VLOOKUP($AX104,TaxAll2,1,1))*OFFSET(Setup!$D$32,MATCH($AX104,TaxBracket2,1),0,1,1))+OFFSET(Setup!$E$31,MATCH($AX104,TaxBracket2,1),0,1,1)-$AI104-$AK104),IF($AX104&lt;Setup!$C$21,($AX104*Setup!$D$21)-$AI104-$AK104,(($AX104-VLOOKUP($AX104,TaxAll1,1,1))*OFFSET(Setup!$D$21,MATCH($AX104,TaxBracket1,1),0,1,1))+OFFSET(Setup!$E$20,MATCH($AX104,TaxBracket1,1),0,1,1)-$AI104-$AK104))))</f>
        <v>2205</v>
      </c>
      <c r="BB104" s="148">
        <f t="shared" ca="1" si="53"/>
        <v>0</v>
      </c>
      <c r="BC104" s="150">
        <f t="shared" ca="1" si="45"/>
        <v>1</v>
      </c>
      <c r="BD104" s="150">
        <f t="shared" ca="1" si="46"/>
        <v>0</v>
      </c>
      <c r="BE104" s="148">
        <f t="shared" ca="1" si="47"/>
        <v>108000</v>
      </c>
    </row>
    <row r="105" spans="1:57" ht="16.149999999999999" customHeight="1" x14ac:dyDescent="0.25">
      <c r="A105" s="10" t="str" cm="1">
        <f t="array" aca="1" ref="A105" ca="1">IF(ROW($A105)-ROW($A$6)&gt;EmpCount*12,"-",TEXT($B105,"yyyy")&amp;TEXT($B105,"mm")&amp;"-"&amp;$C105)</f>
        <v>202309-EXS009</v>
      </c>
      <c r="B105" s="137" cm="1">
        <f t="array" aca="1" ref="B105" ca="1">IF(ROW($A105)-ROW($A$6)&gt;EmpCount*12,Setup!$D$12,DATE(YEAR(Setup!$F$12),MONTH(Setup!$F$12)+ROUNDDOWN((ROW($A105)-ROW($A$6)-1)/EmpCount,0),IF(Setup!$C$14&gt;DAY(DATE(YEAR(Setup!$F$12),MONTH(Setup!$F$12)+ROUNDDOWN((ROW($A105)-ROW($A$6)-1)/EmpCount,0)+1,0)),DAY(DATE(YEAR(Setup!$F$12),MONTH(Setup!$F$12)+ROUNDDOWN((ROW($A105)-ROW($A$6)-1)/EmpCount,0)+1,0)),Setup!$C$14)))</f>
        <v>45194</v>
      </c>
      <c r="C105" s="101" t="str" cm="1">
        <f t="array" aca="1" ref="C105" ca="1">IF(ROW($A105)-ROW($A$6)&gt;EmpCount*12,"-",OFFSET(Emp!$A$4,ROW($A105)-ROW($A$6)-IF(ROW($A105)-ROW($A$6)&gt;EmpCount,ROUNDDOWN((ROW($A105)-ROW($A$6)-1)/EmpCount,0)*EmpCount,0),0,1,1))</f>
        <v>EXS009</v>
      </c>
      <c r="D105" s="10" t="str">
        <f ca="1">IF(ISNA(VLOOKUP($C105,EmpAll,COLUMN(Emp!$B$4),0)),"-",VLOOKUP($C105,EmpAll,COLUMN(Emp!$B$4),0))</f>
        <v>Brown JT</v>
      </c>
      <c r="E105" s="145" t="str">
        <f ca="1">IF(ISNA(VLOOKUP($C105,EmpAll,COLUMN(Emp!$C$4),0)),"-",VLOOKUP($C105,EmpAll,COLUMN(Emp!$C$4),0))</f>
        <v>A</v>
      </c>
      <c r="F105" s="101" t="str">
        <f ca="1">IF(ISNA(VLOOKUP($C105,EmpAll,COLUMN(Emp!$A$4),0)),"-",IF(AND(VLOOKUP($C105,EmpAll,COLUMN(Emp!$E$4),0)&lt;&gt;0,VLOOKUP($C105,EmpAll,COLUMN(Emp!$E$4),0)&gt;=DATE(YEAR($AC105),MONTH($AC105)+1,0)),"Inactive",IF(AND(VLOOKUP($C105,EmpAll,COLUMN(Emp!$F$4),0)&lt;&gt;0,VLOOKUP($C105,EmpAll,COLUMN(Emp!$F$4),0)&lt;=DATE(YEAR($AC105),MONTH($AC105),0)),"Terminated","Active")))</f>
        <v>Active</v>
      </c>
      <c r="G105" s="133" cm="1">
        <f t="array" aca="1" ref="G105" ca="1">IF($F105&lt;&gt;"Active",0,IF(COUNTIFS(OverEmp,$C105,OverEarn,G$2,OverDate,"&lt;"&amp;DATE(YEAR($AC105),MONTH($AC105)+1,1),OverEnd,"&gt;="&amp;DATE(YEAR($AC105),MONTH($AC105),1))&gt;0,SUMIFS(OverValue,OverEmp,$C105,OverEarn,G$2,OverDate,"&lt;"&amp;DATE(YEAR($AC105),MONTH($AC105)+1,1),OverEnd,"&gt;="&amp;DATE(YEAR($AC105),MONTH($AC105),1)),IF(AND($AC105&gt;=Setup!$E$10,SUMIFS(EmpIncrease,EmpCode,$C105)&gt;0),SUMIFS(EmpIncrease,EmpCode,$C105),SUMIFS(EmpSalary,EmpCode,$C105))))</f>
        <v>9000</v>
      </c>
      <c r="H105" s="133" cm="1">
        <f t="array" aca="1" ref="H105" ca="1">IF($F105&lt;&gt;"Active",0,IF(COUNTIFS(OverEmp,$C105,OverEarn,H$2,OverDate,"&lt;"&amp;DATE(YEAR($AC105),MONTH($AC105)+1,1),OverEnd,"&gt;="&amp;DATE(YEAR($AC105),MONTH($AC105),1))&gt;0,SUMIFS(OverValue,OverEmp,$C105,OverEarn,H$2,OverDate,"&lt;"&amp;DATE(YEAR($AC105),MONTH($AC105)+1,1),OverEnd,"&gt;="&amp;DATE(YEAR($AC105),MONTH($AC105),1)),0))</f>
        <v>0</v>
      </c>
      <c r="I105" s="133" cm="1">
        <f t="array" aca="1" ref="I105" ca="1">IF($F105&lt;&gt;"Active",0,IF(COUNTIFS(OverEmp,$C105,OverEarn,I$2,OverDate,"&lt;"&amp;DATE(YEAR($AC105),MONTH($AC105)+1,1),OverEnd,"&gt;="&amp;DATE(YEAR($AC105),MONTH($AC105),1))&gt;0,SUMIFS(OverValue,OverEmp,$C105,OverEarn,I$2,OverDate,"&lt;"&amp;DATE(YEAR($AC105),MONTH($AC105)+1,1),OverEnd,"&gt;="&amp;DATE(YEAR($AC105),MONTH($AC105),1)),IF(MONTH(B105)=Setup!$C$15,SUMIFS(EmpBonus,EmpCode,$C105),0)))</f>
        <v>0</v>
      </c>
      <c r="J105" s="133" cm="1">
        <f t="array" aca="1" ref="J105" ca="1">IF($F105&lt;&gt;"Active",0,IF(COUNTIFS(OverEmp,$C105,OverEarn,J$2,OverDate,"&lt;"&amp;DATE(YEAR($AC105),MONTH($AC105)+1,1),OverEnd,"&gt;="&amp;DATE(YEAR($AC105),MONTH($AC105),1))&gt;0,SUMIFS(OverValue,OverEmp,$C105,OverEarn,J$2,OverDate,"&lt;"&amp;DATE(YEAR($AC105),MONTH($AC105)+1,1),OverEnd,"&gt;="&amp;DATE(YEAR($AC105),MONTH($AC105),1)),0))</f>
        <v>0</v>
      </c>
      <c r="K105" s="133" cm="1">
        <f t="array" aca="1" ref="K105" ca="1">IF($F105&lt;&gt;"Active",0,IF(COUNTIFS(OverEmp,$C105,OverEarn,K$2,OverDate,"&lt;"&amp;DATE(YEAR($AC105),MONTH($AC105)+1,1),OverEnd,"&gt;="&amp;DATE(YEAR($AC105),MONTH($AC105),1))&gt;0,SUMIFS(OverValue,OverEmp,$C105,OverEarn,K$2,OverDate,"&lt;"&amp;DATE(YEAR($AC105),MONTH($AC105)+1,1),OverEnd,"&gt;="&amp;DATE(YEAR($AC105),MONTH($AC105),1)),0))</f>
        <v>0</v>
      </c>
      <c r="L105" s="185">
        <f t="shared" ca="1" si="54"/>
        <v>9000</v>
      </c>
      <c r="M105" s="182" cm="1">
        <f t="array" aca="1" ref="M105" ca="1">IF(COUNTIFS(OverEmp,$C105,OverTax,M$5,OverDate,"&lt;"&amp;DATE(YEAR($AC105),MONTH($AC105)+1,1),OverEnd,"&gt;="&amp;DATE(YEAR($AC105),MONTH($AC105),1))&gt;0,SUMIFS(OverValue,OverEmp,$C105,OverTax,M$5,OverDate,"&lt;"&amp;DATE(YEAR($AC105),MONTH($AC105)+1,1),OverEnd,"&gt;="&amp;DATE(YEAR($AC105),MONTH($AC105),1)),(($BA105/12*$AA105)+(BB105*IF(1-$BC105=0,0,BD105/(1-$BC105))))-IF($F105="Terminated",0,SUMIFS(PayTaxDeduct,PayDate,"&lt;"&amp;$AC105,PayEmp,$C105)))</f>
        <v>183.75</v>
      </c>
      <c r="N105" s="133" cm="1">
        <f t="array" aca="1" ref="N105" ca="1">IF($F105="Terminated",0,IF($AA105=0,0,IF(ISNA(MATCH(N$5,DedListItem,0)),0,IF(COUNTIFS(OverEmp,$C105,OverDeduct,N$5,OverDate,"&lt;"&amp;DATE(YEAR($AC105),MONTH($AC105)+1,1),OverEnd,"&gt;="&amp;DATE(YEAR($AC105),MONTH($AC105),1))&gt;0,SUMIFS(OverValue,OverEmp,$C105,OverDeduct,N$5,OverDate,"&lt;"&amp;DATE(YEAR($AC105),MONTH($AC105)+1,1),OverEnd,"&gt;="&amp;DATE(YEAR($AC105),MONTH($AC105),1)),IF(OR(N$2="Fixed",N$2="Not Used"),(IF(COUNTIFS(EmpNo,$C105,OFFSET(Emp!$R$4,1,MATCH(N$5,DedListItem,0)-1,EmpCount,1),"&lt;&gt;")&gt;0,VLOOKUP($C105,EmpAll,COLUMN(Emp!$R$4)+MATCH(N$5,DedListItem,0)-1,0),OFFSET(Setup!$E$73,MATCH(N$5,DedListItem,0),0,1,1))*$AA105)-SUMIFS(OFFSET(N$6,1,0,PayCount,1),PayDate,"&lt;"&amp;$AC105,PayEmp,$C105),IF(ISNA(MATCH(N$2,EarnListItem,0))=FALSE,IF(OFFSET(Setup!$G$73,MATCH(N$5,DedListItem,0),0,1,1)="Taxable",SUMPRODUCT((PayEmp=$C105)*(PayDate&lt;=$AC105)*(PayEarnCode=N$2)*(PayEarnTax)*(PayEarnValues)),SUMPRODUCT((PayEmp=$C105)*(PayDate&lt;=$AC105)*(PayEarnCode=N$2)*(PayEarnValues)))*IF(COUNTIFS(EmpNo,$C105,OFFSET(Emp!$R$4,1,MATCH(N$5,DedListItem,0)-1,EmpCount,1),"&lt;&gt;")&gt;0,VLOOKUP($C105,EmpAll,COLUMN(Emp!$R$4)+MATCH(N$5,DedListItem,0)-1,0),OFFSET(Setup!$E$73,MATCH(N$5,DedListItem,0),0,1,1)),(MIN(IF(OFFSET(Setup!$G$73,MATCH(N$5,DedListItem,0),0,1,1)="Taxable",SUMPRODUCT((PayEmp=$C105)*(PayDate&lt;=$AC105)*(ISERROR(SEARCH(PayEarnCode,N$4)))*(PayEarnTax)*(PayEarnValues)),SUMPRODUCT((PayEmp=$C105)*(PayDate&lt;=$AC105)*(ISERROR(SEARCH(PayEarnCode,N$4)))*(PayEarnValues))),IF(ISNUMBER(N$3),N$3/12*$AA105,IgnoreMin)))*IF(COUNTIFS(EmpNo,$C105,OFFSET(Emp!$R$4,1,MATCH(N$5,DedListItem,0)-1,EmpCount,1),"&lt;&gt;")&gt;0,VLOOKUP($C105,EmpAll,COLUMN(Emp!$R$4)+MATCH(N$5,DedListItem,0)-1,0),OFFSET(Setup!$E$73,MATCH(N$5,DedListItem,0),0,1,1)))-SUMIFS(OFFSET(N$6,1,0,PayCount,1),PayDate,"&lt;"&amp;$AC105,PayEmp,$C105))))))</f>
        <v>90</v>
      </c>
      <c r="O105" s="133" cm="1">
        <f t="array" aca="1" ref="O105" ca="1">IF($F105="Terminated",0,IF($AA105=0,0,IF(ISNA(MATCH(O$5,DedListItem,0)),0,IF(COUNTIFS(OverEmp,$C105,OverDeduct,O$5,OverDate,"&lt;"&amp;DATE(YEAR($AC105),MONTH($AC105)+1,1),OverEnd,"&gt;="&amp;DATE(YEAR($AC105),MONTH($AC105),1))&gt;0,SUMIFS(OverValue,OverEmp,$C105,OverDeduct,O$5,OverDate,"&lt;"&amp;DATE(YEAR($AC105),MONTH($AC105)+1,1),OverEnd,"&gt;="&amp;DATE(YEAR($AC105),MONTH($AC105),1)),IF(OR(O$2="Fixed",O$2="Not Used"),(IF(COUNTIFS(EmpNo,$C105,OFFSET(Emp!$R$4,1,MATCH(O$5,DedListItem,0)-1,EmpCount,1),"&lt;&gt;")&gt;0,VLOOKUP($C105,EmpAll,COLUMN(Emp!$R$4)+MATCH(O$5,DedListItem,0)-1,0),OFFSET(Setup!$E$73,MATCH(O$5,DedListItem,0),0,1,1))*$AA105)-SUMIFS(OFFSET(O$6,1,0,PayCount,1),PayDate,"&lt;"&amp;$AC105,PayEmp,$C105),IF(ISNA(MATCH(O$2,EarnListItem,0))=FALSE,IF(OFFSET(Setup!$G$73,MATCH(O$5,DedListItem,0),0,1,1)="Taxable",SUMPRODUCT((PayEmp=$C105)*(PayDate&lt;=$AC105)*(PayEarnCode=O$2)*(PayEarnTax)*(PayEarnValues)),SUMPRODUCT((PayEmp=$C105)*(PayDate&lt;=$AC105)*(PayEarnCode=O$2)*(PayEarnValues)))*IF(COUNTIFS(EmpNo,$C105,OFFSET(Emp!$R$4,1,MATCH(O$5,DedListItem,0)-1,EmpCount,1),"&lt;&gt;")&gt;0,VLOOKUP($C105,EmpAll,COLUMN(Emp!$R$4)+MATCH(O$5,DedListItem,0)-1,0),OFFSET(Setup!$E$73,MATCH(O$5,DedListItem,0),0,1,1)),(MIN(IF(OFFSET(Setup!$G$73,MATCH(O$5,DedListItem,0),0,1,1)="Taxable",SUMPRODUCT((PayEmp=$C105)*(PayDate&lt;=$AC105)*(ISERROR(SEARCH(PayEarnCode,O$4)))*(PayEarnTax)*(PayEarnValues)),SUMPRODUCT((PayEmp=$C105)*(PayDate&lt;=$AC105)*(ISERROR(SEARCH(PayEarnCode,O$4)))*(PayEarnValues))),IF(ISNUMBER(O$3),O$3/12*$AA105,IgnoreMin)))*IF(COUNTIFS(EmpNo,$C105,OFFSET(Emp!$R$4,1,MATCH(O$5,DedListItem,0)-1,EmpCount,1),"&lt;&gt;")&gt;0,VLOOKUP($C105,EmpAll,COLUMN(Emp!$R$4)+MATCH(O$5,DedListItem,0)-1,0),OFFSET(Setup!$E$73,MATCH(O$5,DedListItem,0),0,1,1)))-SUMIFS(OFFSET(O$6,1,0,PayCount,1),PayDate,"&lt;"&amp;$AC105,PayEmp,$C105))))))</f>
        <v>0</v>
      </c>
      <c r="P105" s="133" cm="1">
        <f t="array" aca="1" ref="P105" ca="1">IF($F105="Terminated",0,IF($AA105=0,0,IF(ISNA(MATCH(P$5,DedListItem,0)),0,IF(COUNTIFS(OverEmp,$C105,OverDeduct,P$5,OverDate,"&lt;"&amp;DATE(YEAR($AC105),MONTH($AC105)+1,1),OverEnd,"&gt;="&amp;DATE(YEAR($AC105),MONTH($AC105),1))&gt;0,SUMIFS(OverValue,OverEmp,$C105,OverDeduct,P$5,OverDate,"&lt;"&amp;DATE(YEAR($AC105),MONTH($AC105)+1,1),OverEnd,"&gt;="&amp;DATE(YEAR($AC105),MONTH($AC105),1)),IF(OR(P$2="Fixed",P$2="Not Used"),(IF(COUNTIFS(EmpNo,$C105,OFFSET(Emp!$R$4,1,MATCH(P$5,DedListItem,0)-1,EmpCount,1),"&lt;&gt;")&gt;0,VLOOKUP($C105,EmpAll,COLUMN(Emp!$R$4)+MATCH(P$5,DedListItem,0)-1,0),OFFSET(Setup!$E$73,MATCH(P$5,DedListItem,0),0,1,1))*$AA105)-SUMIFS(OFFSET(P$6,1,0,PayCount,1),PayDate,"&lt;"&amp;$AC105,PayEmp,$C105),IF(ISNA(MATCH(P$2,EarnListItem,0))=FALSE,IF(OFFSET(Setup!$G$73,MATCH(P$5,DedListItem,0),0,1,1)="Taxable",SUMPRODUCT((PayEmp=$C105)*(PayDate&lt;=$AC105)*(PayEarnCode=P$2)*(PayEarnTax)*(PayEarnValues)),SUMPRODUCT((PayEmp=$C105)*(PayDate&lt;=$AC105)*(PayEarnCode=P$2)*(PayEarnValues)))*IF(COUNTIFS(EmpNo,$C105,OFFSET(Emp!$R$4,1,MATCH(P$5,DedListItem,0)-1,EmpCount,1),"&lt;&gt;")&gt;0,VLOOKUP($C105,EmpAll,COLUMN(Emp!$R$4)+MATCH(P$5,DedListItem,0)-1,0),OFFSET(Setup!$E$73,MATCH(P$5,DedListItem,0),0,1,1)),(MIN(IF(OFFSET(Setup!$G$73,MATCH(P$5,DedListItem,0),0,1,1)="Taxable",SUMPRODUCT((PayEmp=$C105)*(PayDate&lt;=$AC105)*(ISERROR(SEARCH(PayEarnCode,P$4)))*(PayEarnTax)*(PayEarnValues)),SUMPRODUCT((PayEmp=$C105)*(PayDate&lt;=$AC105)*(ISERROR(SEARCH(PayEarnCode,P$4)))*(PayEarnValues))),IF(ISNUMBER(P$3),P$3/12*$AA105,IgnoreMin)))*IF(COUNTIFS(EmpNo,$C105,OFFSET(Emp!$R$4,1,MATCH(P$5,DedListItem,0)-1,EmpCount,1),"&lt;&gt;")&gt;0,VLOOKUP($C105,EmpAll,COLUMN(Emp!$R$4)+MATCH(P$5,DedListItem,0)-1,0),OFFSET(Setup!$E$73,MATCH(P$5,DedListItem,0),0,1,1)))-SUMIFS(OFFSET(P$6,1,0,PayCount,1),PayDate,"&lt;"&amp;$AC105,PayEmp,$C105))))))</f>
        <v>0</v>
      </c>
      <c r="Q105" s="133" cm="1">
        <f t="array" aca="1" ref="Q105" ca="1">IF($F105="Terminated",0,IF($AA105=0,0,IF(ISNA(MATCH(Q$5,DedListItem,0)),0,IF(COUNTIFS(OverEmp,$C105,OverDeduct,Q$5,OverDate,"&lt;"&amp;DATE(YEAR($AC105),MONTH($AC105)+1,1),OverEnd,"&gt;="&amp;DATE(YEAR($AC105),MONTH($AC105),1))&gt;0,SUMIFS(OverValue,OverEmp,$C105,OverDeduct,Q$5,OverDate,"&lt;"&amp;DATE(YEAR($AC105),MONTH($AC105)+1,1),OverEnd,"&gt;="&amp;DATE(YEAR($AC105),MONTH($AC105),1)),IF(OR(Q$2="Fixed",Q$2="Not Used"),(IF(COUNTIFS(EmpNo,$C105,OFFSET(Emp!$R$4,1,MATCH(Q$5,DedListItem,0)-1,EmpCount,1),"&lt;&gt;")&gt;0,VLOOKUP($C105,EmpAll,COLUMN(Emp!$R$4)+MATCH(Q$5,DedListItem,0)-1,0),OFFSET(Setup!$E$73,MATCH(Q$5,DedListItem,0),0,1,1))*$AA105)-SUMIFS(OFFSET(Q$6,1,0,PayCount,1),PayDate,"&lt;"&amp;$AC105,PayEmp,$C105),IF(ISNA(MATCH(Q$2,EarnListItem,0))=FALSE,IF(OFFSET(Setup!$G$73,MATCH(Q$5,DedListItem,0),0,1,1)="Taxable",SUMPRODUCT((PayEmp=$C105)*(PayDate&lt;=$AC105)*(PayEarnCode=Q$2)*(PayEarnTax)*(PayEarnValues)),SUMPRODUCT((PayEmp=$C105)*(PayDate&lt;=$AC105)*(PayEarnCode=Q$2)*(PayEarnValues)))*IF(COUNTIFS(EmpNo,$C105,OFFSET(Emp!$R$4,1,MATCH(Q$5,DedListItem,0)-1,EmpCount,1),"&lt;&gt;")&gt;0,VLOOKUP($C105,EmpAll,COLUMN(Emp!$R$4)+MATCH(Q$5,DedListItem,0)-1,0),OFFSET(Setup!$E$73,MATCH(Q$5,DedListItem,0),0,1,1)),(MIN(IF(OFFSET(Setup!$G$73,MATCH(Q$5,DedListItem,0),0,1,1)="Taxable",SUMPRODUCT((PayEmp=$C105)*(PayDate&lt;=$AC105)*(ISERROR(SEARCH(PayEarnCode,Q$4)))*(PayEarnTax)*(PayEarnValues)),SUMPRODUCT((PayEmp=$C105)*(PayDate&lt;=$AC105)*(ISERROR(SEARCH(PayEarnCode,Q$4)))*(PayEarnValues))),IF(ISNUMBER(Q$3),Q$3/12*$AA105,IgnoreMin)))*IF(COUNTIFS(EmpNo,$C105,OFFSET(Emp!$R$4,1,MATCH(Q$5,DedListItem,0)-1,EmpCount,1),"&lt;&gt;")&gt;0,VLOOKUP($C105,EmpAll,COLUMN(Emp!$R$4)+MATCH(Q$5,DedListItem,0)-1,0),OFFSET(Setup!$E$73,MATCH(Q$5,DedListItem,0),0,1,1)))-SUMIFS(OFFSET(Q$6,1,0,PayCount,1),PayDate,"&lt;"&amp;$AC105,PayEmp,$C105))))))</f>
        <v>0</v>
      </c>
      <c r="R105" s="185">
        <f t="shared" ca="1" si="55"/>
        <v>273.75</v>
      </c>
      <c r="S105" s="139">
        <f t="shared" ca="1" si="56"/>
        <v>8726.25</v>
      </c>
      <c r="T105" s="133" cm="1">
        <f t="array" aca="1" ref="T105" ca="1">IF($F105="Terminated",0,IF($AA105=0,0,IF(ISNA(MATCH(T$5,CompListItem,0)),0,IF(COUNTIFS(OverEmp,$C105,OverComp,T$5,OverDate,"&lt;"&amp;DATE(YEAR($AC105),MONTH($AC105)+1,1),OverEnd,"&gt;="&amp;DATE(YEAR($AC105),MONTH($AC105),1))&gt;0,SUMIFS(OverValue,OverEmp,$C105,OverComp,T$5,OverDate,"&lt;"&amp;DATE(YEAR($AC105),MONTH($AC105)+1,1),OverEnd,"&gt;="&amp;DATE(YEAR($AC105),MONTH($AC105),1)),IF(OR(T$2="Fixed",T$2="Not Used"),(OFFSET(Setup!$E$81,MATCH(T$5,CompListItem,0),0,1,1)*$AA105)-SUMIFS(OFFSET(T$6,1,0,PayCount,1),PayDate,"&lt;"&amp;$AC105,PayEmp,$C105),IF(ISNA(MATCH(T$2,DedListItem,0))=FALSE,(SUMPRODUCT((PayEmp=$C105)*(PayDate&lt;=$AC105)*(PayDedList=T$2)*(PayDedValues))*OFFSET(Setup!$E$81,MATCH(T$5,CompListItem,0),0,1,1))-SUMIFS(OFFSET(T$6,1,0,PayCount,1),PayDate,"&lt;"&amp;$AC105,PayEmp,$C105),(MIN(IF(OFFSET(Setup!$G$81,MATCH(T$5,CompListItem,0),0,1,1)="Taxable",SUMPRODUCT((PayEmp=$C105)*(PayDate&lt;=$AC105)*(ISERROR(SEARCH(PayEarnCode,T$4)))*(PayEarnTax)*(PayEarnValues)),SUMPRODUCT((PayEmp=$C105)*(PayDate&lt;=$AC105)*(ISERROR(SEARCH(PayEarnCode,T$4)))*(PayEarnValues))),IF(ISNUMBER(T$3),T$3/12*$AA105,IgnoreMin)))*OFFSET(Setup!$E$81,MATCH(T$5,CompListItem,0),0,1,1)-SUMIFS(OFFSET(T$6,1,0,PayCount,1),PayDate,"&lt;"&amp;$AC105,PayEmp,$C105)))))))</f>
        <v>90</v>
      </c>
      <c r="U105" s="133" cm="1">
        <f t="array" aca="1" ref="U105" ca="1">IF($F105="Terminated",0,IF($AA105=0,0,IF(ISNA(MATCH(U$5,CompListItem,0)),0,IF(COUNTIFS(OverEmp,$C105,OverComp,U$5,OverDate,"&lt;"&amp;DATE(YEAR($AC105),MONTH($AC105)+1,1),OverEnd,"&gt;="&amp;DATE(YEAR($AC105),MONTH($AC105),1))&gt;0,SUMIFS(OverValue,OverEmp,$C105,OverComp,U$5,OverDate,"&lt;"&amp;DATE(YEAR($AC105),MONTH($AC105)+1,1),OverEnd,"&gt;="&amp;DATE(YEAR($AC105),MONTH($AC105),1)),IF(OR(U$2="Fixed",U$2="Not Used"),(OFFSET(Setup!$E$81,MATCH(U$5,CompListItem,0),0,1,1)*$AA105)-SUMIFS(OFFSET(U$6,1,0,PayCount,1),PayDate,"&lt;"&amp;$AC105,PayEmp,$C105),IF(ISNA(MATCH(U$2,DedListItem,0))=FALSE,(SUMPRODUCT((PayEmp=$C105)*(PayDate&lt;=$AC105)*(PayDedList=U$2)*(PayDedValues))*OFFSET(Setup!$E$81,MATCH(U$5,CompListItem,0),0,1,1))-SUMIFS(OFFSET(U$6,1,0,PayCount,1),PayDate,"&lt;"&amp;$AC105,PayEmp,$C105),(MIN(IF(OFFSET(Setup!$G$81,MATCH(U$5,CompListItem,0),0,1,1)="Taxable",SUMPRODUCT((PayEmp=$C105)*(PayDate&lt;=$AC105)*(ISERROR(SEARCH(PayEarnCode,U$4)))*(PayEarnTax)*(PayEarnValues)),SUMPRODUCT((PayEmp=$C105)*(PayDate&lt;=$AC105)*(ISERROR(SEARCH(PayEarnCode,U$4)))*(PayEarnValues))),IF(ISNUMBER(U$3),U$3/12*$AA105,IgnoreMin)))*OFFSET(Setup!$E$81,MATCH(U$5,CompListItem,0),0,1,1)-SUMIFS(OFFSET(U$6,1,0,PayCount,1),PayDate,"&lt;"&amp;$AC105,PayEmp,$C105)))))))</f>
        <v>90</v>
      </c>
      <c r="V105" s="133" cm="1">
        <f t="array" aca="1" ref="V105" ca="1">IF($F105="Terminated",0,IF($AA105=0,0,IF(ISNA(MATCH(V$5,CompListItem,0)),0,IF(COUNTIFS(OverEmp,$C105,OverComp,V$5,OverDate,"&lt;"&amp;DATE(YEAR($AC105),MONTH($AC105)+1,1),OverEnd,"&gt;="&amp;DATE(YEAR($AC105),MONTH($AC105),1))&gt;0,SUMIFS(OverValue,OverEmp,$C105,OverComp,V$5,OverDate,"&lt;"&amp;DATE(YEAR($AC105),MONTH($AC105)+1,1),OverEnd,"&gt;="&amp;DATE(YEAR($AC105),MONTH($AC105),1)),IF(OR(V$2="Fixed",V$2="Not Used"),(OFFSET(Setup!$E$81,MATCH(V$5,CompListItem,0),0,1,1)*$AA105)-SUMIFS(OFFSET(V$6,1,0,PayCount,1),PayDate,"&lt;"&amp;$AC105,PayEmp,$C105),IF(ISNA(MATCH(V$2,DedListItem,0))=FALSE,(SUMPRODUCT((PayEmp=$C105)*(PayDate&lt;=$AC105)*(PayDedList=V$2)*(PayDedValues))*OFFSET(Setup!$E$81,MATCH(V$5,CompListItem,0),0,1,1))-SUMIFS(OFFSET(V$6,1,0,PayCount,1),PayDate,"&lt;"&amp;$AC105,PayEmp,$C105),(MIN(IF(OFFSET(Setup!$G$81,MATCH(V$5,CompListItem,0),0,1,1)="Taxable",SUMPRODUCT((PayEmp=$C105)*(PayDate&lt;=$AC105)*(ISERROR(SEARCH(PayEarnCode,V$4)))*(PayEarnTax)*(PayEarnValues)),SUMPRODUCT((PayEmp=$C105)*(PayDate&lt;=$AC105)*(ISERROR(SEARCH(PayEarnCode,V$4)))*(PayEarnValues))),IF(ISNUMBER(V$3),V$3/12*$AA105,IgnoreMin)))*OFFSET(Setup!$E$81,MATCH(V$5,CompListItem,0),0,1,1)-SUMIFS(OFFSET(V$6,1,0,PayCount,1),PayDate,"&lt;"&amp;$AC105,PayEmp,$C105)))))))</f>
        <v>0</v>
      </c>
      <c r="W105" s="133" cm="1">
        <f t="array" aca="1" ref="W105" ca="1">IF($F105="Terminated",0,IF($AA105=0,0,IF(ISNA(MATCH(W$5,CompListItem,0)),0,IF(COUNTIFS(OverEmp,$C105,OverComp,W$5,OverDate,"&lt;"&amp;DATE(YEAR($AC105),MONTH($AC105)+1,1),OverEnd,"&gt;="&amp;DATE(YEAR($AC105),MONTH($AC105),1))&gt;0,SUMIFS(OverValue,OverEmp,$C105,OverComp,W$5,OverDate,"&lt;"&amp;DATE(YEAR($AC105),MONTH($AC105)+1,1),OverEnd,"&gt;="&amp;DATE(YEAR($AC105),MONTH($AC105),1)),IF(OR(W$2="Fixed",W$2="Not Used"),(OFFSET(Setup!$E$81,MATCH(W$5,CompListItem,0),0,1,1)*$AA105)-SUMIFS(OFFSET(W$6,1,0,PayCount,1),PayDate,"&lt;"&amp;$AC105,PayEmp,$C105),IF(ISNA(MATCH(W$2,DedListItem,0))=FALSE,(SUMPRODUCT((PayEmp=$C105)*(PayDate&lt;=$AC105)*(PayDedList=W$2)*(PayDedValues))*OFFSET(Setup!$E$81,MATCH(W$5,CompListItem,0),0,1,1))-SUMIFS(OFFSET(W$6,1,0,PayCount,1),PayDate,"&lt;"&amp;$AC105,PayEmp,$C105),(MIN(IF(OFFSET(Setup!$G$81,MATCH(W$5,CompListItem,0),0,1,1)="Taxable",SUMPRODUCT((PayEmp=$C105)*(PayDate&lt;=$AC105)*(ISERROR(SEARCH(PayEarnCode,W$4)))*(PayEarnTax)*(PayEarnValues)),SUMPRODUCT((PayEmp=$C105)*(PayDate&lt;=$AC105)*(ISERROR(SEARCH(PayEarnCode,W$4)))*(PayEarnValues))),IF(ISNUMBER(W$3),W$3/12*$AA105,IgnoreMin)))*OFFSET(Setup!$E$81,MATCH(W$5,CompListItem,0),0,1,1)-SUMIFS(OFFSET(W$6,1,0,PayCount,1),PayDate,"&lt;"&amp;$AC105,PayEmp,$C105)))))))</f>
        <v>0</v>
      </c>
      <c r="X105" s="185">
        <f t="shared" ca="1" si="48"/>
        <v>180</v>
      </c>
      <c r="Y105" s="139">
        <f t="shared" ca="1" si="57"/>
        <v>9180</v>
      </c>
      <c r="Z105" s="139">
        <f t="shared" ca="1" si="49"/>
        <v>453.75</v>
      </c>
      <c r="AA105" s="146">
        <f ca="1">IF(OR($B105&lt;=Setup!$E$12,$B105&gt;=Setup!$D$12+1),0,IF($F105&lt;&gt;"Active",0,IF($AE105="Yes",$AB105,((YEAR($AC105)*12)+MONTH($AC105))-((YEAR($AD105)*12)+MONTH($AD105)-1))))</f>
        <v>7</v>
      </c>
      <c r="AB105" s="146">
        <f ca="1">IF(OR($B105&lt;=Setup!$E$12,$B105&gt;=Setup!$D$12+1),0,((YEAR($AC105)*12)+MONTH($AC105))-((YEAR(Setup!$E$12)*12)+MONTH(Setup!$E$12)))</f>
        <v>7</v>
      </c>
      <c r="AC105" s="186">
        <f t="shared" ca="1" si="50"/>
        <v>45194</v>
      </c>
      <c r="AD105" s="144">
        <f ca="1">IF(ISNA(VLOOKUP($C105,EmpAll,COLUMN(Emp!$E$4),0)),$AC105,IF(VLOOKUP($C105,EmpAll,COLUMN(Emp!$E$4),0)&lt;=Setup!$E$12,DATE(YEAR(Setup!$E$12),MONTH(Setup!$E$12)+1,1),VLOOKUP($C105,EmpAll,COLUMN(Emp!$E$4),0)))</f>
        <v>44986</v>
      </c>
      <c r="AE105" s="144" t="str">
        <f ca="1">IF(ISNA(VLOOKUP($C105,EmpAll,COLUMN(Emp!$G$1),0)),"-",IF(VLOOKUP($C105,EmpAll,COLUMN(Emp!$G$1),0)=0,"-",VLOOKUP($C105,EmpAll,COLUMN(Emp!$G$1),0)))</f>
        <v>-</v>
      </c>
      <c r="AF105" s="145">
        <f ca="1">IF(A105=PaySlip!$G$3,1,0)</f>
        <v>0</v>
      </c>
      <c r="AG105" s="130" cm="1">
        <f t="array" aca="1" ref="AG105" ca="1">IF(COUNTIFS(OverEmp,$C105,OverMed,"MED",OverDate,"&lt;"&amp;DATE(YEAR($AC105),MONTH($AC105)+1,1),OverEnd,"&gt;="&amp;DATE(YEAR($AC105),MONTH($AC105),1))&gt;0,SUMIFS(OverValue,OverEmp,$C105,OverMed,"MED",OverDate,"&lt;"&amp;DATE(YEAR($AC105),MONTH($AC105)+1,1),OverEnd,"&gt;="&amp;DATE(YEAR($AC105),MONTH($AC105),1)),IF(ISNA(VLOOKUP($C105,EmpAll,COLUMN(Emp!$N$4),0)),0,VLOOKUP($C105,EmpAll,COLUMN(Emp!$N$4),0)))</f>
        <v>0</v>
      </c>
      <c r="AH105" s="146">
        <f ca="1">VLOOKUP($AG105,MedList,COLUMN(Setup!$C$49),1)</f>
        <v>0</v>
      </c>
      <c r="AI105" s="146">
        <f t="shared" ca="1" si="40"/>
        <v>0</v>
      </c>
      <c r="AJ105" s="101" t="str">
        <f ca="1">IF(ISNA(VLOOKUP($C105,EmpAll,COLUMN(Emp!$L$4),0)),"None!",VLOOKUP($C105,EmpAll,COLUMN(Emp!$L$4),0))</f>
        <v>A</v>
      </c>
      <c r="AK105" s="147">
        <f t="shared" ca="1" si="51"/>
        <v>17235</v>
      </c>
      <c r="AL105" s="101" t="str">
        <f ca="1">IF(ISNA(VLOOKUP($C105,Employees[],COLUMN(Emp!$M$4),0))=TRUE,"Error!",IF(VLOOKUP($C105,Employees[],COLUMN(Emp!$M$4),0)=0,"Yes",VLOOKUP($C105,Employees[],COLUMN(Emp!$M$4),0)))</f>
        <v>A</v>
      </c>
      <c r="AM105" s="148">
        <f t="shared" ca="1" si="41"/>
        <v>108000</v>
      </c>
      <c r="AN105" s="148" cm="1">
        <f t="array" aca="1" ref="AN105" ca="1">-IF($F105="Terminated",0,IF($AA105=0,0,IF(ISNA(MATCH(AN$5,PayDedList,0)),0,MIN(IF(COUNTIFS(OverEmp,$C105,OverDeduct,AN$5,OverDate,"&lt;"&amp;DATE(YEAR($AC105),MONTH($AC105)+1,1),OverEnd,"&gt;="&amp;DATE(YEAR($AC105),MONTH($AC105),1))&gt;0,SUMPRODUCT((PayEmp=$C105)*(PayDate&lt;=$AC105)*(OFFSET($N$6,1,MATCH(AN$5,PayDedList,0)-1,PayCount,1)))/$AA105*12*AN$3,IF(OR(AN$1="Fixed",AN$1="Not Used"),SUMPRODUCT((PayEmp=$C105)*(PayDate&lt;=$AC105)*(OFFSET($N$6,1,MATCH(AN$5,PayDedList,0)-1,PayCount,1)))/$AA105*12*AN$3,IF(ISNA(MATCH(AN$1,EarnListItem,0))=FALSE,SUMPRODUCT((PayEmp=$C105)*(PayDate&lt;=$AC105)*(OFFSET($N$6,1,MATCH(AN$5,PayDedList,0)-1,PayCount,1)))/$AA105*12*AN$3,(MIN(((SUMPRODUCT((PayEmp=$C105)*(PayDate&lt;=$AC105)*(ISERROR(SEARCH(PayEarnCode,AN$2)))*(PayEarnType="Monthly")*(PayEarnValues))/$AA105*12)+(SUMPRODUCT((PayEmp=$C105)*(PayDate&lt;=$AC105)*(ISERROR(SEARCH(PayEarnCode,AN$2)))*(PayEarnType="Quarterly")*(PayEarnValues))/MAX(1,ROUNDDOWN($AB105/3,0))*4)+(SUMPRODUCT((PayEmp=$C105)*(PayDate&lt;=$AC105)*(ISERROR(SEARCH(PayEarnCode,AN$2)))*(PayEarnType="Bi-Annual")*(PayEarnValues))/MAX(1,ROUNDDOWN($AB105/6,0))*2)+(SUMPRODUCT((PayEmp=$C105)*(PayDate&lt;=$AC105)*(ISERROR(SEARCH(PayEarnCode,AN$2)))*(PayEarnType="Annual")*(PayEarnValues)))),IF(ISNUMBER(OFFSET($N$3,0,MATCH(AN$5,PayDedList,0)-1,1,1)),OFFSET($N$3,0,MATCH(AN$5,PayDedList,0)-1,1,1),IgnoreMin)))*IF(COUNTIFS(EmpNo,$C105,OFFSET(Emp!$R$4,1,MATCH(AN$5,DedListItem,0)-1,EmpCount,1),"&lt;&gt;")&gt;0,VLOOKUP($C105,EmpAll,COLUMN(Emp!$R$4)+MATCH(AN$5,DedListItem,0)-1,0),OFFSET(Setup!$E$73,MATCH(AN$5,DedListItem,0),0,1,1))*AN$3))),IF(ISNUMBER(AN$4),AN$4,IgnoreMin)))))</f>
        <v>0</v>
      </c>
      <c r="AO105" s="148" cm="1">
        <f t="array" aca="1" ref="AO105" ca="1">-IF($F105="Terminated",0,IF($AA105=0,0,IF(ISNA(MATCH(AO$5,PayDedList,0)),0,MIN(IF(COUNTIFS(OverEmp,$C105,OverDeduct,AO$5,OverDate,"&lt;"&amp;DATE(YEAR($AC105),MONTH($AC105)+1,1),OverEnd,"&gt;="&amp;DATE(YEAR($AC105),MONTH($AC105),1))&gt;0,SUMPRODUCT((PayEmp=$C105)*(PayDate&lt;=$AC105)*(OFFSET($N$6,1,MATCH(AO$5,PayDedList,0)-1,PayCount,1)))/$AA105*12*AO$3,IF(OR(AO$1="Fixed",AO$1="Not Used"),SUMPRODUCT((PayEmp=$C105)*(PayDate&lt;=$AC105)*(OFFSET($N$6,1,MATCH(AO$5,PayDedList,0)-1,PayCount,1)))/$AA105*12*AO$3,IF(ISNA(MATCH(AO$1,EarnListItem,0))=FALSE,SUMPRODUCT((PayEmp=$C105)*(PayDate&lt;=$AC105)*(OFFSET($N$6,1,MATCH(AO$5,PayDedList,0)-1,PayCount,1)))/$AA105*12*AO$3,(MIN(((SUMPRODUCT((PayEmp=$C105)*(PayDate&lt;=$AC105)*(ISERROR(SEARCH(PayEarnCode,AO$2)))*(PayEarnType="Monthly")*(PayEarnValues))/$AA105*12)+(SUMPRODUCT((PayEmp=$C105)*(PayDate&lt;=$AC105)*(ISERROR(SEARCH(PayEarnCode,AO$2)))*(PayEarnType="Quarterly")*(PayEarnValues))/MAX(1,ROUNDDOWN($AB105/3,0))*4)+(SUMPRODUCT((PayEmp=$C105)*(PayDate&lt;=$AC105)*(ISERROR(SEARCH(PayEarnCode,AO$2)))*(PayEarnType="Bi-Annual")*(PayEarnValues))/MAX(1,ROUNDDOWN($AB105/6,0))*2)+(SUMPRODUCT((PayEmp=$C105)*(PayDate&lt;=$AC105)*(ISERROR(SEARCH(PayEarnCode,AO$2)))*(PayEarnType="Annual")*(PayEarnValues)))),IF(ISNUMBER(OFFSET($N$3,0,MATCH(AO$5,PayDedList,0)-1,1,1)),OFFSET($N$3,0,MATCH(AO$5,PayDedList,0)-1,1,1),IgnoreMin)))*IF(COUNTIFS(EmpNo,$C105,OFFSET(Emp!$R$4,1,MATCH(AO$5,DedListItem,0)-1,EmpCount,1),"&lt;&gt;")&gt;0,VLOOKUP($C105,EmpAll,COLUMN(Emp!$R$4)+MATCH(AO$5,DedListItem,0)-1,0),OFFSET(Setup!$E$73,MATCH(AO$5,DedListItem,0),0,1,1))*AO$3))),IF(ISNUMBER(AO$4),AO$4,IgnoreMin)))))</f>
        <v>0</v>
      </c>
      <c r="AP105" s="148" cm="1">
        <f t="array" aca="1" ref="AP105" ca="1">-IF($F105="Terminated",0,IF($AA105=0,0,IF(ISNA(MATCH(AP$5,PayDedList,0)),0,MIN(IF(COUNTIFS(OverEmp,$C105,OverDeduct,AP$5,OverDate,"&lt;"&amp;DATE(YEAR($AC105),MONTH($AC105)+1,1),OverEnd,"&gt;="&amp;DATE(YEAR($AC105),MONTH($AC105),1))&gt;0,SUMPRODUCT((PayEmp=$C105)*(PayDate&lt;=$AC105)*(OFFSET($N$6,1,MATCH(AP$5,PayDedList,0)-1,PayCount,1)))/$AA105*12*AP$3,IF(OR(AP$1="Fixed",AP$1="Not Used"),SUMPRODUCT((PayEmp=$C105)*(PayDate&lt;=$AC105)*(OFFSET($N$6,1,MATCH(AP$5,PayDedList,0)-1,PayCount,1)))/$AA105*12*AP$3,IF(ISNA(MATCH(AP$1,EarnListItem,0))=FALSE,SUMPRODUCT((PayEmp=$C105)*(PayDate&lt;=$AC105)*(OFFSET($N$6,1,MATCH(AP$5,PayDedList,0)-1,PayCount,1)))/$AA105*12*AP$3,(MIN(((SUMPRODUCT((PayEmp=$C105)*(PayDate&lt;=$AC105)*(ISERROR(SEARCH(PayEarnCode,AP$2)))*(PayEarnType="Monthly")*(PayEarnValues))/$AA105*12)+(SUMPRODUCT((PayEmp=$C105)*(PayDate&lt;=$AC105)*(ISERROR(SEARCH(PayEarnCode,AP$2)))*(PayEarnType="Quarterly")*(PayEarnValues))/MAX(1,ROUNDDOWN($AB105/3,0))*4)+(SUMPRODUCT((PayEmp=$C105)*(PayDate&lt;=$AC105)*(ISERROR(SEARCH(PayEarnCode,AP$2)))*(PayEarnType="Bi-Annual")*(PayEarnValues))/MAX(1,ROUNDDOWN($AB105/6,0))*2)+(SUMPRODUCT((PayEmp=$C105)*(PayDate&lt;=$AC105)*(ISERROR(SEARCH(PayEarnCode,AP$2)))*(PayEarnType="Annual")*(PayEarnValues)))),IF(ISNUMBER(OFFSET($N$3,0,MATCH(AP$5,PayDedList,0)-1,1,1)),OFFSET($N$3,0,MATCH(AP$5,PayDedList,0)-1,1,1),IgnoreMin)))*IF(COUNTIFS(EmpNo,$C105,OFFSET(Emp!$R$4,1,MATCH(AP$5,DedListItem,0)-1,EmpCount,1),"&lt;&gt;")&gt;0,VLOOKUP($C105,EmpAll,COLUMN(Emp!$R$4)+MATCH(AP$5,DedListItem,0)-1,0),OFFSET(Setup!$E$73,MATCH(AP$5,DedListItem,0),0,1,1))*AP$3))),IF(ISNUMBER(AP$4),AP$4,IgnoreMin)))))</f>
        <v>0</v>
      </c>
      <c r="AQ105" s="148" cm="1">
        <f t="array" aca="1" ref="AQ105" ca="1">-IF($F105="Terminated",0,IF($AA105=0,0,IF(ISNA(MATCH(AQ$5,PayDedList,0)),0,MIN(IF(COUNTIFS(OverEmp,$C105,OverDeduct,AQ$5,OverDate,"&lt;"&amp;DATE(YEAR($AC105),MONTH($AC105)+1,1),OverEnd,"&gt;="&amp;DATE(YEAR($AC105),MONTH($AC105),1))&gt;0,SUMPRODUCT((PayEmp=$C105)*(PayDate&lt;=$AC105)*(OFFSET($N$6,1,MATCH(AQ$5,PayDedList,0)-1,PayCount,1)))/$AA105*12*AQ$3,IF(OR(AQ$1="Fixed",AQ$1="Not Used"),SUMPRODUCT((PayEmp=$C105)*(PayDate&lt;=$AC105)*(OFFSET($N$6,1,MATCH(AQ$5,PayDedList,0)-1,PayCount,1)))/$AA105*12*AQ$3,IF(ISNA(MATCH(AQ$1,EarnListItem,0))=FALSE,SUMPRODUCT((PayEmp=$C105)*(PayDate&lt;=$AC105)*(OFFSET($N$6,1,MATCH(AQ$5,PayDedList,0)-1,PayCount,1)))/$AA105*12*AQ$3,(MIN(((SUMPRODUCT((PayEmp=$C105)*(PayDate&lt;=$AC105)*(ISERROR(SEARCH(PayEarnCode,AQ$2)))*(PayEarnType="Monthly")*(PayEarnValues))/$AA105*12)+(SUMPRODUCT((PayEmp=$C105)*(PayDate&lt;=$AC105)*(ISERROR(SEARCH(PayEarnCode,AQ$2)))*(PayEarnType="Quarterly")*(PayEarnValues))/MAX(1,ROUNDDOWN($AB105/3,0))*4)+(SUMPRODUCT((PayEmp=$C105)*(PayDate&lt;=$AC105)*(ISERROR(SEARCH(PayEarnCode,AQ$2)))*(PayEarnType="Bi-Annual")*(PayEarnValues))/MAX(1,ROUNDDOWN($AB105/6,0))*2)+(SUMPRODUCT((PayEmp=$C105)*(PayDate&lt;=$AC105)*(ISERROR(SEARCH(PayEarnCode,AQ$2)))*(PayEarnType="Annual")*(PayEarnValues)))),IF(ISNUMBER(OFFSET($N$3,0,MATCH(AQ$5,PayDedList,0)-1,1,1)),OFFSET($N$3,0,MATCH(AQ$5,PayDedList,0)-1,1,1),IgnoreMin)))*IF(COUNTIFS(EmpNo,$C105,OFFSET(Emp!$R$4,1,MATCH(AQ$5,DedListItem,0)-1,EmpCount,1),"&lt;&gt;")&gt;0,VLOOKUP($C105,EmpAll,COLUMN(Emp!$R$4)+MATCH(AQ$5,DedListItem,0)-1,0),OFFSET(Setup!$E$73,MATCH(AQ$5,DedListItem,0),0,1,1))*AQ$3))),IF(ISNUMBER(AQ$4),AQ$4,IgnoreMin)))))</f>
        <v>0</v>
      </c>
      <c r="AR105" s="148">
        <f t="shared" ca="1" si="52"/>
        <v>108000</v>
      </c>
      <c r="AS105" s="148">
        <f t="shared" ca="1" si="42"/>
        <v>108000</v>
      </c>
      <c r="AT105" s="148" cm="1">
        <f t="array" aca="1" ref="AT105" ca="1">-IF($F105="Terminated",0,IF($AA105=0,0,IF(ISNA(MATCH(AT$5,PayDedList,0)),0,MIN(IF(COUNTIFS(OverEmp,$C105,OverDeduct,AT$5,OverDate,"&lt;"&amp;DATE(YEAR($AC105),MONTH($AC105)+1,1),OverEnd,"&gt;="&amp;DATE(YEAR($AC105),MONTH($AC105),1))&gt;0,SUMPRODUCT((PayEmp=$C105)*(PayDate&lt;=$AC105)*(OFFSET($N$6,1,MATCH(AT$5,PayDedList,0)-1,PayCount,1)))/$AA105*12*AT$3,IF(OR(AT$1="Fixed",AT$1="Not Used"),SUMPRODUCT((PayEmp=$C105)*(PayDate&lt;=$AC105)*(OFFSET($N$6,1,MATCH(AT$5,PayDedList,0)-1,PayCount,1)))/$AA105*12*AT$3,IF(ISNA(MATCH(OFFSET($N$2,0,MATCH(AT$5,PayDedList,0)-1,1,1),EarnListItem,0))=FALSE,SUMPRODUCT((PayEmp=$C105)*(PayDate&lt;=$AC105)*(OFFSET($N$6,1,MATCH(AT$5,PayDedList,0)-1,PayCount,1)))/$AA105*12*AT$3,(MIN(SUMPRODUCT((PayEmp=$C105)*(PayDate&lt;=$AC105)*(ISERROR(SEARCH(PayEarnCode,AT$2)))*(PayEarnType="Monthly")*(PayEarnValues))/$AA105*12,IF(ISNUMBER(OFFSET($N$3,0,MATCH(AT$5,PayDedList,0)-1,1,1)),OFFSET($N$3,0,MATCH(AT$5,PayDedList,0)-1,1,1),IgnoreMin)))*IF(COUNTIFS(EmpNo,$C105,OFFSET(Emp!$R$4,1,MATCH(AT$5,DedListItem,0)-1,EmpCount,1),"&lt;&gt;")&gt;0,VLOOKUP($C105,EmpAll,COLUMN(Emp!$R$4)+MATCH(AT$5,DedListItem,0)-1,0),OFFSET(Setup!$E$73,MATCH(AT$5,DedListItem,0),0,1,1))*AT$3))),IF(ISNUMBER(AT$4),AT$4,IgnoreMin)))))</f>
        <v>0</v>
      </c>
      <c r="AU105" s="148" cm="1">
        <f t="array" aca="1" ref="AU105" ca="1">-IF($F105="Terminated",0,IF($AA105=0,0,IF(ISNA(MATCH(AU$5,PayDedList,0)),0,MIN(IF(COUNTIFS(OverEmp,$C105,OverDeduct,AU$5,OverDate,"&lt;"&amp;DATE(YEAR($AC105),MONTH($AC105)+1,1),OverEnd,"&gt;="&amp;DATE(YEAR($AC105),MONTH($AC105),1))&gt;0,SUMPRODUCT((PayEmp=$C105)*(PayDate&lt;=$AC105)*(OFFSET($N$6,1,MATCH(AU$5,PayDedList,0)-1,PayCount,1)))/$AA105*12*AU$3,IF(OR(AU$1="Fixed",AU$1="Not Used"),SUMPRODUCT((PayEmp=$C105)*(PayDate&lt;=$AC105)*(OFFSET($N$6,1,MATCH(AU$5,PayDedList,0)-1,PayCount,1)))/$AA105*12*AU$3,IF(ISNA(MATCH(OFFSET($N$2,0,MATCH(AU$5,PayDedList,0)-1,1,1),EarnListItem,0))=FALSE,SUMPRODUCT((PayEmp=$C105)*(PayDate&lt;=$AC105)*(OFFSET($N$6,1,MATCH(AU$5,PayDedList,0)-1,PayCount,1)))/$AA105*12*AU$3,(MIN(SUMPRODUCT((PayEmp=$C105)*(PayDate&lt;=$AC105)*(ISERROR(SEARCH(PayEarnCode,AU$2)))*(PayEarnType="Monthly")*(PayEarnValues))/$AA105*12,IF(ISNUMBER(OFFSET($N$3,0,MATCH(AU$5,PayDedList,0)-1,1,1)),OFFSET($N$3,0,MATCH(AU$5,PayDedList,0)-1,1,1),IgnoreMin)))*IF(COUNTIFS(EmpNo,$C105,OFFSET(Emp!$R$4,1,MATCH(AU$5,DedListItem,0)-1,EmpCount,1),"&lt;&gt;")&gt;0,VLOOKUP($C105,EmpAll,COLUMN(Emp!$R$4)+MATCH(AU$5,DedListItem,0)-1,0),OFFSET(Setup!$E$73,MATCH(AU$5,DedListItem,0),0,1,1))*AU$3))),IF(ISNUMBER(AU$4),AU$4,IgnoreMin)))))</f>
        <v>0</v>
      </c>
      <c r="AV105" s="148" cm="1">
        <f t="array" aca="1" ref="AV105" ca="1">-IF($F105="Terminated",0,IF($AA105=0,0,IF(ISNA(MATCH(AV$5,PayDedList,0)),0,MIN(IF(COUNTIFS(OverEmp,$C105,OverDeduct,AV$5,OverDate,"&lt;"&amp;DATE(YEAR($AC105),MONTH($AC105)+1,1),OverEnd,"&gt;="&amp;DATE(YEAR($AC105),MONTH($AC105),1))&gt;0,SUMPRODUCT((PayEmp=$C105)*(PayDate&lt;=$AC105)*(OFFSET($N$6,1,MATCH(AV$5,PayDedList,0)-1,PayCount,1)))/$AA105*12*AV$3,IF(OR(AV$1="Fixed",AV$1="Not Used"),SUMPRODUCT((PayEmp=$C105)*(PayDate&lt;=$AC105)*(OFFSET($N$6,1,MATCH(AV$5,PayDedList,0)-1,PayCount,1)))/$AA105*12*AV$3,IF(ISNA(MATCH(OFFSET($N$2,0,MATCH(AV$5,PayDedList,0)-1,1,1),EarnListItem,0))=FALSE,SUMPRODUCT((PayEmp=$C105)*(PayDate&lt;=$AC105)*(OFFSET($N$6,1,MATCH(AV$5,PayDedList,0)-1,PayCount,1)))/$AA105*12*AV$3,(MIN(SUMPRODUCT((PayEmp=$C105)*(PayDate&lt;=$AC105)*(ISERROR(SEARCH(PayEarnCode,AV$2)))*(PayEarnType="Monthly")*(PayEarnValues))/$AA105*12,IF(ISNUMBER(OFFSET($N$3,0,MATCH(AV$5,PayDedList,0)-1,1,1)),OFFSET($N$3,0,MATCH(AV$5,PayDedList,0)-1,1,1),IgnoreMin)))*IF(COUNTIFS(EmpNo,$C105,OFFSET(Emp!$R$4,1,MATCH(AV$5,DedListItem,0)-1,EmpCount,1),"&lt;&gt;")&gt;0,VLOOKUP($C105,EmpAll,COLUMN(Emp!$R$4)+MATCH(AV$5,DedListItem,0)-1,0),OFFSET(Setup!$E$73,MATCH(AV$5,DedListItem,0),0,1,1))*AV$3))),IF(ISNUMBER(AV$4),AV$4,IgnoreMin)))))</f>
        <v>0</v>
      </c>
      <c r="AW105" s="148" cm="1">
        <f t="array" aca="1" ref="AW105" ca="1">-IF($F105="Terminated",0,IF($AA105=0,0,IF(ISNA(MATCH(AW$5,PayDedList,0)),0,MIN(IF(COUNTIFS(OverEmp,$C105,OverDeduct,AW$5,OverDate,"&lt;"&amp;DATE(YEAR($AC105),MONTH($AC105)+1,1),OverEnd,"&gt;="&amp;DATE(YEAR($AC105),MONTH($AC105),1))&gt;0,SUMPRODUCT((PayEmp=$C105)*(PayDate&lt;=$AC105)*(OFFSET($N$6,1,MATCH(AW$5,PayDedList,0)-1,PayCount,1)))/$AA105*12*AW$3,IF(OR(AW$1="Fixed",AW$1="Not Used"),SUMPRODUCT((PayEmp=$C105)*(PayDate&lt;=$AC105)*(OFFSET($N$6,1,MATCH(AW$5,PayDedList,0)-1,PayCount,1)))/$AA105*12*AW$3,IF(ISNA(MATCH(OFFSET($N$2,0,MATCH(AW$5,PayDedList,0)-1,1,1),EarnListItem,0))=FALSE,SUMPRODUCT((PayEmp=$C105)*(PayDate&lt;=$AC105)*(OFFSET($N$6,1,MATCH(AW$5,PayDedList,0)-1,PayCount,1)))/$AA105*12*AW$3,(MIN(SUMPRODUCT((PayEmp=$C105)*(PayDate&lt;=$AC105)*(ISERROR(SEARCH(PayEarnCode,AW$2)))*(PayEarnType="Monthly")*(PayEarnValues))/$AA105*12,IF(ISNUMBER(OFFSET($N$3,0,MATCH(AW$5,PayDedList,0)-1,1,1)),OFFSET($N$3,0,MATCH(AW$5,PayDedList,0)-1,1,1),IgnoreMin)))*IF(COUNTIFS(EmpNo,$C105,OFFSET(Emp!$R$4,1,MATCH(AW$5,DedListItem,0)-1,EmpCount,1),"&lt;&gt;")&gt;0,VLOOKUP($C105,EmpAll,COLUMN(Emp!$R$4)+MATCH(AW$5,DedListItem,0)-1,0),OFFSET(Setup!$E$73,MATCH(AW$5,DedListItem,0),0,1,1))*AW$3))),IF(ISNUMBER(AW$4),AW$4,IgnoreMin)))))</f>
        <v>0</v>
      </c>
      <c r="AX105" s="148">
        <f t="shared" ca="1" si="58"/>
        <v>108000</v>
      </c>
      <c r="AY105" s="148">
        <f t="shared" ca="1" si="59"/>
        <v>0</v>
      </c>
      <c r="AZ105" s="148">
        <f ca="1">IF(ISNUMBER($AL105),($AR105*$AL105)-$AI105-$AK105,MAX(0,IF($AL105="B",IF($AR105&lt;Setup!$C$32,($AR105*Setup!$D$32)-$AI105-$AK105,(($AR105-VLOOKUP($AR105,TaxAll2,1,1))*OFFSET(Setup!$D$32,MATCH($AR105,TaxBracket2,1),0,1,1))+OFFSET(Setup!$E$31,MATCH($AR105,TaxBracket2,1),0,1,1)-$AI105-$AK105),IF($AR105&lt;Setup!$C$21,($AR105*Setup!$D$21)-$AI105-$AK105,(($AR105-VLOOKUP($AR105,TaxAll1,1,1))*OFFSET(Setup!$D$21,MATCH($AR105,TaxBracket1,1),0,1,1))+OFFSET(Setup!$E$20,MATCH($AR105,TaxBracket1,1),0,1,1)-$AI105-$AK105))))</f>
        <v>2205</v>
      </c>
      <c r="BA105" s="148">
        <f ca="1">IF(ISNUMBER($AL105),($AX105*$AL105)-$AI105-$AK105,MAX(0,IF($AL105="B",IF($AX105&lt;Setup!$C$32,($AX105*Setup!$D$32)-$AI105-$AK105,(($AX105-VLOOKUP($AX105,TaxAll2,1,1))*OFFSET(Setup!$D$32,MATCH($AX105,TaxBracket2,1),0,1,1))+OFFSET(Setup!$E$31,MATCH($AX105,TaxBracket2,1),0,1,1)-$AI105-$AK105),IF($AX105&lt;Setup!$C$21,($AX105*Setup!$D$21)-$AI105-$AK105,(($AX105-VLOOKUP($AX105,TaxAll1,1,1))*OFFSET(Setup!$D$21,MATCH($AX105,TaxBracket1,1),0,1,1))+OFFSET(Setup!$E$20,MATCH($AX105,TaxBracket1,1),0,1,1)-$AI105-$AK105))))</f>
        <v>2205</v>
      </c>
      <c r="BB105" s="148">
        <f t="shared" ca="1" si="53"/>
        <v>0</v>
      </c>
      <c r="BC105" s="150">
        <f t="shared" ca="1" si="45"/>
        <v>1</v>
      </c>
      <c r="BD105" s="150">
        <f t="shared" ca="1" si="46"/>
        <v>0</v>
      </c>
      <c r="BE105" s="148">
        <f t="shared" ca="1" si="47"/>
        <v>108000</v>
      </c>
    </row>
    <row r="106" spans="1:57" ht="16.149999999999999" customHeight="1" x14ac:dyDescent="0.25">
      <c r="A106" s="10" t="str" cm="1">
        <f t="array" aca="1" ref="A106" ca="1">IF(ROW($A106)-ROW($A$6)&gt;EmpCount*12,"-",TEXT($B106,"yyyy")&amp;TEXT($B106,"mm")&amp;"-"&amp;$C106)</f>
        <v>202309-EXS010</v>
      </c>
      <c r="B106" s="137" cm="1">
        <f t="array" aca="1" ref="B106" ca="1">IF(ROW($A106)-ROW($A$6)&gt;EmpCount*12,Setup!$D$12,DATE(YEAR(Setup!$F$12),MONTH(Setup!$F$12)+ROUNDDOWN((ROW($A106)-ROW($A$6)-1)/EmpCount,0),IF(Setup!$C$14&gt;DAY(DATE(YEAR(Setup!$F$12),MONTH(Setup!$F$12)+ROUNDDOWN((ROW($A106)-ROW($A$6)-1)/EmpCount,0)+1,0)),DAY(DATE(YEAR(Setup!$F$12),MONTH(Setup!$F$12)+ROUNDDOWN((ROW($A106)-ROW($A$6)-1)/EmpCount,0)+1,0)),Setup!$C$14)))</f>
        <v>45194</v>
      </c>
      <c r="C106" s="101" t="str" cm="1">
        <f t="array" aca="1" ref="C106" ca="1">IF(ROW($A106)-ROW($A$6)&gt;EmpCount*12,"-",OFFSET(Emp!$A$4,ROW($A106)-ROW($A$6)-IF(ROW($A106)-ROW($A$6)&gt;EmpCount,ROUNDDOWN((ROW($A106)-ROW($A$6)-1)/EmpCount,0)*EmpCount,0),0,1,1))</f>
        <v>EXS010</v>
      </c>
      <c r="D106" s="10" t="str">
        <f ca="1">IF(ISNA(VLOOKUP($C106,EmpAll,COLUMN(Emp!$B$4),0)),"-",VLOOKUP($C106,EmpAll,COLUMN(Emp!$B$4),0))</f>
        <v>Lewis I</v>
      </c>
      <c r="E106" s="145" t="str">
        <f ca="1">IF(ISNA(VLOOKUP($C106,EmpAll,COLUMN(Emp!$C$4),0)),"-",VLOOKUP($C106,EmpAll,COLUMN(Emp!$C$4),0))</f>
        <v>A</v>
      </c>
      <c r="F106" s="101" t="str">
        <f ca="1">IF(ISNA(VLOOKUP($C106,EmpAll,COLUMN(Emp!$A$4),0)),"-",IF(AND(VLOOKUP($C106,EmpAll,COLUMN(Emp!$E$4),0)&lt;&gt;0,VLOOKUP($C106,EmpAll,COLUMN(Emp!$E$4),0)&gt;=DATE(YEAR($AC106),MONTH($AC106)+1,0)),"Inactive",IF(AND(VLOOKUP($C106,EmpAll,COLUMN(Emp!$F$4),0)&lt;&gt;0,VLOOKUP($C106,EmpAll,COLUMN(Emp!$F$4),0)&lt;=DATE(YEAR($AC106),MONTH($AC106),0)),"Terminated","Active")))</f>
        <v>Active</v>
      </c>
      <c r="G106" s="133" cm="1">
        <f t="array" aca="1" ref="G106" ca="1">IF($F106&lt;&gt;"Active",0,IF(COUNTIFS(OverEmp,$C106,OverEarn,G$2,OverDate,"&lt;"&amp;DATE(YEAR($AC106),MONTH($AC106)+1,1),OverEnd,"&gt;="&amp;DATE(YEAR($AC106),MONTH($AC106),1))&gt;0,SUMIFS(OverValue,OverEmp,$C106,OverEarn,G$2,OverDate,"&lt;"&amp;DATE(YEAR($AC106),MONTH($AC106)+1,1),OverEnd,"&gt;="&amp;DATE(YEAR($AC106),MONTH($AC106),1)),IF(AND($AC106&gt;=Setup!$E$10,SUMIFS(EmpIncrease,EmpCode,$C106)&gt;0),SUMIFS(EmpIncrease,EmpCode,$C106),SUMIFS(EmpSalary,EmpCode,$C106))))</f>
        <v>9000</v>
      </c>
      <c r="H106" s="133" cm="1">
        <f t="array" aca="1" ref="H106" ca="1">IF($F106&lt;&gt;"Active",0,IF(COUNTIFS(OverEmp,$C106,OverEarn,H$2,OverDate,"&lt;"&amp;DATE(YEAR($AC106),MONTH($AC106)+1,1),OverEnd,"&gt;="&amp;DATE(YEAR($AC106),MONTH($AC106),1))&gt;0,SUMIFS(OverValue,OverEmp,$C106,OverEarn,H$2,OverDate,"&lt;"&amp;DATE(YEAR($AC106),MONTH($AC106)+1,1),OverEnd,"&gt;="&amp;DATE(YEAR($AC106),MONTH($AC106),1)),0))</f>
        <v>0</v>
      </c>
      <c r="I106" s="133" cm="1">
        <f t="array" aca="1" ref="I106" ca="1">IF($F106&lt;&gt;"Active",0,IF(COUNTIFS(OverEmp,$C106,OverEarn,I$2,OverDate,"&lt;"&amp;DATE(YEAR($AC106),MONTH($AC106)+1,1),OverEnd,"&gt;="&amp;DATE(YEAR($AC106),MONTH($AC106),1))&gt;0,SUMIFS(OverValue,OverEmp,$C106,OverEarn,I$2,OverDate,"&lt;"&amp;DATE(YEAR($AC106),MONTH($AC106)+1,1),OverEnd,"&gt;="&amp;DATE(YEAR($AC106),MONTH($AC106),1)),IF(MONTH(B106)=Setup!$C$15,SUMIFS(EmpBonus,EmpCode,$C106),0)))</f>
        <v>0</v>
      </c>
      <c r="J106" s="133" cm="1">
        <f t="array" aca="1" ref="J106" ca="1">IF($F106&lt;&gt;"Active",0,IF(COUNTIFS(OverEmp,$C106,OverEarn,J$2,OverDate,"&lt;"&amp;DATE(YEAR($AC106),MONTH($AC106)+1,1),OverEnd,"&gt;="&amp;DATE(YEAR($AC106),MONTH($AC106),1))&gt;0,SUMIFS(OverValue,OverEmp,$C106,OverEarn,J$2,OverDate,"&lt;"&amp;DATE(YEAR($AC106),MONTH($AC106)+1,1),OverEnd,"&gt;="&amp;DATE(YEAR($AC106),MONTH($AC106),1)),0))</f>
        <v>0</v>
      </c>
      <c r="K106" s="133" cm="1">
        <f t="array" aca="1" ref="K106" ca="1">IF($F106&lt;&gt;"Active",0,IF(COUNTIFS(OverEmp,$C106,OverEarn,K$2,OverDate,"&lt;"&amp;DATE(YEAR($AC106),MONTH($AC106)+1,1),OverEnd,"&gt;="&amp;DATE(YEAR($AC106),MONTH($AC106),1))&gt;0,SUMIFS(OverValue,OverEmp,$C106,OverEarn,K$2,OverDate,"&lt;"&amp;DATE(YEAR($AC106),MONTH($AC106)+1,1),OverEnd,"&gt;="&amp;DATE(YEAR($AC106),MONTH($AC106),1)),0))</f>
        <v>0</v>
      </c>
      <c r="L106" s="185">
        <f t="shared" ca="1" si="54"/>
        <v>9000</v>
      </c>
      <c r="M106" s="182" cm="1">
        <f t="array" aca="1" ref="M106" ca="1">IF(COUNTIFS(OverEmp,$C106,OverTax,M$5,OverDate,"&lt;"&amp;DATE(YEAR($AC106),MONTH($AC106)+1,1),OverEnd,"&gt;="&amp;DATE(YEAR($AC106),MONTH($AC106),1))&gt;0,SUMIFS(OverValue,OverEmp,$C106,OverTax,M$5,OverDate,"&lt;"&amp;DATE(YEAR($AC106),MONTH($AC106)+1,1),OverEnd,"&gt;="&amp;DATE(YEAR($AC106),MONTH($AC106),1)),(($BA106/12*$AA106)+(BB106*IF(1-$BC106=0,0,BD106/(1-$BC106))))-IF($F106="Terminated",0,SUMIFS(PayTaxDeduct,PayDate,"&lt;"&amp;$AC106,PayEmp,$C106)))</f>
        <v>183.75</v>
      </c>
      <c r="N106" s="133" cm="1">
        <f t="array" aca="1" ref="N106" ca="1">IF($F106="Terminated",0,IF($AA106=0,0,IF(ISNA(MATCH(N$5,DedListItem,0)),0,IF(COUNTIFS(OverEmp,$C106,OverDeduct,N$5,OverDate,"&lt;"&amp;DATE(YEAR($AC106),MONTH($AC106)+1,1),OverEnd,"&gt;="&amp;DATE(YEAR($AC106),MONTH($AC106),1))&gt;0,SUMIFS(OverValue,OverEmp,$C106,OverDeduct,N$5,OverDate,"&lt;"&amp;DATE(YEAR($AC106),MONTH($AC106)+1,1),OverEnd,"&gt;="&amp;DATE(YEAR($AC106),MONTH($AC106),1)),IF(OR(N$2="Fixed",N$2="Not Used"),(IF(COUNTIFS(EmpNo,$C106,OFFSET(Emp!$R$4,1,MATCH(N$5,DedListItem,0)-1,EmpCount,1),"&lt;&gt;")&gt;0,VLOOKUP($C106,EmpAll,COLUMN(Emp!$R$4)+MATCH(N$5,DedListItem,0)-1,0),OFFSET(Setup!$E$73,MATCH(N$5,DedListItem,0),0,1,1))*$AA106)-SUMIFS(OFFSET(N$6,1,0,PayCount,1),PayDate,"&lt;"&amp;$AC106,PayEmp,$C106),IF(ISNA(MATCH(N$2,EarnListItem,0))=FALSE,IF(OFFSET(Setup!$G$73,MATCH(N$5,DedListItem,0),0,1,1)="Taxable",SUMPRODUCT((PayEmp=$C106)*(PayDate&lt;=$AC106)*(PayEarnCode=N$2)*(PayEarnTax)*(PayEarnValues)),SUMPRODUCT((PayEmp=$C106)*(PayDate&lt;=$AC106)*(PayEarnCode=N$2)*(PayEarnValues)))*IF(COUNTIFS(EmpNo,$C106,OFFSET(Emp!$R$4,1,MATCH(N$5,DedListItem,0)-1,EmpCount,1),"&lt;&gt;")&gt;0,VLOOKUP($C106,EmpAll,COLUMN(Emp!$R$4)+MATCH(N$5,DedListItem,0)-1,0),OFFSET(Setup!$E$73,MATCH(N$5,DedListItem,0),0,1,1)),(MIN(IF(OFFSET(Setup!$G$73,MATCH(N$5,DedListItem,0),0,1,1)="Taxable",SUMPRODUCT((PayEmp=$C106)*(PayDate&lt;=$AC106)*(ISERROR(SEARCH(PayEarnCode,N$4)))*(PayEarnTax)*(PayEarnValues)),SUMPRODUCT((PayEmp=$C106)*(PayDate&lt;=$AC106)*(ISERROR(SEARCH(PayEarnCode,N$4)))*(PayEarnValues))),IF(ISNUMBER(N$3),N$3/12*$AA106,IgnoreMin)))*IF(COUNTIFS(EmpNo,$C106,OFFSET(Emp!$R$4,1,MATCH(N$5,DedListItem,0)-1,EmpCount,1),"&lt;&gt;")&gt;0,VLOOKUP($C106,EmpAll,COLUMN(Emp!$R$4)+MATCH(N$5,DedListItem,0)-1,0),OFFSET(Setup!$E$73,MATCH(N$5,DedListItem,0),0,1,1)))-SUMIFS(OFFSET(N$6,1,0,PayCount,1),PayDate,"&lt;"&amp;$AC106,PayEmp,$C106))))))</f>
        <v>90</v>
      </c>
      <c r="O106" s="133" cm="1">
        <f t="array" aca="1" ref="O106" ca="1">IF($F106="Terminated",0,IF($AA106=0,0,IF(ISNA(MATCH(O$5,DedListItem,0)),0,IF(COUNTIFS(OverEmp,$C106,OverDeduct,O$5,OverDate,"&lt;"&amp;DATE(YEAR($AC106),MONTH($AC106)+1,1),OverEnd,"&gt;="&amp;DATE(YEAR($AC106),MONTH($AC106),1))&gt;0,SUMIFS(OverValue,OverEmp,$C106,OverDeduct,O$5,OverDate,"&lt;"&amp;DATE(YEAR($AC106),MONTH($AC106)+1,1),OverEnd,"&gt;="&amp;DATE(YEAR($AC106),MONTH($AC106),1)),IF(OR(O$2="Fixed",O$2="Not Used"),(IF(COUNTIFS(EmpNo,$C106,OFFSET(Emp!$R$4,1,MATCH(O$5,DedListItem,0)-1,EmpCount,1),"&lt;&gt;")&gt;0,VLOOKUP($C106,EmpAll,COLUMN(Emp!$R$4)+MATCH(O$5,DedListItem,0)-1,0),OFFSET(Setup!$E$73,MATCH(O$5,DedListItem,0),0,1,1))*$AA106)-SUMIFS(OFFSET(O$6,1,0,PayCount,1),PayDate,"&lt;"&amp;$AC106,PayEmp,$C106),IF(ISNA(MATCH(O$2,EarnListItem,0))=FALSE,IF(OFFSET(Setup!$G$73,MATCH(O$5,DedListItem,0),0,1,1)="Taxable",SUMPRODUCT((PayEmp=$C106)*(PayDate&lt;=$AC106)*(PayEarnCode=O$2)*(PayEarnTax)*(PayEarnValues)),SUMPRODUCT((PayEmp=$C106)*(PayDate&lt;=$AC106)*(PayEarnCode=O$2)*(PayEarnValues)))*IF(COUNTIFS(EmpNo,$C106,OFFSET(Emp!$R$4,1,MATCH(O$5,DedListItem,0)-1,EmpCount,1),"&lt;&gt;")&gt;0,VLOOKUP($C106,EmpAll,COLUMN(Emp!$R$4)+MATCH(O$5,DedListItem,0)-1,0),OFFSET(Setup!$E$73,MATCH(O$5,DedListItem,0),0,1,1)),(MIN(IF(OFFSET(Setup!$G$73,MATCH(O$5,DedListItem,0),0,1,1)="Taxable",SUMPRODUCT((PayEmp=$C106)*(PayDate&lt;=$AC106)*(ISERROR(SEARCH(PayEarnCode,O$4)))*(PayEarnTax)*(PayEarnValues)),SUMPRODUCT((PayEmp=$C106)*(PayDate&lt;=$AC106)*(ISERROR(SEARCH(PayEarnCode,O$4)))*(PayEarnValues))),IF(ISNUMBER(O$3),O$3/12*$AA106,IgnoreMin)))*IF(COUNTIFS(EmpNo,$C106,OFFSET(Emp!$R$4,1,MATCH(O$5,DedListItem,0)-1,EmpCount,1),"&lt;&gt;")&gt;0,VLOOKUP($C106,EmpAll,COLUMN(Emp!$R$4)+MATCH(O$5,DedListItem,0)-1,0),OFFSET(Setup!$E$73,MATCH(O$5,DedListItem,0),0,1,1)))-SUMIFS(OFFSET(O$6,1,0,PayCount,1),PayDate,"&lt;"&amp;$AC106,PayEmp,$C106))))))</f>
        <v>0</v>
      </c>
      <c r="P106" s="133" cm="1">
        <f t="array" aca="1" ref="P106" ca="1">IF($F106="Terminated",0,IF($AA106=0,0,IF(ISNA(MATCH(P$5,DedListItem,0)),0,IF(COUNTIFS(OverEmp,$C106,OverDeduct,P$5,OverDate,"&lt;"&amp;DATE(YEAR($AC106),MONTH($AC106)+1,1),OverEnd,"&gt;="&amp;DATE(YEAR($AC106),MONTH($AC106),1))&gt;0,SUMIFS(OverValue,OverEmp,$C106,OverDeduct,P$5,OverDate,"&lt;"&amp;DATE(YEAR($AC106),MONTH($AC106)+1,1),OverEnd,"&gt;="&amp;DATE(YEAR($AC106),MONTH($AC106),1)),IF(OR(P$2="Fixed",P$2="Not Used"),(IF(COUNTIFS(EmpNo,$C106,OFFSET(Emp!$R$4,1,MATCH(P$5,DedListItem,0)-1,EmpCount,1),"&lt;&gt;")&gt;0,VLOOKUP($C106,EmpAll,COLUMN(Emp!$R$4)+MATCH(P$5,DedListItem,0)-1,0),OFFSET(Setup!$E$73,MATCH(P$5,DedListItem,0),0,1,1))*$AA106)-SUMIFS(OFFSET(P$6,1,0,PayCount,1),PayDate,"&lt;"&amp;$AC106,PayEmp,$C106),IF(ISNA(MATCH(P$2,EarnListItem,0))=FALSE,IF(OFFSET(Setup!$G$73,MATCH(P$5,DedListItem,0),0,1,1)="Taxable",SUMPRODUCT((PayEmp=$C106)*(PayDate&lt;=$AC106)*(PayEarnCode=P$2)*(PayEarnTax)*(PayEarnValues)),SUMPRODUCT((PayEmp=$C106)*(PayDate&lt;=$AC106)*(PayEarnCode=P$2)*(PayEarnValues)))*IF(COUNTIFS(EmpNo,$C106,OFFSET(Emp!$R$4,1,MATCH(P$5,DedListItem,0)-1,EmpCount,1),"&lt;&gt;")&gt;0,VLOOKUP($C106,EmpAll,COLUMN(Emp!$R$4)+MATCH(P$5,DedListItem,0)-1,0),OFFSET(Setup!$E$73,MATCH(P$5,DedListItem,0),0,1,1)),(MIN(IF(OFFSET(Setup!$G$73,MATCH(P$5,DedListItem,0),0,1,1)="Taxable",SUMPRODUCT((PayEmp=$C106)*(PayDate&lt;=$AC106)*(ISERROR(SEARCH(PayEarnCode,P$4)))*(PayEarnTax)*(PayEarnValues)),SUMPRODUCT((PayEmp=$C106)*(PayDate&lt;=$AC106)*(ISERROR(SEARCH(PayEarnCode,P$4)))*(PayEarnValues))),IF(ISNUMBER(P$3),P$3/12*$AA106,IgnoreMin)))*IF(COUNTIFS(EmpNo,$C106,OFFSET(Emp!$R$4,1,MATCH(P$5,DedListItem,0)-1,EmpCount,1),"&lt;&gt;")&gt;0,VLOOKUP($C106,EmpAll,COLUMN(Emp!$R$4)+MATCH(P$5,DedListItem,0)-1,0),OFFSET(Setup!$E$73,MATCH(P$5,DedListItem,0),0,1,1)))-SUMIFS(OFFSET(P$6,1,0,PayCount,1),PayDate,"&lt;"&amp;$AC106,PayEmp,$C106))))))</f>
        <v>0</v>
      </c>
      <c r="Q106" s="133" cm="1">
        <f t="array" aca="1" ref="Q106" ca="1">IF($F106="Terminated",0,IF($AA106=0,0,IF(ISNA(MATCH(Q$5,DedListItem,0)),0,IF(COUNTIFS(OverEmp,$C106,OverDeduct,Q$5,OverDate,"&lt;"&amp;DATE(YEAR($AC106),MONTH($AC106)+1,1),OverEnd,"&gt;="&amp;DATE(YEAR($AC106),MONTH($AC106),1))&gt;0,SUMIFS(OverValue,OverEmp,$C106,OverDeduct,Q$5,OverDate,"&lt;"&amp;DATE(YEAR($AC106),MONTH($AC106)+1,1),OverEnd,"&gt;="&amp;DATE(YEAR($AC106),MONTH($AC106),1)),IF(OR(Q$2="Fixed",Q$2="Not Used"),(IF(COUNTIFS(EmpNo,$C106,OFFSET(Emp!$R$4,1,MATCH(Q$5,DedListItem,0)-1,EmpCount,1),"&lt;&gt;")&gt;0,VLOOKUP($C106,EmpAll,COLUMN(Emp!$R$4)+MATCH(Q$5,DedListItem,0)-1,0),OFFSET(Setup!$E$73,MATCH(Q$5,DedListItem,0),0,1,1))*$AA106)-SUMIFS(OFFSET(Q$6,1,0,PayCount,1),PayDate,"&lt;"&amp;$AC106,PayEmp,$C106),IF(ISNA(MATCH(Q$2,EarnListItem,0))=FALSE,IF(OFFSET(Setup!$G$73,MATCH(Q$5,DedListItem,0),0,1,1)="Taxable",SUMPRODUCT((PayEmp=$C106)*(PayDate&lt;=$AC106)*(PayEarnCode=Q$2)*(PayEarnTax)*(PayEarnValues)),SUMPRODUCT((PayEmp=$C106)*(PayDate&lt;=$AC106)*(PayEarnCode=Q$2)*(PayEarnValues)))*IF(COUNTIFS(EmpNo,$C106,OFFSET(Emp!$R$4,1,MATCH(Q$5,DedListItem,0)-1,EmpCount,1),"&lt;&gt;")&gt;0,VLOOKUP($C106,EmpAll,COLUMN(Emp!$R$4)+MATCH(Q$5,DedListItem,0)-1,0),OFFSET(Setup!$E$73,MATCH(Q$5,DedListItem,0),0,1,1)),(MIN(IF(OFFSET(Setup!$G$73,MATCH(Q$5,DedListItem,0),0,1,1)="Taxable",SUMPRODUCT((PayEmp=$C106)*(PayDate&lt;=$AC106)*(ISERROR(SEARCH(PayEarnCode,Q$4)))*(PayEarnTax)*(PayEarnValues)),SUMPRODUCT((PayEmp=$C106)*(PayDate&lt;=$AC106)*(ISERROR(SEARCH(PayEarnCode,Q$4)))*(PayEarnValues))),IF(ISNUMBER(Q$3),Q$3/12*$AA106,IgnoreMin)))*IF(COUNTIFS(EmpNo,$C106,OFFSET(Emp!$R$4,1,MATCH(Q$5,DedListItem,0)-1,EmpCount,1),"&lt;&gt;")&gt;0,VLOOKUP($C106,EmpAll,COLUMN(Emp!$R$4)+MATCH(Q$5,DedListItem,0)-1,0),OFFSET(Setup!$E$73,MATCH(Q$5,DedListItem,0),0,1,1)))-SUMIFS(OFFSET(Q$6,1,0,PayCount,1),PayDate,"&lt;"&amp;$AC106,PayEmp,$C106))))))</f>
        <v>0</v>
      </c>
      <c r="R106" s="185">
        <f t="shared" ca="1" si="55"/>
        <v>273.75</v>
      </c>
      <c r="S106" s="139">
        <f t="shared" ca="1" si="56"/>
        <v>8726.25</v>
      </c>
      <c r="T106" s="133" cm="1">
        <f t="array" aca="1" ref="T106" ca="1">IF($F106="Terminated",0,IF($AA106=0,0,IF(ISNA(MATCH(T$5,CompListItem,0)),0,IF(COUNTIFS(OverEmp,$C106,OverComp,T$5,OverDate,"&lt;"&amp;DATE(YEAR($AC106),MONTH($AC106)+1,1),OverEnd,"&gt;="&amp;DATE(YEAR($AC106),MONTH($AC106),1))&gt;0,SUMIFS(OverValue,OverEmp,$C106,OverComp,T$5,OverDate,"&lt;"&amp;DATE(YEAR($AC106),MONTH($AC106)+1,1),OverEnd,"&gt;="&amp;DATE(YEAR($AC106),MONTH($AC106),1)),IF(OR(T$2="Fixed",T$2="Not Used"),(OFFSET(Setup!$E$81,MATCH(T$5,CompListItem,0),0,1,1)*$AA106)-SUMIFS(OFFSET(T$6,1,0,PayCount,1),PayDate,"&lt;"&amp;$AC106,PayEmp,$C106),IF(ISNA(MATCH(T$2,DedListItem,0))=FALSE,(SUMPRODUCT((PayEmp=$C106)*(PayDate&lt;=$AC106)*(PayDedList=T$2)*(PayDedValues))*OFFSET(Setup!$E$81,MATCH(T$5,CompListItem,0),0,1,1))-SUMIFS(OFFSET(T$6,1,0,PayCount,1),PayDate,"&lt;"&amp;$AC106,PayEmp,$C106),(MIN(IF(OFFSET(Setup!$G$81,MATCH(T$5,CompListItem,0),0,1,1)="Taxable",SUMPRODUCT((PayEmp=$C106)*(PayDate&lt;=$AC106)*(ISERROR(SEARCH(PayEarnCode,T$4)))*(PayEarnTax)*(PayEarnValues)),SUMPRODUCT((PayEmp=$C106)*(PayDate&lt;=$AC106)*(ISERROR(SEARCH(PayEarnCode,T$4)))*(PayEarnValues))),IF(ISNUMBER(T$3),T$3/12*$AA106,IgnoreMin)))*OFFSET(Setup!$E$81,MATCH(T$5,CompListItem,0),0,1,1)-SUMIFS(OFFSET(T$6,1,0,PayCount,1),PayDate,"&lt;"&amp;$AC106,PayEmp,$C106)))))))</f>
        <v>90</v>
      </c>
      <c r="U106" s="133" cm="1">
        <f t="array" aca="1" ref="U106" ca="1">IF($F106="Terminated",0,IF($AA106=0,0,IF(ISNA(MATCH(U$5,CompListItem,0)),0,IF(COUNTIFS(OverEmp,$C106,OverComp,U$5,OverDate,"&lt;"&amp;DATE(YEAR($AC106),MONTH($AC106)+1,1),OverEnd,"&gt;="&amp;DATE(YEAR($AC106),MONTH($AC106),1))&gt;0,SUMIFS(OverValue,OverEmp,$C106,OverComp,U$5,OverDate,"&lt;"&amp;DATE(YEAR($AC106),MONTH($AC106)+1,1),OverEnd,"&gt;="&amp;DATE(YEAR($AC106),MONTH($AC106),1)),IF(OR(U$2="Fixed",U$2="Not Used"),(OFFSET(Setup!$E$81,MATCH(U$5,CompListItem,0),0,1,1)*$AA106)-SUMIFS(OFFSET(U$6,1,0,PayCount,1),PayDate,"&lt;"&amp;$AC106,PayEmp,$C106),IF(ISNA(MATCH(U$2,DedListItem,0))=FALSE,(SUMPRODUCT((PayEmp=$C106)*(PayDate&lt;=$AC106)*(PayDedList=U$2)*(PayDedValues))*OFFSET(Setup!$E$81,MATCH(U$5,CompListItem,0),0,1,1))-SUMIFS(OFFSET(U$6,1,0,PayCount,1),PayDate,"&lt;"&amp;$AC106,PayEmp,$C106),(MIN(IF(OFFSET(Setup!$G$81,MATCH(U$5,CompListItem,0),0,1,1)="Taxable",SUMPRODUCT((PayEmp=$C106)*(PayDate&lt;=$AC106)*(ISERROR(SEARCH(PayEarnCode,U$4)))*(PayEarnTax)*(PayEarnValues)),SUMPRODUCT((PayEmp=$C106)*(PayDate&lt;=$AC106)*(ISERROR(SEARCH(PayEarnCode,U$4)))*(PayEarnValues))),IF(ISNUMBER(U$3),U$3/12*$AA106,IgnoreMin)))*OFFSET(Setup!$E$81,MATCH(U$5,CompListItem,0),0,1,1)-SUMIFS(OFFSET(U$6,1,0,PayCount,1),PayDate,"&lt;"&amp;$AC106,PayEmp,$C106)))))))</f>
        <v>90</v>
      </c>
      <c r="V106" s="133" cm="1">
        <f t="array" aca="1" ref="V106" ca="1">IF($F106="Terminated",0,IF($AA106=0,0,IF(ISNA(MATCH(V$5,CompListItem,0)),0,IF(COUNTIFS(OverEmp,$C106,OverComp,V$5,OverDate,"&lt;"&amp;DATE(YEAR($AC106),MONTH($AC106)+1,1),OverEnd,"&gt;="&amp;DATE(YEAR($AC106),MONTH($AC106),1))&gt;0,SUMIFS(OverValue,OverEmp,$C106,OverComp,V$5,OverDate,"&lt;"&amp;DATE(YEAR($AC106),MONTH($AC106)+1,1),OverEnd,"&gt;="&amp;DATE(YEAR($AC106),MONTH($AC106),1)),IF(OR(V$2="Fixed",V$2="Not Used"),(OFFSET(Setup!$E$81,MATCH(V$5,CompListItem,0),0,1,1)*$AA106)-SUMIFS(OFFSET(V$6,1,0,PayCount,1),PayDate,"&lt;"&amp;$AC106,PayEmp,$C106),IF(ISNA(MATCH(V$2,DedListItem,0))=FALSE,(SUMPRODUCT((PayEmp=$C106)*(PayDate&lt;=$AC106)*(PayDedList=V$2)*(PayDedValues))*OFFSET(Setup!$E$81,MATCH(V$5,CompListItem,0),0,1,1))-SUMIFS(OFFSET(V$6,1,0,PayCount,1),PayDate,"&lt;"&amp;$AC106,PayEmp,$C106),(MIN(IF(OFFSET(Setup!$G$81,MATCH(V$5,CompListItem,0),0,1,1)="Taxable",SUMPRODUCT((PayEmp=$C106)*(PayDate&lt;=$AC106)*(ISERROR(SEARCH(PayEarnCode,V$4)))*(PayEarnTax)*(PayEarnValues)),SUMPRODUCT((PayEmp=$C106)*(PayDate&lt;=$AC106)*(ISERROR(SEARCH(PayEarnCode,V$4)))*(PayEarnValues))),IF(ISNUMBER(V$3),V$3/12*$AA106,IgnoreMin)))*OFFSET(Setup!$E$81,MATCH(V$5,CompListItem,0),0,1,1)-SUMIFS(OFFSET(V$6,1,0,PayCount,1),PayDate,"&lt;"&amp;$AC106,PayEmp,$C106)))))))</f>
        <v>0</v>
      </c>
      <c r="W106" s="133" cm="1">
        <f t="array" aca="1" ref="W106" ca="1">IF($F106="Terminated",0,IF($AA106=0,0,IF(ISNA(MATCH(W$5,CompListItem,0)),0,IF(COUNTIFS(OverEmp,$C106,OverComp,W$5,OverDate,"&lt;"&amp;DATE(YEAR($AC106),MONTH($AC106)+1,1),OverEnd,"&gt;="&amp;DATE(YEAR($AC106),MONTH($AC106),1))&gt;0,SUMIFS(OverValue,OverEmp,$C106,OverComp,W$5,OverDate,"&lt;"&amp;DATE(YEAR($AC106),MONTH($AC106)+1,1),OverEnd,"&gt;="&amp;DATE(YEAR($AC106),MONTH($AC106),1)),IF(OR(W$2="Fixed",W$2="Not Used"),(OFFSET(Setup!$E$81,MATCH(W$5,CompListItem,0),0,1,1)*$AA106)-SUMIFS(OFFSET(W$6,1,0,PayCount,1),PayDate,"&lt;"&amp;$AC106,PayEmp,$C106),IF(ISNA(MATCH(W$2,DedListItem,0))=FALSE,(SUMPRODUCT((PayEmp=$C106)*(PayDate&lt;=$AC106)*(PayDedList=W$2)*(PayDedValues))*OFFSET(Setup!$E$81,MATCH(W$5,CompListItem,0),0,1,1))-SUMIFS(OFFSET(W$6,1,0,PayCount,1),PayDate,"&lt;"&amp;$AC106,PayEmp,$C106),(MIN(IF(OFFSET(Setup!$G$81,MATCH(W$5,CompListItem,0),0,1,1)="Taxable",SUMPRODUCT((PayEmp=$C106)*(PayDate&lt;=$AC106)*(ISERROR(SEARCH(PayEarnCode,W$4)))*(PayEarnTax)*(PayEarnValues)),SUMPRODUCT((PayEmp=$C106)*(PayDate&lt;=$AC106)*(ISERROR(SEARCH(PayEarnCode,W$4)))*(PayEarnValues))),IF(ISNUMBER(W$3),W$3/12*$AA106,IgnoreMin)))*OFFSET(Setup!$E$81,MATCH(W$5,CompListItem,0),0,1,1)-SUMIFS(OFFSET(W$6,1,0,PayCount,1),PayDate,"&lt;"&amp;$AC106,PayEmp,$C106)))))))</f>
        <v>0</v>
      </c>
      <c r="X106" s="185">
        <f t="shared" ca="1" si="48"/>
        <v>180</v>
      </c>
      <c r="Y106" s="139">
        <f t="shared" ca="1" si="57"/>
        <v>9180</v>
      </c>
      <c r="Z106" s="139">
        <f t="shared" ca="1" si="49"/>
        <v>453.75</v>
      </c>
      <c r="AA106" s="146">
        <f ca="1">IF(OR($B106&lt;=Setup!$E$12,$B106&gt;=Setup!$D$12+1),0,IF($F106&lt;&gt;"Active",0,IF($AE106="Yes",$AB106,((YEAR($AC106)*12)+MONTH($AC106))-((YEAR($AD106)*12)+MONTH($AD106)-1))))</f>
        <v>7</v>
      </c>
      <c r="AB106" s="146">
        <f ca="1">IF(OR($B106&lt;=Setup!$E$12,$B106&gt;=Setup!$D$12+1),0,((YEAR($AC106)*12)+MONTH($AC106))-((YEAR(Setup!$E$12)*12)+MONTH(Setup!$E$12)))</f>
        <v>7</v>
      </c>
      <c r="AC106" s="186">
        <f t="shared" ca="1" si="50"/>
        <v>45194</v>
      </c>
      <c r="AD106" s="144">
        <f ca="1">IF(ISNA(VLOOKUP($C106,EmpAll,COLUMN(Emp!$E$4),0)),$AC106,IF(VLOOKUP($C106,EmpAll,COLUMN(Emp!$E$4),0)&lt;=Setup!$E$12,DATE(YEAR(Setup!$E$12),MONTH(Setup!$E$12)+1,1),VLOOKUP($C106,EmpAll,COLUMN(Emp!$E$4),0)))</f>
        <v>44986</v>
      </c>
      <c r="AE106" s="144" t="str">
        <f ca="1">IF(ISNA(VLOOKUP($C106,EmpAll,COLUMN(Emp!$G$1),0)),"-",IF(VLOOKUP($C106,EmpAll,COLUMN(Emp!$G$1),0)=0,"-",VLOOKUP($C106,EmpAll,COLUMN(Emp!$G$1),0)))</f>
        <v>-</v>
      </c>
      <c r="AF106" s="145">
        <f ca="1">IF(A106=PaySlip!$G$3,1,0)</f>
        <v>0</v>
      </c>
      <c r="AG106" s="130" cm="1">
        <f t="array" aca="1" ref="AG106" ca="1">IF(COUNTIFS(OverEmp,$C106,OverMed,"MED",OverDate,"&lt;"&amp;DATE(YEAR($AC106),MONTH($AC106)+1,1),OverEnd,"&gt;="&amp;DATE(YEAR($AC106),MONTH($AC106),1))&gt;0,SUMIFS(OverValue,OverEmp,$C106,OverMed,"MED",OverDate,"&lt;"&amp;DATE(YEAR($AC106),MONTH($AC106)+1,1),OverEnd,"&gt;="&amp;DATE(YEAR($AC106),MONTH($AC106),1)),IF(ISNA(VLOOKUP($C106,EmpAll,COLUMN(Emp!$N$4),0)),0,VLOOKUP($C106,EmpAll,COLUMN(Emp!$N$4),0)))</f>
        <v>0</v>
      </c>
      <c r="AH106" s="146">
        <f ca="1">VLOOKUP($AG106,MedList,COLUMN(Setup!$C$49),1)</f>
        <v>0</v>
      </c>
      <c r="AI106" s="146">
        <f t="shared" ca="1" si="40"/>
        <v>0</v>
      </c>
      <c r="AJ106" s="101" t="str">
        <f ca="1">IF(ISNA(VLOOKUP($C106,EmpAll,COLUMN(Emp!$L$4),0)),"None!",VLOOKUP($C106,EmpAll,COLUMN(Emp!$L$4),0))</f>
        <v>A</v>
      </c>
      <c r="AK106" s="147">
        <f t="shared" ca="1" si="51"/>
        <v>17235</v>
      </c>
      <c r="AL106" s="101" t="str">
        <f ca="1">IF(ISNA(VLOOKUP($C106,Employees[],COLUMN(Emp!$M$4),0))=TRUE,"Error!",IF(VLOOKUP($C106,Employees[],COLUMN(Emp!$M$4),0)=0,"Yes",VLOOKUP($C106,Employees[],COLUMN(Emp!$M$4),0)))</f>
        <v>A</v>
      </c>
      <c r="AM106" s="148">
        <f t="shared" ca="1" si="41"/>
        <v>108000</v>
      </c>
      <c r="AN106" s="148" cm="1">
        <f t="array" aca="1" ref="AN106" ca="1">-IF($F106="Terminated",0,IF($AA106=0,0,IF(ISNA(MATCH(AN$5,PayDedList,0)),0,MIN(IF(COUNTIFS(OverEmp,$C106,OverDeduct,AN$5,OverDate,"&lt;"&amp;DATE(YEAR($AC106),MONTH($AC106)+1,1),OverEnd,"&gt;="&amp;DATE(YEAR($AC106),MONTH($AC106),1))&gt;0,SUMPRODUCT((PayEmp=$C106)*(PayDate&lt;=$AC106)*(OFFSET($N$6,1,MATCH(AN$5,PayDedList,0)-1,PayCount,1)))/$AA106*12*AN$3,IF(OR(AN$1="Fixed",AN$1="Not Used"),SUMPRODUCT((PayEmp=$C106)*(PayDate&lt;=$AC106)*(OFFSET($N$6,1,MATCH(AN$5,PayDedList,0)-1,PayCount,1)))/$AA106*12*AN$3,IF(ISNA(MATCH(AN$1,EarnListItem,0))=FALSE,SUMPRODUCT((PayEmp=$C106)*(PayDate&lt;=$AC106)*(OFFSET($N$6,1,MATCH(AN$5,PayDedList,0)-1,PayCount,1)))/$AA106*12*AN$3,(MIN(((SUMPRODUCT((PayEmp=$C106)*(PayDate&lt;=$AC106)*(ISERROR(SEARCH(PayEarnCode,AN$2)))*(PayEarnType="Monthly")*(PayEarnValues))/$AA106*12)+(SUMPRODUCT((PayEmp=$C106)*(PayDate&lt;=$AC106)*(ISERROR(SEARCH(PayEarnCode,AN$2)))*(PayEarnType="Quarterly")*(PayEarnValues))/MAX(1,ROUNDDOWN($AB106/3,0))*4)+(SUMPRODUCT((PayEmp=$C106)*(PayDate&lt;=$AC106)*(ISERROR(SEARCH(PayEarnCode,AN$2)))*(PayEarnType="Bi-Annual")*(PayEarnValues))/MAX(1,ROUNDDOWN($AB106/6,0))*2)+(SUMPRODUCT((PayEmp=$C106)*(PayDate&lt;=$AC106)*(ISERROR(SEARCH(PayEarnCode,AN$2)))*(PayEarnType="Annual")*(PayEarnValues)))),IF(ISNUMBER(OFFSET($N$3,0,MATCH(AN$5,PayDedList,0)-1,1,1)),OFFSET($N$3,0,MATCH(AN$5,PayDedList,0)-1,1,1),IgnoreMin)))*IF(COUNTIFS(EmpNo,$C106,OFFSET(Emp!$R$4,1,MATCH(AN$5,DedListItem,0)-1,EmpCount,1),"&lt;&gt;")&gt;0,VLOOKUP($C106,EmpAll,COLUMN(Emp!$R$4)+MATCH(AN$5,DedListItem,0)-1,0),OFFSET(Setup!$E$73,MATCH(AN$5,DedListItem,0),0,1,1))*AN$3))),IF(ISNUMBER(AN$4),AN$4,IgnoreMin)))))</f>
        <v>0</v>
      </c>
      <c r="AO106" s="148" cm="1">
        <f t="array" aca="1" ref="AO106" ca="1">-IF($F106="Terminated",0,IF($AA106=0,0,IF(ISNA(MATCH(AO$5,PayDedList,0)),0,MIN(IF(COUNTIFS(OverEmp,$C106,OverDeduct,AO$5,OverDate,"&lt;"&amp;DATE(YEAR($AC106),MONTH($AC106)+1,1),OverEnd,"&gt;="&amp;DATE(YEAR($AC106),MONTH($AC106),1))&gt;0,SUMPRODUCT((PayEmp=$C106)*(PayDate&lt;=$AC106)*(OFFSET($N$6,1,MATCH(AO$5,PayDedList,0)-1,PayCount,1)))/$AA106*12*AO$3,IF(OR(AO$1="Fixed",AO$1="Not Used"),SUMPRODUCT((PayEmp=$C106)*(PayDate&lt;=$AC106)*(OFFSET($N$6,1,MATCH(AO$5,PayDedList,0)-1,PayCount,1)))/$AA106*12*AO$3,IF(ISNA(MATCH(AO$1,EarnListItem,0))=FALSE,SUMPRODUCT((PayEmp=$C106)*(PayDate&lt;=$AC106)*(OFFSET($N$6,1,MATCH(AO$5,PayDedList,0)-1,PayCount,1)))/$AA106*12*AO$3,(MIN(((SUMPRODUCT((PayEmp=$C106)*(PayDate&lt;=$AC106)*(ISERROR(SEARCH(PayEarnCode,AO$2)))*(PayEarnType="Monthly")*(PayEarnValues))/$AA106*12)+(SUMPRODUCT((PayEmp=$C106)*(PayDate&lt;=$AC106)*(ISERROR(SEARCH(PayEarnCode,AO$2)))*(PayEarnType="Quarterly")*(PayEarnValues))/MAX(1,ROUNDDOWN($AB106/3,0))*4)+(SUMPRODUCT((PayEmp=$C106)*(PayDate&lt;=$AC106)*(ISERROR(SEARCH(PayEarnCode,AO$2)))*(PayEarnType="Bi-Annual")*(PayEarnValues))/MAX(1,ROUNDDOWN($AB106/6,0))*2)+(SUMPRODUCT((PayEmp=$C106)*(PayDate&lt;=$AC106)*(ISERROR(SEARCH(PayEarnCode,AO$2)))*(PayEarnType="Annual")*(PayEarnValues)))),IF(ISNUMBER(OFFSET($N$3,0,MATCH(AO$5,PayDedList,0)-1,1,1)),OFFSET($N$3,0,MATCH(AO$5,PayDedList,0)-1,1,1),IgnoreMin)))*IF(COUNTIFS(EmpNo,$C106,OFFSET(Emp!$R$4,1,MATCH(AO$5,DedListItem,0)-1,EmpCount,1),"&lt;&gt;")&gt;0,VLOOKUP($C106,EmpAll,COLUMN(Emp!$R$4)+MATCH(AO$5,DedListItem,0)-1,0),OFFSET(Setup!$E$73,MATCH(AO$5,DedListItem,0),0,1,1))*AO$3))),IF(ISNUMBER(AO$4),AO$4,IgnoreMin)))))</f>
        <v>0</v>
      </c>
      <c r="AP106" s="148" cm="1">
        <f t="array" aca="1" ref="AP106" ca="1">-IF($F106="Terminated",0,IF($AA106=0,0,IF(ISNA(MATCH(AP$5,PayDedList,0)),0,MIN(IF(COUNTIFS(OverEmp,$C106,OverDeduct,AP$5,OverDate,"&lt;"&amp;DATE(YEAR($AC106),MONTH($AC106)+1,1),OverEnd,"&gt;="&amp;DATE(YEAR($AC106),MONTH($AC106),1))&gt;0,SUMPRODUCT((PayEmp=$C106)*(PayDate&lt;=$AC106)*(OFFSET($N$6,1,MATCH(AP$5,PayDedList,0)-1,PayCount,1)))/$AA106*12*AP$3,IF(OR(AP$1="Fixed",AP$1="Not Used"),SUMPRODUCT((PayEmp=$C106)*(PayDate&lt;=$AC106)*(OFFSET($N$6,1,MATCH(AP$5,PayDedList,0)-1,PayCount,1)))/$AA106*12*AP$3,IF(ISNA(MATCH(AP$1,EarnListItem,0))=FALSE,SUMPRODUCT((PayEmp=$C106)*(PayDate&lt;=$AC106)*(OFFSET($N$6,1,MATCH(AP$5,PayDedList,0)-1,PayCount,1)))/$AA106*12*AP$3,(MIN(((SUMPRODUCT((PayEmp=$C106)*(PayDate&lt;=$AC106)*(ISERROR(SEARCH(PayEarnCode,AP$2)))*(PayEarnType="Monthly")*(PayEarnValues))/$AA106*12)+(SUMPRODUCT((PayEmp=$C106)*(PayDate&lt;=$AC106)*(ISERROR(SEARCH(PayEarnCode,AP$2)))*(PayEarnType="Quarterly")*(PayEarnValues))/MAX(1,ROUNDDOWN($AB106/3,0))*4)+(SUMPRODUCT((PayEmp=$C106)*(PayDate&lt;=$AC106)*(ISERROR(SEARCH(PayEarnCode,AP$2)))*(PayEarnType="Bi-Annual")*(PayEarnValues))/MAX(1,ROUNDDOWN($AB106/6,0))*2)+(SUMPRODUCT((PayEmp=$C106)*(PayDate&lt;=$AC106)*(ISERROR(SEARCH(PayEarnCode,AP$2)))*(PayEarnType="Annual")*(PayEarnValues)))),IF(ISNUMBER(OFFSET($N$3,0,MATCH(AP$5,PayDedList,0)-1,1,1)),OFFSET($N$3,0,MATCH(AP$5,PayDedList,0)-1,1,1),IgnoreMin)))*IF(COUNTIFS(EmpNo,$C106,OFFSET(Emp!$R$4,1,MATCH(AP$5,DedListItem,0)-1,EmpCount,1),"&lt;&gt;")&gt;0,VLOOKUP($C106,EmpAll,COLUMN(Emp!$R$4)+MATCH(AP$5,DedListItem,0)-1,0),OFFSET(Setup!$E$73,MATCH(AP$5,DedListItem,0),0,1,1))*AP$3))),IF(ISNUMBER(AP$4),AP$4,IgnoreMin)))))</f>
        <v>0</v>
      </c>
      <c r="AQ106" s="148" cm="1">
        <f t="array" aca="1" ref="AQ106" ca="1">-IF($F106="Terminated",0,IF($AA106=0,0,IF(ISNA(MATCH(AQ$5,PayDedList,0)),0,MIN(IF(COUNTIFS(OverEmp,$C106,OverDeduct,AQ$5,OverDate,"&lt;"&amp;DATE(YEAR($AC106),MONTH($AC106)+1,1),OverEnd,"&gt;="&amp;DATE(YEAR($AC106),MONTH($AC106),1))&gt;0,SUMPRODUCT((PayEmp=$C106)*(PayDate&lt;=$AC106)*(OFFSET($N$6,1,MATCH(AQ$5,PayDedList,0)-1,PayCount,1)))/$AA106*12*AQ$3,IF(OR(AQ$1="Fixed",AQ$1="Not Used"),SUMPRODUCT((PayEmp=$C106)*(PayDate&lt;=$AC106)*(OFFSET($N$6,1,MATCH(AQ$5,PayDedList,0)-1,PayCount,1)))/$AA106*12*AQ$3,IF(ISNA(MATCH(AQ$1,EarnListItem,0))=FALSE,SUMPRODUCT((PayEmp=$C106)*(PayDate&lt;=$AC106)*(OFFSET($N$6,1,MATCH(AQ$5,PayDedList,0)-1,PayCount,1)))/$AA106*12*AQ$3,(MIN(((SUMPRODUCT((PayEmp=$C106)*(PayDate&lt;=$AC106)*(ISERROR(SEARCH(PayEarnCode,AQ$2)))*(PayEarnType="Monthly")*(PayEarnValues))/$AA106*12)+(SUMPRODUCT((PayEmp=$C106)*(PayDate&lt;=$AC106)*(ISERROR(SEARCH(PayEarnCode,AQ$2)))*(PayEarnType="Quarterly")*(PayEarnValues))/MAX(1,ROUNDDOWN($AB106/3,0))*4)+(SUMPRODUCT((PayEmp=$C106)*(PayDate&lt;=$AC106)*(ISERROR(SEARCH(PayEarnCode,AQ$2)))*(PayEarnType="Bi-Annual")*(PayEarnValues))/MAX(1,ROUNDDOWN($AB106/6,0))*2)+(SUMPRODUCT((PayEmp=$C106)*(PayDate&lt;=$AC106)*(ISERROR(SEARCH(PayEarnCode,AQ$2)))*(PayEarnType="Annual")*(PayEarnValues)))),IF(ISNUMBER(OFFSET($N$3,0,MATCH(AQ$5,PayDedList,0)-1,1,1)),OFFSET($N$3,0,MATCH(AQ$5,PayDedList,0)-1,1,1),IgnoreMin)))*IF(COUNTIFS(EmpNo,$C106,OFFSET(Emp!$R$4,1,MATCH(AQ$5,DedListItem,0)-1,EmpCount,1),"&lt;&gt;")&gt;0,VLOOKUP($C106,EmpAll,COLUMN(Emp!$R$4)+MATCH(AQ$5,DedListItem,0)-1,0),OFFSET(Setup!$E$73,MATCH(AQ$5,DedListItem,0),0,1,1))*AQ$3))),IF(ISNUMBER(AQ$4),AQ$4,IgnoreMin)))))</f>
        <v>0</v>
      </c>
      <c r="AR106" s="148">
        <f t="shared" ca="1" si="52"/>
        <v>108000</v>
      </c>
      <c r="AS106" s="148">
        <f t="shared" ca="1" si="42"/>
        <v>108000</v>
      </c>
      <c r="AT106" s="148" cm="1">
        <f t="array" aca="1" ref="AT106" ca="1">-IF($F106="Terminated",0,IF($AA106=0,0,IF(ISNA(MATCH(AT$5,PayDedList,0)),0,MIN(IF(COUNTIFS(OverEmp,$C106,OverDeduct,AT$5,OverDate,"&lt;"&amp;DATE(YEAR($AC106),MONTH($AC106)+1,1),OverEnd,"&gt;="&amp;DATE(YEAR($AC106),MONTH($AC106),1))&gt;0,SUMPRODUCT((PayEmp=$C106)*(PayDate&lt;=$AC106)*(OFFSET($N$6,1,MATCH(AT$5,PayDedList,0)-1,PayCount,1)))/$AA106*12*AT$3,IF(OR(AT$1="Fixed",AT$1="Not Used"),SUMPRODUCT((PayEmp=$C106)*(PayDate&lt;=$AC106)*(OFFSET($N$6,1,MATCH(AT$5,PayDedList,0)-1,PayCount,1)))/$AA106*12*AT$3,IF(ISNA(MATCH(OFFSET($N$2,0,MATCH(AT$5,PayDedList,0)-1,1,1),EarnListItem,0))=FALSE,SUMPRODUCT((PayEmp=$C106)*(PayDate&lt;=$AC106)*(OFFSET($N$6,1,MATCH(AT$5,PayDedList,0)-1,PayCount,1)))/$AA106*12*AT$3,(MIN(SUMPRODUCT((PayEmp=$C106)*(PayDate&lt;=$AC106)*(ISERROR(SEARCH(PayEarnCode,AT$2)))*(PayEarnType="Monthly")*(PayEarnValues))/$AA106*12,IF(ISNUMBER(OFFSET($N$3,0,MATCH(AT$5,PayDedList,0)-1,1,1)),OFFSET($N$3,0,MATCH(AT$5,PayDedList,0)-1,1,1),IgnoreMin)))*IF(COUNTIFS(EmpNo,$C106,OFFSET(Emp!$R$4,1,MATCH(AT$5,DedListItem,0)-1,EmpCount,1),"&lt;&gt;")&gt;0,VLOOKUP($C106,EmpAll,COLUMN(Emp!$R$4)+MATCH(AT$5,DedListItem,0)-1,0),OFFSET(Setup!$E$73,MATCH(AT$5,DedListItem,0),0,1,1))*AT$3))),IF(ISNUMBER(AT$4),AT$4,IgnoreMin)))))</f>
        <v>0</v>
      </c>
      <c r="AU106" s="148" cm="1">
        <f t="array" aca="1" ref="AU106" ca="1">-IF($F106="Terminated",0,IF($AA106=0,0,IF(ISNA(MATCH(AU$5,PayDedList,0)),0,MIN(IF(COUNTIFS(OverEmp,$C106,OverDeduct,AU$5,OverDate,"&lt;"&amp;DATE(YEAR($AC106),MONTH($AC106)+1,1),OverEnd,"&gt;="&amp;DATE(YEAR($AC106),MONTH($AC106),1))&gt;0,SUMPRODUCT((PayEmp=$C106)*(PayDate&lt;=$AC106)*(OFFSET($N$6,1,MATCH(AU$5,PayDedList,0)-1,PayCount,1)))/$AA106*12*AU$3,IF(OR(AU$1="Fixed",AU$1="Not Used"),SUMPRODUCT((PayEmp=$C106)*(PayDate&lt;=$AC106)*(OFFSET($N$6,1,MATCH(AU$5,PayDedList,0)-1,PayCount,1)))/$AA106*12*AU$3,IF(ISNA(MATCH(OFFSET($N$2,0,MATCH(AU$5,PayDedList,0)-1,1,1),EarnListItem,0))=FALSE,SUMPRODUCT((PayEmp=$C106)*(PayDate&lt;=$AC106)*(OFFSET($N$6,1,MATCH(AU$5,PayDedList,0)-1,PayCount,1)))/$AA106*12*AU$3,(MIN(SUMPRODUCT((PayEmp=$C106)*(PayDate&lt;=$AC106)*(ISERROR(SEARCH(PayEarnCode,AU$2)))*(PayEarnType="Monthly")*(PayEarnValues))/$AA106*12,IF(ISNUMBER(OFFSET($N$3,0,MATCH(AU$5,PayDedList,0)-1,1,1)),OFFSET($N$3,0,MATCH(AU$5,PayDedList,0)-1,1,1),IgnoreMin)))*IF(COUNTIFS(EmpNo,$C106,OFFSET(Emp!$R$4,1,MATCH(AU$5,DedListItem,0)-1,EmpCount,1),"&lt;&gt;")&gt;0,VLOOKUP($C106,EmpAll,COLUMN(Emp!$R$4)+MATCH(AU$5,DedListItem,0)-1,0),OFFSET(Setup!$E$73,MATCH(AU$5,DedListItem,0),0,1,1))*AU$3))),IF(ISNUMBER(AU$4),AU$4,IgnoreMin)))))</f>
        <v>0</v>
      </c>
      <c r="AV106" s="148" cm="1">
        <f t="array" aca="1" ref="AV106" ca="1">-IF($F106="Terminated",0,IF($AA106=0,0,IF(ISNA(MATCH(AV$5,PayDedList,0)),0,MIN(IF(COUNTIFS(OverEmp,$C106,OverDeduct,AV$5,OverDate,"&lt;"&amp;DATE(YEAR($AC106),MONTH($AC106)+1,1),OverEnd,"&gt;="&amp;DATE(YEAR($AC106),MONTH($AC106),1))&gt;0,SUMPRODUCT((PayEmp=$C106)*(PayDate&lt;=$AC106)*(OFFSET($N$6,1,MATCH(AV$5,PayDedList,0)-1,PayCount,1)))/$AA106*12*AV$3,IF(OR(AV$1="Fixed",AV$1="Not Used"),SUMPRODUCT((PayEmp=$C106)*(PayDate&lt;=$AC106)*(OFFSET($N$6,1,MATCH(AV$5,PayDedList,0)-1,PayCount,1)))/$AA106*12*AV$3,IF(ISNA(MATCH(OFFSET($N$2,0,MATCH(AV$5,PayDedList,0)-1,1,1),EarnListItem,0))=FALSE,SUMPRODUCT((PayEmp=$C106)*(PayDate&lt;=$AC106)*(OFFSET($N$6,1,MATCH(AV$5,PayDedList,0)-1,PayCount,1)))/$AA106*12*AV$3,(MIN(SUMPRODUCT((PayEmp=$C106)*(PayDate&lt;=$AC106)*(ISERROR(SEARCH(PayEarnCode,AV$2)))*(PayEarnType="Monthly")*(PayEarnValues))/$AA106*12,IF(ISNUMBER(OFFSET($N$3,0,MATCH(AV$5,PayDedList,0)-1,1,1)),OFFSET($N$3,0,MATCH(AV$5,PayDedList,0)-1,1,1),IgnoreMin)))*IF(COUNTIFS(EmpNo,$C106,OFFSET(Emp!$R$4,1,MATCH(AV$5,DedListItem,0)-1,EmpCount,1),"&lt;&gt;")&gt;0,VLOOKUP($C106,EmpAll,COLUMN(Emp!$R$4)+MATCH(AV$5,DedListItem,0)-1,0),OFFSET(Setup!$E$73,MATCH(AV$5,DedListItem,0),0,1,1))*AV$3))),IF(ISNUMBER(AV$4),AV$4,IgnoreMin)))))</f>
        <v>0</v>
      </c>
      <c r="AW106" s="148" cm="1">
        <f t="array" aca="1" ref="AW106" ca="1">-IF($F106="Terminated",0,IF($AA106=0,0,IF(ISNA(MATCH(AW$5,PayDedList,0)),0,MIN(IF(COUNTIFS(OverEmp,$C106,OverDeduct,AW$5,OverDate,"&lt;"&amp;DATE(YEAR($AC106),MONTH($AC106)+1,1),OverEnd,"&gt;="&amp;DATE(YEAR($AC106),MONTH($AC106),1))&gt;0,SUMPRODUCT((PayEmp=$C106)*(PayDate&lt;=$AC106)*(OFFSET($N$6,1,MATCH(AW$5,PayDedList,0)-1,PayCount,1)))/$AA106*12*AW$3,IF(OR(AW$1="Fixed",AW$1="Not Used"),SUMPRODUCT((PayEmp=$C106)*(PayDate&lt;=$AC106)*(OFFSET($N$6,1,MATCH(AW$5,PayDedList,0)-1,PayCount,1)))/$AA106*12*AW$3,IF(ISNA(MATCH(OFFSET($N$2,0,MATCH(AW$5,PayDedList,0)-1,1,1),EarnListItem,0))=FALSE,SUMPRODUCT((PayEmp=$C106)*(PayDate&lt;=$AC106)*(OFFSET($N$6,1,MATCH(AW$5,PayDedList,0)-1,PayCount,1)))/$AA106*12*AW$3,(MIN(SUMPRODUCT((PayEmp=$C106)*(PayDate&lt;=$AC106)*(ISERROR(SEARCH(PayEarnCode,AW$2)))*(PayEarnType="Monthly")*(PayEarnValues))/$AA106*12,IF(ISNUMBER(OFFSET($N$3,0,MATCH(AW$5,PayDedList,0)-1,1,1)),OFFSET($N$3,0,MATCH(AW$5,PayDedList,0)-1,1,1),IgnoreMin)))*IF(COUNTIFS(EmpNo,$C106,OFFSET(Emp!$R$4,1,MATCH(AW$5,DedListItem,0)-1,EmpCount,1),"&lt;&gt;")&gt;0,VLOOKUP($C106,EmpAll,COLUMN(Emp!$R$4)+MATCH(AW$5,DedListItem,0)-1,0),OFFSET(Setup!$E$73,MATCH(AW$5,DedListItem,0),0,1,1))*AW$3))),IF(ISNUMBER(AW$4),AW$4,IgnoreMin)))))</f>
        <v>0</v>
      </c>
      <c r="AX106" s="148">
        <f t="shared" ca="1" si="58"/>
        <v>108000</v>
      </c>
      <c r="AY106" s="148">
        <f t="shared" ca="1" si="59"/>
        <v>0</v>
      </c>
      <c r="AZ106" s="148">
        <f ca="1">IF(ISNUMBER($AL106),($AR106*$AL106)-$AI106-$AK106,MAX(0,IF($AL106="B",IF($AR106&lt;Setup!$C$32,($AR106*Setup!$D$32)-$AI106-$AK106,(($AR106-VLOOKUP($AR106,TaxAll2,1,1))*OFFSET(Setup!$D$32,MATCH($AR106,TaxBracket2,1),0,1,1))+OFFSET(Setup!$E$31,MATCH($AR106,TaxBracket2,1),0,1,1)-$AI106-$AK106),IF($AR106&lt;Setup!$C$21,($AR106*Setup!$D$21)-$AI106-$AK106,(($AR106-VLOOKUP($AR106,TaxAll1,1,1))*OFFSET(Setup!$D$21,MATCH($AR106,TaxBracket1,1),0,1,1))+OFFSET(Setup!$E$20,MATCH($AR106,TaxBracket1,1),0,1,1)-$AI106-$AK106))))</f>
        <v>2205</v>
      </c>
      <c r="BA106" s="148">
        <f ca="1">IF(ISNUMBER($AL106),($AX106*$AL106)-$AI106-$AK106,MAX(0,IF($AL106="B",IF($AX106&lt;Setup!$C$32,($AX106*Setup!$D$32)-$AI106-$AK106,(($AX106-VLOOKUP($AX106,TaxAll2,1,1))*OFFSET(Setup!$D$32,MATCH($AX106,TaxBracket2,1),0,1,1))+OFFSET(Setup!$E$31,MATCH($AX106,TaxBracket2,1),0,1,1)-$AI106-$AK106),IF($AX106&lt;Setup!$C$21,($AX106*Setup!$D$21)-$AI106-$AK106,(($AX106-VLOOKUP($AX106,TaxAll1,1,1))*OFFSET(Setup!$D$21,MATCH($AX106,TaxBracket1,1),0,1,1))+OFFSET(Setup!$E$20,MATCH($AX106,TaxBracket1,1),0,1,1)-$AI106-$AK106))))</f>
        <v>2205</v>
      </c>
      <c r="BB106" s="148">
        <f t="shared" ca="1" si="53"/>
        <v>0</v>
      </c>
      <c r="BC106" s="150">
        <f t="shared" ca="1" si="45"/>
        <v>1</v>
      </c>
      <c r="BD106" s="150">
        <f t="shared" ca="1" si="46"/>
        <v>0</v>
      </c>
      <c r="BE106" s="148">
        <f t="shared" ca="1" si="47"/>
        <v>108000</v>
      </c>
    </row>
    <row r="107" spans="1:57" ht="16.149999999999999" customHeight="1" x14ac:dyDescent="0.25">
      <c r="A107" s="10" t="str" cm="1">
        <f t="array" aca="1" ref="A107" ca="1">IF(ROW($A107)-ROW($A$6)&gt;EmpCount*12,"-",TEXT($B107,"yyyy")&amp;TEXT($B107,"mm")&amp;"-"&amp;$C107)</f>
        <v>202309-EXS011</v>
      </c>
      <c r="B107" s="137" cm="1">
        <f t="array" aca="1" ref="B107" ca="1">IF(ROW($A107)-ROW($A$6)&gt;EmpCount*12,Setup!$D$12,DATE(YEAR(Setup!$F$12),MONTH(Setup!$F$12)+ROUNDDOWN((ROW($A107)-ROW($A$6)-1)/EmpCount,0),IF(Setup!$C$14&gt;DAY(DATE(YEAR(Setup!$F$12),MONTH(Setup!$F$12)+ROUNDDOWN((ROW($A107)-ROW($A$6)-1)/EmpCount,0)+1,0)),DAY(DATE(YEAR(Setup!$F$12),MONTH(Setup!$F$12)+ROUNDDOWN((ROW($A107)-ROW($A$6)-1)/EmpCount,0)+1,0)),Setup!$C$14)))</f>
        <v>45194</v>
      </c>
      <c r="C107" s="101" t="str" cm="1">
        <f t="array" aca="1" ref="C107" ca="1">IF(ROW($A107)-ROW($A$6)&gt;EmpCount*12,"-",OFFSET(Emp!$A$4,ROW($A107)-ROW($A$6)-IF(ROW($A107)-ROW($A$6)&gt;EmpCount,ROUNDDOWN((ROW($A107)-ROW($A$6)-1)/EmpCount,0)*EmpCount,0),0,1,1))</f>
        <v>EXS011</v>
      </c>
      <c r="D107" s="10" t="str">
        <f ca="1">IF(ISNA(VLOOKUP($C107,EmpAll,COLUMN(Emp!$B$4),0)),"-",VLOOKUP($C107,EmpAll,COLUMN(Emp!$B$4),0))</f>
        <v>Newport GD</v>
      </c>
      <c r="E107" s="145" t="str">
        <f ca="1">IF(ISNA(VLOOKUP($C107,EmpAll,COLUMN(Emp!$C$4),0)),"-",VLOOKUP($C107,EmpAll,COLUMN(Emp!$C$4),0))</f>
        <v>A</v>
      </c>
      <c r="F107" s="101" t="str">
        <f ca="1">IF(ISNA(VLOOKUP($C107,EmpAll,COLUMN(Emp!$A$4),0)),"-",IF(AND(VLOOKUP($C107,EmpAll,COLUMN(Emp!$E$4),0)&lt;&gt;0,VLOOKUP($C107,EmpAll,COLUMN(Emp!$E$4),0)&gt;=DATE(YEAR($AC107),MONTH($AC107)+1,0)),"Inactive",IF(AND(VLOOKUP($C107,EmpAll,COLUMN(Emp!$F$4),0)&lt;&gt;0,VLOOKUP($C107,EmpAll,COLUMN(Emp!$F$4),0)&lt;=DATE(YEAR($AC107),MONTH($AC107),0)),"Terminated","Active")))</f>
        <v>Active</v>
      </c>
      <c r="G107" s="133" cm="1">
        <f t="array" aca="1" ref="G107" ca="1">IF($F107&lt;&gt;"Active",0,IF(COUNTIFS(OverEmp,$C107,OverEarn,G$2,OverDate,"&lt;"&amp;DATE(YEAR($AC107),MONTH($AC107)+1,1),OverEnd,"&gt;="&amp;DATE(YEAR($AC107),MONTH($AC107),1))&gt;0,SUMIFS(OverValue,OverEmp,$C107,OverEarn,G$2,OverDate,"&lt;"&amp;DATE(YEAR($AC107),MONTH($AC107)+1,1),OverEnd,"&gt;="&amp;DATE(YEAR($AC107),MONTH($AC107),1)),IF(AND($AC107&gt;=Setup!$E$10,SUMIFS(EmpIncrease,EmpCode,$C107)&gt;0),SUMIFS(EmpIncrease,EmpCode,$C107),SUMIFS(EmpSalary,EmpCode,$C107))))</f>
        <v>5000</v>
      </c>
      <c r="H107" s="133" cm="1">
        <f t="array" aca="1" ref="H107" ca="1">IF($F107&lt;&gt;"Active",0,IF(COUNTIFS(OverEmp,$C107,OverEarn,H$2,OverDate,"&lt;"&amp;DATE(YEAR($AC107),MONTH($AC107)+1,1),OverEnd,"&gt;="&amp;DATE(YEAR($AC107),MONTH($AC107),1))&gt;0,SUMIFS(OverValue,OverEmp,$C107,OverEarn,H$2,OverDate,"&lt;"&amp;DATE(YEAR($AC107),MONTH($AC107)+1,1),OverEnd,"&gt;="&amp;DATE(YEAR($AC107),MONTH($AC107),1)),0))</f>
        <v>0</v>
      </c>
      <c r="I107" s="133" cm="1">
        <f t="array" aca="1" ref="I107" ca="1">IF($F107&lt;&gt;"Active",0,IF(COUNTIFS(OverEmp,$C107,OverEarn,I$2,OverDate,"&lt;"&amp;DATE(YEAR($AC107),MONTH($AC107)+1,1),OverEnd,"&gt;="&amp;DATE(YEAR($AC107),MONTH($AC107),1))&gt;0,SUMIFS(OverValue,OverEmp,$C107,OverEarn,I$2,OverDate,"&lt;"&amp;DATE(YEAR($AC107),MONTH($AC107)+1,1),OverEnd,"&gt;="&amp;DATE(YEAR($AC107),MONTH($AC107),1)),IF(MONTH(B107)=Setup!$C$15,SUMIFS(EmpBonus,EmpCode,$C107),0)))</f>
        <v>0</v>
      </c>
      <c r="J107" s="133" cm="1">
        <f t="array" aca="1" ref="J107" ca="1">IF($F107&lt;&gt;"Active",0,IF(COUNTIFS(OverEmp,$C107,OverEarn,J$2,OverDate,"&lt;"&amp;DATE(YEAR($AC107),MONTH($AC107)+1,1),OverEnd,"&gt;="&amp;DATE(YEAR($AC107),MONTH($AC107),1))&gt;0,SUMIFS(OverValue,OverEmp,$C107,OverEarn,J$2,OverDate,"&lt;"&amp;DATE(YEAR($AC107),MONTH($AC107)+1,1),OverEnd,"&gt;="&amp;DATE(YEAR($AC107),MONTH($AC107),1)),0))</f>
        <v>0</v>
      </c>
      <c r="K107" s="133" cm="1">
        <f t="array" aca="1" ref="K107" ca="1">IF($F107&lt;&gt;"Active",0,IF(COUNTIFS(OverEmp,$C107,OverEarn,K$2,OverDate,"&lt;"&amp;DATE(YEAR($AC107),MONTH($AC107)+1,1),OverEnd,"&gt;="&amp;DATE(YEAR($AC107),MONTH($AC107),1))&gt;0,SUMIFS(OverValue,OverEmp,$C107,OverEarn,K$2,OverDate,"&lt;"&amp;DATE(YEAR($AC107),MONTH($AC107)+1,1),OverEnd,"&gt;="&amp;DATE(YEAR($AC107),MONTH($AC107),1)),0))</f>
        <v>0</v>
      </c>
      <c r="L107" s="185">
        <f t="shared" ca="1" si="54"/>
        <v>5000</v>
      </c>
      <c r="M107" s="182" cm="1">
        <f t="array" aca="1" ref="M107" ca="1">IF(COUNTIFS(OverEmp,$C107,OverTax,M$5,OverDate,"&lt;"&amp;DATE(YEAR($AC107),MONTH($AC107)+1,1),OverEnd,"&gt;="&amp;DATE(YEAR($AC107),MONTH($AC107),1))&gt;0,SUMIFS(OverValue,OverEmp,$C107,OverTax,M$5,OverDate,"&lt;"&amp;DATE(YEAR($AC107),MONTH($AC107)+1,1),OverEnd,"&gt;="&amp;DATE(YEAR($AC107),MONTH($AC107),1)),(($BA107/12*$AA107)+(BB107*IF(1-$BC107=0,0,BD107/(1-$BC107))))-IF($F107="Terminated",0,SUMIFS(PayTaxDeduct,PayDate,"&lt;"&amp;$AC107,PayEmp,$C107)))</f>
        <v>0</v>
      </c>
      <c r="N107" s="133" cm="1">
        <f t="array" aca="1" ref="N107" ca="1">IF($F107="Terminated",0,IF($AA107=0,0,IF(ISNA(MATCH(N$5,DedListItem,0)),0,IF(COUNTIFS(OverEmp,$C107,OverDeduct,N$5,OverDate,"&lt;"&amp;DATE(YEAR($AC107),MONTH($AC107)+1,1),OverEnd,"&gt;="&amp;DATE(YEAR($AC107),MONTH($AC107),1))&gt;0,SUMIFS(OverValue,OverEmp,$C107,OverDeduct,N$5,OverDate,"&lt;"&amp;DATE(YEAR($AC107),MONTH($AC107)+1,1),OverEnd,"&gt;="&amp;DATE(YEAR($AC107),MONTH($AC107),1)),IF(OR(N$2="Fixed",N$2="Not Used"),(IF(COUNTIFS(EmpNo,$C107,OFFSET(Emp!$R$4,1,MATCH(N$5,DedListItem,0)-1,EmpCount,1),"&lt;&gt;")&gt;0,VLOOKUP($C107,EmpAll,COLUMN(Emp!$R$4)+MATCH(N$5,DedListItem,0)-1,0),OFFSET(Setup!$E$73,MATCH(N$5,DedListItem,0),0,1,1))*$AA107)-SUMIFS(OFFSET(N$6,1,0,PayCount,1),PayDate,"&lt;"&amp;$AC107,PayEmp,$C107),IF(ISNA(MATCH(N$2,EarnListItem,0))=FALSE,IF(OFFSET(Setup!$G$73,MATCH(N$5,DedListItem,0),0,1,1)="Taxable",SUMPRODUCT((PayEmp=$C107)*(PayDate&lt;=$AC107)*(PayEarnCode=N$2)*(PayEarnTax)*(PayEarnValues)),SUMPRODUCT((PayEmp=$C107)*(PayDate&lt;=$AC107)*(PayEarnCode=N$2)*(PayEarnValues)))*IF(COUNTIFS(EmpNo,$C107,OFFSET(Emp!$R$4,1,MATCH(N$5,DedListItem,0)-1,EmpCount,1),"&lt;&gt;")&gt;0,VLOOKUP($C107,EmpAll,COLUMN(Emp!$R$4)+MATCH(N$5,DedListItem,0)-1,0),OFFSET(Setup!$E$73,MATCH(N$5,DedListItem,0),0,1,1)),(MIN(IF(OFFSET(Setup!$G$73,MATCH(N$5,DedListItem,0),0,1,1)="Taxable",SUMPRODUCT((PayEmp=$C107)*(PayDate&lt;=$AC107)*(ISERROR(SEARCH(PayEarnCode,N$4)))*(PayEarnTax)*(PayEarnValues)),SUMPRODUCT((PayEmp=$C107)*(PayDate&lt;=$AC107)*(ISERROR(SEARCH(PayEarnCode,N$4)))*(PayEarnValues))),IF(ISNUMBER(N$3),N$3/12*$AA107,IgnoreMin)))*IF(COUNTIFS(EmpNo,$C107,OFFSET(Emp!$R$4,1,MATCH(N$5,DedListItem,0)-1,EmpCount,1),"&lt;&gt;")&gt;0,VLOOKUP($C107,EmpAll,COLUMN(Emp!$R$4)+MATCH(N$5,DedListItem,0)-1,0),OFFSET(Setup!$E$73,MATCH(N$5,DedListItem,0),0,1,1)))-SUMIFS(OFFSET(N$6,1,0,PayCount,1),PayDate,"&lt;"&amp;$AC107,PayEmp,$C107))))))</f>
        <v>50</v>
      </c>
      <c r="O107" s="133" cm="1">
        <f t="array" aca="1" ref="O107" ca="1">IF($F107="Terminated",0,IF($AA107=0,0,IF(ISNA(MATCH(O$5,DedListItem,0)),0,IF(COUNTIFS(OverEmp,$C107,OverDeduct,O$5,OverDate,"&lt;"&amp;DATE(YEAR($AC107),MONTH($AC107)+1,1),OverEnd,"&gt;="&amp;DATE(YEAR($AC107),MONTH($AC107),1))&gt;0,SUMIFS(OverValue,OverEmp,$C107,OverDeduct,O$5,OverDate,"&lt;"&amp;DATE(YEAR($AC107),MONTH($AC107)+1,1),OverEnd,"&gt;="&amp;DATE(YEAR($AC107),MONTH($AC107),1)),IF(OR(O$2="Fixed",O$2="Not Used"),(IF(COUNTIFS(EmpNo,$C107,OFFSET(Emp!$R$4,1,MATCH(O$5,DedListItem,0)-1,EmpCount,1),"&lt;&gt;")&gt;0,VLOOKUP($C107,EmpAll,COLUMN(Emp!$R$4)+MATCH(O$5,DedListItem,0)-1,0),OFFSET(Setup!$E$73,MATCH(O$5,DedListItem,0),0,1,1))*$AA107)-SUMIFS(OFFSET(O$6,1,0,PayCount,1),PayDate,"&lt;"&amp;$AC107,PayEmp,$C107),IF(ISNA(MATCH(O$2,EarnListItem,0))=FALSE,IF(OFFSET(Setup!$G$73,MATCH(O$5,DedListItem,0),0,1,1)="Taxable",SUMPRODUCT((PayEmp=$C107)*(PayDate&lt;=$AC107)*(PayEarnCode=O$2)*(PayEarnTax)*(PayEarnValues)),SUMPRODUCT((PayEmp=$C107)*(PayDate&lt;=$AC107)*(PayEarnCode=O$2)*(PayEarnValues)))*IF(COUNTIFS(EmpNo,$C107,OFFSET(Emp!$R$4,1,MATCH(O$5,DedListItem,0)-1,EmpCount,1),"&lt;&gt;")&gt;0,VLOOKUP($C107,EmpAll,COLUMN(Emp!$R$4)+MATCH(O$5,DedListItem,0)-1,0),OFFSET(Setup!$E$73,MATCH(O$5,DedListItem,0),0,1,1)),(MIN(IF(OFFSET(Setup!$G$73,MATCH(O$5,DedListItem,0),0,1,1)="Taxable",SUMPRODUCT((PayEmp=$C107)*(PayDate&lt;=$AC107)*(ISERROR(SEARCH(PayEarnCode,O$4)))*(PayEarnTax)*(PayEarnValues)),SUMPRODUCT((PayEmp=$C107)*(PayDate&lt;=$AC107)*(ISERROR(SEARCH(PayEarnCode,O$4)))*(PayEarnValues))),IF(ISNUMBER(O$3),O$3/12*$AA107,IgnoreMin)))*IF(COUNTIFS(EmpNo,$C107,OFFSET(Emp!$R$4,1,MATCH(O$5,DedListItem,0)-1,EmpCount,1),"&lt;&gt;")&gt;0,VLOOKUP($C107,EmpAll,COLUMN(Emp!$R$4)+MATCH(O$5,DedListItem,0)-1,0),OFFSET(Setup!$E$73,MATCH(O$5,DedListItem,0),0,1,1)))-SUMIFS(OFFSET(O$6,1,0,PayCount,1),PayDate,"&lt;"&amp;$AC107,PayEmp,$C107))))))</f>
        <v>0</v>
      </c>
      <c r="P107" s="133" cm="1">
        <f t="array" aca="1" ref="P107" ca="1">IF($F107="Terminated",0,IF($AA107=0,0,IF(ISNA(MATCH(P$5,DedListItem,0)),0,IF(COUNTIFS(OverEmp,$C107,OverDeduct,P$5,OverDate,"&lt;"&amp;DATE(YEAR($AC107),MONTH($AC107)+1,1),OverEnd,"&gt;="&amp;DATE(YEAR($AC107),MONTH($AC107),1))&gt;0,SUMIFS(OverValue,OverEmp,$C107,OverDeduct,P$5,OverDate,"&lt;"&amp;DATE(YEAR($AC107),MONTH($AC107)+1,1),OverEnd,"&gt;="&amp;DATE(YEAR($AC107),MONTH($AC107),1)),IF(OR(P$2="Fixed",P$2="Not Used"),(IF(COUNTIFS(EmpNo,$C107,OFFSET(Emp!$R$4,1,MATCH(P$5,DedListItem,0)-1,EmpCount,1),"&lt;&gt;")&gt;0,VLOOKUP($C107,EmpAll,COLUMN(Emp!$R$4)+MATCH(P$5,DedListItem,0)-1,0),OFFSET(Setup!$E$73,MATCH(P$5,DedListItem,0),0,1,1))*$AA107)-SUMIFS(OFFSET(P$6,1,0,PayCount,1),PayDate,"&lt;"&amp;$AC107,PayEmp,$C107),IF(ISNA(MATCH(P$2,EarnListItem,0))=FALSE,IF(OFFSET(Setup!$G$73,MATCH(P$5,DedListItem,0),0,1,1)="Taxable",SUMPRODUCT((PayEmp=$C107)*(PayDate&lt;=$AC107)*(PayEarnCode=P$2)*(PayEarnTax)*(PayEarnValues)),SUMPRODUCT((PayEmp=$C107)*(PayDate&lt;=$AC107)*(PayEarnCode=P$2)*(PayEarnValues)))*IF(COUNTIFS(EmpNo,$C107,OFFSET(Emp!$R$4,1,MATCH(P$5,DedListItem,0)-1,EmpCount,1),"&lt;&gt;")&gt;0,VLOOKUP($C107,EmpAll,COLUMN(Emp!$R$4)+MATCH(P$5,DedListItem,0)-1,0),OFFSET(Setup!$E$73,MATCH(P$5,DedListItem,0),0,1,1)),(MIN(IF(OFFSET(Setup!$G$73,MATCH(P$5,DedListItem,0),0,1,1)="Taxable",SUMPRODUCT((PayEmp=$C107)*(PayDate&lt;=$AC107)*(ISERROR(SEARCH(PayEarnCode,P$4)))*(PayEarnTax)*(PayEarnValues)),SUMPRODUCT((PayEmp=$C107)*(PayDate&lt;=$AC107)*(ISERROR(SEARCH(PayEarnCode,P$4)))*(PayEarnValues))),IF(ISNUMBER(P$3),P$3/12*$AA107,IgnoreMin)))*IF(COUNTIFS(EmpNo,$C107,OFFSET(Emp!$R$4,1,MATCH(P$5,DedListItem,0)-1,EmpCount,1),"&lt;&gt;")&gt;0,VLOOKUP($C107,EmpAll,COLUMN(Emp!$R$4)+MATCH(P$5,DedListItem,0)-1,0),OFFSET(Setup!$E$73,MATCH(P$5,DedListItem,0),0,1,1)))-SUMIFS(OFFSET(P$6,1,0,PayCount,1),PayDate,"&lt;"&amp;$AC107,PayEmp,$C107))))))</f>
        <v>0</v>
      </c>
      <c r="Q107" s="133" cm="1">
        <f t="array" aca="1" ref="Q107" ca="1">IF($F107="Terminated",0,IF($AA107=0,0,IF(ISNA(MATCH(Q$5,DedListItem,0)),0,IF(COUNTIFS(OverEmp,$C107,OverDeduct,Q$5,OverDate,"&lt;"&amp;DATE(YEAR($AC107),MONTH($AC107)+1,1),OverEnd,"&gt;="&amp;DATE(YEAR($AC107),MONTH($AC107),1))&gt;0,SUMIFS(OverValue,OverEmp,$C107,OverDeduct,Q$5,OverDate,"&lt;"&amp;DATE(YEAR($AC107),MONTH($AC107)+1,1),OverEnd,"&gt;="&amp;DATE(YEAR($AC107),MONTH($AC107),1)),IF(OR(Q$2="Fixed",Q$2="Not Used"),(IF(COUNTIFS(EmpNo,$C107,OFFSET(Emp!$R$4,1,MATCH(Q$5,DedListItem,0)-1,EmpCount,1),"&lt;&gt;")&gt;0,VLOOKUP($C107,EmpAll,COLUMN(Emp!$R$4)+MATCH(Q$5,DedListItem,0)-1,0),OFFSET(Setup!$E$73,MATCH(Q$5,DedListItem,0),0,1,1))*$AA107)-SUMIFS(OFFSET(Q$6,1,0,PayCount,1),PayDate,"&lt;"&amp;$AC107,PayEmp,$C107),IF(ISNA(MATCH(Q$2,EarnListItem,0))=FALSE,IF(OFFSET(Setup!$G$73,MATCH(Q$5,DedListItem,0),0,1,1)="Taxable",SUMPRODUCT((PayEmp=$C107)*(PayDate&lt;=$AC107)*(PayEarnCode=Q$2)*(PayEarnTax)*(PayEarnValues)),SUMPRODUCT((PayEmp=$C107)*(PayDate&lt;=$AC107)*(PayEarnCode=Q$2)*(PayEarnValues)))*IF(COUNTIFS(EmpNo,$C107,OFFSET(Emp!$R$4,1,MATCH(Q$5,DedListItem,0)-1,EmpCount,1),"&lt;&gt;")&gt;0,VLOOKUP($C107,EmpAll,COLUMN(Emp!$R$4)+MATCH(Q$5,DedListItem,0)-1,0),OFFSET(Setup!$E$73,MATCH(Q$5,DedListItem,0),0,1,1)),(MIN(IF(OFFSET(Setup!$G$73,MATCH(Q$5,DedListItem,0),0,1,1)="Taxable",SUMPRODUCT((PayEmp=$C107)*(PayDate&lt;=$AC107)*(ISERROR(SEARCH(PayEarnCode,Q$4)))*(PayEarnTax)*(PayEarnValues)),SUMPRODUCT((PayEmp=$C107)*(PayDate&lt;=$AC107)*(ISERROR(SEARCH(PayEarnCode,Q$4)))*(PayEarnValues))),IF(ISNUMBER(Q$3),Q$3/12*$AA107,IgnoreMin)))*IF(COUNTIFS(EmpNo,$C107,OFFSET(Emp!$R$4,1,MATCH(Q$5,DedListItem,0)-1,EmpCount,1),"&lt;&gt;")&gt;0,VLOOKUP($C107,EmpAll,COLUMN(Emp!$R$4)+MATCH(Q$5,DedListItem,0)-1,0),OFFSET(Setup!$E$73,MATCH(Q$5,DedListItem,0),0,1,1)))-SUMIFS(OFFSET(Q$6,1,0,PayCount,1),PayDate,"&lt;"&amp;$AC107,PayEmp,$C107))))))</f>
        <v>0</v>
      </c>
      <c r="R107" s="185">
        <f t="shared" ca="1" si="55"/>
        <v>50</v>
      </c>
      <c r="S107" s="139">
        <f t="shared" ca="1" si="56"/>
        <v>4950</v>
      </c>
      <c r="T107" s="133" cm="1">
        <f t="array" aca="1" ref="T107" ca="1">IF($F107="Terminated",0,IF($AA107=0,0,IF(ISNA(MATCH(T$5,CompListItem,0)),0,IF(COUNTIFS(OverEmp,$C107,OverComp,T$5,OverDate,"&lt;"&amp;DATE(YEAR($AC107),MONTH($AC107)+1,1),OverEnd,"&gt;="&amp;DATE(YEAR($AC107),MONTH($AC107),1))&gt;0,SUMIFS(OverValue,OverEmp,$C107,OverComp,T$5,OverDate,"&lt;"&amp;DATE(YEAR($AC107),MONTH($AC107)+1,1),OverEnd,"&gt;="&amp;DATE(YEAR($AC107),MONTH($AC107),1)),IF(OR(T$2="Fixed",T$2="Not Used"),(OFFSET(Setup!$E$81,MATCH(T$5,CompListItem,0),0,1,1)*$AA107)-SUMIFS(OFFSET(T$6,1,0,PayCount,1),PayDate,"&lt;"&amp;$AC107,PayEmp,$C107),IF(ISNA(MATCH(T$2,DedListItem,0))=FALSE,(SUMPRODUCT((PayEmp=$C107)*(PayDate&lt;=$AC107)*(PayDedList=T$2)*(PayDedValues))*OFFSET(Setup!$E$81,MATCH(T$5,CompListItem,0),0,1,1))-SUMIFS(OFFSET(T$6,1,0,PayCount,1),PayDate,"&lt;"&amp;$AC107,PayEmp,$C107),(MIN(IF(OFFSET(Setup!$G$81,MATCH(T$5,CompListItem,0),0,1,1)="Taxable",SUMPRODUCT((PayEmp=$C107)*(PayDate&lt;=$AC107)*(ISERROR(SEARCH(PayEarnCode,T$4)))*(PayEarnTax)*(PayEarnValues)),SUMPRODUCT((PayEmp=$C107)*(PayDate&lt;=$AC107)*(ISERROR(SEARCH(PayEarnCode,T$4)))*(PayEarnValues))),IF(ISNUMBER(T$3),T$3/12*$AA107,IgnoreMin)))*OFFSET(Setup!$E$81,MATCH(T$5,CompListItem,0),0,1,1)-SUMIFS(OFFSET(T$6,1,0,PayCount,1),PayDate,"&lt;"&amp;$AC107,PayEmp,$C107)))))))</f>
        <v>50</v>
      </c>
      <c r="U107" s="133" cm="1">
        <f t="array" aca="1" ref="U107" ca="1">IF($F107="Terminated",0,IF($AA107=0,0,IF(ISNA(MATCH(U$5,CompListItem,0)),0,IF(COUNTIFS(OverEmp,$C107,OverComp,U$5,OverDate,"&lt;"&amp;DATE(YEAR($AC107),MONTH($AC107)+1,1),OverEnd,"&gt;="&amp;DATE(YEAR($AC107),MONTH($AC107),1))&gt;0,SUMIFS(OverValue,OverEmp,$C107,OverComp,U$5,OverDate,"&lt;"&amp;DATE(YEAR($AC107),MONTH($AC107)+1,1),OverEnd,"&gt;="&amp;DATE(YEAR($AC107),MONTH($AC107),1)),IF(OR(U$2="Fixed",U$2="Not Used"),(OFFSET(Setup!$E$81,MATCH(U$5,CompListItem,0),0,1,1)*$AA107)-SUMIFS(OFFSET(U$6,1,0,PayCount,1),PayDate,"&lt;"&amp;$AC107,PayEmp,$C107),IF(ISNA(MATCH(U$2,DedListItem,0))=FALSE,(SUMPRODUCT((PayEmp=$C107)*(PayDate&lt;=$AC107)*(PayDedList=U$2)*(PayDedValues))*OFFSET(Setup!$E$81,MATCH(U$5,CompListItem,0),0,1,1))-SUMIFS(OFFSET(U$6,1,0,PayCount,1),PayDate,"&lt;"&amp;$AC107,PayEmp,$C107),(MIN(IF(OFFSET(Setup!$G$81,MATCH(U$5,CompListItem,0),0,1,1)="Taxable",SUMPRODUCT((PayEmp=$C107)*(PayDate&lt;=$AC107)*(ISERROR(SEARCH(PayEarnCode,U$4)))*(PayEarnTax)*(PayEarnValues)),SUMPRODUCT((PayEmp=$C107)*(PayDate&lt;=$AC107)*(ISERROR(SEARCH(PayEarnCode,U$4)))*(PayEarnValues))),IF(ISNUMBER(U$3),U$3/12*$AA107,IgnoreMin)))*OFFSET(Setup!$E$81,MATCH(U$5,CompListItem,0),0,1,1)-SUMIFS(OFFSET(U$6,1,0,PayCount,1),PayDate,"&lt;"&amp;$AC107,PayEmp,$C107)))))))</f>
        <v>50</v>
      </c>
      <c r="V107" s="133" cm="1">
        <f t="array" aca="1" ref="V107" ca="1">IF($F107="Terminated",0,IF($AA107=0,0,IF(ISNA(MATCH(V$5,CompListItem,0)),0,IF(COUNTIFS(OverEmp,$C107,OverComp,V$5,OverDate,"&lt;"&amp;DATE(YEAR($AC107),MONTH($AC107)+1,1),OverEnd,"&gt;="&amp;DATE(YEAR($AC107),MONTH($AC107),1))&gt;0,SUMIFS(OverValue,OverEmp,$C107,OverComp,V$5,OverDate,"&lt;"&amp;DATE(YEAR($AC107),MONTH($AC107)+1,1),OverEnd,"&gt;="&amp;DATE(YEAR($AC107),MONTH($AC107),1)),IF(OR(V$2="Fixed",V$2="Not Used"),(OFFSET(Setup!$E$81,MATCH(V$5,CompListItem,0),0,1,1)*$AA107)-SUMIFS(OFFSET(V$6,1,0,PayCount,1),PayDate,"&lt;"&amp;$AC107,PayEmp,$C107),IF(ISNA(MATCH(V$2,DedListItem,0))=FALSE,(SUMPRODUCT((PayEmp=$C107)*(PayDate&lt;=$AC107)*(PayDedList=V$2)*(PayDedValues))*OFFSET(Setup!$E$81,MATCH(V$5,CompListItem,0),0,1,1))-SUMIFS(OFFSET(V$6,1,0,PayCount,1),PayDate,"&lt;"&amp;$AC107,PayEmp,$C107),(MIN(IF(OFFSET(Setup!$G$81,MATCH(V$5,CompListItem,0),0,1,1)="Taxable",SUMPRODUCT((PayEmp=$C107)*(PayDate&lt;=$AC107)*(ISERROR(SEARCH(PayEarnCode,V$4)))*(PayEarnTax)*(PayEarnValues)),SUMPRODUCT((PayEmp=$C107)*(PayDate&lt;=$AC107)*(ISERROR(SEARCH(PayEarnCode,V$4)))*(PayEarnValues))),IF(ISNUMBER(V$3),V$3/12*$AA107,IgnoreMin)))*OFFSET(Setup!$E$81,MATCH(V$5,CompListItem,0),0,1,1)-SUMIFS(OFFSET(V$6,1,0,PayCount,1),PayDate,"&lt;"&amp;$AC107,PayEmp,$C107)))))))</f>
        <v>0</v>
      </c>
      <c r="W107" s="133" cm="1">
        <f t="array" aca="1" ref="W107" ca="1">IF($F107="Terminated",0,IF($AA107=0,0,IF(ISNA(MATCH(W$5,CompListItem,0)),0,IF(COUNTIFS(OverEmp,$C107,OverComp,W$5,OverDate,"&lt;"&amp;DATE(YEAR($AC107),MONTH($AC107)+1,1),OverEnd,"&gt;="&amp;DATE(YEAR($AC107),MONTH($AC107),1))&gt;0,SUMIFS(OverValue,OverEmp,$C107,OverComp,W$5,OverDate,"&lt;"&amp;DATE(YEAR($AC107),MONTH($AC107)+1,1),OverEnd,"&gt;="&amp;DATE(YEAR($AC107),MONTH($AC107),1)),IF(OR(W$2="Fixed",W$2="Not Used"),(OFFSET(Setup!$E$81,MATCH(W$5,CompListItem,0),0,1,1)*$AA107)-SUMIFS(OFFSET(W$6,1,0,PayCount,1),PayDate,"&lt;"&amp;$AC107,PayEmp,$C107),IF(ISNA(MATCH(W$2,DedListItem,0))=FALSE,(SUMPRODUCT((PayEmp=$C107)*(PayDate&lt;=$AC107)*(PayDedList=W$2)*(PayDedValues))*OFFSET(Setup!$E$81,MATCH(W$5,CompListItem,0),0,1,1))-SUMIFS(OFFSET(W$6,1,0,PayCount,1),PayDate,"&lt;"&amp;$AC107,PayEmp,$C107),(MIN(IF(OFFSET(Setup!$G$81,MATCH(W$5,CompListItem,0),0,1,1)="Taxable",SUMPRODUCT((PayEmp=$C107)*(PayDate&lt;=$AC107)*(ISERROR(SEARCH(PayEarnCode,W$4)))*(PayEarnTax)*(PayEarnValues)),SUMPRODUCT((PayEmp=$C107)*(PayDate&lt;=$AC107)*(ISERROR(SEARCH(PayEarnCode,W$4)))*(PayEarnValues))),IF(ISNUMBER(W$3),W$3/12*$AA107,IgnoreMin)))*OFFSET(Setup!$E$81,MATCH(W$5,CompListItem,0),0,1,1)-SUMIFS(OFFSET(W$6,1,0,PayCount,1),PayDate,"&lt;"&amp;$AC107,PayEmp,$C107)))))))</f>
        <v>0</v>
      </c>
      <c r="X107" s="185">
        <f t="shared" ca="1" si="48"/>
        <v>100</v>
      </c>
      <c r="Y107" s="139">
        <f t="shared" ca="1" si="57"/>
        <v>5100</v>
      </c>
      <c r="Z107" s="139">
        <f t="shared" ca="1" si="49"/>
        <v>150</v>
      </c>
      <c r="AA107" s="146">
        <f ca="1">IF(OR($B107&lt;=Setup!$E$12,$B107&gt;=Setup!$D$12+1),0,IF($F107&lt;&gt;"Active",0,IF($AE107="Yes",$AB107,((YEAR($AC107)*12)+MONTH($AC107))-((YEAR($AD107)*12)+MONTH($AD107)-1))))</f>
        <v>7</v>
      </c>
      <c r="AB107" s="146">
        <f ca="1">IF(OR($B107&lt;=Setup!$E$12,$B107&gt;=Setup!$D$12+1),0,((YEAR($AC107)*12)+MONTH($AC107))-((YEAR(Setup!$E$12)*12)+MONTH(Setup!$E$12)))</f>
        <v>7</v>
      </c>
      <c r="AC107" s="186">
        <f t="shared" ca="1" si="50"/>
        <v>45194</v>
      </c>
      <c r="AD107" s="144">
        <f ca="1">IF(ISNA(VLOOKUP($C107,EmpAll,COLUMN(Emp!$E$4),0)),$AC107,IF(VLOOKUP($C107,EmpAll,COLUMN(Emp!$E$4),0)&lt;=Setup!$E$12,DATE(YEAR(Setup!$E$12),MONTH(Setup!$E$12)+1,1),VLOOKUP($C107,EmpAll,COLUMN(Emp!$E$4),0)))</f>
        <v>44986</v>
      </c>
      <c r="AE107" s="144" t="str">
        <f ca="1">IF(ISNA(VLOOKUP($C107,EmpAll,COLUMN(Emp!$G$1),0)),"-",IF(VLOOKUP($C107,EmpAll,COLUMN(Emp!$G$1),0)=0,"-",VLOOKUP($C107,EmpAll,COLUMN(Emp!$G$1),0)))</f>
        <v>-</v>
      </c>
      <c r="AF107" s="145">
        <f ca="1">IF(A107=PaySlip!$G$3,1,0)</f>
        <v>0</v>
      </c>
      <c r="AG107" s="130" cm="1">
        <f t="array" aca="1" ref="AG107" ca="1">IF(COUNTIFS(OverEmp,$C107,OverMed,"MED",OverDate,"&lt;"&amp;DATE(YEAR($AC107),MONTH($AC107)+1,1),OverEnd,"&gt;="&amp;DATE(YEAR($AC107),MONTH($AC107),1))&gt;0,SUMIFS(OverValue,OverEmp,$C107,OverMed,"MED",OverDate,"&lt;"&amp;DATE(YEAR($AC107),MONTH($AC107)+1,1),OverEnd,"&gt;="&amp;DATE(YEAR($AC107),MONTH($AC107),1)),IF(ISNA(VLOOKUP($C107,EmpAll,COLUMN(Emp!$N$4),0)),0,VLOOKUP($C107,EmpAll,COLUMN(Emp!$N$4),0)))</f>
        <v>0</v>
      </c>
      <c r="AH107" s="146">
        <f ca="1">VLOOKUP($AG107,MedList,COLUMN(Setup!$C$49),1)</f>
        <v>0</v>
      </c>
      <c r="AI107" s="146">
        <f t="shared" ca="1" si="40"/>
        <v>0</v>
      </c>
      <c r="AJ107" s="101" t="str">
        <f ca="1">IF(ISNA(VLOOKUP($C107,EmpAll,COLUMN(Emp!$L$4),0)),"None!",VLOOKUP($C107,EmpAll,COLUMN(Emp!$L$4),0))</f>
        <v>A</v>
      </c>
      <c r="AK107" s="147">
        <f t="shared" ca="1" si="51"/>
        <v>17235</v>
      </c>
      <c r="AL107" s="101" t="str">
        <f ca="1">IF(ISNA(VLOOKUP($C107,Employees[],COLUMN(Emp!$M$4),0))=TRUE,"Error!",IF(VLOOKUP($C107,Employees[],COLUMN(Emp!$M$4),0)=0,"Yes",VLOOKUP($C107,Employees[],COLUMN(Emp!$M$4),0)))</f>
        <v>A</v>
      </c>
      <c r="AM107" s="148">
        <f t="shared" ca="1" si="41"/>
        <v>60000</v>
      </c>
      <c r="AN107" s="148" cm="1">
        <f t="array" aca="1" ref="AN107" ca="1">-IF($F107="Terminated",0,IF($AA107=0,0,IF(ISNA(MATCH(AN$5,PayDedList,0)),0,MIN(IF(COUNTIFS(OverEmp,$C107,OverDeduct,AN$5,OverDate,"&lt;"&amp;DATE(YEAR($AC107),MONTH($AC107)+1,1),OverEnd,"&gt;="&amp;DATE(YEAR($AC107),MONTH($AC107),1))&gt;0,SUMPRODUCT((PayEmp=$C107)*(PayDate&lt;=$AC107)*(OFFSET($N$6,1,MATCH(AN$5,PayDedList,0)-1,PayCount,1)))/$AA107*12*AN$3,IF(OR(AN$1="Fixed",AN$1="Not Used"),SUMPRODUCT((PayEmp=$C107)*(PayDate&lt;=$AC107)*(OFFSET($N$6,1,MATCH(AN$5,PayDedList,0)-1,PayCount,1)))/$AA107*12*AN$3,IF(ISNA(MATCH(AN$1,EarnListItem,0))=FALSE,SUMPRODUCT((PayEmp=$C107)*(PayDate&lt;=$AC107)*(OFFSET($N$6,1,MATCH(AN$5,PayDedList,0)-1,PayCount,1)))/$AA107*12*AN$3,(MIN(((SUMPRODUCT((PayEmp=$C107)*(PayDate&lt;=$AC107)*(ISERROR(SEARCH(PayEarnCode,AN$2)))*(PayEarnType="Monthly")*(PayEarnValues))/$AA107*12)+(SUMPRODUCT((PayEmp=$C107)*(PayDate&lt;=$AC107)*(ISERROR(SEARCH(PayEarnCode,AN$2)))*(PayEarnType="Quarterly")*(PayEarnValues))/MAX(1,ROUNDDOWN($AB107/3,0))*4)+(SUMPRODUCT((PayEmp=$C107)*(PayDate&lt;=$AC107)*(ISERROR(SEARCH(PayEarnCode,AN$2)))*(PayEarnType="Bi-Annual")*(PayEarnValues))/MAX(1,ROUNDDOWN($AB107/6,0))*2)+(SUMPRODUCT((PayEmp=$C107)*(PayDate&lt;=$AC107)*(ISERROR(SEARCH(PayEarnCode,AN$2)))*(PayEarnType="Annual")*(PayEarnValues)))),IF(ISNUMBER(OFFSET($N$3,0,MATCH(AN$5,PayDedList,0)-1,1,1)),OFFSET($N$3,0,MATCH(AN$5,PayDedList,0)-1,1,1),IgnoreMin)))*IF(COUNTIFS(EmpNo,$C107,OFFSET(Emp!$R$4,1,MATCH(AN$5,DedListItem,0)-1,EmpCount,1),"&lt;&gt;")&gt;0,VLOOKUP($C107,EmpAll,COLUMN(Emp!$R$4)+MATCH(AN$5,DedListItem,0)-1,0),OFFSET(Setup!$E$73,MATCH(AN$5,DedListItem,0),0,1,1))*AN$3))),IF(ISNUMBER(AN$4),AN$4,IgnoreMin)))))</f>
        <v>0</v>
      </c>
      <c r="AO107" s="148" cm="1">
        <f t="array" aca="1" ref="AO107" ca="1">-IF($F107="Terminated",0,IF($AA107=0,0,IF(ISNA(MATCH(AO$5,PayDedList,0)),0,MIN(IF(COUNTIFS(OverEmp,$C107,OverDeduct,AO$5,OverDate,"&lt;"&amp;DATE(YEAR($AC107),MONTH($AC107)+1,1),OverEnd,"&gt;="&amp;DATE(YEAR($AC107),MONTH($AC107),1))&gt;0,SUMPRODUCT((PayEmp=$C107)*(PayDate&lt;=$AC107)*(OFFSET($N$6,1,MATCH(AO$5,PayDedList,0)-1,PayCount,1)))/$AA107*12*AO$3,IF(OR(AO$1="Fixed",AO$1="Not Used"),SUMPRODUCT((PayEmp=$C107)*(PayDate&lt;=$AC107)*(OFFSET($N$6,1,MATCH(AO$5,PayDedList,0)-1,PayCount,1)))/$AA107*12*AO$3,IF(ISNA(MATCH(AO$1,EarnListItem,0))=FALSE,SUMPRODUCT((PayEmp=$C107)*(PayDate&lt;=$AC107)*(OFFSET($N$6,1,MATCH(AO$5,PayDedList,0)-1,PayCount,1)))/$AA107*12*AO$3,(MIN(((SUMPRODUCT((PayEmp=$C107)*(PayDate&lt;=$AC107)*(ISERROR(SEARCH(PayEarnCode,AO$2)))*(PayEarnType="Monthly")*(PayEarnValues))/$AA107*12)+(SUMPRODUCT((PayEmp=$C107)*(PayDate&lt;=$AC107)*(ISERROR(SEARCH(PayEarnCode,AO$2)))*(PayEarnType="Quarterly")*(PayEarnValues))/MAX(1,ROUNDDOWN($AB107/3,0))*4)+(SUMPRODUCT((PayEmp=$C107)*(PayDate&lt;=$AC107)*(ISERROR(SEARCH(PayEarnCode,AO$2)))*(PayEarnType="Bi-Annual")*(PayEarnValues))/MAX(1,ROUNDDOWN($AB107/6,0))*2)+(SUMPRODUCT((PayEmp=$C107)*(PayDate&lt;=$AC107)*(ISERROR(SEARCH(PayEarnCode,AO$2)))*(PayEarnType="Annual")*(PayEarnValues)))),IF(ISNUMBER(OFFSET($N$3,0,MATCH(AO$5,PayDedList,0)-1,1,1)),OFFSET($N$3,0,MATCH(AO$5,PayDedList,0)-1,1,1),IgnoreMin)))*IF(COUNTIFS(EmpNo,$C107,OFFSET(Emp!$R$4,1,MATCH(AO$5,DedListItem,0)-1,EmpCount,1),"&lt;&gt;")&gt;0,VLOOKUP($C107,EmpAll,COLUMN(Emp!$R$4)+MATCH(AO$5,DedListItem,0)-1,0),OFFSET(Setup!$E$73,MATCH(AO$5,DedListItem,0),0,1,1))*AO$3))),IF(ISNUMBER(AO$4),AO$4,IgnoreMin)))))</f>
        <v>0</v>
      </c>
      <c r="AP107" s="148" cm="1">
        <f t="array" aca="1" ref="AP107" ca="1">-IF($F107="Terminated",0,IF($AA107=0,0,IF(ISNA(MATCH(AP$5,PayDedList,0)),0,MIN(IF(COUNTIFS(OverEmp,$C107,OverDeduct,AP$5,OverDate,"&lt;"&amp;DATE(YEAR($AC107),MONTH($AC107)+1,1),OverEnd,"&gt;="&amp;DATE(YEAR($AC107),MONTH($AC107),1))&gt;0,SUMPRODUCT((PayEmp=$C107)*(PayDate&lt;=$AC107)*(OFFSET($N$6,1,MATCH(AP$5,PayDedList,0)-1,PayCount,1)))/$AA107*12*AP$3,IF(OR(AP$1="Fixed",AP$1="Not Used"),SUMPRODUCT((PayEmp=$C107)*(PayDate&lt;=$AC107)*(OFFSET($N$6,1,MATCH(AP$5,PayDedList,0)-1,PayCount,1)))/$AA107*12*AP$3,IF(ISNA(MATCH(AP$1,EarnListItem,0))=FALSE,SUMPRODUCT((PayEmp=$C107)*(PayDate&lt;=$AC107)*(OFFSET($N$6,1,MATCH(AP$5,PayDedList,0)-1,PayCount,1)))/$AA107*12*AP$3,(MIN(((SUMPRODUCT((PayEmp=$C107)*(PayDate&lt;=$AC107)*(ISERROR(SEARCH(PayEarnCode,AP$2)))*(PayEarnType="Monthly")*(PayEarnValues))/$AA107*12)+(SUMPRODUCT((PayEmp=$C107)*(PayDate&lt;=$AC107)*(ISERROR(SEARCH(PayEarnCode,AP$2)))*(PayEarnType="Quarterly")*(PayEarnValues))/MAX(1,ROUNDDOWN($AB107/3,0))*4)+(SUMPRODUCT((PayEmp=$C107)*(PayDate&lt;=$AC107)*(ISERROR(SEARCH(PayEarnCode,AP$2)))*(PayEarnType="Bi-Annual")*(PayEarnValues))/MAX(1,ROUNDDOWN($AB107/6,0))*2)+(SUMPRODUCT((PayEmp=$C107)*(PayDate&lt;=$AC107)*(ISERROR(SEARCH(PayEarnCode,AP$2)))*(PayEarnType="Annual")*(PayEarnValues)))),IF(ISNUMBER(OFFSET($N$3,0,MATCH(AP$5,PayDedList,0)-1,1,1)),OFFSET($N$3,0,MATCH(AP$5,PayDedList,0)-1,1,1),IgnoreMin)))*IF(COUNTIFS(EmpNo,$C107,OFFSET(Emp!$R$4,1,MATCH(AP$5,DedListItem,0)-1,EmpCount,1),"&lt;&gt;")&gt;0,VLOOKUP($C107,EmpAll,COLUMN(Emp!$R$4)+MATCH(AP$5,DedListItem,0)-1,0),OFFSET(Setup!$E$73,MATCH(AP$5,DedListItem,0),0,1,1))*AP$3))),IF(ISNUMBER(AP$4),AP$4,IgnoreMin)))))</f>
        <v>0</v>
      </c>
      <c r="AQ107" s="148" cm="1">
        <f t="array" aca="1" ref="AQ107" ca="1">-IF($F107="Terminated",0,IF($AA107=0,0,IF(ISNA(MATCH(AQ$5,PayDedList,0)),0,MIN(IF(COUNTIFS(OverEmp,$C107,OverDeduct,AQ$5,OverDate,"&lt;"&amp;DATE(YEAR($AC107),MONTH($AC107)+1,1),OverEnd,"&gt;="&amp;DATE(YEAR($AC107),MONTH($AC107),1))&gt;0,SUMPRODUCT((PayEmp=$C107)*(PayDate&lt;=$AC107)*(OFFSET($N$6,1,MATCH(AQ$5,PayDedList,0)-1,PayCount,1)))/$AA107*12*AQ$3,IF(OR(AQ$1="Fixed",AQ$1="Not Used"),SUMPRODUCT((PayEmp=$C107)*(PayDate&lt;=$AC107)*(OFFSET($N$6,1,MATCH(AQ$5,PayDedList,0)-1,PayCount,1)))/$AA107*12*AQ$3,IF(ISNA(MATCH(AQ$1,EarnListItem,0))=FALSE,SUMPRODUCT((PayEmp=$C107)*(PayDate&lt;=$AC107)*(OFFSET($N$6,1,MATCH(AQ$5,PayDedList,0)-1,PayCount,1)))/$AA107*12*AQ$3,(MIN(((SUMPRODUCT((PayEmp=$C107)*(PayDate&lt;=$AC107)*(ISERROR(SEARCH(PayEarnCode,AQ$2)))*(PayEarnType="Monthly")*(PayEarnValues))/$AA107*12)+(SUMPRODUCT((PayEmp=$C107)*(PayDate&lt;=$AC107)*(ISERROR(SEARCH(PayEarnCode,AQ$2)))*(PayEarnType="Quarterly")*(PayEarnValues))/MAX(1,ROUNDDOWN($AB107/3,0))*4)+(SUMPRODUCT((PayEmp=$C107)*(PayDate&lt;=$AC107)*(ISERROR(SEARCH(PayEarnCode,AQ$2)))*(PayEarnType="Bi-Annual")*(PayEarnValues))/MAX(1,ROUNDDOWN($AB107/6,0))*2)+(SUMPRODUCT((PayEmp=$C107)*(PayDate&lt;=$AC107)*(ISERROR(SEARCH(PayEarnCode,AQ$2)))*(PayEarnType="Annual")*(PayEarnValues)))),IF(ISNUMBER(OFFSET($N$3,0,MATCH(AQ$5,PayDedList,0)-1,1,1)),OFFSET($N$3,0,MATCH(AQ$5,PayDedList,0)-1,1,1),IgnoreMin)))*IF(COUNTIFS(EmpNo,$C107,OFFSET(Emp!$R$4,1,MATCH(AQ$5,DedListItem,0)-1,EmpCount,1),"&lt;&gt;")&gt;0,VLOOKUP($C107,EmpAll,COLUMN(Emp!$R$4)+MATCH(AQ$5,DedListItem,0)-1,0),OFFSET(Setup!$E$73,MATCH(AQ$5,DedListItem,0),0,1,1))*AQ$3))),IF(ISNUMBER(AQ$4),AQ$4,IgnoreMin)))))</f>
        <v>0</v>
      </c>
      <c r="AR107" s="148">
        <f t="shared" ca="1" si="52"/>
        <v>60000</v>
      </c>
      <c r="AS107" s="148">
        <f t="shared" ca="1" si="42"/>
        <v>60000</v>
      </c>
      <c r="AT107" s="148" cm="1">
        <f t="array" aca="1" ref="AT107" ca="1">-IF($F107="Terminated",0,IF($AA107=0,0,IF(ISNA(MATCH(AT$5,PayDedList,0)),0,MIN(IF(COUNTIFS(OverEmp,$C107,OverDeduct,AT$5,OverDate,"&lt;"&amp;DATE(YEAR($AC107),MONTH($AC107)+1,1),OverEnd,"&gt;="&amp;DATE(YEAR($AC107),MONTH($AC107),1))&gt;0,SUMPRODUCT((PayEmp=$C107)*(PayDate&lt;=$AC107)*(OFFSET($N$6,1,MATCH(AT$5,PayDedList,0)-1,PayCount,1)))/$AA107*12*AT$3,IF(OR(AT$1="Fixed",AT$1="Not Used"),SUMPRODUCT((PayEmp=$C107)*(PayDate&lt;=$AC107)*(OFFSET($N$6,1,MATCH(AT$5,PayDedList,0)-1,PayCount,1)))/$AA107*12*AT$3,IF(ISNA(MATCH(OFFSET($N$2,0,MATCH(AT$5,PayDedList,0)-1,1,1),EarnListItem,0))=FALSE,SUMPRODUCT((PayEmp=$C107)*(PayDate&lt;=$AC107)*(OFFSET($N$6,1,MATCH(AT$5,PayDedList,0)-1,PayCount,1)))/$AA107*12*AT$3,(MIN(SUMPRODUCT((PayEmp=$C107)*(PayDate&lt;=$AC107)*(ISERROR(SEARCH(PayEarnCode,AT$2)))*(PayEarnType="Monthly")*(PayEarnValues))/$AA107*12,IF(ISNUMBER(OFFSET($N$3,0,MATCH(AT$5,PayDedList,0)-1,1,1)),OFFSET($N$3,0,MATCH(AT$5,PayDedList,0)-1,1,1),IgnoreMin)))*IF(COUNTIFS(EmpNo,$C107,OFFSET(Emp!$R$4,1,MATCH(AT$5,DedListItem,0)-1,EmpCount,1),"&lt;&gt;")&gt;0,VLOOKUP($C107,EmpAll,COLUMN(Emp!$R$4)+MATCH(AT$5,DedListItem,0)-1,0),OFFSET(Setup!$E$73,MATCH(AT$5,DedListItem,0),0,1,1))*AT$3))),IF(ISNUMBER(AT$4),AT$4,IgnoreMin)))))</f>
        <v>0</v>
      </c>
      <c r="AU107" s="148" cm="1">
        <f t="array" aca="1" ref="AU107" ca="1">-IF($F107="Terminated",0,IF($AA107=0,0,IF(ISNA(MATCH(AU$5,PayDedList,0)),0,MIN(IF(COUNTIFS(OverEmp,$C107,OverDeduct,AU$5,OverDate,"&lt;"&amp;DATE(YEAR($AC107),MONTH($AC107)+1,1),OverEnd,"&gt;="&amp;DATE(YEAR($AC107),MONTH($AC107),1))&gt;0,SUMPRODUCT((PayEmp=$C107)*(PayDate&lt;=$AC107)*(OFFSET($N$6,1,MATCH(AU$5,PayDedList,0)-1,PayCount,1)))/$AA107*12*AU$3,IF(OR(AU$1="Fixed",AU$1="Not Used"),SUMPRODUCT((PayEmp=$C107)*(PayDate&lt;=$AC107)*(OFFSET($N$6,1,MATCH(AU$5,PayDedList,0)-1,PayCount,1)))/$AA107*12*AU$3,IF(ISNA(MATCH(OFFSET($N$2,0,MATCH(AU$5,PayDedList,0)-1,1,1),EarnListItem,0))=FALSE,SUMPRODUCT((PayEmp=$C107)*(PayDate&lt;=$AC107)*(OFFSET($N$6,1,MATCH(AU$5,PayDedList,0)-1,PayCount,1)))/$AA107*12*AU$3,(MIN(SUMPRODUCT((PayEmp=$C107)*(PayDate&lt;=$AC107)*(ISERROR(SEARCH(PayEarnCode,AU$2)))*(PayEarnType="Monthly")*(PayEarnValues))/$AA107*12,IF(ISNUMBER(OFFSET($N$3,0,MATCH(AU$5,PayDedList,0)-1,1,1)),OFFSET($N$3,0,MATCH(AU$5,PayDedList,0)-1,1,1),IgnoreMin)))*IF(COUNTIFS(EmpNo,$C107,OFFSET(Emp!$R$4,1,MATCH(AU$5,DedListItem,0)-1,EmpCount,1),"&lt;&gt;")&gt;0,VLOOKUP($C107,EmpAll,COLUMN(Emp!$R$4)+MATCH(AU$5,DedListItem,0)-1,0),OFFSET(Setup!$E$73,MATCH(AU$5,DedListItem,0),0,1,1))*AU$3))),IF(ISNUMBER(AU$4),AU$4,IgnoreMin)))))</f>
        <v>0</v>
      </c>
      <c r="AV107" s="148" cm="1">
        <f t="array" aca="1" ref="AV107" ca="1">-IF($F107="Terminated",0,IF($AA107=0,0,IF(ISNA(MATCH(AV$5,PayDedList,0)),0,MIN(IF(COUNTIFS(OverEmp,$C107,OverDeduct,AV$5,OverDate,"&lt;"&amp;DATE(YEAR($AC107),MONTH($AC107)+1,1),OverEnd,"&gt;="&amp;DATE(YEAR($AC107),MONTH($AC107),1))&gt;0,SUMPRODUCT((PayEmp=$C107)*(PayDate&lt;=$AC107)*(OFFSET($N$6,1,MATCH(AV$5,PayDedList,0)-1,PayCount,1)))/$AA107*12*AV$3,IF(OR(AV$1="Fixed",AV$1="Not Used"),SUMPRODUCT((PayEmp=$C107)*(PayDate&lt;=$AC107)*(OFFSET($N$6,1,MATCH(AV$5,PayDedList,0)-1,PayCount,1)))/$AA107*12*AV$3,IF(ISNA(MATCH(OFFSET($N$2,0,MATCH(AV$5,PayDedList,0)-1,1,1),EarnListItem,0))=FALSE,SUMPRODUCT((PayEmp=$C107)*(PayDate&lt;=$AC107)*(OFFSET($N$6,1,MATCH(AV$5,PayDedList,0)-1,PayCount,1)))/$AA107*12*AV$3,(MIN(SUMPRODUCT((PayEmp=$C107)*(PayDate&lt;=$AC107)*(ISERROR(SEARCH(PayEarnCode,AV$2)))*(PayEarnType="Monthly")*(PayEarnValues))/$AA107*12,IF(ISNUMBER(OFFSET($N$3,0,MATCH(AV$5,PayDedList,0)-1,1,1)),OFFSET($N$3,0,MATCH(AV$5,PayDedList,0)-1,1,1),IgnoreMin)))*IF(COUNTIFS(EmpNo,$C107,OFFSET(Emp!$R$4,1,MATCH(AV$5,DedListItem,0)-1,EmpCount,1),"&lt;&gt;")&gt;0,VLOOKUP($C107,EmpAll,COLUMN(Emp!$R$4)+MATCH(AV$5,DedListItem,0)-1,0),OFFSET(Setup!$E$73,MATCH(AV$5,DedListItem,0),0,1,1))*AV$3))),IF(ISNUMBER(AV$4),AV$4,IgnoreMin)))))</f>
        <v>0</v>
      </c>
      <c r="AW107" s="148" cm="1">
        <f t="array" aca="1" ref="AW107" ca="1">-IF($F107="Terminated",0,IF($AA107=0,0,IF(ISNA(MATCH(AW$5,PayDedList,0)),0,MIN(IF(COUNTIFS(OverEmp,$C107,OverDeduct,AW$5,OverDate,"&lt;"&amp;DATE(YEAR($AC107),MONTH($AC107)+1,1),OverEnd,"&gt;="&amp;DATE(YEAR($AC107),MONTH($AC107),1))&gt;0,SUMPRODUCT((PayEmp=$C107)*(PayDate&lt;=$AC107)*(OFFSET($N$6,1,MATCH(AW$5,PayDedList,0)-1,PayCount,1)))/$AA107*12*AW$3,IF(OR(AW$1="Fixed",AW$1="Not Used"),SUMPRODUCT((PayEmp=$C107)*(PayDate&lt;=$AC107)*(OFFSET($N$6,1,MATCH(AW$5,PayDedList,0)-1,PayCount,1)))/$AA107*12*AW$3,IF(ISNA(MATCH(OFFSET($N$2,0,MATCH(AW$5,PayDedList,0)-1,1,1),EarnListItem,0))=FALSE,SUMPRODUCT((PayEmp=$C107)*(PayDate&lt;=$AC107)*(OFFSET($N$6,1,MATCH(AW$5,PayDedList,0)-1,PayCount,1)))/$AA107*12*AW$3,(MIN(SUMPRODUCT((PayEmp=$C107)*(PayDate&lt;=$AC107)*(ISERROR(SEARCH(PayEarnCode,AW$2)))*(PayEarnType="Monthly")*(PayEarnValues))/$AA107*12,IF(ISNUMBER(OFFSET($N$3,0,MATCH(AW$5,PayDedList,0)-1,1,1)),OFFSET($N$3,0,MATCH(AW$5,PayDedList,0)-1,1,1),IgnoreMin)))*IF(COUNTIFS(EmpNo,$C107,OFFSET(Emp!$R$4,1,MATCH(AW$5,DedListItem,0)-1,EmpCount,1),"&lt;&gt;")&gt;0,VLOOKUP($C107,EmpAll,COLUMN(Emp!$R$4)+MATCH(AW$5,DedListItem,0)-1,0),OFFSET(Setup!$E$73,MATCH(AW$5,DedListItem,0),0,1,1))*AW$3))),IF(ISNUMBER(AW$4),AW$4,IgnoreMin)))))</f>
        <v>0</v>
      </c>
      <c r="AX107" s="148">
        <f t="shared" ca="1" si="58"/>
        <v>60000</v>
      </c>
      <c r="AY107" s="148">
        <f t="shared" ca="1" si="59"/>
        <v>0</v>
      </c>
      <c r="AZ107" s="148">
        <f ca="1">IF(ISNUMBER($AL107),($AR107*$AL107)-$AI107-$AK107,MAX(0,IF($AL107="B",IF($AR107&lt;Setup!$C$32,($AR107*Setup!$D$32)-$AI107-$AK107,(($AR107-VLOOKUP($AR107,TaxAll2,1,1))*OFFSET(Setup!$D$32,MATCH($AR107,TaxBracket2,1),0,1,1))+OFFSET(Setup!$E$31,MATCH($AR107,TaxBracket2,1),0,1,1)-$AI107-$AK107),IF($AR107&lt;Setup!$C$21,($AR107*Setup!$D$21)-$AI107-$AK107,(($AR107-VLOOKUP($AR107,TaxAll1,1,1))*OFFSET(Setup!$D$21,MATCH($AR107,TaxBracket1,1),0,1,1))+OFFSET(Setup!$E$20,MATCH($AR107,TaxBracket1,1),0,1,1)-$AI107-$AK107))))</f>
        <v>0</v>
      </c>
      <c r="BA107" s="148">
        <f ca="1">IF(ISNUMBER($AL107),($AX107*$AL107)-$AI107-$AK107,MAX(0,IF($AL107="B",IF($AX107&lt;Setup!$C$32,($AX107*Setup!$D$32)-$AI107-$AK107,(($AX107-VLOOKUP($AX107,TaxAll2,1,1))*OFFSET(Setup!$D$32,MATCH($AX107,TaxBracket2,1),0,1,1))+OFFSET(Setup!$E$31,MATCH($AX107,TaxBracket2,1),0,1,1)-$AI107-$AK107),IF($AX107&lt;Setup!$C$21,($AX107*Setup!$D$21)-$AI107-$AK107,(($AX107-VLOOKUP($AX107,TaxAll1,1,1))*OFFSET(Setup!$D$21,MATCH($AX107,TaxBracket1,1),0,1,1))+OFFSET(Setup!$E$20,MATCH($AX107,TaxBracket1,1),0,1,1)-$AI107-$AK107))))</f>
        <v>0</v>
      </c>
      <c r="BB107" s="148">
        <f t="shared" ca="1" si="53"/>
        <v>0</v>
      </c>
      <c r="BC107" s="150">
        <f t="shared" ca="1" si="45"/>
        <v>1</v>
      </c>
      <c r="BD107" s="150">
        <f t="shared" ca="1" si="46"/>
        <v>0</v>
      </c>
      <c r="BE107" s="148">
        <f t="shared" ca="1" si="47"/>
        <v>60000</v>
      </c>
    </row>
    <row r="108" spans="1:57" ht="16.149999999999999" customHeight="1" x14ac:dyDescent="0.25">
      <c r="A108" s="10" t="str" cm="1">
        <f t="array" aca="1" ref="A108" ca="1">IF(ROW($A108)-ROW($A$6)&gt;EmpCount*12,"-",TEXT($B108,"yyyy")&amp;TEXT($B108,"mm")&amp;"-"&amp;$C108)</f>
        <v>202309-EXS012</v>
      </c>
      <c r="B108" s="137" cm="1">
        <f t="array" aca="1" ref="B108" ca="1">IF(ROW($A108)-ROW($A$6)&gt;EmpCount*12,Setup!$D$12,DATE(YEAR(Setup!$F$12),MONTH(Setup!$F$12)+ROUNDDOWN((ROW($A108)-ROW($A$6)-1)/EmpCount,0),IF(Setup!$C$14&gt;DAY(DATE(YEAR(Setup!$F$12),MONTH(Setup!$F$12)+ROUNDDOWN((ROW($A108)-ROW($A$6)-1)/EmpCount,0)+1,0)),DAY(DATE(YEAR(Setup!$F$12),MONTH(Setup!$F$12)+ROUNDDOWN((ROW($A108)-ROW($A$6)-1)/EmpCount,0)+1,0)),Setup!$C$14)))</f>
        <v>45194</v>
      </c>
      <c r="C108" s="101" t="str" cm="1">
        <f t="array" aca="1" ref="C108" ca="1">IF(ROW($A108)-ROW($A$6)&gt;EmpCount*12,"-",OFFSET(Emp!$A$4,ROW($A108)-ROW($A$6)-IF(ROW($A108)-ROW($A$6)&gt;EmpCount,ROUNDDOWN((ROW($A108)-ROW($A$6)-1)/EmpCount,0)*EmpCount,0),0,1,1))</f>
        <v>EXS012</v>
      </c>
      <c r="D108" s="10" t="str">
        <f ca="1">IF(ISNA(VLOOKUP($C108,EmpAll,COLUMN(Emp!$B$4),0)),"-",VLOOKUP($C108,EmpAll,COLUMN(Emp!$B$4),0))</f>
        <v>Williams VS</v>
      </c>
      <c r="E108" s="145" t="str">
        <f ca="1">IF(ISNA(VLOOKUP($C108,EmpAll,COLUMN(Emp!$C$4),0)),"-",VLOOKUP($C108,EmpAll,COLUMN(Emp!$C$4),0))</f>
        <v>A</v>
      </c>
      <c r="F108" s="101" t="str">
        <f ca="1">IF(ISNA(VLOOKUP($C108,EmpAll,COLUMN(Emp!$A$4),0)),"-",IF(AND(VLOOKUP($C108,EmpAll,COLUMN(Emp!$E$4),0)&lt;&gt;0,VLOOKUP($C108,EmpAll,COLUMN(Emp!$E$4),0)&gt;=DATE(YEAR($AC108),MONTH($AC108)+1,0)),"Inactive",IF(AND(VLOOKUP($C108,EmpAll,COLUMN(Emp!$F$4),0)&lt;&gt;0,VLOOKUP($C108,EmpAll,COLUMN(Emp!$F$4),0)&lt;=DATE(YEAR($AC108),MONTH($AC108),0)),"Terminated","Active")))</f>
        <v>Active</v>
      </c>
      <c r="G108" s="133" cm="1">
        <f t="array" aca="1" ref="G108" ca="1">IF($F108&lt;&gt;"Active",0,IF(COUNTIFS(OverEmp,$C108,OverEarn,G$2,OverDate,"&lt;"&amp;DATE(YEAR($AC108),MONTH($AC108)+1,1),OverEnd,"&gt;="&amp;DATE(YEAR($AC108),MONTH($AC108),1))&gt;0,SUMIFS(OverValue,OverEmp,$C108,OverEarn,G$2,OverDate,"&lt;"&amp;DATE(YEAR($AC108),MONTH($AC108)+1,1),OverEnd,"&gt;="&amp;DATE(YEAR($AC108),MONTH($AC108),1)),IF(AND($AC108&gt;=Setup!$E$10,SUMIFS(EmpIncrease,EmpCode,$C108)&gt;0),SUMIFS(EmpIncrease,EmpCode,$C108),SUMIFS(EmpSalary,EmpCode,$C108))))</f>
        <v>5000</v>
      </c>
      <c r="H108" s="133" cm="1">
        <f t="array" aca="1" ref="H108" ca="1">IF($F108&lt;&gt;"Active",0,IF(COUNTIFS(OverEmp,$C108,OverEarn,H$2,OverDate,"&lt;"&amp;DATE(YEAR($AC108),MONTH($AC108)+1,1),OverEnd,"&gt;="&amp;DATE(YEAR($AC108),MONTH($AC108),1))&gt;0,SUMIFS(OverValue,OverEmp,$C108,OverEarn,H$2,OverDate,"&lt;"&amp;DATE(YEAR($AC108),MONTH($AC108)+1,1),OverEnd,"&gt;="&amp;DATE(YEAR($AC108),MONTH($AC108),1)),0))</f>
        <v>0</v>
      </c>
      <c r="I108" s="133" cm="1">
        <f t="array" aca="1" ref="I108" ca="1">IF($F108&lt;&gt;"Active",0,IF(COUNTIFS(OverEmp,$C108,OverEarn,I$2,OverDate,"&lt;"&amp;DATE(YEAR($AC108),MONTH($AC108)+1,1),OverEnd,"&gt;="&amp;DATE(YEAR($AC108),MONTH($AC108),1))&gt;0,SUMIFS(OverValue,OverEmp,$C108,OverEarn,I$2,OverDate,"&lt;"&amp;DATE(YEAR($AC108),MONTH($AC108)+1,1),OverEnd,"&gt;="&amp;DATE(YEAR($AC108),MONTH($AC108),1)),IF(MONTH(B108)=Setup!$C$15,SUMIFS(EmpBonus,EmpCode,$C108),0)))</f>
        <v>0</v>
      </c>
      <c r="J108" s="133" cm="1">
        <f t="array" aca="1" ref="J108" ca="1">IF($F108&lt;&gt;"Active",0,IF(COUNTIFS(OverEmp,$C108,OverEarn,J$2,OverDate,"&lt;"&amp;DATE(YEAR($AC108),MONTH($AC108)+1,1),OverEnd,"&gt;="&amp;DATE(YEAR($AC108),MONTH($AC108),1))&gt;0,SUMIFS(OverValue,OverEmp,$C108,OverEarn,J$2,OverDate,"&lt;"&amp;DATE(YEAR($AC108),MONTH($AC108)+1,1),OverEnd,"&gt;="&amp;DATE(YEAR($AC108),MONTH($AC108),1)),0))</f>
        <v>0</v>
      </c>
      <c r="K108" s="133" cm="1">
        <f t="array" aca="1" ref="K108" ca="1">IF($F108&lt;&gt;"Active",0,IF(COUNTIFS(OverEmp,$C108,OverEarn,K$2,OverDate,"&lt;"&amp;DATE(YEAR($AC108),MONTH($AC108)+1,1),OverEnd,"&gt;="&amp;DATE(YEAR($AC108),MONTH($AC108),1))&gt;0,SUMIFS(OverValue,OverEmp,$C108,OverEarn,K$2,OverDate,"&lt;"&amp;DATE(YEAR($AC108),MONTH($AC108)+1,1),OverEnd,"&gt;="&amp;DATE(YEAR($AC108),MONTH($AC108),1)),0))</f>
        <v>0</v>
      </c>
      <c r="L108" s="185">
        <f t="shared" ca="1" si="54"/>
        <v>5000</v>
      </c>
      <c r="M108" s="182" cm="1">
        <f t="array" aca="1" ref="M108" ca="1">IF(COUNTIFS(OverEmp,$C108,OverTax,M$5,OverDate,"&lt;"&amp;DATE(YEAR($AC108),MONTH($AC108)+1,1),OverEnd,"&gt;="&amp;DATE(YEAR($AC108),MONTH($AC108),1))&gt;0,SUMIFS(OverValue,OverEmp,$C108,OverTax,M$5,OverDate,"&lt;"&amp;DATE(YEAR($AC108),MONTH($AC108)+1,1),OverEnd,"&gt;="&amp;DATE(YEAR($AC108),MONTH($AC108),1)),(($BA108/12*$AA108)+(BB108*IF(1-$BC108=0,0,BD108/(1-$BC108))))-IF($F108="Terminated",0,SUMIFS(PayTaxDeduct,PayDate,"&lt;"&amp;$AC108,PayEmp,$C108)))</f>
        <v>0</v>
      </c>
      <c r="N108" s="133" cm="1">
        <f t="array" aca="1" ref="N108" ca="1">IF($F108="Terminated",0,IF($AA108=0,0,IF(ISNA(MATCH(N$5,DedListItem,0)),0,IF(COUNTIFS(OverEmp,$C108,OverDeduct,N$5,OverDate,"&lt;"&amp;DATE(YEAR($AC108),MONTH($AC108)+1,1),OverEnd,"&gt;="&amp;DATE(YEAR($AC108),MONTH($AC108),1))&gt;0,SUMIFS(OverValue,OverEmp,$C108,OverDeduct,N$5,OverDate,"&lt;"&amp;DATE(YEAR($AC108),MONTH($AC108)+1,1),OverEnd,"&gt;="&amp;DATE(YEAR($AC108),MONTH($AC108),1)),IF(OR(N$2="Fixed",N$2="Not Used"),(IF(COUNTIFS(EmpNo,$C108,OFFSET(Emp!$R$4,1,MATCH(N$5,DedListItem,0)-1,EmpCount,1),"&lt;&gt;")&gt;0,VLOOKUP($C108,EmpAll,COLUMN(Emp!$R$4)+MATCH(N$5,DedListItem,0)-1,0),OFFSET(Setup!$E$73,MATCH(N$5,DedListItem,0),0,1,1))*$AA108)-SUMIFS(OFFSET(N$6,1,0,PayCount,1),PayDate,"&lt;"&amp;$AC108,PayEmp,$C108),IF(ISNA(MATCH(N$2,EarnListItem,0))=FALSE,IF(OFFSET(Setup!$G$73,MATCH(N$5,DedListItem,0),0,1,1)="Taxable",SUMPRODUCT((PayEmp=$C108)*(PayDate&lt;=$AC108)*(PayEarnCode=N$2)*(PayEarnTax)*(PayEarnValues)),SUMPRODUCT((PayEmp=$C108)*(PayDate&lt;=$AC108)*(PayEarnCode=N$2)*(PayEarnValues)))*IF(COUNTIFS(EmpNo,$C108,OFFSET(Emp!$R$4,1,MATCH(N$5,DedListItem,0)-1,EmpCount,1),"&lt;&gt;")&gt;0,VLOOKUP($C108,EmpAll,COLUMN(Emp!$R$4)+MATCH(N$5,DedListItem,0)-1,0),OFFSET(Setup!$E$73,MATCH(N$5,DedListItem,0),0,1,1)),(MIN(IF(OFFSET(Setup!$G$73,MATCH(N$5,DedListItem,0),0,1,1)="Taxable",SUMPRODUCT((PayEmp=$C108)*(PayDate&lt;=$AC108)*(ISERROR(SEARCH(PayEarnCode,N$4)))*(PayEarnTax)*(PayEarnValues)),SUMPRODUCT((PayEmp=$C108)*(PayDate&lt;=$AC108)*(ISERROR(SEARCH(PayEarnCode,N$4)))*(PayEarnValues))),IF(ISNUMBER(N$3),N$3/12*$AA108,IgnoreMin)))*IF(COUNTIFS(EmpNo,$C108,OFFSET(Emp!$R$4,1,MATCH(N$5,DedListItem,0)-1,EmpCount,1),"&lt;&gt;")&gt;0,VLOOKUP($C108,EmpAll,COLUMN(Emp!$R$4)+MATCH(N$5,DedListItem,0)-1,0),OFFSET(Setup!$E$73,MATCH(N$5,DedListItem,0),0,1,1)))-SUMIFS(OFFSET(N$6,1,0,PayCount,1),PayDate,"&lt;"&amp;$AC108,PayEmp,$C108))))))</f>
        <v>50</v>
      </c>
      <c r="O108" s="133" cm="1">
        <f t="array" aca="1" ref="O108" ca="1">IF($F108="Terminated",0,IF($AA108=0,0,IF(ISNA(MATCH(O$5,DedListItem,0)),0,IF(COUNTIFS(OverEmp,$C108,OverDeduct,O$5,OverDate,"&lt;"&amp;DATE(YEAR($AC108),MONTH($AC108)+1,1),OverEnd,"&gt;="&amp;DATE(YEAR($AC108),MONTH($AC108),1))&gt;0,SUMIFS(OverValue,OverEmp,$C108,OverDeduct,O$5,OverDate,"&lt;"&amp;DATE(YEAR($AC108),MONTH($AC108)+1,1),OverEnd,"&gt;="&amp;DATE(YEAR($AC108),MONTH($AC108),1)),IF(OR(O$2="Fixed",O$2="Not Used"),(IF(COUNTIFS(EmpNo,$C108,OFFSET(Emp!$R$4,1,MATCH(O$5,DedListItem,0)-1,EmpCount,1),"&lt;&gt;")&gt;0,VLOOKUP($C108,EmpAll,COLUMN(Emp!$R$4)+MATCH(O$5,DedListItem,0)-1,0),OFFSET(Setup!$E$73,MATCH(O$5,DedListItem,0),0,1,1))*$AA108)-SUMIFS(OFFSET(O$6,1,0,PayCount,1),PayDate,"&lt;"&amp;$AC108,PayEmp,$C108),IF(ISNA(MATCH(O$2,EarnListItem,0))=FALSE,IF(OFFSET(Setup!$G$73,MATCH(O$5,DedListItem,0),0,1,1)="Taxable",SUMPRODUCT((PayEmp=$C108)*(PayDate&lt;=$AC108)*(PayEarnCode=O$2)*(PayEarnTax)*(PayEarnValues)),SUMPRODUCT((PayEmp=$C108)*(PayDate&lt;=$AC108)*(PayEarnCode=O$2)*(PayEarnValues)))*IF(COUNTIFS(EmpNo,$C108,OFFSET(Emp!$R$4,1,MATCH(O$5,DedListItem,0)-1,EmpCount,1),"&lt;&gt;")&gt;0,VLOOKUP($C108,EmpAll,COLUMN(Emp!$R$4)+MATCH(O$5,DedListItem,0)-1,0),OFFSET(Setup!$E$73,MATCH(O$5,DedListItem,0),0,1,1)),(MIN(IF(OFFSET(Setup!$G$73,MATCH(O$5,DedListItem,0),0,1,1)="Taxable",SUMPRODUCT((PayEmp=$C108)*(PayDate&lt;=$AC108)*(ISERROR(SEARCH(PayEarnCode,O$4)))*(PayEarnTax)*(PayEarnValues)),SUMPRODUCT((PayEmp=$C108)*(PayDate&lt;=$AC108)*(ISERROR(SEARCH(PayEarnCode,O$4)))*(PayEarnValues))),IF(ISNUMBER(O$3),O$3/12*$AA108,IgnoreMin)))*IF(COUNTIFS(EmpNo,$C108,OFFSET(Emp!$R$4,1,MATCH(O$5,DedListItem,0)-1,EmpCount,1),"&lt;&gt;")&gt;0,VLOOKUP($C108,EmpAll,COLUMN(Emp!$R$4)+MATCH(O$5,DedListItem,0)-1,0),OFFSET(Setup!$E$73,MATCH(O$5,DedListItem,0),0,1,1)))-SUMIFS(OFFSET(O$6,1,0,PayCount,1),PayDate,"&lt;"&amp;$AC108,PayEmp,$C108))))))</f>
        <v>0</v>
      </c>
      <c r="P108" s="133" cm="1">
        <f t="array" aca="1" ref="P108" ca="1">IF($F108="Terminated",0,IF($AA108=0,0,IF(ISNA(MATCH(P$5,DedListItem,0)),0,IF(COUNTIFS(OverEmp,$C108,OverDeduct,P$5,OverDate,"&lt;"&amp;DATE(YEAR($AC108),MONTH($AC108)+1,1),OverEnd,"&gt;="&amp;DATE(YEAR($AC108),MONTH($AC108),1))&gt;0,SUMIFS(OverValue,OverEmp,$C108,OverDeduct,P$5,OverDate,"&lt;"&amp;DATE(YEAR($AC108),MONTH($AC108)+1,1),OverEnd,"&gt;="&amp;DATE(YEAR($AC108),MONTH($AC108),1)),IF(OR(P$2="Fixed",P$2="Not Used"),(IF(COUNTIFS(EmpNo,$C108,OFFSET(Emp!$R$4,1,MATCH(P$5,DedListItem,0)-1,EmpCount,1),"&lt;&gt;")&gt;0,VLOOKUP($C108,EmpAll,COLUMN(Emp!$R$4)+MATCH(P$5,DedListItem,0)-1,0),OFFSET(Setup!$E$73,MATCH(P$5,DedListItem,0),0,1,1))*$AA108)-SUMIFS(OFFSET(P$6,1,0,PayCount,1),PayDate,"&lt;"&amp;$AC108,PayEmp,$C108),IF(ISNA(MATCH(P$2,EarnListItem,0))=FALSE,IF(OFFSET(Setup!$G$73,MATCH(P$5,DedListItem,0),0,1,1)="Taxable",SUMPRODUCT((PayEmp=$C108)*(PayDate&lt;=$AC108)*(PayEarnCode=P$2)*(PayEarnTax)*(PayEarnValues)),SUMPRODUCT((PayEmp=$C108)*(PayDate&lt;=$AC108)*(PayEarnCode=P$2)*(PayEarnValues)))*IF(COUNTIFS(EmpNo,$C108,OFFSET(Emp!$R$4,1,MATCH(P$5,DedListItem,0)-1,EmpCount,1),"&lt;&gt;")&gt;0,VLOOKUP($C108,EmpAll,COLUMN(Emp!$R$4)+MATCH(P$5,DedListItem,0)-1,0),OFFSET(Setup!$E$73,MATCH(P$5,DedListItem,0),0,1,1)),(MIN(IF(OFFSET(Setup!$G$73,MATCH(P$5,DedListItem,0),0,1,1)="Taxable",SUMPRODUCT((PayEmp=$C108)*(PayDate&lt;=$AC108)*(ISERROR(SEARCH(PayEarnCode,P$4)))*(PayEarnTax)*(PayEarnValues)),SUMPRODUCT((PayEmp=$C108)*(PayDate&lt;=$AC108)*(ISERROR(SEARCH(PayEarnCode,P$4)))*(PayEarnValues))),IF(ISNUMBER(P$3),P$3/12*$AA108,IgnoreMin)))*IF(COUNTIFS(EmpNo,$C108,OFFSET(Emp!$R$4,1,MATCH(P$5,DedListItem,0)-1,EmpCount,1),"&lt;&gt;")&gt;0,VLOOKUP($C108,EmpAll,COLUMN(Emp!$R$4)+MATCH(P$5,DedListItem,0)-1,0),OFFSET(Setup!$E$73,MATCH(P$5,DedListItem,0),0,1,1)))-SUMIFS(OFFSET(P$6,1,0,PayCount,1),PayDate,"&lt;"&amp;$AC108,PayEmp,$C108))))))</f>
        <v>0</v>
      </c>
      <c r="Q108" s="133" cm="1">
        <f t="array" aca="1" ref="Q108" ca="1">IF($F108="Terminated",0,IF($AA108=0,0,IF(ISNA(MATCH(Q$5,DedListItem,0)),0,IF(COUNTIFS(OverEmp,$C108,OverDeduct,Q$5,OverDate,"&lt;"&amp;DATE(YEAR($AC108),MONTH($AC108)+1,1),OverEnd,"&gt;="&amp;DATE(YEAR($AC108),MONTH($AC108),1))&gt;0,SUMIFS(OverValue,OverEmp,$C108,OverDeduct,Q$5,OverDate,"&lt;"&amp;DATE(YEAR($AC108),MONTH($AC108)+1,1),OverEnd,"&gt;="&amp;DATE(YEAR($AC108),MONTH($AC108),1)),IF(OR(Q$2="Fixed",Q$2="Not Used"),(IF(COUNTIFS(EmpNo,$C108,OFFSET(Emp!$R$4,1,MATCH(Q$5,DedListItem,0)-1,EmpCount,1),"&lt;&gt;")&gt;0,VLOOKUP($C108,EmpAll,COLUMN(Emp!$R$4)+MATCH(Q$5,DedListItem,0)-1,0),OFFSET(Setup!$E$73,MATCH(Q$5,DedListItem,0),0,1,1))*$AA108)-SUMIFS(OFFSET(Q$6,1,0,PayCount,1),PayDate,"&lt;"&amp;$AC108,PayEmp,$C108),IF(ISNA(MATCH(Q$2,EarnListItem,0))=FALSE,IF(OFFSET(Setup!$G$73,MATCH(Q$5,DedListItem,0),0,1,1)="Taxable",SUMPRODUCT((PayEmp=$C108)*(PayDate&lt;=$AC108)*(PayEarnCode=Q$2)*(PayEarnTax)*(PayEarnValues)),SUMPRODUCT((PayEmp=$C108)*(PayDate&lt;=$AC108)*(PayEarnCode=Q$2)*(PayEarnValues)))*IF(COUNTIFS(EmpNo,$C108,OFFSET(Emp!$R$4,1,MATCH(Q$5,DedListItem,0)-1,EmpCount,1),"&lt;&gt;")&gt;0,VLOOKUP($C108,EmpAll,COLUMN(Emp!$R$4)+MATCH(Q$5,DedListItem,0)-1,0),OFFSET(Setup!$E$73,MATCH(Q$5,DedListItem,0),0,1,1)),(MIN(IF(OFFSET(Setup!$G$73,MATCH(Q$5,DedListItem,0),0,1,1)="Taxable",SUMPRODUCT((PayEmp=$C108)*(PayDate&lt;=$AC108)*(ISERROR(SEARCH(PayEarnCode,Q$4)))*(PayEarnTax)*(PayEarnValues)),SUMPRODUCT((PayEmp=$C108)*(PayDate&lt;=$AC108)*(ISERROR(SEARCH(PayEarnCode,Q$4)))*(PayEarnValues))),IF(ISNUMBER(Q$3),Q$3/12*$AA108,IgnoreMin)))*IF(COUNTIFS(EmpNo,$C108,OFFSET(Emp!$R$4,1,MATCH(Q$5,DedListItem,0)-1,EmpCount,1),"&lt;&gt;")&gt;0,VLOOKUP($C108,EmpAll,COLUMN(Emp!$R$4)+MATCH(Q$5,DedListItem,0)-1,0),OFFSET(Setup!$E$73,MATCH(Q$5,DedListItem,0),0,1,1)))-SUMIFS(OFFSET(Q$6,1,0,PayCount,1),PayDate,"&lt;"&amp;$AC108,PayEmp,$C108))))))</f>
        <v>0</v>
      </c>
      <c r="R108" s="185">
        <f t="shared" ca="1" si="55"/>
        <v>50</v>
      </c>
      <c r="S108" s="139">
        <f t="shared" ca="1" si="56"/>
        <v>4950</v>
      </c>
      <c r="T108" s="133" cm="1">
        <f t="array" aca="1" ref="T108" ca="1">IF($F108="Terminated",0,IF($AA108=0,0,IF(ISNA(MATCH(T$5,CompListItem,0)),0,IF(COUNTIFS(OverEmp,$C108,OverComp,T$5,OverDate,"&lt;"&amp;DATE(YEAR($AC108),MONTH($AC108)+1,1),OverEnd,"&gt;="&amp;DATE(YEAR($AC108),MONTH($AC108),1))&gt;0,SUMIFS(OverValue,OverEmp,$C108,OverComp,T$5,OverDate,"&lt;"&amp;DATE(YEAR($AC108),MONTH($AC108)+1,1),OverEnd,"&gt;="&amp;DATE(YEAR($AC108),MONTH($AC108),1)),IF(OR(T$2="Fixed",T$2="Not Used"),(OFFSET(Setup!$E$81,MATCH(T$5,CompListItem,0),0,1,1)*$AA108)-SUMIFS(OFFSET(T$6,1,0,PayCount,1),PayDate,"&lt;"&amp;$AC108,PayEmp,$C108),IF(ISNA(MATCH(T$2,DedListItem,0))=FALSE,(SUMPRODUCT((PayEmp=$C108)*(PayDate&lt;=$AC108)*(PayDedList=T$2)*(PayDedValues))*OFFSET(Setup!$E$81,MATCH(T$5,CompListItem,0),0,1,1))-SUMIFS(OFFSET(T$6,1,0,PayCount,1),PayDate,"&lt;"&amp;$AC108,PayEmp,$C108),(MIN(IF(OFFSET(Setup!$G$81,MATCH(T$5,CompListItem,0),0,1,1)="Taxable",SUMPRODUCT((PayEmp=$C108)*(PayDate&lt;=$AC108)*(ISERROR(SEARCH(PayEarnCode,T$4)))*(PayEarnTax)*(PayEarnValues)),SUMPRODUCT((PayEmp=$C108)*(PayDate&lt;=$AC108)*(ISERROR(SEARCH(PayEarnCode,T$4)))*(PayEarnValues))),IF(ISNUMBER(T$3),T$3/12*$AA108,IgnoreMin)))*OFFSET(Setup!$E$81,MATCH(T$5,CompListItem,0),0,1,1)-SUMIFS(OFFSET(T$6,1,0,PayCount,1),PayDate,"&lt;"&amp;$AC108,PayEmp,$C108)))))))</f>
        <v>50</v>
      </c>
      <c r="U108" s="133" cm="1">
        <f t="array" aca="1" ref="U108" ca="1">IF($F108="Terminated",0,IF($AA108=0,0,IF(ISNA(MATCH(U$5,CompListItem,0)),0,IF(COUNTIFS(OverEmp,$C108,OverComp,U$5,OverDate,"&lt;"&amp;DATE(YEAR($AC108),MONTH($AC108)+1,1),OverEnd,"&gt;="&amp;DATE(YEAR($AC108),MONTH($AC108),1))&gt;0,SUMIFS(OverValue,OverEmp,$C108,OverComp,U$5,OverDate,"&lt;"&amp;DATE(YEAR($AC108),MONTH($AC108)+1,1),OverEnd,"&gt;="&amp;DATE(YEAR($AC108),MONTH($AC108),1)),IF(OR(U$2="Fixed",U$2="Not Used"),(OFFSET(Setup!$E$81,MATCH(U$5,CompListItem,0),0,1,1)*$AA108)-SUMIFS(OFFSET(U$6,1,0,PayCount,1),PayDate,"&lt;"&amp;$AC108,PayEmp,$C108),IF(ISNA(MATCH(U$2,DedListItem,0))=FALSE,(SUMPRODUCT((PayEmp=$C108)*(PayDate&lt;=$AC108)*(PayDedList=U$2)*(PayDedValues))*OFFSET(Setup!$E$81,MATCH(U$5,CompListItem,0),0,1,1))-SUMIFS(OFFSET(U$6,1,0,PayCount,1),PayDate,"&lt;"&amp;$AC108,PayEmp,$C108),(MIN(IF(OFFSET(Setup!$G$81,MATCH(U$5,CompListItem,0),0,1,1)="Taxable",SUMPRODUCT((PayEmp=$C108)*(PayDate&lt;=$AC108)*(ISERROR(SEARCH(PayEarnCode,U$4)))*(PayEarnTax)*(PayEarnValues)),SUMPRODUCT((PayEmp=$C108)*(PayDate&lt;=$AC108)*(ISERROR(SEARCH(PayEarnCode,U$4)))*(PayEarnValues))),IF(ISNUMBER(U$3),U$3/12*$AA108,IgnoreMin)))*OFFSET(Setup!$E$81,MATCH(U$5,CompListItem,0),0,1,1)-SUMIFS(OFFSET(U$6,1,0,PayCount,1),PayDate,"&lt;"&amp;$AC108,PayEmp,$C108)))))))</f>
        <v>50</v>
      </c>
      <c r="V108" s="133" cm="1">
        <f t="array" aca="1" ref="V108" ca="1">IF($F108="Terminated",0,IF($AA108=0,0,IF(ISNA(MATCH(V$5,CompListItem,0)),0,IF(COUNTIFS(OverEmp,$C108,OverComp,V$5,OverDate,"&lt;"&amp;DATE(YEAR($AC108),MONTH($AC108)+1,1),OverEnd,"&gt;="&amp;DATE(YEAR($AC108),MONTH($AC108),1))&gt;0,SUMIFS(OverValue,OverEmp,$C108,OverComp,V$5,OverDate,"&lt;"&amp;DATE(YEAR($AC108),MONTH($AC108)+1,1),OverEnd,"&gt;="&amp;DATE(YEAR($AC108),MONTH($AC108),1)),IF(OR(V$2="Fixed",V$2="Not Used"),(OFFSET(Setup!$E$81,MATCH(V$5,CompListItem,0),0,1,1)*$AA108)-SUMIFS(OFFSET(V$6,1,0,PayCount,1),PayDate,"&lt;"&amp;$AC108,PayEmp,$C108),IF(ISNA(MATCH(V$2,DedListItem,0))=FALSE,(SUMPRODUCT((PayEmp=$C108)*(PayDate&lt;=$AC108)*(PayDedList=V$2)*(PayDedValues))*OFFSET(Setup!$E$81,MATCH(V$5,CompListItem,0),0,1,1))-SUMIFS(OFFSET(V$6,1,0,PayCount,1),PayDate,"&lt;"&amp;$AC108,PayEmp,$C108),(MIN(IF(OFFSET(Setup!$G$81,MATCH(V$5,CompListItem,0),0,1,1)="Taxable",SUMPRODUCT((PayEmp=$C108)*(PayDate&lt;=$AC108)*(ISERROR(SEARCH(PayEarnCode,V$4)))*(PayEarnTax)*(PayEarnValues)),SUMPRODUCT((PayEmp=$C108)*(PayDate&lt;=$AC108)*(ISERROR(SEARCH(PayEarnCode,V$4)))*(PayEarnValues))),IF(ISNUMBER(V$3),V$3/12*$AA108,IgnoreMin)))*OFFSET(Setup!$E$81,MATCH(V$5,CompListItem,0),0,1,1)-SUMIFS(OFFSET(V$6,1,0,PayCount,1),PayDate,"&lt;"&amp;$AC108,PayEmp,$C108)))))))</f>
        <v>0</v>
      </c>
      <c r="W108" s="133" cm="1">
        <f t="array" aca="1" ref="W108" ca="1">IF($F108="Terminated",0,IF($AA108=0,0,IF(ISNA(MATCH(W$5,CompListItem,0)),0,IF(COUNTIFS(OverEmp,$C108,OverComp,W$5,OverDate,"&lt;"&amp;DATE(YEAR($AC108),MONTH($AC108)+1,1),OverEnd,"&gt;="&amp;DATE(YEAR($AC108),MONTH($AC108),1))&gt;0,SUMIFS(OverValue,OverEmp,$C108,OverComp,W$5,OverDate,"&lt;"&amp;DATE(YEAR($AC108),MONTH($AC108)+1,1),OverEnd,"&gt;="&amp;DATE(YEAR($AC108),MONTH($AC108),1)),IF(OR(W$2="Fixed",W$2="Not Used"),(OFFSET(Setup!$E$81,MATCH(W$5,CompListItem,0),0,1,1)*$AA108)-SUMIFS(OFFSET(W$6,1,0,PayCount,1),PayDate,"&lt;"&amp;$AC108,PayEmp,$C108),IF(ISNA(MATCH(W$2,DedListItem,0))=FALSE,(SUMPRODUCT((PayEmp=$C108)*(PayDate&lt;=$AC108)*(PayDedList=W$2)*(PayDedValues))*OFFSET(Setup!$E$81,MATCH(W$5,CompListItem,0),0,1,1))-SUMIFS(OFFSET(W$6,1,0,PayCount,1),PayDate,"&lt;"&amp;$AC108,PayEmp,$C108),(MIN(IF(OFFSET(Setup!$G$81,MATCH(W$5,CompListItem,0),0,1,1)="Taxable",SUMPRODUCT((PayEmp=$C108)*(PayDate&lt;=$AC108)*(ISERROR(SEARCH(PayEarnCode,W$4)))*(PayEarnTax)*(PayEarnValues)),SUMPRODUCT((PayEmp=$C108)*(PayDate&lt;=$AC108)*(ISERROR(SEARCH(PayEarnCode,W$4)))*(PayEarnValues))),IF(ISNUMBER(W$3),W$3/12*$AA108,IgnoreMin)))*OFFSET(Setup!$E$81,MATCH(W$5,CompListItem,0),0,1,1)-SUMIFS(OFFSET(W$6,1,0,PayCount,1),PayDate,"&lt;"&amp;$AC108,PayEmp,$C108)))))))</f>
        <v>0</v>
      </c>
      <c r="X108" s="185">
        <f t="shared" ca="1" si="48"/>
        <v>100</v>
      </c>
      <c r="Y108" s="139">
        <f t="shared" ca="1" si="57"/>
        <v>5100</v>
      </c>
      <c r="Z108" s="139">
        <f t="shared" ca="1" si="49"/>
        <v>150</v>
      </c>
      <c r="AA108" s="146">
        <f ca="1">IF(OR($B108&lt;=Setup!$E$12,$B108&gt;=Setup!$D$12+1),0,IF($F108&lt;&gt;"Active",0,IF($AE108="Yes",$AB108,((YEAR($AC108)*12)+MONTH($AC108))-((YEAR($AD108)*12)+MONTH($AD108)-1))))</f>
        <v>7</v>
      </c>
      <c r="AB108" s="146">
        <f ca="1">IF(OR($B108&lt;=Setup!$E$12,$B108&gt;=Setup!$D$12+1),0,((YEAR($AC108)*12)+MONTH($AC108))-((YEAR(Setup!$E$12)*12)+MONTH(Setup!$E$12)))</f>
        <v>7</v>
      </c>
      <c r="AC108" s="186">
        <f t="shared" ca="1" si="50"/>
        <v>45194</v>
      </c>
      <c r="AD108" s="144">
        <f ca="1">IF(ISNA(VLOOKUP($C108,EmpAll,COLUMN(Emp!$E$4),0)),$AC108,IF(VLOOKUP($C108,EmpAll,COLUMN(Emp!$E$4),0)&lt;=Setup!$E$12,DATE(YEAR(Setup!$E$12),MONTH(Setup!$E$12)+1,1),VLOOKUP($C108,EmpAll,COLUMN(Emp!$E$4),0)))</f>
        <v>44986</v>
      </c>
      <c r="AE108" s="144" t="str">
        <f ca="1">IF(ISNA(VLOOKUP($C108,EmpAll,COLUMN(Emp!$G$1),0)),"-",IF(VLOOKUP($C108,EmpAll,COLUMN(Emp!$G$1),0)=0,"-",VLOOKUP($C108,EmpAll,COLUMN(Emp!$G$1),0)))</f>
        <v>-</v>
      </c>
      <c r="AF108" s="145">
        <f ca="1">IF(A108=PaySlip!$G$3,1,0)</f>
        <v>0</v>
      </c>
      <c r="AG108" s="130" cm="1">
        <f t="array" aca="1" ref="AG108" ca="1">IF(COUNTIFS(OverEmp,$C108,OverMed,"MED",OverDate,"&lt;"&amp;DATE(YEAR($AC108),MONTH($AC108)+1,1),OverEnd,"&gt;="&amp;DATE(YEAR($AC108),MONTH($AC108),1))&gt;0,SUMIFS(OverValue,OverEmp,$C108,OverMed,"MED",OverDate,"&lt;"&amp;DATE(YEAR($AC108),MONTH($AC108)+1,1),OverEnd,"&gt;="&amp;DATE(YEAR($AC108),MONTH($AC108),1)),IF(ISNA(VLOOKUP($C108,EmpAll,COLUMN(Emp!$N$4),0)),0,VLOOKUP($C108,EmpAll,COLUMN(Emp!$N$4),0)))</f>
        <v>0</v>
      </c>
      <c r="AH108" s="146">
        <f ca="1">VLOOKUP($AG108,MedList,COLUMN(Setup!$C$49),1)</f>
        <v>0</v>
      </c>
      <c r="AI108" s="146">
        <f t="shared" ca="1" si="40"/>
        <v>0</v>
      </c>
      <c r="AJ108" s="101" t="str">
        <f ca="1">IF(ISNA(VLOOKUP($C108,EmpAll,COLUMN(Emp!$L$4),0)),"None!",VLOOKUP($C108,EmpAll,COLUMN(Emp!$L$4),0))</f>
        <v>A</v>
      </c>
      <c r="AK108" s="147">
        <f t="shared" ca="1" si="51"/>
        <v>17235</v>
      </c>
      <c r="AL108" s="101" t="str">
        <f ca="1">IF(ISNA(VLOOKUP($C108,Employees[],COLUMN(Emp!$M$4),0))=TRUE,"Error!",IF(VLOOKUP($C108,Employees[],COLUMN(Emp!$M$4),0)=0,"Yes",VLOOKUP($C108,Employees[],COLUMN(Emp!$M$4),0)))</f>
        <v>A</v>
      </c>
      <c r="AM108" s="148">
        <f t="shared" ca="1" si="41"/>
        <v>60000</v>
      </c>
      <c r="AN108" s="148" cm="1">
        <f t="array" aca="1" ref="AN108" ca="1">-IF($F108="Terminated",0,IF($AA108=0,0,IF(ISNA(MATCH(AN$5,PayDedList,0)),0,MIN(IF(COUNTIFS(OverEmp,$C108,OverDeduct,AN$5,OverDate,"&lt;"&amp;DATE(YEAR($AC108),MONTH($AC108)+1,1),OverEnd,"&gt;="&amp;DATE(YEAR($AC108),MONTH($AC108),1))&gt;0,SUMPRODUCT((PayEmp=$C108)*(PayDate&lt;=$AC108)*(OFFSET($N$6,1,MATCH(AN$5,PayDedList,0)-1,PayCount,1)))/$AA108*12*AN$3,IF(OR(AN$1="Fixed",AN$1="Not Used"),SUMPRODUCT((PayEmp=$C108)*(PayDate&lt;=$AC108)*(OFFSET($N$6,1,MATCH(AN$5,PayDedList,0)-1,PayCount,1)))/$AA108*12*AN$3,IF(ISNA(MATCH(AN$1,EarnListItem,0))=FALSE,SUMPRODUCT((PayEmp=$C108)*(PayDate&lt;=$AC108)*(OFFSET($N$6,1,MATCH(AN$5,PayDedList,0)-1,PayCount,1)))/$AA108*12*AN$3,(MIN(((SUMPRODUCT((PayEmp=$C108)*(PayDate&lt;=$AC108)*(ISERROR(SEARCH(PayEarnCode,AN$2)))*(PayEarnType="Monthly")*(PayEarnValues))/$AA108*12)+(SUMPRODUCT((PayEmp=$C108)*(PayDate&lt;=$AC108)*(ISERROR(SEARCH(PayEarnCode,AN$2)))*(PayEarnType="Quarterly")*(PayEarnValues))/MAX(1,ROUNDDOWN($AB108/3,0))*4)+(SUMPRODUCT((PayEmp=$C108)*(PayDate&lt;=$AC108)*(ISERROR(SEARCH(PayEarnCode,AN$2)))*(PayEarnType="Bi-Annual")*(PayEarnValues))/MAX(1,ROUNDDOWN($AB108/6,0))*2)+(SUMPRODUCT((PayEmp=$C108)*(PayDate&lt;=$AC108)*(ISERROR(SEARCH(PayEarnCode,AN$2)))*(PayEarnType="Annual")*(PayEarnValues)))),IF(ISNUMBER(OFFSET($N$3,0,MATCH(AN$5,PayDedList,0)-1,1,1)),OFFSET($N$3,0,MATCH(AN$5,PayDedList,0)-1,1,1),IgnoreMin)))*IF(COUNTIFS(EmpNo,$C108,OFFSET(Emp!$R$4,1,MATCH(AN$5,DedListItem,0)-1,EmpCount,1),"&lt;&gt;")&gt;0,VLOOKUP($C108,EmpAll,COLUMN(Emp!$R$4)+MATCH(AN$5,DedListItem,0)-1,0),OFFSET(Setup!$E$73,MATCH(AN$5,DedListItem,0),0,1,1))*AN$3))),IF(ISNUMBER(AN$4),AN$4,IgnoreMin)))))</f>
        <v>0</v>
      </c>
      <c r="AO108" s="148" cm="1">
        <f t="array" aca="1" ref="AO108" ca="1">-IF($F108="Terminated",0,IF($AA108=0,0,IF(ISNA(MATCH(AO$5,PayDedList,0)),0,MIN(IF(COUNTIFS(OverEmp,$C108,OverDeduct,AO$5,OverDate,"&lt;"&amp;DATE(YEAR($AC108),MONTH($AC108)+1,1),OverEnd,"&gt;="&amp;DATE(YEAR($AC108),MONTH($AC108),1))&gt;0,SUMPRODUCT((PayEmp=$C108)*(PayDate&lt;=$AC108)*(OFFSET($N$6,1,MATCH(AO$5,PayDedList,0)-1,PayCount,1)))/$AA108*12*AO$3,IF(OR(AO$1="Fixed",AO$1="Not Used"),SUMPRODUCT((PayEmp=$C108)*(PayDate&lt;=$AC108)*(OFFSET($N$6,1,MATCH(AO$5,PayDedList,0)-1,PayCount,1)))/$AA108*12*AO$3,IF(ISNA(MATCH(AO$1,EarnListItem,0))=FALSE,SUMPRODUCT((PayEmp=$C108)*(PayDate&lt;=$AC108)*(OFFSET($N$6,1,MATCH(AO$5,PayDedList,0)-1,PayCount,1)))/$AA108*12*AO$3,(MIN(((SUMPRODUCT((PayEmp=$C108)*(PayDate&lt;=$AC108)*(ISERROR(SEARCH(PayEarnCode,AO$2)))*(PayEarnType="Monthly")*(PayEarnValues))/$AA108*12)+(SUMPRODUCT((PayEmp=$C108)*(PayDate&lt;=$AC108)*(ISERROR(SEARCH(PayEarnCode,AO$2)))*(PayEarnType="Quarterly")*(PayEarnValues))/MAX(1,ROUNDDOWN($AB108/3,0))*4)+(SUMPRODUCT((PayEmp=$C108)*(PayDate&lt;=$AC108)*(ISERROR(SEARCH(PayEarnCode,AO$2)))*(PayEarnType="Bi-Annual")*(PayEarnValues))/MAX(1,ROUNDDOWN($AB108/6,0))*2)+(SUMPRODUCT((PayEmp=$C108)*(PayDate&lt;=$AC108)*(ISERROR(SEARCH(PayEarnCode,AO$2)))*(PayEarnType="Annual")*(PayEarnValues)))),IF(ISNUMBER(OFFSET($N$3,0,MATCH(AO$5,PayDedList,0)-1,1,1)),OFFSET($N$3,0,MATCH(AO$5,PayDedList,0)-1,1,1),IgnoreMin)))*IF(COUNTIFS(EmpNo,$C108,OFFSET(Emp!$R$4,1,MATCH(AO$5,DedListItem,0)-1,EmpCount,1),"&lt;&gt;")&gt;0,VLOOKUP($C108,EmpAll,COLUMN(Emp!$R$4)+MATCH(AO$5,DedListItem,0)-1,0),OFFSET(Setup!$E$73,MATCH(AO$5,DedListItem,0),0,1,1))*AO$3))),IF(ISNUMBER(AO$4),AO$4,IgnoreMin)))))</f>
        <v>0</v>
      </c>
      <c r="AP108" s="148" cm="1">
        <f t="array" aca="1" ref="AP108" ca="1">-IF($F108="Terminated",0,IF($AA108=0,0,IF(ISNA(MATCH(AP$5,PayDedList,0)),0,MIN(IF(COUNTIFS(OverEmp,$C108,OverDeduct,AP$5,OverDate,"&lt;"&amp;DATE(YEAR($AC108),MONTH($AC108)+1,1),OverEnd,"&gt;="&amp;DATE(YEAR($AC108),MONTH($AC108),1))&gt;0,SUMPRODUCT((PayEmp=$C108)*(PayDate&lt;=$AC108)*(OFFSET($N$6,1,MATCH(AP$5,PayDedList,0)-1,PayCount,1)))/$AA108*12*AP$3,IF(OR(AP$1="Fixed",AP$1="Not Used"),SUMPRODUCT((PayEmp=$C108)*(PayDate&lt;=$AC108)*(OFFSET($N$6,1,MATCH(AP$5,PayDedList,0)-1,PayCount,1)))/$AA108*12*AP$3,IF(ISNA(MATCH(AP$1,EarnListItem,0))=FALSE,SUMPRODUCT((PayEmp=$C108)*(PayDate&lt;=$AC108)*(OFFSET($N$6,1,MATCH(AP$5,PayDedList,0)-1,PayCount,1)))/$AA108*12*AP$3,(MIN(((SUMPRODUCT((PayEmp=$C108)*(PayDate&lt;=$AC108)*(ISERROR(SEARCH(PayEarnCode,AP$2)))*(PayEarnType="Monthly")*(PayEarnValues))/$AA108*12)+(SUMPRODUCT((PayEmp=$C108)*(PayDate&lt;=$AC108)*(ISERROR(SEARCH(PayEarnCode,AP$2)))*(PayEarnType="Quarterly")*(PayEarnValues))/MAX(1,ROUNDDOWN($AB108/3,0))*4)+(SUMPRODUCT((PayEmp=$C108)*(PayDate&lt;=$AC108)*(ISERROR(SEARCH(PayEarnCode,AP$2)))*(PayEarnType="Bi-Annual")*(PayEarnValues))/MAX(1,ROUNDDOWN($AB108/6,0))*2)+(SUMPRODUCT((PayEmp=$C108)*(PayDate&lt;=$AC108)*(ISERROR(SEARCH(PayEarnCode,AP$2)))*(PayEarnType="Annual")*(PayEarnValues)))),IF(ISNUMBER(OFFSET($N$3,0,MATCH(AP$5,PayDedList,0)-1,1,1)),OFFSET($N$3,0,MATCH(AP$5,PayDedList,0)-1,1,1),IgnoreMin)))*IF(COUNTIFS(EmpNo,$C108,OFFSET(Emp!$R$4,1,MATCH(AP$5,DedListItem,0)-1,EmpCount,1),"&lt;&gt;")&gt;0,VLOOKUP($C108,EmpAll,COLUMN(Emp!$R$4)+MATCH(AP$5,DedListItem,0)-1,0),OFFSET(Setup!$E$73,MATCH(AP$5,DedListItem,0),0,1,1))*AP$3))),IF(ISNUMBER(AP$4),AP$4,IgnoreMin)))))</f>
        <v>0</v>
      </c>
      <c r="AQ108" s="148" cm="1">
        <f t="array" aca="1" ref="AQ108" ca="1">-IF($F108="Terminated",0,IF($AA108=0,0,IF(ISNA(MATCH(AQ$5,PayDedList,0)),0,MIN(IF(COUNTIFS(OverEmp,$C108,OverDeduct,AQ$5,OverDate,"&lt;"&amp;DATE(YEAR($AC108),MONTH($AC108)+1,1),OverEnd,"&gt;="&amp;DATE(YEAR($AC108),MONTH($AC108),1))&gt;0,SUMPRODUCT((PayEmp=$C108)*(PayDate&lt;=$AC108)*(OFFSET($N$6,1,MATCH(AQ$5,PayDedList,0)-1,PayCount,1)))/$AA108*12*AQ$3,IF(OR(AQ$1="Fixed",AQ$1="Not Used"),SUMPRODUCT((PayEmp=$C108)*(PayDate&lt;=$AC108)*(OFFSET($N$6,1,MATCH(AQ$5,PayDedList,0)-1,PayCount,1)))/$AA108*12*AQ$3,IF(ISNA(MATCH(AQ$1,EarnListItem,0))=FALSE,SUMPRODUCT((PayEmp=$C108)*(PayDate&lt;=$AC108)*(OFFSET($N$6,1,MATCH(AQ$5,PayDedList,0)-1,PayCount,1)))/$AA108*12*AQ$3,(MIN(((SUMPRODUCT((PayEmp=$C108)*(PayDate&lt;=$AC108)*(ISERROR(SEARCH(PayEarnCode,AQ$2)))*(PayEarnType="Monthly")*(PayEarnValues))/$AA108*12)+(SUMPRODUCT((PayEmp=$C108)*(PayDate&lt;=$AC108)*(ISERROR(SEARCH(PayEarnCode,AQ$2)))*(PayEarnType="Quarterly")*(PayEarnValues))/MAX(1,ROUNDDOWN($AB108/3,0))*4)+(SUMPRODUCT((PayEmp=$C108)*(PayDate&lt;=$AC108)*(ISERROR(SEARCH(PayEarnCode,AQ$2)))*(PayEarnType="Bi-Annual")*(PayEarnValues))/MAX(1,ROUNDDOWN($AB108/6,0))*2)+(SUMPRODUCT((PayEmp=$C108)*(PayDate&lt;=$AC108)*(ISERROR(SEARCH(PayEarnCode,AQ$2)))*(PayEarnType="Annual")*(PayEarnValues)))),IF(ISNUMBER(OFFSET($N$3,0,MATCH(AQ$5,PayDedList,0)-1,1,1)),OFFSET($N$3,0,MATCH(AQ$5,PayDedList,0)-1,1,1),IgnoreMin)))*IF(COUNTIFS(EmpNo,$C108,OFFSET(Emp!$R$4,1,MATCH(AQ$5,DedListItem,0)-1,EmpCount,1),"&lt;&gt;")&gt;0,VLOOKUP($C108,EmpAll,COLUMN(Emp!$R$4)+MATCH(AQ$5,DedListItem,0)-1,0),OFFSET(Setup!$E$73,MATCH(AQ$5,DedListItem,0),0,1,1))*AQ$3))),IF(ISNUMBER(AQ$4),AQ$4,IgnoreMin)))))</f>
        <v>0</v>
      </c>
      <c r="AR108" s="148">
        <f t="shared" ca="1" si="52"/>
        <v>60000</v>
      </c>
      <c r="AS108" s="148">
        <f t="shared" ca="1" si="42"/>
        <v>60000</v>
      </c>
      <c r="AT108" s="148" cm="1">
        <f t="array" aca="1" ref="AT108" ca="1">-IF($F108="Terminated",0,IF($AA108=0,0,IF(ISNA(MATCH(AT$5,PayDedList,0)),0,MIN(IF(COUNTIFS(OverEmp,$C108,OverDeduct,AT$5,OverDate,"&lt;"&amp;DATE(YEAR($AC108),MONTH($AC108)+1,1),OverEnd,"&gt;="&amp;DATE(YEAR($AC108),MONTH($AC108),1))&gt;0,SUMPRODUCT((PayEmp=$C108)*(PayDate&lt;=$AC108)*(OFFSET($N$6,1,MATCH(AT$5,PayDedList,0)-1,PayCount,1)))/$AA108*12*AT$3,IF(OR(AT$1="Fixed",AT$1="Not Used"),SUMPRODUCT((PayEmp=$C108)*(PayDate&lt;=$AC108)*(OFFSET($N$6,1,MATCH(AT$5,PayDedList,0)-1,PayCount,1)))/$AA108*12*AT$3,IF(ISNA(MATCH(OFFSET($N$2,0,MATCH(AT$5,PayDedList,0)-1,1,1),EarnListItem,0))=FALSE,SUMPRODUCT((PayEmp=$C108)*(PayDate&lt;=$AC108)*(OFFSET($N$6,1,MATCH(AT$5,PayDedList,0)-1,PayCount,1)))/$AA108*12*AT$3,(MIN(SUMPRODUCT((PayEmp=$C108)*(PayDate&lt;=$AC108)*(ISERROR(SEARCH(PayEarnCode,AT$2)))*(PayEarnType="Monthly")*(PayEarnValues))/$AA108*12,IF(ISNUMBER(OFFSET($N$3,0,MATCH(AT$5,PayDedList,0)-1,1,1)),OFFSET($N$3,0,MATCH(AT$5,PayDedList,0)-1,1,1),IgnoreMin)))*IF(COUNTIFS(EmpNo,$C108,OFFSET(Emp!$R$4,1,MATCH(AT$5,DedListItem,0)-1,EmpCount,1),"&lt;&gt;")&gt;0,VLOOKUP($C108,EmpAll,COLUMN(Emp!$R$4)+MATCH(AT$5,DedListItem,0)-1,0),OFFSET(Setup!$E$73,MATCH(AT$5,DedListItem,0),0,1,1))*AT$3))),IF(ISNUMBER(AT$4),AT$4,IgnoreMin)))))</f>
        <v>0</v>
      </c>
      <c r="AU108" s="148" cm="1">
        <f t="array" aca="1" ref="AU108" ca="1">-IF($F108="Terminated",0,IF($AA108=0,0,IF(ISNA(MATCH(AU$5,PayDedList,0)),0,MIN(IF(COUNTIFS(OverEmp,$C108,OverDeduct,AU$5,OverDate,"&lt;"&amp;DATE(YEAR($AC108),MONTH($AC108)+1,1),OverEnd,"&gt;="&amp;DATE(YEAR($AC108),MONTH($AC108),1))&gt;0,SUMPRODUCT((PayEmp=$C108)*(PayDate&lt;=$AC108)*(OFFSET($N$6,1,MATCH(AU$5,PayDedList,0)-1,PayCount,1)))/$AA108*12*AU$3,IF(OR(AU$1="Fixed",AU$1="Not Used"),SUMPRODUCT((PayEmp=$C108)*(PayDate&lt;=$AC108)*(OFFSET($N$6,1,MATCH(AU$5,PayDedList,0)-1,PayCount,1)))/$AA108*12*AU$3,IF(ISNA(MATCH(OFFSET($N$2,0,MATCH(AU$5,PayDedList,0)-1,1,1),EarnListItem,0))=FALSE,SUMPRODUCT((PayEmp=$C108)*(PayDate&lt;=$AC108)*(OFFSET($N$6,1,MATCH(AU$5,PayDedList,0)-1,PayCount,1)))/$AA108*12*AU$3,(MIN(SUMPRODUCT((PayEmp=$C108)*(PayDate&lt;=$AC108)*(ISERROR(SEARCH(PayEarnCode,AU$2)))*(PayEarnType="Monthly")*(PayEarnValues))/$AA108*12,IF(ISNUMBER(OFFSET($N$3,0,MATCH(AU$5,PayDedList,0)-1,1,1)),OFFSET($N$3,0,MATCH(AU$5,PayDedList,0)-1,1,1),IgnoreMin)))*IF(COUNTIFS(EmpNo,$C108,OFFSET(Emp!$R$4,1,MATCH(AU$5,DedListItem,0)-1,EmpCount,1),"&lt;&gt;")&gt;0,VLOOKUP($C108,EmpAll,COLUMN(Emp!$R$4)+MATCH(AU$5,DedListItem,0)-1,0),OFFSET(Setup!$E$73,MATCH(AU$5,DedListItem,0),0,1,1))*AU$3))),IF(ISNUMBER(AU$4),AU$4,IgnoreMin)))))</f>
        <v>0</v>
      </c>
      <c r="AV108" s="148" cm="1">
        <f t="array" aca="1" ref="AV108" ca="1">-IF($F108="Terminated",0,IF($AA108=0,0,IF(ISNA(MATCH(AV$5,PayDedList,0)),0,MIN(IF(COUNTIFS(OverEmp,$C108,OverDeduct,AV$5,OverDate,"&lt;"&amp;DATE(YEAR($AC108),MONTH($AC108)+1,1),OverEnd,"&gt;="&amp;DATE(YEAR($AC108),MONTH($AC108),1))&gt;0,SUMPRODUCT((PayEmp=$C108)*(PayDate&lt;=$AC108)*(OFFSET($N$6,1,MATCH(AV$5,PayDedList,0)-1,PayCount,1)))/$AA108*12*AV$3,IF(OR(AV$1="Fixed",AV$1="Not Used"),SUMPRODUCT((PayEmp=$C108)*(PayDate&lt;=$AC108)*(OFFSET($N$6,1,MATCH(AV$5,PayDedList,0)-1,PayCount,1)))/$AA108*12*AV$3,IF(ISNA(MATCH(OFFSET($N$2,0,MATCH(AV$5,PayDedList,0)-1,1,1),EarnListItem,0))=FALSE,SUMPRODUCT((PayEmp=$C108)*(PayDate&lt;=$AC108)*(OFFSET($N$6,1,MATCH(AV$5,PayDedList,0)-1,PayCount,1)))/$AA108*12*AV$3,(MIN(SUMPRODUCT((PayEmp=$C108)*(PayDate&lt;=$AC108)*(ISERROR(SEARCH(PayEarnCode,AV$2)))*(PayEarnType="Monthly")*(PayEarnValues))/$AA108*12,IF(ISNUMBER(OFFSET($N$3,0,MATCH(AV$5,PayDedList,0)-1,1,1)),OFFSET($N$3,0,MATCH(AV$5,PayDedList,0)-1,1,1),IgnoreMin)))*IF(COUNTIFS(EmpNo,$C108,OFFSET(Emp!$R$4,1,MATCH(AV$5,DedListItem,0)-1,EmpCount,1),"&lt;&gt;")&gt;0,VLOOKUP($C108,EmpAll,COLUMN(Emp!$R$4)+MATCH(AV$5,DedListItem,0)-1,0),OFFSET(Setup!$E$73,MATCH(AV$5,DedListItem,0),0,1,1))*AV$3))),IF(ISNUMBER(AV$4),AV$4,IgnoreMin)))))</f>
        <v>0</v>
      </c>
      <c r="AW108" s="148" cm="1">
        <f t="array" aca="1" ref="AW108" ca="1">-IF($F108="Terminated",0,IF($AA108=0,0,IF(ISNA(MATCH(AW$5,PayDedList,0)),0,MIN(IF(COUNTIFS(OverEmp,$C108,OverDeduct,AW$5,OverDate,"&lt;"&amp;DATE(YEAR($AC108),MONTH($AC108)+1,1),OverEnd,"&gt;="&amp;DATE(YEAR($AC108),MONTH($AC108),1))&gt;0,SUMPRODUCT((PayEmp=$C108)*(PayDate&lt;=$AC108)*(OFFSET($N$6,1,MATCH(AW$5,PayDedList,0)-1,PayCount,1)))/$AA108*12*AW$3,IF(OR(AW$1="Fixed",AW$1="Not Used"),SUMPRODUCT((PayEmp=$C108)*(PayDate&lt;=$AC108)*(OFFSET($N$6,1,MATCH(AW$5,PayDedList,0)-1,PayCount,1)))/$AA108*12*AW$3,IF(ISNA(MATCH(OFFSET($N$2,0,MATCH(AW$5,PayDedList,0)-1,1,1),EarnListItem,0))=FALSE,SUMPRODUCT((PayEmp=$C108)*(PayDate&lt;=$AC108)*(OFFSET($N$6,1,MATCH(AW$5,PayDedList,0)-1,PayCount,1)))/$AA108*12*AW$3,(MIN(SUMPRODUCT((PayEmp=$C108)*(PayDate&lt;=$AC108)*(ISERROR(SEARCH(PayEarnCode,AW$2)))*(PayEarnType="Monthly")*(PayEarnValues))/$AA108*12,IF(ISNUMBER(OFFSET($N$3,0,MATCH(AW$5,PayDedList,0)-1,1,1)),OFFSET($N$3,0,MATCH(AW$5,PayDedList,0)-1,1,1),IgnoreMin)))*IF(COUNTIFS(EmpNo,$C108,OFFSET(Emp!$R$4,1,MATCH(AW$5,DedListItem,0)-1,EmpCount,1),"&lt;&gt;")&gt;0,VLOOKUP($C108,EmpAll,COLUMN(Emp!$R$4)+MATCH(AW$5,DedListItem,0)-1,0),OFFSET(Setup!$E$73,MATCH(AW$5,DedListItem,0),0,1,1))*AW$3))),IF(ISNUMBER(AW$4),AW$4,IgnoreMin)))))</f>
        <v>0</v>
      </c>
      <c r="AX108" s="148">
        <f t="shared" ca="1" si="58"/>
        <v>60000</v>
      </c>
      <c r="AY108" s="148">
        <f t="shared" ca="1" si="59"/>
        <v>0</v>
      </c>
      <c r="AZ108" s="148">
        <f ca="1">IF(ISNUMBER($AL108),($AR108*$AL108)-$AI108-$AK108,MAX(0,IF($AL108="B",IF($AR108&lt;Setup!$C$32,($AR108*Setup!$D$32)-$AI108-$AK108,(($AR108-VLOOKUP($AR108,TaxAll2,1,1))*OFFSET(Setup!$D$32,MATCH($AR108,TaxBracket2,1),0,1,1))+OFFSET(Setup!$E$31,MATCH($AR108,TaxBracket2,1),0,1,1)-$AI108-$AK108),IF($AR108&lt;Setup!$C$21,($AR108*Setup!$D$21)-$AI108-$AK108,(($AR108-VLOOKUP($AR108,TaxAll1,1,1))*OFFSET(Setup!$D$21,MATCH($AR108,TaxBracket1,1),0,1,1))+OFFSET(Setup!$E$20,MATCH($AR108,TaxBracket1,1),0,1,1)-$AI108-$AK108))))</f>
        <v>0</v>
      </c>
      <c r="BA108" s="148">
        <f ca="1">IF(ISNUMBER($AL108),($AX108*$AL108)-$AI108-$AK108,MAX(0,IF($AL108="B",IF($AX108&lt;Setup!$C$32,($AX108*Setup!$D$32)-$AI108-$AK108,(($AX108-VLOOKUP($AX108,TaxAll2,1,1))*OFFSET(Setup!$D$32,MATCH($AX108,TaxBracket2,1),0,1,1))+OFFSET(Setup!$E$31,MATCH($AX108,TaxBracket2,1),0,1,1)-$AI108-$AK108),IF($AX108&lt;Setup!$C$21,($AX108*Setup!$D$21)-$AI108-$AK108,(($AX108-VLOOKUP($AX108,TaxAll1,1,1))*OFFSET(Setup!$D$21,MATCH($AX108,TaxBracket1,1),0,1,1))+OFFSET(Setup!$E$20,MATCH($AX108,TaxBracket1,1),0,1,1)-$AI108-$AK108))))</f>
        <v>0</v>
      </c>
      <c r="BB108" s="148">
        <f t="shared" ca="1" si="53"/>
        <v>0</v>
      </c>
      <c r="BC108" s="150">
        <f t="shared" ca="1" si="45"/>
        <v>1</v>
      </c>
      <c r="BD108" s="150">
        <f t="shared" ca="1" si="46"/>
        <v>0</v>
      </c>
      <c r="BE108" s="148">
        <f t="shared" ca="1" si="47"/>
        <v>60000</v>
      </c>
    </row>
    <row r="109" spans="1:57" ht="16.149999999999999" customHeight="1" x14ac:dyDescent="0.25">
      <c r="A109" s="10" t="str" cm="1">
        <f t="array" aca="1" ref="A109" ca="1">IF(ROW($A109)-ROW($A$6)&gt;EmpCount*12,"-",TEXT($B109,"yyyy")&amp;TEXT($B109,"mm")&amp;"-"&amp;$C109)</f>
        <v>202309-EXS013</v>
      </c>
      <c r="B109" s="137" cm="1">
        <f t="array" aca="1" ref="B109" ca="1">IF(ROW($A109)-ROW($A$6)&gt;EmpCount*12,Setup!$D$12,DATE(YEAR(Setup!$F$12),MONTH(Setup!$F$12)+ROUNDDOWN((ROW($A109)-ROW($A$6)-1)/EmpCount,0),IF(Setup!$C$14&gt;DAY(DATE(YEAR(Setup!$F$12),MONTH(Setup!$F$12)+ROUNDDOWN((ROW($A109)-ROW($A$6)-1)/EmpCount,0)+1,0)),DAY(DATE(YEAR(Setup!$F$12),MONTH(Setup!$F$12)+ROUNDDOWN((ROW($A109)-ROW($A$6)-1)/EmpCount,0)+1,0)),Setup!$C$14)))</f>
        <v>45194</v>
      </c>
      <c r="C109" s="101" t="str" cm="1">
        <f t="array" aca="1" ref="C109" ca="1">IF(ROW($A109)-ROW($A$6)&gt;EmpCount*12,"-",OFFSET(Emp!$A$4,ROW($A109)-ROW($A$6)-IF(ROW($A109)-ROW($A$6)&gt;EmpCount,ROUNDDOWN((ROW($A109)-ROW($A$6)-1)/EmpCount,0)*EmpCount,0),0,1,1))</f>
        <v>EXS013</v>
      </c>
      <c r="D109" s="10" t="str">
        <f ca="1">IF(ISNA(VLOOKUP($C109,EmpAll,COLUMN(Emp!$B$4),0)),"-",VLOOKUP($C109,EmpAll,COLUMN(Emp!$B$4),0))</f>
        <v>East WD</v>
      </c>
      <c r="E109" s="145" t="str">
        <f ca="1">IF(ISNA(VLOOKUP($C109,EmpAll,COLUMN(Emp!$C$4),0)),"-",VLOOKUP($C109,EmpAll,COLUMN(Emp!$C$4),0))</f>
        <v>A</v>
      </c>
      <c r="F109" s="101" t="str">
        <f ca="1">IF(ISNA(VLOOKUP($C109,EmpAll,COLUMN(Emp!$A$4),0)),"-",IF(AND(VLOOKUP($C109,EmpAll,COLUMN(Emp!$E$4),0)&lt;&gt;0,VLOOKUP($C109,EmpAll,COLUMN(Emp!$E$4),0)&gt;=DATE(YEAR($AC109),MONTH($AC109)+1,0)),"Inactive",IF(AND(VLOOKUP($C109,EmpAll,COLUMN(Emp!$F$4),0)&lt;&gt;0,VLOOKUP($C109,EmpAll,COLUMN(Emp!$F$4),0)&lt;=DATE(YEAR($AC109),MONTH($AC109),0)),"Terminated","Active")))</f>
        <v>Active</v>
      </c>
      <c r="G109" s="133" cm="1">
        <f t="array" aca="1" ref="G109" ca="1">IF($F109&lt;&gt;"Active",0,IF(COUNTIFS(OverEmp,$C109,OverEarn,G$2,OverDate,"&lt;"&amp;DATE(YEAR($AC109),MONTH($AC109)+1,1),OverEnd,"&gt;="&amp;DATE(YEAR($AC109),MONTH($AC109),1))&gt;0,SUMIFS(OverValue,OverEmp,$C109,OverEarn,G$2,OverDate,"&lt;"&amp;DATE(YEAR($AC109),MONTH($AC109)+1,1),OverEnd,"&gt;="&amp;DATE(YEAR($AC109),MONTH($AC109),1)),IF(AND($AC109&gt;=Setup!$E$10,SUMIFS(EmpIncrease,EmpCode,$C109)&gt;0),SUMIFS(EmpIncrease,EmpCode,$C109),SUMIFS(EmpSalary,EmpCode,$C109))))</f>
        <v>5000</v>
      </c>
      <c r="H109" s="133" cm="1">
        <f t="array" aca="1" ref="H109" ca="1">IF($F109&lt;&gt;"Active",0,IF(COUNTIFS(OverEmp,$C109,OverEarn,H$2,OverDate,"&lt;"&amp;DATE(YEAR($AC109),MONTH($AC109)+1,1),OverEnd,"&gt;="&amp;DATE(YEAR($AC109),MONTH($AC109),1))&gt;0,SUMIFS(OverValue,OverEmp,$C109,OverEarn,H$2,OverDate,"&lt;"&amp;DATE(YEAR($AC109),MONTH($AC109)+1,1),OverEnd,"&gt;="&amp;DATE(YEAR($AC109),MONTH($AC109),1)),0))</f>
        <v>0</v>
      </c>
      <c r="I109" s="133" cm="1">
        <f t="array" aca="1" ref="I109" ca="1">IF($F109&lt;&gt;"Active",0,IF(COUNTIFS(OverEmp,$C109,OverEarn,I$2,OverDate,"&lt;"&amp;DATE(YEAR($AC109),MONTH($AC109)+1,1),OverEnd,"&gt;="&amp;DATE(YEAR($AC109),MONTH($AC109),1))&gt;0,SUMIFS(OverValue,OverEmp,$C109,OverEarn,I$2,OverDate,"&lt;"&amp;DATE(YEAR($AC109),MONTH($AC109)+1,1),OverEnd,"&gt;="&amp;DATE(YEAR($AC109),MONTH($AC109),1)),IF(MONTH(B109)=Setup!$C$15,SUMIFS(EmpBonus,EmpCode,$C109),0)))</f>
        <v>0</v>
      </c>
      <c r="J109" s="133" cm="1">
        <f t="array" aca="1" ref="J109" ca="1">IF($F109&lt;&gt;"Active",0,IF(COUNTIFS(OverEmp,$C109,OverEarn,J$2,OverDate,"&lt;"&amp;DATE(YEAR($AC109),MONTH($AC109)+1,1),OverEnd,"&gt;="&amp;DATE(YEAR($AC109),MONTH($AC109),1))&gt;0,SUMIFS(OverValue,OverEmp,$C109,OverEarn,J$2,OverDate,"&lt;"&amp;DATE(YEAR($AC109),MONTH($AC109)+1,1),OverEnd,"&gt;="&amp;DATE(YEAR($AC109),MONTH($AC109),1)),0))</f>
        <v>0</v>
      </c>
      <c r="K109" s="133" cm="1">
        <f t="array" aca="1" ref="K109" ca="1">IF($F109&lt;&gt;"Active",0,IF(COUNTIFS(OverEmp,$C109,OverEarn,K$2,OverDate,"&lt;"&amp;DATE(YEAR($AC109),MONTH($AC109)+1,1),OverEnd,"&gt;="&amp;DATE(YEAR($AC109),MONTH($AC109),1))&gt;0,SUMIFS(OverValue,OverEmp,$C109,OverEarn,K$2,OverDate,"&lt;"&amp;DATE(YEAR($AC109),MONTH($AC109)+1,1),OverEnd,"&gt;="&amp;DATE(YEAR($AC109),MONTH($AC109),1)),0))</f>
        <v>0</v>
      </c>
      <c r="L109" s="185">
        <f t="shared" ca="1" si="54"/>
        <v>5000</v>
      </c>
      <c r="M109" s="182" cm="1">
        <f t="array" aca="1" ref="M109" ca="1">IF(COUNTIFS(OverEmp,$C109,OverTax,M$5,OverDate,"&lt;"&amp;DATE(YEAR($AC109),MONTH($AC109)+1,1),OverEnd,"&gt;="&amp;DATE(YEAR($AC109),MONTH($AC109),1))&gt;0,SUMIFS(OverValue,OverEmp,$C109,OverTax,M$5,OverDate,"&lt;"&amp;DATE(YEAR($AC109),MONTH($AC109)+1,1),OverEnd,"&gt;="&amp;DATE(YEAR($AC109),MONTH($AC109),1)),(($BA109/12*$AA109)+(BB109*IF(1-$BC109=0,0,BD109/(1-$BC109))))-IF($F109="Terminated",0,SUMIFS(PayTaxDeduct,PayDate,"&lt;"&amp;$AC109,PayEmp,$C109)))</f>
        <v>0</v>
      </c>
      <c r="N109" s="133" cm="1">
        <f t="array" aca="1" ref="N109" ca="1">IF($F109="Terminated",0,IF($AA109=0,0,IF(ISNA(MATCH(N$5,DedListItem,0)),0,IF(COUNTIFS(OverEmp,$C109,OverDeduct,N$5,OverDate,"&lt;"&amp;DATE(YEAR($AC109),MONTH($AC109)+1,1),OverEnd,"&gt;="&amp;DATE(YEAR($AC109),MONTH($AC109),1))&gt;0,SUMIFS(OverValue,OverEmp,$C109,OverDeduct,N$5,OverDate,"&lt;"&amp;DATE(YEAR($AC109),MONTH($AC109)+1,1),OverEnd,"&gt;="&amp;DATE(YEAR($AC109),MONTH($AC109),1)),IF(OR(N$2="Fixed",N$2="Not Used"),(IF(COUNTIFS(EmpNo,$C109,OFFSET(Emp!$R$4,1,MATCH(N$5,DedListItem,0)-1,EmpCount,1),"&lt;&gt;")&gt;0,VLOOKUP($C109,EmpAll,COLUMN(Emp!$R$4)+MATCH(N$5,DedListItem,0)-1,0),OFFSET(Setup!$E$73,MATCH(N$5,DedListItem,0),0,1,1))*$AA109)-SUMIFS(OFFSET(N$6,1,0,PayCount,1),PayDate,"&lt;"&amp;$AC109,PayEmp,$C109),IF(ISNA(MATCH(N$2,EarnListItem,0))=FALSE,IF(OFFSET(Setup!$G$73,MATCH(N$5,DedListItem,0),0,1,1)="Taxable",SUMPRODUCT((PayEmp=$C109)*(PayDate&lt;=$AC109)*(PayEarnCode=N$2)*(PayEarnTax)*(PayEarnValues)),SUMPRODUCT((PayEmp=$C109)*(PayDate&lt;=$AC109)*(PayEarnCode=N$2)*(PayEarnValues)))*IF(COUNTIFS(EmpNo,$C109,OFFSET(Emp!$R$4,1,MATCH(N$5,DedListItem,0)-1,EmpCount,1),"&lt;&gt;")&gt;0,VLOOKUP($C109,EmpAll,COLUMN(Emp!$R$4)+MATCH(N$5,DedListItem,0)-1,0),OFFSET(Setup!$E$73,MATCH(N$5,DedListItem,0),0,1,1)),(MIN(IF(OFFSET(Setup!$G$73,MATCH(N$5,DedListItem,0),0,1,1)="Taxable",SUMPRODUCT((PayEmp=$C109)*(PayDate&lt;=$AC109)*(ISERROR(SEARCH(PayEarnCode,N$4)))*(PayEarnTax)*(PayEarnValues)),SUMPRODUCT((PayEmp=$C109)*(PayDate&lt;=$AC109)*(ISERROR(SEARCH(PayEarnCode,N$4)))*(PayEarnValues))),IF(ISNUMBER(N$3),N$3/12*$AA109,IgnoreMin)))*IF(COUNTIFS(EmpNo,$C109,OFFSET(Emp!$R$4,1,MATCH(N$5,DedListItem,0)-1,EmpCount,1),"&lt;&gt;")&gt;0,VLOOKUP($C109,EmpAll,COLUMN(Emp!$R$4)+MATCH(N$5,DedListItem,0)-1,0),OFFSET(Setup!$E$73,MATCH(N$5,DedListItem,0),0,1,1)))-SUMIFS(OFFSET(N$6,1,0,PayCount,1),PayDate,"&lt;"&amp;$AC109,PayEmp,$C109))))))</f>
        <v>50</v>
      </c>
      <c r="O109" s="133" cm="1">
        <f t="array" aca="1" ref="O109" ca="1">IF($F109="Terminated",0,IF($AA109=0,0,IF(ISNA(MATCH(O$5,DedListItem,0)),0,IF(COUNTIFS(OverEmp,$C109,OverDeduct,O$5,OverDate,"&lt;"&amp;DATE(YEAR($AC109),MONTH($AC109)+1,1),OverEnd,"&gt;="&amp;DATE(YEAR($AC109),MONTH($AC109),1))&gt;0,SUMIFS(OverValue,OverEmp,$C109,OverDeduct,O$5,OverDate,"&lt;"&amp;DATE(YEAR($AC109),MONTH($AC109)+1,1),OverEnd,"&gt;="&amp;DATE(YEAR($AC109),MONTH($AC109),1)),IF(OR(O$2="Fixed",O$2="Not Used"),(IF(COUNTIFS(EmpNo,$C109,OFFSET(Emp!$R$4,1,MATCH(O$5,DedListItem,0)-1,EmpCount,1),"&lt;&gt;")&gt;0,VLOOKUP($C109,EmpAll,COLUMN(Emp!$R$4)+MATCH(O$5,DedListItem,0)-1,0),OFFSET(Setup!$E$73,MATCH(O$5,DedListItem,0),0,1,1))*$AA109)-SUMIFS(OFFSET(O$6,1,0,PayCount,1),PayDate,"&lt;"&amp;$AC109,PayEmp,$C109),IF(ISNA(MATCH(O$2,EarnListItem,0))=FALSE,IF(OFFSET(Setup!$G$73,MATCH(O$5,DedListItem,0),0,1,1)="Taxable",SUMPRODUCT((PayEmp=$C109)*(PayDate&lt;=$AC109)*(PayEarnCode=O$2)*(PayEarnTax)*(PayEarnValues)),SUMPRODUCT((PayEmp=$C109)*(PayDate&lt;=$AC109)*(PayEarnCode=O$2)*(PayEarnValues)))*IF(COUNTIFS(EmpNo,$C109,OFFSET(Emp!$R$4,1,MATCH(O$5,DedListItem,0)-1,EmpCount,1),"&lt;&gt;")&gt;0,VLOOKUP($C109,EmpAll,COLUMN(Emp!$R$4)+MATCH(O$5,DedListItem,0)-1,0),OFFSET(Setup!$E$73,MATCH(O$5,DedListItem,0),0,1,1)),(MIN(IF(OFFSET(Setup!$G$73,MATCH(O$5,DedListItem,0),0,1,1)="Taxable",SUMPRODUCT((PayEmp=$C109)*(PayDate&lt;=$AC109)*(ISERROR(SEARCH(PayEarnCode,O$4)))*(PayEarnTax)*(PayEarnValues)),SUMPRODUCT((PayEmp=$C109)*(PayDate&lt;=$AC109)*(ISERROR(SEARCH(PayEarnCode,O$4)))*(PayEarnValues))),IF(ISNUMBER(O$3),O$3/12*$AA109,IgnoreMin)))*IF(COUNTIFS(EmpNo,$C109,OFFSET(Emp!$R$4,1,MATCH(O$5,DedListItem,0)-1,EmpCount,1),"&lt;&gt;")&gt;0,VLOOKUP($C109,EmpAll,COLUMN(Emp!$R$4)+MATCH(O$5,DedListItem,0)-1,0),OFFSET(Setup!$E$73,MATCH(O$5,DedListItem,0),0,1,1)))-SUMIFS(OFFSET(O$6,1,0,PayCount,1),PayDate,"&lt;"&amp;$AC109,PayEmp,$C109))))))</f>
        <v>0</v>
      </c>
      <c r="P109" s="133" cm="1">
        <f t="array" aca="1" ref="P109" ca="1">IF($F109="Terminated",0,IF($AA109=0,0,IF(ISNA(MATCH(P$5,DedListItem,0)),0,IF(COUNTIFS(OverEmp,$C109,OverDeduct,P$5,OverDate,"&lt;"&amp;DATE(YEAR($AC109),MONTH($AC109)+1,1),OverEnd,"&gt;="&amp;DATE(YEAR($AC109),MONTH($AC109),1))&gt;0,SUMIFS(OverValue,OverEmp,$C109,OverDeduct,P$5,OverDate,"&lt;"&amp;DATE(YEAR($AC109),MONTH($AC109)+1,1),OverEnd,"&gt;="&amp;DATE(YEAR($AC109),MONTH($AC109),1)),IF(OR(P$2="Fixed",P$2="Not Used"),(IF(COUNTIFS(EmpNo,$C109,OFFSET(Emp!$R$4,1,MATCH(P$5,DedListItem,0)-1,EmpCount,1),"&lt;&gt;")&gt;0,VLOOKUP($C109,EmpAll,COLUMN(Emp!$R$4)+MATCH(P$5,DedListItem,0)-1,0),OFFSET(Setup!$E$73,MATCH(P$5,DedListItem,0),0,1,1))*$AA109)-SUMIFS(OFFSET(P$6,1,0,PayCount,1),PayDate,"&lt;"&amp;$AC109,PayEmp,$C109),IF(ISNA(MATCH(P$2,EarnListItem,0))=FALSE,IF(OFFSET(Setup!$G$73,MATCH(P$5,DedListItem,0),0,1,1)="Taxable",SUMPRODUCT((PayEmp=$C109)*(PayDate&lt;=$AC109)*(PayEarnCode=P$2)*(PayEarnTax)*(PayEarnValues)),SUMPRODUCT((PayEmp=$C109)*(PayDate&lt;=$AC109)*(PayEarnCode=P$2)*(PayEarnValues)))*IF(COUNTIFS(EmpNo,$C109,OFFSET(Emp!$R$4,1,MATCH(P$5,DedListItem,0)-1,EmpCount,1),"&lt;&gt;")&gt;0,VLOOKUP($C109,EmpAll,COLUMN(Emp!$R$4)+MATCH(P$5,DedListItem,0)-1,0),OFFSET(Setup!$E$73,MATCH(P$5,DedListItem,0),0,1,1)),(MIN(IF(OFFSET(Setup!$G$73,MATCH(P$5,DedListItem,0),0,1,1)="Taxable",SUMPRODUCT((PayEmp=$C109)*(PayDate&lt;=$AC109)*(ISERROR(SEARCH(PayEarnCode,P$4)))*(PayEarnTax)*(PayEarnValues)),SUMPRODUCT((PayEmp=$C109)*(PayDate&lt;=$AC109)*(ISERROR(SEARCH(PayEarnCode,P$4)))*(PayEarnValues))),IF(ISNUMBER(P$3),P$3/12*$AA109,IgnoreMin)))*IF(COUNTIFS(EmpNo,$C109,OFFSET(Emp!$R$4,1,MATCH(P$5,DedListItem,0)-1,EmpCount,1),"&lt;&gt;")&gt;0,VLOOKUP($C109,EmpAll,COLUMN(Emp!$R$4)+MATCH(P$5,DedListItem,0)-1,0),OFFSET(Setup!$E$73,MATCH(P$5,DedListItem,0),0,1,1)))-SUMIFS(OFFSET(P$6,1,0,PayCount,1),PayDate,"&lt;"&amp;$AC109,PayEmp,$C109))))))</f>
        <v>0</v>
      </c>
      <c r="Q109" s="133" cm="1">
        <f t="array" aca="1" ref="Q109" ca="1">IF($F109="Terminated",0,IF($AA109=0,0,IF(ISNA(MATCH(Q$5,DedListItem,0)),0,IF(COUNTIFS(OverEmp,$C109,OverDeduct,Q$5,OverDate,"&lt;"&amp;DATE(YEAR($AC109),MONTH($AC109)+1,1),OverEnd,"&gt;="&amp;DATE(YEAR($AC109),MONTH($AC109),1))&gt;0,SUMIFS(OverValue,OverEmp,$C109,OverDeduct,Q$5,OverDate,"&lt;"&amp;DATE(YEAR($AC109),MONTH($AC109)+1,1),OverEnd,"&gt;="&amp;DATE(YEAR($AC109),MONTH($AC109),1)),IF(OR(Q$2="Fixed",Q$2="Not Used"),(IF(COUNTIFS(EmpNo,$C109,OFFSET(Emp!$R$4,1,MATCH(Q$5,DedListItem,0)-1,EmpCount,1),"&lt;&gt;")&gt;0,VLOOKUP($C109,EmpAll,COLUMN(Emp!$R$4)+MATCH(Q$5,DedListItem,0)-1,0),OFFSET(Setup!$E$73,MATCH(Q$5,DedListItem,0),0,1,1))*$AA109)-SUMIFS(OFFSET(Q$6,1,0,PayCount,1),PayDate,"&lt;"&amp;$AC109,PayEmp,$C109),IF(ISNA(MATCH(Q$2,EarnListItem,0))=FALSE,IF(OFFSET(Setup!$G$73,MATCH(Q$5,DedListItem,0),0,1,1)="Taxable",SUMPRODUCT((PayEmp=$C109)*(PayDate&lt;=$AC109)*(PayEarnCode=Q$2)*(PayEarnTax)*(PayEarnValues)),SUMPRODUCT((PayEmp=$C109)*(PayDate&lt;=$AC109)*(PayEarnCode=Q$2)*(PayEarnValues)))*IF(COUNTIFS(EmpNo,$C109,OFFSET(Emp!$R$4,1,MATCH(Q$5,DedListItem,0)-1,EmpCount,1),"&lt;&gt;")&gt;0,VLOOKUP($C109,EmpAll,COLUMN(Emp!$R$4)+MATCH(Q$5,DedListItem,0)-1,0),OFFSET(Setup!$E$73,MATCH(Q$5,DedListItem,0),0,1,1)),(MIN(IF(OFFSET(Setup!$G$73,MATCH(Q$5,DedListItem,0),0,1,1)="Taxable",SUMPRODUCT((PayEmp=$C109)*(PayDate&lt;=$AC109)*(ISERROR(SEARCH(PayEarnCode,Q$4)))*(PayEarnTax)*(PayEarnValues)),SUMPRODUCT((PayEmp=$C109)*(PayDate&lt;=$AC109)*(ISERROR(SEARCH(PayEarnCode,Q$4)))*(PayEarnValues))),IF(ISNUMBER(Q$3),Q$3/12*$AA109,IgnoreMin)))*IF(COUNTIFS(EmpNo,$C109,OFFSET(Emp!$R$4,1,MATCH(Q$5,DedListItem,0)-1,EmpCount,1),"&lt;&gt;")&gt;0,VLOOKUP($C109,EmpAll,COLUMN(Emp!$R$4)+MATCH(Q$5,DedListItem,0)-1,0),OFFSET(Setup!$E$73,MATCH(Q$5,DedListItem,0),0,1,1)))-SUMIFS(OFFSET(Q$6,1,0,PayCount,1),PayDate,"&lt;"&amp;$AC109,PayEmp,$C109))))))</f>
        <v>0</v>
      </c>
      <c r="R109" s="185">
        <f t="shared" ca="1" si="55"/>
        <v>50</v>
      </c>
      <c r="S109" s="139">
        <f t="shared" ca="1" si="56"/>
        <v>4950</v>
      </c>
      <c r="T109" s="133" cm="1">
        <f t="array" aca="1" ref="T109" ca="1">IF($F109="Terminated",0,IF($AA109=0,0,IF(ISNA(MATCH(T$5,CompListItem,0)),0,IF(COUNTIFS(OverEmp,$C109,OverComp,T$5,OverDate,"&lt;"&amp;DATE(YEAR($AC109),MONTH($AC109)+1,1),OverEnd,"&gt;="&amp;DATE(YEAR($AC109),MONTH($AC109),1))&gt;0,SUMIFS(OverValue,OverEmp,$C109,OverComp,T$5,OverDate,"&lt;"&amp;DATE(YEAR($AC109),MONTH($AC109)+1,1),OverEnd,"&gt;="&amp;DATE(YEAR($AC109),MONTH($AC109),1)),IF(OR(T$2="Fixed",T$2="Not Used"),(OFFSET(Setup!$E$81,MATCH(T$5,CompListItem,0),0,1,1)*$AA109)-SUMIFS(OFFSET(T$6,1,0,PayCount,1),PayDate,"&lt;"&amp;$AC109,PayEmp,$C109),IF(ISNA(MATCH(T$2,DedListItem,0))=FALSE,(SUMPRODUCT((PayEmp=$C109)*(PayDate&lt;=$AC109)*(PayDedList=T$2)*(PayDedValues))*OFFSET(Setup!$E$81,MATCH(T$5,CompListItem,0),0,1,1))-SUMIFS(OFFSET(T$6,1,0,PayCount,1),PayDate,"&lt;"&amp;$AC109,PayEmp,$C109),(MIN(IF(OFFSET(Setup!$G$81,MATCH(T$5,CompListItem,0),0,1,1)="Taxable",SUMPRODUCT((PayEmp=$C109)*(PayDate&lt;=$AC109)*(ISERROR(SEARCH(PayEarnCode,T$4)))*(PayEarnTax)*(PayEarnValues)),SUMPRODUCT((PayEmp=$C109)*(PayDate&lt;=$AC109)*(ISERROR(SEARCH(PayEarnCode,T$4)))*(PayEarnValues))),IF(ISNUMBER(T$3),T$3/12*$AA109,IgnoreMin)))*OFFSET(Setup!$E$81,MATCH(T$5,CompListItem,0),0,1,1)-SUMIFS(OFFSET(T$6,1,0,PayCount,1),PayDate,"&lt;"&amp;$AC109,PayEmp,$C109)))))))</f>
        <v>50</v>
      </c>
      <c r="U109" s="133" cm="1">
        <f t="array" aca="1" ref="U109" ca="1">IF($F109="Terminated",0,IF($AA109=0,0,IF(ISNA(MATCH(U$5,CompListItem,0)),0,IF(COUNTIFS(OverEmp,$C109,OverComp,U$5,OverDate,"&lt;"&amp;DATE(YEAR($AC109),MONTH($AC109)+1,1),OverEnd,"&gt;="&amp;DATE(YEAR($AC109),MONTH($AC109),1))&gt;0,SUMIFS(OverValue,OverEmp,$C109,OverComp,U$5,OverDate,"&lt;"&amp;DATE(YEAR($AC109),MONTH($AC109)+1,1),OverEnd,"&gt;="&amp;DATE(YEAR($AC109),MONTH($AC109),1)),IF(OR(U$2="Fixed",U$2="Not Used"),(OFFSET(Setup!$E$81,MATCH(U$5,CompListItem,0),0,1,1)*$AA109)-SUMIFS(OFFSET(U$6,1,0,PayCount,1),PayDate,"&lt;"&amp;$AC109,PayEmp,$C109),IF(ISNA(MATCH(U$2,DedListItem,0))=FALSE,(SUMPRODUCT((PayEmp=$C109)*(PayDate&lt;=$AC109)*(PayDedList=U$2)*(PayDedValues))*OFFSET(Setup!$E$81,MATCH(U$5,CompListItem,0),0,1,1))-SUMIFS(OFFSET(U$6,1,0,PayCount,1),PayDate,"&lt;"&amp;$AC109,PayEmp,$C109),(MIN(IF(OFFSET(Setup!$G$81,MATCH(U$5,CompListItem,0),0,1,1)="Taxable",SUMPRODUCT((PayEmp=$C109)*(PayDate&lt;=$AC109)*(ISERROR(SEARCH(PayEarnCode,U$4)))*(PayEarnTax)*(PayEarnValues)),SUMPRODUCT((PayEmp=$C109)*(PayDate&lt;=$AC109)*(ISERROR(SEARCH(PayEarnCode,U$4)))*(PayEarnValues))),IF(ISNUMBER(U$3),U$3/12*$AA109,IgnoreMin)))*OFFSET(Setup!$E$81,MATCH(U$5,CompListItem,0),0,1,1)-SUMIFS(OFFSET(U$6,1,0,PayCount,1),PayDate,"&lt;"&amp;$AC109,PayEmp,$C109)))))))</f>
        <v>50</v>
      </c>
      <c r="V109" s="133" cm="1">
        <f t="array" aca="1" ref="V109" ca="1">IF($F109="Terminated",0,IF($AA109=0,0,IF(ISNA(MATCH(V$5,CompListItem,0)),0,IF(COUNTIFS(OverEmp,$C109,OverComp,V$5,OverDate,"&lt;"&amp;DATE(YEAR($AC109),MONTH($AC109)+1,1),OverEnd,"&gt;="&amp;DATE(YEAR($AC109),MONTH($AC109),1))&gt;0,SUMIFS(OverValue,OverEmp,$C109,OverComp,V$5,OverDate,"&lt;"&amp;DATE(YEAR($AC109),MONTH($AC109)+1,1),OverEnd,"&gt;="&amp;DATE(YEAR($AC109),MONTH($AC109),1)),IF(OR(V$2="Fixed",V$2="Not Used"),(OFFSET(Setup!$E$81,MATCH(V$5,CompListItem,0),0,1,1)*$AA109)-SUMIFS(OFFSET(V$6,1,0,PayCount,1),PayDate,"&lt;"&amp;$AC109,PayEmp,$C109),IF(ISNA(MATCH(V$2,DedListItem,0))=FALSE,(SUMPRODUCT((PayEmp=$C109)*(PayDate&lt;=$AC109)*(PayDedList=V$2)*(PayDedValues))*OFFSET(Setup!$E$81,MATCH(V$5,CompListItem,0),0,1,1))-SUMIFS(OFFSET(V$6,1,0,PayCount,1),PayDate,"&lt;"&amp;$AC109,PayEmp,$C109),(MIN(IF(OFFSET(Setup!$G$81,MATCH(V$5,CompListItem,0),0,1,1)="Taxable",SUMPRODUCT((PayEmp=$C109)*(PayDate&lt;=$AC109)*(ISERROR(SEARCH(PayEarnCode,V$4)))*(PayEarnTax)*(PayEarnValues)),SUMPRODUCT((PayEmp=$C109)*(PayDate&lt;=$AC109)*(ISERROR(SEARCH(PayEarnCode,V$4)))*(PayEarnValues))),IF(ISNUMBER(V$3),V$3/12*$AA109,IgnoreMin)))*OFFSET(Setup!$E$81,MATCH(V$5,CompListItem,0),0,1,1)-SUMIFS(OFFSET(V$6,1,0,PayCount,1),PayDate,"&lt;"&amp;$AC109,PayEmp,$C109)))))))</f>
        <v>0</v>
      </c>
      <c r="W109" s="133" cm="1">
        <f t="array" aca="1" ref="W109" ca="1">IF($F109="Terminated",0,IF($AA109=0,0,IF(ISNA(MATCH(W$5,CompListItem,0)),0,IF(COUNTIFS(OverEmp,$C109,OverComp,W$5,OverDate,"&lt;"&amp;DATE(YEAR($AC109),MONTH($AC109)+1,1),OverEnd,"&gt;="&amp;DATE(YEAR($AC109),MONTH($AC109),1))&gt;0,SUMIFS(OverValue,OverEmp,$C109,OverComp,W$5,OverDate,"&lt;"&amp;DATE(YEAR($AC109),MONTH($AC109)+1,1),OverEnd,"&gt;="&amp;DATE(YEAR($AC109),MONTH($AC109),1)),IF(OR(W$2="Fixed",W$2="Not Used"),(OFFSET(Setup!$E$81,MATCH(W$5,CompListItem,0),0,1,1)*$AA109)-SUMIFS(OFFSET(W$6,1,0,PayCount,1),PayDate,"&lt;"&amp;$AC109,PayEmp,$C109),IF(ISNA(MATCH(W$2,DedListItem,0))=FALSE,(SUMPRODUCT((PayEmp=$C109)*(PayDate&lt;=$AC109)*(PayDedList=W$2)*(PayDedValues))*OFFSET(Setup!$E$81,MATCH(W$5,CompListItem,0),0,1,1))-SUMIFS(OFFSET(W$6,1,0,PayCount,1),PayDate,"&lt;"&amp;$AC109,PayEmp,$C109),(MIN(IF(OFFSET(Setup!$G$81,MATCH(W$5,CompListItem,0),0,1,1)="Taxable",SUMPRODUCT((PayEmp=$C109)*(PayDate&lt;=$AC109)*(ISERROR(SEARCH(PayEarnCode,W$4)))*(PayEarnTax)*(PayEarnValues)),SUMPRODUCT((PayEmp=$C109)*(PayDate&lt;=$AC109)*(ISERROR(SEARCH(PayEarnCode,W$4)))*(PayEarnValues))),IF(ISNUMBER(W$3),W$3/12*$AA109,IgnoreMin)))*OFFSET(Setup!$E$81,MATCH(W$5,CompListItem,0),0,1,1)-SUMIFS(OFFSET(W$6,1,0,PayCount,1),PayDate,"&lt;"&amp;$AC109,PayEmp,$C109)))))))</f>
        <v>0</v>
      </c>
      <c r="X109" s="185">
        <f t="shared" ca="1" si="48"/>
        <v>100</v>
      </c>
      <c r="Y109" s="139">
        <f t="shared" ca="1" si="57"/>
        <v>5100</v>
      </c>
      <c r="Z109" s="139">
        <f t="shared" ca="1" si="49"/>
        <v>150</v>
      </c>
      <c r="AA109" s="146">
        <f ca="1">IF(OR($B109&lt;=Setup!$E$12,$B109&gt;=Setup!$D$12+1),0,IF($F109&lt;&gt;"Active",0,IF($AE109="Yes",$AB109,((YEAR($AC109)*12)+MONTH($AC109))-((YEAR($AD109)*12)+MONTH($AD109)-1))))</f>
        <v>7</v>
      </c>
      <c r="AB109" s="146">
        <f ca="1">IF(OR($B109&lt;=Setup!$E$12,$B109&gt;=Setup!$D$12+1),0,((YEAR($AC109)*12)+MONTH($AC109))-((YEAR(Setup!$E$12)*12)+MONTH(Setup!$E$12)))</f>
        <v>7</v>
      </c>
      <c r="AC109" s="186">
        <f t="shared" ca="1" si="50"/>
        <v>45194</v>
      </c>
      <c r="AD109" s="144">
        <f ca="1">IF(ISNA(VLOOKUP($C109,EmpAll,COLUMN(Emp!$E$4),0)),$AC109,IF(VLOOKUP($C109,EmpAll,COLUMN(Emp!$E$4),0)&lt;=Setup!$E$12,DATE(YEAR(Setup!$E$12),MONTH(Setup!$E$12)+1,1),VLOOKUP($C109,EmpAll,COLUMN(Emp!$E$4),0)))</f>
        <v>44986</v>
      </c>
      <c r="AE109" s="144" t="str">
        <f ca="1">IF(ISNA(VLOOKUP($C109,EmpAll,COLUMN(Emp!$G$1),0)),"-",IF(VLOOKUP($C109,EmpAll,COLUMN(Emp!$G$1),0)=0,"-",VLOOKUP($C109,EmpAll,COLUMN(Emp!$G$1),0)))</f>
        <v>-</v>
      </c>
      <c r="AF109" s="145">
        <f ca="1">IF(A109=PaySlip!$G$3,1,0)</f>
        <v>0</v>
      </c>
      <c r="AG109" s="130" cm="1">
        <f t="array" aca="1" ref="AG109" ca="1">IF(COUNTIFS(OverEmp,$C109,OverMed,"MED",OverDate,"&lt;"&amp;DATE(YEAR($AC109),MONTH($AC109)+1,1),OverEnd,"&gt;="&amp;DATE(YEAR($AC109),MONTH($AC109),1))&gt;0,SUMIFS(OverValue,OverEmp,$C109,OverMed,"MED",OverDate,"&lt;"&amp;DATE(YEAR($AC109),MONTH($AC109)+1,1),OverEnd,"&gt;="&amp;DATE(YEAR($AC109),MONTH($AC109),1)),IF(ISNA(VLOOKUP($C109,EmpAll,COLUMN(Emp!$N$4),0)),0,VLOOKUP($C109,EmpAll,COLUMN(Emp!$N$4),0)))</f>
        <v>0</v>
      </c>
      <c r="AH109" s="146">
        <f ca="1">VLOOKUP($AG109,MedList,COLUMN(Setup!$C$49),1)</f>
        <v>0</v>
      </c>
      <c r="AI109" s="146">
        <f t="shared" ca="1" si="40"/>
        <v>0</v>
      </c>
      <c r="AJ109" s="101" t="str">
        <f ca="1">IF(ISNA(VLOOKUP($C109,EmpAll,COLUMN(Emp!$L$4),0)),"None!",VLOOKUP($C109,EmpAll,COLUMN(Emp!$L$4),0))</f>
        <v>A</v>
      </c>
      <c r="AK109" s="147">
        <f t="shared" ca="1" si="51"/>
        <v>17235</v>
      </c>
      <c r="AL109" s="101" t="str">
        <f ca="1">IF(ISNA(VLOOKUP($C109,Employees[],COLUMN(Emp!$M$4),0))=TRUE,"Error!",IF(VLOOKUP($C109,Employees[],COLUMN(Emp!$M$4),0)=0,"Yes",VLOOKUP($C109,Employees[],COLUMN(Emp!$M$4),0)))</f>
        <v>A</v>
      </c>
      <c r="AM109" s="148">
        <f t="shared" ca="1" si="41"/>
        <v>60000</v>
      </c>
      <c r="AN109" s="148" cm="1">
        <f t="array" aca="1" ref="AN109" ca="1">-IF($F109="Terminated",0,IF($AA109=0,0,IF(ISNA(MATCH(AN$5,PayDedList,0)),0,MIN(IF(COUNTIFS(OverEmp,$C109,OverDeduct,AN$5,OverDate,"&lt;"&amp;DATE(YEAR($AC109),MONTH($AC109)+1,1),OverEnd,"&gt;="&amp;DATE(YEAR($AC109),MONTH($AC109),1))&gt;0,SUMPRODUCT((PayEmp=$C109)*(PayDate&lt;=$AC109)*(OFFSET($N$6,1,MATCH(AN$5,PayDedList,0)-1,PayCount,1)))/$AA109*12*AN$3,IF(OR(AN$1="Fixed",AN$1="Not Used"),SUMPRODUCT((PayEmp=$C109)*(PayDate&lt;=$AC109)*(OFFSET($N$6,1,MATCH(AN$5,PayDedList,0)-1,PayCount,1)))/$AA109*12*AN$3,IF(ISNA(MATCH(AN$1,EarnListItem,0))=FALSE,SUMPRODUCT((PayEmp=$C109)*(PayDate&lt;=$AC109)*(OFFSET($N$6,1,MATCH(AN$5,PayDedList,0)-1,PayCount,1)))/$AA109*12*AN$3,(MIN(((SUMPRODUCT((PayEmp=$C109)*(PayDate&lt;=$AC109)*(ISERROR(SEARCH(PayEarnCode,AN$2)))*(PayEarnType="Monthly")*(PayEarnValues))/$AA109*12)+(SUMPRODUCT((PayEmp=$C109)*(PayDate&lt;=$AC109)*(ISERROR(SEARCH(PayEarnCode,AN$2)))*(PayEarnType="Quarterly")*(PayEarnValues))/MAX(1,ROUNDDOWN($AB109/3,0))*4)+(SUMPRODUCT((PayEmp=$C109)*(PayDate&lt;=$AC109)*(ISERROR(SEARCH(PayEarnCode,AN$2)))*(PayEarnType="Bi-Annual")*(PayEarnValues))/MAX(1,ROUNDDOWN($AB109/6,0))*2)+(SUMPRODUCT((PayEmp=$C109)*(PayDate&lt;=$AC109)*(ISERROR(SEARCH(PayEarnCode,AN$2)))*(PayEarnType="Annual")*(PayEarnValues)))),IF(ISNUMBER(OFFSET($N$3,0,MATCH(AN$5,PayDedList,0)-1,1,1)),OFFSET($N$3,0,MATCH(AN$5,PayDedList,0)-1,1,1),IgnoreMin)))*IF(COUNTIFS(EmpNo,$C109,OFFSET(Emp!$R$4,1,MATCH(AN$5,DedListItem,0)-1,EmpCount,1),"&lt;&gt;")&gt;0,VLOOKUP($C109,EmpAll,COLUMN(Emp!$R$4)+MATCH(AN$5,DedListItem,0)-1,0),OFFSET(Setup!$E$73,MATCH(AN$5,DedListItem,0),0,1,1))*AN$3))),IF(ISNUMBER(AN$4),AN$4,IgnoreMin)))))</f>
        <v>0</v>
      </c>
      <c r="AO109" s="148" cm="1">
        <f t="array" aca="1" ref="AO109" ca="1">-IF($F109="Terminated",0,IF($AA109=0,0,IF(ISNA(MATCH(AO$5,PayDedList,0)),0,MIN(IF(COUNTIFS(OverEmp,$C109,OverDeduct,AO$5,OverDate,"&lt;"&amp;DATE(YEAR($AC109),MONTH($AC109)+1,1),OverEnd,"&gt;="&amp;DATE(YEAR($AC109),MONTH($AC109),1))&gt;0,SUMPRODUCT((PayEmp=$C109)*(PayDate&lt;=$AC109)*(OFFSET($N$6,1,MATCH(AO$5,PayDedList,0)-1,PayCount,1)))/$AA109*12*AO$3,IF(OR(AO$1="Fixed",AO$1="Not Used"),SUMPRODUCT((PayEmp=$C109)*(PayDate&lt;=$AC109)*(OFFSET($N$6,1,MATCH(AO$5,PayDedList,0)-1,PayCount,1)))/$AA109*12*AO$3,IF(ISNA(MATCH(AO$1,EarnListItem,0))=FALSE,SUMPRODUCT((PayEmp=$C109)*(PayDate&lt;=$AC109)*(OFFSET($N$6,1,MATCH(AO$5,PayDedList,0)-1,PayCount,1)))/$AA109*12*AO$3,(MIN(((SUMPRODUCT((PayEmp=$C109)*(PayDate&lt;=$AC109)*(ISERROR(SEARCH(PayEarnCode,AO$2)))*(PayEarnType="Monthly")*(PayEarnValues))/$AA109*12)+(SUMPRODUCT((PayEmp=$C109)*(PayDate&lt;=$AC109)*(ISERROR(SEARCH(PayEarnCode,AO$2)))*(PayEarnType="Quarterly")*(PayEarnValues))/MAX(1,ROUNDDOWN($AB109/3,0))*4)+(SUMPRODUCT((PayEmp=$C109)*(PayDate&lt;=$AC109)*(ISERROR(SEARCH(PayEarnCode,AO$2)))*(PayEarnType="Bi-Annual")*(PayEarnValues))/MAX(1,ROUNDDOWN($AB109/6,0))*2)+(SUMPRODUCT((PayEmp=$C109)*(PayDate&lt;=$AC109)*(ISERROR(SEARCH(PayEarnCode,AO$2)))*(PayEarnType="Annual")*(PayEarnValues)))),IF(ISNUMBER(OFFSET($N$3,0,MATCH(AO$5,PayDedList,0)-1,1,1)),OFFSET($N$3,0,MATCH(AO$5,PayDedList,0)-1,1,1),IgnoreMin)))*IF(COUNTIFS(EmpNo,$C109,OFFSET(Emp!$R$4,1,MATCH(AO$5,DedListItem,0)-1,EmpCount,1),"&lt;&gt;")&gt;0,VLOOKUP($C109,EmpAll,COLUMN(Emp!$R$4)+MATCH(AO$5,DedListItem,0)-1,0),OFFSET(Setup!$E$73,MATCH(AO$5,DedListItem,0),0,1,1))*AO$3))),IF(ISNUMBER(AO$4),AO$4,IgnoreMin)))))</f>
        <v>0</v>
      </c>
      <c r="AP109" s="148" cm="1">
        <f t="array" aca="1" ref="AP109" ca="1">-IF($F109="Terminated",0,IF($AA109=0,0,IF(ISNA(MATCH(AP$5,PayDedList,0)),0,MIN(IF(COUNTIFS(OverEmp,$C109,OverDeduct,AP$5,OverDate,"&lt;"&amp;DATE(YEAR($AC109),MONTH($AC109)+1,1),OverEnd,"&gt;="&amp;DATE(YEAR($AC109),MONTH($AC109),1))&gt;0,SUMPRODUCT((PayEmp=$C109)*(PayDate&lt;=$AC109)*(OFFSET($N$6,1,MATCH(AP$5,PayDedList,0)-1,PayCount,1)))/$AA109*12*AP$3,IF(OR(AP$1="Fixed",AP$1="Not Used"),SUMPRODUCT((PayEmp=$C109)*(PayDate&lt;=$AC109)*(OFFSET($N$6,1,MATCH(AP$5,PayDedList,0)-1,PayCount,1)))/$AA109*12*AP$3,IF(ISNA(MATCH(AP$1,EarnListItem,0))=FALSE,SUMPRODUCT((PayEmp=$C109)*(PayDate&lt;=$AC109)*(OFFSET($N$6,1,MATCH(AP$5,PayDedList,0)-1,PayCount,1)))/$AA109*12*AP$3,(MIN(((SUMPRODUCT((PayEmp=$C109)*(PayDate&lt;=$AC109)*(ISERROR(SEARCH(PayEarnCode,AP$2)))*(PayEarnType="Monthly")*(PayEarnValues))/$AA109*12)+(SUMPRODUCT((PayEmp=$C109)*(PayDate&lt;=$AC109)*(ISERROR(SEARCH(PayEarnCode,AP$2)))*(PayEarnType="Quarterly")*(PayEarnValues))/MAX(1,ROUNDDOWN($AB109/3,0))*4)+(SUMPRODUCT((PayEmp=$C109)*(PayDate&lt;=$AC109)*(ISERROR(SEARCH(PayEarnCode,AP$2)))*(PayEarnType="Bi-Annual")*(PayEarnValues))/MAX(1,ROUNDDOWN($AB109/6,0))*2)+(SUMPRODUCT((PayEmp=$C109)*(PayDate&lt;=$AC109)*(ISERROR(SEARCH(PayEarnCode,AP$2)))*(PayEarnType="Annual")*(PayEarnValues)))),IF(ISNUMBER(OFFSET($N$3,0,MATCH(AP$5,PayDedList,0)-1,1,1)),OFFSET($N$3,0,MATCH(AP$5,PayDedList,0)-1,1,1),IgnoreMin)))*IF(COUNTIFS(EmpNo,$C109,OFFSET(Emp!$R$4,1,MATCH(AP$5,DedListItem,0)-1,EmpCount,1),"&lt;&gt;")&gt;0,VLOOKUP($C109,EmpAll,COLUMN(Emp!$R$4)+MATCH(AP$5,DedListItem,0)-1,0),OFFSET(Setup!$E$73,MATCH(AP$5,DedListItem,0),0,1,1))*AP$3))),IF(ISNUMBER(AP$4),AP$4,IgnoreMin)))))</f>
        <v>0</v>
      </c>
      <c r="AQ109" s="148" cm="1">
        <f t="array" aca="1" ref="AQ109" ca="1">-IF($F109="Terminated",0,IF($AA109=0,0,IF(ISNA(MATCH(AQ$5,PayDedList,0)),0,MIN(IF(COUNTIFS(OverEmp,$C109,OverDeduct,AQ$5,OverDate,"&lt;"&amp;DATE(YEAR($AC109),MONTH($AC109)+1,1),OverEnd,"&gt;="&amp;DATE(YEAR($AC109),MONTH($AC109),1))&gt;0,SUMPRODUCT((PayEmp=$C109)*(PayDate&lt;=$AC109)*(OFFSET($N$6,1,MATCH(AQ$5,PayDedList,0)-1,PayCount,1)))/$AA109*12*AQ$3,IF(OR(AQ$1="Fixed",AQ$1="Not Used"),SUMPRODUCT((PayEmp=$C109)*(PayDate&lt;=$AC109)*(OFFSET($N$6,1,MATCH(AQ$5,PayDedList,0)-1,PayCount,1)))/$AA109*12*AQ$3,IF(ISNA(MATCH(AQ$1,EarnListItem,0))=FALSE,SUMPRODUCT((PayEmp=$C109)*(PayDate&lt;=$AC109)*(OFFSET($N$6,1,MATCH(AQ$5,PayDedList,0)-1,PayCount,1)))/$AA109*12*AQ$3,(MIN(((SUMPRODUCT((PayEmp=$C109)*(PayDate&lt;=$AC109)*(ISERROR(SEARCH(PayEarnCode,AQ$2)))*(PayEarnType="Monthly")*(PayEarnValues))/$AA109*12)+(SUMPRODUCT((PayEmp=$C109)*(PayDate&lt;=$AC109)*(ISERROR(SEARCH(PayEarnCode,AQ$2)))*(PayEarnType="Quarterly")*(PayEarnValues))/MAX(1,ROUNDDOWN($AB109/3,0))*4)+(SUMPRODUCT((PayEmp=$C109)*(PayDate&lt;=$AC109)*(ISERROR(SEARCH(PayEarnCode,AQ$2)))*(PayEarnType="Bi-Annual")*(PayEarnValues))/MAX(1,ROUNDDOWN($AB109/6,0))*2)+(SUMPRODUCT((PayEmp=$C109)*(PayDate&lt;=$AC109)*(ISERROR(SEARCH(PayEarnCode,AQ$2)))*(PayEarnType="Annual")*(PayEarnValues)))),IF(ISNUMBER(OFFSET($N$3,0,MATCH(AQ$5,PayDedList,0)-1,1,1)),OFFSET($N$3,0,MATCH(AQ$5,PayDedList,0)-1,1,1),IgnoreMin)))*IF(COUNTIFS(EmpNo,$C109,OFFSET(Emp!$R$4,1,MATCH(AQ$5,DedListItem,0)-1,EmpCount,1),"&lt;&gt;")&gt;0,VLOOKUP($C109,EmpAll,COLUMN(Emp!$R$4)+MATCH(AQ$5,DedListItem,0)-1,0),OFFSET(Setup!$E$73,MATCH(AQ$5,DedListItem,0),0,1,1))*AQ$3))),IF(ISNUMBER(AQ$4),AQ$4,IgnoreMin)))))</f>
        <v>0</v>
      </c>
      <c r="AR109" s="148">
        <f t="shared" ca="1" si="52"/>
        <v>60000</v>
      </c>
      <c r="AS109" s="148">
        <f t="shared" ca="1" si="42"/>
        <v>60000</v>
      </c>
      <c r="AT109" s="148" cm="1">
        <f t="array" aca="1" ref="AT109" ca="1">-IF($F109="Terminated",0,IF($AA109=0,0,IF(ISNA(MATCH(AT$5,PayDedList,0)),0,MIN(IF(COUNTIFS(OverEmp,$C109,OverDeduct,AT$5,OverDate,"&lt;"&amp;DATE(YEAR($AC109),MONTH($AC109)+1,1),OverEnd,"&gt;="&amp;DATE(YEAR($AC109),MONTH($AC109),1))&gt;0,SUMPRODUCT((PayEmp=$C109)*(PayDate&lt;=$AC109)*(OFFSET($N$6,1,MATCH(AT$5,PayDedList,0)-1,PayCount,1)))/$AA109*12*AT$3,IF(OR(AT$1="Fixed",AT$1="Not Used"),SUMPRODUCT((PayEmp=$C109)*(PayDate&lt;=$AC109)*(OFFSET($N$6,1,MATCH(AT$5,PayDedList,0)-1,PayCount,1)))/$AA109*12*AT$3,IF(ISNA(MATCH(OFFSET($N$2,0,MATCH(AT$5,PayDedList,0)-1,1,1),EarnListItem,0))=FALSE,SUMPRODUCT((PayEmp=$C109)*(PayDate&lt;=$AC109)*(OFFSET($N$6,1,MATCH(AT$5,PayDedList,0)-1,PayCount,1)))/$AA109*12*AT$3,(MIN(SUMPRODUCT((PayEmp=$C109)*(PayDate&lt;=$AC109)*(ISERROR(SEARCH(PayEarnCode,AT$2)))*(PayEarnType="Monthly")*(PayEarnValues))/$AA109*12,IF(ISNUMBER(OFFSET($N$3,0,MATCH(AT$5,PayDedList,0)-1,1,1)),OFFSET($N$3,0,MATCH(AT$5,PayDedList,0)-1,1,1),IgnoreMin)))*IF(COUNTIFS(EmpNo,$C109,OFFSET(Emp!$R$4,1,MATCH(AT$5,DedListItem,0)-1,EmpCount,1),"&lt;&gt;")&gt;0,VLOOKUP($C109,EmpAll,COLUMN(Emp!$R$4)+MATCH(AT$5,DedListItem,0)-1,0),OFFSET(Setup!$E$73,MATCH(AT$5,DedListItem,0),0,1,1))*AT$3))),IF(ISNUMBER(AT$4),AT$4,IgnoreMin)))))</f>
        <v>0</v>
      </c>
      <c r="AU109" s="148" cm="1">
        <f t="array" aca="1" ref="AU109" ca="1">-IF($F109="Terminated",0,IF($AA109=0,0,IF(ISNA(MATCH(AU$5,PayDedList,0)),0,MIN(IF(COUNTIFS(OverEmp,$C109,OverDeduct,AU$5,OverDate,"&lt;"&amp;DATE(YEAR($AC109),MONTH($AC109)+1,1),OverEnd,"&gt;="&amp;DATE(YEAR($AC109),MONTH($AC109),1))&gt;0,SUMPRODUCT((PayEmp=$C109)*(PayDate&lt;=$AC109)*(OFFSET($N$6,1,MATCH(AU$5,PayDedList,0)-1,PayCount,1)))/$AA109*12*AU$3,IF(OR(AU$1="Fixed",AU$1="Not Used"),SUMPRODUCT((PayEmp=$C109)*(PayDate&lt;=$AC109)*(OFFSET($N$6,1,MATCH(AU$5,PayDedList,0)-1,PayCount,1)))/$AA109*12*AU$3,IF(ISNA(MATCH(OFFSET($N$2,0,MATCH(AU$5,PayDedList,0)-1,1,1),EarnListItem,0))=FALSE,SUMPRODUCT((PayEmp=$C109)*(PayDate&lt;=$AC109)*(OFFSET($N$6,1,MATCH(AU$5,PayDedList,0)-1,PayCount,1)))/$AA109*12*AU$3,(MIN(SUMPRODUCT((PayEmp=$C109)*(PayDate&lt;=$AC109)*(ISERROR(SEARCH(PayEarnCode,AU$2)))*(PayEarnType="Monthly")*(PayEarnValues))/$AA109*12,IF(ISNUMBER(OFFSET($N$3,0,MATCH(AU$5,PayDedList,0)-1,1,1)),OFFSET($N$3,0,MATCH(AU$5,PayDedList,0)-1,1,1),IgnoreMin)))*IF(COUNTIFS(EmpNo,$C109,OFFSET(Emp!$R$4,1,MATCH(AU$5,DedListItem,0)-1,EmpCount,1),"&lt;&gt;")&gt;0,VLOOKUP($C109,EmpAll,COLUMN(Emp!$R$4)+MATCH(AU$5,DedListItem,0)-1,0),OFFSET(Setup!$E$73,MATCH(AU$5,DedListItem,0),0,1,1))*AU$3))),IF(ISNUMBER(AU$4),AU$4,IgnoreMin)))))</f>
        <v>0</v>
      </c>
      <c r="AV109" s="148" cm="1">
        <f t="array" aca="1" ref="AV109" ca="1">-IF($F109="Terminated",0,IF($AA109=0,0,IF(ISNA(MATCH(AV$5,PayDedList,0)),0,MIN(IF(COUNTIFS(OverEmp,$C109,OverDeduct,AV$5,OverDate,"&lt;"&amp;DATE(YEAR($AC109),MONTH($AC109)+1,1),OverEnd,"&gt;="&amp;DATE(YEAR($AC109),MONTH($AC109),1))&gt;0,SUMPRODUCT((PayEmp=$C109)*(PayDate&lt;=$AC109)*(OFFSET($N$6,1,MATCH(AV$5,PayDedList,0)-1,PayCount,1)))/$AA109*12*AV$3,IF(OR(AV$1="Fixed",AV$1="Not Used"),SUMPRODUCT((PayEmp=$C109)*(PayDate&lt;=$AC109)*(OFFSET($N$6,1,MATCH(AV$5,PayDedList,0)-1,PayCount,1)))/$AA109*12*AV$3,IF(ISNA(MATCH(OFFSET($N$2,0,MATCH(AV$5,PayDedList,0)-1,1,1),EarnListItem,0))=FALSE,SUMPRODUCT((PayEmp=$C109)*(PayDate&lt;=$AC109)*(OFFSET($N$6,1,MATCH(AV$5,PayDedList,0)-1,PayCount,1)))/$AA109*12*AV$3,(MIN(SUMPRODUCT((PayEmp=$C109)*(PayDate&lt;=$AC109)*(ISERROR(SEARCH(PayEarnCode,AV$2)))*(PayEarnType="Monthly")*(PayEarnValues))/$AA109*12,IF(ISNUMBER(OFFSET($N$3,0,MATCH(AV$5,PayDedList,0)-1,1,1)),OFFSET($N$3,0,MATCH(AV$5,PayDedList,0)-1,1,1),IgnoreMin)))*IF(COUNTIFS(EmpNo,$C109,OFFSET(Emp!$R$4,1,MATCH(AV$5,DedListItem,0)-1,EmpCount,1),"&lt;&gt;")&gt;0,VLOOKUP($C109,EmpAll,COLUMN(Emp!$R$4)+MATCH(AV$5,DedListItem,0)-1,0),OFFSET(Setup!$E$73,MATCH(AV$5,DedListItem,0),0,1,1))*AV$3))),IF(ISNUMBER(AV$4),AV$4,IgnoreMin)))))</f>
        <v>0</v>
      </c>
      <c r="AW109" s="148" cm="1">
        <f t="array" aca="1" ref="AW109" ca="1">-IF($F109="Terminated",0,IF($AA109=0,0,IF(ISNA(MATCH(AW$5,PayDedList,0)),0,MIN(IF(COUNTIFS(OverEmp,$C109,OverDeduct,AW$5,OverDate,"&lt;"&amp;DATE(YEAR($AC109),MONTH($AC109)+1,1),OverEnd,"&gt;="&amp;DATE(YEAR($AC109),MONTH($AC109),1))&gt;0,SUMPRODUCT((PayEmp=$C109)*(PayDate&lt;=$AC109)*(OFFSET($N$6,1,MATCH(AW$5,PayDedList,0)-1,PayCount,1)))/$AA109*12*AW$3,IF(OR(AW$1="Fixed",AW$1="Not Used"),SUMPRODUCT((PayEmp=$C109)*(PayDate&lt;=$AC109)*(OFFSET($N$6,1,MATCH(AW$5,PayDedList,0)-1,PayCount,1)))/$AA109*12*AW$3,IF(ISNA(MATCH(OFFSET($N$2,0,MATCH(AW$5,PayDedList,0)-1,1,1),EarnListItem,0))=FALSE,SUMPRODUCT((PayEmp=$C109)*(PayDate&lt;=$AC109)*(OFFSET($N$6,1,MATCH(AW$5,PayDedList,0)-1,PayCount,1)))/$AA109*12*AW$3,(MIN(SUMPRODUCT((PayEmp=$C109)*(PayDate&lt;=$AC109)*(ISERROR(SEARCH(PayEarnCode,AW$2)))*(PayEarnType="Monthly")*(PayEarnValues))/$AA109*12,IF(ISNUMBER(OFFSET($N$3,0,MATCH(AW$5,PayDedList,0)-1,1,1)),OFFSET($N$3,0,MATCH(AW$5,PayDedList,0)-1,1,1),IgnoreMin)))*IF(COUNTIFS(EmpNo,$C109,OFFSET(Emp!$R$4,1,MATCH(AW$5,DedListItem,0)-1,EmpCount,1),"&lt;&gt;")&gt;0,VLOOKUP($C109,EmpAll,COLUMN(Emp!$R$4)+MATCH(AW$5,DedListItem,0)-1,0),OFFSET(Setup!$E$73,MATCH(AW$5,DedListItem,0),0,1,1))*AW$3))),IF(ISNUMBER(AW$4),AW$4,IgnoreMin)))))</f>
        <v>0</v>
      </c>
      <c r="AX109" s="148">
        <f t="shared" ca="1" si="58"/>
        <v>60000</v>
      </c>
      <c r="AY109" s="148">
        <f t="shared" ca="1" si="59"/>
        <v>0</v>
      </c>
      <c r="AZ109" s="148">
        <f ca="1">IF(ISNUMBER($AL109),($AR109*$AL109)-$AI109-$AK109,MAX(0,IF($AL109="B",IF($AR109&lt;Setup!$C$32,($AR109*Setup!$D$32)-$AI109-$AK109,(($AR109-VLOOKUP($AR109,TaxAll2,1,1))*OFFSET(Setup!$D$32,MATCH($AR109,TaxBracket2,1),0,1,1))+OFFSET(Setup!$E$31,MATCH($AR109,TaxBracket2,1),0,1,1)-$AI109-$AK109),IF($AR109&lt;Setup!$C$21,($AR109*Setup!$D$21)-$AI109-$AK109,(($AR109-VLOOKUP($AR109,TaxAll1,1,1))*OFFSET(Setup!$D$21,MATCH($AR109,TaxBracket1,1),0,1,1))+OFFSET(Setup!$E$20,MATCH($AR109,TaxBracket1,1),0,1,1)-$AI109-$AK109))))</f>
        <v>0</v>
      </c>
      <c r="BA109" s="148">
        <f ca="1">IF(ISNUMBER($AL109),($AX109*$AL109)-$AI109-$AK109,MAX(0,IF($AL109="B",IF($AX109&lt;Setup!$C$32,($AX109*Setup!$D$32)-$AI109-$AK109,(($AX109-VLOOKUP($AX109,TaxAll2,1,1))*OFFSET(Setup!$D$32,MATCH($AX109,TaxBracket2,1),0,1,1))+OFFSET(Setup!$E$31,MATCH($AX109,TaxBracket2,1),0,1,1)-$AI109-$AK109),IF($AX109&lt;Setup!$C$21,($AX109*Setup!$D$21)-$AI109-$AK109,(($AX109-VLOOKUP($AX109,TaxAll1,1,1))*OFFSET(Setup!$D$21,MATCH($AX109,TaxBracket1,1),0,1,1))+OFFSET(Setup!$E$20,MATCH($AX109,TaxBracket1,1),0,1,1)-$AI109-$AK109))))</f>
        <v>0</v>
      </c>
      <c r="BB109" s="148">
        <f t="shared" ca="1" si="53"/>
        <v>0</v>
      </c>
      <c r="BC109" s="150">
        <f t="shared" ca="1" si="45"/>
        <v>1</v>
      </c>
      <c r="BD109" s="150">
        <f t="shared" ca="1" si="46"/>
        <v>0</v>
      </c>
      <c r="BE109" s="148">
        <f t="shared" ca="1" si="47"/>
        <v>60000</v>
      </c>
    </row>
    <row r="110" spans="1:57" ht="16.149999999999999" customHeight="1" x14ac:dyDescent="0.25">
      <c r="A110" s="10" t="str" cm="1">
        <f t="array" aca="1" ref="A110" ca="1">IF(ROW($A110)-ROW($A$6)&gt;EmpCount*12,"-",TEXT($B110,"yyyy")&amp;TEXT($B110,"mm")&amp;"-"&amp;$C110)</f>
        <v>202309-EXS014</v>
      </c>
      <c r="B110" s="137" cm="1">
        <f t="array" aca="1" ref="B110" ca="1">IF(ROW($A110)-ROW($A$6)&gt;EmpCount*12,Setup!$D$12,DATE(YEAR(Setup!$F$12),MONTH(Setup!$F$12)+ROUNDDOWN((ROW($A110)-ROW($A$6)-1)/EmpCount,0),IF(Setup!$C$14&gt;DAY(DATE(YEAR(Setup!$F$12),MONTH(Setup!$F$12)+ROUNDDOWN((ROW($A110)-ROW($A$6)-1)/EmpCount,0)+1,0)),DAY(DATE(YEAR(Setup!$F$12),MONTH(Setup!$F$12)+ROUNDDOWN((ROW($A110)-ROW($A$6)-1)/EmpCount,0)+1,0)),Setup!$C$14)))</f>
        <v>45194</v>
      </c>
      <c r="C110" s="101" t="str" cm="1">
        <f t="array" aca="1" ref="C110" ca="1">IF(ROW($A110)-ROW($A$6)&gt;EmpCount*12,"-",OFFSET(Emp!$A$4,ROW($A110)-ROW($A$6)-IF(ROW($A110)-ROW($A$6)&gt;EmpCount,ROUNDDOWN((ROW($A110)-ROW($A$6)-1)/EmpCount,0)*EmpCount,0),0,1,1))</f>
        <v>EXS014</v>
      </c>
      <c r="D110" s="10" t="str">
        <f ca="1">IF(ISNA(VLOOKUP($C110,EmpAll,COLUMN(Emp!$B$4),0)),"-",VLOOKUP($C110,EmpAll,COLUMN(Emp!$B$4),0))</f>
        <v>Ross Q</v>
      </c>
      <c r="E110" s="145" t="str">
        <f ca="1">IF(ISNA(VLOOKUP($C110,EmpAll,COLUMN(Emp!$C$4),0)),"-",VLOOKUP($C110,EmpAll,COLUMN(Emp!$C$4),0))</f>
        <v>A</v>
      </c>
      <c r="F110" s="101" t="str">
        <f ca="1">IF(ISNA(VLOOKUP($C110,EmpAll,COLUMN(Emp!$A$4),0)),"-",IF(AND(VLOOKUP($C110,EmpAll,COLUMN(Emp!$E$4),0)&lt;&gt;0,VLOOKUP($C110,EmpAll,COLUMN(Emp!$E$4),0)&gt;=DATE(YEAR($AC110),MONTH($AC110)+1,0)),"Inactive",IF(AND(VLOOKUP($C110,EmpAll,COLUMN(Emp!$F$4),0)&lt;&gt;0,VLOOKUP($C110,EmpAll,COLUMN(Emp!$F$4),0)&lt;=DATE(YEAR($AC110),MONTH($AC110),0)),"Terminated","Active")))</f>
        <v>Active</v>
      </c>
      <c r="G110" s="133" cm="1">
        <f t="array" aca="1" ref="G110" ca="1">IF($F110&lt;&gt;"Active",0,IF(COUNTIFS(OverEmp,$C110,OverEarn,G$2,OverDate,"&lt;"&amp;DATE(YEAR($AC110),MONTH($AC110)+1,1),OverEnd,"&gt;="&amp;DATE(YEAR($AC110),MONTH($AC110),1))&gt;0,SUMIFS(OverValue,OverEmp,$C110,OverEarn,G$2,OverDate,"&lt;"&amp;DATE(YEAR($AC110),MONTH($AC110)+1,1),OverEnd,"&gt;="&amp;DATE(YEAR($AC110),MONTH($AC110),1)),IF(AND($AC110&gt;=Setup!$E$10,SUMIFS(EmpIncrease,EmpCode,$C110)&gt;0),SUMIFS(EmpIncrease,EmpCode,$C110),SUMIFS(EmpSalary,EmpCode,$C110))))</f>
        <v>29150</v>
      </c>
      <c r="H110" s="133" cm="1">
        <f t="array" aca="1" ref="H110" ca="1">IF($F110&lt;&gt;"Active",0,IF(COUNTIFS(OverEmp,$C110,OverEarn,H$2,OverDate,"&lt;"&amp;DATE(YEAR($AC110),MONTH($AC110)+1,1),OverEnd,"&gt;="&amp;DATE(YEAR($AC110),MONTH($AC110),1))&gt;0,SUMIFS(OverValue,OverEmp,$C110,OverEarn,H$2,OverDate,"&lt;"&amp;DATE(YEAR($AC110),MONTH($AC110)+1,1),OverEnd,"&gt;="&amp;DATE(YEAR($AC110),MONTH($AC110),1)),0))</f>
        <v>0</v>
      </c>
      <c r="I110" s="133" cm="1">
        <f t="array" aca="1" ref="I110" ca="1">IF($F110&lt;&gt;"Active",0,IF(COUNTIFS(OverEmp,$C110,OverEarn,I$2,OverDate,"&lt;"&amp;DATE(YEAR($AC110),MONTH($AC110)+1,1),OverEnd,"&gt;="&amp;DATE(YEAR($AC110),MONTH($AC110),1))&gt;0,SUMIFS(OverValue,OverEmp,$C110,OverEarn,I$2,OverDate,"&lt;"&amp;DATE(YEAR($AC110),MONTH($AC110)+1,1),OverEnd,"&gt;="&amp;DATE(YEAR($AC110),MONTH($AC110),1)),IF(MONTH(B110)=Setup!$C$15,SUMIFS(EmpBonus,EmpCode,$C110),0)))</f>
        <v>0</v>
      </c>
      <c r="J110" s="133" cm="1">
        <f t="array" aca="1" ref="J110" ca="1">IF($F110&lt;&gt;"Active",0,IF(COUNTIFS(OverEmp,$C110,OverEarn,J$2,OverDate,"&lt;"&amp;DATE(YEAR($AC110),MONTH($AC110)+1,1),OverEnd,"&gt;="&amp;DATE(YEAR($AC110),MONTH($AC110),1))&gt;0,SUMIFS(OverValue,OverEmp,$C110,OverEarn,J$2,OverDate,"&lt;"&amp;DATE(YEAR($AC110),MONTH($AC110)+1,1),OverEnd,"&gt;="&amp;DATE(YEAR($AC110),MONTH($AC110),1)),0))</f>
        <v>0</v>
      </c>
      <c r="K110" s="133" cm="1">
        <f t="array" aca="1" ref="K110" ca="1">IF($F110&lt;&gt;"Active",0,IF(COUNTIFS(OverEmp,$C110,OverEarn,K$2,OverDate,"&lt;"&amp;DATE(YEAR($AC110),MONTH($AC110)+1,1),OverEnd,"&gt;="&amp;DATE(YEAR($AC110),MONTH($AC110),1))&gt;0,SUMIFS(OverValue,OverEmp,$C110,OverEarn,K$2,OverDate,"&lt;"&amp;DATE(YEAR($AC110),MONTH($AC110)+1,1),OverEnd,"&gt;="&amp;DATE(YEAR($AC110),MONTH($AC110),1)),0))</f>
        <v>0</v>
      </c>
      <c r="L110" s="185">
        <f t="shared" ca="1" si="54"/>
        <v>29150</v>
      </c>
      <c r="M110" s="182" cm="1">
        <f t="array" aca="1" ref="M110" ca="1">IF(COUNTIFS(OverEmp,$C110,OverTax,M$5,OverDate,"&lt;"&amp;DATE(YEAR($AC110),MONTH($AC110)+1,1),OverEnd,"&gt;="&amp;DATE(YEAR($AC110),MONTH($AC110),1))&gt;0,SUMIFS(OverValue,OverEmp,$C110,OverTax,M$5,OverDate,"&lt;"&amp;DATE(YEAR($AC110),MONTH($AC110)+1,1),OverEnd,"&gt;="&amp;DATE(YEAR($AC110),MONTH($AC110),1)),(($BA110/12*$AA110)+(BB110*IF(1-$BC110=0,0,BD110/(1-$BC110))))-IF($F110="Terminated",0,SUMIFS(PayTaxDeduct,PayDate,"&lt;"&amp;$AC110,PayEmp,$C110)))</f>
        <v>4562.0833333333321</v>
      </c>
      <c r="N110" s="133" cm="1">
        <f t="array" aca="1" ref="N110" ca="1">IF($F110="Terminated",0,IF($AA110=0,0,IF(ISNA(MATCH(N$5,DedListItem,0)),0,IF(COUNTIFS(OverEmp,$C110,OverDeduct,N$5,OverDate,"&lt;"&amp;DATE(YEAR($AC110),MONTH($AC110)+1,1),OverEnd,"&gt;="&amp;DATE(YEAR($AC110),MONTH($AC110),1))&gt;0,SUMIFS(OverValue,OverEmp,$C110,OverDeduct,N$5,OverDate,"&lt;"&amp;DATE(YEAR($AC110),MONTH($AC110)+1,1),OverEnd,"&gt;="&amp;DATE(YEAR($AC110),MONTH($AC110),1)),IF(OR(N$2="Fixed",N$2="Not Used"),(IF(COUNTIFS(EmpNo,$C110,OFFSET(Emp!$R$4,1,MATCH(N$5,DedListItem,0)-1,EmpCount,1),"&lt;&gt;")&gt;0,VLOOKUP($C110,EmpAll,COLUMN(Emp!$R$4)+MATCH(N$5,DedListItem,0)-1,0),OFFSET(Setup!$E$73,MATCH(N$5,DedListItem,0),0,1,1))*$AA110)-SUMIFS(OFFSET(N$6,1,0,PayCount,1),PayDate,"&lt;"&amp;$AC110,PayEmp,$C110),IF(ISNA(MATCH(N$2,EarnListItem,0))=FALSE,IF(OFFSET(Setup!$G$73,MATCH(N$5,DedListItem,0),0,1,1)="Taxable",SUMPRODUCT((PayEmp=$C110)*(PayDate&lt;=$AC110)*(PayEarnCode=N$2)*(PayEarnTax)*(PayEarnValues)),SUMPRODUCT((PayEmp=$C110)*(PayDate&lt;=$AC110)*(PayEarnCode=N$2)*(PayEarnValues)))*IF(COUNTIFS(EmpNo,$C110,OFFSET(Emp!$R$4,1,MATCH(N$5,DedListItem,0)-1,EmpCount,1),"&lt;&gt;")&gt;0,VLOOKUP($C110,EmpAll,COLUMN(Emp!$R$4)+MATCH(N$5,DedListItem,0)-1,0),OFFSET(Setup!$E$73,MATCH(N$5,DedListItem,0),0,1,1)),(MIN(IF(OFFSET(Setup!$G$73,MATCH(N$5,DedListItem,0),0,1,1)="Taxable",SUMPRODUCT((PayEmp=$C110)*(PayDate&lt;=$AC110)*(ISERROR(SEARCH(PayEarnCode,N$4)))*(PayEarnTax)*(PayEarnValues)),SUMPRODUCT((PayEmp=$C110)*(PayDate&lt;=$AC110)*(ISERROR(SEARCH(PayEarnCode,N$4)))*(PayEarnValues))),IF(ISNUMBER(N$3),N$3/12*$AA110,IgnoreMin)))*IF(COUNTIFS(EmpNo,$C110,OFFSET(Emp!$R$4,1,MATCH(N$5,DedListItem,0)-1,EmpCount,1),"&lt;&gt;")&gt;0,VLOOKUP($C110,EmpAll,COLUMN(Emp!$R$4)+MATCH(N$5,DedListItem,0)-1,0),OFFSET(Setup!$E$73,MATCH(N$5,DedListItem,0),0,1,1)))-SUMIFS(OFFSET(N$6,1,0,PayCount,1),PayDate,"&lt;"&amp;$AC110,PayEmp,$C110))))))</f>
        <v>177.12</v>
      </c>
      <c r="O110" s="133" cm="1">
        <f t="array" aca="1" ref="O110" ca="1">IF($F110="Terminated",0,IF($AA110=0,0,IF(ISNA(MATCH(O$5,DedListItem,0)),0,IF(COUNTIFS(OverEmp,$C110,OverDeduct,O$5,OverDate,"&lt;"&amp;DATE(YEAR($AC110),MONTH($AC110)+1,1),OverEnd,"&gt;="&amp;DATE(YEAR($AC110),MONTH($AC110),1))&gt;0,SUMIFS(OverValue,OverEmp,$C110,OverDeduct,O$5,OverDate,"&lt;"&amp;DATE(YEAR($AC110),MONTH($AC110)+1,1),OverEnd,"&gt;="&amp;DATE(YEAR($AC110),MONTH($AC110),1)),IF(OR(O$2="Fixed",O$2="Not Used"),(IF(COUNTIFS(EmpNo,$C110,OFFSET(Emp!$R$4,1,MATCH(O$5,DedListItem,0)-1,EmpCount,1),"&lt;&gt;")&gt;0,VLOOKUP($C110,EmpAll,COLUMN(Emp!$R$4)+MATCH(O$5,DedListItem,0)-1,0),OFFSET(Setup!$E$73,MATCH(O$5,DedListItem,0),0,1,1))*$AA110)-SUMIFS(OFFSET(O$6,1,0,PayCount,1),PayDate,"&lt;"&amp;$AC110,PayEmp,$C110),IF(ISNA(MATCH(O$2,EarnListItem,0))=FALSE,IF(OFFSET(Setup!$G$73,MATCH(O$5,DedListItem,0),0,1,1)="Taxable",SUMPRODUCT((PayEmp=$C110)*(PayDate&lt;=$AC110)*(PayEarnCode=O$2)*(PayEarnTax)*(PayEarnValues)),SUMPRODUCT((PayEmp=$C110)*(PayDate&lt;=$AC110)*(PayEarnCode=O$2)*(PayEarnValues)))*IF(COUNTIFS(EmpNo,$C110,OFFSET(Emp!$R$4,1,MATCH(O$5,DedListItem,0)-1,EmpCount,1),"&lt;&gt;")&gt;0,VLOOKUP($C110,EmpAll,COLUMN(Emp!$R$4)+MATCH(O$5,DedListItem,0)-1,0),OFFSET(Setup!$E$73,MATCH(O$5,DedListItem,0),0,1,1)),(MIN(IF(OFFSET(Setup!$G$73,MATCH(O$5,DedListItem,0),0,1,1)="Taxable",SUMPRODUCT((PayEmp=$C110)*(PayDate&lt;=$AC110)*(ISERROR(SEARCH(PayEarnCode,O$4)))*(PayEarnTax)*(PayEarnValues)),SUMPRODUCT((PayEmp=$C110)*(PayDate&lt;=$AC110)*(ISERROR(SEARCH(PayEarnCode,O$4)))*(PayEarnValues))),IF(ISNUMBER(O$3),O$3/12*$AA110,IgnoreMin)))*IF(COUNTIFS(EmpNo,$C110,OFFSET(Emp!$R$4,1,MATCH(O$5,DedListItem,0)-1,EmpCount,1),"&lt;&gt;")&gt;0,VLOOKUP($C110,EmpAll,COLUMN(Emp!$R$4)+MATCH(O$5,DedListItem,0)-1,0),OFFSET(Setup!$E$73,MATCH(O$5,DedListItem,0),0,1,1)))-SUMIFS(OFFSET(O$6,1,0,PayCount,1),PayDate,"&lt;"&amp;$AC110,PayEmp,$C110))))))</f>
        <v>0</v>
      </c>
      <c r="P110" s="133" cm="1">
        <f t="array" aca="1" ref="P110" ca="1">IF($F110="Terminated",0,IF($AA110=0,0,IF(ISNA(MATCH(P$5,DedListItem,0)),0,IF(COUNTIFS(OverEmp,$C110,OverDeduct,P$5,OverDate,"&lt;"&amp;DATE(YEAR($AC110),MONTH($AC110)+1,1),OverEnd,"&gt;="&amp;DATE(YEAR($AC110),MONTH($AC110),1))&gt;0,SUMIFS(OverValue,OverEmp,$C110,OverDeduct,P$5,OverDate,"&lt;"&amp;DATE(YEAR($AC110),MONTH($AC110)+1,1),OverEnd,"&gt;="&amp;DATE(YEAR($AC110),MONTH($AC110),1)),IF(OR(P$2="Fixed",P$2="Not Used"),(IF(COUNTIFS(EmpNo,$C110,OFFSET(Emp!$R$4,1,MATCH(P$5,DedListItem,0)-1,EmpCount,1),"&lt;&gt;")&gt;0,VLOOKUP($C110,EmpAll,COLUMN(Emp!$R$4)+MATCH(P$5,DedListItem,0)-1,0),OFFSET(Setup!$E$73,MATCH(P$5,DedListItem,0),0,1,1))*$AA110)-SUMIFS(OFFSET(P$6,1,0,PayCount,1),PayDate,"&lt;"&amp;$AC110,PayEmp,$C110),IF(ISNA(MATCH(P$2,EarnListItem,0))=FALSE,IF(OFFSET(Setup!$G$73,MATCH(P$5,DedListItem,0),0,1,1)="Taxable",SUMPRODUCT((PayEmp=$C110)*(PayDate&lt;=$AC110)*(PayEarnCode=P$2)*(PayEarnTax)*(PayEarnValues)),SUMPRODUCT((PayEmp=$C110)*(PayDate&lt;=$AC110)*(PayEarnCode=P$2)*(PayEarnValues)))*IF(COUNTIFS(EmpNo,$C110,OFFSET(Emp!$R$4,1,MATCH(P$5,DedListItem,0)-1,EmpCount,1),"&lt;&gt;")&gt;0,VLOOKUP($C110,EmpAll,COLUMN(Emp!$R$4)+MATCH(P$5,DedListItem,0)-1,0),OFFSET(Setup!$E$73,MATCH(P$5,DedListItem,0),0,1,1)),(MIN(IF(OFFSET(Setup!$G$73,MATCH(P$5,DedListItem,0),0,1,1)="Taxable",SUMPRODUCT((PayEmp=$C110)*(PayDate&lt;=$AC110)*(ISERROR(SEARCH(PayEarnCode,P$4)))*(PayEarnTax)*(PayEarnValues)),SUMPRODUCT((PayEmp=$C110)*(PayDate&lt;=$AC110)*(ISERROR(SEARCH(PayEarnCode,P$4)))*(PayEarnValues))),IF(ISNUMBER(P$3),P$3/12*$AA110,IgnoreMin)))*IF(COUNTIFS(EmpNo,$C110,OFFSET(Emp!$R$4,1,MATCH(P$5,DedListItem,0)-1,EmpCount,1),"&lt;&gt;")&gt;0,VLOOKUP($C110,EmpAll,COLUMN(Emp!$R$4)+MATCH(P$5,DedListItem,0)-1,0),OFFSET(Setup!$E$73,MATCH(P$5,DedListItem,0),0,1,1)))-SUMIFS(OFFSET(P$6,1,0,PayCount,1),PayDate,"&lt;"&amp;$AC110,PayEmp,$C110))))))</f>
        <v>0</v>
      </c>
      <c r="Q110" s="133" cm="1">
        <f t="array" aca="1" ref="Q110" ca="1">IF($F110="Terminated",0,IF($AA110=0,0,IF(ISNA(MATCH(Q$5,DedListItem,0)),0,IF(COUNTIFS(OverEmp,$C110,OverDeduct,Q$5,OverDate,"&lt;"&amp;DATE(YEAR($AC110),MONTH($AC110)+1,1),OverEnd,"&gt;="&amp;DATE(YEAR($AC110),MONTH($AC110),1))&gt;0,SUMIFS(OverValue,OverEmp,$C110,OverDeduct,Q$5,OverDate,"&lt;"&amp;DATE(YEAR($AC110),MONTH($AC110)+1,1),OverEnd,"&gt;="&amp;DATE(YEAR($AC110),MONTH($AC110),1)),IF(OR(Q$2="Fixed",Q$2="Not Used"),(IF(COUNTIFS(EmpNo,$C110,OFFSET(Emp!$R$4,1,MATCH(Q$5,DedListItem,0)-1,EmpCount,1),"&lt;&gt;")&gt;0,VLOOKUP($C110,EmpAll,COLUMN(Emp!$R$4)+MATCH(Q$5,DedListItem,0)-1,0),OFFSET(Setup!$E$73,MATCH(Q$5,DedListItem,0),0,1,1))*$AA110)-SUMIFS(OFFSET(Q$6,1,0,PayCount,1),PayDate,"&lt;"&amp;$AC110,PayEmp,$C110),IF(ISNA(MATCH(Q$2,EarnListItem,0))=FALSE,IF(OFFSET(Setup!$G$73,MATCH(Q$5,DedListItem,0),0,1,1)="Taxable",SUMPRODUCT((PayEmp=$C110)*(PayDate&lt;=$AC110)*(PayEarnCode=Q$2)*(PayEarnTax)*(PayEarnValues)),SUMPRODUCT((PayEmp=$C110)*(PayDate&lt;=$AC110)*(PayEarnCode=Q$2)*(PayEarnValues)))*IF(COUNTIFS(EmpNo,$C110,OFFSET(Emp!$R$4,1,MATCH(Q$5,DedListItem,0)-1,EmpCount,1),"&lt;&gt;")&gt;0,VLOOKUP($C110,EmpAll,COLUMN(Emp!$R$4)+MATCH(Q$5,DedListItem,0)-1,0),OFFSET(Setup!$E$73,MATCH(Q$5,DedListItem,0),0,1,1)),(MIN(IF(OFFSET(Setup!$G$73,MATCH(Q$5,DedListItem,0),0,1,1)="Taxable",SUMPRODUCT((PayEmp=$C110)*(PayDate&lt;=$AC110)*(ISERROR(SEARCH(PayEarnCode,Q$4)))*(PayEarnTax)*(PayEarnValues)),SUMPRODUCT((PayEmp=$C110)*(PayDate&lt;=$AC110)*(ISERROR(SEARCH(PayEarnCode,Q$4)))*(PayEarnValues))),IF(ISNUMBER(Q$3),Q$3/12*$AA110,IgnoreMin)))*IF(COUNTIFS(EmpNo,$C110,OFFSET(Emp!$R$4,1,MATCH(Q$5,DedListItem,0)-1,EmpCount,1),"&lt;&gt;")&gt;0,VLOOKUP($C110,EmpAll,COLUMN(Emp!$R$4)+MATCH(Q$5,DedListItem,0)-1,0),OFFSET(Setup!$E$73,MATCH(Q$5,DedListItem,0),0,1,1)))-SUMIFS(OFFSET(Q$6,1,0,PayCount,1),PayDate,"&lt;"&amp;$AC110,PayEmp,$C110))))))</f>
        <v>0</v>
      </c>
      <c r="R110" s="185">
        <f t="shared" ca="1" si="55"/>
        <v>4739.203333333332</v>
      </c>
      <c r="S110" s="139">
        <f t="shared" ca="1" si="56"/>
        <v>24410.799999999999</v>
      </c>
      <c r="T110" s="133" cm="1">
        <f t="array" aca="1" ref="T110" ca="1">IF($F110="Terminated",0,IF($AA110=0,0,IF(ISNA(MATCH(T$5,CompListItem,0)),0,IF(COUNTIFS(OverEmp,$C110,OverComp,T$5,OverDate,"&lt;"&amp;DATE(YEAR($AC110),MONTH($AC110)+1,1),OverEnd,"&gt;="&amp;DATE(YEAR($AC110),MONTH($AC110),1))&gt;0,SUMIFS(OverValue,OverEmp,$C110,OverComp,T$5,OverDate,"&lt;"&amp;DATE(YEAR($AC110),MONTH($AC110)+1,1),OverEnd,"&gt;="&amp;DATE(YEAR($AC110),MONTH($AC110),1)),IF(OR(T$2="Fixed",T$2="Not Used"),(OFFSET(Setup!$E$81,MATCH(T$5,CompListItem,0),0,1,1)*$AA110)-SUMIFS(OFFSET(T$6,1,0,PayCount,1),PayDate,"&lt;"&amp;$AC110,PayEmp,$C110),IF(ISNA(MATCH(T$2,DedListItem,0))=FALSE,(SUMPRODUCT((PayEmp=$C110)*(PayDate&lt;=$AC110)*(PayDedList=T$2)*(PayDedValues))*OFFSET(Setup!$E$81,MATCH(T$5,CompListItem,0),0,1,1))-SUMIFS(OFFSET(T$6,1,0,PayCount,1),PayDate,"&lt;"&amp;$AC110,PayEmp,$C110),(MIN(IF(OFFSET(Setup!$G$81,MATCH(T$5,CompListItem,0),0,1,1)="Taxable",SUMPRODUCT((PayEmp=$C110)*(PayDate&lt;=$AC110)*(ISERROR(SEARCH(PayEarnCode,T$4)))*(PayEarnTax)*(PayEarnValues)),SUMPRODUCT((PayEmp=$C110)*(PayDate&lt;=$AC110)*(ISERROR(SEARCH(PayEarnCode,T$4)))*(PayEarnValues))),IF(ISNUMBER(T$3),T$3/12*$AA110,IgnoreMin)))*OFFSET(Setup!$E$81,MATCH(T$5,CompListItem,0),0,1,1)-SUMIFS(OFFSET(T$6,1,0,PayCount,1),PayDate,"&lt;"&amp;$AC110,PayEmp,$C110)))))))</f>
        <v>177.12</v>
      </c>
      <c r="U110" s="133" cm="1">
        <f t="array" aca="1" ref="U110" ca="1">IF($F110="Terminated",0,IF($AA110=0,0,IF(ISNA(MATCH(U$5,CompListItem,0)),0,IF(COUNTIFS(OverEmp,$C110,OverComp,U$5,OverDate,"&lt;"&amp;DATE(YEAR($AC110),MONTH($AC110)+1,1),OverEnd,"&gt;="&amp;DATE(YEAR($AC110),MONTH($AC110),1))&gt;0,SUMIFS(OverValue,OverEmp,$C110,OverComp,U$5,OverDate,"&lt;"&amp;DATE(YEAR($AC110),MONTH($AC110)+1,1),OverEnd,"&gt;="&amp;DATE(YEAR($AC110),MONTH($AC110),1)),IF(OR(U$2="Fixed",U$2="Not Used"),(OFFSET(Setup!$E$81,MATCH(U$5,CompListItem,0),0,1,1)*$AA110)-SUMIFS(OFFSET(U$6,1,0,PayCount,1),PayDate,"&lt;"&amp;$AC110,PayEmp,$C110),IF(ISNA(MATCH(U$2,DedListItem,0))=FALSE,(SUMPRODUCT((PayEmp=$C110)*(PayDate&lt;=$AC110)*(PayDedList=U$2)*(PayDedValues))*OFFSET(Setup!$E$81,MATCH(U$5,CompListItem,0),0,1,1))-SUMIFS(OFFSET(U$6,1,0,PayCount,1),PayDate,"&lt;"&amp;$AC110,PayEmp,$C110),(MIN(IF(OFFSET(Setup!$G$81,MATCH(U$5,CompListItem,0),0,1,1)="Taxable",SUMPRODUCT((PayEmp=$C110)*(PayDate&lt;=$AC110)*(ISERROR(SEARCH(PayEarnCode,U$4)))*(PayEarnTax)*(PayEarnValues)),SUMPRODUCT((PayEmp=$C110)*(PayDate&lt;=$AC110)*(ISERROR(SEARCH(PayEarnCode,U$4)))*(PayEarnValues))),IF(ISNUMBER(U$3),U$3/12*$AA110,IgnoreMin)))*OFFSET(Setup!$E$81,MATCH(U$5,CompListItem,0),0,1,1)-SUMIFS(OFFSET(U$6,1,0,PayCount,1),PayDate,"&lt;"&amp;$AC110,PayEmp,$C110)))))))</f>
        <v>291.5</v>
      </c>
      <c r="V110" s="133" cm="1">
        <f t="array" aca="1" ref="V110" ca="1">IF($F110="Terminated",0,IF($AA110=0,0,IF(ISNA(MATCH(V$5,CompListItem,0)),0,IF(COUNTIFS(OverEmp,$C110,OverComp,V$5,OverDate,"&lt;"&amp;DATE(YEAR($AC110),MONTH($AC110)+1,1),OverEnd,"&gt;="&amp;DATE(YEAR($AC110),MONTH($AC110),1))&gt;0,SUMIFS(OverValue,OverEmp,$C110,OverComp,V$5,OverDate,"&lt;"&amp;DATE(YEAR($AC110),MONTH($AC110)+1,1),OverEnd,"&gt;="&amp;DATE(YEAR($AC110),MONTH($AC110),1)),IF(OR(V$2="Fixed",V$2="Not Used"),(OFFSET(Setup!$E$81,MATCH(V$5,CompListItem,0),0,1,1)*$AA110)-SUMIFS(OFFSET(V$6,1,0,PayCount,1),PayDate,"&lt;"&amp;$AC110,PayEmp,$C110),IF(ISNA(MATCH(V$2,DedListItem,0))=FALSE,(SUMPRODUCT((PayEmp=$C110)*(PayDate&lt;=$AC110)*(PayDedList=V$2)*(PayDedValues))*OFFSET(Setup!$E$81,MATCH(V$5,CompListItem,0),0,1,1))-SUMIFS(OFFSET(V$6,1,0,PayCount,1),PayDate,"&lt;"&amp;$AC110,PayEmp,$C110),(MIN(IF(OFFSET(Setup!$G$81,MATCH(V$5,CompListItem,0),0,1,1)="Taxable",SUMPRODUCT((PayEmp=$C110)*(PayDate&lt;=$AC110)*(ISERROR(SEARCH(PayEarnCode,V$4)))*(PayEarnTax)*(PayEarnValues)),SUMPRODUCT((PayEmp=$C110)*(PayDate&lt;=$AC110)*(ISERROR(SEARCH(PayEarnCode,V$4)))*(PayEarnValues))),IF(ISNUMBER(V$3),V$3/12*$AA110,IgnoreMin)))*OFFSET(Setup!$E$81,MATCH(V$5,CompListItem,0),0,1,1)-SUMIFS(OFFSET(V$6,1,0,PayCount,1),PayDate,"&lt;"&amp;$AC110,PayEmp,$C110)))))))</f>
        <v>0</v>
      </c>
      <c r="W110" s="133" cm="1">
        <f t="array" aca="1" ref="W110" ca="1">IF($F110="Terminated",0,IF($AA110=0,0,IF(ISNA(MATCH(W$5,CompListItem,0)),0,IF(COUNTIFS(OverEmp,$C110,OverComp,W$5,OverDate,"&lt;"&amp;DATE(YEAR($AC110),MONTH($AC110)+1,1),OverEnd,"&gt;="&amp;DATE(YEAR($AC110),MONTH($AC110),1))&gt;0,SUMIFS(OverValue,OverEmp,$C110,OverComp,W$5,OverDate,"&lt;"&amp;DATE(YEAR($AC110),MONTH($AC110)+1,1),OverEnd,"&gt;="&amp;DATE(YEAR($AC110),MONTH($AC110),1)),IF(OR(W$2="Fixed",W$2="Not Used"),(OFFSET(Setup!$E$81,MATCH(W$5,CompListItem,0),0,1,1)*$AA110)-SUMIFS(OFFSET(W$6,1,0,PayCount,1),PayDate,"&lt;"&amp;$AC110,PayEmp,$C110),IF(ISNA(MATCH(W$2,DedListItem,0))=FALSE,(SUMPRODUCT((PayEmp=$C110)*(PayDate&lt;=$AC110)*(PayDedList=W$2)*(PayDedValues))*OFFSET(Setup!$E$81,MATCH(W$5,CompListItem,0),0,1,1))-SUMIFS(OFFSET(W$6,1,0,PayCount,1),PayDate,"&lt;"&amp;$AC110,PayEmp,$C110),(MIN(IF(OFFSET(Setup!$G$81,MATCH(W$5,CompListItem,0),0,1,1)="Taxable",SUMPRODUCT((PayEmp=$C110)*(PayDate&lt;=$AC110)*(ISERROR(SEARCH(PayEarnCode,W$4)))*(PayEarnTax)*(PayEarnValues)),SUMPRODUCT((PayEmp=$C110)*(PayDate&lt;=$AC110)*(ISERROR(SEARCH(PayEarnCode,W$4)))*(PayEarnValues))),IF(ISNUMBER(W$3),W$3/12*$AA110,IgnoreMin)))*OFFSET(Setup!$E$81,MATCH(W$5,CompListItem,0),0,1,1)-SUMIFS(OFFSET(W$6,1,0,PayCount,1),PayDate,"&lt;"&amp;$AC110,PayEmp,$C110)))))))</f>
        <v>0</v>
      </c>
      <c r="X110" s="185">
        <f t="shared" ca="1" si="48"/>
        <v>468.62</v>
      </c>
      <c r="Y110" s="139">
        <f t="shared" ca="1" si="57"/>
        <v>29618.62</v>
      </c>
      <c r="Z110" s="139">
        <f t="shared" ca="1" si="49"/>
        <v>5207.82</v>
      </c>
      <c r="AA110" s="146">
        <f ca="1">IF(OR($B110&lt;=Setup!$E$12,$B110&gt;=Setup!$D$12+1),0,IF($F110&lt;&gt;"Active",0,IF($AE110="Yes",$AB110,((YEAR($AC110)*12)+MONTH($AC110))-((YEAR($AD110)*12)+MONTH($AD110)-1))))</f>
        <v>4</v>
      </c>
      <c r="AB110" s="146">
        <f ca="1">IF(OR($B110&lt;=Setup!$E$12,$B110&gt;=Setup!$D$12+1),0,((YEAR($AC110)*12)+MONTH($AC110))-((YEAR(Setup!$E$12)*12)+MONTH(Setup!$E$12)))</f>
        <v>7</v>
      </c>
      <c r="AC110" s="186">
        <f t="shared" ca="1" si="50"/>
        <v>45194</v>
      </c>
      <c r="AD110" s="144">
        <f ca="1">IF(ISNA(VLOOKUP($C110,EmpAll,COLUMN(Emp!$E$4),0)),$AC110,IF(VLOOKUP($C110,EmpAll,COLUMN(Emp!$E$4),0)&lt;=Setup!$E$12,DATE(YEAR(Setup!$E$12),MONTH(Setup!$E$12)+1,1),VLOOKUP($C110,EmpAll,COLUMN(Emp!$E$4),0)))</f>
        <v>45102</v>
      </c>
      <c r="AE110" s="144" t="str">
        <f ca="1">IF(ISNA(VLOOKUP($C110,EmpAll,COLUMN(Emp!$G$1),0)),"-",IF(VLOOKUP($C110,EmpAll,COLUMN(Emp!$G$1),0)=0,"-",VLOOKUP($C110,EmpAll,COLUMN(Emp!$G$1),0)))</f>
        <v>-</v>
      </c>
      <c r="AF110" s="145">
        <f ca="1">IF(A110=PaySlip!$G$3,1,0)</f>
        <v>0</v>
      </c>
      <c r="AG110" s="130" cm="1">
        <f t="array" aca="1" ref="AG110" ca="1">IF(COUNTIFS(OverEmp,$C110,OverMed,"MED",OverDate,"&lt;"&amp;DATE(YEAR($AC110),MONTH($AC110)+1,1),OverEnd,"&gt;="&amp;DATE(YEAR($AC110),MONTH($AC110),1))&gt;0,SUMIFS(OverValue,OverEmp,$C110,OverMed,"MED",OverDate,"&lt;"&amp;DATE(YEAR($AC110),MONTH($AC110)+1,1),OverEnd,"&gt;="&amp;DATE(YEAR($AC110),MONTH($AC110),1)),IF(ISNA(VLOOKUP($C110,EmpAll,COLUMN(Emp!$N$4),0)),0,VLOOKUP($C110,EmpAll,COLUMN(Emp!$N$4),0)))</f>
        <v>0</v>
      </c>
      <c r="AH110" s="146">
        <f ca="1">VLOOKUP($AG110,MedList,COLUMN(Setup!$C$49),1)</f>
        <v>0</v>
      </c>
      <c r="AI110" s="146">
        <f t="shared" ca="1" si="40"/>
        <v>0</v>
      </c>
      <c r="AJ110" s="101" t="str">
        <f ca="1">IF(ISNA(VLOOKUP($C110,EmpAll,COLUMN(Emp!$L$4),0)),"None!",VLOOKUP($C110,EmpAll,COLUMN(Emp!$L$4),0))</f>
        <v>A</v>
      </c>
      <c r="AK110" s="147">
        <f t="shared" ca="1" si="51"/>
        <v>17235</v>
      </c>
      <c r="AL110" s="101" t="str">
        <f ca="1">IF(ISNA(VLOOKUP($C110,Employees[],COLUMN(Emp!$M$4),0))=TRUE,"Error!",IF(VLOOKUP($C110,Employees[],COLUMN(Emp!$M$4),0)=0,"Yes",VLOOKUP($C110,Employees[],COLUMN(Emp!$M$4),0)))</f>
        <v>A</v>
      </c>
      <c r="AM110" s="148">
        <f t="shared" ca="1" si="41"/>
        <v>349800</v>
      </c>
      <c r="AN110" s="148" cm="1">
        <f t="array" aca="1" ref="AN110" ca="1">-IF($F110="Terminated",0,IF($AA110=0,0,IF(ISNA(MATCH(AN$5,PayDedList,0)),0,MIN(IF(COUNTIFS(OverEmp,$C110,OverDeduct,AN$5,OverDate,"&lt;"&amp;DATE(YEAR($AC110),MONTH($AC110)+1,1),OverEnd,"&gt;="&amp;DATE(YEAR($AC110),MONTH($AC110),1))&gt;0,SUMPRODUCT((PayEmp=$C110)*(PayDate&lt;=$AC110)*(OFFSET($N$6,1,MATCH(AN$5,PayDedList,0)-1,PayCount,1)))/$AA110*12*AN$3,IF(OR(AN$1="Fixed",AN$1="Not Used"),SUMPRODUCT((PayEmp=$C110)*(PayDate&lt;=$AC110)*(OFFSET($N$6,1,MATCH(AN$5,PayDedList,0)-1,PayCount,1)))/$AA110*12*AN$3,IF(ISNA(MATCH(AN$1,EarnListItem,0))=FALSE,SUMPRODUCT((PayEmp=$C110)*(PayDate&lt;=$AC110)*(OFFSET($N$6,1,MATCH(AN$5,PayDedList,0)-1,PayCount,1)))/$AA110*12*AN$3,(MIN(((SUMPRODUCT((PayEmp=$C110)*(PayDate&lt;=$AC110)*(ISERROR(SEARCH(PayEarnCode,AN$2)))*(PayEarnType="Monthly")*(PayEarnValues))/$AA110*12)+(SUMPRODUCT((PayEmp=$C110)*(PayDate&lt;=$AC110)*(ISERROR(SEARCH(PayEarnCode,AN$2)))*(PayEarnType="Quarterly")*(PayEarnValues))/MAX(1,ROUNDDOWN($AB110/3,0))*4)+(SUMPRODUCT((PayEmp=$C110)*(PayDate&lt;=$AC110)*(ISERROR(SEARCH(PayEarnCode,AN$2)))*(PayEarnType="Bi-Annual")*(PayEarnValues))/MAX(1,ROUNDDOWN($AB110/6,0))*2)+(SUMPRODUCT((PayEmp=$C110)*(PayDate&lt;=$AC110)*(ISERROR(SEARCH(PayEarnCode,AN$2)))*(PayEarnType="Annual")*(PayEarnValues)))),IF(ISNUMBER(OFFSET($N$3,0,MATCH(AN$5,PayDedList,0)-1,1,1)),OFFSET($N$3,0,MATCH(AN$5,PayDedList,0)-1,1,1),IgnoreMin)))*IF(COUNTIFS(EmpNo,$C110,OFFSET(Emp!$R$4,1,MATCH(AN$5,DedListItem,0)-1,EmpCount,1),"&lt;&gt;")&gt;0,VLOOKUP($C110,EmpAll,COLUMN(Emp!$R$4)+MATCH(AN$5,DedListItem,0)-1,0),OFFSET(Setup!$E$73,MATCH(AN$5,DedListItem,0),0,1,1))*AN$3))),IF(ISNUMBER(AN$4),AN$4,IgnoreMin)))))</f>
        <v>0</v>
      </c>
      <c r="AO110" s="148" cm="1">
        <f t="array" aca="1" ref="AO110" ca="1">-IF($F110="Terminated",0,IF($AA110=0,0,IF(ISNA(MATCH(AO$5,PayDedList,0)),0,MIN(IF(COUNTIFS(OverEmp,$C110,OverDeduct,AO$5,OverDate,"&lt;"&amp;DATE(YEAR($AC110),MONTH($AC110)+1,1),OverEnd,"&gt;="&amp;DATE(YEAR($AC110),MONTH($AC110),1))&gt;0,SUMPRODUCT((PayEmp=$C110)*(PayDate&lt;=$AC110)*(OFFSET($N$6,1,MATCH(AO$5,PayDedList,0)-1,PayCount,1)))/$AA110*12*AO$3,IF(OR(AO$1="Fixed",AO$1="Not Used"),SUMPRODUCT((PayEmp=$C110)*(PayDate&lt;=$AC110)*(OFFSET($N$6,1,MATCH(AO$5,PayDedList,0)-1,PayCount,1)))/$AA110*12*AO$3,IF(ISNA(MATCH(AO$1,EarnListItem,0))=FALSE,SUMPRODUCT((PayEmp=$C110)*(PayDate&lt;=$AC110)*(OFFSET($N$6,1,MATCH(AO$5,PayDedList,0)-1,PayCount,1)))/$AA110*12*AO$3,(MIN(((SUMPRODUCT((PayEmp=$C110)*(PayDate&lt;=$AC110)*(ISERROR(SEARCH(PayEarnCode,AO$2)))*(PayEarnType="Monthly")*(PayEarnValues))/$AA110*12)+(SUMPRODUCT((PayEmp=$C110)*(PayDate&lt;=$AC110)*(ISERROR(SEARCH(PayEarnCode,AO$2)))*(PayEarnType="Quarterly")*(PayEarnValues))/MAX(1,ROUNDDOWN($AB110/3,0))*4)+(SUMPRODUCT((PayEmp=$C110)*(PayDate&lt;=$AC110)*(ISERROR(SEARCH(PayEarnCode,AO$2)))*(PayEarnType="Bi-Annual")*(PayEarnValues))/MAX(1,ROUNDDOWN($AB110/6,0))*2)+(SUMPRODUCT((PayEmp=$C110)*(PayDate&lt;=$AC110)*(ISERROR(SEARCH(PayEarnCode,AO$2)))*(PayEarnType="Annual")*(PayEarnValues)))),IF(ISNUMBER(OFFSET($N$3,0,MATCH(AO$5,PayDedList,0)-1,1,1)),OFFSET($N$3,0,MATCH(AO$5,PayDedList,0)-1,1,1),IgnoreMin)))*IF(COUNTIFS(EmpNo,$C110,OFFSET(Emp!$R$4,1,MATCH(AO$5,DedListItem,0)-1,EmpCount,1),"&lt;&gt;")&gt;0,VLOOKUP($C110,EmpAll,COLUMN(Emp!$R$4)+MATCH(AO$5,DedListItem,0)-1,0),OFFSET(Setup!$E$73,MATCH(AO$5,DedListItem,0),0,1,1))*AO$3))),IF(ISNUMBER(AO$4),AO$4,IgnoreMin)))))</f>
        <v>0</v>
      </c>
      <c r="AP110" s="148" cm="1">
        <f t="array" aca="1" ref="AP110" ca="1">-IF($F110="Terminated",0,IF($AA110=0,0,IF(ISNA(MATCH(AP$5,PayDedList,0)),0,MIN(IF(COUNTIFS(OverEmp,$C110,OverDeduct,AP$5,OverDate,"&lt;"&amp;DATE(YEAR($AC110),MONTH($AC110)+1,1),OverEnd,"&gt;="&amp;DATE(YEAR($AC110),MONTH($AC110),1))&gt;0,SUMPRODUCT((PayEmp=$C110)*(PayDate&lt;=$AC110)*(OFFSET($N$6,1,MATCH(AP$5,PayDedList,0)-1,PayCount,1)))/$AA110*12*AP$3,IF(OR(AP$1="Fixed",AP$1="Not Used"),SUMPRODUCT((PayEmp=$C110)*(PayDate&lt;=$AC110)*(OFFSET($N$6,1,MATCH(AP$5,PayDedList,0)-1,PayCount,1)))/$AA110*12*AP$3,IF(ISNA(MATCH(AP$1,EarnListItem,0))=FALSE,SUMPRODUCT((PayEmp=$C110)*(PayDate&lt;=$AC110)*(OFFSET($N$6,1,MATCH(AP$5,PayDedList,0)-1,PayCount,1)))/$AA110*12*AP$3,(MIN(((SUMPRODUCT((PayEmp=$C110)*(PayDate&lt;=$AC110)*(ISERROR(SEARCH(PayEarnCode,AP$2)))*(PayEarnType="Monthly")*(PayEarnValues))/$AA110*12)+(SUMPRODUCT((PayEmp=$C110)*(PayDate&lt;=$AC110)*(ISERROR(SEARCH(PayEarnCode,AP$2)))*(PayEarnType="Quarterly")*(PayEarnValues))/MAX(1,ROUNDDOWN($AB110/3,0))*4)+(SUMPRODUCT((PayEmp=$C110)*(PayDate&lt;=$AC110)*(ISERROR(SEARCH(PayEarnCode,AP$2)))*(PayEarnType="Bi-Annual")*(PayEarnValues))/MAX(1,ROUNDDOWN($AB110/6,0))*2)+(SUMPRODUCT((PayEmp=$C110)*(PayDate&lt;=$AC110)*(ISERROR(SEARCH(PayEarnCode,AP$2)))*(PayEarnType="Annual")*(PayEarnValues)))),IF(ISNUMBER(OFFSET($N$3,0,MATCH(AP$5,PayDedList,0)-1,1,1)),OFFSET($N$3,0,MATCH(AP$5,PayDedList,0)-1,1,1),IgnoreMin)))*IF(COUNTIFS(EmpNo,$C110,OFFSET(Emp!$R$4,1,MATCH(AP$5,DedListItem,0)-1,EmpCount,1),"&lt;&gt;")&gt;0,VLOOKUP($C110,EmpAll,COLUMN(Emp!$R$4)+MATCH(AP$5,DedListItem,0)-1,0),OFFSET(Setup!$E$73,MATCH(AP$5,DedListItem,0),0,1,1))*AP$3))),IF(ISNUMBER(AP$4),AP$4,IgnoreMin)))))</f>
        <v>0</v>
      </c>
      <c r="AQ110" s="148" cm="1">
        <f t="array" aca="1" ref="AQ110" ca="1">-IF($F110="Terminated",0,IF($AA110=0,0,IF(ISNA(MATCH(AQ$5,PayDedList,0)),0,MIN(IF(COUNTIFS(OverEmp,$C110,OverDeduct,AQ$5,OverDate,"&lt;"&amp;DATE(YEAR($AC110),MONTH($AC110)+1,1),OverEnd,"&gt;="&amp;DATE(YEAR($AC110),MONTH($AC110),1))&gt;0,SUMPRODUCT((PayEmp=$C110)*(PayDate&lt;=$AC110)*(OFFSET($N$6,1,MATCH(AQ$5,PayDedList,0)-1,PayCount,1)))/$AA110*12*AQ$3,IF(OR(AQ$1="Fixed",AQ$1="Not Used"),SUMPRODUCT((PayEmp=$C110)*(PayDate&lt;=$AC110)*(OFFSET($N$6,1,MATCH(AQ$5,PayDedList,0)-1,PayCount,1)))/$AA110*12*AQ$3,IF(ISNA(MATCH(AQ$1,EarnListItem,0))=FALSE,SUMPRODUCT((PayEmp=$C110)*(PayDate&lt;=$AC110)*(OFFSET($N$6,1,MATCH(AQ$5,PayDedList,0)-1,PayCount,1)))/$AA110*12*AQ$3,(MIN(((SUMPRODUCT((PayEmp=$C110)*(PayDate&lt;=$AC110)*(ISERROR(SEARCH(PayEarnCode,AQ$2)))*(PayEarnType="Monthly")*(PayEarnValues))/$AA110*12)+(SUMPRODUCT((PayEmp=$C110)*(PayDate&lt;=$AC110)*(ISERROR(SEARCH(PayEarnCode,AQ$2)))*(PayEarnType="Quarterly")*(PayEarnValues))/MAX(1,ROUNDDOWN($AB110/3,0))*4)+(SUMPRODUCT((PayEmp=$C110)*(PayDate&lt;=$AC110)*(ISERROR(SEARCH(PayEarnCode,AQ$2)))*(PayEarnType="Bi-Annual")*(PayEarnValues))/MAX(1,ROUNDDOWN($AB110/6,0))*2)+(SUMPRODUCT((PayEmp=$C110)*(PayDate&lt;=$AC110)*(ISERROR(SEARCH(PayEarnCode,AQ$2)))*(PayEarnType="Annual")*(PayEarnValues)))),IF(ISNUMBER(OFFSET($N$3,0,MATCH(AQ$5,PayDedList,0)-1,1,1)),OFFSET($N$3,0,MATCH(AQ$5,PayDedList,0)-1,1,1),IgnoreMin)))*IF(COUNTIFS(EmpNo,$C110,OFFSET(Emp!$R$4,1,MATCH(AQ$5,DedListItem,0)-1,EmpCount,1),"&lt;&gt;")&gt;0,VLOOKUP($C110,EmpAll,COLUMN(Emp!$R$4)+MATCH(AQ$5,DedListItem,0)-1,0),OFFSET(Setup!$E$73,MATCH(AQ$5,DedListItem,0),0,1,1))*AQ$3))),IF(ISNUMBER(AQ$4),AQ$4,IgnoreMin)))))</f>
        <v>0</v>
      </c>
      <c r="AR110" s="148">
        <f t="shared" ca="1" si="52"/>
        <v>349800</v>
      </c>
      <c r="AS110" s="148">
        <f t="shared" ca="1" si="42"/>
        <v>349800</v>
      </c>
      <c r="AT110" s="148" cm="1">
        <f t="array" aca="1" ref="AT110" ca="1">-IF($F110="Terminated",0,IF($AA110=0,0,IF(ISNA(MATCH(AT$5,PayDedList,0)),0,MIN(IF(COUNTIFS(OverEmp,$C110,OverDeduct,AT$5,OverDate,"&lt;"&amp;DATE(YEAR($AC110),MONTH($AC110)+1,1),OverEnd,"&gt;="&amp;DATE(YEAR($AC110),MONTH($AC110),1))&gt;0,SUMPRODUCT((PayEmp=$C110)*(PayDate&lt;=$AC110)*(OFFSET($N$6,1,MATCH(AT$5,PayDedList,0)-1,PayCount,1)))/$AA110*12*AT$3,IF(OR(AT$1="Fixed",AT$1="Not Used"),SUMPRODUCT((PayEmp=$C110)*(PayDate&lt;=$AC110)*(OFFSET($N$6,1,MATCH(AT$5,PayDedList,0)-1,PayCount,1)))/$AA110*12*AT$3,IF(ISNA(MATCH(OFFSET($N$2,0,MATCH(AT$5,PayDedList,0)-1,1,1),EarnListItem,0))=FALSE,SUMPRODUCT((PayEmp=$C110)*(PayDate&lt;=$AC110)*(OFFSET($N$6,1,MATCH(AT$5,PayDedList,0)-1,PayCount,1)))/$AA110*12*AT$3,(MIN(SUMPRODUCT((PayEmp=$C110)*(PayDate&lt;=$AC110)*(ISERROR(SEARCH(PayEarnCode,AT$2)))*(PayEarnType="Monthly")*(PayEarnValues))/$AA110*12,IF(ISNUMBER(OFFSET($N$3,0,MATCH(AT$5,PayDedList,0)-1,1,1)),OFFSET($N$3,0,MATCH(AT$5,PayDedList,0)-1,1,1),IgnoreMin)))*IF(COUNTIFS(EmpNo,$C110,OFFSET(Emp!$R$4,1,MATCH(AT$5,DedListItem,0)-1,EmpCount,1),"&lt;&gt;")&gt;0,VLOOKUP($C110,EmpAll,COLUMN(Emp!$R$4)+MATCH(AT$5,DedListItem,0)-1,0),OFFSET(Setup!$E$73,MATCH(AT$5,DedListItem,0),0,1,1))*AT$3))),IF(ISNUMBER(AT$4),AT$4,IgnoreMin)))))</f>
        <v>0</v>
      </c>
      <c r="AU110" s="148" cm="1">
        <f t="array" aca="1" ref="AU110" ca="1">-IF($F110="Terminated",0,IF($AA110=0,0,IF(ISNA(MATCH(AU$5,PayDedList,0)),0,MIN(IF(COUNTIFS(OverEmp,$C110,OverDeduct,AU$5,OverDate,"&lt;"&amp;DATE(YEAR($AC110),MONTH($AC110)+1,1),OverEnd,"&gt;="&amp;DATE(YEAR($AC110),MONTH($AC110),1))&gt;0,SUMPRODUCT((PayEmp=$C110)*(PayDate&lt;=$AC110)*(OFFSET($N$6,1,MATCH(AU$5,PayDedList,0)-1,PayCount,1)))/$AA110*12*AU$3,IF(OR(AU$1="Fixed",AU$1="Not Used"),SUMPRODUCT((PayEmp=$C110)*(PayDate&lt;=$AC110)*(OFFSET($N$6,1,MATCH(AU$5,PayDedList,0)-1,PayCount,1)))/$AA110*12*AU$3,IF(ISNA(MATCH(OFFSET($N$2,0,MATCH(AU$5,PayDedList,0)-1,1,1),EarnListItem,0))=FALSE,SUMPRODUCT((PayEmp=$C110)*(PayDate&lt;=$AC110)*(OFFSET($N$6,1,MATCH(AU$5,PayDedList,0)-1,PayCount,1)))/$AA110*12*AU$3,(MIN(SUMPRODUCT((PayEmp=$C110)*(PayDate&lt;=$AC110)*(ISERROR(SEARCH(PayEarnCode,AU$2)))*(PayEarnType="Monthly")*(PayEarnValues))/$AA110*12,IF(ISNUMBER(OFFSET($N$3,0,MATCH(AU$5,PayDedList,0)-1,1,1)),OFFSET($N$3,0,MATCH(AU$5,PayDedList,0)-1,1,1),IgnoreMin)))*IF(COUNTIFS(EmpNo,$C110,OFFSET(Emp!$R$4,1,MATCH(AU$5,DedListItem,0)-1,EmpCount,1),"&lt;&gt;")&gt;0,VLOOKUP($C110,EmpAll,COLUMN(Emp!$R$4)+MATCH(AU$5,DedListItem,0)-1,0),OFFSET(Setup!$E$73,MATCH(AU$5,DedListItem,0),0,1,1))*AU$3))),IF(ISNUMBER(AU$4),AU$4,IgnoreMin)))))</f>
        <v>0</v>
      </c>
      <c r="AV110" s="148" cm="1">
        <f t="array" aca="1" ref="AV110" ca="1">-IF($F110="Terminated",0,IF($AA110=0,0,IF(ISNA(MATCH(AV$5,PayDedList,0)),0,MIN(IF(COUNTIFS(OverEmp,$C110,OverDeduct,AV$5,OverDate,"&lt;"&amp;DATE(YEAR($AC110),MONTH($AC110)+1,1),OverEnd,"&gt;="&amp;DATE(YEAR($AC110),MONTH($AC110),1))&gt;0,SUMPRODUCT((PayEmp=$C110)*(PayDate&lt;=$AC110)*(OFFSET($N$6,1,MATCH(AV$5,PayDedList,0)-1,PayCount,1)))/$AA110*12*AV$3,IF(OR(AV$1="Fixed",AV$1="Not Used"),SUMPRODUCT((PayEmp=$C110)*(PayDate&lt;=$AC110)*(OFFSET($N$6,1,MATCH(AV$5,PayDedList,0)-1,PayCount,1)))/$AA110*12*AV$3,IF(ISNA(MATCH(OFFSET($N$2,0,MATCH(AV$5,PayDedList,0)-1,1,1),EarnListItem,0))=FALSE,SUMPRODUCT((PayEmp=$C110)*(PayDate&lt;=$AC110)*(OFFSET($N$6,1,MATCH(AV$5,PayDedList,0)-1,PayCount,1)))/$AA110*12*AV$3,(MIN(SUMPRODUCT((PayEmp=$C110)*(PayDate&lt;=$AC110)*(ISERROR(SEARCH(PayEarnCode,AV$2)))*(PayEarnType="Monthly")*(PayEarnValues))/$AA110*12,IF(ISNUMBER(OFFSET($N$3,0,MATCH(AV$5,PayDedList,0)-1,1,1)),OFFSET($N$3,0,MATCH(AV$5,PayDedList,0)-1,1,1),IgnoreMin)))*IF(COUNTIFS(EmpNo,$C110,OFFSET(Emp!$R$4,1,MATCH(AV$5,DedListItem,0)-1,EmpCount,1),"&lt;&gt;")&gt;0,VLOOKUP($C110,EmpAll,COLUMN(Emp!$R$4)+MATCH(AV$5,DedListItem,0)-1,0),OFFSET(Setup!$E$73,MATCH(AV$5,DedListItem,0),0,1,1))*AV$3))),IF(ISNUMBER(AV$4),AV$4,IgnoreMin)))))</f>
        <v>0</v>
      </c>
      <c r="AW110" s="148" cm="1">
        <f t="array" aca="1" ref="AW110" ca="1">-IF($F110="Terminated",0,IF($AA110=0,0,IF(ISNA(MATCH(AW$5,PayDedList,0)),0,MIN(IF(COUNTIFS(OverEmp,$C110,OverDeduct,AW$5,OverDate,"&lt;"&amp;DATE(YEAR($AC110),MONTH($AC110)+1,1),OverEnd,"&gt;="&amp;DATE(YEAR($AC110),MONTH($AC110),1))&gt;0,SUMPRODUCT((PayEmp=$C110)*(PayDate&lt;=$AC110)*(OFFSET($N$6,1,MATCH(AW$5,PayDedList,0)-1,PayCount,1)))/$AA110*12*AW$3,IF(OR(AW$1="Fixed",AW$1="Not Used"),SUMPRODUCT((PayEmp=$C110)*(PayDate&lt;=$AC110)*(OFFSET($N$6,1,MATCH(AW$5,PayDedList,0)-1,PayCount,1)))/$AA110*12*AW$3,IF(ISNA(MATCH(OFFSET($N$2,0,MATCH(AW$5,PayDedList,0)-1,1,1),EarnListItem,0))=FALSE,SUMPRODUCT((PayEmp=$C110)*(PayDate&lt;=$AC110)*(OFFSET($N$6,1,MATCH(AW$5,PayDedList,0)-1,PayCount,1)))/$AA110*12*AW$3,(MIN(SUMPRODUCT((PayEmp=$C110)*(PayDate&lt;=$AC110)*(ISERROR(SEARCH(PayEarnCode,AW$2)))*(PayEarnType="Monthly")*(PayEarnValues))/$AA110*12,IF(ISNUMBER(OFFSET($N$3,0,MATCH(AW$5,PayDedList,0)-1,1,1)),OFFSET($N$3,0,MATCH(AW$5,PayDedList,0)-1,1,1),IgnoreMin)))*IF(COUNTIFS(EmpNo,$C110,OFFSET(Emp!$R$4,1,MATCH(AW$5,DedListItem,0)-1,EmpCount,1),"&lt;&gt;")&gt;0,VLOOKUP($C110,EmpAll,COLUMN(Emp!$R$4)+MATCH(AW$5,DedListItem,0)-1,0),OFFSET(Setup!$E$73,MATCH(AW$5,DedListItem,0),0,1,1))*AW$3))),IF(ISNUMBER(AW$4),AW$4,IgnoreMin)))))</f>
        <v>0</v>
      </c>
      <c r="AX110" s="148">
        <f t="shared" ca="1" si="58"/>
        <v>349800</v>
      </c>
      <c r="AY110" s="148">
        <f t="shared" ca="1" si="59"/>
        <v>0</v>
      </c>
      <c r="AZ110" s="148">
        <f ca="1">IF(ISNUMBER($AL110),($AR110*$AL110)-$AI110-$AK110,MAX(0,IF($AL110="B",IF($AR110&lt;Setup!$C$32,($AR110*Setup!$D$32)-$AI110-$AK110,(($AR110-VLOOKUP($AR110,TaxAll2,1,1))*OFFSET(Setup!$D$32,MATCH($AR110,TaxBracket2,1),0,1,1))+OFFSET(Setup!$E$31,MATCH($AR110,TaxBracket2,1),0,1,1)-$AI110-$AK110),IF($AR110&lt;Setup!$C$21,($AR110*Setup!$D$21)-$AI110-$AK110,(($AR110-VLOOKUP($AR110,TaxAll1,1,1))*OFFSET(Setup!$D$21,MATCH($AR110,TaxBracket1,1),0,1,1))+OFFSET(Setup!$E$20,MATCH($AR110,TaxBracket1,1),0,1,1)-$AI110-$AK110))))</f>
        <v>54745</v>
      </c>
      <c r="BA110" s="148">
        <f ca="1">IF(ISNUMBER($AL110),($AX110*$AL110)-$AI110-$AK110,MAX(0,IF($AL110="B",IF($AX110&lt;Setup!$C$32,($AX110*Setup!$D$32)-$AI110-$AK110,(($AX110-VLOOKUP($AX110,TaxAll2,1,1))*OFFSET(Setup!$D$32,MATCH($AX110,TaxBracket2,1),0,1,1))+OFFSET(Setup!$E$31,MATCH($AX110,TaxBracket2,1),0,1,1)-$AI110-$AK110),IF($AX110&lt;Setup!$C$21,($AX110*Setup!$D$21)-$AI110-$AK110,(($AX110-VLOOKUP($AX110,TaxAll1,1,1))*OFFSET(Setup!$D$21,MATCH($AX110,TaxBracket1,1),0,1,1))+OFFSET(Setup!$E$20,MATCH($AX110,TaxBracket1,1),0,1,1)-$AI110-$AK110))))</f>
        <v>54745</v>
      </c>
      <c r="BB110" s="148">
        <f t="shared" ca="1" si="53"/>
        <v>0</v>
      </c>
      <c r="BC110" s="150">
        <f t="shared" ca="1" si="45"/>
        <v>1</v>
      </c>
      <c r="BD110" s="150">
        <f t="shared" ca="1" si="46"/>
        <v>0</v>
      </c>
      <c r="BE110" s="148">
        <f t="shared" ca="1" si="47"/>
        <v>349800</v>
      </c>
    </row>
    <row r="111" spans="1:57" ht="16.149999999999999" customHeight="1" x14ac:dyDescent="0.25">
      <c r="A111" s="10" t="str" cm="1">
        <f t="array" aca="1" ref="A111" ca="1">IF(ROW($A111)-ROW($A$6)&gt;EmpCount*12,"-",TEXT($B111,"yyyy")&amp;TEXT($B111,"mm")&amp;"-"&amp;$C111)</f>
        <v>202309-EXS015</v>
      </c>
      <c r="B111" s="137" cm="1">
        <f t="array" aca="1" ref="B111" ca="1">IF(ROW($A111)-ROW($A$6)&gt;EmpCount*12,Setup!$D$12,DATE(YEAR(Setup!$F$12),MONTH(Setup!$F$12)+ROUNDDOWN((ROW($A111)-ROW($A$6)-1)/EmpCount,0),IF(Setup!$C$14&gt;DAY(DATE(YEAR(Setup!$F$12),MONTH(Setup!$F$12)+ROUNDDOWN((ROW($A111)-ROW($A$6)-1)/EmpCount,0)+1,0)),DAY(DATE(YEAR(Setup!$F$12),MONTH(Setup!$F$12)+ROUNDDOWN((ROW($A111)-ROW($A$6)-1)/EmpCount,0)+1,0)),Setup!$C$14)))</f>
        <v>45194</v>
      </c>
      <c r="C111" s="101" t="str" cm="1">
        <f t="array" aca="1" ref="C111" ca="1">IF(ROW($A111)-ROW($A$6)&gt;EmpCount*12,"-",OFFSET(Emp!$A$4,ROW($A111)-ROW($A$6)-IF(ROW($A111)-ROW($A$6)&gt;EmpCount,ROUNDDOWN((ROW($A111)-ROW($A$6)-1)/EmpCount,0)*EmpCount,0),0,1,1))</f>
        <v>EXS015</v>
      </c>
      <c r="D111" s="10" t="str">
        <f ca="1">IF(ISNA(VLOOKUP($C111,EmpAll,COLUMN(Emp!$B$4),0)),"-",VLOOKUP($C111,EmpAll,COLUMN(Emp!$B$4),0))</f>
        <v>Graham L</v>
      </c>
      <c r="E111" s="145" t="str">
        <f ca="1">IF(ISNA(VLOOKUP($C111,EmpAll,COLUMN(Emp!$C$4),0)),"-",VLOOKUP($C111,EmpAll,COLUMN(Emp!$C$4),0))</f>
        <v>S</v>
      </c>
      <c r="F111" s="101" t="str">
        <f ca="1">IF(ISNA(VLOOKUP($C111,EmpAll,COLUMN(Emp!$A$4),0)),"-",IF(AND(VLOOKUP($C111,EmpAll,COLUMN(Emp!$E$4),0)&lt;&gt;0,VLOOKUP($C111,EmpAll,COLUMN(Emp!$E$4),0)&gt;=DATE(YEAR($AC111),MONTH($AC111)+1,0)),"Inactive",IF(AND(VLOOKUP($C111,EmpAll,COLUMN(Emp!$F$4),0)&lt;&gt;0,VLOOKUP($C111,EmpAll,COLUMN(Emp!$F$4),0)&lt;=DATE(YEAR($AC111),MONTH($AC111),0)),"Terminated","Active")))</f>
        <v>Inactive</v>
      </c>
      <c r="G111" s="133" cm="1">
        <f t="array" aca="1" ref="G111" ca="1">IF($F111&lt;&gt;"Active",0,IF(COUNTIFS(OverEmp,$C111,OverEarn,G$2,OverDate,"&lt;"&amp;DATE(YEAR($AC111),MONTH($AC111)+1,1),OverEnd,"&gt;="&amp;DATE(YEAR($AC111),MONTH($AC111),1))&gt;0,SUMIFS(OverValue,OverEmp,$C111,OverEarn,G$2,OverDate,"&lt;"&amp;DATE(YEAR($AC111),MONTH($AC111)+1,1),OverEnd,"&gt;="&amp;DATE(YEAR($AC111),MONTH($AC111),1)),IF(AND($AC111&gt;=Setup!$E$10,SUMIFS(EmpIncrease,EmpCode,$C111)&gt;0),SUMIFS(EmpIncrease,EmpCode,$C111),SUMIFS(EmpSalary,EmpCode,$C111))))</f>
        <v>0</v>
      </c>
      <c r="H111" s="133" cm="1">
        <f t="array" aca="1" ref="H111" ca="1">IF($F111&lt;&gt;"Active",0,IF(COUNTIFS(OverEmp,$C111,OverEarn,H$2,OverDate,"&lt;"&amp;DATE(YEAR($AC111),MONTH($AC111)+1,1),OverEnd,"&gt;="&amp;DATE(YEAR($AC111),MONTH($AC111),1))&gt;0,SUMIFS(OverValue,OverEmp,$C111,OverEarn,H$2,OverDate,"&lt;"&amp;DATE(YEAR($AC111),MONTH($AC111)+1,1),OverEnd,"&gt;="&amp;DATE(YEAR($AC111),MONTH($AC111),1)),0))</f>
        <v>0</v>
      </c>
      <c r="I111" s="133" cm="1">
        <f t="array" aca="1" ref="I111" ca="1">IF($F111&lt;&gt;"Active",0,IF(COUNTIFS(OverEmp,$C111,OverEarn,I$2,OverDate,"&lt;"&amp;DATE(YEAR($AC111),MONTH($AC111)+1,1),OverEnd,"&gt;="&amp;DATE(YEAR($AC111),MONTH($AC111),1))&gt;0,SUMIFS(OverValue,OverEmp,$C111,OverEarn,I$2,OverDate,"&lt;"&amp;DATE(YEAR($AC111),MONTH($AC111)+1,1),OverEnd,"&gt;="&amp;DATE(YEAR($AC111),MONTH($AC111),1)),IF(MONTH(B111)=Setup!$C$15,SUMIFS(EmpBonus,EmpCode,$C111),0)))</f>
        <v>0</v>
      </c>
      <c r="J111" s="133" cm="1">
        <f t="array" aca="1" ref="J111" ca="1">IF($F111&lt;&gt;"Active",0,IF(COUNTIFS(OverEmp,$C111,OverEarn,J$2,OverDate,"&lt;"&amp;DATE(YEAR($AC111),MONTH($AC111)+1,1),OverEnd,"&gt;="&amp;DATE(YEAR($AC111),MONTH($AC111),1))&gt;0,SUMIFS(OverValue,OverEmp,$C111,OverEarn,J$2,OverDate,"&lt;"&amp;DATE(YEAR($AC111),MONTH($AC111)+1,1),OverEnd,"&gt;="&amp;DATE(YEAR($AC111),MONTH($AC111),1)),0))</f>
        <v>0</v>
      </c>
      <c r="K111" s="133" cm="1">
        <f t="array" aca="1" ref="K111" ca="1">IF($F111&lt;&gt;"Active",0,IF(COUNTIFS(OverEmp,$C111,OverEarn,K$2,OverDate,"&lt;"&amp;DATE(YEAR($AC111),MONTH($AC111)+1,1),OverEnd,"&gt;="&amp;DATE(YEAR($AC111),MONTH($AC111),1))&gt;0,SUMIFS(OverValue,OverEmp,$C111,OverEarn,K$2,OverDate,"&lt;"&amp;DATE(YEAR($AC111),MONTH($AC111)+1,1),OverEnd,"&gt;="&amp;DATE(YEAR($AC111),MONTH($AC111),1)),0))</f>
        <v>0</v>
      </c>
      <c r="L111" s="185">
        <f t="shared" ca="1" si="54"/>
        <v>0</v>
      </c>
      <c r="M111" s="182" cm="1">
        <f t="array" aca="1" ref="M111" ca="1">IF(COUNTIFS(OverEmp,$C111,OverTax,M$5,OverDate,"&lt;"&amp;DATE(YEAR($AC111),MONTH($AC111)+1,1),OverEnd,"&gt;="&amp;DATE(YEAR($AC111),MONTH($AC111),1))&gt;0,SUMIFS(OverValue,OverEmp,$C111,OverTax,M$5,OverDate,"&lt;"&amp;DATE(YEAR($AC111),MONTH($AC111)+1,1),OverEnd,"&gt;="&amp;DATE(YEAR($AC111),MONTH($AC111),1)),(($BA111/12*$AA111)+(BB111*IF(1-$BC111=0,0,BD111/(1-$BC111))))-IF($F111="Terminated",0,SUMIFS(PayTaxDeduct,PayDate,"&lt;"&amp;$AC111,PayEmp,$C111)))</f>
        <v>0</v>
      </c>
      <c r="N111" s="133" cm="1">
        <f t="array" aca="1" ref="N111" ca="1">IF($F111="Terminated",0,IF($AA111=0,0,IF(ISNA(MATCH(N$5,DedListItem,0)),0,IF(COUNTIFS(OverEmp,$C111,OverDeduct,N$5,OverDate,"&lt;"&amp;DATE(YEAR($AC111),MONTH($AC111)+1,1),OverEnd,"&gt;="&amp;DATE(YEAR($AC111),MONTH($AC111),1))&gt;0,SUMIFS(OverValue,OverEmp,$C111,OverDeduct,N$5,OverDate,"&lt;"&amp;DATE(YEAR($AC111),MONTH($AC111)+1,1),OverEnd,"&gt;="&amp;DATE(YEAR($AC111),MONTH($AC111),1)),IF(OR(N$2="Fixed",N$2="Not Used"),(IF(COUNTIFS(EmpNo,$C111,OFFSET(Emp!$R$4,1,MATCH(N$5,DedListItem,0)-1,EmpCount,1),"&lt;&gt;")&gt;0,VLOOKUP($C111,EmpAll,COLUMN(Emp!$R$4)+MATCH(N$5,DedListItem,0)-1,0),OFFSET(Setup!$E$73,MATCH(N$5,DedListItem,0),0,1,1))*$AA111)-SUMIFS(OFFSET(N$6,1,0,PayCount,1),PayDate,"&lt;"&amp;$AC111,PayEmp,$C111),IF(ISNA(MATCH(N$2,EarnListItem,0))=FALSE,IF(OFFSET(Setup!$G$73,MATCH(N$5,DedListItem,0),0,1,1)="Taxable",SUMPRODUCT((PayEmp=$C111)*(PayDate&lt;=$AC111)*(PayEarnCode=N$2)*(PayEarnTax)*(PayEarnValues)),SUMPRODUCT((PayEmp=$C111)*(PayDate&lt;=$AC111)*(PayEarnCode=N$2)*(PayEarnValues)))*IF(COUNTIFS(EmpNo,$C111,OFFSET(Emp!$R$4,1,MATCH(N$5,DedListItem,0)-1,EmpCount,1),"&lt;&gt;")&gt;0,VLOOKUP($C111,EmpAll,COLUMN(Emp!$R$4)+MATCH(N$5,DedListItem,0)-1,0),OFFSET(Setup!$E$73,MATCH(N$5,DedListItem,0),0,1,1)),(MIN(IF(OFFSET(Setup!$G$73,MATCH(N$5,DedListItem,0),0,1,1)="Taxable",SUMPRODUCT((PayEmp=$C111)*(PayDate&lt;=$AC111)*(ISERROR(SEARCH(PayEarnCode,N$4)))*(PayEarnTax)*(PayEarnValues)),SUMPRODUCT((PayEmp=$C111)*(PayDate&lt;=$AC111)*(ISERROR(SEARCH(PayEarnCode,N$4)))*(PayEarnValues))),IF(ISNUMBER(N$3),N$3/12*$AA111,IgnoreMin)))*IF(COUNTIFS(EmpNo,$C111,OFFSET(Emp!$R$4,1,MATCH(N$5,DedListItem,0)-1,EmpCount,1),"&lt;&gt;")&gt;0,VLOOKUP($C111,EmpAll,COLUMN(Emp!$R$4)+MATCH(N$5,DedListItem,0)-1,0),OFFSET(Setup!$E$73,MATCH(N$5,DedListItem,0),0,1,1)))-SUMIFS(OFFSET(N$6,1,0,PayCount,1),PayDate,"&lt;"&amp;$AC111,PayEmp,$C111))))))</f>
        <v>0</v>
      </c>
      <c r="O111" s="133" cm="1">
        <f t="array" aca="1" ref="O111" ca="1">IF($F111="Terminated",0,IF($AA111=0,0,IF(ISNA(MATCH(O$5,DedListItem,0)),0,IF(COUNTIFS(OverEmp,$C111,OverDeduct,O$5,OverDate,"&lt;"&amp;DATE(YEAR($AC111),MONTH($AC111)+1,1),OverEnd,"&gt;="&amp;DATE(YEAR($AC111),MONTH($AC111),1))&gt;0,SUMIFS(OverValue,OverEmp,$C111,OverDeduct,O$5,OverDate,"&lt;"&amp;DATE(YEAR($AC111),MONTH($AC111)+1,1),OverEnd,"&gt;="&amp;DATE(YEAR($AC111),MONTH($AC111),1)),IF(OR(O$2="Fixed",O$2="Not Used"),(IF(COUNTIFS(EmpNo,$C111,OFFSET(Emp!$R$4,1,MATCH(O$5,DedListItem,0)-1,EmpCount,1),"&lt;&gt;")&gt;0,VLOOKUP($C111,EmpAll,COLUMN(Emp!$R$4)+MATCH(O$5,DedListItem,0)-1,0),OFFSET(Setup!$E$73,MATCH(O$5,DedListItem,0),0,1,1))*$AA111)-SUMIFS(OFFSET(O$6,1,0,PayCount,1),PayDate,"&lt;"&amp;$AC111,PayEmp,$C111),IF(ISNA(MATCH(O$2,EarnListItem,0))=FALSE,IF(OFFSET(Setup!$G$73,MATCH(O$5,DedListItem,0),0,1,1)="Taxable",SUMPRODUCT((PayEmp=$C111)*(PayDate&lt;=$AC111)*(PayEarnCode=O$2)*(PayEarnTax)*(PayEarnValues)),SUMPRODUCT((PayEmp=$C111)*(PayDate&lt;=$AC111)*(PayEarnCode=O$2)*(PayEarnValues)))*IF(COUNTIFS(EmpNo,$C111,OFFSET(Emp!$R$4,1,MATCH(O$5,DedListItem,0)-1,EmpCount,1),"&lt;&gt;")&gt;0,VLOOKUP($C111,EmpAll,COLUMN(Emp!$R$4)+MATCH(O$5,DedListItem,0)-1,0),OFFSET(Setup!$E$73,MATCH(O$5,DedListItem,0),0,1,1)),(MIN(IF(OFFSET(Setup!$G$73,MATCH(O$5,DedListItem,0),0,1,1)="Taxable",SUMPRODUCT((PayEmp=$C111)*(PayDate&lt;=$AC111)*(ISERROR(SEARCH(PayEarnCode,O$4)))*(PayEarnTax)*(PayEarnValues)),SUMPRODUCT((PayEmp=$C111)*(PayDate&lt;=$AC111)*(ISERROR(SEARCH(PayEarnCode,O$4)))*(PayEarnValues))),IF(ISNUMBER(O$3),O$3/12*$AA111,IgnoreMin)))*IF(COUNTIFS(EmpNo,$C111,OFFSET(Emp!$R$4,1,MATCH(O$5,DedListItem,0)-1,EmpCount,1),"&lt;&gt;")&gt;0,VLOOKUP($C111,EmpAll,COLUMN(Emp!$R$4)+MATCH(O$5,DedListItem,0)-1,0),OFFSET(Setup!$E$73,MATCH(O$5,DedListItem,0),0,1,1)))-SUMIFS(OFFSET(O$6,1,0,PayCount,1),PayDate,"&lt;"&amp;$AC111,PayEmp,$C111))))))</f>
        <v>0</v>
      </c>
      <c r="P111" s="133" cm="1">
        <f t="array" aca="1" ref="P111" ca="1">IF($F111="Terminated",0,IF($AA111=0,0,IF(ISNA(MATCH(P$5,DedListItem,0)),0,IF(COUNTIFS(OverEmp,$C111,OverDeduct,P$5,OverDate,"&lt;"&amp;DATE(YEAR($AC111),MONTH($AC111)+1,1),OverEnd,"&gt;="&amp;DATE(YEAR($AC111),MONTH($AC111),1))&gt;0,SUMIFS(OverValue,OverEmp,$C111,OverDeduct,P$5,OverDate,"&lt;"&amp;DATE(YEAR($AC111),MONTH($AC111)+1,1),OverEnd,"&gt;="&amp;DATE(YEAR($AC111),MONTH($AC111),1)),IF(OR(P$2="Fixed",P$2="Not Used"),(IF(COUNTIFS(EmpNo,$C111,OFFSET(Emp!$R$4,1,MATCH(P$5,DedListItem,0)-1,EmpCount,1),"&lt;&gt;")&gt;0,VLOOKUP($C111,EmpAll,COLUMN(Emp!$R$4)+MATCH(P$5,DedListItem,0)-1,0),OFFSET(Setup!$E$73,MATCH(P$5,DedListItem,0),0,1,1))*$AA111)-SUMIFS(OFFSET(P$6,1,0,PayCount,1),PayDate,"&lt;"&amp;$AC111,PayEmp,$C111),IF(ISNA(MATCH(P$2,EarnListItem,0))=FALSE,IF(OFFSET(Setup!$G$73,MATCH(P$5,DedListItem,0),0,1,1)="Taxable",SUMPRODUCT((PayEmp=$C111)*(PayDate&lt;=$AC111)*(PayEarnCode=P$2)*(PayEarnTax)*(PayEarnValues)),SUMPRODUCT((PayEmp=$C111)*(PayDate&lt;=$AC111)*(PayEarnCode=P$2)*(PayEarnValues)))*IF(COUNTIFS(EmpNo,$C111,OFFSET(Emp!$R$4,1,MATCH(P$5,DedListItem,0)-1,EmpCount,1),"&lt;&gt;")&gt;0,VLOOKUP($C111,EmpAll,COLUMN(Emp!$R$4)+MATCH(P$5,DedListItem,0)-1,0),OFFSET(Setup!$E$73,MATCH(P$5,DedListItem,0),0,1,1)),(MIN(IF(OFFSET(Setup!$G$73,MATCH(P$5,DedListItem,0),0,1,1)="Taxable",SUMPRODUCT((PayEmp=$C111)*(PayDate&lt;=$AC111)*(ISERROR(SEARCH(PayEarnCode,P$4)))*(PayEarnTax)*(PayEarnValues)),SUMPRODUCT((PayEmp=$C111)*(PayDate&lt;=$AC111)*(ISERROR(SEARCH(PayEarnCode,P$4)))*(PayEarnValues))),IF(ISNUMBER(P$3),P$3/12*$AA111,IgnoreMin)))*IF(COUNTIFS(EmpNo,$C111,OFFSET(Emp!$R$4,1,MATCH(P$5,DedListItem,0)-1,EmpCount,1),"&lt;&gt;")&gt;0,VLOOKUP($C111,EmpAll,COLUMN(Emp!$R$4)+MATCH(P$5,DedListItem,0)-1,0),OFFSET(Setup!$E$73,MATCH(P$5,DedListItem,0),0,1,1)))-SUMIFS(OFFSET(P$6,1,0,PayCount,1),PayDate,"&lt;"&amp;$AC111,PayEmp,$C111))))))</f>
        <v>0</v>
      </c>
      <c r="Q111" s="133" cm="1">
        <f t="array" aca="1" ref="Q111" ca="1">IF($F111="Terminated",0,IF($AA111=0,0,IF(ISNA(MATCH(Q$5,DedListItem,0)),0,IF(COUNTIFS(OverEmp,$C111,OverDeduct,Q$5,OverDate,"&lt;"&amp;DATE(YEAR($AC111),MONTH($AC111)+1,1),OverEnd,"&gt;="&amp;DATE(YEAR($AC111),MONTH($AC111),1))&gt;0,SUMIFS(OverValue,OverEmp,$C111,OverDeduct,Q$5,OverDate,"&lt;"&amp;DATE(YEAR($AC111),MONTH($AC111)+1,1),OverEnd,"&gt;="&amp;DATE(YEAR($AC111),MONTH($AC111),1)),IF(OR(Q$2="Fixed",Q$2="Not Used"),(IF(COUNTIFS(EmpNo,$C111,OFFSET(Emp!$R$4,1,MATCH(Q$5,DedListItem,0)-1,EmpCount,1),"&lt;&gt;")&gt;0,VLOOKUP($C111,EmpAll,COLUMN(Emp!$R$4)+MATCH(Q$5,DedListItem,0)-1,0),OFFSET(Setup!$E$73,MATCH(Q$5,DedListItem,0),0,1,1))*$AA111)-SUMIFS(OFFSET(Q$6,1,0,PayCount,1),PayDate,"&lt;"&amp;$AC111,PayEmp,$C111),IF(ISNA(MATCH(Q$2,EarnListItem,0))=FALSE,IF(OFFSET(Setup!$G$73,MATCH(Q$5,DedListItem,0),0,1,1)="Taxable",SUMPRODUCT((PayEmp=$C111)*(PayDate&lt;=$AC111)*(PayEarnCode=Q$2)*(PayEarnTax)*(PayEarnValues)),SUMPRODUCT((PayEmp=$C111)*(PayDate&lt;=$AC111)*(PayEarnCode=Q$2)*(PayEarnValues)))*IF(COUNTIFS(EmpNo,$C111,OFFSET(Emp!$R$4,1,MATCH(Q$5,DedListItem,0)-1,EmpCount,1),"&lt;&gt;")&gt;0,VLOOKUP($C111,EmpAll,COLUMN(Emp!$R$4)+MATCH(Q$5,DedListItem,0)-1,0),OFFSET(Setup!$E$73,MATCH(Q$5,DedListItem,0),0,1,1)),(MIN(IF(OFFSET(Setup!$G$73,MATCH(Q$5,DedListItem,0),0,1,1)="Taxable",SUMPRODUCT((PayEmp=$C111)*(PayDate&lt;=$AC111)*(ISERROR(SEARCH(PayEarnCode,Q$4)))*(PayEarnTax)*(PayEarnValues)),SUMPRODUCT((PayEmp=$C111)*(PayDate&lt;=$AC111)*(ISERROR(SEARCH(PayEarnCode,Q$4)))*(PayEarnValues))),IF(ISNUMBER(Q$3),Q$3/12*$AA111,IgnoreMin)))*IF(COUNTIFS(EmpNo,$C111,OFFSET(Emp!$R$4,1,MATCH(Q$5,DedListItem,0)-1,EmpCount,1),"&lt;&gt;")&gt;0,VLOOKUP($C111,EmpAll,COLUMN(Emp!$R$4)+MATCH(Q$5,DedListItem,0)-1,0),OFFSET(Setup!$E$73,MATCH(Q$5,DedListItem,0),0,1,1)))-SUMIFS(OFFSET(Q$6,1,0,PayCount,1),PayDate,"&lt;"&amp;$AC111,PayEmp,$C111))))))</f>
        <v>0</v>
      </c>
      <c r="R111" s="185">
        <f t="shared" ca="1" si="55"/>
        <v>0</v>
      </c>
      <c r="S111" s="139">
        <f t="shared" ca="1" si="56"/>
        <v>0</v>
      </c>
      <c r="T111" s="133" cm="1">
        <f t="array" aca="1" ref="T111" ca="1">IF($F111="Terminated",0,IF($AA111=0,0,IF(ISNA(MATCH(T$5,CompListItem,0)),0,IF(COUNTIFS(OverEmp,$C111,OverComp,T$5,OverDate,"&lt;"&amp;DATE(YEAR($AC111),MONTH($AC111)+1,1),OverEnd,"&gt;="&amp;DATE(YEAR($AC111),MONTH($AC111),1))&gt;0,SUMIFS(OverValue,OverEmp,$C111,OverComp,T$5,OverDate,"&lt;"&amp;DATE(YEAR($AC111),MONTH($AC111)+1,1),OverEnd,"&gt;="&amp;DATE(YEAR($AC111),MONTH($AC111),1)),IF(OR(T$2="Fixed",T$2="Not Used"),(OFFSET(Setup!$E$81,MATCH(T$5,CompListItem,0),0,1,1)*$AA111)-SUMIFS(OFFSET(T$6,1,0,PayCount,1),PayDate,"&lt;"&amp;$AC111,PayEmp,$C111),IF(ISNA(MATCH(T$2,DedListItem,0))=FALSE,(SUMPRODUCT((PayEmp=$C111)*(PayDate&lt;=$AC111)*(PayDedList=T$2)*(PayDedValues))*OFFSET(Setup!$E$81,MATCH(T$5,CompListItem,0),0,1,1))-SUMIFS(OFFSET(T$6,1,0,PayCount,1),PayDate,"&lt;"&amp;$AC111,PayEmp,$C111),(MIN(IF(OFFSET(Setup!$G$81,MATCH(T$5,CompListItem,0),0,1,1)="Taxable",SUMPRODUCT((PayEmp=$C111)*(PayDate&lt;=$AC111)*(ISERROR(SEARCH(PayEarnCode,T$4)))*(PayEarnTax)*(PayEarnValues)),SUMPRODUCT((PayEmp=$C111)*(PayDate&lt;=$AC111)*(ISERROR(SEARCH(PayEarnCode,T$4)))*(PayEarnValues))),IF(ISNUMBER(T$3),T$3/12*$AA111,IgnoreMin)))*OFFSET(Setup!$E$81,MATCH(T$5,CompListItem,0),0,1,1)-SUMIFS(OFFSET(T$6,1,0,PayCount,1),PayDate,"&lt;"&amp;$AC111,PayEmp,$C111)))))))</f>
        <v>0</v>
      </c>
      <c r="U111" s="133" cm="1">
        <f t="array" aca="1" ref="U111" ca="1">IF($F111="Terminated",0,IF($AA111=0,0,IF(ISNA(MATCH(U$5,CompListItem,0)),0,IF(COUNTIFS(OverEmp,$C111,OverComp,U$5,OverDate,"&lt;"&amp;DATE(YEAR($AC111),MONTH($AC111)+1,1),OverEnd,"&gt;="&amp;DATE(YEAR($AC111),MONTH($AC111),1))&gt;0,SUMIFS(OverValue,OverEmp,$C111,OverComp,U$5,OverDate,"&lt;"&amp;DATE(YEAR($AC111),MONTH($AC111)+1,1),OverEnd,"&gt;="&amp;DATE(YEAR($AC111),MONTH($AC111),1)),IF(OR(U$2="Fixed",U$2="Not Used"),(OFFSET(Setup!$E$81,MATCH(U$5,CompListItem,0),0,1,1)*$AA111)-SUMIFS(OFFSET(U$6,1,0,PayCount,1),PayDate,"&lt;"&amp;$AC111,PayEmp,$C111),IF(ISNA(MATCH(U$2,DedListItem,0))=FALSE,(SUMPRODUCT((PayEmp=$C111)*(PayDate&lt;=$AC111)*(PayDedList=U$2)*(PayDedValues))*OFFSET(Setup!$E$81,MATCH(U$5,CompListItem,0),0,1,1))-SUMIFS(OFFSET(U$6,1,0,PayCount,1),PayDate,"&lt;"&amp;$AC111,PayEmp,$C111),(MIN(IF(OFFSET(Setup!$G$81,MATCH(U$5,CompListItem,0),0,1,1)="Taxable",SUMPRODUCT((PayEmp=$C111)*(PayDate&lt;=$AC111)*(ISERROR(SEARCH(PayEarnCode,U$4)))*(PayEarnTax)*(PayEarnValues)),SUMPRODUCT((PayEmp=$C111)*(PayDate&lt;=$AC111)*(ISERROR(SEARCH(PayEarnCode,U$4)))*(PayEarnValues))),IF(ISNUMBER(U$3),U$3/12*$AA111,IgnoreMin)))*OFFSET(Setup!$E$81,MATCH(U$5,CompListItem,0),0,1,1)-SUMIFS(OFFSET(U$6,1,0,PayCount,1),PayDate,"&lt;"&amp;$AC111,PayEmp,$C111)))))))</f>
        <v>0</v>
      </c>
      <c r="V111" s="133" cm="1">
        <f t="array" aca="1" ref="V111" ca="1">IF($F111="Terminated",0,IF($AA111=0,0,IF(ISNA(MATCH(V$5,CompListItem,0)),0,IF(COUNTIFS(OverEmp,$C111,OverComp,V$5,OverDate,"&lt;"&amp;DATE(YEAR($AC111),MONTH($AC111)+1,1),OverEnd,"&gt;="&amp;DATE(YEAR($AC111),MONTH($AC111),1))&gt;0,SUMIFS(OverValue,OverEmp,$C111,OverComp,V$5,OverDate,"&lt;"&amp;DATE(YEAR($AC111),MONTH($AC111)+1,1),OverEnd,"&gt;="&amp;DATE(YEAR($AC111),MONTH($AC111),1)),IF(OR(V$2="Fixed",V$2="Not Used"),(OFFSET(Setup!$E$81,MATCH(V$5,CompListItem,0),0,1,1)*$AA111)-SUMIFS(OFFSET(V$6,1,0,PayCount,1),PayDate,"&lt;"&amp;$AC111,PayEmp,$C111),IF(ISNA(MATCH(V$2,DedListItem,0))=FALSE,(SUMPRODUCT((PayEmp=$C111)*(PayDate&lt;=$AC111)*(PayDedList=V$2)*(PayDedValues))*OFFSET(Setup!$E$81,MATCH(V$5,CompListItem,0),0,1,1))-SUMIFS(OFFSET(V$6,1,0,PayCount,1),PayDate,"&lt;"&amp;$AC111,PayEmp,$C111),(MIN(IF(OFFSET(Setup!$G$81,MATCH(V$5,CompListItem,0),0,1,1)="Taxable",SUMPRODUCT((PayEmp=$C111)*(PayDate&lt;=$AC111)*(ISERROR(SEARCH(PayEarnCode,V$4)))*(PayEarnTax)*(PayEarnValues)),SUMPRODUCT((PayEmp=$C111)*(PayDate&lt;=$AC111)*(ISERROR(SEARCH(PayEarnCode,V$4)))*(PayEarnValues))),IF(ISNUMBER(V$3),V$3/12*$AA111,IgnoreMin)))*OFFSET(Setup!$E$81,MATCH(V$5,CompListItem,0),0,1,1)-SUMIFS(OFFSET(V$6,1,0,PayCount,1),PayDate,"&lt;"&amp;$AC111,PayEmp,$C111)))))))</f>
        <v>0</v>
      </c>
      <c r="W111" s="133" cm="1">
        <f t="array" aca="1" ref="W111" ca="1">IF($F111="Terminated",0,IF($AA111=0,0,IF(ISNA(MATCH(W$5,CompListItem,0)),0,IF(COUNTIFS(OverEmp,$C111,OverComp,W$5,OverDate,"&lt;"&amp;DATE(YEAR($AC111),MONTH($AC111)+1,1),OverEnd,"&gt;="&amp;DATE(YEAR($AC111),MONTH($AC111),1))&gt;0,SUMIFS(OverValue,OverEmp,$C111,OverComp,W$5,OverDate,"&lt;"&amp;DATE(YEAR($AC111),MONTH($AC111)+1,1),OverEnd,"&gt;="&amp;DATE(YEAR($AC111),MONTH($AC111),1)),IF(OR(W$2="Fixed",W$2="Not Used"),(OFFSET(Setup!$E$81,MATCH(W$5,CompListItem,0),0,1,1)*$AA111)-SUMIFS(OFFSET(W$6,1,0,PayCount,1),PayDate,"&lt;"&amp;$AC111,PayEmp,$C111),IF(ISNA(MATCH(W$2,DedListItem,0))=FALSE,(SUMPRODUCT((PayEmp=$C111)*(PayDate&lt;=$AC111)*(PayDedList=W$2)*(PayDedValues))*OFFSET(Setup!$E$81,MATCH(W$5,CompListItem,0),0,1,1))-SUMIFS(OFFSET(W$6,1,0,PayCount,1),PayDate,"&lt;"&amp;$AC111,PayEmp,$C111),(MIN(IF(OFFSET(Setup!$G$81,MATCH(W$5,CompListItem,0),0,1,1)="Taxable",SUMPRODUCT((PayEmp=$C111)*(PayDate&lt;=$AC111)*(ISERROR(SEARCH(PayEarnCode,W$4)))*(PayEarnTax)*(PayEarnValues)),SUMPRODUCT((PayEmp=$C111)*(PayDate&lt;=$AC111)*(ISERROR(SEARCH(PayEarnCode,W$4)))*(PayEarnValues))),IF(ISNUMBER(W$3),W$3/12*$AA111,IgnoreMin)))*OFFSET(Setup!$E$81,MATCH(W$5,CompListItem,0),0,1,1)-SUMIFS(OFFSET(W$6,1,0,PayCount,1),PayDate,"&lt;"&amp;$AC111,PayEmp,$C111)))))))</f>
        <v>0</v>
      </c>
      <c r="X111" s="185">
        <f t="shared" ca="1" si="48"/>
        <v>0</v>
      </c>
      <c r="Y111" s="139">
        <f t="shared" ca="1" si="57"/>
        <v>0</v>
      </c>
      <c r="Z111" s="139">
        <f t="shared" ca="1" si="49"/>
        <v>0</v>
      </c>
      <c r="AA111" s="146">
        <f ca="1">IF(OR($B111&lt;=Setup!$E$12,$B111&gt;=Setup!$D$12+1),0,IF($F111&lt;&gt;"Active",0,IF($AE111="Yes",$AB111,((YEAR($AC111)*12)+MONTH($AC111))-((YEAR($AD111)*12)+MONTH($AD111)-1))))</f>
        <v>0</v>
      </c>
      <c r="AB111" s="146">
        <f ca="1">IF(OR($B111&lt;=Setup!$E$12,$B111&gt;=Setup!$D$12+1),0,((YEAR($AC111)*12)+MONTH($AC111))-((YEAR(Setup!$E$12)*12)+MONTH(Setup!$E$12)))</f>
        <v>7</v>
      </c>
      <c r="AC111" s="186">
        <f t="shared" ca="1" si="50"/>
        <v>45194</v>
      </c>
      <c r="AD111" s="144">
        <f ca="1">IF(ISNA(VLOOKUP($C111,EmpAll,COLUMN(Emp!$E$4),0)),$AC111,IF(VLOOKUP($C111,EmpAll,COLUMN(Emp!$E$4),0)&lt;=Setup!$E$12,DATE(YEAR(Setup!$E$12),MONTH(Setup!$E$12)+1,1),VLOOKUP($C111,EmpAll,COLUMN(Emp!$E$4),0)))</f>
        <v>45316</v>
      </c>
      <c r="AE111" s="144" t="str">
        <f ca="1">IF(ISNA(VLOOKUP($C111,EmpAll,COLUMN(Emp!$G$1),0)),"-",IF(VLOOKUP($C111,EmpAll,COLUMN(Emp!$G$1),0)=0,"-",VLOOKUP($C111,EmpAll,COLUMN(Emp!$G$1),0)))</f>
        <v>-</v>
      </c>
      <c r="AF111" s="145">
        <f ca="1">IF(A111=PaySlip!$G$3,1,0)</f>
        <v>0</v>
      </c>
      <c r="AG111" s="130" cm="1">
        <f t="array" aca="1" ref="AG111" ca="1">IF(COUNTIFS(OverEmp,$C111,OverMed,"MED",OverDate,"&lt;"&amp;DATE(YEAR($AC111),MONTH($AC111)+1,1),OverEnd,"&gt;="&amp;DATE(YEAR($AC111),MONTH($AC111),1))&gt;0,SUMIFS(OverValue,OverEmp,$C111,OverMed,"MED",OverDate,"&lt;"&amp;DATE(YEAR($AC111),MONTH($AC111)+1,1),OverEnd,"&gt;="&amp;DATE(YEAR($AC111),MONTH($AC111),1)),IF(ISNA(VLOOKUP($C111,EmpAll,COLUMN(Emp!$N$4),0)),0,VLOOKUP($C111,EmpAll,COLUMN(Emp!$N$4),0)))</f>
        <v>1</v>
      </c>
      <c r="AH111" s="146">
        <f ca="1">VLOOKUP($AG111,MedList,COLUMN(Setup!$C$49),1)</f>
        <v>364</v>
      </c>
      <c r="AI111" s="146">
        <f t="shared" ca="1" si="40"/>
        <v>6916</v>
      </c>
      <c r="AJ111" s="101" t="str">
        <f ca="1">IF(ISNA(VLOOKUP($C111,EmpAll,COLUMN(Emp!$L$4),0)),"None!",VLOOKUP($C111,EmpAll,COLUMN(Emp!$L$4),0))</f>
        <v>A</v>
      </c>
      <c r="AK111" s="147">
        <f t="shared" ca="1" si="51"/>
        <v>17235</v>
      </c>
      <c r="AL111" s="101" t="str">
        <f ca="1">IF(ISNA(VLOOKUP($C111,Employees[],COLUMN(Emp!$M$4),0))=TRUE,"Error!",IF(VLOOKUP($C111,Employees[],COLUMN(Emp!$M$4),0)=0,"Yes",VLOOKUP($C111,Employees[],COLUMN(Emp!$M$4),0)))</f>
        <v>A</v>
      </c>
      <c r="AM111" s="148">
        <f t="shared" ca="1" si="41"/>
        <v>0</v>
      </c>
      <c r="AN111" s="148" cm="1">
        <f t="array" aca="1" ref="AN111" ca="1">-IF($F111="Terminated",0,IF($AA111=0,0,IF(ISNA(MATCH(AN$5,PayDedList,0)),0,MIN(IF(COUNTIFS(OverEmp,$C111,OverDeduct,AN$5,OverDate,"&lt;"&amp;DATE(YEAR($AC111),MONTH($AC111)+1,1),OverEnd,"&gt;="&amp;DATE(YEAR($AC111),MONTH($AC111),1))&gt;0,SUMPRODUCT((PayEmp=$C111)*(PayDate&lt;=$AC111)*(OFFSET($N$6,1,MATCH(AN$5,PayDedList,0)-1,PayCount,1)))/$AA111*12*AN$3,IF(OR(AN$1="Fixed",AN$1="Not Used"),SUMPRODUCT((PayEmp=$C111)*(PayDate&lt;=$AC111)*(OFFSET($N$6,1,MATCH(AN$5,PayDedList,0)-1,PayCount,1)))/$AA111*12*AN$3,IF(ISNA(MATCH(AN$1,EarnListItem,0))=FALSE,SUMPRODUCT((PayEmp=$C111)*(PayDate&lt;=$AC111)*(OFFSET($N$6,1,MATCH(AN$5,PayDedList,0)-1,PayCount,1)))/$AA111*12*AN$3,(MIN(((SUMPRODUCT((PayEmp=$C111)*(PayDate&lt;=$AC111)*(ISERROR(SEARCH(PayEarnCode,AN$2)))*(PayEarnType="Monthly")*(PayEarnValues))/$AA111*12)+(SUMPRODUCT((PayEmp=$C111)*(PayDate&lt;=$AC111)*(ISERROR(SEARCH(PayEarnCode,AN$2)))*(PayEarnType="Quarterly")*(PayEarnValues))/MAX(1,ROUNDDOWN($AB111/3,0))*4)+(SUMPRODUCT((PayEmp=$C111)*(PayDate&lt;=$AC111)*(ISERROR(SEARCH(PayEarnCode,AN$2)))*(PayEarnType="Bi-Annual")*(PayEarnValues))/MAX(1,ROUNDDOWN($AB111/6,0))*2)+(SUMPRODUCT((PayEmp=$C111)*(PayDate&lt;=$AC111)*(ISERROR(SEARCH(PayEarnCode,AN$2)))*(PayEarnType="Annual")*(PayEarnValues)))),IF(ISNUMBER(OFFSET($N$3,0,MATCH(AN$5,PayDedList,0)-1,1,1)),OFFSET($N$3,0,MATCH(AN$5,PayDedList,0)-1,1,1),IgnoreMin)))*IF(COUNTIFS(EmpNo,$C111,OFFSET(Emp!$R$4,1,MATCH(AN$5,DedListItem,0)-1,EmpCount,1),"&lt;&gt;")&gt;0,VLOOKUP($C111,EmpAll,COLUMN(Emp!$R$4)+MATCH(AN$5,DedListItem,0)-1,0),OFFSET(Setup!$E$73,MATCH(AN$5,DedListItem,0),0,1,1))*AN$3))),IF(ISNUMBER(AN$4),AN$4,IgnoreMin)))))</f>
        <v>0</v>
      </c>
      <c r="AO111" s="148" cm="1">
        <f t="array" aca="1" ref="AO111" ca="1">-IF($F111="Terminated",0,IF($AA111=0,0,IF(ISNA(MATCH(AO$5,PayDedList,0)),0,MIN(IF(COUNTIFS(OverEmp,$C111,OverDeduct,AO$5,OverDate,"&lt;"&amp;DATE(YEAR($AC111),MONTH($AC111)+1,1),OverEnd,"&gt;="&amp;DATE(YEAR($AC111),MONTH($AC111),1))&gt;0,SUMPRODUCT((PayEmp=$C111)*(PayDate&lt;=$AC111)*(OFFSET($N$6,1,MATCH(AO$5,PayDedList,0)-1,PayCount,1)))/$AA111*12*AO$3,IF(OR(AO$1="Fixed",AO$1="Not Used"),SUMPRODUCT((PayEmp=$C111)*(PayDate&lt;=$AC111)*(OFFSET($N$6,1,MATCH(AO$5,PayDedList,0)-1,PayCount,1)))/$AA111*12*AO$3,IF(ISNA(MATCH(AO$1,EarnListItem,0))=FALSE,SUMPRODUCT((PayEmp=$C111)*(PayDate&lt;=$AC111)*(OFFSET($N$6,1,MATCH(AO$5,PayDedList,0)-1,PayCount,1)))/$AA111*12*AO$3,(MIN(((SUMPRODUCT((PayEmp=$C111)*(PayDate&lt;=$AC111)*(ISERROR(SEARCH(PayEarnCode,AO$2)))*(PayEarnType="Monthly")*(PayEarnValues))/$AA111*12)+(SUMPRODUCT((PayEmp=$C111)*(PayDate&lt;=$AC111)*(ISERROR(SEARCH(PayEarnCode,AO$2)))*(PayEarnType="Quarterly")*(PayEarnValues))/MAX(1,ROUNDDOWN($AB111/3,0))*4)+(SUMPRODUCT((PayEmp=$C111)*(PayDate&lt;=$AC111)*(ISERROR(SEARCH(PayEarnCode,AO$2)))*(PayEarnType="Bi-Annual")*(PayEarnValues))/MAX(1,ROUNDDOWN($AB111/6,0))*2)+(SUMPRODUCT((PayEmp=$C111)*(PayDate&lt;=$AC111)*(ISERROR(SEARCH(PayEarnCode,AO$2)))*(PayEarnType="Annual")*(PayEarnValues)))),IF(ISNUMBER(OFFSET($N$3,0,MATCH(AO$5,PayDedList,0)-1,1,1)),OFFSET($N$3,0,MATCH(AO$5,PayDedList,0)-1,1,1),IgnoreMin)))*IF(COUNTIFS(EmpNo,$C111,OFFSET(Emp!$R$4,1,MATCH(AO$5,DedListItem,0)-1,EmpCount,1),"&lt;&gt;")&gt;0,VLOOKUP($C111,EmpAll,COLUMN(Emp!$R$4)+MATCH(AO$5,DedListItem,0)-1,0),OFFSET(Setup!$E$73,MATCH(AO$5,DedListItem,0),0,1,1))*AO$3))),IF(ISNUMBER(AO$4),AO$4,IgnoreMin)))))</f>
        <v>0</v>
      </c>
      <c r="AP111" s="148" cm="1">
        <f t="array" aca="1" ref="AP111" ca="1">-IF($F111="Terminated",0,IF($AA111=0,0,IF(ISNA(MATCH(AP$5,PayDedList,0)),0,MIN(IF(COUNTIFS(OverEmp,$C111,OverDeduct,AP$5,OverDate,"&lt;"&amp;DATE(YEAR($AC111),MONTH($AC111)+1,1),OverEnd,"&gt;="&amp;DATE(YEAR($AC111),MONTH($AC111),1))&gt;0,SUMPRODUCT((PayEmp=$C111)*(PayDate&lt;=$AC111)*(OFFSET($N$6,1,MATCH(AP$5,PayDedList,0)-1,PayCount,1)))/$AA111*12*AP$3,IF(OR(AP$1="Fixed",AP$1="Not Used"),SUMPRODUCT((PayEmp=$C111)*(PayDate&lt;=$AC111)*(OFFSET($N$6,1,MATCH(AP$5,PayDedList,0)-1,PayCount,1)))/$AA111*12*AP$3,IF(ISNA(MATCH(AP$1,EarnListItem,0))=FALSE,SUMPRODUCT((PayEmp=$C111)*(PayDate&lt;=$AC111)*(OFFSET($N$6,1,MATCH(AP$5,PayDedList,0)-1,PayCount,1)))/$AA111*12*AP$3,(MIN(((SUMPRODUCT((PayEmp=$C111)*(PayDate&lt;=$AC111)*(ISERROR(SEARCH(PayEarnCode,AP$2)))*(PayEarnType="Monthly")*(PayEarnValues))/$AA111*12)+(SUMPRODUCT((PayEmp=$C111)*(PayDate&lt;=$AC111)*(ISERROR(SEARCH(PayEarnCode,AP$2)))*(PayEarnType="Quarterly")*(PayEarnValues))/MAX(1,ROUNDDOWN($AB111/3,0))*4)+(SUMPRODUCT((PayEmp=$C111)*(PayDate&lt;=$AC111)*(ISERROR(SEARCH(PayEarnCode,AP$2)))*(PayEarnType="Bi-Annual")*(PayEarnValues))/MAX(1,ROUNDDOWN($AB111/6,0))*2)+(SUMPRODUCT((PayEmp=$C111)*(PayDate&lt;=$AC111)*(ISERROR(SEARCH(PayEarnCode,AP$2)))*(PayEarnType="Annual")*(PayEarnValues)))),IF(ISNUMBER(OFFSET($N$3,0,MATCH(AP$5,PayDedList,0)-1,1,1)),OFFSET($N$3,0,MATCH(AP$5,PayDedList,0)-1,1,1),IgnoreMin)))*IF(COUNTIFS(EmpNo,$C111,OFFSET(Emp!$R$4,1,MATCH(AP$5,DedListItem,0)-1,EmpCount,1),"&lt;&gt;")&gt;0,VLOOKUP($C111,EmpAll,COLUMN(Emp!$R$4)+MATCH(AP$5,DedListItem,0)-1,0),OFFSET(Setup!$E$73,MATCH(AP$5,DedListItem,0),0,1,1))*AP$3))),IF(ISNUMBER(AP$4),AP$4,IgnoreMin)))))</f>
        <v>0</v>
      </c>
      <c r="AQ111" s="148" cm="1">
        <f t="array" aca="1" ref="AQ111" ca="1">-IF($F111="Terminated",0,IF($AA111=0,0,IF(ISNA(MATCH(AQ$5,PayDedList,0)),0,MIN(IF(COUNTIFS(OverEmp,$C111,OverDeduct,AQ$5,OverDate,"&lt;"&amp;DATE(YEAR($AC111),MONTH($AC111)+1,1),OverEnd,"&gt;="&amp;DATE(YEAR($AC111),MONTH($AC111),1))&gt;0,SUMPRODUCT((PayEmp=$C111)*(PayDate&lt;=$AC111)*(OFFSET($N$6,1,MATCH(AQ$5,PayDedList,0)-1,PayCount,1)))/$AA111*12*AQ$3,IF(OR(AQ$1="Fixed",AQ$1="Not Used"),SUMPRODUCT((PayEmp=$C111)*(PayDate&lt;=$AC111)*(OFFSET($N$6,1,MATCH(AQ$5,PayDedList,0)-1,PayCount,1)))/$AA111*12*AQ$3,IF(ISNA(MATCH(AQ$1,EarnListItem,0))=FALSE,SUMPRODUCT((PayEmp=$C111)*(PayDate&lt;=$AC111)*(OFFSET($N$6,1,MATCH(AQ$5,PayDedList,0)-1,PayCount,1)))/$AA111*12*AQ$3,(MIN(((SUMPRODUCT((PayEmp=$C111)*(PayDate&lt;=$AC111)*(ISERROR(SEARCH(PayEarnCode,AQ$2)))*(PayEarnType="Monthly")*(PayEarnValues))/$AA111*12)+(SUMPRODUCT((PayEmp=$C111)*(PayDate&lt;=$AC111)*(ISERROR(SEARCH(PayEarnCode,AQ$2)))*(PayEarnType="Quarterly")*(PayEarnValues))/MAX(1,ROUNDDOWN($AB111/3,0))*4)+(SUMPRODUCT((PayEmp=$C111)*(PayDate&lt;=$AC111)*(ISERROR(SEARCH(PayEarnCode,AQ$2)))*(PayEarnType="Bi-Annual")*(PayEarnValues))/MAX(1,ROUNDDOWN($AB111/6,0))*2)+(SUMPRODUCT((PayEmp=$C111)*(PayDate&lt;=$AC111)*(ISERROR(SEARCH(PayEarnCode,AQ$2)))*(PayEarnType="Annual")*(PayEarnValues)))),IF(ISNUMBER(OFFSET($N$3,0,MATCH(AQ$5,PayDedList,0)-1,1,1)),OFFSET($N$3,0,MATCH(AQ$5,PayDedList,0)-1,1,1),IgnoreMin)))*IF(COUNTIFS(EmpNo,$C111,OFFSET(Emp!$R$4,1,MATCH(AQ$5,DedListItem,0)-1,EmpCount,1),"&lt;&gt;")&gt;0,VLOOKUP($C111,EmpAll,COLUMN(Emp!$R$4)+MATCH(AQ$5,DedListItem,0)-1,0),OFFSET(Setup!$E$73,MATCH(AQ$5,DedListItem,0),0,1,1))*AQ$3))),IF(ISNUMBER(AQ$4),AQ$4,IgnoreMin)))))</f>
        <v>0</v>
      </c>
      <c r="AR111" s="148">
        <f t="shared" ca="1" si="52"/>
        <v>0</v>
      </c>
      <c r="AS111" s="148">
        <f t="shared" ca="1" si="42"/>
        <v>0</v>
      </c>
      <c r="AT111" s="148" cm="1">
        <f t="array" aca="1" ref="AT111" ca="1">-IF($F111="Terminated",0,IF($AA111=0,0,IF(ISNA(MATCH(AT$5,PayDedList,0)),0,MIN(IF(COUNTIFS(OverEmp,$C111,OverDeduct,AT$5,OverDate,"&lt;"&amp;DATE(YEAR($AC111),MONTH($AC111)+1,1),OverEnd,"&gt;="&amp;DATE(YEAR($AC111),MONTH($AC111),1))&gt;0,SUMPRODUCT((PayEmp=$C111)*(PayDate&lt;=$AC111)*(OFFSET($N$6,1,MATCH(AT$5,PayDedList,0)-1,PayCount,1)))/$AA111*12*AT$3,IF(OR(AT$1="Fixed",AT$1="Not Used"),SUMPRODUCT((PayEmp=$C111)*(PayDate&lt;=$AC111)*(OFFSET($N$6,1,MATCH(AT$5,PayDedList,0)-1,PayCount,1)))/$AA111*12*AT$3,IF(ISNA(MATCH(OFFSET($N$2,0,MATCH(AT$5,PayDedList,0)-1,1,1),EarnListItem,0))=FALSE,SUMPRODUCT((PayEmp=$C111)*(PayDate&lt;=$AC111)*(OFFSET($N$6,1,MATCH(AT$5,PayDedList,0)-1,PayCount,1)))/$AA111*12*AT$3,(MIN(SUMPRODUCT((PayEmp=$C111)*(PayDate&lt;=$AC111)*(ISERROR(SEARCH(PayEarnCode,AT$2)))*(PayEarnType="Monthly")*(PayEarnValues))/$AA111*12,IF(ISNUMBER(OFFSET($N$3,0,MATCH(AT$5,PayDedList,0)-1,1,1)),OFFSET($N$3,0,MATCH(AT$5,PayDedList,0)-1,1,1),IgnoreMin)))*IF(COUNTIFS(EmpNo,$C111,OFFSET(Emp!$R$4,1,MATCH(AT$5,DedListItem,0)-1,EmpCount,1),"&lt;&gt;")&gt;0,VLOOKUP($C111,EmpAll,COLUMN(Emp!$R$4)+MATCH(AT$5,DedListItem,0)-1,0),OFFSET(Setup!$E$73,MATCH(AT$5,DedListItem,0),0,1,1))*AT$3))),IF(ISNUMBER(AT$4),AT$4,IgnoreMin)))))</f>
        <v>0</v>
      </c>
      <c r="AU111" s="148" cm="1">
        <f t="array" aca="1" ref="AU111" ca="1">-IF($F111="Terminated",0,IF($AA111=0,0,IF(ISNA(MATCH(AU$5,PayDedList,0)),0,MIN(IF(COUNTIFS(OverEmp,$C111,OverDeduct,AU$5,OverDate,"&lt;"&amp;DATE(YEAR($AC111),MONTH($AC111)+1,1),OverEnd,"&gt;="&amp;DATE(YEAR($AC111),MONTH($AC111),1))&gt;0,SUMPRODUCT((PayEmp=$C111)*(PayDate&lt;=$AC111)*(OFFSET($N$6,1,MATCH(AU$5,PayDedList,0)-1,PayCount,1)))/$AA111*12*AU$3,IF(OR(AU$1="Fixed",AU$1="Not Used"),SUMPRODUCT((PayEmp=$C111)*(PayDate&lt;=$AC111)*(OFFSET($N$6,1,MATCH(AU$5,PayDedList,0)-1,PayCount,1)))/$AA111*12*AU$3,IF(ISNA(MATCH(OFFSET($N$2,0,MATCH(AU$5,PayDedList,0)-1,1,1),EarnListItem,0))=FALSE,SUMPRODUCT((PayEmp=$C111)*(PayDate&lt;=$AC111)*(OFFSET($N$6,1,MATCH(AU$5,PayDedList,0)-1,PayCount,1)))/$AA111*12*AU$3,(MIN(SUMPRODUCT((PayEmp=$C111)*(PayDate&lt;=$AC111)*(ISERROR(SEARCH(PayEarnCode,AU$2)))*(PayEarnType="Monthly")*(PayEarnValues))/$AA111*12,IF(ISNUMBER(OFFSET($N$3,0,MATCH(AU$5,PayDedList,0)-1,1,1)),OFFSET($N$3,0,MATCH(AU$5,PayDedList,0)-1,1,1),IgnoreMin)))*IF(COUNTIFS(EmpNo,$C111,OFFSET(Emp!$R$4,1,MATCH(AU$5,DedListItem,0)-1,EmpCount,1),"&lt;&gt;")&gt;0,VLOOKUP($C111,EmpAll,COLUMN(Emp!$R$4)+MATCH(AU$5,DedListItem,0)-1,0),OFFSET(Setup!$E$73,MATCH(AU$5,DedListItem,0),0,1,1))*AU$3))),IF(ISNUMBER(AU$4),AU$4,IgnoreMin)))))</f>
        <v>0</v>
      </c>
      <c r="AV111" s="148" cm="1">
        <f t="array" aca="1" ref="AV111" ca="1">-IF($F111="Terminated",0,IF($AA111=0,0,IF(ISNA(MATCH(AV$5,PayDedList,0)),0,MIN(IF(COUNTIFS(OverEmp,$C111,OverDeduct,AV$5,OverDate,"&lt;"&amp;DATE(YEAR($AC111),MONTH($AC111)+1,1),OverEnd,"&gt;="&amp;DATE(YEAR($AC111),MONTH($AC111),1))&gt;0,SUMPRODUCT((PayEmp=$C111)*(PayDate&lt;=$AC111)*(OFFSET($N$6,1,MATCH(AV$5,PayDedList,0)-1,PayCount,1)))/$AA111*12*AV$3,IF(OR(AV$1="Fixed",AV$1="Not Used"),SUMPRODUCT((PayEmp=$C111)*(PayDate&lt;=$AC111)*(OFFSET($N$6,1,MATCH(AV$5,PayDedList,0)-1,PayCount,1)))/$AA111*12*AV$3,IF(ISNA(MATCH(OFFSET($N$2,0,MATCH(AV$5,PayDedList,0)-1,1,1),EarnListItem,0))=FALSE,SUMPRODUCT((PayEmp=$C111)*(PayDate&lt;=$AC111)*(OFFSET($N$6,1,MATCH(AV$5,PayDedList,0)-1,PayCount,1)))/$AA111*12*AV$3,(MIN(SUMPRODUCT((PayEmp=$C111)*(PayDate&lt;=$AC111)*(ISERROR(SEARCH(PayEarnCode,AV$2)))*(PayEarnType="Monthly")*(PayEarnValues))/$AA111*12,IF(ISNUMBER(OFFSET($N$3,0,MATCH(AV$5,PayDedList,0)-1,1,1)),OFFSET($N$3,0,MATCH(AV$5,PayDedList,0)-1,1,1),IgnoreMin)))*IF(COUNTIFS(EmpNo,$C111,OFFSET(Emp!$R$4,1,MATCH(AV$5,DedListItem,0)-1,EmpCount,1),"&lt;&gt;")&gt;0,VLOOKUP($C111,EmpAll,COLUMN(Emp!$R$4)+MATCH(AV$5,DedListItem,0)-1,0),OFFSET(Setup!$E$73,MATCH(AV$5,DedListItem,0),0,1,1))*AV$3))),IF(ISNUMBER(AV$4),AV$4,IgnoreMin)))))</f>
        <v>0</v>
      </c>
      <c r="AW111" s="148" cm="1">
        <f t="array" aca="1" ref="AW111" ca="1">-IF($F111="Terminated",0,IF($AA111=0,0,IF(ISNA(MATCH(AW$5,PayDedList,0)),0,MIN(IF(COUNTIFS(OverEmp,$C111,OverDeduct,AW$5,OverDate,"&lt;"&amp;DATE(YEAR($AC111),MONTH($AC111)+1,1),OverEnd,"&gt;="&amp;DATE(YEAR($AC111),MONTH($AC111),1))&gt;0,SUMPRODUCT((PayEmp=$C111)*(PayDate&lt;=$AC111)*(OFFSET($N$6,1,MATCH(AW$5,PayDedList,0)-1,PayCount,1)))/$AA111*12*AW$3,IF(OR(AW$1="Fixed",AW$1="Not Used"),SUMPRODUCT((PayEmp=$C111)*(PayDate&lt;=$AC111)*(OFFSET($N$6,1,MATCH(AW$5,PayDedList,0)-1,PayCount,1)))/$AA111*12*AW$3,IF(ISNA(MATCH(OFFSET($N$2,0,MATCH(AW$5,PayDedList,0)-1,1,1),EarnListItem,0))=FALSE,SUMPRODUCT((PayEmp=$C111)*(PayDate&lt;=$AC111)*(OFFSET($N$6,1,MATCH(AW$5,PayDedList,0)-1,PayCount,1)))/$AA111*12*AW$3,(MIN(SUMPRODUCT((PayEmp=$C111)*(PayDate&lt;=$AC111)*(ISERROR(SEARCH(PayEarnCode,AW$2)))*(PayEarnType="Monthly")*(PayEarnValues))/$AA111*12,IF(ISNUMBER(OFFSET($N$3,0,MATCH(AW$5,PayDedList,0)-1,1,1)),OFFSET($N$3,0,MATCH(AW$5,PayDedList,0)-1,1,1),IgnoreMin)))*IF(COUNTIFS(EmpNo,$C111,OFFSET(Emp!$R$4,1,MATCH(AW$5,DedListItem,0)-1,EmpCount,1),"&lt;&gt;")&gt;0,VLOOKUP($C111,EmpAll,COLUMN(Emp!$R$4)+MATCH(AW$5,DedListItem,0)-1,0),OFFSET(Setup!$E$73,MATCH(AW$5,DedListItem,0),0,1,1))*AW$3))),IF(ISNUMBER(AW$4),AW$4,IgnoreMin)))))</f>
        <v>0</v>
      </c>
      <c r="AX111" s="148">
        <f t="shared" ca="1" si="58"/>
        <v>0</v>
      </c>
      <c r="AY111" s="148">
        <f t="shared" ca="1" si="59"/>
        <v>0</v>
      </c>
      <c r="AZ111" s="148">
        <f ca="1">IF(ISNUMBER($AL111),($AR111*$AL111)-$AI111-$AK111,MAX(0,IF($AL111="B",IF($AR111&lt;Setup!$C$32,($AR111*Setup!$D$32)-$AI111-$AK111,(($AR111-VLOOKUP($AR111,TaxAll2,1,1))*OFFSET(Setup!$D$32,MATCH($AR111,TaxBracket2,1),0,1,1))+OFFSET(Setup!$E$31,MATCH($AR111,TaxBracket2,1),0,1,1)-$AI111-$AK111),IF($AR111&lt;Setup!$C$21,($AR111*Setup!$D$21)-$AI111-$AK111,(($AR111-VLOOKUP($AR111,TaxAll1,1,1))*OFFSET(Setup!$D$21,MATCH($AR111,TaxBracket1,1),0,1,1))+OFFSET(Setup!$E$20,MATCH($AR111,TaxBracket1,1),0,1,1)-$AI111-$AK111))))</f>
        <v>0</v>
      </c>
      <c r="BA111" s="148">
        <f ca="1">IF(ISNUMBER($AL111),($AX111*$AL111)-$AI111-$AK111,MAX(0,IF($AL111="B",IF($AX111&lt;Setup!$C$32,($AX111*Setup!$D$32)-$AI111-$AK111,(($AX111-VLOOKUP($AX111,TaxAll2,1,1))*OFFSET(Setup!$D$32,MATCH($AX111,TaxBracket2,1),0,1,1))+OFFSET(Setup!$E$31,MATCH($AX111,TaxBracket2,1),0,1,1)-$AI111-$AK111),IF($AX111&lt;Setup!$C$21,($AX111*Setup!$D$21)-$AI111-$AK111,(($AX111-VLOOKUP($AX111,TaxAll1,1,1))*OFFSET(Setup!$D$21,MATCH($AX111,TaxBracket1,1),0,1,1))+OFFSET(Setup!$E$20,MATCH($AX111,TaxBracket1,1),0,1,1)-$AI111-$AK111))))</f>
        <v>0</v>
      </c>
      <c r="BB111" s="148">
        <f t="shared" ca="1" si="53"/>
        <v>0</v>
      </c>
      <c r="BC111" s="150">
        <f t="shared" ca="1" si="45"/>
        <v>0</v>
      </c>
      <c r="BD111" s="150">
        <f t="shared" ca="1" si="46"/>
        <v>0</v>
      </c>
      <c r="BE111" s="148">
        <f t="shared" ca="1" si="47"/>
        <v>0</v>
      </c>
    </row>
    <row r="112" spans="1:57" ht="16.149999999999999" customHeight="1" x14ac:dyDescent="0.25">
      <c r="A112" s="10" t="str" cm="1">
        <f t="array" aca="1" ref="A112" ca="1">IF(ROW($A112)-ROW($A$6)&gt;EmpCount*12,"-",TEXT($B112,"yyyy")&amp;TEXT($B112,"mm")&amp;"-"&amp;$C112)</f>
        <v>202310-EXS001</v>
      </c>
      <c r="B112" s="137" cm="1">
        <f t="array" aca="1" ref="B112" ca="1">IF(ROW($A112)-ROW($A$6)&gt;EmpCount*12,Setup!$D$12,DATE(YEAR(Setup!$F$12),MONTH(Setup!$F$12)+ROUNDDOWN((ROW($A112)-ROW($A$6)-1)/EmpCount,0),IF(Setup!$C$14&gt;DAY(DATE(YEAR(Setup!$F$12),MONTH(Setup!$F$12)+ROUNDDOWN((ROW($A112)-ROW($A$6)-1)/EmpCount,0)+1,0)),DAY(DATE(YEAR(Setup!$F$12),MONTH(Setup!$F$12)+ROUNDDOWN((ROW($A112)-ROW($A$6)-1)/EmpCount,0)+1,0)),Setup!$C$14)))</f>
        <v>45224</v>
      </c>
      <c r="C112" s="101" t="str" cm="1">
        <f t="array" aca="1" ref="C112" ca="1">IF(ROW($A112)-ROW($A$6)&gt;EmpCount*12,"-",OFFSET(Emp!$A$4,ROW($A112)-ROW($A$6)-IF(ROW($A112)-ROW($A$6)&gt;EmpCount,ROUNDDOWN((ROW($A112)-ROW($A$6)-1)/EmpCount,0)*EmpCount,0),0,1,1))</f>
        <v>EXS001</v>
      </c>
      <c r="D112" s="10" t="str">
        <f ca="1">IF(ISNA(VLOOKUP($C112,EmpAll,COLUMN(Emp!$B$4),0)),"-",VLOOKUP($C112,EmpAll,COLUMN(Emp!$B$4),0))</f>
        <v>Taylor AE</v>
      </c>
      <c r="E112" s="130" t="str">
        <f ca="1">IF(ISNA(VLOOKUP($C112,EmpAll,COLUMN(Emp!$C$4),0)),"-",VLOOKUP($C112,EmpAll,COLUMN(Emp!$C$4),0))</f>
        <v>M</v>
      </c>
      <c r="F112" s="101" t="str">
        <f ca="1">IF(ISNA(VLOOKUP($C112,EmpAll,COLUMN(Emp!$A$4),0)),"-",IF(AND(VLOOKUP($C112,EmpAll,COLUMN(Emp!$E$4),0)&lt;&gt;0,VLOOKUP($C112,EmpAll,COLUMN(Emp!$E$4),0)&gt;=DATE(YEAR($AC112),MONTH($AC112)+1,0)),"Inactive",IF(AND(VLOOKUP($C112,EmpAll,COLUMN(Emp!$F$4),0)&lt;&gt;0,VLOOKUP($C112,EmpAll,COLUMN(Emp!$F$4),0)&lt;=DATE(YEAR($AC112),MONTH($AC112),0)),"Terminated","Active")))</f>
        <v>Active</v>
      </c>
      <c r="G112" s="133" cm="1">
        <f t="array" aca="1" ref="G112" ca="1">IF($F112&lt;&gt;"Active",0,IF(COUNTIFS(OverEmp,$C112,OverEarn,G$2,OverDate,"&lt;"&amp;DATE(YEAR($AC112),MONTH($AC112)+1,1),OverEnd,"&gt;="&amp;DATE(YEAR($AC112),MONTH($AC112),1))&gt;0,SUMIFS(OverValue,OverEmp,$C112,OverEarn,G$2,OverDate,"&lt;"&amp;DATE(YEAR($AC112),MONTH($AC112)+1,1),OverEnd,"&gt;="&amp;DATE(YEAR($AC112),MONTH($AC112),1)),IF(AND($AC112&gt;=Setup!$E$10,SUMIFS(EmpIncrease,EmpCode,$C112)&gt;0),SUMIFS(EmpIncrease,EmpCode,$C112),SUMIFS(EmpSalary,EmpCode,$C112))))</f>
        <v>150000</v>
      </c>
      <c r="H112" s="133" cm="1">
        <f t="array" aca="1" ref="H112" ca="1">IF($F112&lt;&gt;"Active",0,IF(COUNTIFS(OverEmp,$C112,OverEarn,H$2,OverDate,"&lt;"&amp;DATE(YEAR($AC112),MONTH($AC112)+1,1),OverEnd,"&gt;="&amp;DATE(YEAR($AC112),MONTH($AC112),1))&gt;0,SUMIFS(OverValue,OverEmp,$C112,OverEarn,H$2,OverDate,"&lt;"&amp;DATE(YEAR($AC112),MONTH($AC112)+1,1),OverEnd,"&gt;="&amp;DATE(YEAR($AC112),MONTH($AC112),1)),0))</f>
        <v>0</v>
      </c>
      <c r="I112" s="133" cm="1">
        <f t="array" aca="1" ref="I112" ca="1">IF($F112&lt;&gt;"Active",0,IF(COUNTIFS(OverEmp,$C112,OverEarn,I$2,OverDate,"&lt;"&amp;DATE(YEAR($AC112),MONTH($AC112)+1,1),OverEnd,"&gt;="&amp;DATE(YEAR($AC112),MONTH($AC112),1))&gt;0,SUMIFS(OverValue,OverEmp,$C112,OverEarn,I$2,OverDate,"&lt;"&amp;DATE(YEAR($AC112),MONTH($AC112)+1,1),OverEnd,"&gt;="&amp;DATE(YEAR($AC112),MONTH($AC112),1)),IF(MONTH(B112)=Setup!$C$15,SUMIFS(EmpBonus,EmpCode,$C112),0)))</f>
        <v>0</v>
      </c>
      <c r="J112" s="133" cm="1">
        <f t="array" aca="1" ref="J112" ca="1">IF($F112&lt;&gt;"Active",0,IF(COUNTIFS(OverEmp,$C112,OverEarn,J$2,OverDate,"&lt;"&amp;DATE(YEAR($AC112),MONTH($AC112)+1,1),OverEnd,"&gt;="&amp;DATE(YEAR($AC112),MONTH($AC112),1))&gt;0,SUMIFS(OverValue,OverEmp,$C112,OverEarn,J$2,OverDate,"&lt;"&amp;DATE(YEAR($AC112),MONTH($AC112)+1,1),OverEnd,"&gt;="&amp;DATE(YEAR($AC112),MONTH($AC112),1)),0))</f>
        <v>0</v>
      </c>
      <c r="K112" s="133" cm="1">
        <f t="array" aca="1" ref="K112" ca="1">IF($F112&lt;&gt;"Active",0,IF(COUNTIFS(OverEmp,$C112,OverEarn,K$2,OverDate,"&lt;"&amp;DATE(YEAR($AC112),MONTH($AC112)+1,1),OverEnd,"&gt;="&amp;DATE(YEAR($AC112),MONTH($AC112),1))&gt;0,SUMIFS(OverValue,OverEmp,$C112,OverEarn,K$2,OverDate,"&lt;"&amp;DATE(YEAR($AC112),MONTH($AC112)+1,1),OverEnd,"&gt;="&amp;DATE(YEAR($AC112),MONTH($AC112),1)),0))</f>
        <v>0</v>
      </c>
      <c r="L112" s="133">
        <f t="shared" ca="1" si="54"/>
        <v>150000</v>
      </c>
      <c r="M112" s="182" cm="1">
        <f t="array" aca="1" ref="M112" ca="1">IF(COUNTIFS(OverEmp,$C112,OverTax,M$5,OverDate,"&lt;"&amp;DATE(YEAR($AC112),MONTH($AC112)+1,1),OverEnd,"&gt;="&amp;DATE(YEAR($AC112),MONTH($AC112),1))&gt;0,SUMIFS(OverValue,OverEmp,$C112,OverTax,M$5,OverDate,"&lt;"&amp;DATE(YEAR($AC112),MONTH($AC112)+1,1),OverEnd,"&gt;="&amp;DATE(YEAR($AC112),MONTH($AC112),1)),(($BA112/12*$AA112)+(BB112*IF(1-$BC112=0,0,BD112/(1-$BC112))))-IF($F112="Terminated",0,SUMIFS(PayTaxDeduct,PayDate,"&lt;"&amp;$AC112,PayEmp,$C112)))</f>
        <v>45611.833333333314</v>
      </c>
      <c r="N112" s="133" cm="1">
        <f t="array" aca="1" ref="N112" ca="1">IF($F112="Terminated",0,IF($AA112=0,0,IF(ISNA(MATCH(N$5,DedListItem,0)),0,IF(COUNTIFS(OverEmp,$C112,OverDeduct,N$5,OverDate,"&lt;"&amp;DATE(YEAR($AC112),MONTH($AC112)+1,1),OverEnd,"&gt;="&amp;DATE(YEAR($AC112),MONTH($AC112),1))&gt;0,SUMIFS(OverValue,OverEmp,$C112,OverDeduct,N$5,OverDate,"&lt;"&amp;DATE(YEAR($AC112),MONTH($AC112)+1,1),OverEnd,"&gt;="&amp;DATE(YEAR($AC112),MONTH($AC112),1)),IF(OR(N$2="Fixed",N$2="Not Used"),(IF(COUNTIFS(EmpNo,$C112,OFFSET(Emp!$R$4,1,MATCH(N$5,DedListItem,0)-1,EmpCount,1),"&lt;&gt;")&gt;0,VLOOKUP($C112,EmpAll,COLUMN(Emp!$R$4)+MATCH(N$5,DedListItem,0)-1,0),OFFSET(Setup!$E$73,MATCH(N$5,DedListItem,0),0,1,1))*$AA112)-SUMIFS(OFFSET(N$6,1,0,PayCount,1),PayDate,"&lt;"&amp;$AC112,PayEmp,$C112),IF(ISNA(MATCH(N$2,EarnListItem,0))=FALSE,IF(OFFSET(Setup!$G$73,MATCH(N$5,DedListItem,0),0,1,1)="Taxable",SUMPRODUCT((PayEmp=$C112)*(PayDate&lt;=$AC112)*(PayEarnCode=N$2)*(PayEarnTax)*(PayEarnValues)),SUMPRODUCT((PayEmp=$C112)*(PayDate&lt;=$AC112)*(PayEarnCode=N$2)*(PayEarnValues)))*IF(COUNTIFS(EmpNo,$C112,OFFSET(Emp!$R$4,1,MATCH(N$5,DedListItem,0)-1,EmpCount,1),"&lt;&gt;")&gt;0,VLOOKUP($C112,EmpAll,COLUMN(Emp!$R$4)+MATCH(N$5,DedListItem,0)-1,0),OFFSET(Setup!$E$73,MATCH(N$5,DedListItem,0),0,1,1)),(MIN(IF(OFFSET(Setup!$G$73,MATCH(N$5,DedListItem,0),0,1,1)="Taxable",SUMPRODUCT((PayEmp=$C112)*(PayDate&lt;=$AC112)*(ISERROR(SEARCH(PayEarnCode,N$4)))*(PayEarnTax)*(PayEarnValues)),SUMPRODUCT((PayEmp=$C112)*(PayDate&lt;=$AC112)*(ISERROR(SEARCH(PayEarnCode,N$4)))*(PayEarnValues))),IF(ISNUMBER(N$3),N$3/12*$AA112,IgnoreMin)))*IF(COUNTIFS(EmpNo,$C112,OFFSET(Emp!$R$4,1,MATCH(N$5,DedListItem,0)-1,EmpCount,1),"&lt;&gt;")&gt;0,VLOOKUP($C112,EmpAll,COLUMN(Emp!$R$4)+MATCH(N$5,DedListItem,0)-1,0),OFFSET(Setup!$E$73,MATCH(N$5,DedListItem,0),0,1,1)))-SUMIFS(OFFSET(N$6,1,0,PayCount,1),PayDate,"&lt;"&amp;$AC112,PayEmp,$C112))))))</f>
        <v>177.12000000000012</v>
      </c>
      <c r="O112" s="133" cm="1">
        <f t="array" aca="1" ref="O112" ca="1">IF($F112="Terminated",0,IF($AA112=0,0,IF(ISNA(MATCH(O$5,DedListItem,0)),0,IF(COUNTIFS(OverEmp,$C112,OverDeduct,O$5,OverDate,"&lt;"&amp;DATE(YEAR($AC112),MONTH($AC112)+1,1),OverEnd,"&gt;="&amp;DATE(YEAR($AC112),MONTH($AC112),1))&gt;0,SUMIFS(OverValue,OverEmp,$C112,OverDeduct,O$5,OverDate,"&lt;"&amp;DATE(YEAR($AC112),MONTH($AC112)+1,1),OverEnd,"&gt;="&amp;DATE(YEAR($AC112),MONTH($AC112),1)),IF(OR(O$2="Fixed",O$2="Not Used"),(IF(COUNTIFS(EmpNo,$C112,OFFSET(Emp!$R$4,1,MATCH(O$5,DedListItem,0)-1,EmpCount,1),"&lt;&gt;")&gt;0,VLOOKUP($C112,EmpAll,COLUMN(Emp!$R$4)+MATCH(O$5,DedListItem,0)-1,0),OFFSET(Setup!$E$73,MATCH(O$5,DedListItem,0),0,1,1))*$AA112)-SUMIFS(OFFSET(O$6,1,0,PayCount,1),PayDate,"&lt;"&amp;$AC112,PayEmp,$C112),IF(ISNA(MATCH(O$2,EarnListItem,0))=FALSE,IF(OFFSET(Setup!$G$73,MATCH(O$5,DedListItem,0),0,1,1)="Taxable",SUMPRODUCT((PayEmp=$C112)*(PayDate&lt;=$AC112)*(PayEarnCode=O$2)*(PayEarnTax)*(PayEarnValues)),SUMPRODUCT((PayEmp=$C112)*(PayDate&lt;=$AC112)*(PayEarnCode=O$2)*(PayEarnValues)))*IF(COUNTIFS(EmpNo,$C112,OFFSET(Emp!$R$4,1,MATCH(O$5,DedListItem,0)-1,EmpCount,1),"&lt;&gt;")&gt;0,VLOOKUP($C112,EmpAll,COLUMN(Emp!$R$4)+MATCH(O$5,DedListItem,0)-1,0),OFFSET(Setup!$E$73,MATCH(O$5,DedListItem,0),0,1,1)),(MIN(IF(OFFSET(Setup!$G$73,MATCH(O$5,DedListItem,0),0,1,1)="Taxable",SUMPRODUCT((PayEmp=$C112)*(PayDate&lt;=$AC112)*(ISERROR(SEARCH(PayEarnCode,O$4)))*(PayEarnTax)*(PayEarnValues)),SUMPRODUCT((PayEmp=$C112)*(PayDate&lt;=$AC112)*(ISERROR(SEARCH(PayEarnCode,O$4)))*(PayEarnValues))),IF(ISNUMBER(O$3),O$3/12*$AA112,IgnoreMin)))*IF(COUNTIFS(EmpNo,$C112,OFFSET(Emp!$R$4,1,MATCH(O$5,DedListItem,0)-1,EmpCount,1),"&lt;&gt;")&gt;0,VLOOKUP($C112,EmpAll,COLUMN(Emp!$R$4)+MATCH(O$5,DedListItem,0)-1,0),OFFSET(Setup!$E$73,MATCH(O$5,DedListItem,0),0,1,1)))-SUMIFS(OFFSET(O$6,1,0,PayCount,1),PayDate,"&lt;"&amp;$AC112,PayEmp,$C112))))))</f>
        <v>11250</v>
      </c>
      <c r="P112" s="133" cm="1">
        <f t="array" aca="1" ref="P112" ca="1">IF($F112="Terminated",0,IF($AA112=0,0,IF(ISNA(MATCH(P$5,DedListItem,0)),0,IF(COUNTIFS(OverEmp,$C112,OverDeduct,P$5,OverDate,"&lt;"&amp;DATE(YEAR($AC112),MONTH($AC112)+1,1),OverEnd,"&gt;="&amp;DATE(YEAR($AC112),MONTH($AC112),1))&gt;0,SUMIFS(OverValue,OverEmp,$C112,OverDeduct,P$5,OverDate,"&lt;"&amp;DATE(YEAR($AC112),MONTH($AC112)+1,1),OverEnd,"&gt;="&amp;DATE(YEAR($AC112),MONTH($AC112),1)),IF(OR(P$2="Fixed",P$2="Not Used"),(IF(COUNTIFS(EmpNo,$C112,OFFSET(Emp!$R$4,1,MATCH(P$5,DedListItem,0)-1,EmpCount,1),"&lt;&gt;")&gt;0,VLOOKUP($C112,EmpAll,COLUMN(Emp!$R$4)+MATCH(P$5,DedListItem,0)-1,0),OFFSET(Setup!$E$73,MATCH(P$5,DedListItem,0),0,1,1))*$AA112)-SUMIFS(OFFSET(P$6,1,0,PayCount,1),PayDate,"&lt;"&amp;$AC112,PayEmp,$C112),IF(ISNA(MATCH(P$2,EarnListItem,0))=FALSE,IF(OFFSET(Setup!$G$73,MATCH(P$5,DedListItem,0),0,1,1)="Taxable",SUMPRODUCT((PayEmp=$C112)*(PayDate&lt;=$AC112)*(PayEarnCode=P$2)*(PayEarnTax)*(PayEarnValues)),SUMPRODUCT((PayEmp=$C112)*(PayDate&lt;=$AC112)*(PayEarnCode=P$2)*(PayEarnValues)))*IF(COUNTIFS(EmpNo,$C112,OFFSET(Emp!$R$4,1,MATCH(P$5,DedListItem,0)-1,EmpCount,1),"&lt;&gt;")&gt;0,VLOOKUP($C112,EmpAll,COLUMN(Emp!$R$4)+MATCH(P$5,DedListItem,0)-1,0),OFFSET(Setup!$E$73,MATCH(P$5,DedListItem,0),0,1,1)),(MIN(IF(OFFSET(Setup!$G$73,MATCH(P$5,DedListItem,0),0,1,1)="Taxable",SUMPRODUCT((PayEmp=$C112)*(PayDate&lt;=$AC112)*(ISERROR(SEARCH(PayEarnCode,P$4)))*(PayEarnTax)*(PayEarnValues)),SUMPRODUCT((PayEmp=$C112)*(PayDate&lt;=$AC112)*(ISERROR(SEARCH(PayEarnCode,P$4)))*(PayEarnValues))),IF(ISNUMBER(P$3),P$3/12*$AA112,IgnoreMin)))*IF(COUNTIFS(EmpNo,$C112,OFFSET(Emp!$R$4,1,MATCH(P$5,DedListItem,0)-1,EmpCount,1),"&lt;&gt;")&gt;0,VLOOKUP($C112,EmpAll,COLUMN(Emp!$R$4)+MATCH(P$5,DedListItem,0)-1,0),OFFSET(Setup!$E$73,MATCH(P$5,DedListItem,0),0,1,1)))-SUMIFS(OFFSET(P$6,1,0,PayCount,1),PayDate,"&lt;"&amp;$AC112,PayEmp,$C112))))))</f>
        <v>0</v>
      </c>
      <c r="Q112" s="133" cm="1">
        <f t="array" aca="1" ref="Q112" ca="1">IF($F112="Terminated",0,IF($AA112=0,0,IF(ISNA(MATCH(Q$5,DedListItem,0)),0,IF(COUNTIFS(OverEmp,$C112,OverDeduct,Q$5,OverDate,"&lt;"&amp;DATE(YEAR($AC112),MONTH($AC112)+1,1),OverEnd,"&gt;="&amp;DATE(YEAR($AC112),MONTH($AC112),1))&gt;0,SUMIFS(OverValue,OverEmp,$C112,OverDeduct,Q$5,OverDate,"&lt;"&amp;DATE(YEAR($AC112),MONTH($AC112)+1,1),OverEnd,"&gt;="&amp;DATE(YEAR($AC112),MONTH($AC112),1)),IF(OR(Q$2="Fixed",Q$2="Not Used"),(IF(COUNTIFS(EmpNo,$C112,OFFSET(Emp!$R$4,1,MATCH(Q$5,DedListItem,0)-1,EmpCount,1),"&lt;&gt;")&gt;0,VLOOKUP($C112,EmpAll,COLUMN(Emp!$R$4)+MATCH(Q$5,DedListItem,0)-1,0),OFFSET(Setup!$E$73,MATCH(Q$5,DedListItem,0),0,1,1))*$AA112)-SUMIFS(OFFSET(Q$6,1,0,PayCount,1),PayDate,"&lt;"&amp;$AC112,PayEmp,$C112),IF(ISNA(MATCH(Q$2,EarnListItem,0))=FALSE,IF(OFFSET(Setup!$G$73,MATCH(Q$5,DedListItem,0),0,1,1)="Taxable",SUMPRODUCT((PayEmp=$C112)*(PayDate&lt;=$AC112)*(PayEarnCode=Q$2)*(PayEarnTax)*(PayEarnValues)),SUMPRODUCT((PayEmp=$C112)*(PayDate&lt;=$AC112)*(PayEarnCode=Q$2)*(PayEarnValues)))*IF(COUNTIFS(EmpNo,$C112,OFFSET(Emp!$R$4,1,MATCH(Q$5,DedListItem,0)-1,EmpCount,1),"&lt;&gt;")&gt;0,VLOOKUP($C112,EmpAll,COLUMN(Emp!$R$4)+MATCH(Q$5,DedListItem,0)-1,0),OFFSET(Setup!$E$73,MATCH(Q$5,DedListItem,0),0,1,1)),(MIN(IF(OFFSET(Setup!$G$73,MATCH(Q$5,DedListItem,0),0,1,1)="Taxable",SUMPRODUCT((PayEmp=$C112)*(PayDate&lt;=$AC112)*(ISERROR(SEARCH(PayEarnCode,Q$4)))*(PayEarnTax)*(PayEarnValues)),SUMPRODUCT((PayEmp=$C112)*(PayDate&lt;=$AC112)*(ISERROR(SEARCH(PayEarnCode,Q$4)))*(PayEarnValues))),IF(ISNUMBER(Q$3),Q$3/12*$AA112,IgnoreMin)))*IF(COUNTIFS(EmpNo,$C112,OFFSET(Emp!$R$4,1,MATCH(Q$5,DedListItem,0)-1,EmpCount,1),"&lt;&gt;")&gt;0,VLOOKUP($C112,EmpAll,COLUMN(Emp!$R$4)+MATCH(Q$5,DedListItem,0)-1,0),OFFSET(Setup!$E$73,MATCH(Q$5,DedListItem,0),0,1,1)))-SUMIFS(OFFSET(Q$6,1,0,PayCount,1),PayDate,"&lt;"&amp;$AC112,PayEmp,$C112))))))</f>
        <v>0</v>
      </c>
      <c r="R112" s="133">
        <f t="shared" ca="1" si="55"/>
        <v>57038.953333333317</v>
      </c>
      <c r="S112" s="111">
        <f t="shared" ca="1" si="56"/>
        <v>92961.05</v>
      </c>
      <c r="T112" s="133" cm="1">
        <f t="array" aca="1" ref="T112" ca="1">IF($F112="Terminated",0,IF($AA112=0,0,IF(ISNA(MATCH(T$5,CompListItem,0)),0,IF(COUNTIFS(OverEmp,$C112,OverComp,T$5,OverDate,"&lt;"&amp;DATE(YEAR($AC112),MONTH($AC112)+1,1),OverEnd,"&gt;="&amp;DATE(YEAR($AC112),MONTH($AC112),1))&gt;0,SUMIFS(OverValue,OverEmp,$C112,OverComp,T$5,OverDate,"&lt;"&amp;DATE(YEAR($AC112),MONTH($AC112)+1,1),OverEnd,"&gt;="&amp;DATE(YEAR($AC112),MONTH($AC112),1)),IF(OR(T$2="Fixed",T$2="Not Used"),(OFFSET(Setup!$E$81,MATCH(T$5,CompListItem,0),0,1,1)*$AA112)-SUMIFS(OFFSET(T$6,1,0,PayCount,1),PayDate,"&lt;"&amp;$AC112,PayEmp,$C112),IF(ISNA(MATCH(T$2,DedListItem,0))=FALSE,(SUMPRODUCT((PayEmp=$C112)*(PayDate&lt;=$AC112)*(PayDedList=T$2)*(PayDedValues))*OFFSET(Setup!$E$81,MATCH(T$5,CompListItem,0),0,1,1))-SUMIFS(OFFSET(T$6,1,0,PayCount,1),PayDate,"&lt;"&amp;$AC112,PayEmp,$C112),(MIN(IF(OFFSET(Setup!$G$81,MATCH(T$5,CompListItem,0),0,1,1)="Taxable",SUMPRODUCT((PayEmp=$C112)*(PayDate&lt;=$AC112)*(ISERROR(SEARCH(PayEarnCode,T$4)))*(PayEarnTax)*(PayEarnValues)),SUMPRODUCT((PayEmp=$C112)*(PayDate&lt;=$AC112)*(ISERROR(SEARCH(PayEarnCode,T$4)))*(PayEarnValues))),IF(ISNUMBER(T$3),T$3/12*$AA112,IgnoreMin)))*OFFSET(Setup!$E$81,MATCH(T$5,CompListItem,0),0,1,1)-SUMIFS(OFFSET(T$6,1,0,PayCount,1),PayDate,"&lt;"&amp;$AC112,PayEmp,$C112)))))))</f>
        <v>177.12000000000012</v>
      </c>
      <c r="U112" s="133" cm="1">
        <f t="array" aca="1" ref="U112" ca="1">IF($F112="Terminated",0,IF($AA112=0,0,IF(ISNA(MATCH(U$5,CompListItem,0)),0,IF(COUNTIFS(OverEmp,$C112,OverComp,U$5,OverDate,"&lt;"&amp;DATE(YEAR($AC112),MONTH($AC112)+1,1),OverEnd,"&gt;="&amp;DATE(YEAR($AC112),MONTH($AC112),1))&gt;0,SUMIFS(OverValue,OverEmp,$C112,OverComp,U$5,OverDate,"&lt;"&amp;DATE(YEAR($AC112),MONTH($AC112)+1,1),OverEnd,"&gt;="&amp;DATE(YEAR($AC112),MONTH($AC112),1)),IF(OR(U$2="Fixed",U$2="Not Used"),(OFFSET(Setup!$E$81,MATCH(U$5,CompListItem,0),0,1,1)*$AA112)-SUMIFS(OFFSET(U$6,1,0,PayCount,1),PayDate,"&lt;"&amp;$AC112,PayEmp,$C112),IF(ISNA(MATCH(U$2,DedListItem,0))=FALSE,(SUMPRODUCT((PayEmp=$C112)*(PayDate&lt;=$AC112)*(PayDedList=U$2)*(PayDedValues))*OFFSET(Setup!$E$81,MATCH(U$5,CompListItem,0),0,1,1))-SUMIFS(OFFSET(U$6,1,0,PayCount,1),PayDate,"&lt;"&amp;$AC112,PayEmp,$C112),(MIN(IF(OFFSET(Setup!$G$81,MATCH(U$5,CompListItem,0),0,1,1)="Taxable",SUMPRODUCT((PayEmp=$C112)*(PayDate&lt;=$AC112)*(ISERROR(SEARCH(PayEarnCode,U$4)))*(PayEarnTax)*(PayEarnValues)),SUMPRODUCT((PayEmp=$C112)*(PayDate&lt;=$AC112)*(ISERROR(SEARCH(PayEarnCode,U$4)))*(PayEarnValues))),IF(ISNUMBER(U$3),U$3/12*$AA112,IgnoreMin)))*OFFSET(Setup!$E$81,MATCH(U$5,CompListItem,0),0,1,1)-SUMIFS(OFFSET(U$6,1,0,PayCount,1),PayDate,"&lt;"&amp;$AC112,PayEmp,$C112)))))))</f>
        <v>1500</v>
      </c>
      <c r="V112" s="133" cm="1">
        <f t="array" aca="1" ref="V112" ca="1">IF($F112="Terminated",0,IF($AA112=0,0,IF(ISNA(MATCH(V$5,CompListItem,0)),0,IF(COUNTIFS(OverEmp,$C112,OverComp,V$5,OverDate,"&lt;"&amp;DATE(YEAR($AC112),MONTH($AC112)+1,1),OverEnd,"&gt;="&amp;DATE(YEAR($AC112),MONTH($AC112),1))&gt;0,SUMIFS(OverValue,OverEmp,$C112,OverComp,V$5,OverDate,"&lt;"&amp;DATE(YEAR($AC112),MONTH($AC112)+1,1),OverEnd,"&gt;="&amp;DATE(YEAR($AC112),MONTH($AC112),1)),IF(OR(V$2="Fixed",V$2="Not Used"),(OFFSET(Setup!$E$81,MATCH(V$5,CompListItem,0),0,1,1)*$AA112)-SUMIFS(OFFSET(V$6,1,0,PayCount,1),PayDate,"&lt;"&amp;$AC112,PayEmp,$C112),IF(ISNA(MATCH(V$2,DedListItem,0))=FALSE,(SUMPRODUCT((PayEmp=$C112)*(PayDate&lt;=$AC112)*(PayDedList=V$2)*(PayDedValues))*OFFSET(Setup!$E$81,MATCH(V$5,CompListItem,0),0,1,1))-SUMIFS(OFFSET(V$6,1,0,PayCount,1),PayDate,"&lt;"&amp;$AC112,PayEmp,$C112),(MIN(IF(OFFSET(Setup!$G$81,MATCH(V$5,CompListItem,0),0,1,1)="Taxable",SUMPRODUCT((PayEmp=$C112)*(PayDate&lt;=$AC112)*(ISERROR(SEARCH(PayEarnCode,V$4)))*(PayEarnTax)*(PayEarnValues)),SUMPRODUCT((PayEmp=$C112)*(PayDate&lt;=$AC112)*(ISERROR(SEARCH(PayEarnCode,V$4)))*(PayEarnValues))),IF(ISNUMBER(V$3),V$3/12*$AA112,IgnoreMin)))*OFFSET(Setup!$E$81,MATCH(V$5,CompListItem,0),0,1,1)-SUMIFS(OFFSET(V$6,1,0,PayCount,1),PayDate,"&lt;"&amp;$AC112,PayEmp,$C112)))))))</f>
        <v>0</v>
      </c>
      <c r="W112" s="133" cm="1">
        <f t="array" aca="1" ref="W112" ca="1">IF($F112="Terminated",0,IF($AA112=0,0,IF(ISNA(MATCH(W$5,CompListItem,0)),0,IF(COUNTIFS(OverEmp,$C112,OverComp,W$5,OverDate,"&lt;"&amp;DATE(YEAR($AC112),MONTH($AC112)+1,1),OverEnd,"&gt;="&amp;DATE(YEAR($AC112),MONTH($AC112),1))&gt;0,SUMIFS(OverValue,OverEmp,$C112,OverComp,W$5,OverDate,"&lt;"&amp;DATE(YEAR($AC112),MONTH($AC112)+1,1),OverEnd,"&gt;="&amp;DATE(YEAR($AC112),MONTH($AC112),1)),IF(OR(W$2="Fixed",W$2="Not Used"),(OFFSET(Setup!$E$81,MATCH(W$5,CompListItem,0),0,1,1)*$AA112)-SUMIFS(OFFSET(W$6,1,0,PayCount,1),PayDate,"&lt;"&amp;$AC112,PayEmp,$C112),IF(ISNA(MATCH(W$2,DedListItem,0))=FALSE,(SUMPRODUCT((PayEmp=$C112)*(PayDate&lt;=$AC112)*(PayDedList=W$2)*(PayDedValues))*OFFSET(Setup!$E$81,MATCH(W$5,CompListItem,0),0,1,1))-SUMIFS(OFFSET(W$6,1,0,PayCount,1),PayDate,"&lt;"&amp;$AC112,PayEmp,$C112),(MIN(IF(OFFSET(Setup!$G$81,MATCH(W$5,CompListItem,0),0,1,1)="Taxable",SUMPRODUCT((PayEmp=$C112)*(PayDate&lt;=$AC112)*(ISERROR(SEARCH(PayEarnCode,W$4)))*(PayEarnTax)*(PayEarnValues)),SUMPRODUCT((PayEmp=$C112)*(PayDate&lt;=$AC112)*(ISERROR(SEARCH(PayEarnCode,W$4)))*(PayEarnValues))),IF(ISNUMBER(W$3),W$3/12*$AA112,IgnoreMin)))*OFFSET(Setup!$E$81,MATCH(W$5,CompListItem,0),0,1,1)-SUMIFS(OFFSET(W$6,1,0,PayCount,1),PayDate,"&lt;"&amp;$AC112,PayEmp,$C112)))))))</f>
        <v>0</v>
      </c>
      <c r="X112" s="133">
        <f t="shared" ca="1" si="48"/>
        <v>1677.1200000000001</v>
      </c>
      <c r="Y112" s="111">
        <f t="shared" ca="1" si="57"/>
        <v>151677.12</v>
      </c>
      <c r="Z112" s="111">
        <f t="shared" ca="1" si="49"/>
        <v>58716.07</v>
      </c>
      <c r="AA112" s="183">
        <f ca="1">IF(OR($B112&lt;=Setup!$E$12,$B112&gt;=Setup!$D$12+1),0,IF($F112&lt;&gt;"Active",0,IF($AE112="Yes",$AB112,((YEAR($AC112)*12)+MONTH($AC112))-((YEAR($AD112)*12)+MONTH($AD112)-1))))</f>
        <v>8</v>
      </c>
      <c r="AB112" s="183">
        <f ca="1">IF(OR($B112&lt;=Setup!$E$12,$B112&gt;=Setup!$D$12+1),0,((YEAR($AC112)*12)+MONTH($AC112))-((YEAR(Setup!$E$12)*12)+MONTH(Setup!$E$12)))</f>
        <v>8</v>
      </c>
      <c r="AC112" s="129">
        <f t="shared" ca="1" si="50"/>
        <v>45224</v>
      </c>
      <c r="AD112" s="184">
        <f ca="1">IF(ISNA(VLOOKUP($C112,EmpAll,COLUMN(Emp!$E$4),0)),$AC112,IF(VLOOKUP($C112,EmpAll,COLUMN(Emp!$E$4),0)&lt;=Setup!$E$12,DATE(YEAR(Setup!$E$12),MONTH(Setup!$E$12)+1,1),VLOOKUP($C112,EmpAll,COLUMN(Emp!$E$4),0)))</f>
        <v>44986</v>
      </c>
      <c r="AE112" s="184" t="str">
        <f ca="1">IF(ISNA(VLOOKUP($C112,EmpAll,COLUMN(Emp!$G$1),0)),"-",IF(VLOOKUP($C112,EmpAll,COLUMN(Emp!$G$1),0)=0,"-",VLOOKUP($C112,EmpAll,COLUMN(Emp!$G$1),0)))</f>
        <v>-</v>
      </c>
      <c r="AF112" s="130">
        <f ca="1">IF(A112=PaySlip!$G$3,1,0)</f>
        <v>0</v>
      </c>
      <c r="AG112" s="130" cm="1">
        <f t="array" aca="1" ref="AG112" ca="1">IF(COUNTIFS(OverEmp,$C112,OverMed,"MED",OverDate,"&lt;"&amp;DATE(YEAR($AC112),MONTH($AC112)+1,1),OverEnd,"&gt;="&amp;DATE(YEAR($AC112),MONTH($AC112),1))&gt;0,SUMIFS(OverValue,OverEmp,$C112,OverMed,"MED",OverDate,"&lt;"&amp;DATE(YEAR($AC112),MONTH($AC112)+1,1),OverEnd,"&gt;="&amp;DATE(YEAR($AC112),MONTH($AC112),1)),IF(ISNA(VLOOKUP($C112,EmpAll,COLUMN(Emp!$N$4),0)),0,VLOOKUP($C112,EmpAll,COLUMN(Emp!$N$4),0)))</f>
        <v>5</v>
      </c>
      <c r="AH112" s="183">
        <f ca="1">VLOOKUP($AG112,MedList,COLUMN(Setup!$C$49),1)</f>
        <v>1466</v>
      </c>
      <c r="AI112" s="183">
        <f t="shared" ca="1" si="40"/>
        <v>17592</v>
      </c>
      <c r="AJ112" s="101" t="str">
        <f ca="1">IF(ISNA(VLOOKUP($C112,EmpAll,COLUMN(Emp!$L$4),0)),"None!",VLOOKUP($C112,EmpAll,COLUMN(Emp!$L$4),0))</f>
        <v>A</v>
      </c>
      <c r="AK112" s="187">
        <f t="shared" ca="1" si="51"/>
        <v>17235</v>
      </c>
      <c r="AL112" s="101" t="str">
        <f ca="1">IF(ISNA(VLOOKUP($C112,Employees[],COLUMN(Emp!$M$4),0))=TRUE,"Error!",IF(VLOOKUP($C112,Employees[],COLUMN(Emp!$M$4),0)=0,"Yes",VLOOKUP($C112,Employees[],COLUMN(Emp!$M$4),0)))</f>
        <v>A</v>
      </c>
      <c r="AM112" s="188">
        <f t="shared" ca="1" si="41"/>
        <v>1800000</v>
      </c>
      <c r="AN112" s="148" cm="1">
        <f t="array" aca="1" ref="AN112" ca="1">-IF($F112="Terminated",0,IF($AA112=0,0,IF(ISNA(MATCH(AN$5,PayDedList,0)),0,MIN(IF(COUNTIFS(OverEmp,$C112,OverDeduct,AN$5,OverDate,"&lt;"&amp;DATE(YEAR($AC112),MONTH($AC112)+1,1),OverEnd,"&gt;="&amp;DATE(YEAR($AC112),MONTH($AC112),1))&gt;0,SUMPRODUCT((PayEmp=$C112)*(PayDate&lt;=$AC112)*(OFFSET($N$6,1,MATCH(AN$5,PayDedList,0)-1,PayCount,1)))/$AA112*12*AN$3,IF(OR(AN$1="Fixed",AN$1="Not Used"),SUMPRODUCT((PayEmp=$C112)*(PayDate&lt;=$AC112)*(OFFSET($N$6,1,MATCH(AN$5,PayDedList,0)-1,PayCount,1)))/$AA112*12*AN$3,IF(ISNA(MATCH(AN$1,EarnListItem,0))=FALSE,SUMPRODUCT((PayEmp=$C112)*(PayDate&lt;=$AC112)*(OFFSET($N$6,1,MATCH(AN$5,PayDedList,0)-1,PayCount,1)))/$AA112*12*AN$3,(MIN(((SUMPRODUCT((PayEmp=$C112)*(PayDate&lt;=$AC112)*(ISERROR(SEARCH(PayEarnCode,AN$2)))*(PayEarnType="Monthly")*(PayEarnValues))/$AA112*12)+(SUMPRODUCT((PayEmp=$C112)*(PayDate&lt;=$AC112)*(ISERROR(SEARCH(PayEarnCode,AN$2)))*(PayEarnType="Quarterly")*(PayEarnValues))/MAX(1,ROUNDDOWN($AB112/3,0))*4)+(SUMPRODUCT((PayEmp=$C112)*(PayDate&lt;=$AC112)*(ISERROR(SEARCH(PayEarnCode,AN$2)))*(PayEarnType="Bi-Annual")*(PayEarnValues))/MAX(1,ROUNDDOWN($AB112/6,0))*2)+(SUMPRODUCT((PayEmp=$C112)*(PayDate&lt;=$AC112)*(ISERROR(SEARCH(PayEarnCode,AN$2)))*(PayEarnType="Annual")*(PayEarnValues)))),IF(ISNUMBER(OFFSET($N$3,0,MATCH(AN$5,PayDedList,0)-1,1,1)),OFFSET($N$3,0,MATCH(AN$5,PayDedList,0)-1,1,1),IgnoreMin)))*IF(COUNTIFS(EmpNo,$C112,OFFSET(Emp!$R$4,1,MATCH(AN$5,DedListItem,0)-1,EmpCount,1),"&lt;&gt;")&gt;0,VLOOKUP($C112,EmpAll,COLUMN(Emp!$R$4)+MATCH(AN$5,DedListItem,0)-1,0),OFFSET(Setup!$E$73,MATCH(AN$5,DedListItem,0),0,1,1))*AN$3))),IF(ISNUMBER(AN$4),AN$4,IgnoreMin)))))</f>
        <v>0</v>
      </c>
      <c r="AO112" s="148" cm="1">
        <f t="array" aca="1" ref="AO112" ca="1">-IF($F112="Terminated",0,IF($AA112=0,0,IF(ISNA(MATCH(AO$5,PayDedList,0)),0,MIN(IF(COUNTIFS(OverEmp,$C112,OverDeduct,AO$5,OverDate,"&lt;"&amp;DATE(YEAR($AC112),MONTH($AC112)+1,1),OverEnd,"&gt;="&amp;DATE(YEAR($AC112),MONTH($AC112),1))&gt;0,SUMPRODUCT((PayEmp=$C112)*(PayDate&lt;=$AC112)*(OFFSET($N$6,1,MATCH(AO$5,PayDedList,0)-1,PayCount,1)))/$AA112*12*AO$3,IF(OR(AO$1="Fixed",AO$1="Not Used"),SUMPRODUCT((PayEmp=$C112)*(PayDate&lt;=$AC112)*(OFFSET($N$6,1,MATCH(AO$5,PayDedList,0)-1,PayCount,1)))/$AA112*12*AO$3,IF(ISNA(MATCH(AO$1,EarnListItem,0))=FALSE,SUMPRODUCT((PayEmp=$C112)*(PayDate&lt;=$AC112)*(OFFSET($N$6,1,MATCH(AO$5,PayDedList,0)-1,PayCount,1)))/$AA112*12*AO$3,(MIN(((SUMPRODUCT((PayEmp=$C112)*(PayDate&lt;=$AC112)*(ISERROR(SEARCH(PayEarnCode,AO$2)))*(PayEarnType="Monthly")*(PayEarnValues))/$AA112*12)+(SUMPRODUCT((PayEmp=$C112)*(PayDate&lt;=$AC112)*(ISERROR(SEARCH(PayEarnCode,AO$2)))*(PayEarnType="Quarterly")*(PayEarnValues))/MAX(1,ROUNDDOWN($AB112/3,0))*4)+(SUMPRODUCT((PayEmp=$C112)*(PayDate&lt;=$AC112)*(ISERROR(SEARCH(PayEarnCode,AO$2)))*(PayEarnType="Bi-Annual")*(PayEarnValues))/MAX(1,ROUNDDOWN($AB112/6,0))*2)+(SUMPRODUCT((PayEmp=$C112)*(PayDate&lt;=$AC112)*(ISERROR(SEARCH(PayEarnCode,AO$2)))*(PayEarnType="Annual")*(PayEarnValues)))),IF(ISNUMBER(OFFSET($N$3,0,MATCH(AO$5,PayDedList,0)-1,1,1)),OFFSET($N$3,0,MATCH(AO$5,PayDedList,0)-1,1,1),IgnoreMin)))*IF(COUNTIFS(EmpNo,$C112,OFFSET(Emp!$R$4,1,MATCH(AO$5,DedListItem,0)-1,EmpCount,1),"&lt;&gt;")&gt;0,VLOOKUP($C112,EmpAll,COLUMN(Emp!$R$4)+MATCH(AO$5,DedListItem,0)-1,0),OFFSET(Setup!$E$73,MATCH(AO$5,DedListItem,0),0,1,1))*AO$3))),IF(ISNUMBER(AO$4),AO$4,IgnoreMin)))))</f>
        <v>-135000</v>
      </c>
      <c r="AP112" s="148" cm="1">
        <f t="array" aca="1" ref="AP112" ca="1">-IF($F112="Terminated",0,IF($AA112=0,0,IF(ISNA(MATCH(AP$5,PayDedList,0)),0,MIN(IF(COUNTIFS(OverEmp,$C112,OverDeduct,AP$5,OverDate,"&lt;"&amp;DATE(YEAR($AC112),MONTH($AC112)+1,1),OverEnd,"&gt;="&amp;DATE(YEAR($AC112),MONTH($AC112),1))&gt;0,SUMPRODUCT((PayEmp=$C112)*(PayDate&lt;=$AC112)*(OFFSET($N$6,1,MATCH(AP$5,PayDedList,0)-1,PayCount,1)))/$AA112*12*AP$3,IF(OR(AP$1="Fixed",AP$1="Not Used"),SUMPRODUCT((PayEmp=$C112)*(PayDate&lt;=$AC112)*(OFFSET($N$6,1,MATCH(AP$5,PayDedList,0)-1,PayCount,1)))/$AA112*12*AP$3,IF(ISNA(MATCH(AP$1,EarnListItem,0))=FALSE,SUMPRODUCT((PayEmp=$C112)*(PayDate&lt;=$AC112)*(OFFSET($N$6,1,MATCH(AP$5,PayDedList,0)-1,PayCount,1)))/$AA112*12*AP$3,(MIN(((SUMPRODUCT((PayEmp=$C112)*(PayDate&lt;=$AC112)*(ISERROR(SEARCH(PayEarnCode,AP$2)))*(PayEarnType="Monthly")*(PayEarnValues))/$AA112*12)+(SUMPRODUCT((PayEmp=$C112)*(PayDate&lt;=$AC112)*(ISERROR(SEARCH(PayEarnCode,AP$2)))*(PayEarnType="Quarterly")*(PayEarnValues))/MAX(1,ROUNDDOWN($AB112/3,0))*4)+(SUMPRODUCT((PayEmp=$C112)*(PayDate&lt;=$AC112)*(ISERROR(SEARCH(PayEarnCode,AP$2)))*(PayEarnType="Bi-Annual")*(PayEarnValues))/MAX(1,ROUNDDOWN($AB112/6,0))*2)+(SUMPRODUCT((PayEmp=$C112)*(PayDate&lt;=$AC112)*(ISERROR(SEARCH(PayEarnCode,AP$2)))*(PayEarnType="Annual")*(PayEarnValues)))),IF(ISNUMBER(OFFSET($N$3,0,MATCH(AP$5,PayDedList,0)-1,1,1)),OFFSET($N$3,0,MATCH(AP$5,PayDedList,0)-1,1,1),IgnoreMin)))*IF(COUNTIFS(EmpNo,$C112,OFFSET(Emp!$R$4,1,MATCH(AP$5,DedListItem,0)-1,EmpCount,1),"&lt;&gt;")&gt;0,VLOOKUP($C112,EmpAll,COLUMN(Emp!$R$4)+MATCH(AP$5,DedListItem,0)-1,0),OFFSET(Setup!$E$73,MATCH(AP$5,DedListItem,0),0,1,1))*AP$3))),IF(ISNUMBER(AP$4),AP$4,IgnoreMin)))))</f>
        <v>0</v>
      </c>
      <c r="AQ112" s="148" cm="1">
        <f t="array" aca="1" ref="AQ112" ca="1">-IF($F112="Terminated",0,IF($AA112=0,0,IF(ISNA(MATCH(AQ$5,PayDedList,0)),0,MIN(IF(COUNTIFS(OverEmp,$C112,OverDeduct,AQ$5,OverDate,"&lt;"&amp;DATE(YEAR($AC112),MONTH($AC112)+1,1),OverEnd,"&gt;="&amp;DATE(YEAR($AC112),MONTH($AC112),1))&gt;0,SUMPRODUCT((PayEmp=$C112)*(PayDate&lt;=$AC112)*(OFFSET($N$6,1,MATCH(AQ$5,PayDedList,0)-1,PayCount,1)))/$AA112*12*AQ$3,IF(OR(AQ$1="Fixed",AQ$1="Not Used"),SUMPRODUCT((PayEmp=$C112)*(PayDate&lt;=$AC112)*(OFFSET($N$6,1,MATCH(AQ$5,PayDedList,0)-1,PayCount,1)))/$AA112*12*AQ$3,IF(ISNA(MATCH(AQ$1,EarnListItem,0))=FALSE,SUMPRODUCT((PayEmp=$C112)*(PayDate&lt;=$AC112)*(OFFSET($N$6,1,MATCH(AQ$5,PayDedList,0)-1,PayCount,1)))/$AA112*12*AQ$3,(MIN(((SUMPRODUCT((PayEmp=$C112)*(PayDate&lt;=$AC112)*(ISERROR(SEARCH(PayEarnCode,AQ$2)))*(PayEarnType="Monthly")*(PayEarnValues))/$AA112*12)+(SUMPRODUCT((PayEmp=$C112)*(PayDate&lt;=$AC112)*(ISERROR(SEARCH(PayEarnCode,AQ$2)))*(PayEarnType="Quarterly")*(PayEarnValues))/MAX(1,ROUNDDOWN($AB112/3,0))*4)+(SUMPRODUCT((PayEmp=$C112)*(PayDate&lt;=$AC112)*(ISERROR(SEARCH(PayEarnCode,AQ$2)))*(PayEarnType="Bi-Annual")*(PayEarnValues))/MAX(1,ROUNDDOWN($AB112/6,0))*2)+(SUMPRODUCT((PayEmp=$C112)*(PayDate&lt;=$AC112)*(ISERROR(SEARCH(PayEarnCode,AQ$2)))*(PayEarnType="Annual")*(PayEarnValues)))),IF(ISNUMBER(OFFSET($N$3,0,MATCH(AQ$5,PayDedList,0)-1,1,1)),OFFSET($N$3,0,MATCH(AQ$5,PayDedList,0)-1,1,1),IgnoreMin)))*IF(COUNTIFS(EmpNo,$C112,OFFSET(Emp!$R$4,1,MATCH(AQ$5,DedListItem,0)-1,EmpCount,1),"&lt;&gt;")&gt;0,VLOOKUP($C112,EmpAll,COLUMN(Emp!$R$4)+MATCH(AQ$5,DedListItem,0)-1,0),OFFSET(Setup!$E$73,MATCH(AQ$5,DedListItem,0),0,1,1))*AQ$3))),IF(ISNUMBER(AQ$4),AQ$4,IgnoreMin)))))</f>
        <v>0</v>
      </c>
      <c r="AR112" s="148">
        <f t="shared" ca="1" si="52"/>
        <v>1665000</v>
      </c>
      <c r="AS112" s="148">
        <f t="shared" ca="1" si="42"/>
        <v>1800000</v>
      </c>
      <c r="AT112" s="148" cm="1">
        <f t="array" aca="1" ref="AT112" ca="1">-IF($F112="Terminated",0,IF($AA112=0,0,IF(ISNA(MATCH(AT$5,PayDedList,0)),0,MIN(IF(COUNTIFS(OverEmp,$C112,OverDeduct,AT$5,OverDate,"&lt;"&amp;DATE(YEAR($AC112),MONTH($AC112)+1,1),OverEnd,"&gt;="&amp;DATE(YEAR($AC112),MONTH($AC112),1))&gt;0,SUMPRODUCT((PayEmp=$C112)*(PayDate&lt;=$AC112)*(OFFSET($N$6,1,MATCH(AT$5,PayDedList,0)-1,PayCount,1)))/$AA112*12*AT$3,IF(OR(AT$1="Fixed",AT$1="Not Used"),SUMPRODUCT((PayEmp=$C112)*(PayDate&lt;=$AC112)*(OFFSET($N$6,1,MATCH(AT$5,PayDedList,0)-1,PayCount,1)))/$AA112*12*AT$3,IF(ISNA(MATCH(OFFSET($N$2,0,MATCH(AT$5,PayDedList,0)-1,1,1),EarnListItem,0))=FALSE,SUMPRODUCT((PayEmp=$C112)*(PayDate&lt;=$AC112)*(OFFSET($N$6,1,MATCH(AT$5,PayDedList,0)-1,PayCount,1)))/$AA112*12*AT$3,(MIN(SUMPRODUCT((PayEmp=$C112)*(PayDate&lt;=$AC112)*(ISERROR(SEARCH(PayEarnCode,AT$2)))*(PayEarnType="Monthly")*(PayEarnValues))/$AA112*12,IF(ISNUMBER(OFFSET($N$3,0,MATCH(AT$5,PayDedList,0)-1,1,1)),OFFSET($N$3,0,MATCH(AT$5,PayDedList,0)-1,1,1),IgnoreMin)))*IF(COUNTIFS(EmpNo,$C112,OFFSET(Emp!$R$4,1,MATCH(AT$5,DedListItem,0)-1,EmpCount,1),"&lt;&gt;")&gt;0,VLOOKUP($C112,EmpAll,COLUMN(Emp!$R$4)+MATCH(AT$5,DedListItem,0)-1,0),OFFSET(Setup!$E$73,MATCH(AT$5,DedListItem,0),0,1,1))*AT$3))),IF(ISNUMBER(AT$4),AT$4,IgnoreMin)))))</f>
        <v>0</v>
      </c>
      <c r="AU112" s="148" cm="1">
        <f t="array" aca="1" ref="AU112" ca="1">-IF($F112="Terminated",0,IF($AA112=0,0,IF(ISNA(MATCH(AU$5,PayDedList,0)),0,MIN(IF(COUNTIFS(OverEmp,$C112,OverDeduct,AU$5,OverDate,"&lt;"&amp;DATE(YEAR($AC112),MONTH($AC112)+1,1),OverEnd,"&gt;="&amp;DATE(YEAR($AC112),MONTH($AC112),1))&gt;0,SUMPRODUCT((PayEmp=$C112)*(PayDate&lt;=$AC112)*(OFFSET($N$6,1,MATCH(AU$5,PayDedList,0)-1,PayCount,1)))/$AA112*12*AU$3,IF(OR(AU$1="Fixed",AU$1="Not Used"),SUMPRODUCT((PayEmp=$C112)*(PayDate&lt;=$AC112)*(OFFSET($N$6,1,MATCH(AU$5,PayDedList,0)-1,PayCount,1)))/$AA112*12*AU$3,IF(ISNA(MATCH(OFFSET($N$2,0,MATCH(AU$5,PayDedList,0)-1,1,1),EarnListItem,0))=FALSE,SUMPRODUCT((PayEmp=$C112)*(PayDate&lt;=$AC112)*(OFFSET($N$6,1,MATCH(AU$5,PayDedList,0)-1,PayCount,1)))/$AA112*12*AU$3,(MIN(SUMPRODUCT((PayEmp=$C112)*(PayDate&lt;=$AC112)*(ISERROR(SEARCH(PayEarnCode,AU$2)))*(PayEarnType="Monthly")*(PayEarnValues))/$AA112*12,IF(ISNUMBER(OFFSET($N$3,0,MATCH(AU$5,PayDedList,0)-1,1,1)),OFFSET($N$3,0,MATCH(AU$5,PayDedList,0)-1,1,1),IgnoreMin)))*IF(COUNTIFS(EmpNo,$C112,OFFSET(Emp!$R$4,1,MATCH(AU$5,DedListItem,0)-1,EmpCount,1),"&lt;&gt;")&gt;0,VLOOKUP($C112,EmpAll,COLUMN(Emp!$R$4)+MATCH(AU$5,DedListItem,0)-1,0),OFFSET(Setup!$E$73,MATCH(AU$5,DedListItem,0),0,1,1))*AU$3))),IF(ISNUMBER(AU$4),AU$4,IgnoreMin)))))</f>
        <v>-135000</v>
      </c>
      <c r="AV112" s="148" cm="1">
        <f t="array" aca="1" ref="AV112" ca="1">-IF($F112="Terminated",0,IF($AA112=0,0,IF(ISNA(MATCH(AV$5,PayDedList,0)),0,MIN(IF(COUNTIFS(OverEmp,$C112,OverDeduct,AV$5,OverDate,"&lt;"&amp;DATE(YEAR($AC112),MONTH($AC112)+1,1),OverEnd,"&gt;="&amp;DATE(YEAR($AC112),MONTH($AC112),1))&gt;0,SUMPRODUCT((PayEmp=$C112)*(PayDate&lt;=$AC112)*(OFFSET($N$6,1,MATCH(AV$5,PayDedList,0)-1,PayCount,1)))/$AA112*12*AV$3,IF(OR(AV$1="Fixed",AV$1="Not Used"),SUMPRODUCT((PayEmp=$C112)*(PayDate&lt;=$AC112)*(OFFSET($N$6,1,MATCH(AV$5,PayDedList,0)-1,PayCount,1)))/$AA112*12*AV$3,IF(ISNA(MATCH(OFFSET($N$2,0,MATCH(AV$5,PayDedList,0)-1,1,1),EarnListItem,0))=FALSE,SUMPRODUCT((PayEmp=$C112)*(PayDate&lt;=$AC112)*(OFFSET($N$6,1,MATCH(AV$5,PayDedList,0)-1,PayCount,1)))/$AA112*12*AV$3,(MIN(SUMPRODUCT((PayEmp=$C112)*(PayDate&lt;=$AC112)*(ISERROR(SEARCH(PayEarnCode,AV$2)))*(PayEarnType="Monthly")*(PayEarnValues))/$AA112*12,IF(ISNUMBER(OFFSET($N$3,0,MATCH(AV$5,PayDedList,0)-1,1,1)),OFFSET($N$3,0,MATCH(AV$5,PayDedList,0)-1,1,1),IgnoreMin)))*IF(COUNTIFS(EmpNo,$C112,OFFSET(Emp!$R$4,1,MATCH(AV$5,DedListItem,0)-1,EmpCount,1),"&lt;&gt;")&gt;0,VLOOKUP($C112,EmpAll,COLUMN(Emp!$R$4)+MATCH(AV$5,DedListItem,0)-1,0),OFFSET(Setup!$E$73,MATCH(AV$5,DedListItem,0),0,1,1))*AV$3))),IF(ISNUMBER(AV$4),AV$4,IgnoreMin)))))</f>
        <v>0</v>
      </c>
      <c r="AW112" s="148" cm="1">
        <f t="array" aca="1" ref="AW112" ca="1">-IF($F112="Terminated",0,IF($AA112=0,0,IF(ISNA(MATCH(AW$5,PayDedList,0)),0,MIN(IF(COUNTIFS(OverEmp,$C112,OverDeduct,AW$5,OverDate,"&lt;"&amp;DATE(YEAR($AC112),MONTH($AC112)+1,1),OverEnd,"&gt;="&amp;DATE(YEAR($AC112),MONTH($AC112),1))&gt;0,SUMPRODUCT((PayEmp=$C112)*(PayDate&lt;=$AC112)*(OFFSET($N$6,1,MATCH(AW$5,PayDedList,0)-1,PayCount,1)))/$AA112*12*AW$3,IF(OR(AW$1="Fixed",AW$1="Not Used"),SUMPRODUCT((PayEmp=$C112)*(PayDate&lt;=$AC112)*(OFFSET($N$6,1,MATCH(AW$5,PayDedList,0)-1,PayCount,1)))/$AA112*12*AW$3,IF(ISNA(MATCH(OFFSET($N$2,0,MATCH(AW$5,PayDedList,0)-1,1,1),EarnListItem,0))=FALSE,SUMPRODUCT((PayEmp=$C112)*(PayDate&lt;=$AC112)*(OFFSET($N$6,1,MATCH(AW$5,PayDedList,0)-1,PayCount,1)))/$AA112*12*AW$3,(MIN(SUMPRODUCT((PayEmp=$C112)*(PayDate&lt;=$AC112)*(ISERROR(SEARCH(PayEarnCode,AW$2)))*(PayEarnType="Monthly")*(PayEarnValues))/$AA112*12,IF(ISNUMBER(OFFSET($N$3,0,MATCH(AW$5,PayDedList,0)-1,1,1)),OFFSET($N$3,0,MATCH(AW$5,PayDedList,0)-1,1,1),IgnoreMin)))*IF(COUNTIFS(EmpNo,$C112,OFFSET(Emp!$R$4,1,MATCH(AW$5,DedListItem,0)-1,EmpCount,1),"&lt;&gt;")&gt;0,VLOOKUP($C112,EmpAll,COLUMN(Emp!$R$4)+MATCH(AW$5,DedListItem,0)-1,0),OFFSET(Setup!$E$73,MATCH(AW$5,DedListItem,0),0,1,1))*AW$3))),IF(ISNUMBER(AW$4),AW$4,IgnoreMin)))))</f>
        <v>0</v>
      </c>
      <c r="AX112" s="188">
        <f t="shared" ca="1" si="58"/>
        <v>1665000</v>
      </c>
      <c r="AY112" s="188">
        <f t="shared" ca="1" si="59"/>
        <v>0</v>
      </c>
      <c r="AZ112" s="188">
        <f ca="1">IF(ISNUMBER($AL112),($AR112*$AL112)-$AI112-$AK112,MAX(0,IF($AL112="B",IF($AR112&lt;Setup!$C$32,($AR112*Setup!$D$32)-$AI112-$AK112,(($AR112-VLOOKUP($AR112,TaxAll2,1,1))*OFFSET(Setup!$D$32,MATCH($AR112,TaxBracket2,1),0,1,1))+OFFSET(Setup!$E$31,MATCH($AR112,TaxBracket2,1),0,1,1)-$AI112-$AK112),IF($AR112&lt;Setup!$C$21,($AR112*Setup!$D$21)-$AI112-$AK112,(($AR112-VLOOKUP($AR112,TaxAll1,1,1))*OFFSET(Setup!$D$21,MATCH($AR112,TaxBracket1,1),0,1,1))+OFFSET(Setup!$E$20,MATCH($AR112,TaxBracket1,1),0,1,1)-$AI112-$AK112))))</f>
        <v>547342</v>
      </c>
      <c r="BA112" s="188">
        <f ca="1">IF(ISNUMBER($AL112),($AX112*$AL112)-$AI112-$AK112,MAX(0,IF($AL112="B",IF($AX112&lt;Setup!$C$32,($AX112*Setup!$D$32)-$AI112-$AK112,(($AX112-VLOOKUP($AX112,TaxAll2,1,1))*OFFSET(Setup!$D$32,MATCH($AX112,TaxBracket2,1),0,1,1))+OFFSET(Setup!$E$31,MATCH($AX112,TaxBracket2,1),0,1,1)-$AI112-$AK112),IF($AX112&lt;Setup!$C$21,($AX112*Setup!$D$21)-$AI112-$AK112,(($AX112-VLOOKUP($AX112,TaxAll1,1,1))*OFFSET(Setup!$D$21,MATCH($AX112,TaxBracket1,1),0,1,1))+OFFSET(Setup!$E$20,MATCH($AX112,TaxBracket1,1),0,1,1)-$AI112-$AK112))))</f>
        <v>547342</v>
      </c>
      <c r="BB112" s="188">
        <f t="shared" ca="1" si="53"/>
        <v>0</v>
      </c>
      <c r="BC112" s="189">
        <f t="shared" ca="1" si="45"/>
        <v>1</v>
      </c>
      <c r="BD112" s="189">
        <f t="shared" ca="1" si="46"/>
        <v>0</v>
      </c>
      <c r="BE112" s="188">
        <f t="shared" ca="1" si="47"/>
        <v>1800000</v>
      </c>
    </row>
    <row r="113" spans="1:57" ht="16.149999999999999" customHeight="1" x14ac:dyDescent="0.25">
      <c r="A113" s="10" t="str" cm="1">
        <f t="array" aca="1" ref="A113" ca="1">IF(ROW($A113)-ROW($A$6)&gt;EmpCount*12,"-",TEXT($B113,"yyyy")&amp;TEXT($B113,"mm")&amp;"-"&amp;$C113)</f>
        <v>202310-EXS002</v>
      </c>
      <c r="B113" s="137" cm="1">
        <f t="array" aca="1" ref="B113" ca="1">IF(ROW($A113)-ROW($A$6)&gt;EmpCount*12,Setup!$D$12,DATE(YEAR(Setup!$F$12),MONTH(Setup!$F$12)+ROUNDDOWN((ROW($A113)-ROW($A$6)-1)/EmpCount,0),IF(Setup!$C$14&gt;DAY(DATE(YEAR(Setup!$F$12),MONTH(Setup!$F$12)+ROUNDDOWN((ROW($A113)-ROW($A$6)-1)/EmpCount,0)+1,0)),DAY(DATE(YEAR(Setup!$F$12),MONTH(Setup!$F$12)+ROUNDDOWN((ROW($A113)-ROW($A$6)-1)/EmpCount,0)+1,0)),Setup!$C$14)))</f>
        <v>45224</v>
      </c>
      <c r="C113" s="101" t="str" cm="1">
        <f t="array" aca="1" ref="C113" ca="1">IF(ROW($A113)-ROW($A$6)&gt;EmpCount*12,"-",OFFSET(Emp!$A$4,ROW($A113)-ROW($A$6)-IF(ROW($A113)-ROW($A$6)&gt;EmpCount,ROUNDDOWN((ROW($A113)-ROW($A$6)-1)/EmpCount,0)*EmpCount,0),0,1,1))</f>
        <v>EXS002</v>
      </c>
      <c r="D113" s="10" t="str">
        <f ca="1">IF(ISNA(VLOOKUP($C113,EmpAll,COLUMN(Emp!$B$4),0)),"-",VLOOKUP($C113,EmpAll,COLUMN(Emp!$B$4),0))</f>
        <v>Smith F</v>
      </c>
      <c r="E113" s="145" t="str">
        <f ca="1">IF(ISNA(VLOOKUP($C113,EmpAll,COLUMN(Emp!$C$4),0)),"-",VLOOKUP($C113,EmpAll,COLUMN(Emp!$C$4),0))</f>
        <v>M</v>
      </c>
      <c r="F113" s="101" t="str">
        <f ca="1">IF(ISNA(VLOOKUP($C113,EmpAll,COLUMN(Emp!$A$4),0)),"-",IF(AND(VLOOKUP($C113,EmpAll,COLUMN(Emp!$E$4),0)&lt;&gt;0,VLOOKUP($C113,EmpAll,COLUMN(Emp!$E$4),0)&gt;=DATE(YEAR($AC113),MONTH($AC113)+1,0)),"Inactive",IF(AND(VLOOKUP($C113,EmpAll,COLUMN(Emp!$F$4),0)&lt;&gt;0,VLOOKUP($C113,EmpAll,COLUMN(Emp!$F$4),0)&lt;=DATE(YEAR($AC113),MONTH($AC113),0)),"Terminated","Active")))</f>
        <v>Active</v>
      </c>
      <c r="G113" s="133" cm="1">
        <f t="array" aca="1" ref="G113" ca="1">IF($F113&lt;&gt;"Active",0,IF(COUNTIFS(OverEmp,$C113,OverEarn,G$2,OverDate,"&lt;"&amp;DATE(YEAR($AC113),MONTH($AC113)+1,1),OverEnd,"&gt;="&amp;DATE(YEAR($AC113),MONTH($AC113),1))&gt;0,SUMIFS(OverValue,OverEmp,$C113,OverEarn,G$2,OverDate,"&lt;"&amp;DATE(YEAR($AC113),MONTH($AC113)+1,1),OverEnd,"&gt;="&amp;DATE(YEAR($AC113),MONTH($AC113),1)),IF(AND($AC113&gt;=Setup!$E$10,SUMIFS(EmpIncrease,EmpCode,$C113)&gt;0),SUMIFS(EmpIncrease,EmpCode,$C113),SUMIFS(EmpSalary,EmpCode,$C113))))</f>
        <v>120000</v>
      </c>
      <c r="H113" s="133" cm="1">
        <f t="array" aca="1" ref="H113" ca="1">IF($F113&lt;&gt;"Active",0,IF(COUNTIFS(OverEmp,$C113,OverEarn,H$2,OverDate,"&lt;"&amp;DATE(YEAR($AC113),MONTH($AC113)+1,1),OverEnd,"&gt;="&amp;DATE(YEAR($AC113),MONTH($AC113),1))&gt;0,SUMIFS(OverValue,OverEmp,$C113,OverEarn,H$2,OverDate,"&lt;"&amp;DATE(YEAR($AC113),MONTH($AC113)+1,1),OverEnd,"&gt;="&amp;DATE(YEAR($AC113),MONTH($AC113),1)),0))</f>
        <v>0</v>
      </c>
      <c r="I113" s="133" cm="1">
        <f t="array" aca="1" ref="I113" ca="1">IF($F113&lt;&gt;"Active",0,IF(COUNTIFS(OverEmp,$C113,OverEarn,I$2,OverDate,"&lt;"&amp;DATE(YEAR($AC113),MONTH($AC113)+1,1),OverEnd,"&gt;="&amp;DATE(YEAR($AC113),MONTH($AC113),1))&gt;0,SUMIFS(OverValue,OverEmp,$C113,OverEarn,I$2,OverDate,"&lt;"&amp;DATE(YEAR($AC113),MONTH($AC113)+1,1),OverEnd,"&gt;="&amp;DATE(YEAR($AC113),MONTH($AC113),1)),IF(MONTH(B113)=Setup!$C$15,SUMIFS(EmpBonus,EmpCode,$C113),0)))</f>
        <v>0</v>
      </c>
      <c r="J113" s="133" cm="1">
        <f t="array" aca="1" ref="J113" ca="1">IF($F113&lt;&gt;"Active",0,IF(COUNTIFS(OverEmp,$C113,OverEarn,J$2,OverDate,"&lt;"&amp;DATE(YEAR($AC113),MONTH($AC113)+1,1),OverEnd,"&gt;="&amp;DATE(YEAR($AC113),MONTH($AC113),1))&gt;0,SUMIFS(OverValue,OverEmp,$C113,OverEarn,J$2,OverDate,"&lt;"&amp;DATE(YEAR($AC113),MONTH($AC113)+1,1),OverEnd,"&gt;="&amp;DATE(YEAR($AC113),MONTH($AC113),1)),0))</f>
        <v>0</v>
      </c>
      <c r="K113" s="133" cm="1">
        <f t="array" aca="1" ref="K113" ca="1">IF($F113&lt;&gt;"Active",0,IF(COUNTIFS(OverEmp,$C113,OverEarn,K$2,OverDate,"&lt;"&amp;DATE(YEAR($AC113),MONTH($AC113)+1,1),OverEnd,"&gt;="&amp;DATE(YEAR($AC113),MONTH($AC113),1))&gt;0,SUMIFS(OverValue,OverEmp,$C113,OverEarn,K$2,OverDate,"&lt;"&amp;DATE(YEAR($AC113),MONTH($AC113)+1,1),OverEnd,"&gt;="&amp;DATE(YEAR($AC113),MONTH($AC113),1)),0))</f>
        <v>0</v>
      </c>
      <c r="L113" s="185">
        <f t="shared" ca="1" si="54"/>
        <v>120000</v>
      </c>
      <c r="M113" s="182" cm="1">
        <f t="array" aca="1" ref="M113" ca="1">IF(COUNTIFS(OverEmp,$C113,OverTax,M$5,OverDate,"&lt;"&amp;DATE(YEAR($AC113),MONTH($AC113)+1,1),OverEnd,"&gt;="&amp;DATE(YEAR($AC113),MONTH($AC113),1))&gt;0,SUMIFS(OverValue,OverEmp,$C113,OverTax,M$5,OverDate,"&lt;"&amp;DATE(YEAR($AC113),MONTH($AC113)+1,1),OverEnd,"&gt;="&amp;DATE(YEAR($AC113),MONTH($AC113),1)),(($BA113/12*$AA113)+(BB113*IF(1-$BC113=0,0,BD113/(1-$BC113))))-IF($F113="Terminated",0,SUMIFS(PayTaxDeduct,PayDate,"&lt;"&amp;$AC113,PayEmp,$C113)))</f>
        <v>38498.333333333314</v>
      </c>
      <c r="N113" s="133" cm="1">
        <f t="array" aca="1" ref="N113" ca="1">IF($F113="Terminated",0,IF($AA113=0,0,IF(ISNA(MATCH(N$5,DedListItem,0)),0,IF(COUNTIFS(OverEmp,$C113,OverDeduct,N$5,OverDate,"&lt;"&amp;DATE(YEAR($AC113),MONTH($AC113)+1,1),OverEnd,"&gt;="&amp;DATE(YEAR($AC113),MONTH($AC113),1))&gt;0,SUMIFS(OverValue,OverEmp,$C113,OverDeduct,N$5,OverDate,"&lt;"&amp;DATE(YEAR($AC113),MONTH($AC113)+1,1),OverEnd,"&gt;="&amp;DATE(YEAR($AC113),MONTH($AC113),1)),IF(OR(N$2="Fixed",N$2="Not Used"),(IF(COUNTIFS(EmpNo,$C113,OFFSET(Emp!$R$4,1,MATCH(N$5,DedListItem,0)-1,EmpCount,1),"&lt;&gt;")&gt;0,VLOOKUP($C113,EmpAll,COLUMN(Emp!$R$4)+MATCH(N$5,DedListItem,0)-1,0),OFFSET(Setup!$E$73,MATCH(N$5,DedListItem,0),0,1,1))*$AA113)-SUMIFS(OFFSET(N$6,1,0,PayCount,1),PayDate,"&lt;"&amp;$AC113,PayEmp,$C113),IF(ISNA(MATCH(N$2,EarnListItem,0))=FALSE,IF(OFFSET(Setup!$G$73,MATCH(N$5,DedListItem,0),0,1,1)="Taxable",SUMPRODUCT((PayEmp=$C113)*(PayDate&lt;=$AC113)*(PayEarnCode=N$2)*(PayEarnTax)*(PayEarnValues)),SUMPRODUCT((PayEmp=$C113)*(PayDate&lt;=$AC113)*(PayEarnCode=N$2)*(PayEarnValues)))*IF(COUNTIFS(EmpNo,$C113,OFFSET(Emp!$R$4,1,MATCH(N$5,DedListItem,0)-1,EmpCount,1),"&lt;&gt;")&gt;0,VLOOKUP($C113,EmpAll,COLUMN(Emp!$R$4)+MATCH(N$5,DedListItem,0)-1,0),OFFSET(Setup!$E$73,MATCH(N$5,DedListItem,0),0,1,1)),(MIN(IF(OFFSET(Setup!$G$73,MATCH(N$5,DedListItem,0),0,1,1)="Taxable",SUMPRODUCT((PayEmp=$C113)*(PayDate&lt;=$AC113)*(ISERROR(SEARCH(PayEarnCode,N$4)))*(PayEarnTax)*(PayEarnValues)),SUMPRODUCT((PayEmp=$C113)*(PayDate&lt;=$AC113)*(ISERROR(SEARCH(PayEarnCode,N$4)))*(PayEarnValues))),IF(ISNUMBER(N$3),N$3/12*$AA113,IgnoreMin)))*IF(COUNTIFS(EmpNo,$C113,OFFSET(Emp!$R$4,1,MATCH(N$5,DedListItem,0)-1,EmpCount,1),"&lt;&gt;")&gt;0,VLOOKUP($C113,EmpAll,COLUMN(Emp!$R$4)+MATCH(N$5,DedListItem,0)-1,0),OFFSET(Setup!$E$73,MATCH(N$5,DedListItem,0),0,1,1)))-SUMIFS(OFFSET(N$6,1,0,PayCount,1),PayDate,"&lt;"&amp;$AC113,PayEmp,$C113))))))</f>
        <v>177.12000000000012</v>
      </c>
      <c r="O113" s="133" cm="1">
        <f t="array" aca="1" ref="O113" ca="1">IF($F113="Terminated",0,IF($AA113=0,0,IF(ISNA(MATCH(O$5,DedListItem,0)),0,IF(COUNTIFS(OverEmp,$C113,OverDeduct,O$5,OverDate,"&lt;"&amp;DATE(YEAR($AC113),MONTH($AC113)+1,1),OverEnd,"&gt;="&amp;DATE(YEAR($AC113),MONTH($AC113),1))&gt;0,SUMIFS(OverValue,OverEmp,$C113,OverDeduct,O$5,OverDate,"&lt;"&amp;DATE(YEAR($AC113),MONTH($AC113)+1,1),OverEnd,"&gt;="&amp;DATE(YEAR($AC113),MONTH($AC113),1)),IF(OR(O$2="Fixed",O$2="Not Used"),(IF(COUNTIFS(EmpNo,$C113,OFFSET(Emp!$R$4,1,MATCH(O$5,DedListItem,0)-1,EmpCount,1),"&lt;&gt;")&gt;0,VLOOKUP($C113,EmpAll,COLUMN(Emp!$R$4)+MATCH(O$5,DedListItem,0)-1,0),OFFSET(Setup!$E$73,MATCH(O$5,DedListItem,0),0,1,1))*$AA113)-SUMIFS(OFFSET(O$6,1,0,PayCount,1),PayDate,"&lt;"&amp;$AC113,PayEmp,$C113),IF(ISNA(MATCH(O$2,EarnListItem,0))=FALSE,IF(OFFSET(Setup!$G$73,MATCH(O$5,DedListItem,0),0,1,1)="Taxable",SUMPRODUCT((PayEmp=$C113)*(PayDate&lt;=$AC113)*(PayEarnCode=O$2)*(PayEarnTax)*(PayEarnValues)),SUMPRODUCT((PayEmp=$C113)*(PayDate&lt;=$AC113)*(PayEarnCode=O$2)*(PayEarnValues)))*IF(COUNTIFS(EmpNo,$C113,OFFSET(Emp!$R$4,1,MATCH(O$5,DedListItem,0)-1,EmpCount,1),"&lt;&gt;")&gt;0,VLOOKUP($C113,EmpAll,COLUMN(Emp!$R$4)+MATCH(O$5,DedListItem,0)-1,0),OFFSET(Setup!$E$73,MATCH(O$5,DedListItem,0),0,1,1)),(MIN(IF(OFFSET(Setup!$G$73,MATCH(O$5,DedListItem,0),0,1,1)="Taxable",SUMPRODUCT((PayEmp=$C113)*(PayDate&lt;=$AC113)*(ISERROR(SEARCH(PayEarnCode,O$4)))*(PayEarnTax)*(PayEarnValues)),SUMPRODUCT((PayEmp=$C113)*(PayDate&lt;=$AC113)*(ISERROR(SEARCH(PayEarnCode,O$4)))*(PayEarnValues))),IF(ISNUMBER(O$3),O$3/12*$AA113,IgnoreMin)))*IF(COUNTIFS(EmpNo,$C113,OFFSET(Emp!$R$4,1,MATCH(O$5,DedListItem,0)-1,EmpCount,1),"&lt;&gt;")&gt;0,VLOOKUP($C113,EmpAll,COLUMN(Emp!$R$4)+MATCH(O$5,DedListItem,0)-1,0),OFFSET(Setup!$E$73,MATCH(O$5,DedListItem,0),0,1,1)))-SUMIFS(OFFSET(O$6,1,0,PayCount,1),PayDate,"&lt;"&amp;$AC113,PayEmp,$C113))))))</f>
        <v>0</v>
      </c>
      <c r="P113" s="133" cm="1">
        <f t="array" aca="1" ref="P113" ca="1">IF($F113="Terminated",0,IF($AA113=0,0,IF(ISNA(MATCH(P$5,DedListItem,0)),0,IF(COUNTIFS(OverEmp,$C113,OverDeduct,P$5,OverDate,"&lt;"&amp;DATE(YEAR($AC113),MONTH($AC113)+1,1),OverEnd,"&gt;="&amp;DATE(YEAR($AC113),MONTH($AC113),1))&gt;0,SUMIFS(OverValue,OverEmp,$C113,OverDeduct,P$5,OverDate,"&lt;"&amp;DATE(YEAR($AC113),MONTH($AC113)+1,1),OverEnd,"&gt;="&amp;DATE(YEAR($AC113),MONTH($AC113),1)),IF(OR(P$2="Fixed",P$2="Not Used"),(IF(COUNTIFS(EmpNo,$C113,OFFSET(Emp!$R$4,1,MATCH(P$5,DedListItem,0)-1,EmpCount,1),"&lt;&gt;")&gt;0,VLOOKUP($C113,EmpAll,COLUMN(Emp!$R$4)+MATCH(P$5,DedListItem,0)-1,0),OFFSET(Setup!$E$73,MATCH(P$5,DedListItem,0),0,1,1))*$AA113)-SUMIFS(OFFSET(P$6,1,0,PayCount,1),PayDate,"&lt;"&amp;$AC113,PayEmp,$C113),IF(ISNA(MATCH(P$2,EarnListItem,0))=FALSE,IF(OFFSET(Setup!$G$73,MATCH(P$5,DedListItem,0),0,1,1)="Taxable",SUMPRODUCT((PayEmp=$C113)*(PayDate&lt;=$AC113)*(PayEarnCode=P$2)*(PayEarnTax)*(PayEarnValues)),SUMPRODUCT((PayEmp=$C113)*(PayDate&lt;=$AC113)*(PayEarnCode=P$2)*(PayEarnValues)))*IF(COUNTIFS(EmpNo,$C113,OFFSET(Emp!$R$4,1,MATCH(P$5,DedListItem,0)-1,EmpCount,1),"&lt;&gt;")&gt;0,VLOOKUP($C113,EmpAll,COLUMN(Emp!$R$4)+MATCH(P$5,DedListItem,0)-1,0),OFFSET(Setup!$E$73,MATCH(P$5,DedListItem,0),0,1,1)),(MIN(IF(OFFSET(Setup!$G$73,MATCH(P$5,DedListItem,0),0,1,1)="Taxable",SUMPRODUCT((PayEmp=$C113)*(PayDate&lt;=$AC113)*(ISERROR(SEARCH(PayEarnCode,P$4)))*(PayEarnTax)*(PayEarnValues)),SUMPRODUCT((PayEmp=$C113)*(PayDate&lt;=$AC113)*(ISERROR(SEARCH(PayEarnCode,P$4)))*(PayEarnValues))),IF(ISNUMBER(P$3),P$3/12*$AA113,IgnoreMin)))*IF(COUNTIFS(EmpNo,$C113,OFFSET(Emp!$R$4,1,MATCH(P$5,DedListItem,0)-1,EmpCount,1),"&lt;&gt;")&gt;0,VLOOKUP($C113,EmpAll,COLUMN(Emp!$R$4)+MATCH(P$5,DedListItem,0)-1,0),OFFSET(Setup!$E$73,MATCH(P$5,DedListItem,0),0,1,1)))-SUMIFS(OFFSET(P$6,1,0,PayCount,1),PayDate,"&lt;"&amp;$AC113,PayEmp,$C113))))))</f>
        <v>0</v>
      </c>
      <c r="Q113" s="133" cm="1">
        <f t="array" aca="1" ref="Q113" ca="1">IF($F113="Terminated",0,IF($AA113=0,0,IF(ISNA(MATCH(Q$5,DedListItem,0)),0,IF(COUNTIFS(OverEmp,$C113,OverDeduct,Q$5,OverDate,"&lt;"&amp;DATE(YEAR($AC113),MONTH($AC113)+1,1),OverEnd,"&gt;="&amp;DATE(YEAR($AC113),MONTH($AC113),1))&gt;0,SUMIFS(OverValue,OverEmp,$C113,OverDeduct,Q$5,OverDate,"&lt;"&amp;DATE(YEAR($AC113),MONTH($AC113)+1,1),OverEnd,"&gt;="&amp;DATE(YEAR($AC113),MONTH($AC113),1)),IF(OR(Q$2="Fixed",Q$2="Not Used"),(IF(COUNTIFS(EmpNo,$C113,OFFSET(Emp!$R$4,1,MATCH(Q$5,DedListItem,0)-1,EmpCount,1),"&lt;&gt;")&gt;0,VLOOKUP($C113,EmpAll,COLUMN(Emp!$R$4)+MATCH(Q$5,DedListItem,0)-1,0),OFFSET(Setup!$E$73,MATCH(Q$5,DedListItem,0),0,1,1))*$AA113)-SUMIFS(OFFSET(Q$6,1,0,PayCount,1),PayDate,"&lt;"&amp;$AC113,PayEmp,$C113),IF(ISNA(MATCH(Q$2,EarnListItem,0))=FALSE,IF(OFFSET(Setup!$G$73,MATCH(Q$5,DedListItem,0),0,1,1)="Taxable",SUMPRODUCT((PayEmp=$C113)*(PayDate&lt;=$AC113)*(PayEarnCode=Q$2)*(PayEarnTax)*(PayEarnValues)),SUMPRODUCT((PayEmp=$C113)*(PayDate&lt;=$AC113)*(PayEarnCode=Q$2)*(PayEarnValues)))*IF(COUNTIFS(EmpNo,$C113,OFFSET(Emp!$R$4,1,MATCH(Q$5,DedListItem,0)-1,EmpCount,1),"&lt;&gt;")&gt;0,VLOOKUP($C113,EmpAll,COLUMN(Emp!$R$4)+MATCH(Q$5,DedListItem,0)-1,0),OFFSET(Setup!$E$73,MATCH(Q$5,DedListItem,0),0,1,1)),(MIN(IF(OFFSET(Setup!$G$73,MATCH(Q$5,DedListItem,0),0,1,1)="Taxable",SUMPRODUCT((PayEmp=$C113)*(PayDate&lt;=$AC113)*(ISERROR(SEARCH(PayEarnCode,Q$4)))*(PayEarnTax)*(PayEarnValues)),SUMPRODUCT((PayEmp=$C113)*(PayDate&lt;=$AC113)*(ISERROR(SEARCH(PayEarnCode,Q$4)))*(PayEarnValues))),IF(ISNUMBER(Q$3),Q$3/12*$AA113,IgnoreMin)))*IF(COUNTIFS(EmpNo,$C113,OFFSET(Emp!$R$4,1,MATCH(Q$5,DedListItem,0)-1,EmpCount,1),"&lt;&gt;")&gt;0,VLOOKUP($C113,EmpAll,COLUMN(Emp!$R$4)+MATCH(Q$5,DedListItem,0)-1,0),OFFSET(Setup!$E$73,MATCH(Q$5,DedListItem,0),0,1,1)))-SUMIFS(OFFSET(Q$6,1,0,PayCount,1),PayDate,"&lt;"&amp;$AC113,PayEmp,$C113))))))</f>
        <v>0</v>
      </c>
      <c r="R113" s="185">
        <f t="shared" ca="1" si="55"/>
        <v>38675.453333333317</v>
      </c>
      <c r="S113" s="139">
        <f t="shared" ca="1" si="56"/>
        <v>81324.55</v>
      </c>
      <c r="T113" s="133" cm="1">
        <f t="array" aca="1" ref="T113" ca="1">IF($F113="Terminated",0,IF($AA113=0,0,IF(ISNA(MATCH(T$5,CompListItem,0)),0,IF(COUNTIFS(OverEmp,$C113,OverComp,T$5,OverDate,"&lt;"&amp;DATE(YEAR($AC113),MONTH($AC113)+1,1),OverEnd,"&gt;="&amp;DATE(YEAR($AC113),MONTH($AC113),1))&gt;0,SUMIFS(OverValue,OverEmp,$C113,OverComp,T$5,OverDate,"&lt;"&amp;DATE(YEAR($AC113),MONTH($AC113)+1,1),OverEnd,"&gt;="&amp;DATE(YEAR($AC113),MONTH($AC113),1)),IF(OR(T$2="Fixed",T$2="Not Used"),(OFFSET(Setup!$E$81,MATCH(T$5,CompListItem,0),0,1,1)*$AA113)-SUMIFS(OFFSET(T$6,1,0,PayCount,1),PayDate,"&lt;"&amp;$AC113,PayEmp,$C113),IF(ISNA(MATCH(T$2,DedListItem,0))=FALSE,(SUMPRODUCT((PayEmp=$C113)*(PayDate&lt;=$AC113)*(PayDedList=T$2)*(PayDedValues))*OFFSET(Setup!$E$81,MATCH(T$5,CompListItem,0),0,1,1))-SUMIFS(OFFSET(T$6,1,0,PayCount,1),PayDate,"&lt;"&amp;$AC113,PayEmp,$C113),(MIN(IF(OFFSET(Setup!$G$81,MATCH(T$5,CompListItem,0),0,1,1)="Taxable",SUMPRODUCT((PayEmp=$C113)*(PayDate&lt;=$AC113)*(ISERROR(SEARCH(PayEarnCode,T$4)))*(PayEarnTax)*(PayEarnValues)),SUMPRODUCT((PayEmp=$C113)*(PayDate&lt;=$AC113)*(ISERROR(SEARCH(PayEarnCode,T$4)))*(PayEarnValues))),IF(ISNUMBER(T$3),T$3/12*$AA113,IgnoreMin)))*OFFSET(Setup!$E$81,MATCH(T$5,CompListItem,0),0,1,1)-SUMIFS(OFFSET(T$6,1,0,PayCount,1),PayDate,"&lt;"&amp;$AC113,PayEmp,$C113)))))))</f>
        <v>177.12000000000012</v>
      </c>
      <c r="U113" s="133" cm="1">
        <f t="array" aca="1" ref="U113" ca="1">IF($F113="Terminated",0,IF($AA113=0,0,IF(ISNA(MATCH(U$5,CompListItem,0)),0,IF(COUNTIFS(OverEmp,$C113,OverComp,U$5,OverDate,"&lt;"&amp;DATE(YEAR($AC113),MONTH($AC113)+1,1),OverEnd,"&gt;="&amp;DATE(YEAR($AC113),MONTH($AC113),1))&gt;0,SUMIFS(OverValue,OverEmp,$C113,OverComp,U$5,OverDate,"&lt;"&amp;DATE(YEAR($AC113),MONTH($AC113)+1,1),OverEnd,"&gt;="&amp;DATE(YEAR($AC113),MONTH($AC113),1)),IF(OR(U$2="Fixed",U$2="Not Used"),(OFFSET(Setup!$E$81,MATCH(U$5,CompListItem,0),0,1,1)*$AA113)-SUMIFS(OFFSET(U$6,1,0,PayCount,1),PayDate,"&lt;"&amp;$AC113,PayEmp,$C113),IF(ISNA(MATCH(U$2,DedListItem,0))=FALSE,(SUMPRODUCT((PayEmp=$C113)*(PayDate&lt;=$AC113)*(PayDedList=U$2)*(PayDedValues))*OFFSET(Setup!$E$81,MATCH(U$5,CompListItem,0),0,1,1))-SUMIFS(OFFSET(U$6,1,0,PayCount,1),PayDate,"&lt;"&amp;$AC113,PayEmp,$C113),(MIN(IF(OFFSET(Setup!$G$81,MATCH(U$5,CompListItem,0),0,1,1)="Taxable",SUMPRODUCT((PayEmp=$C113)*(PayDate&lt;=$AC113)*(ISERROR(SEARCH(PayEarnCode,U$4)))*(PayEarnTax)*(PayEarnValues)),SUMPRODUCT((PayEmp=$C113)*(PayDate&lt;=$AC113)*(ISERROR(SEARCH(PayEarnCode,U$4)))*(PayEarnValues))),IF(ISNUMBER(U$3),U$3/12*$AA113,IgnoreMin)))*OFFSET(Setup!$E$81,MATCH(U$5,CompListItem,0),0,1,1)-SUMIFS(OFFSET(U$6,1,0,PayCount,1),PayDate,"&lt;"&amp;$AC113,PayEmp,$C113)))))))</f>
        <v>1200</v>
      </c>
      <c r="V113" s="133" cm="1">
        <f t="array" aca="1" ref="V113" ca="1">IF($F113="Terminated",0,IF($AA113=0,0,IF(ISNA(MATCH(V$5,CompListItem,0)),0,IF(COUNTIFS(OverEmp,$C113,OverComp,V$5,OverDate,"&lt;"&amp;DATE(YEAR($AC113),MONTH($AC113)+1,1),OverEnd,"&gt;="&amp;DATE(YEAR($AC113),MONTH($AC113),1))&gt;0,SUMIFS(OverValue,OverEmp,$C113,OverComp,V$5,OverDate,"&lt;"&amp;DATE(YEAR($AC113),MONTH($AC113)+1,1),OverEnd,"&gt;="&amp;DATE(YEAR($AC113),MONTH($AC113),1)),IF(OR(V$2="Fixed",V$2="Not Used"),(OFFSET(Setup!$E$81,MATCH(V$5,CompListItem,0),0,1,1)*$AA113)-SUMIFS(OFFSET(V$6,1,0,PayCount,1),PayDate,"&lt;"&amp;$AC113,PayEmp,$C113),IF(ISNA(MATCH(V$2,DedListItem,0))=FALSE,(SUMPRODUCT((PayEmp=$C113)*(PayDate&lt;=$AC113)*(PayDedList=V$2)*(PayDedValues))*OFFSET(Setup!$E$81,MATCH(V$5,CompListItem,0),0,1,1))-SUMIFS(OFFSET(V$6,1,0,PayCount,1),PayDate,"&lt;"&amp;$AC113,PayEmp,$C113),(MIN(IF(OFFSET(Setup!$G$81,MATCH(V$5,CompListItem,0),0,1,1)="Taxable",SUMPRODUCT((PayEmp=$C113)*(PayDate&lt;=$AC113)*(ISERROR(SEARCH(PayEarnCode,V$4)))*(PayEarnTax)*(PayEarnValues)),SUMPRODUCT((PayEmp=$C113)*(PayDate&lt;=$AC113)*(ISERROR(SEARCH(PayEarnCode,V$4)))*(PayEarnValues))),IF(ISNUMBER(V$3),V$3/12*$AA113,IgnoreMin)))*OFFSET(Setup!$E$81,MATCH(V$5,CompListItem,0),0,1,1)-SUMIFS(OFFSET(V$6,1,0,PayCount,1),PayDate,"&lt;"&amp;$AC113,PayEmp,$C113)))))))</f>
        <v>0</v>
      </c>
      <c r="W113" s="133" cm="1">
        <f t="array" aca="1" ref="W113" ca="1">IF($F113="Terminated",0,IF($AA113=0,0,IF(ISNA(MATCH(W$5,CompListItem,0)),0,IF(COUNTIFS(OverEmp,$C113,OverComp,W$5,OverDate,"&lt;"&amp;DATE(YEAR($AC113),MONTH($AC113)+1,1),OverEnd,"&gt;="&amp;DATE(YEAR($AC113),MONTH($AC113),1))&gt;0,SUMIFS(OverValue,OverEmp,$C113,OverComp,W$5,OverDate,"&lt;"&amp;DATE(YEAR($AC113),MONTH($AC113)+1,1),OverEnd,"&gt;="&amp;DATE(YEAR($AC113),MONTH($AC113),1)),IF(OR(W$2="Fixed",W$2="Not Used"),(OFFSET(Setup!$E$81,MATCH(W$5,CompListItem,0),0,1,1)*$AA113)-SUMIFS(OFFSET(W$6,1,0,PayCount,1),PayDate,"&lt;"&amp;$AC113,PayEmp,$C113),IF(ISNA(MATCH(W$2,DedListItem,0))=FALSE,(SUMPRODUCT((PayEmp=$C113)*(PayDate&lt;=$AC113)*(PayDedList=W$2)*(PayDedValues))*OFFSET(Setup!$E$81,MATCH(W$5,CompListItem,0),0,1,1))-SUMIFS(OFFSET(W$6,1,0,PayCount,1),PayDate,"&lt;"&amp;$AC113,PayEmp,$C113),(MIN(IF(OFFSET(Setup!$G$81,MATCH(W$5,CompListItem,0),0,1,1)="Taxable",SUMPRODUCT((PayEmp=$C113)*(PayDate&lt;=$AC113)*(ISERROR(SEARCH(PayEarnCode,W$4)))*(PayEarnTax)*(PayEarnValues)),SUMPRODUCT((PayEmp=$C113)*(PayDate&lt;=$AC113)*(ISERROR(SEARCH(PayEarnCode,W$4)))*(PayEarnValues))),IF(ISNUMBER(W$3),W$3/12*$AA113,IgnoreMin)))*OFFSET(Setup!$E$81,MATCH(W$5,CompListItem,0),0,1,1)-SUMIFS(OFFSET(W$6,1,0,PayCount,1),PayDate,"&lt;"&amp;$AC113,PayEmp,$C113)))))))</f>
        <v>0</v>
      </c>
      <c r="X113" s="185">
        <f t="shared" ca="1" si="48"/>
        <v>1377.1200000000001</v>
      </c>
      <c r="Y113" s="139">
        <f t="shared" ca="1" si="57"/>
        <v>121377.12</v>
      </c>
      <c r="Z113" s="139">
        <f t="shared" ca="1" si="49"/>
        <v>40052.57</v>
      </c>
      <c r="AA113" s="146">
        <f ca="1">IF(OR($B113&lt;=Setup!$E$12,$B113&gt;=Setup!$D$12+1),0,IF($F113&lt;&gt;"Active",0,IF($AE113="Yes",$AB113,((YEAR($AC113)*12)+MONTH($AC113))-((YEAR($AD113)*12)+MONTH($AD113)-1))))</f>
        <v>8</v>
      </c>
      <c r="AB113" s="146">
        <f ca="1">IF(OR($B113&lt;=Setup!$E$12,$B113&gt;=Setup!$D$12+1),0,((YEAR($AC113)*12)+MONTH($AC113))-((YEAR(Setup!$E$12)*12)+MONTH(Setup!$E$12)))</f>
        <v>8</v>
      </c>
      <c r="AC113" s="186">
        <f t="shared" ca="1" si="50"/>
        <v>45224</v>
      </c>
      <c r="AD113" s="144">
        <f ca="1">IF(ISNA(VLOOKUP($C113,EmpAll,COLUMN(Emp!$E$4),0)),$AC113,IF(VLOOKUP($C113,EmpAll,COLUMN(Emp!$E$4),0)&lt;=Setup!$E$12,DATE(YEAR(Setup!$E$12),MONTH(Setup!$E$12)+1,1),VLOOKUP($C113,EmpAll,COLUMN(Emp!$E$4),0)))</f>
        <v>44986</v>
      </c>
      <c r="AE113" s="144" t="str">
        <f ca="1">IF(ISNA(VLOOKUP($C113,EmpAll,COLUMN(Emp!$G$1),0)),"-",IF(VLOOKUP($C113,EmpAll,COLUMN(Emp!$G$1),0)=0,"-",VLOOKUP($C113,EmpAll,COLUMN(Emp!$G$1),0)))</f>
        <v>-</v>
      </c>
      <c r="AF113" s="145">
        <f ca="1">IF(A113=PaySlip!$G$3,1,0)</f>
        <v>0</v>
      </c>
      <c r="AG113" s="130" cm="1">
        <f t="array" aca="1" ref="AG113" ca="1">IF(COUNTIFS(OverEmp,$C113,OverMed,"MED",OverDate,"&lt;"&amp;DATE(YEAR($AC113),MONTH($AC113)+1,1),OverEnd,"&gt;="&amp;DATE(YEAR($AC113),MONTH($AC113),1))&gt;0,SUMIFS(OverValue,OverEmp,$C113,OverMed,"MED",OverDate,"&lt;"&amp;DATE(YEAR($AC113),MONTH($AC113)+1,1),OverEnd,"&gt;="&amp;DATE(YEAR($AC113),MONTH($AC113),1)),IF(ISNA(VLOOKUP($C113,EmpAll,COLUMN(Emp!$N$4),0)),0,VLOOKUP($C113,EmpAll,COLUMN(Emp!$N$4),0)))</f>
        <v>3</v>
      </c>
      <c r="AH113" s="146">
        <f ca="1">VLOOKUP($AG113,MedList,COLUMN(Setup!$C$49),1)</f>
        <v>974</v>
      </c>
      <c r="AI113" s="146">
        <f t="shared" ca="1" si="40"/>
        <v>10704</v>
      </c>
      <c r="AJ113" s="101" t="str">
        <f ca="1">IF(ISNA(VLOOKUP($C113,EmpAll,COLUMN(Emp!$L$4),0)),"None!",VLOOKUP($C113,EmpAll,COLUMN(Emp!$L$4),0))</f>
        <v>A</v>
      </c>
      <c r="AK113" s="147">
        <f t="shared" ca="1" si="51"/>
        <v>17235</v>
      </c>
      <c r="AL113" s="101" t="str">
        <f ca="1">IF(ISNA(VLOOKUP($C113,Employees[],COLUMN(Emp!$M$4),0))=TRUE,"Error!",IF(VLOOKUP($C113,Employees[],COLUMN(Emp!$M$4),0)=0,"Yes",VLOOKUP($C113,Employees[],COLUMN(Emp!$M$4),0)))</f>
        <v>A</v>
      </c>
      <c r="AM113" s="148">
        <f t="shared" ca="1" si="41"/>
        <v>1440000</v>
      </c>
      <c r="AN113" s="148" cm="1">
        <f t="array" aca="1" ref="AN113" ca="1">-IF($F113="Terminated",0,IF($AA113=0,0,IF(ISNA(MATCH(AN$5,PayDedList,0)),0,MIN(IF(COUNTIFS(OverEmp,$C113,OverDeduct,AN$5,OverDate,"&lt;"&amp;DATE(YEAR($AC113),MONTH($AC113)+1,1),OverEnd,"&gt;="&amp;DATE(YEAR($AC113),MONTH($AC113),1))&gt;0,SUMPRODUCT((PayEmp=$C113)*(PayDate&lt;=$AC113)*(OFFSET($N$6,1,MATCH(AN$5,PayDedList,0)-1,PayCount,1)))/$AA113*12*AN$3,IF(OR(AN$1="Fixed",AN$1="Not Used"),SUMPRODUCT((PayEmp=$C113)*(PayDate&lt;=$AC113)*(OFFSET($N$6,1,MATCH(AN$5,PayDedList,0)-1,PayCount,1)))/$AA113*12*AN$3,IF(ISNA(MATCH(AN$1,EarnListItem,0))=FALSE,SUMPRODUCT((PayEmp=$C113)*(PayDate&lt;=$AC113)*(OFFSET($N$6,1,MATCH(AN$5,PayDedList,0)-1,PayCount,1)))/$AA113*12*AN$3,(MIN(((SUMPRODUCT((PayEmp=$C113)*(PayDate&lt;=$AC113)*(ISERROR(SEARCH(PayEarnCode,AN$2)))*(PayEarnType="Monthly")*(PayEarnValues))/$AA113*12)+(SUMPRODUCT((PayEmp=$C113)*(PayDate&lt;=$AC113)*(ISERROR(SEARCH(PayEarnCode,AN$2)))*(PayEarnType="Quarterly")*(PayEarnValues))/MAX(1,ROUNDDOWN($AB113/3,0))*4)+(SUMPRODUCT((PayEmp=$C113)*(PayDate&lt;=$AC113)*(ISERROR(SEARCH(PayEarnCode,AN$2)))*(PayEarnType="Bi-Annual")*(PayEarnValues))/MAX(1,ROUNDDOWN($AB113/6,0))*2)+(SUMPRODUCT((PayEmp=$C113)*(PayDate&lt;=$AC113)*(ISERROR(SEARCH(PayEarnCode,AN$2)))*(PayEarnType="Annual")*(PayEarnValues)))),IF(ISNUMBER(OFFSET($N$3,0,MATCH(AN$5,PayDedList,0)-1,1,1)),OFFSET($N$3,0,MATCH(AN$5,PayDedList,0)-1,1,1),IgnoreMin)))*IF(COUNTIFS(EmpNo,$C113,OFFSET(Emp!$R$4,1,MATCH(AN$5,DedListItem,0)-1,EmpCount,1),"&lt;&gt;")&gt;0,VLOOKUP($C113,EmpAll,COLUMN(Emp!$R$4)+MATCH(AN$5,DedListItem,0)-1,0),OFFSET(Setup!$E$73,MATCH(AN$5,DedListItem,0),0,1,1))*AN$3))),IF(ISNUMBER(AN$4),AN$4,IgnoreMin)))))</f>
        <v>0</v>
      </c>
      <c r="AO113" s="148" cm="1">
        <f t="array" aca="1" ref="AO113" ca="1">-IF($F113="Terminated",0,IF($AA113=0,0,IF(ISNA(MATCH(AO$5,PayDedList,0)),0,MIN(IF(COUNTIFS(OverEmp,$C113,OverDeduct,AO$5,OverDate,"&lt;"&amp;DATE(YEAR($AC113),MONTH($AC113)+1,1),OverEnd,"&gt;="&amp;DATE(YEAR($AC113),MONTH($AC113),1))&gt;0,SUMPRODUCT((PayEmp=$C113)*(PayDate&lt;=$AC113)*(OFFSET($N$6,1,MATCH(AO$5,PayDedList,0)-1,PayCount,1)))/$AA113*12*AO$3,IF(OR(AO$1="Fixed",AO$1="Not Used"),SUMPRODUCT((PayEmp=$C113)*(PayDate&lt;=$AC113)*(OFFSET($N$6,1,MATCH(AO$5,PayDedList,0)-1,PayCount,1)))/$AA113*12*AO$3,IF(ISNA(MATCH(AO$1,EarnListItem,0))=FALSE,SUMPRODUCT((PayEmp=$C113)*(PayDate&lt;=$AC113)*(OFFSET($N$6,1,MATCH(AO$5,PayDedList,0)-1,PayCount,1)))/$AA113*12*AO$3,(MIN(((SUMPRODUCT((PayEmp=$C113)*(PayDate&lt;=$AC113)*(ISERROR(SEARCH(PayEarnCode,AO$2)))*(PayEarnType="Monthly")*(PayEarnValues))/$AA113*12)+(SUMPRODUCT((PayEmp=$C113)*(PayDate&lt;=$AC113)*(ISERROR(SEARCH(PayEarnCode,AO$2)))*(PayEarnType="Quarterly")*(PayEarnValues))/MAX(1,ROUNDDOWN($AB113/3,0))*4)+(SUMPRODUCT((PayEmp=$C113)*(PayDate&lt;=$AC113)*(ISERROR(SEARCH(PayEarnCode,AO$2)))*(PayEarnType="Bi-Annual")*(PayEarnValues))/MAX(1,ROUNDDOWN($AB113/6,0))*2)+(SUMPRODUCT((PayEmp=$C113)*(PayDate&lt;=$AC113)*(ISERROR(SEARCH(PayEarnCode,AO$2)))*(PayEarnType="Annual")*(PayEarnValues)))),IF(ISNUMBER(OFFSET($N$3,0,MATCH(AO$5,PayDedList,0)-1,1,1)),OFFSET($N$3,0,MATCH(AO$5,PayDedList,0)-1,1,1),IgnoreMin)))*IF(COUNTIFS(EmpNo,$C113,OFFSET(Emp!$R$4,1,MATCH(AO$5,DedListItem,0)-1,EmpCount,1),"&lt;&gt;")&gt;0,VLOOKUP($C113,EmpAll,COLUMN(Emp!$R$4)+MATCH(AO$5,DedListItem,0)-1,0),OFFSET(Setup!$E$73,MATCH(AO$5,DedListItem,0),0,1,1))*AO$3))),IF(ISNUMBER(AO$4),AO$4,IgnoreMin)))))</f>
        <v>0</v>
      </c>
      <c r="AP113" s="148" cm="1">
        <f t="array" aca="1" ref="AP113" ca="1">-IF($F113="Terminated",0,IF($AA113=0,0,IF(ISNA(MATCH(AP$5,PayDedList,0)),0,MIN(IF(COUNTIFS(OverEmp,$C113,OverDeduct,AP$5,OverDate,"&lt;"&amp;DATE(YEAR($AC113),MONTH($AC113)+1,1),OverEnd,"&gt;="&amp;DATE(YEAR($AC113),MONTH($AC113),1))&gt;0,SUMPRODUCT((PayEmp=$C113)*(PayDate&lt;=$AC113)*(OFFSET($N$6,1,MATCH(AP$5,PayDedList,0)-1,PayCount,1)))/$AA113*12*AP$3,IF(OR(AP$1="Fixed",AP$1="Not Used"),SUMPRODUCT((PayEmp=$C113)*(PayDate&lt;=$AC113)*(OFFSET($N$6,1,MATCH(AP$5,PayDedList,0)-1,PayCount,1)))/$AA113*12*AP$3,IF(ISNA(MATCH(AP$1,EarnListItem,0))=FALSE,SUMPRODUCT((PayEmp=$C113)*(PayDate&lt;=$AC113)*(OFFSET($N$6,1,MATCH(AP$5,PayDedList,0)-1,PayCount,1)))/$AA113*12*AP$3,(MIN(((SUMPRODUCT((PayEmp=$C113)*(PayDate&lt;=$AC113)*(ISERROR(SEARCH(PayEarnCode,AP$2)))*(PayEarnType="Monthly")*(PayEarnValues))/$AA113*12)+(SUMPRODUCT((PayEmp=$C113)*(PayDate&lt;=$AC113)*(ISERROR(SEARCH(PayEarnCode,AP$2)))*(PayEarnType="Quarterly")*(PayEarnValues))/MAX(1,ROUNDDOWN($AB113/3,0))*4)+(SUMPRODUCT((PayEmp=$C113)*(PayDate&lt;=$AC113)*(ISERROR(SEARCH(PayEarnCode,AP$2)))*(PayEarnType="Bi-Annual")*(PayEarnValues))/MAX(1,ROUNDDOWN($AB113/6,0))*2)+(SUMPRODUCT((PayEmp=$C113)*(PayDate&lt;=$AC113)*(ISERROR(SEARCH(PayEarnCode,AP$2)))*(PayEarnType="Annual")*(PayEarnValues)))),IF(ISNUMBER(OFFSET($N$3,0,MATCH(AP$5,PayDedList,0)-1,1,1)),OFFSET($N$3,0,MATCH(AP$5,PayDedList,0)-1,1,1),IgnoreMin)))*IF(COUNTIFS(EmpNo,$C113,OFFSET(Emp!$R$4,1,MATCH(AP$5,DedListItem,0)-1,EmpCount,1),"&lt;&gt;")&gt;0,VLOOKUP($C113,EmpAll,COLUMN(Emp!$R$4)+MATCH(AP$5,DedListItem,0)-1,0),OFFSET(Setup!$E$73,MATCH(AP$5,DedListItem,0),0,1,1))*AP$3))),IF(ISNUMBER(AP$4),AP$4,IgnoreMin)))))</f>
        <v>0</v>
      </c>
      <c r="AQ113" s="148" cm="1">
        <f t="array" aca="1" ref="AQ113" ca="1">-IF($F113="Terminated",0,IF($AA113=0,0,IF(ISNA(MATCH(AQ$5,PayDedList,0)),0,MIN(IF(COUNTIFS(OverEmp,$C113,OverDeduct,AQ$5,OverDate,"&lt;"&amp;DATE(YEAR($AC113),MONTH($AC113)+1,1),OverEnd,"&gt;="&amp;DATE(YEAR($AC113),MONTH($AC113),1))&gt;0,SUMPRODUCT((PayEmp=$C113)*(PayDate&lt;=$AC113)*(OFFSET($N$6,1,MATCH(AQ$5,PayDedList,0)-1,PayCount,1)))/$AA113*12*AQ$3,IF(OR(AQ$1="Fixed",AQ$1="Not Used"),SUMPRODUCT((PayEmp=$C113)*(PayDate&lt;=$AC113)*(OFFSET($N$6,1,MATCH(AQ$5,PayDedList,0)-1,PayCount,1)))/$AA113*12*AQ$3,IF(ISNA(MATCH(AQ$1,EarnListItem,0))=FALSE,SUMPRODUCT((PayEmp=$C113)*(PayDate&lt;=$AC113)*(OFFSET($N$6,1,MATCH(AQ$5,PayDedList,0)-1,PayCount,1)))/$AA113*12*AQ$3,(MIN(((SUMPRODUCT((PayEmp=$C113)*(PayDate&lt;=$AC113)*(ISERROR(SEARCH(PayEarnCode,AQ$2)))*(PayEarnType="Monthly")*(PayEarnValues))/$AA113*12)+(SUMPRODUCT((PayEmp=$C113)*(PayDate&lt;=$AC113)*(ISERROR(SEARCH(PayEarnCode,AQ$2)))*(PayEarnType="Quarterly")*(PayEarnValues))/MAX(1,ROUNDDOWN($AB113/3,0))*4)+(SUMPRODUCT((PayEmp=$C113)*(PayDate&lt;=$AC113)*(ISERROR(SEARCH(PayEarnCode,AQ$2)))*(PayEarnType="Bi-Annual")*(PayEarnValues))/MAX(1,ROUNDDOWN($AB113/6,0))*2)+(SUMPRODUCT((PayEmp=$C113)*(PayDate&lt;=$AC113)*(ISERROR(SEARCH(PayEarnCode,AQ$2)))*(PayEarnType="Annual")*(PayEarnValues)))),IF(ISNUMBER(OFFSET($N$3,0,MATCH(AQ$5,PayDedList,0)-1,1,1)),OFFSET($N$3,0,MATCH(AQ$5,PayDedList,0)-1,1,1),IgnoreMin)))*IF(COUNTIFS(EmpNo,$C113,OFFSET(Emp!$R$4,1,MATCH(AQ$5,DedListItem,0)-1,EmpCount,1),"&lt;&gt;")&gt;0,VLOOKUP($C113,EmpAll,COLUMN(Emp!$R$4)+MATCH(AQ$5,DedListItem,0)-1,0),OFFSET(Setup!$E$73,MATCH(AQ$5,DedListItem,0),0,1,1))*AQ$3))),IF(ISNUMBER(AQ$4),AQ$4,IgnoreMin)))))</f>
        <v>0</v>
      </c>
      <c r="AR113" s="148">
        <f t="shared" ca="1" si="52"/>
        <v>1440000</v>
      </c>
      <c r="AS113" s="148">
        <f t="shared" ca="1" si="42"/>
        <v>1440000</v>
      </c>
      <c r="AT113" s="148" cm="1">
        <f t="array" aca="1" ref="AT113" ca="1">-IF($F113="Terminated",0,IF($AA113=0,0,IF(ISNA(MATCH(AT$5,PayDedList,0)),0,MIN(IF(COUNTIFS(OverEmp,$C113,OverDeduct,AT$5,OverDate,"&lt;"&amp;DATE(YEAR($AC113),MONTH($AC113)+1,1),OverEnd,"&gt;="&amp;DATE(YEAR($AC113),MONTH($AC113),1))&gt;0,SUMPRODUCT((PayEmp=$C113)*(PayDate&lt;=$AC113)*(OFFSET($N$6,1,MATCH(AT$5,PayDedList,0)-1,PayCount,1)))/$AA113*12*AT$3,IF(OR(AT$1="Fixed",AT$1="Not Used"),SUMPRODUCT((PayEmp=$C113)*(PayDate&lt;=$AC113)*(OFFSET($N$6,1,MATCH(AT$5,PayDedList,0)-1,PayCount,1)))/$AA113*12*AT$3,IF(ISNA(MATCH(OFFSET($N$2,0,MATCH(AT$5,PayDedList,0)-1,1,1),EarnListItem,0))=FALSE,SUMPRODUCT((PayEmp=$C113)*(PayDate&lt;=$AC113)*(OFFSET($N$6,1,MATCH(AT$5,PayDedList,0)-1,PayCount,1)))/$AA113*12*AT$3,(MIN(SUMPRODUCT((PayEmp=$C113)*(PayDate&lt;=$AC113)*(ISERROR(SEARCH(PayEarnCode,AT$2)))*(PayEarnType="Monthly")*(PayEarnValues))/$AA113*12,IF(ISNUMBER(OFFSET($N$3,0,MATCH(AT$5,PayDedList,0)-1,1,1)),OFFSET($N$3,0,MATCH(AT$5,PayDedList,0)-1,1,1),IgnoreMin)))*IF(COUNTIFS(EmpNo,$C113,OFFSET(Emp!$R$4,1,MATCH(AT$5,DedListItem,0)-1,EmpCount,1),"&lt;&gt;")&gt;0,VLOOKUP($C113,EmpAll,COLUMN(Emp!$R$4)+MATCH(AT$5,DedListItem,0)-1,0),OFFSET(Setup!$E$73,MATCH(AT$5,DedListItem,0),0,1,1))*AT$3))),IF(ISNUMBER(AT$4),AT$4,IgnoreMin)))))</f>
        <v>0</v>
      </c>
      <c r="AU113" s="148" cm="1">
        <f t="array" aca="1" ref="AU113" ca="1">-IF($F113="Terminated",0,IF($AA113=0,0,IF(ISNA(MATCH(AU$5,PayDedList,0)),0,MIN(IF(COUNTIFS(OverEmp,$C113,OverDeduct,AU$5,OverDate,"&lt;"&amp;DATE(YEAR($AC113),MONTH($AC113)+1,1),OverEnd,"&gt;="&amp;DATE(YEAR($AC113),MONTH($AC113),1))&gt;0,SUMPRODUCT((PayEmp=$C113)*(PayDate&lt;=$AC113)*(OFFSET($N$6,1,MATCH(AU$5,PayDedList,0)-1,PayCount,1)))/$AA113*12*AU$3,IF(OR(AU$1="Fixed",AU$1="Not Used"),SUMPRODUCT((PayEmp=$C113)*(PayDate&lt;=$AC113)*(OFFSET($N$6,1,MATCH(AU$5,PayDedList,0)-1,PayCount,1)))/$AA113*12*AU$3,IF(ISNA(MATCH(OFFSET($N$2,0,MATCH(AU$5,PayDedList,0)-1,1,1),EarnListItem,0))=FALSE,SUMPRODUCT((PayEmp=$C113)*(PayDate&lt;=$AC113)*(OFFSET($N$6,1,MATCH(AU$5,PayDedList,0)-1,PayCount,1)))/$AA113*12*AU$3,(MIN(SUMPRODUCT((PayEmp=$C113)*(PayDate&lt;=$AC113)*(ISERROR(SEARCH(PayEarnCode,AU$2)))*(PayEarnType="Monthly")*(PayEarnValues))/$AA113*12,IF(ISNUMBER(OFFSET($N$3,0,MATCH(AU$5,PayDedList,0)-1,1,1)),OFFSET($N$3,0,MATCH(AU$5,PayDedList,0)-1,1,1),IgnoreMin)))*IF(COUNTIFS(EmpNo,$C113,OFFSET(Emp!$R$4,1,MATCH(AU$5,DedListItem,0)-1,EmpCount,1),"&lt;&gt;")&gt;0,VLOOKUP($C113,EmpAll,COLUMN(Emp!$R$4)+MATCH(AU$5,DedListItem,0)-1,0),OFFSET(Setup!$E$73,MATCH(AU$5,DedListItem,0),0,1,1))*AU$3))),IF(ISNUMBER(AU$4),AU$4,IgnoreMin)))))</f>
        <v>0</v>
      </c>
      <c r="AV113" s="148" cm="1">
        <f t="array" aca="1" ref="AV113" ca="1">-IF($F113="Terminated",0,IF($AA113=0,0,IF(ISNA(MATCH(AV$5,PayDedList,0)),0,MIN(IF(COUNTIFS(OverEmp,$C113,OverDeduct,AV$5,OverDate,"&lt;"&amp;DATE(YEAR($AC113),MONTH($AC113)+1,1),OverEnd,"&gt;="&amp;DATE(YEAR($AC113),MONTH($AC113),1))&gt;0,SUMPRODUCT((PayEmp=$C113)*(PayDate&lt;=$AC113)*(OFFSET($N$6,1,MATCH(AV$5,PayDedList,0)-1,PayCount,1)))/$AA113*12*AV$3,IF(OR(AV$1="Fixed",AV$1="Not Used"),SUMPRODUCT((PayEmp=$C113)*(PayDate&lt;=$AC113)*(OFFSET($N$6,1,MATCH(AV$5,PayDedList,0)-1,PayCount,1)))/$AA113*12*AV$3,IF(ISNA(MATCH(OFFSET($N$2,0,MATCH(AV$5,PayDedList,0)-1,1,1),EarnListItem,0))=FALSE,SUMPRODUCT((PayEmp=$C113)*(PayDate&lt;=$AC113)*(OFFSET($N$6,1,MATCH(AV$5,PayDedList,0)-1,PayCount,1)))/$AA113*12*AV$3,(MIN(SUMPRODUCT((PayEmp=$C113)*(PayDate&lt;=$AC113)*(ISERROR(SEARCH(PayEarnCode,AV$2)))*(PayEarnType="Monthly")*(PayEarnValues))/$AA113*12,IF(ISNUMBER(OFFSET($N$3,0,MATCH(AV$5,PayDedList,0)-1,1,1)),OFFSET($N$3,0,MATCH(AV$5,PayDedList,0)-1,1,1),IgnoreMin)))*IF(COUNTIFS(EmpNo,$C113,OFFSET(Emp!$R$4,1,MATCH(AV$5,DedListItem,0)-1,EmpCount,1),"&lt;&gt;")&gt;0,VLOOKUP($C113,EmpAll,COLUMN(Emp!$R$4)+MATCH(AV$5,DedListItem,0)-1,0),OFFSET(Setup!$E$73,MATCH(AV$5,DedListItem,0),0,1,1))*AV$3))),IF(ISNUMBER(AV$4),AV$4,IgnoreMin)))))</f>
        <v>0</v>
      </c>
      <c r="AW113" s="148" cm="1">
        <f t="array" aca="1" ref="AW113" ca="1">-IF($F113="Terminated",0,IF($AA113=0,0,IF(ISNA(MATCH(AW$5,PayDedList,0)),0,MIN(IF(COUNTIFS(OverEmp,$C113,OverDeduct,AW$5,OverDate,"&lt;"&amp;DATE(YEAR($AC113),MONTH($AC113)+1,1),OverEnd,"&gt;="&amp;DATE(YEAR($AC113),MONTH($AC113),1))&gt;0,SUMPRODUCT((PayEmp=$C113)*(PayDate&lt;=$AC113)*(OFFSET($N$6,1,MATCH(AW$5,PayDedList,0)-1,PayCount,1)))/$AA113*12*AW$3,IF(OR(AW$1="Fixed",AW$1="Not Used"),SUMPRODUCT((PayEmp=$C113)*(PayDate&lt;=$AC113)*(OFFSET($N$6,1,MATCH(AW$5,PayDedList,0)-1,PayCount,1)))/$AA113*12*AW$3,IF(ISNA(MATCH(OFFSET($N$2,0,MATCH(AW$5,PayDedList,0)-1,1,1),EarnListItem,0))=FALSE,SUMPRODUCT((PayEmp=$C113)*(PayDate&lt;=$AC113)*(OFFSET($N$6,1,MATCH(AW$5,PayDedList,0)-1,PayCount,1)))/$AA113*12*AW$3,(MIN(SUMPRODUCT((PayEmp=$C113)*(PayDate&lt;=$AC113)*(ISERROR(SEARCH(PayEarnCode,AW$2)))*(PayEarnType="Monthly")*(PayEarnValues))/$AA113*12,IF(ISNUMBER(OFFSET($N$3,0,MATCH(AW$5,PayDedList,0)-1,1,1)),OFFSET($N$3,0,MATCH(AW$5,PayDedList,0)-1,1,1),IgnoreMin)))*IF(COUNTIFS(EmpNo,$C113,OFFSET(Emp!$R$4,1,MATCH(AW$5,DedListItem,0)-1,EmpCount,1),"&lt;&gt;")&gt;0,VLOOKUP($C113,EmpAll,COLUMN(Emp!$R$4)+MATCH(AW$5,DedListItem,0)-1,0),OFFSET(Setup!$E$73,MATCH(AW$5,DedListItem,0),0,1,1))*AW$3))),IF(ISNUMBER(AW$4),AW$4,IgnoreMin)))))</f>
        <v>0</v>
      </c>
      <c r="AX113" s="148">
        <f t="shared" ca="1" si="58"/>
        <v>1440000</v>
      </c>
      <c r="AY113" s="148">
        <f t="shared" ca="1" si="59"/>
        <v>0</v>
      </c>
      <c r="AZ113" s="148">
        <f ca="1">IF(ISNUMBER($AL113),($AR113*$AL113)-$AI113-$AK113,MAX(0,IF($AL113="B",IF($AR113&lt;Setup!$C$32,($AR113*Setup!$D$32)-$AI113-$AK113,(($AR113-VLOOKUP($AR113,TaxAll2,1,1))*OFFSET(Setup!$D$32,MATCH($AR113,TaxBracket2,1),0,1,1))+OFFSET(Setup!$E$31,MATCH($AR113,TaxBracket2,1),0,1,1)-$AI113-$AK113),IF($AR113&lt;Setup!$C$21,($AR113*Setup!$D$21)-$AI113-$AK113,(($AR113-VLOOKUP($AR113,TaxAll1,1,1))*OFFSET(Setup!$D$21,MATCH($AR113,TaxBracket1,1),0,1,1))+OFFSET(Setup!$E$20,MATCH($AR113,TaxBracket1,1),0,1,1)-$AI113-$AK113))))</f>
        <v>461980</v>
      </c>
      <c r="BA113" s="148">
        <f ca="1">IF(ISNUMBER($AL113),($AX113*$AL113)-$AI113-$AK113,MAX(0,IF($AL113="B",IF($AX113&lt;Setup!$C$32,($AX113*Setup!$D$32)-$AI113-$AK113,(($AX113-VLOOKUP($AX113,TaxAll2,1,1))*OFFSET(Setup!$D$32,MATCH($AX113,TaxBracket2,1),0,1,1))+OFFSET(Setup!$E$31,MATCH($AX113,TaxBracket2,1),0,1,1)-$AI113-$AK113),IF($AX113&lt;Setup!$C$21,($AX113*Setup!$D$21)-$AI113-$AK113,(($AX113-VLOOKUP($AX113,TaxAll1,1,1))*OFFSET(Setup!$D$21,MATCH($AX113,TaxBracket1,1),0,1,1))+OFFSET(Setup!$E$20,MATCH($AX113,TaxBracket1,1),0,1,1)-$AI113-$AK113))))</f>
        <v>461980</v>
      </c>
      <c r="BB113" s="148">
        <f t="shared" ca="1" si="53"/>
        <v>0</v>
      </c>
      <c r="BC113" s="150">
        <f t="shared" ca="1" si="45"/>
        <v>1</v>
      </c>
      <c r="BD113" s="150">
        <f t="shared" ca="1" si="46"/>
        <v>0</v>
      </c>
      <c r="BE113" s="148">
        <f t="shared" ca="1" si="47"/>
        <v>1440000</v>
      </c>
    </row>
    <row r="114" spans="1:57" ht="16.149999999999999" customHeight="1" x14ac:dyDescent="0.25">
      <c r="A114" s="10" t="str" cm="1">
        <f t="array" aca="1" ref="A114" ca="1">IF(ROW($A114)-ROW($A$6)&gt;EmpCount*12,"-",TEXT($B114,"yyyy")&amp;TEXT($B114,"mm")&amp;"-"&amp;$C114)</f>
        <v>202310-EXS003</v>
      </c>
      <c r="B114" s="137" cm="1">
        <f t="array" aca="1" ref="B114" ca="1">IF(ROW($A114)-ROW($A$6)&gt;EmpCount*12,Setup!$D$12,DATE(YEAR(Setup!$F$12),MONTH(Setup!$F$12)+ROUNDDOWN((ROW($A114)-ROW($A$6)-1)/EmpCount,0),IF(Setup!$C$14&gt;DAY(DATE(YEAR(Setup!$F$12),MONTH(Setup!$F$12)+ROUNDDOWN((ROW($A114)-ROW($A$6)-1)/EmpCount,0)+1,0)),DAY(DATE(YEAR(Setup!$F$12),MONTH(Setup!$F$12)+ROUNDDOWN((ROW($A114)-ROW($A$6)-1)/EmpCount,0)+1,0)),Setup!$C$14)))</f>
        <v>45224</v>
      </c>
      <c r="C114" s="101" t="str" cm="1">
        <f t="array" aca="1" ref="C114" ca="1">IF(ROW($A114)-ROW($A$6)&gt;EmpCount*12,"-",OFFSET(Emp!$A$4,ROW($A114)-ROW($A$6)-IF(ROW($A114)-ROW($A$6)&gt;EmpCount,ROUNDDOWN((ROW($A114)-ROW($A$6)-1)/EmpCount,0)*EmpCount,0),0,1,1))</f>
        <v>EXS003</v>
      </c>
      <c r="D114" s="10" t="str">
        <f ca="1">IF(ISNA(VLOOKUP($C114,EmpAll,COLUMN(Emp!$B$4),0)),"-",VLOOKUP($C114,EmpAll,COLUMN(Emp!$B$4),0))</f>
        <v>Wilson PG</v>
      </c>
      <c r="E114" s="145" t="str">
        <f ca="1">IF(ISNA(VLOOKUP($C114,EmpAll,COLUMN(Emp!$C$4),0)),"-",VLOOKUP($C114,EmpAll,COLUMN(Emp!$C$4),0))</f>
        <v>S</v>
      </c>
      <c r="F114" s="101" t="str">
        <f ca="1">IF(ISNA(VLOOKUP($C114,EmpAll,COLUMN(Emp!$A$4),0)),"-",IF(AND(VLOOKUP($C114,EmpAll,COLUMN(Emp!$E$4),0)&lt;&gt;0,VLOOKUP($C114,EmpAll,COLUMN(Emp!$E$4),0)&gt;=DATE(YEAR($AC114),MONTH($AC114)+1,0)),"Inactive",IF(AND(VLOOKUP($C114,EmpAll,COLUMN(Emp!$F$4),0)&lt;&gt;0,VLOOKUP($C114,EmpAll,COLUMN(Emp!$F$4),0)&lt;=DATE(YEAR($AC114),MONTH($AC114),0)),"Terminated","Active")))</f>
        <v>Active</v>
      </c>
      <c r="G114" s="133" cm="1">
        <f t="array" aca="1" ref="G114" ca="1">IF($F114&lt;&gt;"Active",0,IF(COUNTIFS(OverEmp,$C114,OverEarn,G$2,OverDate,"&lt;"&amp;DATE(YEAR($AC114),MONTH($AC114)+1,1),OverEnd,"&gt;="&amp;DATE(YEAR($AC114),MONTH($AC114),1))&gt;0,SUMIFS(OverValue,OverEmp,$C114,OverEarn,G$2,OverDate,"&lt;"&amp;DATE(YEAR($AC114),MONTH($AC114)+1,1),OverEnd,"&gt;="&amp;DATE(YEAR($AC114),MONTH($AC114),1)),IF(AND($AC114&gt;=Setup!$E$10,SUMIFS(EmpIncrease,EmpCode,$C114)&gt;0),SUMIFS(EmpIncrease,EmpCode,$C114),SUMIFS(EmpSalary,EmpCode,$C114))))</f>
        <v>15000</v>
      </c>
      <c r="H114" s="133" cm="1">
        <f t="array" aca="1" ref="H114" ca="1">IF($F114&lt;&gt;"Active",0,IF(COUNTIFS(OverEmp,$C114,OverEarn,H$2,OverDate,"&lt;"&amp;DATE(YEAR($AC114),MONTH($AC114)+1,1),OverEnd,"&gt;="&amp;DATE(YEAR($AC114),MONTH($AC114),1))&gt;0,SUMIFS(OverValue,OverEmp,$C114,OverEarn,H$2,OverDate,"&lt;"&amp;DATE(YEAR($AC114),MONTH($AC114)+1,1),OverEnd,"&gt;="&amp;DATE(YEAR($AC114),MONTH($AC114),1)),0))</f>
        <v>0</v>
      </c>
      <c r="I114" s="133" cm="1">
        <f t="array" aca="1" ref="I114" ca="1">IF($F114&lt;&gt;"Active",0,IF(COUNTIFS(OverEmp,$C114,OverEarn,I$2,OverDate,"&lt;"&amp;DATE(YEAR($AC114),MONTH($AC114)+1,1),OverEnd,"&gt;="&amp;DATE(YEAR($AC114),MONTH($AC114),1))&gt;0,SUMIFS(OverValue,OverEmp,$C114,OverEarn,I$2,OverDate,"&lt;"&amp;DATE(YEAR($AC114),MONTH($AC114)+1,1),OverEnd,"&gt;="&amp;DATE(YEAR($AC114),MONTH($AC114),1)),IF(MONTH(B114)=Setup!$C$15,SUMIFS(EmpBonus,EmpCode,$C114),0)))</f>
        <v>0</v>
      </c>
      <c r="J114" s="133" cm="1">
        <f t="array" aca="1" ref="J114" ca="1">IF($F114&lt;&gt;"Active",0,IF(COUNTIFS(OverEmp,$C114,OverEarn,J$2,OverDate,"&lt;"&amp;DATE(YEAR($AC114),MONTH($AC114)+1,1),OverEnd,"&gt;="&amp;DATE(YEAR($AC114),MONTH($AC114),1))&gt;0,SUMIFS(OverValue,OverEmp,$C114,OverEarn,J$2,OverDate,"&lt;"&amp;DATE(YEAR($AC114),MONTH($AC114)+1,1),OverEnd,"&gt;="&amp;DATE(YEAR($AC114),MONTH($AC114),1)),0))</f>
        <v>0</v>
      </c>
      <c r="K114" s="133" cm="1">
        <f t="array" aca="1" ref="K114" ca="1">IF($F114&lt;&gt;"Active",0,IF(COUNTIFS(OverEmp,$C114,OverEarn,K$2,OverDate,"&lt;"&amp;DATE(YEAR($AC114),MONTH($AC114)+1,1),OverEnd,"&gt;="&amp;DATE(YEAR($AC114),MONTH($AC114),1))&gt;0,SUMIFS(OverValue,OverEmp,$C114,OverEarn,K$2,OverDate,"&lt;"&amp;DATE(YEAR($AC114),MONTH($AC114)+1,1),OverEnd,"&gt;="&amp;DATE(YEAR($AC114),MONTH($AC114),1)),0))</f>
        <v>0</v>
      </c>
      <c r="L114" s="185">
        <f t="shared" ca="1" si="54"/>
        <v>15000</v>
      </c>
      <c r="M114" s="182" cm="1">
        <f t="array" aca="1" ref="M114" ca="1">IF(COUNTIFS(OverEmp,$C114,OverTax,M$5,OverDate,"&lt;"&amp;DATE(YEAR($AC114),MONTH($AC114)+1,1),OverEnd,"&gt;="&amp;DATE(YEAR($AC114),MONTH($AC114),1))&gt;0,SUMIFS(OverValue,OverEmp,$C114,OverTax,M$5,OverDate,"&lt;"&amp;DATE(YEAR($AC114),MONTH($AC114)+1,1),OverEnd,"&gt;="&amp;DATE(YEAR($AC114),MONTH($AC114),1)),(($BA114/12*$AA114)+(BB114*IF(1-$BC114=0,0,BD114/(1-$BC114))))-IF($F114="Terminated",0,SUMIFS(PayTaxDeduct,PayDate,"&lt;"&amp;$AC114,PayEmp,$C114)))</f>
        <v>899.75</v>
      </c>
      <c r="N114" s="133" cm="1">
        <f t="array" aca="1" ref="N114" ca="1">IF($F114="Terminated",0,IF($AA114=0,0,IF(ISNA(MATCH(N$5,DedListItem,0)),0,IF(COUNTIFS(OverEmp,$C114,OverDeduct,N$5,OverDate,"&lt;"&amp;DATE(YEAR($AC114),MONTH($AC114)+1,1),OverEnd,"&gt;="&amp;DATE(YEAR($AC114),MONTH($AC114),1))&gt;0,SUMIFS(OverValue,OverEmp,$C114,OverDeduct,N$5,OverDate,"&lt;"&amp;DATE(YEAR($AC114),MONTH($AC114)+1,1),OverEnd,"&gt;="&amp;DATE(YEAR($AC114),MONTH($AC114),1)),IF(OR(N$2="Fixed",N$2="Not Used"),(IF(COUNTIFS(EmpNo,$C114,OFFSET(Emp!$R$4,1,MATCH(N$5,DedListItem,0)-1,EmpCount,1),"&lt;&gt;")&gt;0,VLOOKUP($C114,EmpAll,COLUMN(Emp!$R$4)+MATCH(N$5,DedListItem,0)-1,0),OFFSET(Setup!$E$73,MATCH(N$5,DedListItem,0),0,1,1))*$AA114)-SUMIFS(OFFSET(N$6,1,0,PayCount,1),PayDate,"&lt;"&amp;$AC114,PayEmp,$C114),IF(ISNA(MATCH(N$2,EarnListItem,0))=FALSE,IF(OFFSET(Setup!$G$73,MATCH(N$5,DedListItem,0),0,1,1)="Taxable",SUMPRODUCT((PayEmp=$C114)*(PayDate&lt;=$AC114)*(PayEarnCode=N$2)*(PayEarnTax)*(PayEarnValues)),SUMPRODUCT((PayEmp=$C114)*(PayDate&lt;=$AC114)*(PayEarnCode=N$2)*(PayEarnValues)))*IF(COUNTIFS(EmpNo,$C114,OFFSET(Emp!$R$4,1,MATCH(N$5,DedListItem,0)-1,EmpCount,1),"&lt;&gt;")&gt;0,VLOOKUP($C114,EmpAll,COLUMN(Emp!$R$4)+MATCH(N$5,DedListItem,0)-1,0),OFFSET(Setup!$E$73,MATCH(N$5,DedListItem,0),0,1,1)),(MIN(IF(OFFSET(Setup!$G$73,MATCH(N$5,DedListItem,0),0,1,1)="Taxable",SUMPRODUCT((PayEmp=$C114)*(PayDate&lt;=$AC114)*(ISERROR(SEARCH(PayEarnCode,N$4)))*(PayEarnTax)*(PayEarnValues)),SUMPRODUCT((PayEmp=$C114)*(PayDate&lt;=$AC114)*(ISERROR(SEARCH(PayEarnCode,N$4)))*(PayEarnValues))),IF(ISNUMBER(N$3),N$3/12*$AA114,IgnoreMin)))*IF(COUNTIFS(EmpNo,$C114,OFFSET(Emp!$R$4,1,MATCH(N$5,DedListItem,0)-1,EmpCount,1),"&lt;&gt;")&gt;0,VLOOKUP($C114,EmpAll,COLUMN(Emp!$R$4)+MATCH(N$5,DedListItem,0)-1,0),OFFSET(Setup!$E$73,MATCH(N$5,DedListItem,0),0,1,1)))-SUMIFS(OFFSET(N$6,1,0,PayCount,1),PayDate,"&lt;"&amp;$AC114,PayEmp,$C114))))))</f>
        <v>150</v>
      </c>
      <c r="O114" s="133" cm="1">
        <f t="array" aca="1" ref="O114" ca="1">IF($F114="Terminated",0,IF($AA114=0,0,IF(ISNA(MATCH(O$5,DedListItem,0)),0,IF(COUNTIFS(OverEmp,$C114,OverDeduct,O$5,OverDate,"&lt;"&amp;DATE(YEAR($AC114),MONTH($AC114)+1,1),OverEnd,"&gt;="&amp;DATE(YEAR($AC114),MONTH($AC114),1))&gt;0,SUMIFS(OverValue,OverEmp,$C114,OverDeduct,O$5,OverDate,"&lt;"&amp;DATE(YEAR($AC114),MONTH($AC114)+1,1),OverEnd,"&gt;="&amp;DATE(YEAR($AC114),MONTH($AC114),1)),IF(OR(O$2="Fixed",O$2="Not Used"),(IF(COUNTIFS(EmpNo,$C114,OFFSET(Emp!$R$4,1,MATCH(O$5,DedListItem,0)-1,EmpCount,1),"&lt;&gt;")&gt;0,VLOOKUP($C114,EmpAll,COLUMN(Emp!$R$4)+MATCH(O$5,DedListItem,0)-1,0),OFFSET(Setup!$E$73,MATCH(O$5,DedListItem,0),0,1,1))*$AA114)-SUMIFS(OFFSET(O$6,1,0,PayCount,1),PayDate,"&lt;"&amp;$AC114,PayEmp,$C114),IF(ISNA(MATCH(O$2,EarnListItem,0))=FALSE,IF(OFFSET(Setup!$G$73,MATCH(O$5,DedListItem,0),0,1,1)="Taxable",SUMPRODUCT((PayEmp=$C114)*(PayDate&lt;=$AC114)*(PayEarnCode=O$2)*(PayEarnTax)*(PayEarnValues)),SUMPRODUCT((PayEmp=$C114)*(PayDate&lt;=$AC114)*(PayEarnCode=O$2)*(PayEarnValues)))*IF(COUNTIFS(EmpNo,$C114,OFFSET(Emp!$R$4,1,MATCH(O$5,DedListItem,0)-1,EmpCount,1),"&lt;&gt;")&gt;0,VLOOKUP($C114,EmpAll,COLUMN(Emp!$R$4)+MATCH(O$5,DedListItem,0)-1,0),OFFSET(Setup!$E$73,MATCH(O$5,DedListItem,0),0,1,1)),(MIN(IF(OFFSET(Setup!$G$73,MATCH(O$5,DedListItem,0),0,1,1)="Taxable",SUMPRODUCT((PayEmp=$C114)*(PayDate&lt;=$AC114)*(ISERROR(SEARCH(PayEarnCode,O$4)))*(PayEarnTax)*(PayEarnValues)),SUMPRODUCT((PayEmp=$C114)*(PayDate&lt;=$AC114)*(ISERROR(SEARCH(PayEarnCode,O$4)))*(PayEarnValues))),IF(ISNUMBER(O$3),O$3/12*$AA114,IgnoreMin)))*IF(COUNTIFS(EmpNo,$C114,OFFSET(Emp!$R$4,1,MATCH(O$5,DedListItem,0)-1,EmpCount,1),"&lt;&gt;")&gt;0,VLOOKUP($C114,EmpAll,COLUMN(Emp!$R$4)+MATCH(O$5,DedListItem,0)-1,0),OFFSET(Setup!$E$73,MATCH(O$5,DedListItem,0),0,1,1)))-SUMIFS(OFFSET(O$6,1,0,PayCount,1),PayDate,"&lt;"&amp;$AC114,PayEmp,$C114))))))</f>
        <v>0</v>
      </c>
      <c r="P114" s="133" cm="1">
        <f t="array" aca="1" ref="P114" ca="1">IF($F114="Terminated",0,IF($AA114=0,0,IF(ISNA(MATCH(P$5,DedListItem,0)),0,IF(COUNTIFS(OverEmp,$C114,OverDeduct,P$5,OverDate,"&lt;"&amp;DATE(YEAR($AC114),MONTH($AC114)+1,1),OverEnd,"&gt;="&amp;DATE(YEAR($AC114),MONTH($AC114),1))&gt;0,SUMIFS(OverValue,OverEmp,$C114,OverDeduct,P$5,OverDate,"&lt;"&amp;DATE(YEAR($AC114),MONTH($AC114)+1,1),OverEnd,"&gt;="&amp;DATE(YEAR($AC114),MONTH($AC114),1)),IF(OR(P$2="Fixed",P$2="Not Used"),(IF(COUNTIFS(EmpNo,$C114,OFFSET(Emp!$R$4,1,MATCH(P$5,DedListItem,0)-1,EmpCount,1),"&lt;&gt;")&gt;0,VLOOKUP($C114,EmpAll,COLUMN(Emp!$R$4)+MATCH(P$5,DedListItem,0)-1,0),OFFSET(Setup!$E$73,MATCH(P$5,DedListItem,0),0,1,1))*$AA114)-SUMIFS(OFFSET(P$6,1,0,PayCount,1),PayDate,"&lt;"&amp;$AC114,PayEmp,$C114),IF(ISNA(MATCH(P$2,EarnListItem,0))=FALSE,IF(OFFSET(Setup!$G$73,MATCH(P$5,DedListItem,0),0,1,1)="Taxable",SUMPRODUCT((PayEmp=$C114)*(PayDate&lt;=$AC114)*(PayEarnCode=P$2)*(PayEarnTax)*(PayEarnValues)),SUMPRODUCT((PayEmp=$C114)*(PayDate&lt;=$AC114)*(PayEarnCode=P$2)*(PayEarnValues)))*IF(COUNTIFS(EmpNo,$C114,OFFSET(Emp!$R$4,1,MATCH(P$5,DedListItem,0)-1,EmpCount,1),"&lt;&gt;")&gt;0,VLOOKUP($C114,EmpAll,COLUMN(Emp!$R$4)+MATCH(P$5,DedListItem,0)-1,0),OFFSET(Setup!$E$73,MATCH(P$5,DedListItem,0),0,1,1)),(MIN(IF(OFFSET(Setup!$G$73,MATCH(P$5,DedListItem,0),0,1,1)="Taxable",SUMPRODUCT((PayEmp=$C114)*(PayDate&lt;=$AC114)*(ISERROR(SEARCH(PayEarnCode,P$4)))*(PayEarnTax)*(PayEarnValues)),SUMPRODUCT((PayEmp=$C114)*(PayDate&lt;=$AC114)*(ISERROR(SEARCH(PayEarnCode,P$4)))*(PayEarnValues))),IF(ISNUMBER(P$3),P$3/12*$AA114,IgnoreMin)))*IF(COUNTIFS(EmpNo,$C114,OFFSET(Emp!$R$4,1,MATCH(P$5,DedListItem,0)-1,EmpCount,1),"&lt;&gt;")&gt;0,VLOOKUP($C114,EmpAll,COLUMN(Emp!$R$4)+MATCH(P$5,DedListItem,0)-1,0),OFFSET(Setup!$E$73,MATCH(P$5,DedListItem,0),0,1,1)))-SUMIFS(OFFSET(P$6,1,0,PayCount,1),PayDate,"&lt;"&amp;$AC114,PayEmp,$C114))))))</f>
        <v>2000</v>
      </c>
      <c r="Q114" s="133" cm="1">
        <f t="array" aca="1" ref="Q114" ca="1">IF($F114="Terminated",0,IF($AA114=0,0,IF(ISNA(MATCH(Q$5,DedListItem,0)),0,IF(COUNTIFS(OverEmp,$C114,OverDeduct,Q$5,OverDate,"&lt;"&amp;DATE(YEAR($AC114),MONTH($AC114)+1,1),OverEnd,"&gt;="&amp;DATE(YEAR($AC114),MONTH($AC114),1))&gt;0,SUMIFS(OverValue,OverEmp,$C114,OverDeduct,Q$5,OverDate,"&lt;"&amp;DATE(YEAR($AC114),MONTH($AC114)+1,1),OverEnd,"&gt;="&amp;DATE(YEAR($AC114),MONTH($AC114),1)),IF(OR(Q$2="Fixed",Q$2="Not Used"),(IF(COUNTIFS(EmpNo,$C114,OFFSET(Emp!$R$4,1,MATCH(Q$5,DedListItem,0)-1,EmpCount,1),"&lt;&gt;")&gt;0,VLOOKUP($C114,EmpAll,COLUMN(Emp!$R$4)+MATCH(Q$5,DedListItem,0)-1,0),OFFSET(Setup!$E$73,MATCH(Q$5,DedListItem,0),0,1,1))*$AA114)-SUMIFS(OFFSET(Q$6,1,0,PayCount,1),PayDate,"&lt;"&amp;$AC114,PayEmp,$C114),IF(ISNA(MATCH(Q$2,EarnListItem,0))=FALSE,IF(OFFSET(Setup!$G$73,MATCH(Q$5,DedListItem,0),0,1,1)="Taxable",SUMPRODUCT((PayEmp=$C114)*(PayDate&lt;=$AC114)*(PayEarnCode=Q$2)*(PayEarnTax)*(PayEarnValues)),SUMPRODUCT((PayEmp=$C114)*(PayDate&lt;=$AC114)*(PayEarnCode=Q$2)*(PayEarnValues)))*IF(COUNTIFS(EmpNo,$C114,OFFSET(Emp!$R$4,1,MATCH(Q$5,DedListItem,0)-1,EmpCount,1),"&lt;&gt;")&gt;0,VLOOKUP($C114,EmpAll,COLUMN(Emp!$R$4)+MATCH(Q$5,DedListItem,0)-1,0),OFFSET(Setup!$E$73,MATCH(Q$5,DedListItem,0),0,1,1)),(MIN(IF(OFFSET(Setup!$G$73,MATCH(Q$5,DedListItem,0),0,1,1)="Taxable",SUMPRODUCT((PayEmp=$C114)*(PayDate&lt;=$AC114)*(ISERROR(SEARCH(PayEarnCode,Q$4)))*(PayEarnTax)*(PayEarnValues)),SUMPRODUCT((PayEmp=$C114)*(PayDate&lt;=$AC114)*(ISERROR(SEARCH(PayEarnCode,Q$4)))*(PayEarnValues))),IF(ISNUMBER(Q$3),Q$3/12*$AA114,IgnoreMin)))*IF(COUNTIFS(EmpNo,$C114,OFFSET(Emp!$R$4,1,MATCH(Q$5,DedListItem,0)-1,EmpCount,1),"&lt;&gt;")&gt;0,VLOOKUP($C114,EmpAll,COLUMN(Emp!$R$4)+MATCH(Q$5,DedListItem,0)-1,0),OFFSET(Setup!$E$73,MATCH(Q$5,DedListItem,0),0,1,1)))-SUMIFS(OFFSET(Q$6,1,0,PayCount,1),PayDate,"&lt;"&amp;$AC114,PayEmp,$C114))))))</f>
        <v>0</v>
      </c>
      <c r="R114" s="185">
        <f t="shared" ca="1" si="55"/>
        <v>3049.75</v>
      </c>
      <c r="S114" s="139">
        <f t="shared" ca="1" si="56"/>
        <v>11950.25</v>
      </c>
      <c r="T114" s="133" cm="1">
        <f t="array" aca="1" ref="T114" ca="1">IF($F114="Terminated",0,IF($AA114=0,0,IF(ISNA(MATCH(T$5,CompListItem,0)),0,IF(COUNTIFS(OverEmp,$C114,OverComp,T$5,OverDate,"&lt;"&amp;DATE(YEAR($AC114),MONTH($AC114)+1,1),OverEnd,"&gt;="&amp;DATE(YEAR($AC114),MONTH($AC114),1))&gt;0,SUMIFS(OverValue,OverEmp,$C114,OverComp,T$5,OverDate,"&lt;"&amp;DATE(YEAR($AC114),MONTH($AC114)+1,1),OverEnd,"&gt;="&amp;DATE(YEAR($AC114),MONTH($AC114),1)),IF(OR(T$2="Fixed",T$2="Not Used"),(OFFSET(Setup!$E$81,MATCH(T$5,CompListItem,0),0,1,1)*$AA114)-SUMIFS(OFFSET(T$6,1,0,PayCount,1),PayDate,"&lt;"&amp;$AC114,PayEmp,$C114),IF(ISNA(MATCH(T$2,DedListItem,0))=FALSE,(SUMPRODUCT((PayEmp=$C114)*(PayDate&lt;=$AC114)*(PayDedList=T$2)*(PayDedValues))*OFFSET(Setup!$E$81,MATCH(T$5,CompListItem,0),0,1,1))-SUMIFS(OFFSET(T$6,1,0,PayCount,1),PayDate,"&lt;"&amp;$AC114,PayEmp,$C114),(MIN(IF(OFFSET(Setup!$G$81,MATCH(T$5,CompListItem,0),0,1,1)="Taxable",SUMPRODUCT((PayEmp=$C114)*(PayDate&lt;=$AC114)*(ISERROR(SEARCH(PayEarnCode,T$4)))*(PayEarnTax)*(PayEarnValues)),SUMPRODUCT((PayEmp=$C114)*(PayDate&lt;=$AC114)*(ISERROR(SEARCH(PayEarnCode,T$4)))*(PayEarnValues))),IF(ISNUMBER(T$3),T$3/12*$AA114,IgnoreMin)))*OFFSET(Setup!$E$81,MATCH(T$5,CompListItem,0),0,1,1)-SUMIFS(OFFSET(T$6,1,0,PayCount,1),PayDate,"&lt;"&amp;$AC114,PayEmp,$C114)))))))</f>
        <v>150</v>
      </c>
      <c r="U114" s="133" cm="1">
        <f t="array" aca="1" ref="U114" ca="1">IF($F114="Terminated",0,IF($AA114=0,0,IF(ISNA(MATCH(U$5,CompListItem,0)),0,IF(COUNTIFS(OverEmp,$C114,OverComp,U$5,OverDate,"&lt;"&amp;DATE(YEAR($AC114),MONTH($AC114)+1,1),OverEnd,"&gt;="&amp;DATE(YEAR($AC114),MONTH($AC114),1))&gt;0,SUMIFS(OverValue,OverEmp,$C114,OverComp,U$5,OverDate,"&lt;"&amp;DATE(YEAR($AC114),MONTH($AC114)+1,1),OverEnd,"&gt;="&amp;DATE(YEAR($AC114),MONTH($AC114),1)),IF(OR(U$2="Fixed",U$2="Not Used"),(OFFSET(Setup!$E$81,MATCH(U$5,CompListItem,0),0,1,1)*$AA114)-SUMIFS(OFFSET(U$6,1,0,PayCount,1),PayDate,"&lt;"&amp;$AC114,PayEmp,$C114),IF(ISNA(MATCH(U$2,DedListItem,0))=FALSE,(SUMPRODUCT((PayEmp=$C114)*(PayDate&lt;=$AC114)*(PayDedList=U$2)*(PayDedValues))*OFFSET(Setup!$E$81,MATCH(U$5,CompListItem,0),0,1,1))-SUMIFS(OFFSET(U$6,1,0,PayCount,1),PayDate,"&lt;"&amp;$AC114,PayEmp,$C114),(MIN(IF(OFFSET(Setup!$G$81,MATCH(U$5,CompListItem,0),0,1,1)="Taxable",SUMPRODUCT((PayEmp=$C114)*(PayDate&lt;=$AC114)*(ISERROR(SEARCH(PayEarnCode,U$4)))*(PayEarnTax)*(PayEarnValues)),SUMPRODUCT((PayEmp=$C114)*(PayDate&lt;=$AC114)*(ISERROR(SEARCH(PayEarnCode,U$4)))*(PayEarnValues))),IF(ISNUMBER(U$3),U$3/12*$AA114,IgnoreMin)))*OFFSET(Setup!$E$81,MATCH(U$5,CompListItem,0),0,1,1)-SUMIFS(OFFSET(U$6,1,0,PayCount,1),PayDate,"&lt;"&amp;$AC114,PayEmp,$C114)))))))</f>
        <v>150</v>
      </c>
      <c r="V114" s="133" cm="1">
        <f t="array" aca="1" ref="V114" ca="1">IF($F114="Terminated",0,IF($AA114=0,0,IF(ISNA(MATCH(V$5,CompListItem,0)),0,IF(COUNTIFS(OverEmp,$C114,OverComp,V$5,OverDate,"&lt;"&amp;DATE(YEAR($AC114),MONTH($AC114)+1,1),OverEnd,"&gt;="&amp;DATE(YEAR($AC114),MONTH($AC114),1))&gt;0,SUMIFS(OverValue,OverEmp,$C114,OverComp,V$5,OverDate,"&lt;"&amp;DATE(YEAR($AC114),MONTH($AC114)+1,1),OverEnd,"&gt;="&amp;DATE(YEAR($AC114),MONTH($AC114),1)),IF(OR(V$2="Fixed",V$2="Not Used"),(OFFSET(Setup!$E$81,MATCH(V$5,CompListItem,0),0,1,1)*$AA114)-SUMIFS(OFFSET(V$6,1,0,PayCount,1),PayDate,"&lt;"&amp;$AC114,PayEmp,$C114),IF(ISNA(MATCH(V$2,DedListItem,0))=FALSE,(SUMPRODUCT((PayEmp=$C114)*(PayDate&lt;=$AC114)*(PayDedList=V$2)*(PayDedValues))*OFFSET(Setup!$E$81,MATCH(V$5,CompListItem,0),0,1,1))-SUMIFS(OFFSET(V$6,1,0,PayCount,1),PayDate,"&lt;"&amp;$AC114,PayEmp,$C114),(MIN(IF(OFFSET(Setup!$G$81,MATCH(V$5,CompListItem,0),0,1,1)="Taxable",SUMPRODUCT((PayEmp=$C114)*(PayDate&lt;=$AC114)*(ISERROR(SEARCH(PayEarnCode,V$4)))*(PayEarnTax)*(PayEarnValues)),SUMPRODUCT((PayEmp=$C114)*(PayDate&lt;=$AC114)*(ISERROR(SEARCH(PayEarnCode,V$4)))*(PayEarnValues))),IF(ISNUMBER(V$3),V$3/12*$AA114,IgnoreMin)))*OFFSET(Setup!$E$81,MATCH(V$5,CompListItem,0),0,1,1)-SUMIFS(OFFSET(V$6,1,0,PayCount,1),PayDate,"&lt;"&amp;$AC114,PayEmp,$C114)))))))</f>
        <v>0</v>
      </c>
      <c r="W114" s="133" cm="1">
        <f t="array" aca="1" ref="W114" ca="1">IF($F114="Terminated",0,IF($AA114=0,0,IF(ISNA(MATCH(W$5,CompListItem,0)),0,IF(COUNTIFS(OverEmp,$C114,OverComp,W$5,OverDate,"&lt;"&amp;DATE(YEAR($AC114),MONTH($AC114)+1,1),OverEnd,"&gt;="&amp;DATE(YEAR($AC114),MONTH($AC114),1))&gt;0,SUMIFS(OverValue,OverEmp,$C114,OverComp,W$5,OverDate,"&lt;"&amp;DATE(YEAR($AC114),MONTH($AC114)+1,1),OverEnd,"&gt;="&amp;DATE(YEAR($AC114),MONTH($AC114),1)),IF(OR(W$2="Fixed",W$2="Not Used"),(OFFSET(Setup!$E$81,MATCH(W$5,CompListItem,0),0,1,1)*$AA114)-SUMIFS(OFFSET(W$6,1,0,PayCount,1),PayDate,"&lt;"&amp;$AC114,PayEmp,$C114),IF(ISNA(MATCH(W$2,DedListItem,0))=FALSE,(SUMPRODUCT((PayEmp=$C114)*(PayDate&lt;=$AC114)*(PayDedList=W$2)*(PayDedValues))*OFFSET(Setup!$E$81,MATCH(W$5,CompListItem,0),0,1,1))-SUMIFS(OFFSET(W$6,1,0,PayCount,1),PayDate,"&lt;"&amp;$AC114,PayEmp,$C114),(MIN(IF(OFFSET(Setup!$G$81,MATCH(W$5,CompListItem,0),0,1,1)="Taxable",SUMPRODUCT((PayEmp=$C114)*(PayDate&lt;=$AC114)*(ISERROR(SEARCH(PayEarnCode,W$4)))*(PayEarnTax)*(PayEarnValues)),SUMPRODUCT((PayEmp=$C114)*(PayDate&lt;=$AC114)*(ISERROR(SEARCH(PayEarnCode,W$4)))*(PayEarnValues))),IF(ISNUMBER(W$3),W$3/12*$AA114,IgnoreMin)))*OFFSET(Setup!$E$81,MATCH(W$5,CompListItem,0),0,1,1)-SUMIFS(OFFSET(W$6,1,0,PayCount,1),PayDate,"&lt;"&amp;$AC114,PayEmp,$C114)))))))</f>
        <v>0</v>
      </c>
      <c r="X114" s="185">
        <f t="shared" ca="1" si="48"/>
        <v>300</v>
      </c>
      <c r="Y114" s="139">
        <f t="shared" ca="1" si="57"/>
        <v>15300</v>
      </c>
      <c r="Z114" s="139">
        <f t="shared" ca="1" si="49"/>
        <v>3349.75</v>
      </c>
      <c r="AA114" s="146">
        <f ca="1">IF(OR($B114&lt;=Setup!$E$12,$B114&gt;=Setup!$D$12+1),0,IF($F114&lt;&gt;"Active",0,IF($AE114="Yes",$AB114,((YEAR($AC114)*12)+MONTH($AC114))-((YEAR($AD114)*12)+MONTH($AD114)-1))))</f>
        <v>8</v>
      </c>
      <c r="AB114" s="146">
        <f ca="1">IF(OR($B114&lt;=Setup!$E$12,$B114&gt;=Setup!$D$12+1),0,((YEAR($AC114)*12)+MONTH($AC114))-((YEAR(Setup!$E$12)*12)+MONTH(Setup!$E$12)))</f>
        <v>8</v>
      </c>
      <c r="AC114" s="186">
        <f t="shared" ca="1" si="50"/>
        <v>45224</v>
      </c>
      <c r="AD114" s="144">
        <f ca="1">IF(ISNA(VLOOKUP($C114,EmpAll,COLUMN(Emp!$E$4),0)),$AC114,IF(VLOOKUP($C114,EmpAll,COLUMN(Emp!$E$4),0)&lt;=Setup!$E$12,DATE(YEAR(Setup!$E$12),MONTH(Setup!$E$12)+1,1),VLOOKUP($C114,EmpAll,COLUMN(Emp!$E$4),0)))</f>
        <v>44986</v>
      </c>
      <c r="AE114" s="144" t="str">
        <f ca="1">IF(ISNA(VLOOKUP($C114,EmpAll,COLUMN(Emp!$G$1),0)),"-",IF(VLOOKUP($C114,EmpAll,COLUMN(Emp!$G$1),0)=0,"-",VLOOKUP($C114,EmpAll,COLUMN(Emp!$G$1),0)))</f>
        <v>-</v>
      </c>
      <c r="AF114" s="145">
        <f ca="1">IF(A114=PaySlip!$G$3,1,0)</f>
        <v>0</v>
      </c>
      <c r="AG114" s="130" cm="1">
        <f t="array" aca="1" ref="AG114" ca="1">IF(COUNTIFS(OverEmp,$C114,OverMed,"MED",OverDate,"&lt;"&amp;DATE(YEAR($AC114),MONTH($AC114)+1,1),OverEnd,"&gt;="&amp;DATE(YEAR($AC114),MONTH($AC114),1))&gt;0,SUMIFS(OverValue,OverEmp,$C114,OverMed,"MED",OverDate,"&lt;"&amp;DATE(YEAR($AC114),MONTH($AC114)+1,1),OverEnd,"&gt;="&amp;DATE(YEAR($AC114),MONTH($AC114),1)),IF(ISNA(VLOOKUP($C114,EmpAll,COLUMN(Emp!$N$4),0)),0,VLOOKUP($C114,EmpAll,COLUMN(Emp!$N$4),0)))</f>
        <v>1</v>
      </c>
      <c r="AH114" s="146">
        <f ca="1">VLOOKUP($AG114,MedList,COLUMN(Setup!$C$49),1)</f>
        <v>364</v>
      </c>
      <c r="AI114" s="146">
        <f t="shared" ca="1" si="40"/>
        <v>4368</v>
      </c>
      <c r="AJ114" s="101" t="str">
        <f ca="1">IF(ISNA(VLOOKUP($C114,EmpAll,COLUMN(Emp!$L$4),0)),"None!",VLOOKUP($C114,EmpAll,COLUMN(Emp!$L$4),0))</f>
        <v>A</v>
      </c>
      <c r="AK114" s="147">
        <f t="shared" ca="1" si="51"/>
        <v>17235</v>
      </c>
      <c r="AL114" s="101" t="str">
        <f ca="1">IF(ISNA(VLOOKUP($C114,Employees[],COLUMN(Emp!$M$4),0))=TRUE,"Error!",IF(VLOOKUP($C114,Employees[],COLUMN(Emp!$M$4),0)=0,"Yes",VLOOKUP($C114,Employees[],COLUMN(Emp!$M$4),0)))</f>
        <v>A</v>
      </c>
      <c r="AM114" s="148">
        <f t="shared" ca="1" si="41"/>
        <v>180000</v>
      </c>
      <c r="AN114" s="148" cm="1">
        <f t="array" aca="1" ref="AN114" ca="1">-IF($F114="Terminated",0,IF($AA114=0,0,IF(ISNA(MATCH(AN$5,PayDedList,0)),0,MIN(IF(COUNTIFS(OverEmp,$C114,OverDeduct,AN$5,OverDate,"&lt;"&amp;DATE(YEAR($AC114),MONTH($AC114)+1,1),OverEnd,"&gt;="&amp;DATE(YEAR($AC114),MONTH($AC114),1))&gt;0,SUMPRODUCT((PayEmp=$C114)*(PayDate&lt;=$AC114)*(OFFSET($N$6,1,MATCH(AN$5,PayDedList,0)-1,PayCount,1)))/$AA114*12*AN$3,IF(OR(AN$1="Fixed",AN$1="Not Used"),SUMPRODUCT((PayEmp=$C114)*(PayDate&lt;=$AC114)*(OFFSET($N$6,1,MATCH(AN$5,PayDedList,0)-1,PayCount,1)))/$AA114*12*AN$3,IF(ISNA(MATCH(AN$1,EarnListItem,0))=FALSE,SUMPRODUCT((PayEmp=$C114)*(PayDate&lt;=$AC114)*(OFFSET($N$6,1,MATCH(AN$5,PayDedList,0)-1,PayCount,1)))/$AA114*12*AN$3,(MIN(((SUMPRODUCT((PayEmp=$C114)*(PayDate&lt;=$AC114)*(ISERROR(SEARCH(PayEarnCode,AN$2)))*(PayEarnType="Monthly")*(PayEarnValues))/$AA114*12)+(SUMPRODUCT((PayEmp=$C114)*(PayDate&lt;=$AC114)*(ISERROR(SEARCH(PayEarnCode,AN$2)))*(PayEarnType="Quarterly")*(PayEarnValues))/MAX(1,ROUNDDOWN($AB114/3,0))*4)+(SUMPRODUCT((PayEmp=$C114)*(PayDate&lt;=$AC114)*(ISERROR(SEARCH(PayEarnCode,AN$2)))*(PayEarnType="Bi-Annual")*(PayEarnValues))/MAX(1,ROUNDDOWN($AB114/6,0))*2)+(SUMPRODUCT((PayEmp=$C114)*(PayDate&lt;=$AC114)*(ISERROR(SEARCH(PayEarnCode,AN$2)))*(PayEarnType="Annual")*(PayEarnValues)))),IF(ISNUMBER(OFFSET($N$3,0,MATCH(AN$5,PayDedList,0)-1,1,1)),OFFSET($N$3,0,MATCH(AN$5,PayDedList,0)-1,1,1),IgnoreMin)))*IF(COUNTIFS(EmpNo,$C114,OFFSET(Emp!$R$4,1,MATCH(AN$5,DedListItem,0)-1,EmpCount,1),"&lt;&gt;")&gt;0,VLOOKUP($C114,EmpAll,COLUMN(Emp!$R$4)+MATCH(AN$5,DedListItem,0)-1,0),OFFSET(Setup!$E$73,MATCH(AN$5,DedListItem,0),0,1,1))*AN$3))),IF(ISNUMBER(AN$4),AN$4,IgnoreMin)))))</f>
        <v>0</v>
      </c>
      <c r="AO114" s="148" cm="1">
        <f t="array" aca="1" ref="AO114" ca="1">-IF($F114="Terminated",0,IF($AA114=0,0,IF(ISNA(MATCH(AO$5,PayDedList,0)),0,MIN(IF(COUNTIFS(OverEmp,$C114,OverDeduct,AO$5,OverDate,"&lt;"&amp;DATE(YEAR($AC114),MONTH($AC114)+1,1),OverEnd,"&gt;="&amp;DATE(YEAR($AC114),MONTH($AC114),1))&gt;0,SUMPRODUCT((PayEmp=$C114)*(PayDate&lt;=$AC114)*(OFFSET($N$6,1,MATCH(AO$5,PayDedList,0)-1,PayCount,1)))/$AA114*12*AO$3,IF(OR(AO$1="Fixed",AO$1="Not Used"),SUMPRODUCT((PayEmp=$C114)*(PayDate&lt;=$AC114)*(OFFSET($N$6,1,MATCH(AO$5,PayDedList,0)-1,PayCount,1)))/$AA114*12*AO$3,IF(ISNA(MATCH(AO$1,EarnListItem,0))=FALSE,SUMPRODUCT((PayEmp=$C114)*(PayDate&lt;=$AC114)*(OFFSET($N$6,1,MATCH(AO$5,PayDedList,0)-1,PayCount,1)))/$AA114*12*AO$3,(MIN(((SUMPRODUCT((PayEmp=$C114)*(PayDate&lt;=$AC114)*(ISERROR(SEARCH(PayEarnCode,AO$2)))*(PayEarnType="Monthly")*(PayEarnValues))/$AA114*12)+(SUMPRODUCT((PayEmp=$C114)*(PayDate&lt;=$AC114)*(ISERROR(SEARCH(PayEarnCode,AO$2)))*(PayEarnType="Quarterly")*(PayEarnValues))/MAX(1,ROUNDDOWN($AB114/3,0))*4)+(SUMPRODUCT((PayEmp=$C114)*(PayDate&lt;=$AC114)*(ISERROR(SEARCH(PayEarnCode,AO$2)))*(PayEarnType="Bi-Annual")*(PayEarnValues))/MAX(1,ROUNDDOWN($AB114/6,0))*2)+(SUMPRODUCT((PayEmp=$C114)*(PayDate&lt;=$AC114)*(ISERROR(SEARCH(PayEarnCode,AO$2)))*(PayEarnType="Annual")*(PayEarnValues)))),IF(ISNUMBER(OFFSET($N$3,0,MATCH(AO$5,PayDedList,0)-1,1,1)),OFFSET($N$3,0,MATCH(AO$5,PayDedList,0)-1,1,1),IgnoreMin)))*IF(COUNTIFS(EmpNo,$C114,OFFSET(Emp!$R$4,1,MATCH(AO$5,DedListItem,0)-1,EmpCount,1),"&lt;&gt;")&gt;0,VLOOKUP($C114,EmpAll,COLUMN(Emp!$R$4)+MATCH(AO$5,DedListItem,0)-1,0),OFFSET(Setup!$E$73,MATCH(AO$5,DedListItem,0),0,1,1))*AO$3))),IF(ISNUMBER(AO$4),AO$4,IgnoreMin)))))</f>
        <v>0</v>
      </c>
      <c r="AP114" s="148" cm="1">
        <f t="array" aca="1" ref="AP114" ca="1">-IF($F114="Terminated",0,IF($AA114=0,0,IF(ISNA(MATCH(AP$5,PayDedList,0)),0,MIN(IF(COUNTIFS(OverEmp,$C114,OverDeduct,AP$5,OverDate,"&lt;"&amp;DATE(YEAR($AC114),MONTH($AC114)+1,1),OverEnd,"&gt;="&amp;DATE(YEAR($AC114),MONTH($AC114),1))&gt;0,SUMPRODUCT((PayEmp=$C114)*(PayDate&lt;=$AC114)*(OFFSET($N$6,1,MATCH(AP$5,PayDedList,0)-1,PayCount,1)))/$AA114*12*AP$3,IF(OR(AP$1="Fixed",AP$1="Not Used"),SUMPRODUCT((PayEmp=$C114)*(PayDate&lt;=$AC114)*(OFFSET($N$6,1,MATCH(AP$5,PayDedList,0)-1,PayCount,1)))/$AA114*12*AP$3,IF(ISNA(MATCH(AP$1,EarnListItem,0))=FALSE,SUMPRODUCT((PayEmp=$C114)*(PayDate&lt;=$AC114)*(OFFSET($N$6,1,MATCH(AP$5,PayDedList,0)-1,PayCount,1)))/$AA114*12*AP$3,(MIN(((SUMPRODUCT((PayEmp=$C114)*(PayDate&lt;=$AC114)*(ISERROR(SEARCH(PayEarnCode,AP$2)))*(PayEarnType="Monthly")*(PayEarnValues))/$AA114*12)+(SUMPRODUCT((PayEmp=$C114)*(PayDate&lt;=$AC114)*(ISERROR(SEARCH(PayEarnCode,AP$2)))*(PayEarnType="Quarterly")*(PayEarnValues))/MAX(1,ROUNDDOWN($AB114/3,0))*4)+(SUMPRODUCT((PayEmp=$C114)*(PayDate&lt;=$AC114)*(ISERROR(SEARCH(PayEarnCode,AP$2)))*(PayEarnType="Bi-Annual")*(PayEarnValues))/MAX(1,ROUNDDOWN($AB114/6,0))*2)+(SUMPRODUCT((PayEmp=$C114)*(PayDate&lt;=$AC114)*(ISERROR(SEARCH(PayEarnCode,AP$2)))*(PayEarnType="Annual")*(PayEarnValues)))),IF(ISNUMBER(OFFSET($N$3,0,MATCH(AP$5,PayDedList,0)-1,1,1)),OFFSET($N$3,0,MATCH(AP$5,PayDedList,0)-1,1,1),IgnoreMin)))*IF(COUNTIFS(EmpNo,$C114,OFFSET(Emp!$R$4,1,MATCH(AP$5,DedListItem,0)-1,EmpCount,1),"&lt;&gt;")&gt;0,VLOOKUP($C114,EmpAll,COLUMN(Emp!$R$4)+MATCH(AP$5,DedListItem,0)-1,0),OFFSET(Setup!$E$73,MATCH(AP$5,DedListItem,0),0,1,1))*AP$3))),IF(ISNUMBER(AP$4),AP$4,IgnoreMin)))))</f>
        <v>0</v>
      </c>
      <c r="AQ114" s="148" cm="1">
        <f t="array" aca="1" ref="AQ114" ca="1">-IF($F114="Terminated",0,IF($AA114=0,0,IF(ISNA(MATCH(AQ$5,PayDedList,0)),0,MIN(IF(COUNTIFS(OverEmp,$C114,OverDeduct,AQ$5,OverDate,"&lt;"&amp;DATE(YEAR($AC114),MONTH($AC114)+1,1),OverEnd,"&gt;="&amp;DATE(YEAR($AC114),MONTH($AC114),1))&gt;0,SUMPRODUCT((PayEmp=$C114)*(PayDate&lt;=$AC114)*(OFFSET($N$6,1,MATCH(AQ$5,PayDedList,0)-1,PayCount,1)))/$AA114*12*AQ$3,IF(OR(AQ$1="Fixed",AQ$1="Not Used"),SUMPRODUCT((PayEmp=$C114)*(PayDate&lt;=$AC114)*(OFFSET($N$6,1,MATCH(AQ$5,PayDedList,0)-1,PayCount,1)))/$AA114*12*AQ$3,IF(ISNA(MATCH(AQ$1,EarnListItem,0))=FALSE,SUMPRODUCT((PayEmp=$C114)*(PayDate&lt;=$AC114)*(OFFSET($N$6,1,MATCH(AQ$5,PayDedList,0)-1,PayCount,1)))/$AA114*12*AQ$3,(MIN(((SUMPRODUCT((PayEmp=$C114)*(PayDate&lt;=$AC114)*(ISERROR(SEARCH(PayEarnCode,AQ$2)))*(PayEarnType="Monthly")*(PayEarnValues))/$AA114*12)+(SUMPRODUCT((PayEmp=$C114)*(PayDate&lt;=$AC114)*(ISERROR(SEARCH(PayEarnCode,AQ$2)))*(PayEarnType="Quarterly")*(PayEarnValues))/MAX(1,ROUNDDOWN($AB114/3,0))*4)+(SUMPRODUCT((PayEmp=$C114)*(PayDate&lt;=$AC114)*(ISERROR(SEARCH(PayEarnCode,AQ$2)))*(PayEarnType="Bi-Annual")*(PayEarnValues))/MAX(1,ROUNDDOWN($AB114/6,0))*2)+(SUMPRODUCT((PayEmp=$C114)*(PayDate&lt;=$AC114)*(ISERROR(SEARCH(PayEarnCode,AQ$2)))*(PayEarnType="Annual")*(PayEarnValues)))),IF(ISNUMBER(OFFSET($N$3,0,MATCH(AQ$5,PayDedList,0)-1,1,1)),OFFSET($N$3,0,MATCH(AQ$5,PayDedList,0)-1,1,1),IgnoreMin)))*IF(COUNTIFS(EmpNo,$C114,OFFSET(Emp!$R$4,1,MATCH(AQ$5,DedListItem,0)-1,EmpCount,1),"&lt;&gt;")&gt;0,VLOOKUP($C114,EmpAll,COLUMN(Emp!$R$4)+MATCH(AQ$5,DedListItem,0)-1,0),OFFSET(Setup!$E$73,MATCH(AQ$5,DedListItem,0),0,1,1))*AQ$3))),IF(ISNUMBER(AQ$4),AQ$4,IgnoreMin)))))</f>
        <v>0</v>
      </c>
      <c r="AR114" s="148">
        <f t="shared" ca="1" si="52"/>
        <v>180000</v>
      </c>
      <c r="AS114" s="148">
        <f t="shared" ca="1" si="42"/>
        <v>180000</v>
      </c>
      <c r="AT114" s="148" cm="1">
        <f t="array" aca="1" ref="AT114" ca="1">-IF($F114="Terminated",0,IF($AA114=0,0,IF(ISNA(MATCH(AT$5,PayDedList,0)),0,MIN(IF(COUNTIFS(OverEmp,$C114,OverDeduct,AT$5,OverDate,"&lt;"&amp;DATE(YEAR($AC114),MONTH($AC114)+1,1),OverEnd,"&gt;="&amp;DATE(YEAR($AC114),MONTH($AC114),1))&gt;0,SUMPRODUCT((PayEmp=$C114)*(PayDate&lt;=$AC114)*(OFFSET($N$6,1,MATCH(AT$5,PayDedList,0)-1,PayCount,1)))/$AA114*12*AT$3,IF(OR(AT$1="Fixed",AT$1="Not Used"),SUMPRODUCT((PayEmp=$C114)*(PayDate&lt;=$AC114)*(OFFSET($N$6,1,MATCH(AT$5,PayDedList,0)-1,PayCount,1)))/$AA114*12*AT$3,IF(ISNA(MATCH(OFFSET($N$2,0,MATCH(AT$5,PayDedList,0)-1,1,1),EarnListItem,0))=FALSE,SUMPRODUCT((PayEmp=$C114)*(PayDate&lt;=$AC114)*(OFFSET($N$6,1,MATCH(AT$5,PayDedList,0)-1,PayCount,1)))/$AA114*12*AT$3,(MIN(SUMPRODUCT((PayEmp=$C114)*(PayDate&lt;=$AC114)*(ISERROR(SEARCH(PayEarnCode,AT$2)))*(PayEarnType="Monthly")*(PayEarnValues))/$AA114*12,IF(ISNUMBER(OFFSET($N$3,0,MATCH(AT$5,PayDedList,0)-1,1,1)),OFFSET($N$3,0,MATCH(AT$5,PayDedList,0)-1,1,1),IgnoreMin)))*IF(COUNTIFS(EmpNo,$C114,OFFSET(Emp!$R$4,1,MATCH(AT$5,DedListItem,0)-1,EmpCount,1),"&lt;&gt;")&gt;0,VLOOKUP($C114,EmpAll,COLUMN(Emp!$R$4)+MATCH(AT$5,DedListItem,0)-1,0),OFFSET(Setup!$E$73,MATCH(AT$5,DedListItem,0),0,1,1))*AT$3))),IF(ISNUMBER(AT$4),AT$4,IgnoreMin)))))</f>
        <v>0</v>
      </c>
      <c r="AU114" s="148" cm="1">
        <f t="array" aca="1" ref="AU114" ca="1">-IF($F114="Terminated",0,IF($AA114=0,0,IF(ISNA(MATCH(AU$5,PayDedList,0)),0,MIN(IF(COUNTIFS(OverEmp,$C114,OverDeduct,AU$5,OverDate,"&lt;"&amp;DATE(YEAR($AC114),MONTH($AC114)+1,1),OverEnd,"&gt;="&amp;DATE(YEAR($AC114),MONTH($AC114),1))&gt;0,SUMPRODUCT((PayEmp=$C114)*(PayDate&lt;=$AC114)*(OFFSET($N$6,1,MATCH(AU$5,PayDedList,0)-1,PayCount,1)))/$AA114*12*AU$3,IF(OR(AU$1="Fixed",AU$1="Not Used"),SUMPRODUCT((PayEmp=$C114)*(PayDate&lt;=$AC114)*(OFFSET($N$6,1,MATCH(AU$5,PayDedList,0)-1,PayCount,1)))/$AA114*12*AU$3,IF(ISNA(MATCH(OFFSET($N$2,0,MATCH(AU$5,PayDedList,0)-1,1,1),EarnListItem,0))=FALSE,SUMPRODUCT((PayEmp=$C114)*(PayDate&lt;=$AC114)*(OFFSET($N$6,1,MATCH(AU$5,PayDedList,0)-1,PayCount,1)))/$AA114*12*AU$3,(MIN(SUMPRODUCT((PayEmp=$C114)*(PayDate&lt;=$AC114)*(ISERROR(SEARCH(PayEarnCode,AU$2)))*(PayEarnType="Monthly")*(PayEarnValues))/$AA114*12,IF(ISNUMBER(OFFSET($N$3,0,MATCH(AU$5,PayDedList,0)-1,1,1)),OFFSET($N$3,0,MATCH(AU$5,PayDedList,0)-1,1,1),IgnoreMin)))*IF(COUNTIFS(EmpNo,$C114,OFFSET(Emp!$R$4,1,MATCH(AU$5,DedListItem,0)-1,EmpCount,1),"&lt;&gt;")&gt;0,VLOOKUP($C114,EmpAll,COLUMN(Emp!$R$4)+MATCH(AU$5,DedListItem,0)-1,0),OFFSET(Setup!$E$73,MATCH(AU$5,DedListItem,0),0,1,1))*AU$3))),IF(ISNUMBER(AU$4),AU$4,IgnoreMin)))))</f>
        <v>0</v>
      </c>
      <c r="AV114" s="148" cm="1">
        <f t="array" aca="1" ref="AV114" ca="1">-IF($F114="Terminated",0,IF($AA114=0,0,IF(ISNA(MATCH(AV$5,PayDedList,0)),0,MIN(IF(COUNTIFS(OverEmp,$C114,OverDeduct,AV$5,OverDate,"&lt;"&amp;DATE(YEAR($AC114),MONTH($AC114)+1,1),OverEnd,"&gt;="&amp;DATE(YEAR($AC114),MONTH($AC114),1))&gt;0,SUMPRODUCT((PayEmp=$C114)*(PayDate&lt;=$AC114)*(OFFSET($N$6,1,MATCH(AV$5,PayDedList,0)-1,PayCount,1)))/$AA114*12*AV$3,IF(OR(AV$1="Fixed",AV$1="Not Used"),SUMPRODUCT((PayEmp=$C114)*(PayDate&lt;=$AC114)*(OFFSET($N$6,1,MATCH(AV$5,PayDedList,0)-1,PayCount,1)))/$AA114*12*AV$3,IF(ISNA(MATCH(OFFSET($N$2,0,MATCH(AV$5,PayDedList,0)-1,1,1),EarnListItem,0))=FALSE,SUMPRODUCT((PayEmp=$C114)*(PayDate&lt;=$AC114)*(OFFSET($N$6,1,MATCH(AV$5,PayDedList,0)-1,PayCount,1)))/$AA114*12*AV$3,(MIN(SUMPRODUCT((PayEmp=$C114)*(PayDate&lt;=$AC114)*(ISERROR(SEARCH(PayEarnCode,AV$2)))*(PayEarnType="Monthly")*(PayEarnValues))/$AA114*12,IF(ISNUMBER(OFFSET($N$3,0,MATCH(AV$5,PayDedList,0)-1,1,1)),OFFSET($N$3,0,MATCH(AV$5,PayDedList,0)-1,1,1),IgnoreMin)))*IF(COUNTIFS(EmpNo,$C114,OFFSET(Emp!$R$4,1,MATCH(AV$5,DedListItem,0)-1,EmpCount,1),"&lt;&gt;")&gt;0,VLOOKUP($C114,EmpAll,COLUMN(Emp!$R$4)+MATCH(AV$5,DedListItem,0)-1,0),OFFSET(Setup!$E$73,MATCH(AV$5,DedListItem,0),0,1,1))*AV$3))),IF(ISNUMBER(AV$4),AV$4,IgnoreMin)))))</f>
        <v>0</v>
      </c>
      <c r="AW114" s="148" cm="1">
        <f t="array" aca="1" ref="AW114" ca="1">-IF($F114="Terminated",0,IF($AA114=0,0,IF(ISNA(MATCH(AW$5,PayDedList,0)),0,MIN(IF(COUNTIFS(OverEmp,$C114,OverDeduct,AW$5,OverDate,"&lt;"&amp;DATE(YEAR($AC114),MONTH($AC114)+1,1),OverEnd,"&gt;="&amp;DATE(YEAR($AC114),MONTH($AC114),1))&gt;0,SUMPRODUCT((PayEmp=$C114)*(PayDate&lt;=$AC114)*(OFFSET($N$6,1,MATCH(AW$5,PayDedList,0)-1,PayCount,1)))/$AA114*12*AW$3,IF(OR(AW$1="Fixed",AW$1="Not Used"),SUMPRODUCT((PayEmp=$C114)*(PayDate&lt;=$AC114)*(OFFSET($N$6,1,MATCH(AW$5,PayDedList,0)-1,PayCount,1)))/$AA114*12*AW$3,IF(ISNA(MATCH(OFFSET($N$2,0,MATCH(AW$5,PayDedList,0)-1,1,1),EarnListItem,0))=FALSE,SUMPRODUCT((PayEmp=$C114)*(PayDate&lt;=$AC114)*(OFFSET($N$6,1,MATCH(AW$5,PayDedList,0)-1,PayCount,1)))/$AA114*12*AW$3,(MIN(SUMPRODUCT((PayEmp=$C114)*(PayDate&lt;=$AC114)*(ISERROR(SEARCH(PayEarnCode,AW$2)))*(PayEarnType="Monthly")*(PayEarnValues))/$AA114*12,IF(ISNUMBER(OFFSET($N$3,0,MATCH(AW$5,PayDedList,0)-1,1,1)),OFFSET($N$3,0,MATCH(AW$5,PayDedList,0)-1,1,1),IgnoreMin)))*IF(COUNTIFS(EmpNo,$C114,OFFSET(Emp!$R$4,1,MATCH(AW$5,DedListItem,0)-1,EmpCount,1),"&lt;&gt;")&gt;0,VLOOKUP($C114,EmpAll,COLUMN(Emp!$R$4)+MATCH(AW$5,DedListItem,0)-1,0),OFFSET(Setup!$E$73,MATCH(AW$5,DedListItem,0),0,1,1))*AW$3))),IF(ISNUMBER(AW$4),AW$4,IgnoreMin)))))</f>
        <v>0</v>
      </c>
      <c r="AX114" s="148">
        <f t="shared" ca="1" si="58"/>
        <v>180000</v>
      </c>
      <c r="AY114" s="148">
        <f t="shared" ca="1" si="59"/>
        <v>0</v>
      </c>
      <c r="AZ114" s="148">
        <f ca="1">IF(ISNUMBER($AL114),($AR114*$AL114)-$AI114-$AK114,MAX(0,IF($AL114="B",IF($AR114&lt;Setup!$C$32,($AR114*Setup!$D$32)-$AI114-$AK114,(($AR114-VLOOKUP($AR114,TaxAll2,1,1))*OFFSET(Setup!$D$32,MATCH($AR114,TaxBracket2,1),0,1,1))+OFFSET(Setup!$E$31,MATCH($AR114,TaxBracket2,1),0,1,1)-$AI114-$AK114),IF($AR114&lt;Setup!$C$21,($AR114*Setup!$D$21)-$AI114-$AK114,(($AR114-VLOOKUP($AR114,TaxAll1,1,1))*OFFSET(Setup!$D$21,MATCH($AR114,TaxBracket1,1),0,1,1))+OFFSET(Setup!$E$20,MATCH($AR114,TaxBracket1,1),0,1,1)-$AI114-$AK114))))</f>
        <v>10797</v>
      </c>
      <c r="BA114" s="148">
        <f ca="1">IF(ISNUMBER($AL114),($AX114*$AL114)-$AI114-$AK114,MAX(0,IF($AL114="B",IF($AX114&lt;Setup!$C$32,($AX114*Setup!$D$32)-$AI114-$AK114,(($AX114-VLOOKUP($AX114,TaxAll2,1,1))*OFFSET(Setup!$D$32,MATCH($AX114,TaxBracket2,1),0,1,1))+OFFSET(Setup!$E$31,MATCH($AX114,TaxBracket2,1),0,1,1)-$AI114-$AK114),IF($AX114&lt;Setup!$C$21,($AX114*Setup!$D$21)-$AI114-$AK114,(($AX114-VLOOKUP($AX114,TaxAll1,1,1))*OFFSET(Setup!$D$21,MATCH($AX114,TaxBracket1,1),0,1,1))+OFFSET(Setup!$E$20,MATCH($AX114,TaxBracket1,1),0,1,1)-$AI114-$AK114))))</f>
        <v>10797</v>
      </c>
      <c r="BB114" s="148">
        <f t="shared" ca="1" si="53"/>
        <v>0</v>
      </c>
      <c r="BC114" s="150">
        <f t="shared" ca="1" si="45"/>
        <v>1</v>
      </c>
      <c r="BD114" s="150">
        <f t="shared" ca="1" si="46"/>
        <v>0</v>
      </c>
      <c r="BE114" s="148">
        <f t="shared" ca="1" si="47"/>
        <v>180000</v>
      </c>
    </row>
    <row r="115" spans="1:57" ht="16.149999999999999" customHeight="1" x14ac:dyDescent="0.25">
      <c r="A115" s="10" t="str" cm="1">
        <f t="array" aca="1" ref="A115" ca="1">IF(ROW($A115)-ROW($A$6)&gt;EmpCount*12,"-",TEXT($B115,"yyyy")&amp;TEXT($B115,"mm")&amp;"-"&amp;$C115)</f>
        <v>202310-EXS004</v>
      </c>
      <c r="B115" s="137" cm="1">
        <f t="array" aca="1" ref="B115" ca="1">IF(ROW($A115)-ROW($A$6)&gt;EmpCount*12,Setup!$D$12,DATE(YEAR(Setup!$F$12),MONTH(Setup!$F$12)+ROUNDDOWN((ROW($A115)-ROW($A$6)-1)/EmpCount,0),IF(Setup!$C$14&gt;DAY(DATE(YEAR(Setup!$F$12),MONTH(Setup!$F$12)+ROUNDDOWN((ROW($A115)-ROW($A$6)-1)/EmpCount,0)+1,0)),DAY(DATE(YEAR(Setup!$F$12),MONTH(Setup!$F$12)+ROUNDDOWN((ROW($A115)-ROW($A$6)-1)/EmpCount,0)+1,0)),Setup!$C$14)))</f>
        <v>45224</v>
      </c>
      <c r="C115" s="101" t="str" cm="1">
        <f t="array" aca="1" ref="C115" ca="1">IF(ROW($A115)-ROW($A$6)&gt;EmpCount*12,"-",OFFSET(Emp!$A$4,ROW($A115)-ROW($A$6)-IF(ROW($A115)-ROW($A$6)&gt;EmpCount,ROUNDDOWN((ROW($A115)-ROW($A$6)-1)/EmpCount,0)*EmpCount,0),0,1,1))</f>
        <v>EXS004</v>
      </c>
      <c r="D115" s="10" t="str">
        <f ca="1">IF(ISNA(VLOOKUP($C115,EmpAll,COLUMN(Emp!$B$4),0)),"-",VLOOKUP($C115,EmpAll,COLUMN(Emp!$B$4),0))</f>
        <v>Osborne S</v>
      </c>
      <c r="E115" s="145" t="str">
        <f ca="1">IF(ISNA(VLOOKUP($C115,EmpAll,COLUMN(Emp!$C$4),0)),"-",VLOOKUP($C115,EmpAll,COLUMN(Emp!$C$4),0))</f>
        <v>S</v>
      </c>
      <c r="F115" s="101" t="str">
        <f ca="1">IF(ISNA(VLOOKUP($C115,EmpAll,COLUMN(Emp!$A$4),0)),"-",IF(AND(VLOOKUP($C115,EmpAll,COLUMN(Emp!$E$4),0)&lt;&gt;0,VLOOKUP($C115,EmpAll,COLUMN(Emp!$E$4),0)&gt;=DATE(YEAR($AC115),MONTH($AC115)+1,0)),"Inactive",IF(AND(VLOOKUP($C115,EmpAll,COLUMN(Emp!$F$4),0)&lt;&gt;0,VLOOKUP($C115,EmpAll,COLUMN(Emp!$F$4),0)&lt;=DATE(YEAR($AC115),MONTH($AC115),0)),"Terminated","Active")))</f>
        <v>Active</v>
      </c>
      <c r="G115" s="133" cm="1">
        <f t="array" aca="1" ref="G115" ca="1">IF($F115&lt;&gt;"Active",0,IF(COUNTIFS(OverEmp,$C115,OverEarn,G$2,OverDate,"&lt;"&amp;DATE(YEAR($AC115),MONTH($AC115)+1,1),OverEnd,"&gt;="&amp;DATE(YEAR($AC115),MONTH($AC115),1))&gt;0,SUMIFS(OverValue,OverEmp,$C115,OverEarn,G$2,OverDate,"&lt;"&amp;DATE(YEAR($AC115),MONTH($AC115)+1,1),OverEnd,"&gt;="&amp;DATE(YEAR($AC115),MONTH($AC115),1)),IF(AND($AC115&gt;=Setup!$E$10,SUMIFS(EmpIncrease,EmpCode,$C115)&gt;0),SUMIFS(EmpIncrease,EmpCode,$C115),SUMIFS(EmpSalary,EmpCode,$C115))))</f>
        <v>15000</v>
      </c>
      <c r="H115" s="133" cm="1">
        <f t="array" aca="1" ref="H115" ca="1">IF($F115&lt;&gt;"Active",0,IF(COUNTIFS(OverEmp,$C115,OverEarn,H$2,OverDate,"&lt;"&amp;DATE(YEAR($AC115),MONTH($AC115)+1,1),OverEnd,"&gt;="&amp;DATE(YEAR($AC115),MONTH($AC115),1))&gt;0,SUMIFS(OverValue,OverEmp,$C115,OverEarn,H$2,OverDate,"&lt;"&amp;DATE(YEAR($AC115),MONTH($AC115)+1,1),OverEnd,"&gt;="&amp;DATE(YEAR($AC115),MONTH($AC115),1)),0))</f>
        <v>0</v>
      </c>
      <c r="I115" s="133" cm="1">
        <f t="array" aca="1" ref="I115" ca="1">IF($F115&lt;&gt;"Active",0,IF(COUNTIFS(OverEmp,$C115,OverEarn,I$2,OverDate,"&lt;"&amp;DATE(YEAR($AC115),MONTH($AC115)+1,1),OverEnd,"&gt;="&amp;DATE(YEAR($AC115),MONTH($AC115),1))&gt;0,SUMIFS(OverValue,OverEmp,$C115,OverEarn,I$2,OverDate,"&lt;"&amp;DATE(YEAR($AC115),MONTH($AC115)+1,1),OverEnd,"&gt;="&amp;DATE(YEAR($AC115),MONTH($AC115),1)),IF(MONTH(B115)=Setup!$C$15,SUMIFS(EmpBonus,EmpCode,$C115),0)))</f>
        <v>0</v>
      </c>
      <c r="J115" s="133" cm="1">
        <f t="array" aca="1" ref="J115" ca="1">IF($F115&lt;&gt;"Active",0,IF(COUNTIFS(OverEmp,$C115,OverEarn,J$2,OverDate,"&lt;"&amp;DATE(YEAR($AC115),MONTH($AC115)+1,1),OverEnd,"&gt;="&amp;DATE(YEAR($AC115),MONTH($AC115),1))&gt;0,SUMIFS(OverValue,OverEmp,$C115,OverEarn,J$2,OverDate,"&lt;"&amp;DATE(YEAR($AC115),MONTH($AC115)+1,1),OverEnd,"&gt;="&amp;DATE(YEAR($AC115),MONTH($AC115),1)),0))</f>
        <v>0</v>
      </c>
      <c r="K115" s="133" cm="1">
        <f t="array" aca="1" ref="K115" ca="1">IF($F115&lt;&gt;"Active",0,IF(COUNTIFS(OverEmp,$C115,OverEarn,K$2,OverDate,"&lt;"&amp;DATE(YEAR($AC115),MONTH($AC115)+1,1),OverEnd,"&gt;="&amp;DATE(YEAR($AC115),MONTH($AC115),1))&gt;0,SUMIFS(OverValue,OverEmp,$C115,OverEarn,K$2,OverDate,"&lt;"&amp;DATE(YEAR($AC115),MONTH($AC115)+1,1),OverEnd,"&gt;="&amp;DATE(YEAR($AC115),MONTH($AC115),1)),0))</f>
        <v>0</v>
      </c>
      <c r="L115" s="185">
        <f t="shared" ca="1" si="54"/>
        <v>15000</v>
      </c>
      <c r="M115" s="182" cm="1">
        <f t="array" aca="1" ref="M115" ca="1">IF(COUNTIFS(OverEmp,$C115,OverTax,M$5,OverDate,"&lt;"&amp;DATE(YEAR($AC115),MONTH($AC115)+1,1),OverEnd,"&gt;="&amp;DATE(YEAR($AC115),MONTH($AC115),1))&gt;0,SUMIFS(OverValue,OverEmp,$C115,OverTax,M$5,OverDate,"&lt;"&amp;DATE(YEAR($AC115),MONTH($AC115)+1,1),OverEnd,"&gt;="&amp;DATE(YEAR($AC115),MONTH($AC115),1)),(($BA115/12*$AA115)+(BB115*IF(1-$BC115=0,0,BD115/(1-$BC115))))-IF($F115="Terminated",0,SUMIFS(PayTaxDeduct,PayDate,"&lt;"&amp;$AC115,PayEmp,$C115)))</f>
        <v>899.75</v>
      </c>
      <c r="N115" s="133" cm="1">
        <f t="array" aca="1" ref="N115" ca="1">IF($F115="Terminated",0,IF($AA115=0,0,IF(ISNA(MATCH(N$5,DedListItem,0)),0,IF(COUNTIFS(OverEmp,$C115,OverDeduct,N$5,OverDate,"&lt;"&amp;DATE(YEAR($AC115),MONTH($AC115)+1,1),OverEnd,"&gt;="&amp;DATE(YEAR($AC115),MONTH($AC115),1))&gt;0,SUMIFS(OverValue,OverEmp,$C115,OverDeduct,N$5,OverDate,"&lt;"&amp;DATE(YEAR($AC115),MONTH($AC115)+1,1),OverEnd,"&gt;="&amp;DATE(YEAR($AC115),MONTH($AC115),1)),IF(OR(N$2="Fixed",N$2="Not Used"),(IF(COUNTIFS(EmpNo,$C115,OFFSET(Emp!$R$4,1,MATCH(N$5,DedListItem,0)-1,EmpCount,1),"&lt;&gt;")&gt;0,VLOOKUP($C115,EmpAll,COLUMN(Emp!$R$4)+MATCH(N$5,DedListItem,0)-1,0),OFFSET(Setup!$E$73,MATCH(N$5,DedListItem,0),0,1,1))*$AA115)-SUMIFS(OFFSET(N$6,1,0,PayCount,1),PayDate,"&lt;"&amp;$AC115,PayEmp,$C115),IF(ISNA(MATCH(N$2,EarnListItem,0))=FALSE,IF(OFFSET(Setup!$G$73,MATCH(N$5,DedListItem,0),0,1,1)="Taxable",SUMPRODUCT((PayEmp=$C115)*(PayDate&lt;=$AC115)*(PayEarnCode=N$2)*(PayEarnTax)*(PayEarnValues)),SUMPRODUCT((PayEmp=$C115)*(PayDate&lt;=$AC115)*(PayEarnCode=N$2)*(PayEarnValues)))*IF(COUNTIFS(EmpNo,$C115,OFFSET(Emp!$R$4,1,MATCH(N$5,DedListItem,0)-1,EmpCount,1),"&lt;&gt;")&gt;0,VLOOKUP($C115,EmpAll,COLUMN(Emp!$R$4)+MATCH(N$5,DedListItem,0)-1,0),OFFSET(Setup!$E$73,MATCH(N$5,DedListItem,0),0,1,1)),(MIN(IF(OFFSET(Setup!$G$73,MATCH(N$5,DedListItem,0),0,1,1)="Taxable",SUMPRODUCT((PayEmp=$C115)*(PayDate&lt;=$AC115)*(ISERROR(SEARCH(PayEarnCode,N$4)))*(PayEarnTax)*(PayEarnValues)),SUMPRODUCT((PayEmp=$C115)*(PayDate&lt;=$AC115)*(ISERROR(SEARCH(PayEarnCode,N$4)))*(PayEarnValues))),IF(ISNUMBER(N$3),N$3/12*$AA115,IgnoreMin)))*IF(COUNTIFS(EmpNo,$C115,OFFSET(Emp!$R$4,1,MATCH(N$5,DedListItem,0)-1,EmpCount,1),"&lt;&gt;")&gt;0,VLOOKUP($C115,EmpAll,COLUMN(Emp!$R$4)+MATCH(N$5,DedListItem,0)-1,0),OFFSET(Setup!$E$73,MATCH(N$5,DedListItem,0),0,1,1)))-SUMIFS(OFFSET(N$6,1,0,PayCount,1),PayDate,"&lt;"&amp;$AC115,PayEmp,$C115))))))</f>
        <v>150</v>
      </c>
      <c r="O115" s="133" cm="1">
        <f t="array" aca="1" ref="O115" ca="1">IF($F115="Terminated",0,IF($AA115=0,0,IF(ISNA(MATCH(O$5,DedListItem,0)),0,IF(COUNTIFS(OverEmp,$C115,OverDeduct,O$5,OverDate,"&lt;"&amp;DATE(YEAR($AC115),MONTH($AC115)+1,1),OverEnd,"&gt;="&amp;DATE(YEAR($AC115),MONTH($AC115),1))&gt;0,SUMIFS(OverValue,OverEmp,$C115,OverDeduct,O$5,OverDate,"&lt;"&amp;DATE(YEAR($AC115),MONTH($AC115)+1,1),OverEnd,"&gt;="&amp;DATE(YEAR($AC115),MONTH($AC115),1)),IF(OR(O$2="Fixed",O$2="Not Used"),(IF(COUNTIFS(EmpNo,$C115,OFFSET(Emp!$R$4,1,MATCH(O$5,DedListItem,0)-1,EmpCount,1),"&lt;&gt;")&gt;0,VLOOKUP($C115,EmpAll,COLUMN(Emp!$R$4)+MATCH(O$5,DedListItem,0)-1,0),OFFSET(Setup!$E$73,MATCH(O$5,DedListItem,0),0,1,1))*$AA115)-SUMIFS(OFFSET(O$6,1,0,PayCount,1),PayDate,"&lt;"&amp;$AC115,PayEmp,$C115),IF(ISNA(MATCH(O$2,EarnListItem,0))=FALSE,IF(OFFSET(Setup!$G$73,MATCH(O$5,DedListItem,0),0,1,1)="Taxable",SUMPRODUCT((PayEmp=$C115)*(PayDate&lt;=$AC115)*(PayEarnCode=O$2)*(PayEarnTax)*(PayEarnValues)),SUMPRODUCT((PayEmp=$C115)*(PayDate&lt;=$AC115)*(PayEarnCode=O$2)*(PayEarnValues)))*IF(COUNTIFS(EmpNo,$C115,OFFSET(Emp!$R$4,1,MATCH(O$5,DedListItem,0)-1,EmpCount,1),"&lt;&gt;")&gt;0,VLOOKUP($C115,EmpAll,COLUMN(Emp!$R$4)+MATCH(O$5,DedListItem,0)-1,0),OFFSET(Setup!$E$73,MATCH(O$5,DedListItem,0),0,1,1)),(MIN(IF(OFFSET(Setup!$G$73,MATCH(O$5,DedListItem,0),0,1,1)="Taxable",SUMPRODUCT((PayEmp=$C115)*(PayDate&lt;=$AC115)*(ISERROR(SEARCH(PayEarnCode,O$4)))*(PayEarnTax)*(PayEarnValues)),SUMPRODUCT((PayEmp=$C115)*(PayDate&lt;=$AC115)*(ISERROR(SEARCH(PayEarnCode,O$4)))*(PayEarnValues))),IF(ISNUMBER(O$3),O$3/12*$AA115,IgnoreMin)))*IF(COUNTIFS(EmpNo,$C115,OFFSET(Emp!$R$4,1,MATCH(O$5,DedListItem,0)-1,EmpCount,1),"&lt;&gt;")&gt;0,VLOOKUP($C115,EmpAll,COLUMN(Emp!$R$4)+MATCH(O$5,DedListItem,0)-1,0),OFFSET(Setup!$E$73,MATCH(O$5,DedListItem,0),0,1,1)))-SUMIFS(OFFSET(O$6,1,0,PayCount,1),PayDate,"&lt;"&amp;$AC115,PayEmp,$C115))))))</f>
        <v>0</v>
      </c>
      <c r="P115" s="133" cm="1">
        <f t="array" aca="1" ref="P115" ca="1">IF($F115="Terminated",0,IF($AA115=0,0,IF(ISNA(MATCH(P$5,DedListItem,0)),0,IF(COUNTIFS(OverEmp,$C115,OverDeduct,P$5,OverDate,"&lt;"&amp;DATE(YEAR($AC115),MONTH($AC115)+1,1),OverEnd,"&gt;="&amp;DATE(YEAR($AC115),MONTH($AC115),1))&gt;0,SUMIFS(OverValue,OverEmp,$C115,OverDeduct,P$5,OverDate,"&lt;"&amp;DATE(YEAR($AC115),MONTH($AC115)+1,1),OverEnd,"&gt;="&amp;DATE(YEAR($AC115),MONTH($AC115),1)),IF(OR(P$2="Fixed",P$2="Not Used"),(IF(COUNTIFS(EmpNo,$C115,OFFSET(Emp!$R$4,1,MATCH(P$5,DedListItem,0)-1,EmpCount,1),"&lt;&gt;")&gt;0,VLOOKUP($C115,EmpAll,COLUMN(Emp!$R$4)+MATCH(P$5,DedListItem,0)-1,0),OFFSET(Setup!$E$73,MATCH(P$5,DedListItem,0),0,1,1))*$AA115)-SUMIFS(OFFSET(P$6,1,0,PayCount,1),PayDate,"&lt;"&amp;$AC115,PayEmp,$C115),IF(ISNA(MATCH(P$2,EarnListItem,0))=FALSE,IF(OFFSET(Setup!$G$73,MATCH(P$5,DedListItem,0),0,1,1)="Taxable",SUMPRODUCT((PayEmp=$C115)*(PayDate&lt;=$AC115)*(PayEarnCode=P$2)*(PayEarnTax)*(PayEarnValues)),SUMPRODUCT((PayEmp=$C115)*(PayDate&lt;=$AC115)*(PayEarnCode=P$2)*(PayEarnValues)))*IF(COUNTIFS(EmpNo,$C115,OFFSET(Emp!$R$4,1,MATCH(P$5,DedListItem,0)-1,EmpCount,1),"&lt;&gt;")&gt;0,VLOOKUP($C115,EmpAll,COLUMN(Emp!$R$4)+MATCH(P$5,DedListItem,0)-1,0),OFFSET(Setup!$E$73,MATCH(P$5,DedListItem,0),0,1,1)),(MIN(IF(OFFSET(Setup!$G$73,MATCH(P$5,DedListItem,0),0,1,1)="Taxable",SUMPRODUCT((PayEmp=$C115)*(PayDate&lt;=$AC115)*(ISERROR(SEARCH(PayEarnCode,P$4)))*(PayEarnTax)*(PayEarnValues)),SUMPRODUCT((PayEmp=$C115)*(PayDate&lt;=$AC115)*(ISERROR(SEARCH(PayEarnCode,P$4)))*(PayEarnValues))),IF(ISNUMBER(P$3),P$3/12*$AA115,IgnoreMin)))*IF(COUNTIFS(EmpNo,$C115,OFFSET(Emp!$R$4,1,MATCH(P$5,DedListItem,0)-1,EmpCount,1),"&lt;&gt;")&gt;0,VLOOKUP($C115,EmpAll,COLUMN(Emp!$R$4)+MATCH(P$5,DedListItem,0)-1,0),OFFSET(Setup!$E$73,MATCH(P$5,DedListItem,0),0,1,1)))-SUMIFS(OFFSET(P$6,1,0,PayCount,1),PayDate,"&lt;"&amp;$AC115,PayEmp,$C115))))))</f>
        <v>500</v>
      </c>
      <c r="Q115" s="133" cm="1">
        <f t="array" aca="1" ref="Q115" ca="1">IF($F115="Terminated",0,IF($AA115=0,0,IF(ISNA(MATCH(Q$5,DedListItem,0)),0,IF(COUNTIFS(OverEmp,$C115,OverDeduct,Q$5,OverDate,"&lt;"&amp;DATE(YEAR($AC115),MONTH($AC115)+1,1),OverEnd,"&gt;="&amp;DATE(YEAR($AC115),MONTH($AC115),1))&gt;0,SUMIFS(OverValue,OverEmp,$C115,OverDeduct,Q$5,OverDate,"&lt;"&amp;DATE(YEAR($AC115),MONTH($AC115)+1,1),OverEnd,"&gt;="&amp;DATE(YEAR($AC115),MONTH($AC115),1)),IF(OR(Q$2="Fixed",Q$2="Not Used"),(IF(COUNTIFS(EmpNo,$C115,OFFSET(Emp!$R$4,1,MATCH(Q$5,DedListItem,0)-1,EmpCount,1),"&lt;&gt;")&gt;0,VLOOKUP($C115,EmpAll,COLUMN(Emp!$R$4)+MATCH(Q$5,DedListItem,0)-1,0),OFFSET(Setup!$E$73,MATCH(Q$5,DedListItem,0),0,1,1))*$AA115)-SUMIFS(OFFSET(Q$6,1,0,PayCount,1),PayDate,"&lt;"&amp;$AC115,PayEmp,$C115),IF(ISNA(MATCH(Q$2,EarnListItem,0))=FALSE,IF(OFFSET(Setup!$G$73,MATCH(Q$5,DedListItem,0),0,1,1)="Taxable",SUMPRODUCT((PayEmp=$C115)*(PayDate&lt;=$AC115)*(PayEarnCode=Q$2)*(PayEarnTax)*(PayEarnValues)),SUMPRODUCT((PayEmp=$C115)*(PayDate&lt;=$AC115)*(PayEarnCode=Q$2)*(PayEarnValues)))*IF(COUNTIFS(EmpNo,$C115,OFFSET(Emp!$R$4,1,MATCH(Q$5,DedListItem,0)-1,EmpCount,1),"&lt;&gt;")&gt;0,VLOOKUP($C115,EmpAll,COLUMN(Emp!$R$4)+MATCH(Q$5,DedListItem,0)-1,0),OFFSET(Setup!$E$73,MATCH(Q$5,DedListItem,0),0,1,1)),(MIN(IF(OFFSET(Setup!$G$73,MATCH(Q$5,DedListItem,0),0,1,1)="Taxable",SUMPRODUCT((PayEmp=$C115)*(PayDate&lt;=$AC115)*(ISERROR(SEARCH(PayEarnCode,Q$4)))*(PayEarnTax)*(PayEarnValues)),SUMPRODUCT((PayEmp=$C115)*(PayDate&lt;=$AC115)*(ISERROR(SEARCH(PayEarnCode,Q$4)))*(PayEarnValues))),IF(ISNUMBER(Q$3),Q$3/12*$AA115,IgnoreMin)))*IF(COUNTIFS(EmpNo,$C115,OFFSET(Emp!$R$4,1,MATCH(Q$5,DedListItem,0)-1,EmpCount,1),"&lt;&gt;")&gt;0,VLOOKUP($C115,EmpAll,COLUMN(Emp!$R$4)+MATCH(Q$5,DedListItem,0)-1,0),OFFSET(Setup!$E$73,MATCH(Q$5,DedListItem,0),0,1,1)))-SUMIFS(OFFSET(Q$6,1,0,PayCount,1),PayDate,"&lt;"&amp;$AC115,PayEmp,$C115))))))</f>
        <v>0</v>
      </c>
      <c r="R115" s="185">
        <f t="shared" ca="1" si="55"/>
        <v>1549.75</v>
      </c>
      <c r="S115" s="139">
        <f t="shared" ca="1" si="56"/>
        <v>13450.25</v>
      </c>
      <c r="T115" s="133" cm="1">
        <f t="array" aca="1" ref="T115" ca="1">IF($F115="Terminated",0,IF($AA115=0,0,IF(ISNA(MATCH(T$5,CompListItem,0)),0,IF(COUNTIFS(OverEmp,$C115,OverComp,T$5,OverDate,"&lt;"&amp;DATE(YEAR($AC115),MONTH($AC115)+1,1),OverEnd,"&gt;="&amp;DATE(YEAR($AC115),MONTH($AC115),1))&gt;0,SUMIFS(OverValue,OverEmp,$C115,OverComp,T$5,OverDate,"&lt;"&amp;DATE(YEAR($AC115),MONTH($AC115)+1,1),OverEnd,"&gt;="&amp;DATE(YEAR($AC115),MONTH($AC115),1)),IF(OR(T$2="Fixed",T$2="Not Used"),(OFFSET(Setup!$E$81,MATCH(T$5,CompListItem,0),0,1,1)*$AA115)-SUMIFS(OFFSET(T$6,1,0,PayCount,1),PayDate,"&lt;"&amp;$AC115,PayEmp,$C115),IF(ISNA(MATCH(T$2,DedListItem,0))=FALSE,(SUMPRODUCT((PayEmp=$C115)*(PayDate&lt;=$AC115)*(PayDedList=T$2)*(PayDedValues))*OFFSET(Setup!$E$81,MATCH(T$5,CompListItem,0),0,1,1))-SUMIFS(OFFSET(T$6,1,0,PayCount,1),PayDate,"&lt;"&amp;$AC115,PayEmp,$C115),(MIN(IF(OFFSET(Setup!$G$81,MATCH(T$5,CompListItem,0),0,1,1)="Taxable",SUMPRODUCT((PayEmp=$C115)*(PayDate&lt;=$AC115)*(ISERROR(SEARCH(PayEarnCode,T$4)))*(PayEarnTax)*(PayEarnValues)),SUMPRODUCT((PayEmp=$C115)*(PayDate&lt;=$AC115)*(ISERROR(SEARCH(PayEarnCode,T$4)))*(PayEarnValues))),IF(ISNUMBER(T$3),T$3/12*$AA115,IgnoreMin)))*OFFSET(Setup!$E$81,MATCH(T$5,CompListItem,0),0,1,1)-SUMIFS(OFFSET(T$6,1,0,PayCount,1),PayDate,"&lt;"&amp;$AC115,PayEmp,$C115)))))))</f>
        <v>150</v>
      </c>
      <c r="U115" s="133" cm="1">
        <f t="array" aca="1" ref="U115" ca="1">IF($F115="Terminated",0,IF($AA115=0,0,IF(ISNA(MATCH(U$5,CompListItem,0)),0,IF(COUNTIFS(OverEmp,$C115,OverComp,U$5,OverDate,"&lt;"&amp;DATE(YEAR($AC115),MONTH($AC115)+1,1),OverEnd,"&gt;="&amp;DATE(YEAR($AC115),MONTH($AC115),1))&gt;0,SUMIFS(OverValue,OverEmp,$C115,OverComp,U$5,OverDate,"&lt;"&amp;DATE(YEAR($AC115),MONTH($AC115)+1,1),OverEnd,"&gt;="&amp;DATE(YEAR($AC115),MONTH($AC115),1)),IF(OR(U$2="Fixed",U$2="Not Used"),(OFFSET(Setup!$E$81,MATCH(U$5,CompListItem,0),0,1,1)*$AA115)-SUMIFS(OFFSET(U$6,1,0,PayCount,1),PayDate,"&lt;"&amp;$AC115,PayEmp,$C115),IF(ISNA(MATCH(U$2,DedListItem,0))=FALSE,(SUMPRODUCT((PayEmp=$C115)*(PayDate&lt;=$AC115)*(PayDedList=U$2)*(PayDedValues))*OFFSET(Setup!$E$81,MATCH(U$5,CompListItem,0),0,1,1))-SUMIFS(OFFSET(U$6,1,0,PayCount,1),PayDate,"&lt;"&amp;$AC115,PayEmp,$C115),(MIN(IF(OFFSET(Setup!$G$81,MATCH(U$5,CompListItem,0),0,1,1)="Taxable",SUMPRODUCT((PayEmp=$C115)*(PayDate&lt;=$AC115)*(ISERROR(SEARCH(PayEarnCode,U$4)))*(PayEarnTax)*(PayEarnValues)),SUMPRODUCT((PayEmp=$C115)*(PayDate&lt;=$AC115)*(ISERROR(SEARCH(PayEarnCode,U$4)))*(PayEarnValues))),IF(ISNUMBER(U$3),U$3/12*$AA115,IgnoreMin)))*OFFSET(Setup!$E$81,MATCH(U$5,CompListItem,0),0,1,1)-SUMIFS(OFFSET(U$6,1,0,PayCount,1),PayDate,"&lt;"&amp;$AC115,PayEmp,$C115)))))))</f>
        <v>150</v>
      </c>
      <c r="V115" s="133" cm="1">
        <f t="array" aca="1" ref="V115" ca="1">IF($F115="Terminated",0,IF($AA115=0,0,IF(ISNA(MATCH(V$5,CompListItem,0)),0,IF(COUNTIFS(OverEmp,$C115,OverComp,V$5,OverDate,"&lt;"&amp;DATE(YEAR($AC115),MONTH($AC115)+1,1),OverEnd,"&gt;="&amp;DATE(YEAR($AC115),MONTH($AC115),1))&gt;0,SUMIFS(OverValue,OverEmp,$C115,OverComp,V$5,OverDate,"&lt;"&amp;DATE(YEAR($AC115),MONTH($AC115)+1,1),OverEnd,"&gt;="&amp;DATE(YEAR($AC115),MONTH($AC115),1)),IF(OR(V$2="Fixed",V$2="Not Used"),(OFFSET(Setup!$E$81,MATCH(V$5,CompListItem,0),0,1,1)*$AA115)-SUMIFS(OFFSET(V$6,1,0,PayCount,1),PayDate,"&lt;"&amp;$AC115,PayEmp,$C115),IF(ISNA(MATCH(V$2,DedListItem,0))=FALSE,(SUMPRODUCT((PayEmp=$C115)*(PayDate&lt;=$AC115)*(PayDedList=V$2)*(PayDedValues))*OFFSET(Setup!$E$81,MATCH(V$5,CompListItem,0),0,1,1))-SUMIFS(OFFSET(V$6,1,0,PayCount,1),PayDate,"&lt;"&amp;$AC115,PayEmp,$C115),(MIN(IF(OFFSET(Setup!$G$81,MATCH(V$5,CompListItem,0),0,1,1)="Taxable",SUMPRODUCT((PayEmp=$C115)*(PayDate&lt;=$AC115)*(ISERROR(SEARCH(PayEarnCode,V$4)))*(PayEarnTax)*(PayEarnValues)),SUMPRODUCT((PayEmp=$C115)*(PayDate&lt;=$AC115)*(ISERROR(SEARCH(PayEarnCode,V$4)))*(PayEarnValues))),IF(ISNUMBER(V$3),V$3/12*$AA115,IgnoreMin)))*OFFSET(Setup!$E$81,MATCH(V$5,CompListItem,0),0,1,1)-SUMIFS(OFFSET(V$6,1,0,PayCount,1),PayDate,"&lt;"&amp;$AC115,PayEmp,$C115)))))))</f>
        <v>0</v>
      </c>
      <c r="W115" s="133" cm="1">
        <f t="array" aca="1" ref="W115" ca="1">IF($F115="Terminated",0,IF($AA115=0,0,IF(ISNA(MATCH(W$5,CompListItem,0)),0,IF(COUNTIFS(OverEmp,$C115,OverComp,W$5,OverDate,"&lt;"&amp;DATE(YEAR($AC115),MONTH($AC115)+1,1),OverEnd,"&gt;="&amp;DATE(YEAR($AC115),MONTH($AC115),1))&gt;0,SUMIFS(OverValue,OverEmp,$C115,OverComp,W$5,OverDate,"&lt;"&amp;DATE(YEAR($AC115),MONTH($AC115)+1,1),OverEnd,"&gt;="&amp;DATE(YEAR($AC115),MONTH($AC115),1)),IF(OR(W$2="Fixed",W$2="Not Used"),(OFFSET(Setup!$E$81,MATCH(W$5,CompListItem,0),0,1,1)*$AA115)-SUMIFS(OFFSET(W$6,1,0,PayCount,1),PayDate,"&lt;"&amp;$AC115,PayEmp,$C115),IF(ISNA(MATCH(W$2,DedListItem,0))=FALSE,(SUMPRODUCT((PayEmp=$C115)*(PayDate&lt;=$AC115)*(PayDedList=W$2)*(PayDedValues))*OFFSET(Setup!$E$81,MATCH(W$5,CompListItem,0),0,1,1))-SUMIFS(OFFSET(W$6,1,0,PayCount,1),PayDate,"&lt;"&amp;$AC115,PayEmp,$C115),(MIN(IF(OFFSET(Setup!$G$81,MATCH(W$5,CompListItem,0),0,1,1)="Taxable",SUMPRODUCT((PayEmp=$C115)*(PayDate&lt;=$AC115)*(ISERROR(SEARCH(PayEarnCode,W$4)))*(PayEarnTax)*(PayEarnValues)),SUMPRODUCT((PayEmp=$C115)*(PayDate&lt;=$AC115)*(ISERROR(SEARCH(PayEarnCode,W$4)))*(PayEarnValues))),IF(ISNUMBER(W$3),W$3/12*$AA115,IgnoreMin)))*OFFSET(Setup!$E$81,MATCH(W$5,CompListItem,0),0,1,1)-SUMIFS(OFFSET(W$6,1,0,PayCount,1),PayDate,"&lt;"&amp;$AC115,PayEmp,$C115)))))))</f>
        <v>0</v>
      </c>
      <c r="X115" s="185">
        <f t="shared" ca="1" si="48"/>
        <v>300</v>
      </c>
      <c r="Y115" s="139">
        <f t="shared" ca="1" si="57"/>
        <v>15300</v>
      </c>
      <c r="Z115" s="139">
        <f t="shared" ca="1" si="49"/>
        <v>1849.75</v>
      </c>
      <c r="AA115" s="146">
        <f ca="1">IF(OR($B115&lt;=Setup!$E$12,$B115&gt;=Setup!$D$12+1),0,IF($F115&lt;&gt;"Active",0,IF($AE115="Yes",$AB115,((YEAR($AC115)*12)+MONTH($AC115))-((YEAR($AD115)*12)+MONTH($AD115)-1))))</f>
        <v>8</v>
      </c>
      <c r="AB115" s="146">
        <f ca="1">IF(OR($B115&lt;=Setup!$E$12,$B115&gt;=Setup!$D$12+1),0,((YEAR($AC115)*12)+MONTH($AC115))-((YEAR(Setup!$E$12)*12)+MONTH(Setup!$E$12)))</f>
        <v>8</v>
      </c>
      <c r="AC115" s="186">
        <f t="shared" ca="1" si="50"/>
        <v>45224</v>
      </c>
      <c r="AD115" s="144">
        <f ca="1">IF(ISNA(VLOOKUP($C115,EmpAll,COLUMN(Emp!$E$4),0)),$AC115,IF(VLOOKUP($C115,EmpAll,COLUMN(Emp!$E$4),0)&lt;=Setup!$E$12,DATE(YEAR(Setup!$E$12),MONTH(Setup!$E$12)+1,1),VLOOKUP($C115,EmpAll,COLUMN(Emp!$E$4),0)))</f>
        <v>44986</v>
      </c>
      <c r="AE115" s="144" t="str">
        <f ca="1">IF(ISNA(VLOOKUP($C115,EmpAll,COLUMN(Emp!$G$1),0)),"-",IF(VLOOKUP($C115,EmpAll,COLUMN(Emp!$G$1),0)=0,"-",VLOOKUP($C115,EmpAll,COLUMN(Emp!$G$1),0)))</f>
        <v>-</v>
      </c>
      <c r="AF115" s="145">
        <f ca="1">IF(A115=PaySlip!$G$3,1,0)</f>
        <v>0</v>
      </c>
      <c r="AG115" s="130" cm="1">
        <f t="array" aca="1" ref="AG115" ca="1">IF(COUNTIFS(OverEmp,$C115,OverMed,"MED",OverDate,"&lt;"&amp;DATE(YEAR($AC115),MONTH($AC115)+1,1),OverEnd,"&gt;="&amp;DATE(YEAR($AC115),MONTH($AC115),1))&gt;0,SUMIFS(OverValue,OverEmp,$C115,OverMed,"MED",OverDate,"&lt;"&amp;DATE(YEAR($AC115),MONTH($AC115)+1,1),OverEnd,"&gt;="&amp;DATE(YEAR($AC115),MONTH($AC115),1)),IF(ISNA(VLOOKUP($C115,EmpAll,COLUMN(Emp!$N$4),0)),0,VLOOKUP($C115,EmpAll,COLUMN(Emp!$N$4),0)))</f>
        <v>1</v>
      </c>
      <c r="AH115" s="146">
        <f ca="1">VLOOKUP($AG115,MedList,COLUMN(Setup!$C$49),1)</f>
        <v>364</v>
      </c>
      <c r="AI115" s="146">
        <f t="shared" ca="1" si="40"/>
        <v>4368</v>
      </c>
      <c r="AJ115" s="101" t="str">
        <f ca="1">IF(ISNA(VLOOKUP($C115,EmpAll,COLUMN(Emp!$L$4),0)),"None!",VLOOKUP($C115,EmpAll,COLUMN(Emp!$L$4),0))</f>
        <v>A</v>
      </c>
      <c r="AK115" s="147">
        <f t="shared" ca="1" si="51"/>
        <v>17235</v>
      </c>
      <c r="AL115" s="101" t="str">
        <f ca="1">IF(ISNA(VLOOKUP($C115,Employees[],COLUMN(Emp!$M$4),0))=TRUE,"Error!",IF(VLOOKUP($C115,Employees[],COLUMN(Emp!$M$4),0)=0,"Yes",VLOOKUP($C115,Employees[],COLUMN(Emp!$M$4),0)))</f>
        <v>A</v>
      </c>
      <c r="AM115" s="148">
        <f t="shared" ca="1" si="41"/>
        <v>183600</v>
      </c>
      <c r="AN115" s="148" cm="1">
        <f t="array" aca="1" ref="AN115" ca="1">-IF($F115="Terminated",0,IF($AA115=0,0,IF(ISNA(MATCH(AN$5,PayDedList,0)),0,MIN(IF(COUNTIFS(OverEmp,$C115,OverDeduct,AN$5,OverDate,"&lt;"&amp;DATE(YEAR($AC115),MONTH($AC115)+1,1),OverEnd,"&gt;="&amp;DATE(YEAR($AC115),MONTH($AC115),1))&gt;0,SUMPRODUCT((PayEmp=$C115)*(PayDate&lt;=$AC115)*(OFFSET($N$6,1,MATCH(AN$5,PayDedList,0)-1,PayCount,1)))/$AA115*12*AN$3,IF(OR(AN$1="Fixed",AN$1="Not Used"),SUMPRODUCT((PayEmp=$C115)*(PayDate&lt;=$AC115)*(OFFSET($N$6,1,MATCH(AN$5,PayDedList,0)-1,PayCount,1)))/$AA115*12*AN$3,IF(ISNA(MATCH(AN$1,EarnListItem,0))=FALSE,SUMPRODUCT((PayEmp=$C115)*(PayDate&lt;=$AC115)*(OFFSET($N$6,1,MATCH(AN$5,PayDedList,0)-1,PayCount,1)))/$AA115*12*AN$3,(MIN(((SUMPRODUCT((PayEmp=$C115)*(PayDate&lt;=$AC115)*(ISERROR(SEARCH(PayEarnCode,AN$2)))*(PayEarnType="Monthly")*(PayEarnValues))/$AA115*12)+(SUMPRODUCT((PayEmp=$C115)*(PayDate&lt;=$AC115)*(ISERROR(SEARCH(PayEarnCode,AN$2)))*(PayEarnType="Quarterly")*(PayEarnValues))/MAX(1,ROUNDDOWN($AB115/3,0))*4)+(SUMPRODUCT((PayEmp=$C115)*(PayDate&lt;=$AC115)*(ISERROR(SEARCH(PayEarnCode,AN$2)))*(PayEarnType="Bi-Annual")*(PayEarnValues))/MAX(1,ROUNDDOWN($AB115/6,0))*2)+(SUMPRODUCT((PayEmp=$C115)*(PayDate&lt;=$AC115)*(ISERROR(SEARCH(PayEarnCode,AN$2)))*(PayEarnType="Annual")*(PayEarnValues)))),IF(ISNUMBER(OFFSET($N$3,0,MATCH(AN$5,PayDedList,0)-1,1,1)),OFFSET($N$3,0,MATCH(AN$5,PayDedList,0)-1,1,1),IgnoreMin)))*IF(COUNTIFS(EmpNo,$C115,OFFSET(Emp!$R$4,1,MATCH(AN$5,DedListItem,0)-1,EmpCount,1),"&lt;&gt;")&gt;0,VLOOKUP($C115,EmpAll,COLUMN(Emp!$R$4)+MATCH(AN$5,DedListItem,0)-1,0),OFFSET(Setup!$E$73,MATCH(AN$5,DedListItem,0),0,1,1))*AN$3))),IF(ISNUMBER(AN$4),AN$4,IgnoreMin)))))</f>
        <v>0</v>
      </c>
      <c r="AO115" s="148" cm="1">
        <f t="array" aca="1" ref="AO115" ca="1">-IF($F115="Terminated",0,IF($AA115=0,0,IF(ISNA(MATCH(AO$5,PayDedList,0)),0,MIN(IF(COUNTIFS(OverEmp,$C115,OverDeduct,AO$5,OverDate,"&lt;"&amp;DATE(YEAR($AC115),MONTH($AC115)+1,1),OverEnd,"&gt;="&amp;DATE(YEAR($AC115),MONTH($AC115),1))&gt;0,SUMPRODUCT((PayEmp=$C115)*(PayDate&lt;=$AC115)*(OFFSET($N$6,1,MATCH(AO$5,PayDedList,0)-1,PayCount,1)))/$AA115*12*AO$3,IF(OR(AO$1="Fixed",AO$1="Not Used"),SUMPRODUCT((PayEmp=$C115)*(PayDate&lt;=$AC115)*(OFFSET($N$6,1,MATCH(AO$5,PayDedList,0)-1,PayCount,1)))/$AA115*12*AO$3,IF(ISNA(MATCH(AO$1,EarnListItem,0))=FALSE,SUMPRODUCT((PayEmp=$C115)*(PayDate&lt;=$AC115)*(OFFSET($N$6,1,MATCH(AO$5,PayDedList,0)-1,PayCount,1)))/$AA115*12*AO$3,(MIN(((SUMPRODUCT((PayEmp=$C115)*(PayDate&lt;=$AC115)*(ISERROR(SEARCH(PayEarnCode,AO$2)))*(PayEarnType="Monthly")*(PayEarnValues))/$AA115*12)+(SUMPRODUCT((PayEmp=$C115)*(PayDate&lt;=$AC115)*(ISERROR(SEARCH(PayEarnCode,AO$2)))*(PayEarnType="Quarterly")*(PayEarnValues))/MAX(1,ROUNDDOWN($AB115/3,0))*4)+(SUMPRODUCT((PayEmp=$C115)*(PayDate&lt;=$AC115)*(ISERROR(SEARCH(PayEarnCode,AO$2)))*(PayEarnType="Bi-Annual")*(PayEarnValues))/MAX(1,ROUNDDOWN($AB115/6,0))*2)+(SUMPRODUCT((PayEmp=$C115)*(PayDate&lt;=$AC115)*(ISERROR(SEARCH(PayEarnCode,AO$2)))*(PayEarnType="Annual")*(PayEarnValues)))),IF(ISNUMBER(OFFSET($N$3,0,MATCH(AO$5,PayDedList,0)-1,1,1)),OFFSET($N$3,0,MATCH(AO$5,PayDedList,0)-1,1,1),IgnoreMin)))*IF(COUNTIFS(EmpNo,$C115,OFFSET(Emp!$R$4,1,MATCH(AO$5,DedListItem,0)-1,EmpCount,1),"&lt;&gt;")&gt;0,VLOOKUP($C115,EmpAll,COLUMN(Emp!$R$4)+MATCH(AO$5,DedListItem,0)-1,0),OFFSET(Setup!$E$73,MATCH(AO$5,DedListItem,0),0,1,1))*AO$3))),IF(ISNUMBER(AO$4),AO$4,IgnoreMin)))))</f>
        <v>0</v>
      </c>
      <c r="AP115" s="148" cm="1">
        <f t="array" aca="1" ref="AP115" ca="1">-IF($F115="Terminated",0,IF($AA115=0,0,IF(ISNA(MATCH(AP$5,PayDedList,0)),0,MIN(IF(COUNTIFS(OverEmp,$C115,OverDeduct,AP$5,OverDate,"&lt;"&amp;DATE(YEAR($AC115),MONTH($AC115)+1,1),OverEnd,"&gt;="&amp;DATE(YEAR($AC115),MONTH($AC115),1))&gt;0,SUMPRODUCT((PayEmp=$C115)*(PayDate&lt;=$AC115)*(OFFSET($N$6,1,MATCH(AP$5,PayDedList,0)-1,PayCount,1)))/$AA115*12*AP$3,IF(OR(AP$1="Fixed",AP$1="Not Used"),SUMPRODUCT((PayEmp=$C115)*(PayDate&lt;=$AC115)*(OFFSET($N$6,1,MATCH(AP$5,PayDedList,0)-1,PayCount,1)))/$AA115*12*AP$3,IF(ISNA(MATCH(AP$1,EarnListItem,0))=FALSE,SUMPRODUCT((PayEmp=$C115)*(PayDate&lt;=$AC115)*(OFFSET($N$6,1,MATCH(AP$5,PayDedList,0)-1,PayCount,1)))/$AA115*12*AP$3,(MIN(((SUMPRODUCT((PayEmp=$C115)*(PayDate&lt;=$AC115)*(ISERROR(SEARCH(PayEarnCode,AP$2)))*(PayEarnType="Monthly")*(PayEarnValues))/$AA115*12)+(SUMPRODUCT((PayEmp=$C115)*(PayDate&lt;=$AC115)*(ISERROR(SEARCH(PayEarnCode,AP$2)))*(PayEarnType="Quarterly")*(PayEarnValues))/MAX(1,ROUNDDOWN($AB115/3,0))*4)+(SUMPRODUCT((PayEmp=$C115)*(PayDate&lt;=$AC115)*(ISERROR(SEARCH(PayEarnCode,AP$2)))*(PayEarnType="Bi-Annual")*(PayEarnValues))/MAX(1,ROUNDDOWN($AB115/6,0))*2)+(SUMPRODUCT((PayEmp=$C115)*(PayDate&lt;=$AC115)*(ISERROR(SEARCH(PayEarnCode,AP$2)))*(PayEarnType="Annual")*(PayEarnValues)))),IF(ISNUMBER(OFFSET($N$3,0,MATCH(AP$5,PayDedList,0)-1,1,1)),OFFSET($N$3,0,MATCH(AP$5,PayDedList,0)-1,1,1),IgnoreMin)))*IF(COUNTIFS(EmpNo,$C115,OFFSET(Emp!$R$4,1,MATCH(AP$5,DedListItem,0)-1,EmpCount,1),"&lt;&gt;")&gt;0,VLOOKUP($C115,EmpAll,COLUMN(Emp!$R$4)+MATCH(AP$5,DedListItem,0)-1,0),OFFSET(Setup!$E$73,MATCH(AP$5,DedListItem,0),0,1,1))*AP$3))),IF(ISNUMBER(AP$4),AP$4,IgnoreMin)))))</f>
        <v>0</v>
      </c>
      <c r="AQ115" s="148" cm="1">
        <f t="array" aca="1" ref="AQ115" ca="1">-IF($F115="Terminated",0,IF($AA115=0,0,IF(ISNA(MATCH(AQ$5,PayDedList,0)),0,MIN(IF(COUNTIFS(OverEmp,$C115,OverDeduct,AQ$5,OverDate,"&lt;"&amp;DATE(YEAR($AC115),MONTH($AC115)+1,1),OverEnd,"&gt;="&amp;DATE(YEAR($AC115),MONTH($AC115),1))&gt;0,SUMPRODUCT((PayEmp=$C115)*(PayDate&lt;=$AC115)*(OFFSET($N$6,1,MATCH(AQ$5,PayDedList,0)-1,PayCount,1)))/$AA115*12*AQ$3,IF(OR(AQ$1="Fixed",AQ$1="Not Used"),SUMPRODUCT((PayEmp=$C115)*(PayDate&lt;=$AC115)*(OFFSET($N$6,1,MATCH(AQ$5,PayDedList,0)-1,PayCount,1)))/$AA115*12*AQ$3,IF(ISNA(MATCH(AQ$1,EarnListItem,0))=FALSE,SUMPRODUCT((PayEmp=$C115)*(PayDate&lt;=$AC115)*(OFFSET($N$6,1,MATCH(AQ$5,PayDedList,0)-1,PayCount,1)))/$AA115*12*AQ$3,(MIN(((SUMPRODUCT((PayEmp=$C115)*(PayDate&lt;=$AC115)*(ISERROR(SEARCH(PayEarnCode,AQ$2)))*(PayEarnType="Monthly")*(PayEarnValues))/$AA115*12)+(SUMPRODUCT((PayEmp=$C115)*(PayDate&lt;=$AC115)*(ISERROR(SEARCH(PayEarnCode,AQ$2)))*(PayEarnType="Quarterly")*(PayEarnValues))/MAX(1,ROUNDDOWN($AB115/3,0))*4)+(SUMPRODUCT((PayEmp=$C115)*(PayDate&lt;=$AC115)*(ISERROR(SEARCH(PayEarnCode,AQ$2)))*(PayEarnType="Bi-Annual")*(PayEarnValues))/MAX(1,ROUNDDOWN($AB115/6,0))*2)+(SUMPRODUCT((PayEmp=$C115)*(PayDate&lt;=$AC115)*(ISERROR(SEARCH(PayEarnCode,AQ$2)))*(PayEarnType="Annual")*(PayEarnValues)))),IF(ISNUMBER(OFFSET($N$3,0,MATCH(AQ$5,PayDedList,0)-1,1,1)),OFFSET($N$3,0,MATCH(AQ$5,PayDedList,0)-1,1,1),IgnoreMin)))*IF(COUNTIFS(EmpNo,$C115,OFFSET(Emp!$R$4,1,MATCH(AQ$5,DedListItem,0)-1,EmpCount,1),"&lt;&gt;")&gt;0,VLOOKUP($C115,EmpAll,COLUMN(Emp!$R$4)+MATCH(AQ$5,DedListItem,0)-1,0),OFFSET(Setup!$E$73,MATCH(AQ$5,DedListItem,0),0,1,1))*AQ$3))),IF(ISNUMBER(AQ$4),AQ$4,IgnoreMin)))))</f>
        <v>0</v>
      </c>
      <c r="AR115" s="148">
        <f t="shared" ca="1" si="52"/>
        <v>183600</v>
      </c>
      <c r="AS115" s="148">
        <f t="shared" ca="1" si="42"/>
        <v>180000</v>
      </c>
      <c r="AT115" s="148" cm="1">
        <f t="array" aca="1" ref="AT115" ca="1">-IF($F115="Terminated",0,IF($AA115=0,0,IF(ISNA(MATCH(AT$5,PayDedList,0)),0,MIN(IF(COUNTIFS(OverEmp,$C115,OverDeduct,AT$5,OverDate,"&lt;"&amp;DATE(YEAR($AC115),MONTH($AC115)+1,1),OverEnd,"&gt;="&amp;DATE(YEAR($AC115),MONTH($AC115),1))&gt;0,SUMPRODUCT((PayEmp=$C115)*(PayDate&lt;=$AC115)*(OFFSET($N$6,1,MATCH(AT$5,PayDedList,0)-1,PayCount,1)))/$AA115*12*AT$3,IF(OR(AT$1="Fixed",AT$1="Not Used"),SUMPRODUCT((PayEmp=$C115)*(PayDate&lt;=$AC115)*(OFFSET($N$6,1,MATCH(AT$5,PayDedList,0)-1,PayCount,1)))/$AA115*12*AT$3,IF(ISNA(MATCH(OFFSET($N$2,0,MATCH(AT$5,PayDedList,0)-1,1,1),EarnListItem,0))=FALSE,SUMPRODUCT((PayEmp=$C115)*(PayDate&lt;=$AC115)*(OFFSET($N$6,1,MATCH(AT$5,PayDedList,0)-1,PayCount,1)))/$AA115*12*AT$3,(MIN(SUMPRODUCT((PayEmp=$C115)*(PayDate&lt;=$AC115)*(ISERROR(SEARCH(PayEarnCode,AT$2)))*(PayEarnType="Monthly")*(PayEarnValues))/$AA115*12,IF(ISNUMBER(OFFSET($N$3,0,MATCH(AT$5,PayDedList,0)-1,1,1)),OFFSET($N$3,0,MATCH(AT$5,PayDedList,0)-1,1,1),IgnoreMin)))*IF(COUNTIFS(EmpNo,$C115,OFFSET(Emp!$R$4,1,MATCH(AT$5,DedListItem,0)-1,EmpCount,1),"&lt;&gt;")&gt;0,VLOOKUP($C115,EmpAll,COLUMN(Emp!$R$4)+MATCH(AT$5,DedListItem,0)-1,0),OFFSET(Setup!$E$73,MATCH(AT$5,DedListItem,0),0,1,1))*AT$3))),IF(ISNUMBER(AT$4),AT$4,IgnoreMin)))))</f>
        <v>0</v>
      </c>
      <c r="AU115" s="148" cm="1">
        <f t="array" aca="1" ref="AU115" ca="1">-IF($F115="Terminated",0,IF($AA115=0,0,IF(ISNA(MATCH(AU$5,PayDedList,0)),0,MIN(IF(COUNTIFS(OverEmp,$C115,OverDeduct,AU$5,OverDate,"&lt;"&amp;DATE(YEAR($AC115),MONTH($AC115)+1,1),OverEnd,"&gt;="&amp;DATE(YEAR($AC115),MONTH($AC115),1))&gt;0,SUMPRODUCT((PayEmp=$C115)*(PayDate&lt;=$AC115)*(OFFSET($N$6,1,MATCH(AU$5,PayDedList,0)-1,PayCount,1)))/$AA115*12*AU$3,IF(OR(AU$1="Fixed",AU$1="Not Used"),SUMPRODUCT((PayEmp=$C115)*(PayDate&lt;=$AC115)*(OFFSET($N$6,1,MATCH(AU$5,PayDedList,0)-1,PayCount,1)))/$AA115*12*AU$3,IF(ISNA(MATCH(OFFSET($N$2,0,MATCH(AU$5,PayDedList,0)-1,1,1),EarnListItem,0))=FALSE,SUMPRODUCT((PayEmp=$C115)*(PayDate&lt;=$AC115)*(OFFSET($N$6,1,MATCH(AU$5,PayDedList,0)-1,PayCount,1)))/$AA115*12*AU$3,(MIN(SUMPRODUCT((PayEmp=$C115)*(PayDate&lt;=$AC115)*(ISERROR(SEARCH(PayEarnCode,AU$2)))*(PayEarnType="Monthly")*(PayEarnValues))/$AA115*12,IF(ISNUMBER(OFFSET($N$3,0,MATCH(AU$5,PayDedList,0)-1,1,1)),OFFSET($N$3,0,MATCH(AU$5,PayDedList,0)-1,1,1),IgnoreMin)))*IF(COUNTIFS(EmpNo,$C115,OFFSET(Emp!$R$4,1,MATCH(AU$5,DedListItem,0)-1,EmpCount,1),"&lt;&gt;")&gt;0,VLOOKUP($C115,EmpAll,COLUMN(Emp!$R$4)+MATCH(AU$5,DedListItem,0)-1,0),OFFSET(Setup!$E$73,MATCH(AU$5,DedListItem,0),0,1,1))*AU$3))),IF(ISNUMBER(AU$4),AU$4,IgnoreMin)))))</f>
        <v>0</v>
      </c>
      <c r="AV115" s="148" cm="1">
        <f t="array" aca="1" ref="AV115" ca="1">-IF($F115="Terminated",0,IF($AA115=0,0,IF(ISNA(MATCH(AV$5,PayDedList,0)),0,MIN(IF(COUNTIFS(OverEmp,$C115,OverDeduct,AV$5,OverDate,"&lt;"&amp;DATE(YEAR($AC115),MONTH($AC115)+1,1),OverEnd,"&gt;="&amp;DATE(YEAR($AC115),MONTH($AC115),1))&gt;0,SUMPRODUCT((PayEmp=$C115)*(PayDate&lt;=$AC115)*(OFFSET($N$6,1,MATCH(AV$5,PayDedList,0)-1,PayCount,1)))/$AA115*12*AV$3,IF(OR(AV$1="Fixed",AV$1="Not Used"),SUMPRODUCT((PayEmp=$C115)*(PayDate&lt;=$AC115)*(OFFSET($N$6,1,MATCH(AV$5,PayDedList,0)-1,PayCount,1)))/$AA115*12*AV$3,IF(ISNA(MATCH(OFFSET($N$2,0,MATCH(AV$5,PayDedList,0)-1,1,1),EarnListItem,0))=FALSE,SUMPRODUCT((PayEmp=$C115)*(PayDate&lt;=$AC115)*(OFFSET($N$6,1,MATCH(AV$5,PayDedList,0)-1,PayCount,1)))/$AA115*12*AV$3,(MIN(SUMPRODUCT((PayEmp=$C115)*(PayDate&lt;=$AC115)*(ISERROR(SEARCH(PayEarnCode,AV$2)))*(PayEarnType="Monthly")*(PayEarnValues))/$AA115*12,IF(ISNUMBER(OFFSET($N$3,0,MATCH(AV$5,PayDedList,0)-1,1,1)),OFFSET($N$3,0,MATCH(AV$5,PayDedList,0)-1,1,1),IgnoreMin)))*IF(COUNTIFS(EmpNo,$C115,OFFSET(Emp!$R$4,1,MATCH(AV$5,DedListItem,0)-1,EmpCount,1),"&lt;&gt;")&gt;0,VLOOKUP($C115,EmpAll,COLUMN(Emp!$R$4)+MATCH(AV$5,DedListItem,0)-1,0),OFFSET(Setup!$E$73,MATCH(AV$5,DedListItem,0),0,1,1))*AV$3))),IF(ISNUMBER(AV$4),AV$4,IgnoreMin)))))</f>
        <v>0</v>
      </c>
      <c r="AW115" s="148" cm="1">
        <f t="array" aca="1" ref="AW115" ca="1">-IF($F115="Terminated",0,IF($AA115=0,0,IF(ISNA(MATCH(AW$5,PayDedList,0)),0,MIN(IF(COUNTIFS(OverEmp,$C115,OverDeduct,AW$5,OverDate,"&lt;"&amp;DATE(YEAR($AC115),MONTH($AC115)+1,1),OverEnd,"&gt;="&amp;DATE(YEAR($AC115),MONTH($AC115),1))&gt;0,SUMPRODUCT((PayEmp=$C115)*(PayDate&lt;=$AC115)*(OFFSET($N$6,1,MATCH(AW$5,PayDedList,0)-1,PayCount,1)))/$AA115*12*AW$3,IF(OR(AW$1="Fixed",AW$1="Not Used"),SUMPRODUCT((PayEmp=$C115)*(PayDate&lt;=$AC115)*(OFFSET($N$6,1,MATCH(AW$5,PayDedList,0)-1,PayCount,1)))/$AA115*12*AW$3,IF(ISNA(MATCH(OFFSET($N$2,0,MATCH(AW$5,PayDedList,0)-1,1,1),EarnListItem,0))=FALSE,SUMPRODUCT((PayEmp=$C115)*(PayDate&lt;=$AC115)*(OFFSET($N$6,1,MATCH(AW$5,PayDedList,0)-1,PayCount,1)))/$AA115*12*AW$3,(MIN(SUMPRODUCT((PayEmp=$C115)*(PayDate&lt;=$AC115)*(ISERROR(SEARCH(PayEarnCode,AW$2)))*(PayEarnType="Monthly")*(PayEarnValues))/$AA115*12,IF(ISNUMBER(OFFSET($N$3,0,MATCH(AW$5,PayDedList,0)-1,1,1)),OFFSET($N$3,0,MATCH(AW$5,PayDedList,0)-1,1,1),IgnoreMin)))*IF(COUNTIFS(EmpNo,$C115,OFFSET(Emp!$R$4,1,MATCH(AW$5,DedListItem,0)-1,EmpCount,1),"&lt;&gt;")&gt;0,VLOOKUP($C115,EmpAll,COLUMN(Emp!$R$4)+MATCH(AW$5,DedListItem,0)-1,0),OFFSET(Setup!$E$73,MATCH(AW$5,DedListItem,0),0,1,1))*AW$3))),IF(ISNUMBER(AW$4),AW$4,IgnoreMin)))))</f>
        <v>0</v>
      </c>
      <c r="AX115" s="148">
        <f t="shared" ca="1" si="58"/>
        <v>180000</v>
      </c>
      <c r="AY115" s="148">
        <f t="shared" ca="1" si="59"/>
        <v>3600</v>
      </c>
      <c r="AZ115" s="148">
        <f ca="1">IF(ISNUMBER($AL115),($AR115*$AL115)-$AI115-$AK115,MAX(0,IF($AL115="B",IF($AR115&lt;Setup!$C$32,($AR115*Setup!$D$32)-$AI115-$AK115,(($AR115-VLOOKUP($AR115,TaxAll2,1,1))*OFFSET(Setup!$D$32,MATCH($AR115,TaxBracket2,1),0,1,1))+OFFSET(Setup!$E$31,MATCH($AR115,TaxBracket2,1),0,1,1)-$AI115-$AK115),IF($AR115&lt;Setup!$C$21,($AR115*Setup!$D$21)-$AI115-$AK115,(($AR115-VLOOKUP($AR115,TaxAll1,1,1))*OFFSET(Setup!$D$21,MATCH($AR115,TaxBracket1,1),0,1,1))+OFFSET(Setup!$E$20,MATCH($AR115,TaxBracket1,1),0,1,1)-$AI115-$AK115))))</f>
        <v>11445</v>
      </c>
      <c r="BA115" s="148">
        <f ca="1">IF(ISNUMBER($AL115),($AX115*$AL115)-$AI115-$AK115,MAX(0,IF($AL115="B",IF($AX115&lt;Setup!$C$32,($AX115*Setup!$D$32)-$AI115-$AK115,(($AX115-VLOOKUP($AX115,TaxAll2,1,1))*OFFSET(Setup!$D$32,MATCH($AX115,TaxBracket2,1),0,1,1))+OFFSET(Setup!$E$31,MATCH($AX115,TaxBracket2,1),0,1,1)-$AI115-$AK115),IF($AX115&lt;Setup!$C$21,($AX115*Setup!$D$21)-$AI115-$AK115,(($AX115-VLOOKUP($AX115,TaxAll1,1,1))*OFFSET(Setup!$D$21,MATCH($AX115,TaxBracket1,1),0,1,1))+OFFSET(Setup!$E$20,MATCH($AX115,TaxBracket1,1),0,1,1)-$AI115-$AK115))))</f>
        <v>10797</v>
      </c>
      <c r="BB115" s="148">
        <f t="shared" ca="1" si="53"/>
        <v>648</v>
      </c>
      <c r="BC115" s="150">
        <f t="shared" ca="1" si="45"/>
        <v>0.98039215686274506</v>
      </c>
      <c r="BD115" s="150">
        <f t="shared" ca="1" si="46"/>
        <v>1.9607843137254902E-2</v>
      </c>
      <c r="BE115" s="148">
        <f t="shared" ca="1" si="47"/>
        <v>183600</v>
      </c>
    </row>
    <row r="116" spans="1:57" ht="16.149999999999999" customHeight="1" x14ac:dyDescent="0.25">
      <c r="A116" s="10" t="str" cm="1">
        <f t="array" aca="1" ref="A116" ca="1">IF(ROW($A116)-ROW($A$6)&gt;EmpCount*12,"-",TEXT($B116,"yyyy")&amp;TEXT($B116,"mm")&amp;"-"&amp;$C116)</f>
        <v>202310-EXS005</v>
      </c>
      <c r="B116" s="137" cm="1">
        <f t="array" aca="1" ref="B116" ca="1">IF(ROW($A116)-ROW($A$6)&gt;EmpCount*12,Setup!$D$12,DATE(YEAR(Setup!$F$12),MONTH(Setup!$F$12)+ROUNDDOWN((ROW($A116)-ROW($A$6)-1)/EmpCount,0),IF(Setup!$C$14&gt;DAY(DATE(YEAR(Setup!$F$12),MONTH(Setup!$F$12)+ROUNDDOWN((ROW($A116)-ROW($A$6)-1)/EmpCount,0)+1,0)),DAY(DATE(YEAR(Setup!$F$12),MONTH(Setup!$F$12)+ROUNDDOWN((ROW($A116)-ROW($A$6)-1)/EmpCount,0)+1,0)),Setup!$C$14)))</f>
        <v>45224</v>
      </c>
      <c r="C116" s="101" t="str" cm="1">
        <f t="array" aca="1" ref="C116" ca="1">IF(ROW($A116)-ROW($A$6)&gt;EmpCount*12,"-",OFFSET(Emp!$A$4,ROW($A116)-ROW($A$6)-IF(ROW($A116)-ROW($A$6)&gt;EmpCount,ROUNDDOWN((ROW($A116)-ROW($A$6)-1)/EmpCount,0)*EmpCount,0),0,1,1))</f>
        <v>EXS005</v>
      </c>
      <c r="D116" s="10" t="str">
        <f ca="1">IF(ISNA(VLOOKUP($C116,EmpAll,COLUMN(Emp!$B$4),0)),"-",VLOOKUP($C116,EmpAll,COLUMN(Emp!$B$4),0))</f>
        <v>Miller R</v>
      </c>
      <c r="E116" s="145" t="str">
        <f ca="1">IF(ISNA(VLOOKUP($C116,EmpAll,COLUMN(Emp!$C$4),0)),"-",VLOOKUP($C116,EmpAll,COLUMN(Emp!$C$4),0))</f>
        <v>S</v>
      </c>
      <c r="F116" s="101" t="str">
        <f ca="1">IF(ISNA(VLOOKUP($C116,EmpAll,COLUMN(Emp!$A$4),0)),"-",IF(AND(VLOOKUP($C116,EmpAll,COLUMN(Emp!$E$4),0)&lt;&gt;0,VLOOKUP($C116,EmpAll,COLUMN(Emp!$E$4),0)&gt;=DATE(YEAR($AC116),MONTH($AC116)+1,0)),"Inactive",IF(AND(VLOOKUP($C116,EmpAll,COLUMN(Emp!$F$4),0)&lt;&gt;0,VLOOKUP($C116,EmpAll,COLUMN(Emp!$F$4),0)&lt;=DATE(YEAR($AC116),MONTH($AC116),0)),"Terminated","Active")))</f>
        <v>Active</v>
      </c>
      <c r="G116" s="133" cm="1">
        <f t="array" aca="1" ref="G116" ca="1">IF($F116&lt;&gt;"Active",0,IF(COUNTIFS(OverEmp,$C116,OverEarn,G$2,OverDate,"&lt;"&amp;DATE(YEAR($AC116),MONTH($AC116)+1,1),OverEnd,"&gt;="&amp;DATE(YEAR($AC116),MONTH($AC116),1))&gt;0,SUMIFS(OverValue,OverEmp,$C116,OverEarn,G$2,OverDate,"&lt;"&amp;DATE(YEAR($AC116),MONTH($AC116)+1,1),OverEnd,"&gt;="&amp;DATE(YEAR($AC116),MONTH($AC116),1)),IF(AND($AC116&gt;=Setup!$E$10,SUMIFS(EmpIncrease,EmpCode,$C116)&gt;0),SUMIFS(EmpIncrease,EmpCode,$C116),SUMIFS(EmpSalary,EmpCode,$C116))))</f>
        <v>10000</v>
      </c>
      <c r="H116" s="133" cm="1">
        <f t="array" aca="1" ref="H116" ca="1">IF($F116&lt;&gt;"Active",0,IF(COUNTIFS(OverEmp,$C116,OverEarn,H$2,OverDate,"&lt;"&amp;DATE(YEAR($AC116),MONTH($AC116)+1,1),OverEnd,"&gt;="&amp;DATE(YEAR($AC116),MONTH($AC116),1))&gt;0,SUMIFS(OverValue,OverEmp,$C116,OverEarn,H$2,OverDate,"&lt;"&amp;DATE(YEAR($AC116),MONTH($AC116)+1,1),OverEnd,"&gt;="&amp;DATE(YEAR($AC116),MONTH($AC116),1)),0))</f>
        <v>0</v>
      </c>
      <c r="I116" s="133" cm="1">
        <f t="array" aca="1" ref="I116" ca="1">IF($F116&lt;&gt;"Active",0,IF(COUNTIFS(OverEmp,$C116,OverEarn,I$2,OverDate,"&lt;"&amp;DATE(YEAR($AC116),MONTH($AC116)+1,1),OverEnd,"&gt;="&amp;DATE(YEAR($AC116),MONTH($AC116),1))&gt;0,SUMIFS(OverValue,OverEmp,$C116,OverEarn,I$2,OverDate,"&lt;"&amp;DATE(YEAR($AC116),MONTH($AC116)+1,1),OverEnd,"&gt;="&amp;DATE(YEAR($AC116),MONTH($AC116),1)),IF(MONTH(B116)=Setup!$C$15,SUMIFS(EmpBonus,EmpCode,$C116),0)))</f>
        <v>0</v>
      </c>
      <c r="J116" s="133" cm="1">
        <f t="array" aca="1" ref="J116" ca="1">IF($F116&lt;&gt;"Active",0,IF(COUNTIFS(OverEmp,$C116,OverEarn,J$2,OverDate,"&lt;"&amp;DATE(YEAR($AC116),MONTH($AC116)+1,1),OverEnd,"&gt;="&amp;DATE(YEAR($AC116),MONTH($AC116),1))&gt;0,SUMIFS(OverValue,OverEmp,$C116,OverEarn,J$2,OverDate,"&lt;"&amp;DATE(YEAR($AC116),MONTH($AC116)+1,1),OverEnd,"&gt;="&amp;DATE(YEAR($AC116),MONTH($AC116),1)),0))</f>
        <v>0</v>
      </c>
      <c r="K116" s="133" cm="1">
        <f t="array" aca="1" ref="K116" ca="1">IF($F116&lt;&gt;"Active",0,IF(COUNTIFS(OverEmp,$C116,OverEarn,K$2,OverDate,"&lt;"&amp;DATE(YEAR($AC116),MONTH($AC116)+1,1),OverEnd,"&gt;="&amp;DATE(YEAR($AC116),MONTH($AC116),1))&gt;0,SUMIFS(OverValue,OverEmp,$C116,OverEarn,K$2,OverDate,"&lt;"&amp;DATE(YEAR($AC116),MONTH($AC116)+1,1),OverEnd,"&gt;="&amp;DATE(YEAR($AC116),MONTH($AC116),1)),0))</f>
        <v>0</v>
      </c>
      <c r="L116" s="185">
        <f t="shared" ca="1" si="54"/>
        <v>10000</v>
      </c>
      <c r="M116" s="182" cm="1">
        <f t="array" aca="1" ref="M116" ca="1">IF(COUNTIFS(OverEmp,$C116,OverTax,M$5,OverDate,"&lt;"&amp;DATE(YEAR($AC116),MONTH($AC116)+1,1),OverEnd,"&gt;="&amp;DATE(YEAR($AC116),MONTH($AC116),1))&gt;0,SUMIFS(OverValue,OverEmp,$C116,OverTax,M$5,OverDate,"&lt;"&amp;DATE(YEAR($AC116),MONTH($AC116)+1,1),OverEnd,"&gt;="&amp;DATE(YEAR($AC116),MONTH($AC116),1)),(($BA116/12*$AA116)+(BB116*IF(1-$BC116=0,0,BD116/(1-$BC116))))-IF($F116="Terminated",0,SUMIFS(PayTaxDeduct,PayDate,"&lt;"&amp;$AC116,PayEmp,$C116)))</f>
        <v>0</v>
      </c>
      <c r="N116" s="133" cm="1">
        <f t="array" aca="1" ref="N116" ca="1">IF($F116="Terminated",0,IF($AA116=0,0,IF(ISNA(MATCH(N$5,DedListItem,0)),0,IF(COUNTIFS(OverEmp,$C116,OverDeduct,N$5,OverDate,"&lt;"&amp;DATE(YEAR($AC116),MONTH($AC116)+1,1),OverEnd,"&gt;="&amp;DATE(YEAR($AC116),MONTH($AC116),1))&gt;0,SUMIFS(OverValue,OverEmp,$C116,OverDeduct,N$5,OverDate,"&lt;"&amp;DATE(YEAR($AC116),MONTH($AC116)+1,1),OverEnd,"&gt;="&amp;DATE(YEAR($AC116),MONTH($AC116),1)),IF(OR(N$2="Fixed",N$2="Not Used"),(IF(COUNTIFS(EmpNo,$C116,OFFSET(Emp!$R$4,1,MATCH(N$5,DedListItem,0)-1,EmpCount,1),"&lt;&gt;")&gt;0,VLOOKUP($C116,EmpAll,COLUMN(Emp!$R$4)+MATCH(N$5,DedListItem,0)-1,0),OFFSET(Setup!$E$73,MATCH(N$5,DedListItem,0),0,1,1))*$AA116)-SUMIFS(OFFSET(N$6,1,0,PayCount,1),PayDate,"&lt;"&amp;$AC116,PayEmp,$C116),IF(ISNA(MATCH(N$2,EarnListItem,0))=FALSE,IF(OFFSET(Setup!$G$73,MATCH(N$5,DedListItem,0),0,1,1)="Taxable",SUMPRODUCT((PayEmp=$C116)*(PayDate&lt;=$AC116)*(PayEarnCode=N$2)*(PayEarnTax)*(PayEarnValues)),SUMPRODUCT((PayEmp=$C116)*(PayDate&lt;=$AC116)*(PayEarnCode=N$2)*(PayEarnValues)))*IF(COUNTIFS(EmpNo,$C116,OFFSET(Emp!$R$4,1,MATCH(N$5,DedListItem,0)-1,EmpCount,1),"&lt;&gt;")&gt;0,VLOOKUP($C116,EmpAll,COLUMN(Emp!$R$4)+MATCH(N$5,DedListItem,0)-1,0),OFFSET(Setup!$E$73,MATCH(N$5,DedListItem,0),0,1,1)),(MIN(IF(OFFSET(Setup!$G$73,MATCH(N$5,DedListItem,0),0,1,1)="Taxable",SUMPRODUCT((PayEmp=$C116)*(PayDate&lt;=$AC116)*(ISERROR(SEARCH(PayEarnCode,N$4)))*(PayEarnTax)*(PayEarnValues)),SUMPRODUCT((PayEmp=$C116)*(PayDate&lt;=$AC116)*(ISERROR(SEARCH(PayEarnCode,N$4)))*(PayEarnValues))),IF(ISNUMBER(N$3),N$3/12*$AA116,IgnoreMin)))*IF(COUNTIFS(EmpNo,$C116,OFFSET(Emp!$R$4,1,MATCH(N$5,DedListItem,0)-1,EmpCount,1),"&lt;&gt;")&gt;0,VLOOKUP($C116,EmpAll,COLUMN(Emp!$R$4)+MATCH(N$5,DedListItem,0)-1,0),OFFSET(Setup!$E$73,MATCH(N$5,DedListItem,0),0,1,1)))-SUMIFS(OFFSET(N$6,1,0,PayCount,1),PayDate,"&lt;"&amp;$AC116,PayEmp,$C116))))))</f>
        <v>100</v>
      </c>
      <c r="O116" s="133" cm="1">
        <f t="array" aca="1" ref="O116" ca="1">IF($F116="Terminated",0,IF($AA116=0,0,IF(ISNA(MATCH(O$5,DedListItem,0)),0,IF(COUNTIFS(OverEmp,$C116,OverDeduct,O$5,OverDate,"&lt;"&amp;DATE(YEAR($AC116),MONTH($AC116)+1,1),OverEnd,"&gt;="&amp;DATE(YEAR($AC116),MONTH($AC116),1))&gt;0,SUMIFS(OverValue,OverEmp,$C116,OverDeduct,O$5,OverDate,"&lt;"&amp;DATE(YEAR($AC116),MONTH($AC116)+1,1),OverEnd,"&gt;="&amp;DATE(YEAR($AC116),MONTH($AC116),1)),IF(OR(O$2="Fixed",O$2="Not Used"),(IF(COUNTIFS(EmpNo,$C116,OFFSET(Emp!$R$4,1,MATCH(O$5,DedListItem,0)-1,EmpCount,1),"&lt;&gt;")&gt;0,VLOOKUP($C116,EmpAll,COLUMN(Emp!$R$4)+MATCH(O$5,DedListItem,0)-1,0),OFFSET(Setup!$E$73,MATCH(O$5,DedListItem,0),0,1,1))*$AA116)-SUMIFS(OFFSET(O$6,1,0,PayCount,1),PayDate,"&lt;"&amp;$AC116,PayEmp,$C116),IF(ISNA(MATCH(O$2,EarnListItem,0))=FALSE,IF(OFFSET(Setup!$G$73,MATCH(O$5,DedListItem,0),0,1,1)="Taxable",SUMPRODUCT((PayEmp=$C116)*(PayDate&lt;=$AC116)*(PayEarnCode=O$2)*(PayEarnTax)*(PayEarnValues)),SUMPRODUCT((PayEmp=$C116)*(PayDate&lt;=$AC116)*(PayEarnCode=O$2)*(PayEarnValues)))*IF(COUNTIFS(EmpNo,$C116,OFFSET(Emp!$R$4,1,MATCH(O$5,DedListItem,0)-1,EmpCount,1),"&lt;&gt;")&gt;0,VLOOKUP($C116,EmpAll,COLUMN(Emp!$R$4)+MATCH(O$5,DedListItem,0)-1,0),OFFSET(Setup!$E$73,MATCH(O$5,DedListItem,0),0,1,1)),(MIN(IF(OFFSET(Setup!$G$73,MATCH(O$5,DedListItem,0),0,1,1)="Taxable",SUMPRODUCT((PayEmp=$C116)*(PayDate&lt;=$AC116)*(ISERROR(SEARCH(PayEarnCode,O$4)))*(PayEarnTax)*(PayEarnValues)),SUMPRODUCT((PayEmp=$C116)*(PayDate&lt;=$AC116)*(ISERROR(SEARCH(PayEarnCode,O$4)))*(PayEarnValues))),IF(ISNUMBER(O$3),O$3/12*$AA116,IgnoreMin)))*IF(COUNTIFS(EmpNo,$C116,OFFSET(Emp!$R$4,1,MATCH(O$5,DedListItem,0)-1,EmpCount,1),"&lt;&gt;")&gt;0,VLOOKUP($C116,EmpAll,COLUMN(Emp!$R$4)+MATCH(O$5,DedListItem,0)-1,0),OFFSET(Setup!$E$73,MATCH(O$5,DedListItem,0),0,1,1)))-SUMIFS(OFFSET(O$6,1,0,PayCount,1),PayDate,"&lt;"&amp;$AC116,PayEmp,$C116))))))</f>
        <v>0</v>
      </c>
      <c r="P116" s="133" cm="1">
        <f t="array" aca="1" ref="P116" ca="1">IF($F116="Terminated",0,IF($AA116=0,0,IF(ISNA(MATCH(P$5,DedListItem,0)),0,IF(COUNTIFS(OverEmp,$C116,OverDeduct,P$5,OverDate,"&lt;"&amp;DATE(YEAR($AC116),MONTH($AC116)+1,1),OverEnd,"&gt;="&amp;DATE(YEAR($AC116),MONTH($AC116),1))&gt;0,SUMIFS(OverValue,OverEmp,$C116,OverDeduct,P$5,OverDate,"&lt;"&amp;DATE(YEAR($AC116),MONTH($AC116)+1,1),OverEnd,"&gt;="&amp;DATE(YEAR($AC116),MONTH($AC116),1)),IF(OR(P$2="Fixed",P$2="Not Used"),(IF(COUNTIFS(EmpNo,$C116,OFFSET(Emp!$R$4,1,MATCH(P$5,DedListItem,0)-1,EmpCount,1),"&lt;&gt;")&gt;0,VLOOKUP($C116,EmpAll,COLUMN(Emp!$R$4)+MATCH(P$5,DedListItem,0)-1,0),OFFSET(Setup!$E$73,MATCH(P$5,DedListItem,0),0,1,1))*$AA116)-SUMIFS(OFFSET(P$6,1,0,PayCount,1),PayDate,"&lt;"&amp;$AC116,PayEmp,$C116),IF(ISNA(MATCH(P$2,EarnListItem,0))=FALSE,IF(OFFSET(Setup!$G$73,MATCH(P$5,DedListItem,0),0,1,1)="Taxable",SUMPRODUCT((PayEmp=$C116)*(PayDate&lt;=$AC116)*(PayEarnCode=P$2)*(PayEarnTax)*(PayEarnValues)),SUMPRODUCT((PayEmp=$C116)*(PayDate&lt;=$AC116)*(PayEarnCode=P$2)*(PayEarnValues)))*IF(COUNTIFS(EmpNo,$C116,OFFSET(Emp!$R$4,1,MATCH(P$5,DedListItem,0)-1,EmpCount,1),"&lt;&gt;")&gt;0,VLOOKUP($C116,EmpAll,COLUMN(Emp!$R$4)+MATCH(P$5,DedListItem,0)-1,0),OFFSET(Setup!$E$73,MATCH(P$5,DedListItem,0),0,1,1)),(MIN(IF(OFFSET(Setup!$G$73,MATCH(P$5,DedListItem,0),0,1,1)="Taxable",SUMPRODUCT((PayEmp=$C116)*(PayDate&lt;=$AC116)*(ISERROR(SEARCH(PayEarnCode,P$4)))*(PayEarnTax)*(PayEarnValues)),SUMPRODUCT((PayEmp=$C116)*(PayDate&lt;=$AC116)*(ISERROR(SEARCH(PayEarnCode,P$4)))*(PayEarnValues))),IF(ISNUMBER(P$3),P$3/12*$AA116,IgnoreMin)))*IF(COUNTIFS(EmpNo,$C116,OFFSET(Emp!$R$4,1,MATCH(P$5,DedListItem,0)-1,EmpCount,1),"&lt;&gt;")&gt;0,VLOOKUP($C116,EmpAll,COLUMN(Emp!$R$4)+MATCH(P$5,DedListItem,0)-1,0),OFFSET(Setup!$E$73,MATCH(P$5,DedListItem,0),0,1,1)))-SUMIFS(OFFSET(P$6,1,0,PayCount,1),PayDate,"&lt;"&amp;$AC116,PayEmp,$C116))))))</f>
        <v>0</v>
      </c>
      <c r="Q116" s="133" cm="1">
        <f t="array" aca="1" ref="Q116" ca="1">IF($F116="Terminated",0,IF($AA116=0,0,IF(ISNA(MATCH(Q$5,DedListItem,0)),0,IF(COUNTIFS(OverEmp,$C116,OverDeduct,Q$5,OverDate,"&lt;"&amp;DATE(YEAR($AC116),MONTH($AC116)+1,1),OverEnd,"&gt;="&amp;DATE(YEAR($AC116),MONTH($AC116),1))&gt;0,SUMIFS(OverValue,OverEmp,$C116,OverDeduct,Q$5,OverDate,"&lt;"&amp;DATE(YEAR($AC116),MONTH($AC116)+1,1),OverEnd,"&gt;="&amp;DATE(YEAR($AC116),MONTH($AC116),1)),IF(OR(Q$2="Fixed",Q$2="Not Used"),(IF(COUNTIFS(EmpNo,$C116,OFFSET(Emp!$R$4,1,MATCH(Q$5,DedListItem,0)-1,EmpCount,1),"&lt;&gt;")&gt;0,VLOOKUP($C116,EmpAll,COLUMN(Emp!$R$4)+MATCH(Q$5,DedListItem,0)-1,0),OFFSET(Setup!$E$73,MATCH(Q$5,DedListItem,0),0,1,1))*$AA116)-SUMIFS(OFFSET(Q$6,1,0,PayCount,1),PayDate,"&lt;"&amp;$AC116,PayEmp,$C116),IF(ISNA(MATCH(Q$2,EarnListItem,0))=FALSE,IF(OFFSET(Setup!$G$73,MATCH(Q$5,DedListItem,0),0,1,1)="Taxable",SUMPRODUCT((PayEmp=$C116)*(PayDate&lt;=$AC116)*(PayEarnCode=Q$2)*(PayEarnTax)*(PayEarnValues)),SUMPRODUCT((PayEmp=$C116)*(PayDate&lt;=$AC116)*(PayEarnCode=Q$2)*(PayEarnValues)))*IF(COUNTIFS(EmpNo,$C116,OFFSET(Emp!$R$4,1,MATCH(Q$5,DedListItem,0)-1,EmpCount,1),"&lt;&gt;")&gt;0,VLOOKUP($C116,EmpAll,COLUMN(Emp!$R$4)+MATCH(Q$5,DedListItem,0)-1,0),OFFSET(Setup!$E$73,MATCH(Q$5,DedListItem,0),0,1,1)),(MIN(IF(OFFSET(Setup!$G$73,MATCH(Q$5,DedListItem,0),0,1,1)="Taxable",SUMPRODUCT((PayEmp=$C116)*(PayDate&lt;=$AC116)*(ISERROR(SEARCH(PayEarnCode,Q$4)))*(PayEarnTax)*(PayEarnValues)),SUMPRODUCT((PayEmp=$C116)*(PayDate&lt;=$AC116)*(ISERROR(SEARCH(PayEarnCode,Q$4)))*(PayEarnValues))),IF(ISNUMBER(Q$3),Q$3/12*$AA116,IgnoreMin)))*IF(COUNTIFS(EmpNo,$C116,OFFSET(Emp!$R$4,1,MATCH(Q$5,DedListItem,0)-1,EmpCount,1),"&lt;&gt;")&gt;0,VLOOKUP($C116,EmpAll,COLUMN(Emp!$R$4)+MATCH(Q$5,DedListItem,0)-1,0),OFFSET(Setup!$E$73,MATCH(Q$5,DedListItem,0),0,1,1)))-SUMIFS(OFFSET(Q$6,1,0,PayCount,1),PayDate,"&lt;"&amp;$AC116,PayEmp,$C116))))))</f>
        <v>0</v>
      </c>
      <c r="R116" s="185">
        <f t="shared" ca="1" si="55"/>
        <v>100</v>
      </c>
      <c r="S116" s="139">
        <f t="shared" ca="1" si="56"/>
        <v>9900</v>
      </c>
      <c r="T116" s="133" cm="1">
        <f t="array" aca="1" ref="T116" ca="1">IF($F116="Terminated",0,IF($AA116=0,0,IF(ISNA(MATCH(T$5,CompListItem,0)),0,IF(COUNTIFS(OverEmp,$C116,OverComp,T$5,OverDate,"&lt;"&amp;DATE(YEAR($AC116),MONTH($AC116)+1,1),OverEnd,"&gt;="&amp;DATE(YEAR($AC116),MONTH($AC116),1))&gt;0,SUMIFS(OverValue,OverEmp,$C116,OverComp,T$5,OverDate,"&lt;"&amp;DATE(YEAR($AC116),MONTH($AC116)+1,1),OverEnd,"&gt;="&amp;DATE(YEAR($AC116),MONTH($AC116),1)),IF(OR(T$2="Fixed",T$2="Not Used"),(OFFSET(Setup!$E$81,MATCH(T$5,CompListItem,0),0,1,1)*$AA116)-SUMIFS(OFFSET(T$6,1,0,PayCount,1),PayDate,"&lt;"&amp;$AC116,PayEmp,$C116),IF(ISNA(MATCH(T$2,DedListItem,0))=FALSE,(SUMPRODUCT((PayEmp=$C116)*(PayDate&lt;=$AC116)*(PayDedList=T$2)*(PayDedValues))*OFFSET(Setup!$E$81,MATCH(T$5,CompListItem,0),0,1,1))-SUMIFS(OFFSET(T$6,1,0,PayCount,1),PayDate,"&lt;"&amp;$AC116,PayEmp,$C116),(MIN(IF(OFFSET(Setup!$G$81,MATCH(T$5,CompListItem,0),0,1,1)="Taxable",SUMPRODUCT((PayEmp=$C116)*(PayDate&lt;=$AC116)*(ISERROR(SEARCH(PayEarnCode,T$4)))*(PayEarnTax)*(PayEarnValues)),SUMPRODUCT((PayEmp=$C116)*(PayDate&lt;=$AC116)*(ISERROR(SEARCH(PayEarnCode,T$4)))*(PayEarnValues))),IF(ISNUMBER(T$3),T$3/12*$AA116,IgnoreMin)))*OFFSET(Setup!$E$81,MATCH(T$5,CompListItem,0),0,1,1)-SUMIFS(OFFSET(T$6,1,0,PayCount,1),PayDate,"&lt;"&amp;$AC116,PayEmp,$C116)))))))</f>
        <v>100</v>
      </c>
      <c r="U116" s="133" cm="1">
        <f t="array" aca="1" ref="U116" ca="1">IF($F116="Terminated",0,IF($AA116=0,0,IF(ISNA(MATCH(U$5,CompListItem,0)),0,IF(COUNTIFS(OverEmp,$C116,OverComp,U$5,OverDate,"&lt;"&amp;DATE(YEAR($AC116),MONTH($AC116)+1,1),OverEnd,"&gt;="&amp;DATE(YEAR($AC116),MONTH($AC116),1))&gt;0,SUMIFS(OverValue,OverEmp,$C116,OverComp,U$5,OverDate,"&lt;"&amp;DATE(YEAR($AC116),MONTH($AC116)+1,1),OverEnd,"&gt;="&amp;DATE(YEAR($AC116),MONTH($AC116),1)),IF(OR(U$2="Fixed",U$2="Not Used"),(OFFSET(Setup!$E$81,MATCH(U$5,CompListItem,0),0,1,1)*$AA116)-SUMIFS(OFFSET(U$6,1,0,PayCount,1),PayDate,"&lt;"&amp;$AC116,PayEmp,$C116),IF(ISNA(MATCH(U$2,DedListItem,0))=FALSE,(SUMPRODUCT((PayEmp=$C116)*(PayDate&lt;=$AC116)*(PayDedList=U$2)*(PayDedValues))*OFFSET(Setup!$E$81,MATCH(U$5,CompListItem,0),0,1,1))-SUMIFS(OFFSET(U$6,1,0,PayCount,1),PayDate,"&lt;"&amp;$AC116,PayEmp,$C116),(MIN(IF(OFFSET(Setup!$G$81,MATCH(U$5,CompListItem,0),0,1,1)="Taxable",SUMPRODUCT((PayEmp=$C116)*(PayDate&lt;=$AC116)*(ISERROR(SEARCH(PayEarnCode,U$4)))*(PayEarnTax)*(PayEarnValues)),SUMPRODUCT((PayEmp=$C116)*(PayDate&lt;=$AC116)*(ISERROR(SEARCH(PayEarnCode,U$4)))*(PayEarnValues))),IF(ISNUMBER(U$3),U$3/12*$AA116,IgnoreMin)))*OFFSET(Setup!$E$81,MATCH(U$5,CompListItem,0),0,1,1)-SUMIFS(OFFSET(U$6,1,0,PayCount,1),PayDate,"&lt;"&amp;$AC116,PayEmp,$C116)))))))</f>
        <v>100</v>
      </c>
      <c r="V116" s="133" cm="1">
        <f t="array" aca="1" ref="V116" ca="1">IF($F116="Terminated",0,IF($AA116=0,0,IF(ISNA(MATCH(V$5,CompListItem,0)),0,IF(COUNTIFS(OverEmp,$C116,OverComp,V$5,OverDate,"&lt;"&amp;DATE(YEAR($AC116),MONTH($AC116)+1,1),OverEnd,"&gt;="&amp;DATE(YEAR($AC116),MONTH($AC116),1))&gt;0,SUMIFS(OverValue,OverEmp,$C116,OverComp,V$5,OverDate,"&lt;"&amp;DATE(YEAR($AC116),MONTH($AC116)+1,1),OverEnd,"&gt;="&amp;DATE(YEAR($AC116),MONTH($AC116),1)),IF(OR(V$2="Fixed",V$2="Not Used"),(OFFSET(Setup!$E$81,MATCH(V$5,CompListItem,0),0,1,1)*$AA116)-SUMIFS(OFFSET(V$6,1,0,PayCount,1),PayDate,"&lt;"&amp;$AC116,PayEmp,$C116),IF(ISNA(MATCH(V$2,DedListItem,0))=FALSE,(SUMPRODUCT((PayEmp=$C116)*(PayDate&lt;=$AC116)*(PayDedList=V$2)*(PayDedValues))*OFFSET(Setup!$E$81,MATCH(V$5,CompListItem,0),0,1,1))-SUMIFS(OFFSET(V$6,1,0,PayCount,1),PayDate,"&lt;"&amp;$AC116,PayEmp,$C116),(MIN(IF(OFFSET(Setup!$G$81,MATCH(V$5,CompListItem,0),0,1,1)="Taxable",SUMPRODUCT((PayEmp=$C116)*(PayDate&lt;=$AC116)*(ISERROR(SEARCH(PayEarnCode,V$4)))*(PayEarnTax)*(PayEarnValues)),SUMPRODUCT((PayEmp=$C116)*(PayDate&lt;=$AC116)*(ISERROR(SEARCH(PayEarnCode,V$4)))*(PayEarnValues))),IF(ISNUMBER(V$3),V$3/12*$AA116,IgnoreMin)))*OFFSET(Setup!$E$81,MATCH(V$5,CompListItem,0),0,1,1)-SUMIFS(OFFSET(V$6,1,0,PayCount,1),PayDate,"&lt;"&amp;$AC116,PayEmp,$C116)))))))</f>
        <v>0</v>
      </c>
      <c r="W116" s="133" cm="1">
        <f t="array" aca="1" ref="W116" ca="1">IF($F116="Terminated",0,IF($AA116=0,0,IF(ISNA(MATCH(W$5,CompListItem,0)),0,IF(COUNTIFS(OverEmp,$C116,OverComp,W$5,OverDate,"&lt;"&amp;DATE(YEAR($AC116),MONTH($AC116)+1,1),OverEnd,"&gt;="&amp;DATE(YEAR($AC116),MONTH($AC116),1))&gt;0,SUMIFS(OverValue,OverEmp,$C116,OverComp,W$5,OverDate,"&lt;"&amp;DATE(YEAR($AC116),MONTH($AC116)+1,1),OverEnd,"&gt;="&amp;DATE(YEAR($AC116),MONTH($AC116),1)),IF(OR(W$2="Fixed",W$2="Not Used"),(OFFSET(Setup!$E$81,MATCH(W$5,CompListItem,0),0,1,1)*$AA116)-SUMIFS(OFFSET(W$6,1,0,PayCount,1),PayDate,"&lt;"&amp;$AC116,PayEmp,$C116),IF(ISNA(MATCH(W$2,DedListItem,0))=FALSE,(SUMPRODUCT((PayEmp=$C116)*(PayDate&lt;=$AC116)*(PayDedList=W$2)*(PayDedValues))*OFFSET(Setup!$E$81,MATCH(W$5,CompListItem,0),0,1,1))-SUMIFS(OFFSET(W$6,1,0,PayCount,1),PayDate,"&lt;"&amp;$AC116,PayEmp,$C116),(MIN(IF(OFFSET(Setup!$G$81,MATCH(W$5,CompListItem,0),0,1,1)="Taxable",SUMPRODUCT((PayEmp=$C116)*(PayDate&lt;=$AC116)*(ISERROR(SEARCH(PayEarnCode,W$4)))*(PayEarnTax)*(PayEarnValues)),SUMPRODUCT((PayEmp=$C116)*(PayDate&lt;=$AC116)*(ISERROR(SEARCH(PayEarnCode,W$4)))*(PayEarnValues))),IF(ISNUMBER(W$3),W$3/12*$AA116,IgnoreMin)))*OFFSET(Setup!$E$81,MATCH(W$5,CompListItem,0),0,1,1)-SUMIFS(OFFSET(W$6,1,0,PayCount,1),PayDate,"&lt;"&amp;$AC116,PayEmp,$C116)))))))</f>
        <v>0</v>
      </c>
      <c r="X116" s="185">
        <f t="shared" ca="1" si="48"/>
        <v>200</v>
      </c>
      <c r="Y116" s="139">
        <f t="shared" ca="1" si="57"/>
        <v>10200</v>
      </c>
      <c r="Z116" s="139">
        <f t="shared" ca="1" si="49"/>
        <v>300</v>
      </c>
      <c r="AA116" s="146">
        <f ca="1">IF(OR($B116&lt;=Setup!$E$12,$B116&gt;=Setup!$D$12+1),0,IF($F116&lt;&gt;"Active",0,IF($AE116="Yes",$AB116,((YEAR($AC116)*12)+MONTH($AC116))-((YEAR($AD116)*12)+MONTH($AD116)-1))))</f>
        <v>8</v>
      </c>
      <c r="AB116" s="146">
        <f ca="1">IF(OR($B116&lt;=Setup!$E$12,$B116&gt;=Setup!$D$12+1),0,((YEAR($AC116)*12)+MONTH($AC116))-((YEAR(Setup!$E$12)*12)+MONTH(Setup!$E$12)))</f>
        <v>8</v>
      </c>
      <c r="AC116" s="186">
        <f t="shared" ca="1" si="50"/>
        <v>45224</v>
      </c>
      <c r="AD116" s="144">
        <f ca="1">IF(ISNA(VLOOKUP($C116,EmpAll,COLUMN(Emp!$E$4),0)),$AC116,IF(VLOOKUP($C116,EmpAll,COLUMN(Emp!$E$4),0)&lt;=Setup!$E$12,DATE(YEAR(Setup!$E$12),MONTH(Setup!$E$12)+1,1),VLOOKUP($C116,EmpAll,COLUMN(Emp!$E$4),0)))</f>
        <v>44986</v>
      </c>
      <c r="AE116" s="144" t="str">
        <f ca="1">IF(ISNA(VLOOKUP($C116,EmpAll,COLUMN(Emp!$G$1),0)),"-",IF(VLOOKUP($C116,EmpAll,COLUMN(Emp!$G$1),0)=0,"-",VLOOKUP($C116,EmpAll,COLUMN(Emp!$G$1),0)))</f>
        <v>-</v>
      </c>
      <c r="AF116" s="145">
        <f ca="1">IF(A116=PaySlip!$G$3,1,0)</f>
        <v>0</v>
      </c>
      <c r="AG116" s="130" cm="1">
        <f t="array" aca="1" ref="AG116" ca="1">IF(COUNTIFS(OverEmp,$C116,OverMed,"MED",OverDate,"&lt;"&amp;DATE(YEAR($AC116),MONTH($AC116)+1,1),OverEnd,"&gt;="&amp;DATE(YEAR($AC116),MONTH($AC116),1))&gt;0,SUMIFS(OverValue,OverEmp,$C116,OverMed,"MED",OverDate,"&lt;"&amp;DATE(YEAR($AC116),MONTH($AC116)+1,1),OverEnd,"&gt;="&amp;DATE(YEAR($AC116),MONTH($AC116),1)),IF(ISNA(VLOOKUP($C116,EmpAll,COLUMN(Emp!$N$4),0)),0,VLOOKUP($C116,EmpAll,COLUMN(Emp!$N$4),0)))</f>
        <v>1</v>
      </c>
      <c r="AH116" s="146">
        <f ca="1">VLOOKUP($AG116,MedList,COLUMN(Setup!$C$49),1)</f>
        <v>364</v>
      </c>
      <c r="AI116" s="146">
        <f t="shared" ca="1" si="40"/>
        <v>4368</v>
      </c>
      <c r="AJ116" s="101" t="str">
        <f ca="1">IF(ISNA(VLOOKUP($C116,EmpAll,COLUMN(Emp!$L$4),0)),"None!",VLOOKUP($C116,EmpAll,COLUMN(Emp!$L$4),0))</f>
        <v>A</v>
      </c>
      <c r="AK116" s="147">
        <f t="shared" ca="1" si="51"/>
        <v>17235</v>
      </c>
      <c r="AL116" s="101" t="str">
        <f ca="1">IF(ISNA(VLOOKUP($C116,Employees[],COLUMN(Emp!$M$4),0))=TRUE,"Error!",IF(VLOOKUP($C116,Employees[],COLUMN(Emp!$M$4),0)=0,"Yes",VLOOKUP($C116,Employees[],COLUMN(Emp!$M$4),0)))</f>
        <v>A</v>
      </c>
      <c r="AM116" s="148">
        <f t="shared" ca="1" si="41"/>
        <v>120000</v>
      </c>
      <c r="AN116" s="148" cm="1">
        <f t="array" aca="1" ref="AN116" ca="1">-IF($F116="Terminated",0,IF($AA116=0,0,IF(ISNA(MATCH(AN$5,PayDedList,0)),0,MIN(IF(COUNTIFS(OverEmp,$C116,OverDeduct,AN$5,OverDate,"&lt;"&amp;DATE(YEAR($AC116),MONTH($AC116)+1,1),OverEnd,"&gt;="&amp;DATE(YEAR($AC116),MONTH($AC116),1))&gt;0,SUMPRODUCT((PayEmp=$C116)*(PayDate&lt;=$AC116)*(OFFSET($N$6,1,MATCH(AN$5,PayDedList,0)-1,PayCount,1)))/$AA116*12*AN$3,IF(OR(AN$1="Fixed",AN$1="Not Used"),SUMPRODUCT((PayEmp=$C116)*(PayDate&lt;=$AC116)*(OFFSET($N$6,1,MATCH(AN$5,PayDedList,0)-1,PayCount,1)))/$AA116*12*AN$3,IF(ISNA(MATCH(AN$1,EarnListItem,0))=FALSE,SUMPRODUCT((PayEmp=$C116)*(PayDate&lt;=$AC116)*(OFFSET($N$6,1,MATCH(AN$5,PayDedList,0)-1,PayCount,1)))/$AA116*12*AN$3,(MIN(((SUMPRODUCT((PayEmp=$C116)*(PayDate&lt;=$AC116)*(ISERROR(SEARCH(PayEarnCode,AN$2)))*(PayEarnType="Monthly")*(PayEarnValues))/$AA116*12)+(SUMPRODUCT((PayEmp=$C116)*(PayDate&lt;=$AC116)*(ISERROR(SEARCH(PayEarnCode,AN$2)))*(PayEarnType="Quarterly")*(PayEarnValues))/MAX(1,ROUNDDOWN($AB116/3,0))*4)+(SUMPRODUCT((PayEmp=$C116)*(PayDate&lt;=$AC116)*(ISERROR(SEARCH(PayEarnCode,AN$2)))*(PayEarnType="Bi-Annual")*(PayEarnValues))/MAX(1,ROUNDDOWN($AB116/6,0))*2)+(SUMPRODUCT((PayEmp=$C116)*(PayDate&lt;=$AC116)*(ISERROR(SEARCH(PayEarnCode,AN$2)))*(PayEarnType="Annual")*(PayEarnValues)))),IF(ISNUMBER(OFFSET($N$3,0,MATCH(AN$5,PayDedList,0)-1,1,1)),OFFSET($N$3,0,MATCH(AN$5,PayDedList,0)-1,1,1),IgnoreMin)))*IF(COUNTIFS(EmpNo,$C116,OFFSET(Emp!$R$4,1,MATCH(AN$5,DedListItem,0)-1,EmpCount,1),"&lt;&gt;")&gt;0,VLOOKUP($C116,EmpAll,COLUMN(Emp!$R$4)+MATCH(AN$5,DedListItem,0)-1,0),OFFSET(Setup!$E$73,MATCH(AN$5,DedListItem,0),0,1,1))*AN$3))),IF(ISNUMBER(AN$4),AN$4,IgnoreMin)))))</f>
        <v>0</v>
      </c>
      <c r="AO116" s="148" cm="1">
        <f t="array" aca="1" ref="AO116" ca="1">-IF($F116="Terminated",0,IF($AA116=0,0,IF(ISNA(MATCH(AO$5,PayDedList,0)),0,MIN(IF(COUNTIFS(OverEmp,$C116,OverDeduct,AO$5,OverDate,"&lt;"&amp;DATE(YEAR($AC116),MONTH($AC116)+1,1),OverEnd,"&gt;="&amp;DATE(YEAR($AC116),MONTH($AC116),1))&gt;0,SUMPRODUCT((PayEmp=$C116)*(PayDate&lt;=$AC116)*(OFFSET($N$6,1,MATCH(AO$5,PayDedList,0)-1,PayCount,1)))/$AA116*12*AO$3,IF(OR(AO$1="Fixed",AO$1="Not Used"),SUMPRODUCT((PayEmp=$C116)*(PayDate&lt;=$AC116)*(OFFSET($N$6,1,MATCH(AO$5,PayDedList,0)-1,PayCount,1)))/$AA116*12*AO$3,IF(ISNA(MATCH(AO$1,EarnListItem,0))=FALSE,SUMPRODUCT((PayEmp=$C116)*(PayDate&lt;=$AC116)*(OFFSET($N$6,1,MATCH(AO$5,PayDedList,0)-1,PayCount,1)))/$AA116*12*AO$3,(MIN(((SUMPRODUCT((PayEmp=$C116)*(PayDate&lt;=$AC116)*(ISERROR(SEARCH(PayEarnCode,AO$2)))*(PayEarnType="Monthly")*(PayEarnValues))/$AA116*12)+(SUMPRODUCT((PayEmp=$C116)*(PayDate&lt;=$AC116)*(ISERROR(SEARCH(PayEarnCode,AO$2)))*(PayEarnType="Quarterly")*(PayEarnValues))/MAX(1,ROUNDDOWN($AB116/3,0))*4)+(SUMPRODUCT((PayEmp=$C116)*(PayDate&lt;=$AC116)*(ISERROR(SEARCH(PayEarnCode,AO$2)))*(PayEarnType="Bi-Annual")*(PayEarnValues))/MAX(1,ROUNDDOWN($AB116/6,0))*2)+(SUMPRODUCT((PayEmp=$C116)*(PayDate&lt;=$AC116)*(ISERROR(SEARCH(PayEarnCode,AO$2)))*(PayEarnType="Annual")*(PayEarnValues)))),IF(ISNUMBER(OFFSET($N$3,0,MATCH(AO$5,PayDedList,0)-1,1,1)),OFFSET($N$3,0,MATCH(AO$5,PayDedList,0)-1,1,1),IgnoreMin)))*IF(COUNTIFS(EmpNo,$C116,OFFSET(Emp!$R$4,1,MATCH(AO$5,DedListItem,0)-1,EmpCount,1),"&lt;&gt;")&gt;0,VLOOKUP($C116,EmpAll,COLUMN(Emp!$R$4)+MATCH(AO$5,DedListItem,0)-1,0),OFFSET(Setup!$E$73,MATCH(AO$5,DedListItem,0),0,1,1))*AO$3))),IF(ISNUMBER(AO$4),AO$4,IgnoreMin)))))</f>
        <v>0</v>
      </c>
      <c r="AP116" s="148" cm="1">
        <f t="array" aca="1" ref="AP116" ca="1">-IF($F116="Terminated",0,IF($AA116=0,0,IF(ISNA(MATCH(AP$5,PayDedList,0)),0,MIN(IF(COUNTIFS(OverEmp,$C116,OverDeduct,AP$5,OverDate,"&lt;"&amp;DATE(YEAR($AC116),MONTH($AC116)+1,1),OverEnd,"&gt;="&amp;DATE(YEAR($AC116),MONTH($AC116),1))&gt;0,SUMPRODUCT((PayEmp=$C116)*(PayDate&lt;=$AC116)*(OFFSET($N$6,1,MATCH(AP$5,PayDedList,0)-1,PayCount,1)))/$AA116*12*AP$3,IF(OR(AP$1="Fixed",AP$1="Not Used"),SUMPRODUCT((PayEmp=$C116)*(PayDate&lt;=$AC116)*(OFFSET($N$6,1,MATCH(AP$5,PayDedList,0)-1,PayCount,1)))/$AA116*12*AP$3,IF(ISNA(MATCH(AP$1,EarnListItem,0))=FALSE,SUMPRODUCT((PayEmp=$C116)*(PayDate&lt;=$AC116)*(OFFSET($N$6,1,MATCH(AP$5,PayDedList,0)-1,PayCount,1)))/$AA116*12*AP$3,(MIN(((SUMPRODUCT((PayEmp=$C116)*(PayDate&lt;=$AC116)*(ISERROR(SEARCH(PayEarnCode,AP$2)))*(PayEarnType="Monthly")*(PayEarnValues))/$AA116*12)+(SUMPRODUCT((PayEmp=$C116)*(PayDate&lt;=$AC116)*(ISERROR(SEARCH(PayEarnCode,AP$2)))*(PayEarnType="Quarterly")*(PayEarnValues))/MAX(1,ROUNDDOWN($AB116/3,0))*4)+(SUMPRODUCT((PayEmp=$C116)*(PayDate&lt;=$AC116)*(ISERROR(SEARCH(PayEarnCode,AP$2)))*(PayEarnType="Bi-Annual")*(PayEarnValues))/MAX(1,ROUNDDOWN($AB116/6,0))*2)+(SUMPRODUCT((PayEmp=$C116)*(PayDate&lt;=$AC116)*(ISERROR(SEARCH(PayEarnCode,AP$2)))*(PayEarnType="Annual")*(PayEarnValues)))),IF(ISNUMBER(OFFSET($N$3,0,MATCH(AP$5,PayDedList,0)-1,1,1)),OFFSET($N$3,0,MATCH(AP$5,PayDedList,0)-1,1,1),IgnoreMin)))*IF(COUNTIFS(EmpNo,$C116,OFFSET(Emp!$R$4,1,MATCH(AP$5,DedListItem,0)-1,EmpCount,1),"&lt;&gt;")&gt;0,VLOOKUP($C116,EmpAll,COLUMN(Emp!$R$4)+MATCH(AP$5,DedListItem,0)-1,0),OFFSET(Setup!$E$73,MATCH(AP$5,DedListItem,0),0,1,1))*AP$3))),IF(ISNUMBER(AP$4),AP$4,IgnoreMin)))))</f>
        <v>0</v>
      </c>
      <c r="AQ116" s="148" cm="1">
        <f t="array" aca="1" ref="AQ116" ca="1">-IF($F116="Terminated",0,IF($AA116=0,0,IF(ISNA(MATCH(AQ$5,PayDedList,0)),0,MIN(IF(COUNTIFS(OverEmp,$C116,OverDeduct,AQ$5,OverDate,"&lt;"&amp;DATE(YEAR($AC116),MONTH($AC116)+1,1),OverEnd,"&gt;="&amp;DATE(YEAR($AC116),MONTH($AC116),1))&gt;0,SUMPRODUCT((PayEmp=$C116)*(PayDate&lt;=$AC116)*(OFFSET($N$6,1,MATCH(AQ$5,PayDedList,0)-1,PayCount,1)))/$AA116*12*AQ$3,IF(OR(AQ$1="Fixed",AQ$1="Not Used"),SUMPRODUCT((PayEmp=$C116)*(PayDate&lt;=$AC116)*(OFFSET($N$6,1,MATCH(AQ$5,PayDedList,0)-1,PayCount,1)))/$AA116*12*AQ$3,IF(ISNA(MATCH(AQ$1,EarnListItem,0))=FALSE,SUMPRODUCT((PayEmp=$C116)*(PayDate&lt;=$AC116)*(OFFSET($N$6,1,MATCH(AQ$5,PayDedList,0)-1,PayCount,1)))/$AA116*12*AQ$3,(MIN(((SUMPRODUCT((PayEmp=$C116)*(PayDate&lt;=$AC116)*(ISERROR(SEARCH(PayEarnCode,AQ$2)))*(PayEarnType="Monthly")*(PayEarnValues))/$AA116*12)+(SUMPRODUCT((PayEmp=$C116)*(PayDate&lt;=$AC116)*(ISERROR(SEARCH(PayEarnCode,AQ$2)))*(PayEarnType="Quarterly")*(PayEarnValues))/MAX(1,ROUNDDOWN($AB116/3,0))*4)+(SUMPRODUCT((PayEmp=$C116)*(PayDate&lt;=$AC116)*(ISERROR(SEARCH(PayEarnCode,AQ$2)))*(PayEarnType="Bi-Annual")*(PayEarnValues))/MAX(1,ROUNDDOWN($AB116/6,0))*2)+(SUMPRODUCT((PayEmp=$C116)*(PayDate&lt;=$AC116)*(ISERROR(SEARCH(PayEarnCode,AQ$2)))*(PayEarnType="Annual")*(PayEarnValues)))),IF(ISNUMBER(OFFSET($N$3,0,MATCH(AQ$5,PayDedList,0)-1,1,1)),OFFSET($N$3,0,MATCH(AQ$5,PayDedList,0)-1,1,1),IgnoreMin)))*IF(COUNTIFS(EmpNo,$C116,OFFSET(Emp!$R$4,1,MATCH(AQ$5,DedListItem,0)-1,EmpCount,1),"&lt;&gt;")&gt;0,VLOOKUP($C116,EmpAll,COLUMN(Emp!$R$4)+MATCH(AQ$5,DedListItem,0)-1,0),OFFSET(Setup!$E$73,MATCH(AQ$5,DedListItem,0),0,1,1))*AQ$3))),IF(ISNUMBER(AQ$4),AQ$4,IgnoreMin)))))</f>
        <v>0</v>
      </c>
      <c r="AR116" s="148">
        <f t="shared" ca="1" si="52"/>
        <v>120000</v>
      </c>
      <c r="AS116" s="148">
        <f t="shared" ca="1" si="42"/>
        <v>120000</v>
      </c>
      <c r="AT116" s="148" cm="1">
        <f t="array" aca="1" ref="AT116" ca="1">-IF($F116="Terminated",0,IF($AA116=0,0,IF(ISNA(MATCH(AT$5,PayDedList,0)),0,MIN(IF(COUNTIFS(OverEmp,$C116,OverDeduct,AT$5,OverDate,"&lt;"&amp;DATE(YEAR($AC116),MONTH($AC116)+1,1),OverEnd,"&gt;="&amp;DATE(YEAR($AC116),MONTH($AC116),1))&gt;0,SUMPRODUCT((PayEmp=$C116)*(PayDate&lt;=$AC116)*(OFFSET($N$6,1,MATCH(AT$5,PayDedList,0)-1,PayCount,1)))/$AA116*12*AT$3,IF(OR(AT$1="Fixed",AT$1="Not Used"),SUMPRODUCT((PayEmp=$C116)*(PayDate&lt;=$AC116)*(OFFSET($N$6,1,MATCH(AT$5,PayDedList,0)-1,PayCount,1)))/$AA116*12*AT$3,IF(ISNA(MATCH(OFFSET($N$2,0,MATCH(AT$5,PayDedList,0)-1,1,1),EarnListItem,0))=FALSE,SUMPRODUCT((PayEmp=$C116)*(PayDate&lt;=$AC116)*(OFFSET($N$6,1,MATCH(AT$5,PayDedList,0)-1,PayCount,1)))/$AA116*12*AT$3,(MIN(SUMPRODUCT((PayEmp=$C116)*(PayDate&lt;=$AC116)*(ISERROR(SEARCH(PayEarnCode,AT$2)))*(PayEarnType="Monthly")*(PayEarnValues))/$AA116*12,IF(ISNUMBER(OFFSET($N$3,0,MATCH(AT$5,PayDedList,0)-1,1,1)),OFFSET($N$3,0,MATCH(AT$5,PayDedList,0)-1,1,1),IgnoreMin)))*IF(COUNTIFS(EmpNo,$C116,OFFSET(Emp!$R$4,1,MATCH(AT$5,DedListItem,0)-1,EmpCount,1),"&lt;&gt;")&gt;0,VLOOKUP($C116,EmpAll,COLUMN(Emp!$R$4)+MATCH(AT$5,DedListItem,0)-1,0),OFFSET(Setup!$E$73,MATCH(AT$5,DedListItem,0),0,1,1))*AT$3))),IF(ISNUMBER(AT$4),AT$4,IgnoreMin)))))</f>
        <v>0</v>
      </c>
      <c r="AU116" s="148" cm="1">
        <f t="array" aca="1" ref="AU116" ca="1">-IF($F116="Terminated",0,IF($AA116=0,0,IF(ISNA(MATCH(AU$5,PayDedList,0)),0,MIN(IF(COUNTIFS(OverEmp,$C116,OverDeduct,AU$5,OverDate,"&lt;"&amp;DATE(YEAR($AC116),MONTH($AC116)+1,1),OverEnd,"&gt;="&amp;DATE(YEAR($AC116),MONTH($AC116),1))&gt;0,SUMPRODUCT((PayEmp=$C116)*(PayDate&lt;=$AC116)*(OFFSET($N$6,1,MATCH(AU$5,PayDedList,0)-1,PayCount,1)))/$AA116*12*AU$3,IF(OR(AU$1="Fixed",AU$1="Not Used"),SUMPRODUCT((PayEmp=$C116)*(PayDate&lt;=$AC116)*(OFFSET($N$6,1,MATCH(AU$5,PayDedList,0)-1,PayCount,1)))/$AA116*12*AU$3,IF(ISNA(MATCH(OFFSET($N$2,0,MATCH(AU$5,PayDedList,0)-1,1,1),EarnListItem,0))=FALSE,SUMPRODUCT((PayEmp=$C116)*(PayDate&lt;=$AC116)*(OFFSET($N$6,1,MATCH(AU$5,PayDedList,0)-1,PayCount,1)))/$AA116*12*AU$3,(MIN(SUMPRODUCT((PayEmp=$C116)*(PayDate&lt;=$AC116)*(ISERROR(SEARCH(PayEarnCode,AU$2)))*(PayEarnType="Monthly")*(PayEarnValues))/$AA116*12,IF(ISNUMBER(OFFSET($N$3,0,MATCH(AU$5,PayDedList,0)-1,1,1)),OFFSET($N$3,0,MATCH(AU$5,PayDedList,0)-1,1,1),IgnoreMin)))*IF(COUNTIFS(EmpNo,$C116,OFFSET(Emp!$R$4,1,MATCH(AU$5,DedListItem,0)-1,EmpCount,1),"&lt;&gt;")&gt;0,VLOOKUP($C116,EmpAll,COLUMN(Emp!$R$4)+MATCH(AU$5,DedListItem,0)-1,0),OFFSET(Setup!$E$73,MATCH(AU$5,DedListItem,0),0,1,1))*AU$3))),IF(ISNUMBER(AU$4),AU$4,IgnoreMin)))))</f>
        <v>0</v>
      </c>
      <c r="AV116" s="148" cm="1">
        <f t="array" aca="1" ref="AV116" ca="1">-IF($F116="Terminated",0,IF($AA116=0,0,IF(ISNA(MATCH(AV$5,PayDedList,0)),0,MIN(IF(COUNTIFS(OverEmp,$C116,OverDeduct,AV$5,OverDate,"&lt;"&amp;DATE(YEAR($AC116),MONTH($AC116)+1,1),OverEnd,"&gt;="&amp;DATE(YEAR($AC116),MONTH($AC116),1))&gt;0,SUMPRODUCT((PayEmp=$C116)*(PayDate&lt;=$AC116)*(OFFSET($N$6,1,MATCH(AV$5,PayDedList,0)-1,PayCount,1)))/$AA116*12*AV$3,IF(OR(AV$1="Fixed",AV$1="Not Used"),SUMPRODUCT((PayEmp=$C116)*(PayDate&lt;=$AC116)*(OFFSET($N$6,1,MATCH(AV$5,PayDedList,0)-1,PayCount,1)))/$AA116*12*AV$3,IF(ISNA(MATCH(OFFSET($N$2,0,MATCH(AV$5,PayDedList,0)-1,1,1),EarnListItem,0))=FALSE,SUMPRODUCT((PayEmp=$C116)*(PayDate&lt;=$AC116)*(OFFSET($N$6,1,MATCH(AV$5,PayDedList,0)-1,PayCount,1)))/$AA116*12*AV$3,(MIN(SUMPRODUCT((PayEmp=$C116)*(PayDate&lt;=$AC116)*(ISERROR(SEARCH(PayEarnCode,AV$2)))*(PayEarnType="Monthly")*(PayEarnValues))/$AA116*12,IF(ISNUMBER(OFFSET($N$3,0,MATCH(AV$5,PayDedList,0)-1,1,1)),OFFSET($N$3,0,MATCH(AV$5,PayDedList,0)-1,1,1),IgnoreMin)))*IF(COUNTIFS(EmpNo,$C116,OFFSET(Emp!$R$4,1,MATCH(AV$5,DedListItem,0)-1,EmpCount,1),"&lt;&gt;")&gt;0,VLOOKUP($C116,EmpAll,COLUMN(Emp!$R$4)+MATCH(AV$5,DedListItem,0)-1,0),OFFSET(Setup!$E$73,MATCH(AV$5,DedListItem,0),0,1,1))*AV$3))),IF(ISNUMBER(AV$4),AV$4,IgnoreMin)))))</f>
        <v>0</v>
      </c>
      <c r="AW116" s="148" cm="1">
        <f t="array" aca="1" ref="AW116" ca="1">-IF($F116="Terminated",0,IF($AA116=0,0,IF(ISNA(MATCH(AW$5,PayDedList,0)),0,MIN(IF(COUNTIFS(OverEmp,$C116,OverDeduct,AW$5,OverDate,"&lt;"&amp;DATE(YEAR($AC116),MONTH($AC116)+1,1),OverEnd,"&gt;="&amp;DATE(YEAR($AC116),MONTH($AC116),1))&gt;0,SUMPRODUCT((PayEmp=$C116)*(PayDate&lt;=$AC116)*(OFFSET($N$6,1,MATCH(AW$5,PayDedList,0)-1,PayCount,1)))/$AA116*12*AW$3,IF(OR(AW$1="Fixed",AW$1="Not Used"),SUMPRODUCT((PayEmp=$C116)*(PayDate&lt;=$AC116)*(OFFSET($N$6,1,MATCH(AW$5,PayDedList,0)-1,PayCount,1)))/$AA116*12*AW$3,IF(ISNA(MATCH(OFFSET($N$2,0,MATCH(AW$5,PayDedList,0)-1,1,1),EarnListItem,0))=FALSE,SUMPRODUCT((PayEmp=$C116)*(PayDate&lt;=$AC116)*(OFFSET($N$6,1,MATCH(AW$5,PayDedList,0)-1,PayCount,1)))/$AA116*12*AW$3,(MIN(SUMPRODUCT((PayEmp=$C116)*(PayDate&lt;=$AC116)*(ISERROR(SEARCH(PayEarnCode,AW$2)))*(PayEarnType="Monthly")*(PayEarnValues))/$AA116*12,IF(ISNUMBER(OFFSET($N$3,0,MATCH(AW$5,PayDedList,0)-1,1,1)),OFFSET($N$3,0,MATCH(AW$5,PayDedList,0)-1,1,1),IgnoreMin)))*IF(COUNTIFS(EmpNo,$C116,OFFSET(Emp!$R$4,1,MATCH(AW$5,DedListItem,0)-1,EmpCount,1),"&lt;&gt;")&gt;0,VLOOKUP($C116,EmpAll,COLUMN(Emp!$R$4)+MATCH(AW$5,DedListItem,0)-1,0),OFFSET(Setup!$E$73,MATCH(AW$5,DedListItem,0),0,1,1))*AW$3))),IF(ISNUMBER(AW$4),AW$4,IgnoreMin)))))</f>
        <v>0</v>
      </c>
      <c r="AX116" s="148">
        <f t="shared" ca="1" si="58"/>
        <v>120000</v>
      </c>
      <c r="AY116" s="148">
        <f t="shared" ca="1" si="59"/>
        <v>0</v>
      </c>
      <c r="AZ116" s="148">
        <f ca="1">IF(ISNUMBER($AL116),($AR116*$AL116)-$AI116-$AK116,MAX(0,IF($AL116="B",IF($AR116&lt;Setup!$C$32,($AR116*Setup!$D$32)-$AI116-$AK116,(($AR116-VLOOKUP($AR116,TaxAll2,1,1))*OFFSET(Setup!$D$32,MATCH($AR116,TaxBracket2,1),0,1,1))+OFFSET(Setup!$E$31,MATCH($AR116,TaxBracket2,1),0,1,1)-$AI116-$AK116),IF($AR116&lt;Setup!$C$21,($AR116*Setup!$D$21)-$AI116-$AK116,(($AR116-VLOOKUP($AR116,TaxAll1,1,1))*OFFSET(Setup!$D$21,MATCH($AR116,TaxBracket1,1),0,1,1))+OFFSET(Setup!$E$20,MATCH($AR116,TaxBracket1,1),0,1,1)-$AI116-$AK116))))</f>
        <v>0</v>
      </c>
      <c r="BA116" s="148">
        <f ca="1">IF(ISNUMBER($AL116),($AX116*$AL116)-$AI116-$AK116,MAX(0,IF($AL116="B",IF($AX116&lt;Setup!$C$32,($AX116*Setup!$D$32)-$AI116-$AK116,(($AX116-VLOOKUP($AX116,TaxAll2,1,1))*OFFSET(Setup!$D$32,MATCH($AX116,TaxBracket2,1),0,1,1))+OFFSET(Setup!$E$31,MATCH($AX116,TaxBracket2,1),0,1,1)-$AI116-$AK116),IF($AX116&lt;Setup!$C$21,($AX116*Setup!$D$21)-$AI116-$AK116,(($AX116-VLOOKUP($AX116,TaxAll1,1,1))*OFFSET(Setup!$D$21,MATCH($AX116,TaxBracket1,1),0,1,1))+OFFSET(Setup!$E$20,MATCH($AX116,TaxBracket1,1),0,1,1)-$AI116-$AK116))))</f>
        <v>0</v>
      </c>
      <c r="BB116" s="148">
        <f t="shared" ca="1" si="53"/>
        <v>0</v>
      </c>
      <c r="BC116" s="150">
        <f t="shared" ca="1" si="45"/>
        <v>1</v>
      </c>
      <c r="BD116" s="150">
        <f t="shared" ca="1" si="46"/>
        <v>0</v>
      </c>
      <c r="BE116" s="148">
        <f t="shared" ca="1" si="47"/>
        <v>120000</v>
      </c>
    </row>
    <row r="117" spans="1:57" ht="16.149999999999999" customHeight="1" x14ac:dyDescent="0.25">
      <c r="A117" s="10" t="str" cm="1">
        <f t="array" aca="1" ref="A117" ca="1">IF(ROW($A117)-ROW($A$6)&gt;EmpCount*12,"-",TEXT($B117,"yyyy")&amp;TEXT($B117,"mm")&amp;"-"&amp;$C117)</f>
        <v>202310-EXS006</v>
      </c>
      <c r="B117" s="137" cm="1">
        <f t="array" aca="1" ref="B117" ca="1">IF(ROW($A117)-ROW($A$6)&gt;EmpCount*12,Setup!$D$12,DATE(YEAR(Setup!$F$12),MONTH(Setup!$F$12)+ROUNDDOWN((ROW($A117)-ROW($A$6)-1)/EmpCount,0),IF(Setup!$C$14&gt;DAY(DATE(YEAR(Setup!$F$12),MONTH(Setup!$F$12)+ROUNDDOWN((ROW($A117)-ROW($A$6)-1)/EmpCount,0)+1,0)),DAY(DATE(YEAR(Setup!$F$12),MONTH(Setup!$F$12)+ROUNDDOWN((ROW($A117)-ROW($A$6)-1)/EmpCount,0)+1,0)),Setup!$C$14)))</f>
        <v>45224</v>
      </c>
      <c r="C117" s="101" t="str" cm="1">
        <f t="array" aca="1" ref="C117" ca="1">IF(ROW($A117)-ROW($A$6)&gt;EmpCount*12,"-",OFFSET(Emp!$A$4,ROW($A117)-ROW($A$6)-IF(ROW($A117)-ROW($A$6)&gt;EmpCount,ROUNDDOWN((ROW($A117)-ROW($A$6)-1)/EmpCount,0)*EmpCount,0),0,1,1))</f>
        <v>EXS006</v>
      </c>
      <c r="D117" s="10" t="str">
        <f ca="1">IF(ISNA(VLOOKUP($C117,EmpAll,COLUMN(Emp!$B$4),0)),"-",VLOOKUP($C117,EmpAll,COLUMN(Emp!$B$4),0))</f>
        <v>Andrews MS</v>
      </c>
      <c r="E117" s="145" t="str">
        <f ca="1">IF(ISNA(VLOOKUP($C117,EmpAll,COLUMN(Emp!$C$4),0)),"-",VLOOKUP($C117,EmpAll,COLUMN(Emp!$C$4),0))</f>
        <v>S</v>
      </c>
      <c r="F117" s="101" t="str">
        <f ca="1">IF(ISNA(VLOOKUP($C117,EmpAll,COLUMN(Emp!$A$4),0)),"-",IF(AND(VLOOKUP($C117,EmpAll,COLUMN(Emp!$E$4),0)&lt;&gt;0,VLOOKUP($C117,EmpAll,COLUMN(Emp!$E$4),0)&gt;=DATE(YEAR($AC117),MONTH($AC117)+1,0)),"Inactive",IF(AND(VLOOKUP($C117,EmpAll,COLUMN(Emp!$F$4),0)&lt;&gt;0,VLOOKUP($C117,EmpAll,COLUMN(Emp!$F$4),0)&lt;=DATE(YEAR($AC117),MONTH($AC117),0)),"Terminated","Active")))</f>
        <v>Active</v>
      </c>
      <c r="G117" s="133" cm="1">
        <f t="array" aca="1" ref="G117" ca="1">IF($F117&lt;&gt;"Active",0,IF(COUNTIFS(OverEmp,$C117,OverEarn,G$2,OverDate,"&lt;"&amp;DATE(YEAR($AC117),MONTH($AC117)+1,1),OverEnd,"&gt;="&amp;DATE(YEAR($AC117),MONTH($AC117),1))&gt;0,SUMIFS(OverValue,OverEmp,$C117,OverEarn,G$2,OverDate,"&lt;"&amp;DATE(YEAR($AC117),MONTH($AC117)+1,1),OverEnd,"&gt;="&amp;DATE(YEAR($AC117),MONTH($AC117),1)),IF(AND($AC117&gt;=Setup!$E$10,SUMIFS(EmpIncrease,EmpCode,$C117)&gt;0),SUMIFS(EmpIncrease,EmpCode,$C117),SUMIFS(EmpSalary,EmpCode,$C117))))</f>
        <v>10000</v>
      </c>
      <c r="H117" s="133" cm="1">
        <f t="array" aca="1" ref="H117" ca="1">IF($F117&lt;&gt;"Active",0,IF(COUNTIFS(OverEmp,$C117,OverEarn,H$2,OverDate,"&lt;"&amp;DATE(YEAR($AC117),MONTH($AC117)+1,1),OverEnd,"&gt;="&amp;DATE(YEAR($AC117),MONTH($AC117),1))&gt;0,SUMIFS(OverValue,OverEmp,$C117,OverEarn,H$2,OverDate,"&lt;"&amp;DATE(YEAR($AC117),MONTH($AC117)+1,1),OverEnd,"&gt;="&amp;DATE(YEAR($AC117),MONTH($AC117),1)),0))</f>
        <v>0</v>
      </c>
      <c r="I117" s="133" cm="1">
        <f t="array" aca="1" ref="I117" ca="1">IF($F117&lt;&gt;"Active",0,IF(COUNTIFS(OverEmp,$C117,OverEarn,I$2,OverDate,"&lt;"&amp;DATE(YEAR($AC117),MONTH($AC117)+1,1),OverEnd,"&gt;="&amp;DATE(YEAR($AC117),MONTH($AC117),1))&gt;0,SUMIFS(OverValue,OverEmp,$C117,OverEarn,I$2,OverDate,"&lt;"&amp;DATE(YEAR($AC117),MONTH($AC117)+1,1),OverEnd,"&gt;="&amp;DATE(YEAR($AC117),MONTH($AC117),1)),IF(MONTH(B117)=Setup!$C$15,SUMIFS(EmpBonus,EmpCode,$C117),0)))</f>
        <v>0</v>
      </c>
      <c r="J117" s="133" cm="1">
        <f t="array" aca="1" ref="J117" ca="1">IF($F117&lt;&gt;"Active",0,IF(COUNTIFS(OverEmp,$C117,OverEarn,J$2,OverDate,"&lt;"&amp;DATE(YEAR($AC117),MONTH($AC117)+1,1),OverEnd,"&gt;="&amp;DATE(YEAR($AC117),MONTH($AC117),1))&gt;0,SUMIFS(OverValue,OverEmp,$C117,OverEarn,J$2,OverDate,"&lt;"&amp;DATE(YEAR($AC117),MONTH($AC117)+1,1),OverEnd,"&gt;="&amp;DATE(YEAR($AC117),MONTH($AC117),1)),0))</f>
        <v>0</v>
      </c>
      <c r="K117" s="133" cm="1">
        <f t="array" aca="1" ref="K117" ca="1">IF($F117&lt;&gt;"Active",0,IF(COUNTIFS(OverEmp,$C117,OverEarn,K$2,OverDate,"&lt;"&amp;DATE(YEAR($AC117),MONTH($AC117)+1,1),OverEnd,"&gt;="&amp;DATE(YEAR($AC117),MONTH($AC117),1))&gt;0,SUMIFS(OverValue,OverEmp,$C117,OverEarn,K$2,OverDate,"&lt;"&amp;DATE(YEAR($AC117),MONTH($AC117)+1,1),OverEnd,"&gt;="&amp;DATE(YEAR($AC117),MONTH($AC117),1)),0))</f>
        <v>0</v>
      </c>
      <c r="L117" s="185">
        <f t="shared" ca="1" si="54"/>
        <v>10000</v>
      </c>
      <c r="M117" s="182" cm="1">
        <f t="array" aca="1" ref="M117" ca="1">IF(COUNTIFS(OverEmp,$C117,OverTax,M$5,OverDate,"&lt;"&amp;DATE(YEAR($AC117),MONTH($AC117)+1,1),OverEnd,"&gt;="&amp;DATE(YEAR($AC117),MONTH($AC117),1))&gt;0,SUMIFS(OverValue,OverEmp,$C117,OverTax,M$5,OverDate,"&lt;"&amp;DATE(YEAR($AC117),MONTH($AC117)+1,1),OverEnd,"&gt;="&amp;DATE(YEAR($AC117),MONTH($AC117),1)),(($BA117/12*$AA117)+(BB117*IF(1-$BC117=0,0,BD117/(1-$BC117))))-IF($F117="Terminated",0,SUMIFS(PayTaxDeduct,PayDate,"&lt;"&amp;$AC117,PayEmp,$C117)))</f>
        <v>0</v>
      </c>
      <c r="N117" s="133" cm="1">
        <f t="array" aca="1" ref="N117" ca="1">IF($F117="Terminated",0,IF($AA117=0,0,IF(ISNA(MATCH(N$5,DedListItem,0)),0,IF(COUNTIFS(OverEmp,$C117,OverDeduct,N$5,OverDate,"&lt;"&amp;DATE(YEAR($AC117),MONTH($AC117)+1,1),OverEnd,"&gt;="&amp;DATE(YEAR($AC117),MONTH($AC117),1))&gt;0,SUMIFS(OverValue,OverEmp,$C117,OverDeduct,N$5,OverDate,"&lt;"&amp;DATE(YEAR($AC117),MONTH($AC117)+1,1),OverEnd,"&gt;="&amp;DATE(YEAR($AC117),MONTH($AC117),1)),IF(OR(N$2="Fixed",N$2="Not Used"),(IF(COUNTIFS(EmpNo,$C117,OFFSET(Emp!$R$4,1,MATCH(N$5,DedListItem,0)-1,EmpCount,1),"&lt;&gt;")&gt;0,VLOOKUP($C117,EmpAll,COLUMN(Emp!$R$4)+MATCH(N$5,DedListItem,0)-1,0),OFFSET(Setup!$E$73,MATCH(N$5,DedListItem,0),0,1,1))*$AA117)-SUMIFS(OFFSET(N$6,1,0,PayCount,1),PayDate,"&lt;"&amp;$AC117,PayEmp,$C117),IF(ISNA(MATCH(N$2,EarnListItem,0))=FALSE,IF(OFFSET(Setup!$G$73,MATCH(N$5,DedListItem,0),0,1,1)="Taxable",SUMPRODUCT((PayEmp=$C117)*(PayDate&lt;=$AC117)*(PayEarnCode=N$2)*(PayEarnTax)*(PayEarnValues)),SUMPRODUCT((PayEmp=$C117)*(PayDate&lt;=$AC117)*(PayEarnCode=N$2)*(PayEarnValues)))*IF(COUNTIFS(EmpNo,$C117,OFFSET(Emp!$R$4,1,MATCH(N$5,DedListItem,0)-1,EmpCount,1),"&lt;&gt;")&gt;0,VLOOKUP($C117,EmpAll,COLUMN(Emp!$R$4)+MATCH(N$5,DedListItem,0)-1,0),OFFSET(Setup!$E$73,MATCH(N$5,DedListItem,0),0,1,1)),(MIN(IF(OFFSET(Setup!$G$73,MATCH(N$5,DedListItem,0),0,1,1)="Taxable",SUMPRODUCT((PayEmp=$C117)*(PayDate&lt;=$AC117)*(ISERROR(SEARCH(PayEarnCode,N$4)))*(PayEarnTax)*(PayEarnValues)),SUMPRODUCT((PayEmp=$C117)*(PayDate&lt;=$AC117)*(ISERROR(SEARCH(PayEarnCode,N$4)))*(PayEarnValues))),IF(ISNUMBER(N$3),N$3/12*$AA117,IgnoreMin)))*IF(COUNTIFS(EmpNo,$C117,OFFSET(Emp!$R$4,1,MATCH(N$5,DedListItem,0)-1,EmpCount,1),"&lt;&gt;")&gt;0,VLOOKUP($C117,EmpAll,COLUMN(Emp!$R$4)+MATCH(N$5,DedListItem,0)-1,0),OFFSET(Setup!$E$73,MATCH(N$5,DedListItem,0),0,1,1)))-SUMIFS(OFFSET(N$6,1,0,PayCount,1),PayDate,"&lt;"&amp;$AC117,PayEmp,$C117))))))</f>
        <v>100</v>
      </c>
      <c r="O117" s="133" cm="1">
        <f t="array" aca="1" ref="O117" ca="1">IF($F117="Terminated",0,IF($AA117=0,0,IF(ISNA(MATCH(O$5,DedListItem,0)),0,IF(COUNTIFS(OverEmp,$C117,OverDeduct,O$5,OverDate,"&lt;"&amp;DATE(YEAR($AC117),MONTH($AC117)+1,1),OverEnd,"&gt;="&amp;DATE(YEAR($AC117),MONTH($AC117),1))&gt;0,SUMIFS(OverValue,OverEmp,$C117,OverDeduct,O$5,OverDate,"&lt;"&amp;DATE(YEAR($AC117),MONTH($AC117)+1,1),OverEnd,"&gt;="&amp;DATE(YEAR($AC117),MONTH($AC117),1)),IF(OR(O$2="Fixed",O$2="Not Used"),(IF(COUNTIFS(EmpNo,$C117,OFFSET(Emp!$R$4,1,MATCH(O$5,DedListItem,0)-1,EmpCount,1),"&lt;&gt;")&gt;0,VLOOKUP($C117,EmpAll,COLUMN(Emp!$R$4)+MATCH(O$5,DedListItem,0)-1,0),OFFSET(Setup!$E$73,MATCH(O$5,DedListItem,0),0,1,1))*$AA117)-SUMIFS(OFFSET(O$6,1,0,PayCount,1),PayDate,"&lt;"&amp;$AC117,PayEmp,$C117),IF(ISNA(MATCH(O$2,EarnListItem,0))=FALSE,IF(OFFSET(Setup!$G$73,MATCH(O$5,DedListItem,0),0,1,1)="Taxable",SUMPRODUCT((PayEmp=$C117)*(PayDate&lt;=$AC117)*(PayEarnCode=O$2)*(PayEarnTax)*(PayEarnValues)),SUMPRODUCT((PayEmp=$C117)*(PayDate&lt;=$AC117)*(PayEarnCode=O$2)*(PayEarnValues)))*IF(COUNTIFS(EmpNo,$C117,OFFSET(Emp!$R$4,1,MATCH(O$5,DedListItem,0)-1,EmpCount,1),"&lt;&gt;")&gt;0,VLOOKUP($C117,EmpAll,COLUMN(Emp!$R$4)+MATCH(O$5,DedListItem,0)-1,0),OFFSET(Setup!$E$73,MATCH(O$5,DedListItem,0),0,1,1)),(MIN(IF(OFFSET(Setup!$G$73,MATCH(O$5,DedListItem,0),0,1,1)="Taxable",SUMPRODUCT((PayEmp=$C117)*(PayDate&lt;=$AC117)*(ISERROR(SEARCH(PayEarnCode,O$4)))*(PayEarnTax)*(PayEarnValues)),SUMPRODUCT((PayEmp=$C117)*(PayDate&lt;=$AC117)*(ISERROR(SEARCH(PayEarnCode,O$4)))*(PayEarnValues))),IF(ISNUMBER(O$3),O$3/12*$AA117,IgnoreMin)))*IF(COUNTIFS(EmpNo,$C117,OFFSET(Emp!$R$4,1,MATCH(O$5,DedListItem,0)-1,EmpCount,1),"&lt;&gt;")&gt;0,VLOOKUP($C117,EmpAll,COLUMN(Emp!$R$4)+MATCH(O$5,DedListItem,0)-1,0),OFFSET(Setup!$E$73,MATCH(O$5,DedListItem,0),0,1,1)))-SUMIFS(OFFSET(O$6,1,0,PayCount,1),PayDate,"&lt;"&amp;$AC117,PayEmp,$C117))))))</f>
        <v>0</v>
      </c>
      <c r="P117" s="133" cm="1">
        <f t="array" aca="1" ref="P117" ca="1">IF($F117="Terminated",0,IF($AA117=0,0,IF(ISNA(MATCH(P$5,DedListItem,0)),0,IF(COUNTIFS(OverEmp,$C117,OverDeduct,P$5,OverDate,"&lt;"&amp;DATE(YEAR($AC117),MONTH($AC117)+1,1),OverEnd,"&gt;="&amp;DATE(YEAR($AC117),MONTH($AC117),1))&gt;0,SUMIFS(OverValue,OverEmp,$C117,OverDeduct,P$5,OverDate,"&lt;"&amp;DATE(YEAR($AC117),MONTH($AC117)+1,1),OverEnd,"&gt;="&amp;DATE(YEAR($AC117),MONTH($AC117),1)),IF(OR(P$2="Fixed",P$2="Not Used"),(IF(COUNTIFS(EmpNo,$C117,OFFSET(Emp!$R$4,1,MATCH(P$5,DedListItem,0)-1,EmpCount,1),"&lt;&gt;")&gt;0,VLOOKUP($C117,EmpAll,COLUMN(Emp!$R$4)+MATCH(P$5,DedListItem,0)-1,0),OFFSET(Setup!$E$73,MATCH(P$5,DedListItem,0),0,1,1))*$AA117)-SUMIFS(OFFSET(P$6,1,0,PayCount,1),PayDate,"&lt;"&amp;$AC117,PayEmp,$C117),IF(ISNA(MATCH(P$2,EarnListItem,0))=FALSE,IF(OFFSET(Setup!$G$73,MATCH(P$5,DedListItem,0),0,1,1)="Taxable",SUMPRODUCT((PayEmp=$C117)*(PayDate&lt;=$AC117)*(PayEarnCode=P$2)*(PayEarnTax)*(PayEarnValues)),SUMPRODUCT((PayEmp=$C117)*(PayDate&lt;=$AC117)*(PayEarnCode=P$2)*(PayEarnValues)))*IF(COUNTIFS(EmpNo,$C117,OFFSET(Emp!$R$4,1,MATCH(P$5,DedListItem,0)-1,EmpCount,1),"&lt;&gt;")&gt;0,VLOOKUP($C117,EmpAll,COLUMN(Emp!$R$4)+MATCH(P$5,DedListItem,0)-1,0),OFFSET(Setup!$E$73,MATCH(P$5,DedListItem,0),0,1,1)),(MIN(IF(OFFSET(Setup!$G$73,MATCH(P$5,DedListItem,0),0,1,1)="Taxable",SUMPRODUCT((PayEmp=$C117)*(PayDate&lt;=$AC117)*(ISERROR(SEARCH(PayEarnCode,P$4)))*(PayEarnTax)*(PayEarnValues)),SUMPRODUCT((PayEmp=$C117)*(PayDate&lt;=$AC117)*(ISERROR(SEARCH(PayEarnCode,P$4)))*(PayEarnValues))),IF(ISNUMBER(P$3),P$3/12*$AA117,IgnoreMin)))*IF(COUNTIFS(EmpNo,$C117,OFFSET(Emp!$R$4,1,MATCH(P$5,DedListItem,0)-1,EmpCount,1),"&lt;&gt;")&gt;0,VLOOKUP($C117,EmpAll,COLUMN(Emp!$R$4)+MATCH(P$5,DedListItem,0)-1,0),OFFSET(Setup!$E$73,MATCH(P$5,DedListItem,0),0,1,1)))-SUMIFS(OFFSET(P$6,1,0,PayCount,1),PayDate,"&lt;"&amp;$AC117,PayEmp,$C117))))))</f>
        <v>0</v>
      </c>
      <c r="Q117" s="133" cm="1">
        <f t="array" aca="1" ref="Q117" ca="1">IF($F117="Terminated",0,IF($AA117=0,0,IF(ISNA(MATCH(Q$5,DedListItem,0)),0,IF(COUNTIFS(OverEmp,$C117,OverDeduct,Q$5,OverDate,"&lt;"&amp;DATE(YEAR($AC117),MONTH($AC117)+1,1),OverEnd,"&gt;="&amp;DATE(YEAR($AC117),MONTH($AC117),1))&gt;0,SUMIFS(OverValue,OverEmp,$C117,OverDeduct,Q$5,OverDate,"&lt;"&amp;DATE(YEAR($AC117),MONTH($AC117)+1,1),OverEnd,"&gt;="&amp;DATE(YEAR($AC117),MONTH($AC117),1)),IF(OR(Q$2="Fixed",Q$2="Not Used"),(IF(COUNTIFS(EmpNo,$C117,OFFSET(Emp!$R$4,1,MATCH(Q$5,DedListItem,0)-1,EmpCount,1),"&lt;&gt;")&gt;0,VLOOKUP($C117,EmpAll,COLUMN(Emp!$R$4)+MATCH(Q$5,DedListItem,0)-1,0),OFFSET(Setup!$E$73,MATCH(Q$5,DedListItem,0),0,1,1))*$AA117)-SUMIFS(OFFSET(Q$6,1,0,PayCount,1),PayDate,"&lt;"&amp;$AC117,PayEmp,$C117),IF(ISNA(MATCH(Q$2,EarnListItem,0))=FALSE,IF(OFFSET(Setup!$G$73,MATCH(Q$5,DedListItem,0),0,1,1)="Taxable",SUMPRODUCT((PayEmp=$C117)*(PayDate&lt;=$AC117)*(PayEarnCode=Q$2)*(PayEarnTax)*(PayEarnValues)),SUMPRODUCT((PayEmp=$C117)*(PayDate&lt;=$AC117)*(PayEarnCode=Q$2)*(PayEarnValues)))*IF(COUNTIFS(EmpNo,$C117,OFFSET(Emp!$R$4,1,MATCH(Q$5,DedListItem,0)-1,EmpCount,1),"&lt;&gt;")&gt;0,VLOOKUP($C117,EmpAll,COLUMN(Emp!$R$4)+MATCH(Q$5,DedListItem,0)-1,0),OFFSET(Setup!$E$73,MATCH(Q$5,DedListItem,0),0,1,1)),(MIN(IF(OFFSET(Setup!$G$73,MATCH(Q$5,DedListItem,0),0,1,1)="Taxable",SUMPRODUCT((PayEmp=$C117)*(PayDate&lt;=$AC117)*(ISERROR(SEARCH(PayEarnCode,Q$4)))*(PayEarnTax)*(PayEarnValues)),SUMPRODUCT((PayEmp=$C117)*(PayDate&lt;=$AC117)*(ISERROR(SEARCH(PayEarnCode,Q$4)))*(PayEarnValues))),IF(ISNUMBER(Q$3),Q$3/12*$AA117,IgnoreMin)))*IF(COUNTIFS(EmpNo,$C117,OFFSET(Emp!$R$4,1,MATCH(Q$5,DedListItem,0)-1,EmpCount,1),"&lt;&gt;")&gt;0,VLOOKUP($C117,EmpAll,COLUMN(Emp!$R$4)+MATCH(Q$5,DedListItem,0)-1,0),OFFSET(Setup!$E$73,MATCH(Q$5,DedListItem,0),0,1,1)))-SUMIFS(OFFSET(Q$6,1,0,PayCount,1),PayDate,"&lt;"&amp;$AC117,PayEmp,$C117))))))</f>
        <v>0</v>
      </c>
      <c r="R117" s="185">
        <f t="shared" ca="1" si="55"/>
        <v>100</v>
      </c>
      <c r="S117" s="139">
        <f t="shared" ca="1" si="56"/>
        <v>9900</v>
      </c>
      <c r="T117" s="133" cm="1">
        <f t="array" aca="1" ref="T117" ca="1">IF($F117="Terminated",0,IF($AA117=0,0,IF(ISNA(MATCH(T$5,CompListItem,0)),0,IF(COUNTIFS(OverEmp,$C117,OverComp,T$5,OverDate,"&lt;"&amp;DATE(YEAR($AC117),MONTH($AC117)+1,1),OverEnd,"&gt;="&amp;DATE(YEAR($AC117),MONTH($AC117),1))&gt;0,SUMIFS(OverValue,OverEmp,$C117,OverComp,T$5,OverDate,"&lt;"&amp;DATE(YEAR($AC117),MONTH($AC117)+1,1),OverEnd,"&gt;="&amp;DATE(YEAR($AC117),MONTH($AC117),1)),IF(OR(T$2="Fixed",T$2="Not Used"),(OFFSET(Setup!$E$81,MATCH(T$5,CompListItem,0),0,1,1)*$AA117)-SUMIFS(OFFSET(T$6,1,0,PayCount,1),PayDate,"&lt;"&amp;$AC117,PayEmp,$C117),IF(ISNA(MATCH(T$2,DedListItem,0))=FALSE,(SUMPRODUCT((PayEmp=$C117)*(PayDate&lt;=$AC117)*(PayDedList=T$2)*(PayDedValues))*OFFSET(Setup!$E$81,MATCH(T$5,CompListItem,0),0,1,1))-SUMIFS(OFFSET(T$6,1,0,PayCount,1),PayDate,"&lt;"&amp;$AC117,PayEmp,$C117),(MIN(IF(OFFSET(Setup!$G$81,MATCH(T$5,CompListItem,0),0,1,1)="Taxable",SUMPRODUCT((PayEmp=$C117)*(PayDate&lt;=$AC117)*(ISERROR(SEARCH(PayEarnCode,T$4)))*(PayEarnTax)*(PayEarnValues)),SUMPRODUCT((PayEmp=$C117)*(PayDate&lt;=$AC117)*(ISERROR(SEARCH(PayEarnCode,T$4)))*(PayEarnValues))),IF(ISNUMBER(T$3),T$3/12*$AA117,IgnoreMin)))*OFFSET(Setup!$E$81,MATCH(T$5,CompListItem,0),0,1,1)-SUMIFS(OFFSET(T$6,1,0,PayCount,1),PayDate,"&lt;"&amp;$AC117,PayEmp,$C117)))))))</f>
        <v>100</v>
      </c>
      <c r="U117" s="133" cm="1">
        <f t="array" aca="1" ref="U117" ca="1">IF($F117="Terminated",0,IF($AA117=0,0,IF(ISNA(MATCH(U$5,CompListItem,0)),0,IF(COUNTIFS(OverEmp,$C117,OverComp,U$5,OverDate,"&lt;"&amp;DATE(YEAR($AC117),MONTH($AC117)+1,1),OverEnd,"&gt;="&amp;DATE(YEAR($AC117),MONTH($AC117),1))&gt;0,SUMIFS(OverValue,OverEmp,$C117,OverComp,U$5,OverDate,"&lt;"&amp;DATE(YEAR($AC117),MONTH($AC117)+1,1),OverEnd,"&gt;="&amp;DATE(YEAR($AC117),MONTH($AC117),1)),IF(OR(U$2="Fixed",U$2="Not Used"),(OFFSET(Setup!$E$81,MATCH(U$5,CompListItem,0),0,1,1)*$AA117)-SUMIFS(OFFSET(U$6,1,0,PayCount,1),PayDate,"&lt;"&amp;$AC117,PayEmp,$C117),IF(ISNA(MATCH(U$2,DedListItem,0))=FALSE,(SUMPRODUCT((PayEmp=$C117)*(PayDate&lt;=$AC117)*(PayDedList=U$2)*(PayDedValues))*OFFSET(Setup!$E$81,MATCH(U$5,CompListItem,0),0,1,1))-SUMIFS(OFFSET(U$6,1,0,PayCount,1),PayDate,"&lt;"&amp;$AC117,PayEmp,$C117),(MIN(IF(OFFSET(Setup!$G$81,MATCH(U$5,CompListItem,0),0,1,1)="Taxable",SUMPRODUCT((PayEmp=$C117)*(PayDate&lt;=$AC117)*(ISERROR(SEARCH(PayEarnCode,U$4)))*(PayEarnTax)*(PayEarnValues)),SUMPRODUCT((PayEmp=$C117)*(PayDate&lt;=$AC117)*(ISERROR(SEARCH(PayEarnCode,U$4)))*(PayEarnValues))),IF(ISNUMBER(U$3),U$3/12*$AA117,IgnoreMin)))*OFFSET(Setup!$E$81,MATCH(U$5,CompListItem,0),0,1,1)-SUMIFS(OFFSET(U$6,1,0,PayCount,1),PayDate,"&lt;"&amp;$AC117,PayEmp,$C117)))))))</f>
        <v>100</v>
      </c>
      <c r="V117" s="133" cm="1">
        <f t="array" aca="1" ref="V117" ca="1">IF($F117="Terminated",0,IF($AA117=0,0,IF(ISNA(MATCH(V$5,CompListItem,0)),0,IF(COUNTIFS(OverEmp,$C117,OverComp,V$5,OverDate,"&lt;"&amp;DATE(YEAR($AC117),MONTH($AC117)+1,1),OverEnd,"&gt;="&amp;DATE(YEAR($AC117),MONTH($AC117),1))&gt;0,SUMIFS(OverValue,OverEmp,$C117,OverComp,V$5,OverDate,"&lt;"&amp;DATE(YEAR($AC117),MONTH($AC117)+1,1),OverEnd,"&gt;="&amp;DATE(YEAR($AC117),MONTH($AC117),1)),IF(OR(V$2="Fixed",V$2="Not Used"),(OFFSET(Setup!$E$81,MATCH(V$5,CompListItem,0),0,1,1)*$AA117)-SUMIFS(OFFSET(V$6,1,0,PayCount,1),PayDate,"&lt;"&amp;$AC117,PayEmp,$C117),IF(ISNA(MATCH(V$2,DedListItem,0))=FALSE,(SUMPRODUCT((PayEmp=$C117)*(PayDate&lt;=$AC117)*(PayDedList=V$2)*(PayDedValues))*OFFSET(Setup!$E$81,MATCH(V$5,CompListItem,0),0,1,1))-SUMIFS(OFFSET(V$6,1,0,PayCount,1),PayDate,"&lt;"&amp;$AC117,PayEmp,$C117),(MIN(IF(OFFSET(Setup!$G$81,MATCH(V$5,CompListItem,0),0,1,1)="Taxable",SUMPRODUCT((PayEmp=$C117)*(PayDate&lt;=$AC117)*(ISERROR(SEARCH(PayEarnCode,V$4)))*(PayEarnTax)*(PayEarnValues)),SUMPRODUCT((PayEmp=$C117)*(PayDate&lt;=$AC117)*(ISERROR(SEARCH(PayEarnCode,V$4)))*(PayEarnValues))),IF(ISNUMBER(V$3),V$3/12*$AA117,IgnoreMin)))*OFFSET(Setup!$E$81,MATCH(V$5,CompListItem,0),0,1,1)-SUMIFS(OFFSET(V$6,1,0,PayCount,1),PayDate,"&lt;"&amp;$AC117,PayEmp,$C117)))))))</f>
        <v>0</v>
      </c>
      <c r="W117" s="133" cm="1">
        <f t="array" aca="1" ref="W117" ca="1">IF($F117="Terminated",0,IF($AA117=0,0,IF(ISNA(MATCH(W$5,CompListItem,0)),0,IF(COUNTIFS(OverEmp,$C117,OverComp,W$5,OverDate,"&lt;"&amp;DATE(YEAR($AC117),MONTH($AC117)+1,1),OverEnd,"&gt;="&amp;DATE(YEAR($AC117),MONTH($AC117),1))&gt;0,SUMIFS(OverValue,OverEmp,$C117,OverComp,W$5,OverDate,"&lt;"&amp;DATE(YEAR($AC117),MONTH($AC117)+1,1),OverEnd,"&gt;="&amp;DATE(YEAR($AC117),MONTH($AC117),1)),IF(OR(W$2="Fixed",W$2="Not Used"),(OFFSET(Setup!$E$81,MATCH(W$5,CompListItem,0),0,1,1)*$AA117)-SUMIFS(OFFSET(W$6,1,0,PayCount,1),PayDate,"&lt;"&amp;$AC117,PayEmp,$C117),IF(ISNA(MATCH(W$2,DedListItem,0))=FALSE,(SUMPRODUCT((PayEmp=$C117)*(PayDate&lt;=$AC117)*(PayDedList=W$2)*(PayDedValues))*OFFSET(Setup!$E$81,MATCH(W$5,CompListItem,0),0,1,1))-SUMIFS(OFFSET(W$6,1,0,PayCount,1),PayDate,"&lt;"&amp;$AC117,PayEmp,$C117),(MIN(IF(OFFSET(Setup!$G$81,MATCH(W$5,CompListItem,0),0,1,1)="Taxable",SUMPRODUCT((PayEmp=$C117)*(PayDate&lt;=$AC117)*(ISERROR(SEARCH(PayEarnCode,W$4)))*(PayEarnTax)*(PayEarnValues)),SUMPRODUCT((PayEmp=$C117)*(PayDate&lt;=$AC117)*(ISERROR(SEARCH(PayEarnCode,W$4)))*(PayEarnValues))),IF(ISNUMBER(W$3),W$3/12*$AA117,IgnoreMin)))*OFFSET(Setup!$E$81,MATCH(W$5,CompListItem,0),0,1,1)-SUMIFS(OFFSET(W$6,1,0,PayCount,1),PayDate,"&lt;"&amp;$AC117,PayEmp,$C117)))))))</f>
        <v>0</v>
      </c>
      <c r="X117" s="185">
        <f t="shared" ca="1" si="48"/>
        <v>200</v>
      </c>
      <c r="Y117" s="139">
        <f t="shared" ca="1" si="57"/>
        <v>10200</v>
      </c>
      <c r="Z117" s="139">
        <f t="shared" ca="1" si="49"/>
        <v>300</v>
      </c>
      <c r="AA117" s="146">
        <f ca="1">IF(OR($B117&lt;=Setup!$E$12,$B117&gt;=Setup!$D$12+1),0,IF($F117&lt;&gt;"Active",0,IF($AE117="Yes",$AB117,((YEAR($AC117)*12)+MONTH($AC117))-((YEAR($AD117)*12)+MONTH($AD117)-1))))</f>
        <v>8</v>
      </c>
      <c r="AB117" s="146">
        <f ca="1">IF(OR($B117&lt;=Setup!$E$12,$B117&gt;=Setup!$D$12+1),0,((YEAR($AC117)*12)+MONTH($AC117))-((YEAR(Setup!$E$12)*12)+MONTH(Setup!$E$12)))</f>
        <v>8</v>
      </c>
      <c r="AC117" s="186">
        <f t="shared" ca="1" si="50"/>
        <v>45224</v>
      </c>
      <c r="AD117" s="144">
        <f ca="1">IF(ISNA(VLOOKUP($C117,EmpAll,COLUMN(Emp!$E$4),0)),$AC117,IF(VLOOKUP($C117,EmpAll,COLUMN(Emp!$E$4),0)&lt;=Setup!$E$12,DATE(YEAR(Setup!$E$12),MONTH(Setup!$E$12)+1,1),VLOOKUP($C117,EmpAll,COLUMN(Emp!$E$4),0)))</f>
        <v>44986</v>
      </c>
      <c r="AE117" s="144" t="str">
        <f ca="1">IF(ISNA(VLOOKUP($C117,EmpAll,COLUMN(Emp!$G$1),0)),"-",IF(VLOOKUP($C117,EmpAll,COLUMN(Emp!$G$1),0)=0,"-",VLOOKUP($C117,EmpAll,COLUMN(Emp!$G$1),0)))</f>
        <v>-</v>
      </c>
      <c r="AF117" s="145">
        <f ca="1">IF(A117=PaySlip!$G$3,1,0)</f>
        <v>0</v>
      </c>
      <c r="AG117" s="130" cm="1">
        <f t="array" aca="1" ref="AG117" ca="1">IF(COUNTIFS(OverEmp,$C117,OverMed,"MED",OverDate,"&lt;"&amp;DATE(YEAR($AC117),MONTH($AC117)+1,1),OverEnd,"&gt;="&amp;DATE(YEAR($AC117),MONTH($AC117),1))&gt;0,SUMIFS(OverValue,OverEmp,$C117,OverMed,"MED",OverDate,"&lt;"&amp;DATE(YEAR($AC117),MONTH($AC117)+1,1),OverEnd,"&gt;="&amp;DATE(YEAR($AC117),MONTH($AC117),1)),IF(ISNA(VLOOKUP($C117,EmpAll,COLUMN(Emp!$N$4),0)),0,VLOOKUP($C117,EmpAll,COLUMN(Emp!$N$4),0)))</f>
        <v>1</v>
      </c>
      <c r="AH117" s="146">
        <f ca="1">VLOOKUP($AG117,MedList,COLUMN(Setup!$C$49),1)</f>
        <v>364</v>
      </c>
      <c r="AI117" s="146">
        <f t="shared" ca="1" si="40"/>
        <v>4368</v>
      </c>
      <c r="AJ117" s="101" t="str">
        <f ca="1">IF(ISNA(VLOOKUP($C117,EmpAll,COLUMN(Emp!$L$4),0)),"None!",VLOOKUP($C117,EmpAll,COLUMN(Emp!$L$4),0))</f>
        <v>A</v>
      </c>
      <c r="AK117" s="147">
        <f t="shared" ca="1" si="51"/>
        <v>17235</v>
      </c>
      <c r="AL117" s="101" t="str">
        <f ca="1">IF(ISNA(VLOOKUP($C117,Employees[],COLUMN(Emp!$M$4),0))=TRUE,"Error!",IF(VLOOKUP($C117,Employees[],COLUMN(Emp!$M$4),0)=0,"Yes",VLOOKUP($C117,Employees[],COLUMN(Emp!$M$4),0)))</f>
        <v>A</v>
      </c>
      <c r="AM117" s="148">
        <f t="shared" ca="1" si="41"/>
        <v>120000</v>
      </c>
      <c r="AN117" s="148" cm="1">
        <f t="array" aca="1" ref="AN117" ca="1">-IF($F117="Terminated",0,IF($AA117=0,0,IF(ISNA(MATCH(AN$5,PayDedList,0)),0,MIN(IF(COUNTIFS(OverEmp,$C117,OverDeduct,AN$5,OverDate,"&lt;"&amp;DATE(YEAR($AC117),MONTH($AC117)+1,1),OverEnd,"&gt;="&amp;DATE(YEAR($AC117),MONTH($AC117),1))&gt;0,SUMPRODUCT((PayEmp=$C117)*(PayDate&lt;=$AC117)*(OFFSET($N$6,1,MATCH(AN$5,PayDedList,0)-1,PayCount,1)))/$AA117*12*AN$3,IF(OR(AN$1="Fixed",AN$1="Not Used"),SUMPRODUCT((PayEmp=$C117)*(PayDate&lt;=$AC117)*(OFFSET($N$6,1,MATCH(AN$5,PayDedList,0)-1,PayCount,1)))/$AA117*12*AN$3,IF(ISNA(MATCH(AN$1,EarnListItem,0))=FALSE,SUMPRODUCT((PayEmp=$C117)*(PayDate&lt;=$AC117)*(OFFSET($N$6,1,MATCH(AN$5,PayDedList,0)-1,PayCount,1)))/$AA117*12*AN$3,(MIN(((SUMPRODUCT((PayEmp=$C117)*(PayDate&lt;=$AC117)*(ISERROR(SEARCH(PayEarnCode,AN$2)))*(PayEarnType="Monthly")*(PayEarnValues))/$AA117*12)+(SUMPRODUCT((PayEmp=$C117)*(PayDate&lt;=$AC117)*(ISERROR(SEARCH(PayEarnCode,AN$2)))*(PayEarnType="Quarterly")*(PayEarnValues))/MAX(1,ROUNDDOWN($AB117/3,0))*4)+(SUMPRODUCT((PayEmp=$C117)*(PayDate&lt;=$AC117)*(ISERROR(SEARCH(PayEarnCode,AN$2)))*(PayEarnType="Bi-Annual")*(PayEarnValues))/MAX(1,ROUNDDOWN($AB117/6,0))*2)+(SUMPRODUCT((PayEmp=$C117)*(PayDate&lt;=$AC117)*(ISERROR(SEARCH(PayEarnCode,AN$2)))*(PayEarnType="Annual")*(PayEarnValues)))),IF(ISNUMBER(OFFSET($N$3,0,MATCH(AN$5,PayDedList,0)-1,1,1)),OFFSET($N$3,0,MATCH(AN$5,PayDedList,0)-1,1,1),IgnoreMin)))*IF(COUNTIFS(EmpNo,$C117,OFFSET(Emp!$R$4,1,MATCH(AN$5,DedListItem,0)-1,EmpCount,1),"&lt;&gt;")&gt;0,VLOOKUP($C117,EmpAll,COLUMN(Emp!$R$4)+MATCH(AN$5,DedListItem,0)-1,0),OFFSET(Setup!$E$73,MATCH(AN$5,DedListItem,0),0,1,1))*AN$3))),IF(ISNUMBER(AN$4),AN$4,IgnoreMin)))))</f>
        <v>0</v>
      </c>
      <c r="AO117" s="148" cm="1">
        <f t="array" aca="1" ref="AO117" ca="1">-IF($F117="Terminated",0,IF($AA117=0,0,IF(ISNA(MATCH(AO$5,PayDedList,0)),0,MIN(IF(COUNTIFS(OverEmp,$C117,OverDeduct,AO$5,OverDate,"&lt;"&amp;DATE(YEAR($AC117),MONTH($AC117)+1,1),OverEnd,"&gt;="&amp;DATE(YEAR($AC117),MONTH($AC117),1))&gt;0,SUMPRODUCT((PayEmp=$C117)*(PayDate&lt;=$AC117)*(OFFSET($N$6,1,MATCH(AO$5,PayDedList,0)-1,PayCount,1)))/$AA117*12*AO$3,IF(OR(AO$1="Fixed",AO$1="Not Used"),SUMPRODUCT((PayEmp=$C117)*(PayDate&lt;=$AC117)*(OFFSET($N$6,1,MATCH(AO$5,PayDedList,0)-1,PayCount,1)))/$AA117*12*AO$3,IF(ISNA(MATCH(AO$1,EarnListItem,0))=FALSE,SUMPRODUCT((PayEmp=$C117)*(PayDate&lt;=$AC117)*(OFFSET($N$6,1,MATCH(AO$5,PayDedList,0)-1,PayCount,1)))/$AA117*12*AO$3,(MIN(((SUMPRODUCT((PayEmp=$C117)*(PayDate&lt;=$AC117)*(ISERROR(SEARCH(PayEarnCode,AO$2)))*(PayEarnType="Monthly")*(PayEarnValues))/$AA117*12)+(SUMPRODUCT((PayEmp=$C117)*(PayDate&lt;=$AC117)*(ISERROR(SEARCH(PayEarnCode,AO$2)))*(PayEarnType="Quarterly")*(PayEarnValues))/MAX(1,ROUNDDOWN($AB117/3,0))*4)+(SUMPRODUCT((PayEmp=$C117)*(PayDate&lt;=$AC117)*(ISERROR(SEARCH(PayEarnCode,AO$2)))*(PayEarnType="Bi-Annual")*(PayEarnValues))/MAX(1,ROUNDDOWN($AB117/6,0))*2)+(SUMPRODUCT((PayEmp=$C117)*(PayDate&lt;=$AC117)*(ISERROR(SEARCH(PayEarnCode,AO$2)))*(PayEarnType="Annual")*(PayEarnValues)))),IF(ISNUMBER(OFFSET($N$3,0,MATCH(AO$5,PayDedList,0)-1,1,1)),OFFSET($N$3,0,MATCH(AO$5,PayDedList,0)-1,1,1),IgnoreMin)))*IF(COUNTIFS(EmpNo,$C117,OFFSET(Emp!$R$4,1,MATCH(AO$5,DedListItem,0)-1,EmpCount,1),"&lt;&gt;")&gt;0,VLOOKUP($C117,EmpAll,COLUMN(Emp!$R$4)+MATCH(AO$5,DedListItem,0)-1,0),OFFSET(Setup!$E$73,MATCH(AO$5,DedListItem,0),0,1,1))*AO$3))),IF(ISNUMBER(AO$4),AO$4,IgnoreMin)))))</f>
        <v>0</v>
      </c>
      <c r="AP117" s="148" cm="1">
        <f t="array" aca="1" ref="AP117" ca="1">-IF($F117="Terminated",0,IF($AA117=0,0,IF(ISNA(MATCH(AP$5,PayDedList,0)),0,MIN(IF(COUNTIFS(OverEmp,$C117,OverDeduct,AP$5,OverDate,"&lt;"&amp;DATE(YEAR($AC117),MONTH($AC117)+1,1),OverEnd,"&gt;="&amp;DATE(YEAR($AC117),MONTH($AC117),1))&gt;0,SUMPRODUCT((PayEmp=$C117)*(PayDate&lt;=$AC117)*(OFFSET($N$6,1,MATCH(AP$5,PayDedList,0)-1,PayCount,1)))/$AA117*12*AP$3,IF(OR(AP$1="Fixed",AP$1="Not Used"),SUMPRODUCT((PayEmp=$C117)*(PayDate&lt;=$AC117)*(OFFSET($N$6,1,MATCH(AP$5,PayDedList,0)-1,PayCount,1)))/$AA117*12*AP$3,IF(ISNA(MATCH(AP$1,EarnListItem,0))=FALSE,SUMPRODUCT((PayEmp=$C117)*(PayDate&lt;=$AC117)*(OFFSET($N$6,1,MATCH(AP$5,PayDedList,0)-1,PayCount,1)))/$AA117*12*AP$3,(MIN(((SUMPRODUCT((PayEmp=$C117)*(PayDate&lt;=$AC117)*(ISERROR(SEARCH(PayEarnCode,AP$2)))*(PayEarnType="Monthly")*(PayEarnValues))/$AA117*12)+(SUMPRODUCT((PayEmp=$C117)*(PayDate&lt;=$AC117)*(ISERROR(SEARCH(PayEarnCode,AP$2)))*(PayEarnType="Quarterly")*(PayEarnValues))/MAX(1,ROUNDDOWN($AB117/3,0))*4)+(SUMPRODUCT((PayEmp=$C117)*(PayDate&lt;=$AC117)*(ISERROR(SEARCH(PayEarnCode,AP$2)))*(PayEarnType="Bi-Annual")*(PayEarnValues))/MAX(1,ROUNDDOWN($AB117/6,0))*2)+(SUMPRODUCT((PayEmp=$C117)*(PayDate&lt;=$AC117)*(ISERROR(SEARCH(PayEarnCode,AP$2)))*(PayEarnType="Annual")*(PayEarnValues)))),IF(ISNUMBER(OFFSET($N$3,0,MATCH(AP$5,PayDedList,0)-1,1,1)),OFFSET($N$3,0,MATCH(AP$5,PayDedList,0)-1,1,1),IgnoreMin)))*IF(COUNTIFS(EmpNo,$C117,OFFSET(Emp!$R$4,1,MATCH(AP$5,DedListItem,0)-1,EmpCount,1),"&lt;&gt;")&gt;0,VLOOKUP($C117,EmpAll,COLUMN(Emp!$R$4)+MATCH(AP$5,DedListItem,0)-1,0),OFFSET(Setup!$E$73,MATCH(AP$5,DedListItem,0),0,1,1))*AP$3))),IF(ISNUMBER(AP$4),AP$4,IgnoreMin)))))</f>
        <v>0</v>
      </c>
      <c r="AQ117" s="148" cm="1">
        <f t="array" aca="1" ref="AQ117" ca="1">-IF($F117="Terminated",0,IF($AA117=0,0,IF(ISNA(MATCH(AQ$5,PayDedList,0)),0,MIN(IF(COUNTIFS(OverEmp,$C117,OverDeduct,AQ$5,OverDate,"&lt;"&amp;DATE(YEAR($AC117),MONTH($AC117)+1,1),OverEnd,"&gt;="&amp;DATE(YEAR($AC117),MONTH($AC117),1))&gt;0,SUMPRODUCT((PayEmp=$C117)*(PayDate&lt;=$AC117)*(OFFSET($N$6,1,MATCH(AQ$5,PayDedList,0)-1,PayCount,1)))/$AA117*12*AQ$3,IF(OR(AQ$1="Fixed",AQ$1="Not Used"),SUMPRODUCT((PayEmp=$C117)*(PayDate&lt;=$AC117)*(OFFSET($N$6,1,MATCH(AQ$5,PayDedList,0)-1,PayCount,1)))/$AA117*12*AQ$3,IF(ISNA(MATCH(AQ$1,EarnListItem,0))=FALSE,SUMPRODUCT((PayEmp=$C117)*(PayDate&lt;=$AC117)*(OFFSET($N$6,1,MATCH(AQ$5,PayDedList,0)-1,PayCount,1)))/$AA117*12*AQ$3,(MIN(((SUMPRODUCT((PayEmp=$C117)*(PayDate&lt;=$AC117)*(ISERROR(SEARCH(PayEarnCode,AQ$2)))*(PayEarnType="Monthly")*(PayEarnValues))/$AA117*12)+(SUMPRODUCT((PayEmp=$C117)*(PayDate&lt;=$AC117)*(ISERROR(SEARCH(PayEarnCode,AQ$2)))*(PayEarnType="Quarterly")*(PayEarnValues))/MAX(1,ROUNDDOWN($AB117/3,0))*4)+(SUMPRODUCT((PayEmp=$C117)*(PayDate&lt;=$AC117)*(ISERROR(SEARCH(PayEarnCode,AQ$2)))*(PayEarnType="Bi-Annual")*(PayEarnValues))/MAX(1,ROUNDDOWN($AB117/6,0))*2)+(SUMPRODUCT((PayEmp=$C117)*(PayDate&lt;=$AC117)*(ISERROR(SEARCH(PayEarnCode,AQ$2)))*(PayEarnType="Annual")*(PayEarnValues)))),IF(ISNUMBER(OFFSET($N$3,0,MATCH(AQ$5,PayDedList,0)-1,1,1)),OFFSET($N$3,0,MATCH(AQ$5,PayDedList,0)-1,1,1),IgnoreMin)))*IF(COUNTIFS(EmpNo,$C117,OFFSET(Emp!$R$4,1,MATCH(AQ$5,DedListItem,0)-1,EmpCount,1),"&lt;&gt;")&gt;0,VLOOKUP($C117,EmpAll,COLUMN(Emp!$R$4)+MATCH(AQ$5,DedListItem,0)-1,0),OFFSET(Setup!$E$73,MATCH(AQ$5,DedListItem,0),0,1,1))*AQ$3))),IF(ISNUMBER(AQ$4),AQ$4,IgnoreMin)))))</f>
        <v>0</v>
      </c>
      <c r="AR117" s="148">
        <f t="shared" ca="1" si="52"/>
        <v>120000</v>
      </c>
      <c r="AS117" s="148">
        <f t="shared" ca="1" si="42"/>
        <v>120000</v>
      </c>
      <c r="AT117" s="148" cm="1">
        <f t="array" aca="1" ref="AT117" ca="1">-IF($F117="Terminated",0,IF($AA117=0,0,IF(ISNA(MATCH(AT$5,PayDedList,0)),0,MIN(IF(COUNTIFS(OverEmp,$C117,OverDeduct,AT$5,OverDate,"&lt;"&amp;DATE(YEAR($AC117),MONTH($AC117)+1,1),OverEnd,"&gt;="&amp;DATE(YEAR($AC117),MONTH($AC117),1))&gt;0,SUMPRODUCT((PayEmp=$C117)*(PayDate&lt;=$AC117)*(OFFSET($N$6,1,MATCH(AT$5,PayDedList,0)-1,PayCount,1)))/$AA117*12*AT$3,IF(OR(AT$1="Fixed",AT$1="Not Used"),SUMPRODUCT((PayEmp=$C117)*(PayDate&lt;=$AC117)*(OFFSET($N$6,1,MATCH(AT$5,PayDedList,0)-1,PayCount,1)))/$AA117*12*AT$3,IF(ISNA(MATCH(OFFSET($N$2,0,MATCH(AT$5,PayDedList,0)-1,1,1),EarnListItem,0))=FALSE,SUMPRODUCT((PayEmp=$C117)*(PayDate&lt;=$AC117)*(OFFSET($N$6,1,MATCH(AT$5,PayDedList,0)-1,PayCount,1)))/$AA117*12*AT$3,(MIN(SUMPRODUCT((PayEmp=$C117)*(PayDate&lt;=$AC117)*(ISERROR(SEARCH(PayEarnCode,AT$2)))*(PayEarnType="Monthly")*(PayEarnValues))/$AA117*12,IF(ISNUMBER(OFFSET($N$3,0,MATCH(AT$5,PayDedList,0)-1,1,1)),OFFSET($N$3,0,MATCH(AT$5,PayDedList,0)-1,1,1),IgnoreMin)))*IF(COUNTIFS(EmpNo,$C117,OFFSET(Emp!$R$4,1,MATCH(AT$5,DedListItem,0)-1,EmpCount,1),"&lt;&gt;")&gt;0,VLOOKUP($C117,EmpAll,COLUMN(Emp!$R$4)+MATCH(AT$5,DedListItem,0)-1,0),OFFSET(Setup!$E$73,MATCH(AT$5,DedListItem,0),0,1,1))*AT$3))),IF(ISNUMBER(AT$4),AT$4,IgnoreMin)))))</f>
        <v>0</v>
      </c>
      <c r="AU117" s="148" cm="1">
        <f t="array" aca="1" ref="AU117" ca="1">-IF($F117="Terminated",0,IF($AA117=0,0,IF(ISNA(MATCH(AU$5,PayDedList,0)),0,MIN(IF(COUNTIFS(OverEmp,$C117,OverDeduct,AU$5,OverDate,"&lt;"&amp;DATE(YEAR($AC117),MONTH($AC117)+1,1),OverEnd,"&gt;="&amp;DATE(YEAR($AC117),MONTH($AC117),1))&gt;0,SUMPRODUCT((PayEmp=$C117)*(PayDate&lt;=$AC117)*(OFFSET($N$6,1,MATCH(AU$5,PayDedList,0)-1,PayCount,1)))/$AA117*12*AU$3,IF(OR(AU$1="Fixed",AU$1="Not Used"),SUMPRODUCT((PayEmp=$C117)*(PayDate&lt;=$AC117)*(OFFSET($N$6,1,MATCH(AU$5,PayDedList,0)-1,PayCount,1)))/$AA117*12*AU$3,IF(ISNA(MATCH(OFFSET($N$2,0,MATCH(AU$5,PayDedList,0)-1,1,1),EarnListItem,0))=FALSE,SUMPRODUCT((PayEmp=$C117)*(PayDate&lt;=$AC117)*(OFFSET($N$6,1,MATCH(AU$5,PayDedList,0)-1,PayCount,1)))/$AA117*12*AU$3,(MIN(SUMPRODUCT((PayEmp=$C117)*(PayDate&lt;=$AC117)*(ISERROR(SEARCH(PayEarnCode,AU$2)))*(PayEarnType="Monthly")*(PayEarnValues))/$AA117*12,IF(ISNUMBER(OFFSET($N$3,0,MATCH(AU$5,PayDedList,0)-1,1,1)),OFFSET($N$3,0,MATCH(AU$5,PayDedList,0)-1,1,1),IgnoreMin)))*IF(COUNTIFS(EmpNo,$C117,OFFSET(Emp!$R$4,1,MATCH(AU$5,DedListItem,0)-1,EmpCount,1),"&lt;&gt;")&gt;0,VLOOKUP($C117,EmpAll,COLUMN(Emp!$R$4)+MATCH(AU$5,DedListItem,0)-1,0),OFFSET(Setup!$E$73,MATCH(AU$5,DedListItem,0),0,1,1))*AU$3))),IF(ISNUMBER(AU$4),AU$4,IgnoreMin)))))</f>
        <v>0</v>
      </c>
      <c r="AV117" s="148" cm="1">
        <f t="array" aca="1" ref="AV117" ca="1">-IF($F117="Terminated",0,IF($AA117=0,0,IF(ISNA(MATCH(AV$5,PayDedList,0)),0,MIN(IF(COUNTIFS(OverEmp,$C117,OverDeduct,AV$5,OverDate,"&lt;"&amp;DATE(YEAR($AC117),MONTH($AC117)+1,1),OverEnd,"&gt;="&amp;DATE(YEAR($AC117),MONTH($AC117),1))&gt;0,SUMPRODUCT((PayEmp=$C117)*(PayDate&lt;=$AC117)*(OFFSET($N$6,1,MATCH(AV$5,PayDedList,0)-1,PayCount,1)))/$AA117*12*AV$3,IF(OR(AV$1="Fixed",AV$1="Not Used"),SUMPRODUCT((PayEmp=$C117)*(PayDate&lt;=$AC117)*(OFFSET($N$6,1,MATCH(AV$5,PayDedList,0)-1,PayCount,1)))/$AA117*12*AV$3,IF(ISNA(MATCH(OFFSET($N$2,0,MATCH(AV$5,PayDedList,0)-1,1,1),EarnListItem,0))=FALSE,SUMPRODUCT((PayEmp=$C117)*(PayDate&lt;=$AC117)*(OFFSET($N$6,1,MATCH(AV$5,PayDedList,0)-1,PayCount,1)))/$AA117*12*AV$3,(MIN(SUMPRODUCT((PayEmp=$C117)*(PayDate&lt;=$AC117)*(ISERROR(SEARCH(PayEarnCode,AV$2)))*(PayEarnType="Monthly")*(PayEarnValues))/$AA117*12,IF(ISNUMBER(OFFSET($N$3,0,MATCH(AV$5,PayDedList,0)-1,1,1)),OFFSET($N$3,0,MATCH(AV$5,PayDedList,0)-1,1,1),IgnoreMin)))*IF(COUNTIFS(EmpNo,$C117,OFFSET(Emp!$R$4,1,MATCH(AV$5,DedListItem,0)-1,EmpCount,1),"&lt;&gt;")&gt;0,VLOOKUP($C117,EmpAll,COLUMN(Emp!$R$4)+MATCH(AV$5,DedListItem,0)-1,0),OFFSET(Setup!$E$73,MATCH(AV$5,DedListItem,0),0,1,1))*AV$3))),IF(ISNUMBER(AV$4),AV$4,IgnoreMin)))))</f>
        <v>0</v>
      </c>
      <c r="AW117" s="148" cm="1">
        <f t="array" aca="1" ref="AW117" ca="1">-IF($F117="Terminated",0,IF($AA117=0,0,IF(ISNA(MATCH(AW$5,PayDedList,0)),0,MIN(IF(COUNTIFS(OverEmp,$C117,OverDeduct,AW$5,OverDate,"&lt;"&amp;DATE(YEAR($AC117),MONTH($AC117)+1,1),OverEnd,"&gt;="&amp;DATE(YEAR($AC117),MONTH($AC117),1))&gt;0,SUMPRODUCT((PayEmp=$C117)*(PayDate&lt;=$AC117)*(OFFSET($N$6,1,MATCH(AW$5,PayDedList,0)-1,PayCount,1)))/$AA117*12*AW$3,IF(OR(AW$1="Fixed",AW$1="Not Used"),SUMPRODUCT((PayEmp=$C117)*(PayDate&lt;=$AC117)*(OFFSET($N$6,1,MATCH(AW$5,PayDedList,0)-1,PayCount,1)))/$AA117*12*AW$3,IF(ISNA(MATCH(OFFSET($N$2,0,MATCH(AW$5,PayDedList,0)-1,1,1),EarnListItem,0))=FALSE,SUMPRODUCT((PayEmp=$C117)*(PayDate&lt;=$AC117)*(OFFSET($N$6,1,MATCH(AW$5,PayDedList,0)-1,PayCount,1)))/$AA117*12*AW$3,(MIN(SUMPRODUCT((PayEmp=$C117)*(PayDate&lt;=$AC117)*(ISERROR(SEARCH(PayEarnCode,AW$2)))*(PayEarnType="Monthly")*(PayEarnValues))/$AA117*12,IF(ISNUMBER(OFFSET($N$3,0,MATCH(AW$5,PayDedList,0)-1,1,1)),OFFSET($N$3,0,MATCH(AW$5,PayDedList,0)-1,1,1),IgnoreMin)))*IF(COUNTIFS(EmpNo,$C117,OFFSET(Emp!$R$4,1,MATCH(AW$5,DedListItem,0)-1,EmpCount,1),"&lt;&gt;")&gt;0,VLOOKUP($C117,EmpAll,COLUMN(Emp!$R$4)+MATCH(AW$5,DedListItem,0)-1,0),OFFSET(Setup!$E$73,MATCH(AW$5,DedListItem,0),0,1,1))*AW$3))),IF(ISNUMBER(AW$4),AW$4,IgnoreMin)))))</f>
        <v>0</v>
      </c>
      <c r="AX117" s="148">
        <f t="shared" ca="1" si="58"/>
        <v>120000</v>
      </c>
      <c r="AY117" s="148">
        <f t="shared" ca="1" si="59"/>
        <v>0</v>
      </c>
      <c r="AZ117" s="148">
        <f ca="1">IF(ISNUMBER($AL117),($AR117*$AL117)-$AI117-$AK117,MAX(0,IF($AL117="B",IF($AR117&lt;Setup!$C$32,($AR117*Setup!$D$32)-$AI117-$AK117,(($AR117-VLOOKUP($AR117,TaxAll2,1,1))*OFFSET(Setup!$D$32,MATCH($AR117,TaxBracket2,1),0,1,1))+OFFSET(Setup!$E$31,MATCH($AR117,TaxBracket2,1),0,1,1)-$AI117-$AK117),IF($AR117&lt;Setup!$C$21,($AR117*Setup!$D$21)-$AI117-$AK117,(($AR117-VLOOKUP($AR117,TaxAll1,1,1))*OFFSET(Setup!$D$21,MATCH($AR117,TaxBracket1,1),0,1,1))+OFFSET(Setup!$E$20,MATCH($AR117,TaxBracket1,1),0,1,1)-$AI117-$AK117))))</f>
        <v>0</v>
      </c>
      <c r="BA117" s="148">
        <f ca="1">IF(ISNUMBER($AL117),($AX117*$AL117)-$AI117-$AK117,MAX(0,IF($AL117="B",IF($AX117&lt;Setup!$C$32,($AX117*Setup!$D$32)-$AI117-$AK117,(($AX117-VLOOKUP($AX117,TaxAll2,1,1))*OFFSET(Setup!$D$32,MATCH($AX117,TaxBracket2,1),0,1,1))+OFFSET(Setup!$E$31,MATCH($AX117,TaxBracket2,1),0,1,1)-$AI117-$AK117),IF($AX117&lt;Setup!$C$21,($AX117*Setup!$D$21)-$AI117-$AK117,(($AX117-VLOOKUP($AX117,TaxAll1,1,1))*OFFSET(Setup!$D$21,MATCH($AX117,TaxBracket1,1),0,1,1))+OFFSET(Setup!$E$20,MATCH($AX117,TaxBracket1,1),0,1,1)-$AI117-$AK117))))</f>
        <v>0</v>
      </c>
      <c r="BB117" s="148">
        <f t="shared" ca="1" si="53"/>
        <v>0</v>
      </c>
      <c r="BC117" s="150">
        <f t="shared" ca="1" si="45"/>
        <v>1</v>
      </c>
      <c r="BD117" s="150">
        <f t="shared" ca="1" si="46"/>
        <v>0</v>
      </c>
      <c r="BE117" s="148">
        <f t="shared" ca="1" si="47"/>
        <v>120000</v>
      </c>
    </row>
    <row r="118" spans="1:57" ht="16.149999999999999" customHeight="1" x14ac:dyDescent="0.25">
      <c r="A118" s="10" t="str" cm="1">
        <f t="array" aca="1" ref="A118" ca="1">IF(ROW($A118)-ROW($A$6)&gt;EmpCount*12,"-",TEXT($B118,"yyyy")&amp;TEXT($B118,"mm")&amp;"-"&amp;$C118)</f>
        <v>202310-EXS007</v>
      </c>
      <c r="B118" s="137" cm="1">
        <f t="array" aca="1" ref="B118" ca="1">IF(ROW($A118)-ROW($A$6)&gt;EmpCount*12,Setup!$D$12,DATE(YEAR(Setup!$F$12),MONTH(Setup!$F$12)+ROUNDDOWN((ROW($A118)-ROW($A$6)-1)/EmpCount,0),IF(Setup!$C$14&gt;DAY(DATE(YEAR(Setup!$F$12),MONTH(Setup!$F$12)+ROUNDDOWN((ROW($A118)-ROW($A$6)-1)/EmpCount,0)+1,0)),DAY(DATE(YEAR(Setup!$F$12),MONTH(Setup!$F$12)+ROUNDDOWN((ROW($A118)-ROW($A$6)-1)/EmpCount,0)+1,0)),Setup!$C$14)))</f>
        <v>45224</v>
      </c>
      <c r="C118" s="101" t="str" cm="1">
        <f t="array" aca="1" ref="C118" ca="1">IF(ROW($A118)-ROW($A$6)&gt;EmpCount*12,"-",OFFSET(Emp!$A$4,ROW($A118)-ROW($A$6)-IF(ROW($A118)-ROW($A$6)&gt;EmpCount,ROUNDDOWN((ROW($A118)-ROW($A$6)-1)/EmpCount,0)*EmpCount,0),0,1,1))</f>
        <v>EXS007</v>
      </c>
      <c r="D118" s="10" t="str">
        <f ca="1">IF(ISNA(VLOOKUP($C118,EmpAll,COLUMN(Emp!$B$4),0)),"-",VLOOKUP($C118,EmpAll,COLUMN(Emp!$B$4),0))</f>
        <v>Phillips KE</v>
      </c>
      <c r="E118" s="145" t="str">
        <f ca="1">IF(ISNA(VLOOKUP($C118,EmpAll,COLUMN(Emp!$C$4),0)),"-",VLOOKUP($C118,EmpAll,COLUMN(Emp!$C$4),0))</f>
        <v>A</v>
      </c>
      <c r="F118" s="101" t="str">
        <f ca="1">IF(ISNA(VLOOKUP($C118,EmpAll,COLUMN(Emp!$A$4),0)),"-",IF(AND(VLOOKUP($C118,EmpAll,COLUMN(Emp!$E$4),0)&lt;&gt;0,VLOOKUP($C118,EmpAll,COLUMN(Emp!$E$4),0)&gt;=DATE(YEAR($AC118),MONTH($AC118)+1,0)),"Inactive",IF(AND(VLOOKUP($C118,EmpAll,COLUMN(Emp!$F$4),0)&lt;&gt;0,VLOOKUP($C118,EmpAll,COLUMN(Emp!$F$4),0)&lt;=DATE(YEAR($AC118),MONTH($AC118),0)),"Terminated","Active")))</f>
        <v>Terminated</v>
      </c>
      <c r="G118" s="133" cm="1">
        <f t="array" aca="1" ref="G118" ca="1">IF($F118&lt;&gt;"Active",0,IF(COUNTIFS(OverEmp,$C118,OverEarn,G$2,OverDate,"&lt;"&amp;DATE(YEAR($AC118),MONTH($AC118)+1,1),OverEnd,"&gt;="&amp;DATE(YEAR($AC118),MONTH($AC118),1))&gt;0,SUMIFS(OverValue,OverEmp,$C118,OverEarn,G$2,OverDate,"&lt;"&amp;DATE(YEAR($AC118),MONTH($AC118)+1,1),OverEnd,"&gt;="&amp;DATE(YEAR($AC118),MONTH($AC118),1)),IF(AND($AC118&gt;=Setup!$E$10,SUMIFS(EmpIncrease,EmpCode,$C118)&gt;0),SUMIFS(EmpIncrease,EmpCode,$C118),SUMIFS(EmpSalary,EmpCode,$C118))))</f>
        <v>0</v>
      </c>
      <c r="H118" s="133" cm="1">
        <f t="array" aca="1" ref="H118" ca="1">IF($F118&lt;&gt;"Active",0,IF(COUNTIFS(OverEmp,$C118,OverEarn,H$2,OverDate,"&lt;"&amp;DATE(YEAR($AC118),MONTH($AC118)+1,1),OverEnd,"&gt;="&amp;DATE(YEAR($AC118),MONTH($AC118),1))&gt;0,SUMIFS(OverValue,OverEmp,$C118,OverEarn,H$2,OverDate,"&lt;"&amp;DATE(YEAR($AC118),MONTH($AC118)+1,1),OverEnd,"&gt;="&amp;DATE(YEAR($AC118),MONTH($AC118),1)),0))</f>
        <v>0</v>
      </c>
      <c r="I118" s="133" cm="1">
        <f t="array" aca="1" ref="I118" ca="1">IF($F118&lt;&gt;"Active",0,IF(COUNTIFS(OverEmp,$C118,OverEarn,I$2,OverDate,"&lt;"&amp;DATE(YEAR($AC118),MONTH($AC118)+1,1),OverEnd,"&gt;="&amp;DATE(YEAR($AC118),MONTH($AC118),1))&gt;0,SUMIFS(OverValue,OverEmp,$C118,OverEarn,I$2,OverDate,"&lt;"&amp;DATE(YEAR($AC118),MONTH($AC118)+1,1),OverEnd,"&gt;="&amp;DATE(YEAR($AC118),MONTH($AC118),1)),IF(MONTH(B118)=Setup!$C$15,SUMIFS(EmpBonus,EmpCode,$C118),0)))</f>
        <v>0</v>
      </c>
      <c r="J118" s="133" cm="1">
        <f t="array" aca="1" ref="J118" ca="1">IF($F118&lt;&gt;"Active",0,IF(COUNTIFS(OverEmp,$C118,OverEarn,J$2,OverDate,"&lt;"&amp;DATE(YEAR($AC118),MONTH($AC118)+1,1),OverEnd,"&gt;="&amp;DATE(YEAR($AC118),MONTH($AC118),1))&gt;0,SUMIFS(OverValue,OverEmp,$C118,OverEarn,J$2,OverDate,"&lt;"&amp;DATE(YEAR($AC118),MONTH($AC118)+1,1),OverEnd,"&gt;="&amp;DATE(YEAR($AC118),MONTH($AC118),1)),0))</f>
        <v>0</v>
      </c>
      <c r="K118" s="133" cm="1">
        <f t="array" aca="1" ref="K118" ca="1">IF($F118&lt;&gt;"Active",0,IF(COUNTIFS(OverEmp,$C118,OverEarn,K$2,OverDate,"&lt;"&amp;DATE(YEAR($AC118),MONTH($AC118)+1,1),OverEnd,"&gt;="&amp;DATE(YEAR($AC118),MONTH($AC118),1))&gt;0,SUMIFS(OverValue,OverEmp,$C118,OverEarn,K$2,OverDate,"&lt;"&amp;DATE(YEAR($AC118),MONTH($AC118)+1,1),OverEnd,"&gt;="&amp;DATE(YEAR($AC118),MONTH($AC118),1)),0))</f>
        <v>0</v>
      </c>
      <c r="L118" s="185">
        <f t="shared" ca="1" si="54"/>
        <v>0</v>
      </c>
      <c r="M118" s="182" cm="1">
        <f t="array" aca="1" ref="M118" ca="1">IF(COUNTIFS(OverEmp,$C118,OverTax,M$5,OverDate,"&lt;"&amp;DATE(YEAR($AC118),MONTH($AC118)+1,1),OverEnd,"&gt;="&amp;DATE(YEAR($AC118),MONTH($AC118),1))&gt;0,SUMIFS(OverValue,OverEmp,$C118,OverTax,M$5,OverDate,"&lt;"&amp;DATE(YEAR($AC118),MONTH($AC118)+1,1),OverEnd,"&gt;="&amp;DATE(YEAR($AC118),MONTH($AC118),1)),(($BA118/12*$AA118)+(BB118*IF(1-$BC118=0,0,BD118/(1-$BC118))))-IF($F118="Terminated",0,SUMIFS(PayTaxDeduct,PayDate,"&lt;"&amp;$AC118,PayEmp,$C118)))</f>
        <v>0</v>
      </c>
      <c r="N118" s="133" cm="1">
        <f t="array" aca="1" ref="N118" ca="1">IF($F118="Terminated",0,IF($AA118=0,0,IF(ISNA(MATCH(N$5,DedListItem,0)),0,IF(COUNTIFS(OverEmp,$C118,OverDeduct,N$5,OverDate,"&lt;"&amp;DATE(YEAR($AC118),MONTH($AC118)+1,1),OverEnd,"&gt;="&amp;DATE(YEAR($AC118),MONTH($AC118),1))&gt;0,SUMIFS(OverValue,OverEmp,$C118,OverDeduct,N$5,OverDate,"&lt;"&amp;DATE(YEAR($AC118),MONTH($AC118)+1,1),OverEnd,"&gt;="&amp;DATE(YEAR($AC118),MONTH($AC118),1)),IF(OR(N$2="Fixed",N$2="Not Used"),(IF(COUNTIFS(EmpNo,$C118,OFFSET(Emp!$R$4,1,MATCH(N$5,DedListItem,0)-1,EmpCount,1),"&lt;&gt;")&gt;0,VLOOKUP($C118,EmpAll,COLUMN(Emp!$R$4)+MATCH(N$5,DedListItem,0)-1,0),OFFSET(Setup!$E$73,MATCH(N$5,DedListItem,0),0,1,1))*$AA118)-SUMIFS(OFFSET(N$6,1,0,PayCount,1),PayDate,"&lt;"&amp;$AC118,PayEmp,$C118),IF(ISNA(MATCH(N$2,EarnListItem,0))=FALSE,IF(OFFSET(Setup!$G$73,MATCH(N$5,DedListItem,0),0,1,1)="Taxable",SUMPRODUCT((PayEmp=$C118)*(PayDate&lt;=$AC118)*(PayEarnCode=N$2)*(PayEarnTax)*(PayEarnValues)),SUMPRODUCT((PayEmp=$C118)*(PayDate&lt;=$AC118)*(PayEarnCode=N$2)*(PayEarnValues)))*IF(COUNTIFS(EmpNo,$C118,OFFSET(Emp!$R$4,1,MATCH(N$5,DedListItem,0)-1,EmpCount,1),"&lt;&gt;")&gt;0,VLOOKUP($C118,EmpAll,COLUMN(Emp!$R$4)+MATCH(N$5,DedListItem,0)-1,0),OFFSET(Setup!$E$73,MATCH(N$5,DedListItem,0),0,1,1)),(MIN(IF(OFFSET(Setup!$G$73,MATCH(N$5,DedListItem,0),0,1,1)="Taxable",SUMPRODUCT((PayEmp=$C118)*(PayDate&lt;=$AC118)*(ISERROR(SEARCH(PayEarnCode,N$4)))*(PayEarnTax)*(PayEarnValues)),SUMPRODUCT((PayEmp=$C118)*(PayDate&lt;=$AC118)*(ISERROR(SEARCH(PayEarnCode,N$4)))*(PayEarnValues))),IF(ISNUMBER(N$3),N$3/12*$AA118,IgnoreMin)))*IF(COUNTIFS(EmpNo,$C118,OFFSET(Emp!$R$4,1,MATCH(N$5,DedListItem,0)-1,EmpCount,1),"&lt;&gt;")&gt;0,VLOOKUP($C118,EmpAll,COLUMN(Emp!$R$4)+MATCH(N$5,DedListItem,0)-1,0),OFFSET(Setup!$E$73,MATCH(N$5,DedListItem,0),0,1,1)))-SUMIFS(OFFSET(N$6,1,0,PayCount,1),PayDate,"&lt;"&amp;$AC118,PayEmp,$C118))))))</f>
        <v>0</v>
      </c>
      <c r="O118" s="133" cm="1">
        <f t="array" aca="1" ref="O118" ca="1">IF($F118="Terminated",0,IF($AA118=0,0,IF(ISNA(MATCH(O$5,DedListItem,0)),0,IF(COUNTIFS(OverEmp,$C118,OverDeduct,O$5,OverDate,"&lt;"&amp;DATE(YEAR($AC118),MONTH($AC118)+1,1),OverEnd,"&gt;="&amp;DATE(YEAR($AC118),MONTH($AC118),1))&gt;0,SUMIFS(OverValue,OverEmp,$C118,OverDeduct,O$5,OverDate,"&lt;"&amp;DATE(YEAR($AC118),MONTH($AC118)+1,1),OverEnd,"&gt;="&amp;DATE(YEAR($AC118),MONTH($AC118),1)),IF(OR(O$2="Fixed",O$2="Not Used"),(IF(COUNTIFS(EmpNo,$C118,OFFSET(Emp!$R$4,1,MATCH(O$5,DedListItem,0)-1,EmpCount,1),"&lt;&gt;")&gt;0,VLOOKUP($C118,EmpAll,COLUMN(Emp!$R$4)+MATCH(O$5,DedListItem,0)-1,0),OFFSET(Setup!$E$73,MATCH(O$5,DedListItem,0),0,1,1))*$AA118)-SUMIFS(OFFSET(O$6,1,0,PayCount,1),PayDate,"&lt;"&amp;$AC118,PayEmp,$C118),IF(ISNA(MATCH(O$2,EarnListItem,0))=FALSE,IF(OFFSET(Setup!$G$73,MATCH(O$5,DedListItem,0),0,1,1)="Taxable",SUMPRODUCT((PayEmp=$C118)*(PayDate&lt;=$AC118)*(PayEarnCode=O$2)*(PayEarnTax)*(PayEarnValues)),SUMPRODUCT((PayEmp=$C118)*(PayDate&lt;=$AC118)*(PayEarnCode=O$2)*(PayEarnValues)))*IF(COUNTIFS(EmpNo,$C118,OFFSET(Emp!$R$4,1,MATCH(O$5,DedListItem,0)-1,EmpCount,1),"&lt;&gt;")&gt;0,VLOOKUP($C118,EmpAll,COLUMN(Emp!$R$4)+MATCH(O$5,DedListItem,0)-1,0),OFFSET(Setup!$E$73,MATCH(O$5,DedListItem,0),0,1,1)),(MIN(IF(OFFSET(Setup!$G$73,MATCH(O$5,DedListItem,0),0,1,1)="Taxable",SUMPRODUCT((PayEmp=$C118)*(PayDate&lt;=$AC118)*(ISERROR(SEARCH(PayEarnCode,O$4)))*(PayEarnTax)*(PayEarnValues)),SUMPRODUCT((PayEmp=$C118)*(PayDate&lt;=$AC118)*(ISERROR(SEARCH(PayEarnCode,O$4)))*(PayEarnValues))),IF(ISNUMBER(O$3),O$3/12*$AA118,IgnoreMin)))*IF(COUNTIFS(EmpNo,$C118,OFFSET(Emp!$R$4,1,MATCH(O$5,DedListItem,0)-1,EmpCount,1),"&lt;&gt;")&gt;0,VLOOKUP($C118,EmpAll,COLUMN(Emp!$R$4)+MATCH(O$5,DedListItem,0)-1,0),OFFSET(Setup!$E$73,MATCH(O$5,DedListItem,0),0,1,1)))-SUMIFS(OFFSET(O$6,1,0,PayCount,1),PayDate,"&lt;"&amp;$AC118,PayEmp,$C118))))))</f>
        <v>0</v>
      </c>
      <c r="P118" s="133" cm="1">
        <f t="array" aca="1" ref="P118" ca="1">IF($F118="Terminated",0,IF($AA118=0,0,IF(ISNA(MATCH(P$5,DedListItem,0)),0,IF(COUNTIFS(OverEmp,$C118,OverDeduct,P$5,OverDate,"&lt;"&amp;DATE(YEAR($AC118),MONTH($AC118)+1,1),OverEnd,"&gt;="&amp;DATE(YEAR($AC118),MONTH($AC118),1))&gt;0,SUMIFS(OverValue,OverEmp,$C118,OverDeduct,P$5,OverDate,"&lt;"&amp;DATE(YEAR($AC118),MONTH($AC118)+1,1),OverEnd,"&gt;="&amp;DATE(YEAR($AC118),MONTH($AC118),1)),IF(OR(P$2="Fixed",P$2="Not Used"),(IF(COUNTIFS(EmpNo,$C118,OFFSET(Emp!$R$4,1,MATCH(P$5,DedListItem,0)-1,EmpCount,1),"&lt;&gt;")&gt;0,VLOOKUP($C118,EmpAll,COLUMN(Emp!$R$4)+MATCH(P$5,DedListItem,0)-1,0),OFFSET(Setup!$E$73,MATCH(P$5,DedListItem,0),0,1,1))*$AA118)-SUMIFS(OFFSET(P$6,1,0,PayCount,1),PayDate,"&lt;"&amp;$AC118,PayEmp,$C118),IF(ISNA(MATCH(P$2,EarnListItem,0))=FALSE,IF(OFFSET(Setup!$G$73,MATCH(P$5,DedListItem,0),0,1,1)="Taxable",SUMPRODUCT((PayEmp=$C118)*(PayDate&lt;=$AC118)*(PayEarnCode=P$2)*(PayEarnTax)*(PayEarnValues)),SUMPRODUCT((PayEmp=$C118)*(PayDate&lt;=$AC118)*(PayEarnCode=P$2)*(PayEarnValues)))*IF(COUNTIFS(EmpNo,$C118,OFFSET(Emp!$R$4,1,MATCH(P$5,DedListItem,0)-1,EmpCount,1),"&lt;&gt;")&gt;0,VLOOKUP($C118,EmpAll,COLUMN(Emp!$R$4)+MATCH(P$5,DedListItem,0)-1,0),OFFSET(Setup!$E$73,MATCH(P$5,DedListItem,0),0,1,1)),(MIN(IF(OFFSET(Setup!$G$73,MATCH(P$5,DedListItem,0),0,1,1)="Taxable",SUMPRODUCT((PayEmp=$C118)*(PayDate&lt;=$AC118)*(ISERROR(SEARCH(PayEarnCode,P$4)))*(PayEarnTax)*(PayEarnValues)),SUMPRODUCT((PayEmp=$C118)*(PayDate&lt;=$AC118)*(ISERROR(SEARCH(PayEarnCode,P$4)))*(PayEarnValues))),IF(ISNUMBER(P$3),P$3/12*$AA118,IgnoreMin)))*IF(COUNTIFS(EmpNo,$C118,OFFSET(Emp!$R$4,1,MATCH(P$5,DedListItem,0)-1,EmpCount,1),"&lt;&gt;")&gt;0,VLOOKUP($C118,EmpAll,COLUMN(Emp!$R$4)+MATCH(P$5,DedListItem,0)-1,0),OFFSET(Setup!$E$73,MATCH(P$5,DedListItem,0),0,1,1)))-SUMIFS(OFFSET(P$6,1,0,PayCount,1),PayDate,"&lt;"&amp;$AC118,PayEmp,$C118))))))</f>
        <v>0</v>
      </c>
      <c r="Q118" s="133" cm="1">
        <f t="array" aca="1" ref="Q118" ca="1">IF($F118="Terminated",0,IF($AA118=0,0,IF(ISNA(MATCH(Q$5,DedListItem,0)),0,IF(COUNTIFS(OverEmp,$C118,OverDeduct,Q$5,OverDate,"&lt;"&amp;DATE(YEAR($AC118),MONTH($AC118)+1,1),OverEnd,"&gt;="&amp;DATE(YEAR($AC118),MONTH($AC118),1))&gt;0,SUMIFS(OverValue,OverEmp,$C118,OverDeduct,Q$5,OverDate,"&lt;"&amp;DATE(YEAR($AC118),MONTH($AC118)+1,1),OverEnd,"&gt;="&amp;DATE(YEAR($AC118),MONTH($AC118),1)),IF(OR(Q$2="Fixed",Q$2="Not Used"),(IF(COUNTIFS(EmpNo,$C118,OFFSET(Emp!$R$4,1,MATCH(Q$5,DedListItem,0)-1,EmpCount,1),"&lt;&gt;")&gt;0,VLOOKUP($C118,EmpAll,COLUMN(Emp!$R$4)+MATCH(Q$5,DedListItem,0)-1,0),OFFSET(Setup!$E$73,MATCH(Q$5,DedListItem,0),0,1,1))*$AA118)-SUMIFS(OFFSET(Q$6,1,0,PayCount,1),PayDate,"&lt;"&amp;$AC118,PayEmp,$C118),IF(ISNA(MATCH(Q$2,EarnListItem,0))=FALSE,IF(OFFSET(Setup!$G$73,MATCH(Q$5,DedListItem,0),0,1,1)="Taxable",SUMPRODUCT((PayEmp=$C118)*(PayDate&lt;=$AC118)*(PayEarnCode=Q$2)*(PayEarnTax)*(PayEarnValues)),SUMPRODUCT((PayEmp=$C118)*(PayDate&lt;=$AC118)*(PayEarnCode=Q$2)*(PayEarnValues)))*IF(COUNTIFS(EmpNo,$C118,OFFSET(Emp!$R$4,1,MATCH(Q$5,DedListItem,0)-1,EmpCount,1),"&lt;&gt;")&gt;0,VLOOKUP($C118,EmpAll,COLUMN(Emp!$R$4)+MATCH(Q$5,DedListItem,0)-1,0),OFFSET(Setup!$E$73,MATCH(Q$5,DedListItem,0),0,1,1)),(MIN(IF(OFFSET(Setup!$G$73,MATCH(Q$5,DedListItem,0),0,1,1)="Taxable",SUMPRODUCT((PayEmp=$C118)*(PayDate&lt;=$AC118)*(ISERROR(SEARCH(PayEarnCode,Q$4)))*(PayEarnTax)*(PayEarnValues)),SUMPRODUCT((PayEmp=$C118)*(PayDate&lt;=$AC118)*(ISERROR(SEARCH(PayEarnCode,Q$4)))*(PayEarnValues))),IF(ISNUMBER(Q$3),Q$3/12*$AA118,IgnoreMin)))*IF(COUNTIFS(EmpNo,$C118,OFFSET(Emp!$R$4,1,MATCH(Q$5,DedListItem,0)-1,EmpCount,1),"&lt;&gt;")&gt;0,VLOOKUP($C118,EmpAll,COLUMN(Emp!$R$4)+MATCH(Q$5,DedListItem,0)-1,0),OFFSET(Setup!$E$73,MATCH(Q$5,DedListItem,0),0,1,1)))-SUMIFS(OFFSET(Q$6,1,0,PayCount,1),PayDate,"&lt;"&amp;$AC118,PayEmp,$C118))))))</f>
        <v>0</v>
      </c>
      <c r="R118" s="185">
        <f t="shared" ca="1" si="55"/>
        <v>0</v>
      </c>
      <c r="S118" s="139">
        <f t="shared" ca="1" si="56"/>
        <v>0</v>
      </c>
      <c r="T118" s="133" cm="1">
        <f t="array" aca="1" ref="T118" ca="1">IF($F118="Terminated",0,IF($AA118=0,0,IF(ISNA(MATCH(T$5,CompListItem,0)),0,IF(COUNTIFS(OverEmp,$C118,OverComp,T$5,OverDate,"&lt;"&amp;DATE(YEAR($AC118),MONTH($AC118)+1,1),OverEnd,"&gt;="&amp;DATE(YEAR($AC118),MONTH($AC118),1))&gt;0,SUMIFS(OverValue,OverEmp,$C118,OverComp,T$5,OverDate,"&lt;"&amp;DATE(YEAR($AC118),MONTH($AC118)+1,1),OverEnd,"&gt;="&amp;DATE(YEAR($AC118),MONTH($AC118),1)),IF(OR(T$2="Fixed",T$2="Not Used"),(OFFSET(Setup!$E$81,MATCH(T$5,CompListItem,0),0,1,1)*$AA118)-SUMIFS(OFFSET(T$6,1,0,PayCount,1),PayDate,"&lt;"&amp;$AC118,PayEmp,$C118),IF(ISNA(MATCH(T$2,DedListItem,0))=FALSE,(SUMPRODUCT((PayEmp=$C118)*(PayDate&lt;=$AC118)*(PayDedList=T$2)*(PayDedValues))*OFFSET(Setup!$E$81,MATCH(T$5,CompListItem,0),0,1,1))-SUMIFS(OFFSET(T$6,1,0,PayCount,1),PayDate,"&lt;"&amp;$AC118,PayEmp,$C118),(MIN(IF(OFFSET(Setup!$G$81,MATCH(T$5,CompListItem,0),0,1,1)="Taxable",SUMPRODUCT((PayEmp=$C118)*(PayDate&lt;=$AC118)*(ISERROR(SEARCH(PayEarnCode,T$4)))*(PayEarnTax)*(PayEarnValues)),SUMPRODUCT((PayEmp=$C118)*(PayDate&lt;=$AC118)*(ISERROR(SEARCH(PayEarnCode,T$4)))*(PayEarnValues))),IF(ISNUMBER(T$3),T$3/12*$AA118,IgnoreMin)))*OFFSET(Setup!$E$81,MATCH(T$5,CompListItem,0),0,1,1)-SUMIFS(OFFSET(T$6,1,0,PayCount,1),PayDate,"&lt;"&amp;$AC118,PayEmp,$C118)))))))</f>
        <v>0</v>
      </c>
      <c r="U118" s="133" cm="1">
        <f t="array" aca="1" ref="U118" ca="1">IF($F118="Terminated",0,IF($AA118=0,0,IF(ISNA(MATCH(U$5,CompListItem,0)),0,IF(COUNTIFS(OverEmp,$C118,OverComp,U$5,OverDate,"&lt;"&amp;DATE(YEAR($AC118),MONTH($AC118)+1,1),OverEnd,"&gt;="&amp;DATE(YEAR($AC118),MONTH($AC118),1))&gt;0,SUMIFS(OverValue,OverEmp,$C118,OverComp,U$5,OverDate,"&lt;"&amp;DATE(YEAR($AC118),MONTH($AC118)+1,1),OverEnd,"&gt;="&amp;DATE(YEAR($AC118),MONTH($AC118),1)),IF(OR(U$2="Fixed",U$2="Not Used"),(OFFSET(Setup!$E$81,MATCH(U$5,CompListItem,0),0,1,1)*$AA118)-SUMIFS(OFFSET(U$6,1,0,PayCount,1),PayDate,"&lt;"&amp;$AC118,PayEmp,$C118),IF(ISNA(MATCH(U$2,DedListItem,0))=FALSE,(SUMPRODUCT((PayEmp=$C118)*(PayDate&lt;=$AC118)*(PayDedList=U$2)*(PayDedValues))*OFFSET(Setup!$E$81,MATCH(U$5,CompListItem,0),0,1,1))-SUMIFS(OFFSET(U$6,1,0,PayCount,1),PayDate,"&lt;"&amp;$AC118,PayEmp,$C118),(MIN(IF(OFFSET(Setup!$G$81,MATCH(U$5,CompListItem,0),0,1,1)="Taxable",SUMPRODUCT((PayEmp=$C118)*(PayDate&lt;=$AC118)*(ISERROR(SEARCH(PayEarnCode,U$4)))*(PayEarnTax)*(PayEarnValues)),SUMPRODUCT((PayEmp=$C118)*(PayDate&lt;=$AC118)*(ISERROR(SEARCH(PayEarnCode,U$4)))*(PayEarnValues))),IF(ISNUMBER(U$3),U$3/12*$AA118,IgnoreMin)))*OFFSET(Setup!$E$81,MATCH(U$5,CompListItem,0),0,1,1)-SUMIFS(OFFSET(U$6,1,0,PayCount,1),PayDate,"&lt;"&amp;$AC118,PayEmp,$C118)))))))</f>
        <v>0</v>
      </c>
      <c r="V118" s="133" cm="1">
        <f t="array" aca="1" ref="V118" ca="1">IF($F118="Terminated",0,IF($AA118=0,0,IF(ISNA(MATCH(V$5,CompListItem,0)),0,IF(COUNTIFS(OverEmp,$C118,OverComp,V$5,OverDate,"&lt;"&amp;DATE(YEAR($AC118),MONTH($AC118)+1,1),OverEnd,"&gt;="&amp;DATE(YEAR($AC118),MONTH($AC118),1))&gt;0,SUMIFS(OverValue,OverEmp,$C118,OverComp,V$5,OverDate,"&lt;"&amp;DATE(YEAR($AC118),MONTH($AC118)+1,1),OverEnd,"&gt;="&amp;DATE(YEAR($AC118),MONTH($AC118),1)),IF(OR(V$2="Fixed",V$2="Not Used"),(OFFSET(Setup!$E$81,MATCH(V$5,CompListItem,0),0,1,1)*$AA118)-SUMIFS(OFFSET(V$6,1,0,PayCount,1),PayDate,"&lt;"&amp;$AC118,PayEmp,$C118),IF(ISNA(MATCH(V$2,DedListItem,0))=FALSE,(SUMPRODUCT((PayEmp=$C118)*(PayDate&lt;=$AC118)*(PayDedList=V$2)*(PayDedValues))*OFFSET(Setup!$E$81,MATCH(V$5,CompListItem,0),0,1,1))-SUMIFS(OFFSET(V$6,1,0,PayCount,1),PayDate,"&lt;"&amp;$AC118,PayEmp,$C118),(MIN(IF(OFFSET(Setup!$G$81,MATCH(V$5,CompListItem,0),0,1,1)="Taxable",SUMPRODUCT((PayEmp=$C118)*(PayDate&lt;=$AC118)*(ISERROR(SEARCH(PayEarnCode,V$4)))*(PayEarnTax)*(PayEarnValues)),SUMPRODUCT((PayEmp=$C118)*(PayDate&lt;=$AC118)*(ISERROR(SEARCH(PayEarnCode,V$4)))*(PayEarnValues))),IF(ISNUMBER(V$3),V$3/12*$AA118,IgnoreMin)))*OFFSET(Setup!$E$81,MATCH(V$5,CompListItem,0),0,1,1)-SUMIFS(OFFSET(V$6,1,0,PayCount,1),PayDate,"&lt;"&amp;$AC118,PayEmp,$C118)))))))</f>
        <v>0</v>
      </c>
      <c r="W118" s="133" cm="1">
        <f t="array" aca="1" ref="W118" ca="1">IF($F118="Terminated",0,IF($AA118=0,0,IF(ISNA(MATCH(W$5,CompListItem,0)),0,IF(COUNTIFS(OverEmp,$C118,OverComp,W$5,OverDate,"&lt;"&amp;DATE(YEAR($AC118),MONTH($AC118)+1,1),OverEnd,"&gt;="&amp;DATE(YEAR($AC118),MONTH($AC118),1))&gt;0,SUMIFS(OverValue,OverEmp,$C118,OverComp,W$5,OverDate,"&lt;"&amp;DATE(YEAR($AC118),MONTH($AC118)+1,1),OverEnd,"&gt;="&amp;DATE(YEAR($AC118),MONTH($AC118),1)),IF(OR(W$2="Fixed",W$2="Not Used"),(OFFSET(Setup!$E$81,MATCH(W$5,CompListItem,0),0,1,1)*$AA118)-SUMIFS(OFFSET(W$6,1,0,PayCount,1),PayDate,"&lt;"&amp;$AC118,PayEmp,$C118),IF(ISNA(MATCH(W$2,DedListItem,0))=FALSE,(SUMPRODUCT((PayEmp=$C118)*(PayDate&lt;=$AC118)*(PayDedList=W$2)*(PayDedValues))*OFFSET(Setup!$E$81,MATCH(W$5,CompListItem,0),0,1,1))-SUMIFS(OFFSET(W$6,1,0,PayCount,1),PayDate,"&lt;"&amp;$AC118,PayEmp,$C118),(MIN(IF(OFFSET(Setup!$G$81,MATCH(W$5,CompListItem,0),0,1,1)="Taxable",SUMPRODUCT((PayEmp=$C118)*(PayDate&lt;=$AC118)*(ISERROR(SEARCH(PayEarnCode,W$4)))*(PayEarnTax)*(PayEarnValues)),SUMPRODUCT((PayEmp=$C118)*(PayDate&lt;=$AC118)*(ISERROR(SEARCH(PayEarnCode,W$4)))*(PayEarnValues))),IF(ISNUMBER(W$3),W$3/12*$AA118,IgnoreMin)))*OFFSET(Setup!$E$81,MATCH(W$5,CompListItem,0),0,1,1)-SUMIFS(OFFSET(W$6,1,0,PayCount,1),PayDate,"&lt;"&amp;$AC118,PayEmp,$C118)))))))</f>
        <v>0</v>
      </c>
      <c r="X118" s="185">
        <f t="shared" ca="1" si="48"/>
        <v>0</v>
      </c>
      <c r="Y118" s="139">
        <f t="shared" ca="1" si="57"/>
        <v>0</v>
      </c>
      <c r="Z118" s="139">
        <f t="shared" ca="1" si="49"/>
        <v>0</v>
      </c>
      <c r="AA118" s="146">
        <f ca="1">IF(OR($B118&lt;=Setup!$E$12,$B118&gt;=Setup!$D$12+1),0,IF($F118&lt;&gt;"Active",0,IF($AE118="Yes",$AB118,((YEAR($AC118)*12)+MONTH($AC118))-((YEAR($AD118)*12)+MONTH($AD118)-1))))</f>
        <v>0</v>
      </c>
      <c r="AB118" s="146">
        <f ca="1">IF(OR($B118&lt;=Setup!$E$12,$B118&gt;=Setup!$D$12+1),0,((YEAR($AC118)*12)+MONTH($AC118))-((YEAR(Setup!$E$12)*12)+MONTH(Setup!$E$12)))</f>
        <v>8</v>
      </c>
      <c r="AC118" s="186">
        <f t="shared" ca="1" si="50"/>
        <v>45224</v>
      </c>
      <c r="AD118" s="144">
        <f ca="1">IF(ISNA(VLOOKUP($C118,EmpAll,COLUMN(Emp!$E$4),0)),$AC118,IF(VLOOKUP($C118,EmpAll,COLUMN(Emp!$E$4),0)&lt;=Setup!$E$12,DATE(YEAR(Setup!$E$12),MONTH(Setup!$E$12)+1,1),VLOOKUP($C118,EmpAll,COLUMN(Emp!$E$4),0)))</f>
        <v>44986</v>
      </c>
      <c r="AE118" s="144" t="str">
        <f ca="1">IF(ISNA(VLOOKUP($C118,EmpAll,COLUMN(Emp!$G$1),0)),"-",IF(VLOOKUP($C118,EmpAll,COLUMN(Emp!$G$1),0)=0,"-",VLOOKUP($C118,EmpAll,COLUMN(Emp!$G$1),0)))</f>
        <v>-</v>
      </c>
      <c r="AF118" s="145">
        <f ca="1">IF(A118=PaySlip!$G$3,1,0)</f>
        <v>0</v>
      </c>
      <c r="AG118" s="130" cm="1">
        <f t="array" aca="1" ref="AG118" ca="1">IF(COUNTIFS(OverEmp,$C118,OverMed,"MED",OverDate,"&lt;"&amp;DATE(YEAR($AC118),MONTH($AC118)+1,1),OverEnd,"&gt;="&amp;DATE(YEAR($AC118),MONTH($AC118),1))&gt;0,SUMIFS(OverValue,OverEmp,$C118,OverMed,"MED",OverDate,"&lt;"&amp;DATE(YEAR($AC118),MONTH($AC118)+1,1),OverEnd,"&gt;="&amp;DATE(YEAR($AC118),MONTH($AC118),1)),IF(ISNA(VLOOKUP($C118,EmpAll,COLUMN(Emp!$N$4),0)),0,VLOOKUP($C118,EmpAll,COLUMN(Emp!$N$4),0)))</f>
        <v>0</v>
      </c>
      <c r="AH118" s="146">
        <f ca="1">VLOOKUP($AG118,MedList,COLUMN(Setup!$C$49),1)</f>
        <v>0</v>
      </c>
      <c r="AI118" s="146">
        <f t="shared" ca="1" si="40"/>
        <v>0</v>
      </c>
      <c r="AJ118" s="101" t="str">
        <f ca="1">IF(ISNA(VLOOKUP($C118,EmpAll,COLUMN(Emp!$L$4),0)),"None!",VLOOKUP($C118,EmpAll,COLUMN(Emp!$L$4),0))</f>
        <v>A</v>
      </c>
      <c r="AK118" s="147">
        <f t="shared" ca="1" si="51"/>
        <v>17235</v>
      </c>
      <c r="AL118" s="101" t="str">
        <f ca="1">IF(ISNA(VLOOKUP($C118,Employees[],COLUMN(Emp!$M$4),0))=TRUE,"Error!",IF(VLOOKUP($C118,Employees[],COLUMN(Emp!$M$4),0)=0,"Yes",VLOOKUP($C118,Employees[],COLUMN(Emp!$M$4),0)))</f>
        <v>A</v>
      </c>
      <c r="AM118" s="148">
        <f t="shared" ca="1" si="41"/>
        <v>0</v>
      </c>
      <c r="AN118" s="148" cm="1">
        <f t="array" aca="1" ref="AN118" ca="1">-IF($F118="Terminated",0,IF($AA118=0,0,IF(ISNA(MATCH(AN$5,PayDedList,0)),0,MIN(IF(COUNTIFS(OverEmp,$C118,OverDeduct,AN$5,OverDate,"&lt;"&amp;DATE(YEAR($AC118),MONTH($AC118)+1,1),OverEnd,"&gt;="&amp;DATE(YEAR($AC118),MONTH($AC118),1))&gt;0,SUMPRODUCT((PayEmp=$C118)*(PayDate&lt;=$AC118)*(OFFSET($N$6,1,MATCH(AN$5,PayDedList,0)-1,PayCount,1)))/$AA118*12*AN$3,IF(OR(AN$1="Fixed",AN$1="Not Used"),SUMPRODUCT((PayEmp=$C118)*(PayDate&lt;=$AC118)*(OFFSET($N$6,1,MATCH(AN$5,PayDedList,0)-1,PayCount,1)))/$AA118*12*AN$3,IF(ISNA(MATCH(AN$1,EarnListItem,0))=FALSE,SUMPRODUCT((PayEmp=$C118)*(PayDate&lt;=$AC118)*(OFFSET($N$6,1,MATCH(AN$5,PayDedList,0)-1,PayCount,1)))/$AA118*12*AN$3,(MIN(((SUMPRODUCT((PayEmp=$C118)*(PayDate&lt;=$AC118)*(ISERROR(SEARCH(PayEarnCode,AN$2)))*(PayEarnType="Monthly")*(PayEarnValues))/$AA118*12)+(SUMPRODUCT((PayEmp=$C118)*(PayDate&lt;=$AC118)*(ISERROR(SEARCH(PayEarnCode,AN$2)))*(PayEarnType="Quarterly")*(PayEarnValues))/MAX(1,ROUNDDOWN($AB118/3,0))*4)+(SUMPRODUCT((PayEmp=$C118)*(PayDate&lt;=$AC118)*(ISERROR(SEARCH(PayEarnCode,AN$2)))*(PayEarnType="Bi-Annual")*(PayEarnValues))/MAX(1,ROUNDDOWN($AB118/6,0))*2)+(SUMPRODUCT((PayEmp=$C118)*(PayDate&lt;=$AC118)*(ISERROR(SEARCH(PayEarnCode,AN$2)))*(PayEarnType="Annual")*(PayEarnValues)))),IF(ISNUMBER(OFFSET($N$3,0,MATCH(AN$5,PayDedList,0)-1,1,1)),OFFSET($N$3,0,MATCH(AN$5,PayDedList,0)-1,1,1),IgnoreMin)))*IF(COUNTIFS(EmpNo,$C118,OFFSET(Emp!$R$4,1,MATCH(AN$5,DedListItem,0)-1,EmpCount,1),"&lt;&gt;")&gt;0,VLOOKUP($C118,EmpAll,COLUMN(Emp!$R$4)+MATCH(AN$5,DedListItem,0)-1,0),OFFSET(Setup!$E$73,MATCH(AN$5,DedListItem,0),0,1,1))*AN$3))),IF(ISNUMBER(AN$4),AN$4,IgnoreMin)))))</f>
        <v>0</v>
      </c>
      <c r="AO118" s="148" cm="1">
        <f t="array" aca="1" ref="AO118" ca="1">-IF($F118="Terminated",0,IF($AA118=0,0,IF(ISNA(MATCH(AO$5,PayDedList,0)),0,MIN(IF(COUNTIFS(OverEmp,$C118,OverDeduct,AO$5,OverDate,"&lt;"&amp;DATE(YEAR($AC118),MONTH($AC118)+1,1),OverEnd,"&gt;="&amp;DATE(YEAR($AC118),MONTH($AC118),1))&gt;0,SUMPRODUCT((PayEmp=$C118)*(PayDate&lt;=$AC118)*(OFFSET($N$6,1,MATCH(AO$5,PayDedList,0)-1,PayCount,1)))/$AA118*12*AO$3,IF(OR(AO$1="Fixed",AO$1="Not Used"),SUMPRODUCT((PayEmp=$C118)*(PayDate&lt;=$AC118)*(OFFSET($N$6,1,MATCH(AO$5,PayDedList,0)-1,PayCount,1)))/$AA118*12*AO$3,IF(ISNA(MATCH(AO$1,EarnListItem,0))=FALSE,SUMPRODUCT((PayEmp=$C118)*(PayDate&lt;=$AC118)*(OFFSET($N$6,1,MATCH(AO$5,PayDedList,0)-1,PayCount,1)))/$AA118*12*AO$3,(MIN(((SUMPRODUCT((PayEmp=$C118)*(PayDate&lt;=$AC118)*(ISERROR(SEARCH(PayEarnCode,AO$2)))*(PayEarnType="Monthly")*(PayEarnValues))/$AA118*12)+(SUMPRODUCT((PayEmp=$C118)*(PayDate&lt;=$AC118)*(ISERROR(SEARCH(PayEarnCode,AO$2)))*(PayEarnType="Quarterly")*(PayEarnValues))/MAX(1,ROUNDDOWN($AB118/3,0))*4)+(SUMPRODUCT((PayEmp=$C118)*(PayDate&lt;=$AC118)*(ISERROR(SEARCH(PayEarnCode,AO$2)))*(PayEarnType="Bi-Annual")*(PayEarnValues))/MAX(1,ROUNDDOWN($AB118/6,0))*2)+(SUMPRODUCT((PayEmp=$C118)*(PayDate&lt;=$AC118)*(ISERROR(SEARCH(PayEarnCode,AO$2)))*(PayEarnType="Annual")*(PayEarnValues)))),IF(ISNUMBER(OFFSET($N$3,0,MATCH(AO$5,PayDedList,0)-1,1,1)),OFFSET($N$3,0,MATCH(AO$5,PayDedList,0)-1,1,1),IgnoreMin)))*IF(COUNTIFS(EmpNo,$C118,OFFSET(Emp!$R$4,1,MATCH(AO$5,DedListItem,0)-1,EmpCount,1),"&lt;&gt;")&gt;0,VLOOKUP($C118,EmpAll,COLUMN(Emp!$R$4)+MATCH(AO$5,DedListItem,0)-1,0),OFFSET(Setup!$E$73,MATCH(AO$5,DedListItem,0),0,1,1))*AO$3))),IF(ISNUMBER(AO$4),AO$4,IgnoreMin)))))</f>
        <v>0</v>
      </c>
      <c r="AP118" s="148" cm="1">
        <f t="array" aca="1" ref="AP118" ca="1">-IF($F118="Terminated",0,IF($AA118=0,0,IF(ISNA(MATCH(AP$5,PayDedList,0)),0,MIN(IF(COUNTIFS(OverEmp,$C118,OverDeduct,AP$5,OverDate,"&lt;"&amp;DATE(YEAR($AC118),MONTH($AC118)+1,1),OverEnd,"&gt;="&amp;DATE(YEAR($AC118),MONTH($AC118),1))&gt;0,SUMPRODUCT((PayEmp=$C118)*(PayDate&lt;=$AC118)*(OFFSET($N$6,1,MATCH(AP$5,PayDedList,0)-1,PayCount,1)))/$AA118*12*AP$3,IF(OR(AP$1="Fixed",AP$1="Not Used"),SUMPRODUCT((PayEmp=$C118)*(PayDate&lt;=$AC118)*(OFFSET($N$6,1,MATCH(AP$5,PayDedList,0)-1,PayCount,1)))/$AA118*12*AP$3,IF(ISNA(MATCH(AP$1,EarnListItem,0))=FALSE,SUMPRODUCT((PayEmp=$C118)*(PayDate&lt;=$AC118)*(OFFSET($N$6,1,MATCH(AP$5,PayDedList,0)-1,PayCount,1)))/$AA118*12*AP$3,(MIN(((SUMPRODUCT((PayEmp=$C118)*(PayDate&lt;=$AC118)*(ISERROR(SEARCH(PayEarnCode,AP$2)))*(PayEarnType="Monthly")*(PayEarnValues))/$AA118*12)+(SUMPRODUCT((PayEmp=$C118)*(PayDate&lt;=$AC118)*(ISERROR(SEARCH(PayEarnCode,AP$2)))*(PayEarnType="Quarterly")*(PayEarnValues))/MAX(1,ROUNDDOWN($AB118/3,0))*4)+(SUMPRODUCT((PayEmp=$C118)*(PayDate&lt;=$AC118)*(ISERROR(SEARCH(PayEarnCode,AP$2)))*(PayEarnType="Bi-Annual")*(PayEarnValues))/MAX(1,ROUNDDOWN($AB118/6,0))*2)+(SUMPRODUCT((PayEmp=$C118)*(PayDate&lt;=$AC118)*(ISERROR(SEARCH(PayEarnCode,AP$2)))*(PayEarnType="Annual")*(PayEarnValues)))),IF(ISNUMBER(OFFSET($N$3,0,MATCH(AP$5,PayDedList,0)-1,1,1)),OFFSET($N$3,0,MATCH(AP$5,PayDedList,0)-1,1,1),IgnoreMin)))*IF(COUNTIFS(EmpNo,$C118,OFFSET(Emp!$R$4,1,MATCH(AP$5,DedListItem,0)-1,EmpCount,1),"&lt;&gt;")&gt;0,VLOOKUP($C118,EmpAll,COLUMN(Emp!$R$4)+MATCH(AP$5,DedListItem,0)-1,0),OFFSET(Setup!$E$73,MATCH(AP$5,DedListItem,0),0,1,1))*AP$3))),IF(ISNUMBER(AP$4),AP$4,IgnoreMin)))))</f>
        <v>0</v>
      </c>
      <c r="AQ118" s="148" cm="1">
        <f t="array" aca="1" ref="AQ118" ca="1">-IF($F118="Terminated",0,IF($AA118=0,0,IF(ISNA(MATCH(AQ$5,PayDedList,0)),0,MIN(IF(COUNTIFS(OverEmp,$C118,OverDeduct,AQ$5,OverDate,"&lt;"&amp;DATE(YEAR($AC118),MONTH($AC118)+1,1),OverEnd,"&gt;="&amp;DATE(YEAR($AC118),MONTH($AC118),1))&gt;0,SUMPRODUCT((PayEmp=$C118)*(PayDate&lt;=$AC118)*(OFFSET($N$6,1,MATCH(AQ$5,PayDedList,0)-1,PayCount,1)))/$AA118*12*AQ$3,IF(OR(AQ$1="Fixed",AQ$1="Not Used"),SUMPRODUCT((PayEmp=$C118)*(PayDate&lt;=$AC118)*(OFFSET($N$6,1,MATCH(AQ$5,PayDedList,0)-1,PayCount,1)))/$AA118*12*AQ$3,IF(ISNA(MATCH(AQ$1,EarnListItem,0))=FALSE,SUMPRODUCT((PayEmp=$C118)*(PayDate&lt;=$AC118)*(OFFSET($N$6,1,MATCH(AQ$5,PayDedList,0)-1,PayCount,1)))/$AA118*12*AQ$3,(MIN(((SUMPRODUCT((PayEmp=$C118)*(PayDate&lt;=$AC118)*(ISERROR(SEARCH(PayEarnCode,AQ$2)))*(PayEarnType="Monthly")*(PayEarnValues))/$AA118*12)+(SUMPRODUCT((PayEmp=$C118)*(PayDate&lt;=$AC118)*(ISERROR(SEARCH(PayEarnCode,AQ$2)))*(PayEarnType="Quarterly")*(PayEarnValues))/MAX(1,ROUNDDOWN($AB118/3,0))*4)+(SUMPRODUCT((PayEmp=$C118)*(PayDate&lt;=$AC118)*(ISERROR(SEARCH(PayEarnCode,AQ$2)))*(PayEarnType="Bi-Annual")*(PayEarnValues))/MAX(1,ROUNDDOWN($AB118/6,0))*2)+(SUMPRODUCT((PayEmp=$C118)*(PayDate&lt;=$AC118)*(ISERROR(SEARCH(PayEarnCode,AQ$2)))*(PayEarnType="Annual")*(PayEarnValues)))),IF(ISNUMBER(OFFSET($N$3,0,MATCH(AQ$5,PayDedList,0)-1,1,1)),OFFSET($N$3,0,MATCH(AQ$5,PayDedList,0)-1,1,1),IgnoreMin)))*IF(COUNTIFS(EmpNo,$C118,OFFSET(Emp!$R$4,1,MATCH(AQ$5,DedListItem,0)-1,EmpCount,1),"&lt;&gt;")&gt;0,VLOOKUP($C118,EmpAll,COLUMN(Emp!$R$4)+MATCH(AQ$5,DedListItem,0)-1,0),OFFSET(Setup!$E$73,MATCH(AQ$5,DedListItem,0),0,1,1))*AQ$3))),IF(ISNUMBER(AQ$4),AQ$4,IgnoreMin)))))</f>
        <v>0</v>
      </c>
      <c r="AR118" s="148">
        <f t="shared" ca="1" si="52"/>
        <v>0</v>
      </c>
      <c r="AS118" s="148">
        <f t="shared" ca="1" si="42"/>
        <v>0</v>
      </c>
      <c r="AT118" s="148" cm="1">
        <f t="array" aca="1" ref="AT118" ca="1">-IF($F118="Terminated",0,IF($AA118=0,0,IF(ISNA(MATCH(AT$5,PayDedList,0)),0,MIN(IF(COUNTIFS(OverEmp,$C118,OverDeduct,AT$5,OverDate,"&lt;"&amp;DATE(YEAR($AC118),MONTH($AC118)+1,1),OverEnd,"&gt;="&amp;DATE(YEAR($AC118),MONTH($AC118),1))&gt;0,SUMPRODUCT((PayEmp=$C118)*(PayDate&lt;=$AC118)*(OFFSET($N$6,1,MATCH(AT$5,PayDedList,0)-1,PayCount,1)))/$AA118*12*AT$3,IF(OR(AT$1="Fixed",AT$1="Not Used"),SUMPRODUCT((PayEmp=$C118)*(PayDate&lt;=$AC118)*(OFFSET($N$6,1,MATCH(AT$5,PayDedList,0)-1,PayCount,1)))/$AA118*12*AT$3,IF(ISNA(MATCH(OFFSET($N$2,0,MATCH(AT$5,PayDedList,0)-1,1,1),EarnListItem,0))=FALSE,SUMPRODUCT((PayEmp=$C118)*(PayDate&lt;=$AC118)*(OFFSET($N$6,1,MATCH(AT$5,PayDedList,0)-1,PayCount,1)))/$AA118*12*AT$3,(MIN(SUMPRODUCT((PayEmp=$C118)*(PayDate&lt;=$AC118)*(ISERROR(SEARCH(PayEarnCode,AT$2)))*(PayEarnType="Monthly")*(PayEarnValues))/$AA118*12,IF(ISNUMBER(OFFSET($N$3,0,MATCH(AT$5,PayDedList,0)-1,1,1)),OFFSET($N$3,0,MATCH(AT$5,PayDedList,0)-1,1,1),IgnoreMin)))*IF(COUNTIFS(EmpNo,$C118,OFFSET(Emp!$R$4,1,MATCH(AT$5,DedListItem,0)-1,EmpCount,1),"&lt;&gt;")&gt;0,VLOOKUP($C118,EmpAll,COLUMN(Emp!$R$4)+MATCH(AT$5,DedListItem,0)-1,0),OFFSET(Setup!$E$73,MATCH(AT$5,DedListItem,0),0,1,1))*AT$3))),IF(ISNUMBER(AT$4),AT$4,IgnoreMin)))))</f>
        <v>0</v>
      </c>
      <c r="AU118" s="148" cm="1">
        <f t="array" aca="1" ref="AU118" ca="1">-IF($F118="Terminated",0,IF($AA118=0,0,IF(ISNA(MATCH(AU$5,PayDedList,0)),0,MIN(IF(COUNTIFS(OverEmp,$C118,OverDeduct,AU$5,OverDate,"&lt;"&amp;DATE(YEAR($AC118),MONTH($AC118)+1,1),OverEnd,"&gt;="&amp;DATE(YEAR($AC118),MONTH($AC118),1))&gt;0,SUMPRODUCT((PayEmp=$C118)*(PayDate&lt;=$AC118)*(OFFSET($N$6,1,MATCH(AU$5,PayDedList,0)-1,PayCount,1)))/$AA118*12*AU$3,IF(OR(AU$1="Fixed",AU$1="Not Used"),SUMPRODUCT((PayEmp=$C118)*(PayDate&lt;=$AC118)*(OFFSET($N$6,1,MATCH(AU$5,PayDedList,0)-1,PayCount,1)))/$AA118*12*AU$3,IF(ISNA(MATCH(OFFSET($N$2,0,MATCH(AU$5,PayDedList,0)-1,1,1),EarnListItem,0))=FALSE,SUMPRODUCT((PayEmp=$C118)*(PayDate&lt;=$AC118)*(OFFSET($N$6,1,MATCH(AU$5,PayDedList,0)-1,PayCount,1)))/$AA118*12*AU$3,(MIN(SUMPRODUCT((PayEmp=$C118)*(PayDate&lt;=$AC118)*(ISERROR(SEARCH(PayEarnCode,AU$2)))*(PayEarnType="Monthly")*(PayEarnValues))/$AA118*12,IF(ISNUMBER(OFFSET($N$3,0,MATCH(AU$5,PayDedList,0)-1,1,1)),OFFSET($N$3,0,MATCH(AU$5,PayDedList,0)-1,1,1),IgnoreMin)))*IF(COUNTIFS(EmpNo,$C118,OFFSET(Emp!$R$4,1,MATCH(AU$5,DedListItem,0)-1,EmpCount,1),"&lt;&gt;")&gt;0,VLOOKUP($C118,EmpAll,COLUMN(Emp!$R$4)+MATCH(AU$5,DedListItem,0)-1,0),OFFSET(Setup!$E$73,MATCH(AU$5,DedListItem,0),0,1,1))*AU$3))),IF(ISNUMBER(AU$4),AU$4,IgnoreMin)))))</f>
        <v>0</v>
      </c>
      <c r="AV118" s="148" cm="1">
        <f t="array" aca="1" ref="AV118" ca="1">-IF($F118="Terminated",0,IF($AA118=0,0,IF(ISNA(MATCH(AV$5,PayDedList,0)),0,MIN(IF(COUNTIFS(OverEmp,$C118,OverDeduct,AV$5,OverDate,"&lt;"&amp;DATE(YEAR($AC118),MONTH($AC118)+1,1),OverEnd,"&gt;="&amp;DATE(YEAR($AC118),MONTH($AC118),1))&gt;0,SUMPRODUCT((PayEmp=$C118)*(PayDate&lt;=$AC118)*(OFFSET($N$6,1,MATCH(AV$5,PayDedList,0)-1,PayCount,1)))/$AA118*12*AV$3,IF(OR(AV$1="Fixed",AV$1="Not Used"),SUMPRODUCT((PayEmp=$C118)*(PayDate&lt;=$AC118)*(OFFSET($N$6,1,MATCH(AV$5,PayDedList,0)-1,PayCount,1)))/$AA118*12*AV$3,IF(ISNA(MATCH(OFFSET($N$2,0,MATCH(AV$5,PayDedList,0)-1,1,1),EarnListItem,0))=FALSE,SUMPRODUCT((PayEmp=$C118)*(PayDate&lt;=$AC118)*(OFFSET($N$6,1,MATCH(AV$5,PayDedList,0)-1,PayCount,1)))/$AA118*12*AV$3,(MIN(SUMPRODUCT((PayEmp=$C118)*(PayDate&lt;=$AC118)*(ISERROR(SEARCH(PayEarnCode,AV$2)))*(PayEarnType="Monthly")*(PayEarnValues))/$AA118*12,IF(ISNUMBER(OFFSET($N$3,0,MATCH(AV$5,PayDedList,0)-1,1,1)),OFFSET($N$3,0,MATCH(AV$5,PayDedList,0)-1,1,1),IgnoreMin)))*IF(COUNTIFS(EmpNo,$C118,OFFSET(Emp!$R$4,1,MATCH(AV$5,DedListItem,0)-1,EmpCount,1),"&lt;&gt;")&gt;0,VLOOKUP($C118,EmpAll,COLUMN(Emp!$R$4)+MATCH(AV$5,DedListItem,0)-1,0),OFFSET(Setup!$E$73,MATCH(AV$5,DedListItem,0),0,1,1))*AV$3))),IF(ISNUMBER(AV$4),AV$4,IgnoreMin)))))</f>
        <v>0</v>
      </c>
      <c r="AW118" s="148" cm="1">
        <f t="array" aca="1" ref="AW118" ca="1">-IF($F118="Terminated",0,IF($AA118=0,0,IF(ISNA(MATCH(AW$5,PayDedList,0)),0,MIN(IF(COUNTIFS(OverEmp,$C118,OverDeduct,AW$5,OverDate,"&lt;"&amp;DATE(YEAR($AC118),MONTH($AC118)+1,1),OverEnd,"&gt;="&amp;DATE(YEAR($AC118),MONTH($AC118),1))&gt;0,SUMPRODUCT((PayEmp=$C118)*(PayDate&lt;=$AC118)*(OFFSET($N$6,1,MATCH(AW$5,PayDedList,0)-1,PayCount,1)))/$AA118*12*AW$3,IF(OR(AW$1="Fixed",AW$1="Not Used"),SUMPRODUCT((PayEmp=$C118)*(PayDate&lt;=$AC118)*(OFFSET($N$6,1,MATCH(AW$5,PayDedList,0)-1,PayCount,1)))/$AA118*12*AW$3,IF(ISNA(MATCH(OFFSET($N$2,0,MATCH(AW$5,PayDedList,0)-1,1,1),EarnListItem,0))=FALSE,SUMPRODUCT((PayEmp=$C118)*(PayDate&lt;=$AC118)*(OFFSET($N$6,1,MATCH(AW$5,PayDedList,0)-1,PayCount,1)))/$AA118*12*AW$3,(MIN(SUMPRODUCT((PayEmp=$C118)*(PayDate&lt;=$AC118)*(ISERROR(SEARCH(PayEarnCode,AW$2)))*(PayEarnType="Monthly")*(PayEarnValues))/$AA118*12,IF(ISNUMBER(OFFSET($N$3,0,MATCH(AW$5,PayDedList,0)-1,1,1)),OFFSET($N$3,0,MATCH(AW$5,PayDedList,0)-1,1,1),IgnoreMin)))*IF(COUNTIFS(EmpNo,$C118,OFFSET(Emp!$R$4,1,MATCH(AW$5,DedListItem,0)-1,EmpCount,1),"&lt;&gt;")&gt;0,VLOOKUP($C118,EmpAll,COLUMN(Emp!$R$4)+MATCH(AW$5,DedListItem,0)-1,0),OFFSET(Setup!$E$73,MATCH(AW$5,DedListItem,0),0,1,1))*AW$3))),IF(ISNUMBER(AW$4),AW$4,IgnoreMin)))))</f>
        <v>0</v>
      </c>
      <c r="AX118" s="148">
        <f t="shared" ca="1" si="58"/>
        <v>0</v>
      </c>
      <c r="AY118" s="148">
        <f t="shared" ca="1" si="59"/>
        <v>0</v>
      </c>
      <c r="AZ118" s="148">
        <f ca="1">IF(ISNUMBER($AL118),($AR118*$AL118)-$AI118-$AK118,MAX(0,IF($AL118="B",IF($AR118&lt;Setup!$C$32,($AR118*Setup!$D$32)-$AI118-$AK118,(($AR118-VLOOKUP($AR118,TaxAll2,1,1))*OFFSET(Setup!$D$32,MATCH($AR118,TaxBracket2,1),0,1,1))+OFFSET(Setup!$E$31,MATCH($AR118,TaxBracket2,1),0,1,1)-$AI118-$AK118),IF($AR118&lt;Setup!$C$21,($AR118*Setup!$D$21)-$AI118-$AK118,(($AR118-VLOOKUP($AR118,TaxAll1,1,1))*OFFSET(Setup!$D$21,MATCH($AR118,TaxBracket1,1),0,1,1))+OFFSET(Setup!$E$20,MATCH($AR118,TaxBracket1,1),0,1,1)-$AI118-$AK118))))</f>
        <v>0</v>
      </c>
      <c r="BA118" s="148">
        <f ca="1">IF(ISNUMBER($AL118),($AX118*$AL118)-$AI118-$AK118,MAX(0,IF($AL118="B",IF($AX118&lt;Setup!$C$32,($AX118*Setup!$D$32)-$AI118-$AK118,(($AX118-VLOOKUP($AX118,TaxAll2,1,1))*OFFSET(Setup!$D$32,MATCH($AX118,TaxBracket2,1),0,1,1))+OFFSET(Setup!$E$31,MATCH($AX118,TaxBracket2,1),0,1,1)-$AI118-$AK118),IF($AX118&lt;Setup!$C$21,($AX118*Setup!$D$21)-$AI118-$AK118,(($AX118-VLOOKUP($AX118,TaxAll1,1,1))*OFFSET(Setup!$D$21,MATCH($AX118,TaxBracket1,1),0,1,1))+OFFSET(Setup!$E$20,MATCH($AX118,TaxBracket1,1),0,1,1)-$AI118-$AK118))))</f>
        <v>0</v>
      </c>
      <c r="BB118" s="148">
        <f t="shared" ca="1" si="53"/>
        <v>0</v>
      </c>
      <c r="BC118" s="150">
        <f t="shared" ca="1" si="45"/>
        <v>0</v>
      </c>
      <c r="BD118" s="150">
        <f t="shared" ca="1" si="46"/>
        <v>0</v>
      </c>
      <c r="BE118" s="148">
        <f t="shared" ca="1" si="47"/>
        <v>0</v>
      </c>
    </row>
    <row r="119" spans="1:57" ht="16.149999999999999" customHeight="1" x14ac:dyDescent="0.25">
      <c r="A119" s="10" t="str" cm="1">
        <f t="array" aca="1" ref="A119" ca="1">IF(ROW($A119)-ROW($A$6)&gt;EmpCount*12,"-",TEXT($B119,"yyyy")&amp;TEXT($B119,"mm")&amp;"-"&amp;$C119)</f>
        <v>202310-EXS008</v>
      </c>
      <c r="B119" s="137" cm="1">
        <f t="array" aca="1" ref="B119" ca="1">IF(ROW($A119)-ROW($A$6)&gt;EmpCount*12,Setup!$D$12,DATE(YEAR(Setup!$F$12),MONTH(Setup!$F$12)+ROUNDDOWN((ROW($A119)-ROW($A$6)-1)/EmpCount,0),IF(Setup!$C$14&gt;DAY(DATE(YEAR(Setup!$F$12),MONTH(Setup!$F$12)+ROUNDDOWN((ROW($A119)-ROW($A$6)-1)/EmpCount,0)+1,0)),DAY(DATE(YEAR(Setup!$F$12),MONTH(Setup!$F$12)+ROUNDDOWN((ROW($A119)-ROW($A$6)-1)/EmpCount,0)+1,0)),Setup!$C$14)))</f>
        <v>45224</v>
      </c>
      <c r="C119" s="101" t="str" cm="1">
        <f t="array" aca="1" ref="C119" ca="1">IF(ROW($A119)-ROW($A$6)&gt;EmpCount*12,"-",OFFSET(Emp!$A$4,ROW($A119)-ROW($A$6)-IF(ROW($A119)-ROW($A$6)&gt;EmpCount,ROUNDDOWN((ROW($A119)-ROW($A$6)-1)/EmpCount,0)*EmpCount,0),0,1,1))</f>
        <v>EXS008</v>
      </c>
      <c r="D119" s="10" t="str">
        <f ca="1">IF(ISNA(VLOOKUP($C119,EmpAll,COLUMN(Emp!$B$4),0)),"-",VLOOKUP($C119,EmpAll,COLUMN(Emp!$B$4),0))</f>
        <v>Matthews B</v>
      </c>
      <c r="E119" s="145" t="str">
        <f ca="1">IF(ISNA(VLOOKUP($C119,EmpAll,COLUMN(Emp!$C$4),0)),"-",VLOOKUP($C119,EmpAll,COLUMN(Emp!$C$4),0))</f>
        <v>A</v>
      </c>
      <c r="F119" s="101" t="str">
        <f ca="1">IF(ISNA(VLOOKUP($C119,EmpAll,COLUMN(Emp!$A$4),0)),"-",IF(AND(VLOOKUP($C119,EmpAll,COLUMN(Emp!$E$4),0)&lt;&gt;0,VLOOKUP($C119,EmpAll,COLUMN(Emp!$E$4),0)&gt;=DATE(YEAR($AC119),MONTH($AC119)+1,0)),"Inactive",IF(AND(VLOOKUP($C119,EmpAll,COLUMN(Emp!$F$4),0)&lt;&gt;0,VLOOKUP($C119,EmpAll,COLUMN(Emp!$F$4),0)&lt;=DATE(YEAR($AC119),MONTH($AC119),0)),"Terminated","Active")))</f>
        <v>Active</v>
      </c>
      <c r="G119" s="133" cm="1">
        <f t="array" aca="1" ref="G119" ca="1">IF($F119&lt;&gt;"Active",0,IF(COUNTIFS(OverEmp,$C119,OverEarn,G$2,OverDate,"&lt;"&amp;DATE(YEAR($AC119),MONTH($AC119)+1,1),OverEnd,"&gt;="&amp;DATE(YEAR($AC119),MONTH($AC119),1))&gt;0,SUMIFS(OverValue,OverEmp,$C119,OverEarn,G$2,OverDate,"&lt;"&amp;DATE(YEAR($AC119),MONTH($AC119)+1,1),OverEnd,"&gt;="&amp;DATE(YEAR($AC119),MONTH($AC119),1)),IF(AND($AC119&gt;=Setup!$E$10,SUMIFS(EmpIncrease,EmpCode,$C119)&gt;0),SUMIFS(EmpIncrease,EmpCode,$C119),SUMIFS(EmpSalary,EmpCode,$C119))))</f>
        <v>9000</v>
      </c>
      <c r="H119" s="133" cm="1">
        <f t="array" aca="1" ref="H119" ca="1">IF($F119&lt;&gt;"Active",0,IF(COUNTIFS(OverEmp,$C119,OverEarn,H$2,OverDate,"&lt;"&amp;DATE(YEAR($AC119),MONTH($AC119)+1,1),OverEnd,"&gt;="&amp;DATE(YEAR($AC119),MONTH($AC119),1))&gt;0,SUMIFS(OverValue,OverEmp,$C119,OverEarn,H$2,OverDate,"&lt;"&amp;DATE(YEAR($AC119),MONTH($AC119)+1,1),OverEnd,"&gt;="&amp;DATE(YEAR($AC119),MONTH($AC119),1)),0))</f>
        <v>0</v>
      </c>
      <c r="I119" s="133" cm="1">
        <f t="array" aca="1" ref="I119" ca="1">IF($F119&lt;&gt;"Active",0,IF(COUNTIFS(OverEmp,$C119,OverEarn,I$2,OverDate,"&lt;"&amp;DATE(YEAR($AC119),MONTH($AC119)+1,1),OverEnd,"&gt;="&amp;DATE(YEAR($AC119),MONTH($AC119),1))&gt;0,SUMIFS(OverValue,OverEmp,$C119,OverEarn,I$2,OverDate,"&lt;"&amp;DATE(YEAR($AC119),MONTH($AC119)+1,1),OverEnd,"&gt;="&amp;DATE(YEAR($AC119),MONTH($AC119),1)),IF(MONTH(B119)=Setup!$C$15,SUMIFS(EmpBonus,EmpCode,$C119),0)))</f>
        <v>0</v>
      </c>
      <c r="J119" s="133" cm="1">
        <f t="array" aca="1" ref="J119" ca="1">IF($F119&lt;&gt;"Active",0,IF(COUNTIFS(OverEmp,$C119,OverEarn,J$2,OverDate,"&lt;"&amp;DATE(YEAR($AC119),MONTH($AC119)+1,1),OverEnd,"&gt;="&amp;DATE(YEAR($AC119),MONTH($AC119),1))&gt;0,SUMIFS(OverValue,OverEmp,$C119,OverEarn,J$2,OverDate,"&lt;"&amp;DATE(YEAR($AC119),MONTH($AC119)+1,1),OverEnd,"&gt;="&amp;DATE(YEAR($AC119),MONTH($AC119),1)),0))</f>
        <v>0</v>
      </c>
      <c r="K119" s="133" cm="1">
        <f t="array" aca="1" ref="K119" ca="1">IF($F119&lt;&gt;"Active",0,IF(COUNTIFS(OverEmp,$C119,OverEarn,K$2,OverDate,"&lt;"&amp;DATE(YEAR($AC119),MONTH($AC119)+1,1),OverEnd,"&gt;="&amp;DATE(YEAR($AC119),MONTH($AC119),1))&gt;0,SUMIFS(OverValue,OverEmp,$C119,OverEarn,K$2,OverDate,"&lt;"&amp;DATE(YEAR($AC119),MONTH($AC119)+1,1),OverEnd,"&gt;="&amp;DATE(YEAR($AC119),MONTH($AC119),1)),0))</f>
        <v>0</v>
      </c>
      <c r="L119" s="185">
        <f t="shared" ca="1" si="54"/>
        <v>9000</v>
      </c>
      <c r="M119" s="182" cm="1">
        <f t="array" aca="1" ref="M119" ca="1">IF(COUNTIFS(OverEmp,$C119,OverTax,M$5,OverDate,"&lt;"&amp;DATE(YEAR($AC119),MONTH($AC119)+1,1),OverEnd,"&gt;="&amp;DATE(YEAR($AC119),MONTH($AC119),1))&gt;0,SUMIFS(OverValue,OverEmp,$C119,OverTax,M$5,OverDate,"&lt;"&amp;DATE(YEAR($AC119),MONTH($AC119)+1,1),OverEnd,"&gt;="&amp;DATE(YEAR($AC119),MONTH($AC119),1)),(($BA119/12*$AA119)+(BB119*IF(1-$BC119=0,0,BD119/(1-$BC119))))-IF($F119="Terminated",0,SUMIFS(PayTaxDeduct,PayDate,"&lt;"&amp;$AC119,PayEmp,$C119)))</f>
        <v>183.75</v>
      </c>
      <c r="N119" s="133" cm="1">
        <f t="array" aca="1" ref="N119" ca="1">IF($F119="Terminated",0,IF($AA119=0,0,IF(ISNA(MATCH(N$5,DedListItem,0)),0,IF(COUNTIFS(OverEmp,$C119,OverDeduct,N$5,OverDate,"&lt;"&amp;DATE(YEAR($AC119),MONTH($AC119)+1,1),OverEnd,"&gt;="&amp;DATE(YEAR($AC119),MONTH($AC119),1))&gt;0,SUMIFS(OverValue,OverEmp,$C119,OverDeduct,N$5,OverDate,"&lt;"&amp;DATE(YEAR($AC119),MONTH($AC119)+1,1),OverEnd,"&gt;="&amp;DATE(YEAR($AC119),MONTH($AC119),1)),IF(OR(N$2="Fixed",N$2="Not Used"),(IF(COUNTIFS(EmpNo,$C119,OFFSET(Emp!$R$4,1,MATCH(N$5,DedListItem,0)-1,EmpCount,1),"&lt;&gt;")&gt;0,VLOOKUP($C119,EmpAll,COLUMN(Emp!$R$4)+MATCH(N$5,DedListItem,0)-1,0),OFFSET(Setup!$E$73,MATCH(N$5,DedListItem,0),0,1,1))*$AA119)-SUMIFS(OFFSET(N$6,1,0,PayCount,1),PayDate,"&lt;"&amp;$AC119,PayEmp,$C119),IF(ISNA(MATCH(N$2,EarnListItem,0))=FALSE,IF(OFFSET(Setup!$G$73,MATCH(N$5,DedListItem,0),0,1,1)="Taxable",SUMPRODUCT((PayEmp=$C119)*(PayDate&lt;=$AC119)*(PayEarnCode=N$2)*(PayEarnTax)*(PayEarnValues)),SUMPRODUCT((PayEmp=$C119)*(PayDate&lt;=$AC119)*(PayEarnCode=N$2)*(PayEarnValues)))*IF(COUNTIFS(EmpNo,$C119,OFFSET(Emp!$R$4,1,MATCH(N$5,DedListItem,0)-1,EmpCount,1),"&lt;&gt;")&gt;0,VLOOKUP($C119,EmpAll,COLUMN(Emp!$R$4)+MATCH(N$5,DedListItem,0)-1,0),OFFSET(Setup!$E$73,MATCH(N$5,DedListItem,0),0,1,1)),(MIN(IF(OFFSET(Setup!$G$73,MATCH(N$5,DedListItem,0),0,1,1)="Taxable",SUMPRODUCT((PayEmp=$C119)*(PayDate&lt;=$AC119)*(ISERROR(SEARCH(PayEarnCode,N$4)))*(PayEarnTax)*(PayEarnValues)),SUMPRODUCT((PayEmp=$C119)*(PayDate&lt;=$AC119)*(ISERROR(SEARCH(PayEarnCode,N$4)))*(PayEarnValues))),IF(ISNUMBER(N$3),N$3/12*$AA119,IgnoreMin)))*IF(COUNTIFS(EmpNo,$C119,OFFSET(Emp!$R$4,1,MATCH(N$5,DedListItem,0)-1,EmpCount,1),"&lt;&gt;")&gt;0,VLOOKUP($C119,EmpAll,COLUMN(Emp!$R$4)+MATCH(N$5,DedListItem,0)-1,0),OFFSET(Setup!$E$73,MATCH(N$5,DedListItem,0),0,1,1)))-SUMIFS(OFFSET(N$6,1,0,PayCount,1),PayDate,"&lt;"&amp;$AC119,PayEmp,$C119))))))</f>
        <v>90</v>
      </c>
      <c r="O119" s="133" cm="1">
        <f t="array" aca="1" ref="O119" ca="1">IF($F119="Terminated",0,IF($AA119=0,0,IF(ISNA(MATCH(O$5,DedListItem,0)),0,IF(COUNTIFS(OverEmp,$C119,OverDeduct,O$5,OverDate,"&lt;"&amp;DATE(YEAR($AC119),MONTH($AC119)+1,1),OverEnd,"&gt;="&amp;DATE(YEAR($AC119),MONTH($AC119),1))&gt;0,SUMIFS(OverValue,OverEmp,$C119,OverDeduct,O$5,OverDate,"&lt;"&amp;DATE(YEAR($AC119),MONTH($AC119)+1,1),OverEnd,"&gt;="&amp;DATE(YEAR($AC119),MONTH($AC119),1)),IF(OR(O$2="Fixed",O$2="Not Used"),(IF(COUNTIFS(EmpNo,$C119,OFFSET(Emp!$R$4,1,MATCH(O$5,DedListItem,0)-1,EmpCount,1),"&lt;&gt;")&gt;0,VLOOKUP($C119,EmpAll,COLUMN(Emp!$R$4)+MATCH(O$5,DedListItem,0)-1,0),OFFSET(Setup!$E$73,MATCH(O$5,DedListItem,0),0,1,1))*$AA119)-SUMIFS(OFFSET(O$6,1,0,PayCount,1),PayDate,"&lt;"&amp;$AC119,PayEmp,$C119),IF(ISNA(MATCH(O$2,EarnListItem,0))=FALSE,IF(OFFSET(Setup!$G$73,MATCH(O$5,DedListItem,0),0,1,1)="Taxable",SUMPRODUCT((PayEmp=$C119)*(PayDate&lt;=$AC119)*(PayEarnCode=O$2)*(PayEarnTax)*(PayEarnValues)),SUMPRODUCT((PayEmp=$C119)*(PayDate&lt;=$AC119)*(PayEarnCode=O$2)*(PayEarnValues)))*IF(COUNTIFS(EmpNo,$C119,OFFSET(Emp!$R$4,1,MATCH(O$5,DedListItem,0)-1,EmpCount,1),"&lt;&gt;")&gt;0,VLOOKUP($C119,EmpAll,COLUMN(Emp!$R$4)+MATCH(O$5,DedListItem,0)-1,0),OFFSET(Setup!$E$73,MATCH(O$5,DedListItem,0),0,1,1)),(MIN(IF(OFFSET(Setup!$G$73,MATCH(O$5,DedListItem,0),0,1,1)="Taxable",SUMPRODUCT((PayEmp=$C119)*(PayDate&lt;=$AC119)*(ISERROR(SEARCH(PayEarnCode,O$4)))*(PayEarnTax)*(PayEarnValues)),SUMPRODUCT((PayEmp=$C119)*(PayDate&lt;=$AC119)*(ISERROR(SEARCH(PayEarnCode,O$4)))*(PayEarnValues))),IF(ISNUMBER(O$3),O$3/12*$AA119,IgnoreMin)))*IF(COUNTIFS(EmpNo,$C119,OFFSET(Emp!$R$4,1,MATCH(O$5,DedListItem,0)-1,EmpCount,1),"&lt;&gt;")&gt;0,VLOOKUP($C119,EmpAll,COLUMN(Emp!$R$4)+MATCH(O$5,DedListItem,0)-1,0),OFFSET(Setup!$E$73,MATCH(O$5,DedListItem,0),0,1,1)))-SUMIFS(OFFSET(O$6,1,0,PayCount,1),PayDate,"&lt;"&amp;$AC119,PayEmp,$C119))))))</f>
        <v>0</v>
      </c>
      <c r="P119" s="133" cm="1">
        <f t="array" aca="1" ref="P119" ca="1">IF($F119="Terminated",0,IF($AA119=0,0,IF(ISNA(MATCH(P$5,DedListItem,0)),0,IF(COUNTIFS(OverEmp,$C119,OverDeduct,P$5,OverDate,"&lt;"&amp;DATE(YEAR($AC119),MONTH($AC119)+1,1),OverEnd,"&gt;="&amp;DATE(YEAR($AC119),MONTH($AC119),1))&gt;0,SUMIFS(OverValue,OverEmp,$C119,OverDeduct,P$5,OverDate,"&lt;"&amp;DATE(YEAR($AC119),MONTH($AC119)+1,1),OverEnd,"&gt;="&amp;DATE(YEAR($AC119),MONTH($AC119),1)),IF(OR(P$2="Fixed",P$2="Not Used"),(IF(COUNTIFS(EmpNo,$C119,OFFSET(Emp!$R$4,1,MATCH(P$5,DedListItem,0)-1,EmpCount,1),"&lt;&gt;")&gt;0,VLOOKUP($C119,EmpAll,COLUMN(Emp!$R$4)+MATCH(P$5,DedListItem,0)-1,0),OFFSET(Setup!$E$73,MATCH(P$5,DedListItem,0),0,1,1))*$AA119)-SUMIFS(OFFSET(P$6,1,0,PayCount,1),PayDate,"&lt;"&amp;$AC119,PayEmp,$C119),IF(ISNA(MATCH(P$2,EarnListItem,0))=FALSE,IF(OFFSET(Setup!$G$73,MATCH(P$5,DedListItem,0),0,1,1)="Taxable",SUMPRODUCT((PayEmp=$C119)*(PayDate&lt;=$AC119)*(PayEarnCode=P$2)*(PayEarnTax)*(PayEarnValues)),SUMPRODUCT((PayEmp=$C119)*(PayDate&lt;=$AC119)*(PayEarnCode=P$2)*(PayEarnValues)))*IF(COUNTIFS(EmpNo,$C119,OFFSET(Emp!$R$4,1,MATCH(P$5,DedListItem,0)-1,EmpCount,1),"&lt;&gt;")&gt;0,VLOOKUP($C119,EmpAll,COLUMN(Emp!$R$4)+MATCH(P$5,DedListItem,0)-1,0),OFFSET(Setup!$E$73,MATCH(P$5,DedListItem,0),0,1,1)),(MIN(IF(OFFSET(Setup!$G$73,MATCH(P$5,DedListItem,0),0,1,1)="Taxable",SUMPRODUCT((PayEmp=$C119)*(PayDate&lt;=$AC119)*(ISERROR(SEARCH(PayEarnCode,P$4)))*(PayEarnTax)*(PayEarnValues)),SUMPRODUCT((PayEmp=$C119)*(PayDate&lt;=$AC119)*(ISERROR(SEARCH(PayEarnCode,P$4)))*(PayEarnValues))),IF(ISNUMBER(P$3),P$3/12*$AA119,IgnoreMin)))*IF(COUNTIFS(EmpNo,$C119,OFFSET(Emp!$R$4,1,MATCH(P$5,DedListItem,0)-1,EmpCount,1),"&lt;&gt;")&gt;0,VLOOKUP($C119,EmpAll,COLUMN(Emp!$R$4)+MATCH(P$5,DedListItem,0)-1,0),OFFSET(Setup!$E$73,MATCH(P$5,DedListItem,0),0,1,1)))-SUMIFS(OFFSET(P$6,1,0,PayCount,1),PayDate,"&lt;"&amp;$AC119,PayEmp,$C119))))))</f>
        <v>0</v>
      </c>
      <c r="Q119" s="133" cm="1">
        <f t="array" aca="1" ref="Q119" ca="1">IF($F119="Terminated",0,IF($AA119=0,0,IF(ISNA(MATCH(Q$5,DedListItem,0)),0,IF(COUNTIFS(OverEmp,$C119,OverDeduct,Q$5,OverDate,"&lt;"&amp;DATE(YEAR($AC119),MONTH($AC119)+1,1),OverEnd,"&gt;="&amp;DATE(YEAR($AC119),MONTH($AC119),1))&gt;0,SUMIFS(OverValue,OverEmp,$C119,OverDeduct,Q$5,OverDate,"&lt;"&amp;DATE(YEAR($AC119),MONTH($AC119)+1,1),OverEnd,"&gt;="&amp;DATE(YEAR($AC119),MONTH($AC119),1)),IF(OR(Q$2="Fixed",Q$2="Not Used"),(IF(COUNTIFS(EmpNo,$C119,OFFSET(Emp!$R$4,1,MATCH(Q$5,DedListItem,0)-1,EmpCount,1),"&lt;&gt;")&gt;0,VLOOKUP($C119,EmpAll,COLUMN(Emp!$R$4)+MATCH(Q$5,DedListItem,0)-1,0),OFFSET(Setup!$E$73,MATCH(Q$5,DedListItem,0),0,1,1))*$AA119)-SUMIFS(OFFSET(Q$6,1,0,PayCount,1),PayDate,"&lt;"&amp;$AC119,PayEmp,$C119),IF(ISNA(MATCH(Q$2,EarnListItem,0))=FALSE,IF(OFFSET(Setup!$G$73,MATCH(Q$5,DedListItem,0),0,1,1)="Taxable",SUMPRODUCT((PayEmp=$C119)*(PayDate&lt;=$AC119)*(PayEarnCode=Q$2)*(PayEarnTax)*(PayEarnValues)),SUMPRODUCT((PayEmp=$C119)*(PayDate&lt;=$AC119)*(PayEarnCode=Q$2)*(PayEarnValues)))*IF(COUNTIFS(EmpNo,$C119,OFFSET(Emp!$R$4,1,MATCH(Q$5,DedListItem,0)-1,EmpCount,1),"&lt;&gt;")&gt;0,VLOOKUP($C119,EmpAll,COLUMN(Emp!$R$4)+MATCH(Q$5,DedListItem,0)-1,0),OFFSET(Setup!$E$73,MATCH(Q$5,DedListItem,0),0,1,1)),(MIN(IF(OFFSET(Setup!$G$73,MATCH(Q$5,DedListItem,0),0,1,1)="Taxable",SUMPRODUCT((PayEmp=$C119)*(PayDate&lt;=$AC119)*(ISERROR(SEARCH(PayEarnCode,Q$4)))*(PayEarnTax)*(PayEarnValues)),SUMPRODUCT((PayEmp=$C119)*(PayDate&lt;=$AC119)*(ISERROR(SEARCH(PayEarnCode,Q$4)))*(PayEarnValues))),IF(ISNUMBER(Q$3),Q$3/12*$AA119,IgnoreMin)))*IF(COUNTIFS(EmpNo,$C119,OFFSET(Emp!$R$4,1,MATCH(Q$5,DedListItem,0)-1,EmpCount,1),"&lt;&gt;")&gt;0,VLOOKUP($C119,EmpAll,COLUMN(Emp!$R$4)+MATCH(Q$5,DedListItem,0)-1,0),OFFSET(Setup!$E$73,MATCH(Q$5,DedListItem,0),0,1,1)))-SUMIFS(OFFSET(Q$6,1,0,PayCount,1),PayDate,"&lt;"&amp;$AC119,PayEmp,$C119))))))</f>
        <v>0</v>
      </c>
      <c r="R119" s="185">
        <f t="shared" ca="1" si="55"/>
        <v>273.75</v>
      </c>
      <c r="S119" s="139">
        <f t="shared" ca="1" si="56"/>
        <v>8726.25</v>
      </c>
      <c r="T119" s="133" cm="1">
        <f t="array" aca="1" ref="T119" ca="1">IF($F119="Terminated",0,IF($AA119=0,0,IF(ISNA(MATCH(T$5,CompListItem,0)),0,IF(COUNTIFS(OverEmp,$C119,OverComp,T$5,OverDate,"&lt;"&amp;DATE(YEAR($AC119),MONTH($AC119)+1,1),OverEnd,"&gt;="&amp;DATE(YEAR($AC119),MONTH($AC119),1))&gt;0,SUMIFS(OverValue,OverEmp,$C119,OverComp,T$5,OverDate,"&lt;"&amp;DATE(YEAR($AC119),MONTH($AC119)+1,1),OverEnd,"&gt;="&amp;DATE(YEAR($AC119),MONTH($AC119),1)),IF(OR(T$2="Fixed",T$2="Not Used"),(OFFSET(Setup!$E$81,MATCH(T$5,CompListItem,0),0,1,1)*$AA119)-SUMIFS(OFFSET(T$6,1,0,PayCount,1),PayDate,"&lt;"&amp;$AC119,PayEmp,$C119),IF(ISNA(MATCH(T$2,DedListItem,0))=FALSE,(SUMPRODUCT((PayEmp=$C119)*(PayDate&lt;=$AC119)*(PayDedList=T$2)*(PayDedValues))*OFFSET(Setup!$E$81,MATCH(T$5,CompListItem,0),0,1,1))-SUMIFS(OFFSET(T$6,1,0,PayCount,1),PayDate,"&lt;"&amp;$AC119,PayEmp,$C119),(MIN(IF(OFFSET(Setup!$G$81,MATCH(T$5,CompListItem,0),0,1,1)="Taxable",SUMPRODUCT((PayEmp=$C119)*(PayDate&lt;=$AC119)*(ISERROR(SEARCH(PayEarnCode,T$4)))*(PayEarnTax)*(PayEarnValues)),SUMPRODUCT((PayEmp=$C119)*(PayDate&lt;=$AC119)*(ISERROR(SEARCH(PayEarnCode,T$4)))*(PayEarnValues))),IF(ISNUMBER(T$3),T$3/12*$AA119,IgnoreMin)))*OFFSET(Setup!$E$81,MATCH(T$5,CompListItem,0),0,1,1)-SUMIFS(OFFSET(T$6,1,0,PayCount,1),PayDate,"&lt;"&amp;$AC119,PayEmp,$C119)))))))</f>
        <v>90</v>
      </c>
      <c r="U119" s="133" cm="1">
        <f t="array" aca="1" ref="U119" ca="1">IF($F119="Terminated",0,IF($AA119=0,0,IF(ISNA(MATCH(U$5,CompListItem,0)),0,IF(COUNTIFS(OverEmp,$C119,OverComp,U$5,OverDate,"&lt;"&amp;DATE(YEAR($AC119),MONTH($AC119)+1,1),OverEnd,"&gt;="&amp;DATE(YEAR($AC119),MONTH($AC119),1))&gt;0,SUMIFS(OverValue,OverEmp,$C119,OverComp,U$5,OverDate,"&lt;"&amp;DATE(YEAR($AC119),MONTH($AC119)+1,1),OverEnd,"&gt;="&amp;DATE(YEAR($AC119),MONTH($AC119),1)),IF(OR(U$2="Fixed",U$2="Not Used"),(OFFSET(Setup!$E$81,MATCH(U$5,CompListItem,0),0,1,1)*$AA119)-SUMIFS(OFFSET(U$6,1,0,PayCount,1),PayDate,"&lt;"&amp;$AC119,PayEmp,$C119),IF(ISNA(MATCH(U$2,DedListItem,0))=FALSE,(SUMPRODUCT((PayEmp=$C119)*(PayDate&lt;=$AC119)*(PayDedList=U$2)*(PayDedValues))*OFFSET(Setup!$E$81,MATCH(U$5,CompListItem,0),0,1,1))-SUMIFS(OFFSET(U$6,1,0,PayCount,1),PayDate,"&lt;"&amp;$AC119,PayEmp,$C119),(MIN(IF(OFFSET(Setup!$G$81,MATCH(U$5,CompListItem,0),0,1,1)="Taxable",SUMPRODUCT((PayEmp=$C119)*(PayDate&lt;=$AC119)*(ISERROR(SEARCH(PayEarnCode,U$4)))*(PayEarnTax)*(PayEarnValues)),SUMPRODUCT((PayEmp=$C119)*(PayDate&lt;=$AC119)*(ISERROR(SEARCH(PayEarnCode,U$4)))*(PayEarnValues))),IF(ISNUMBER(U$3),U$3/12*$AA119,IgnoreMin)))*OFFSET(Setup!$E$81,MATCH(U$5,CompListItem,0),0,1,1)-SUMIFS(OFFSET(U$6,1,0,PayCount,1),PayDate,"&lt;"&amp;$AC119,PayEmp,$C119)))))))</f>
        <v>90</v>
      </c>
      <c r="V119" s="133" cm="1">
        <f t="array" aca="1" ref="V119" ca="1">IF($F119="Terminated",0,IF($AA119=0,0,IF(ISNA(MATCH(V$5,CompListItem,0)),0,IF(COUNTIFS(OverEmp,$C119,OverComp,V$5,OverDate,"&lt;"&amp;DATE(YEAR($AC119),MONTH($AC119)+1,1),OverEnd,"&gt;="&amp;DATE(YEAR($AC119),MONTH($AC119),1))&gt;0,SUMIFS(OverValue,OverEmp,$C119,OverComp,V$5,OverDate,"&lt;"&amp;DATE(YEAR($AC119),MONTH($AC119)+1,1),OverEnd,"&gt;="&amp;DATE(YEAR($AC119),MONTH($AC119),1)),IF(OR(V$2="Fixed",V$2="Not Used"),(OFFSET(Setup!$E$81,MATCH(V$5,CompListItem,0),0,1,1)*$AA119)-SUMIFS(OFFSET(V$6,1,0,PayCount,1),PayDate,"&lt;"&amp;$AC119,PayEmp,$C119),IF(ISNA(MATCH(V$2,DedListItem,0))=FALSE,(SUMPRODUCT((PayEmp=$C119)*(PayDate&lt;=$AC119)*(PayDedList=V$2)*(PayDedValues))*OFFSET(Setup!$E$81,MATCH(V$5,CompListItem,0),0,1,1))-SUMIFS(OFFSET(V$6,1,0,PayCount,1),PayDate,"&lt;"&amp;$AC119,PayEmp,$C119),(MIN(IF(OFFSET(Setup!$G$81,MATCH(V$5,CompListItem,0),0,1,1)="Taxable",SUMPRODUCT((PayEmp=$C119)*(PayDate&lt;=$AC119)*(ISERROR(SEARCH(PayEarnCode,V$4)))*(PayEarnTax)*(PayEarnValues)),SUMPRODUCT((PayEmp=$C119)*(PayDate&lt;=$AC119)*(ISERROR(SEARCH(PayEarnCode,V$4)))*(PayEarnValues))),IF(ISNUMBER(V$3),V$3/12*$AA119,IgnoreMin)))*OFFSET(Setup!$E$81,MATCH(V$5,CompListItem,0),0,1,1)-SUMIFS(OFFSET(V$6,1,0,PayCount,1),PayDate,"&lt;"&amp;$AC119,PayEmp,$C119)))))))</f>
        <v>0</v>
      </c>
      <c r="W119" s="133" cm="1">
        <f t="array" aca="1" ref="W119" ca="1">IF($F119="Terminated",0,IF($AA119=0,0,IF(ISNA(MATCH(W$5,CompListItem,0)),0,IF(COUNTIFS(OverEmp,$C119,OverComp,W$5,OverDate,"&lt;"&amp;DATE(YEAR($AC119),MONTH($AC119)+1,1),OverEnd,"&gt;="&amp;DATE(YEAR($AC119),MONTH($AC119),1))&gt;0,SUMIFS(OverValue,OverEmp,$C119,OverComp,W$5,OverDate,"&lt;"&amp;DATE(YEAR($AC119),MONTH($AC119)+1,1),OverEnd,"&gt;="&amp;DATE(YEAR($AC119),MONTH($AC119),1)),IF(OR(W$2="Fixed",W$2="Not Used"),(OFFSET(Setup!$E$81,MATCH(W$5,CompListItem,0),0,1,1)*$AA119)-SUMIFS(OFFSET(W$6,1,0,PayCount,1),PayDate,"&lt;"&amp;$AC119,PayEmp,$C119),IF(ISNA(MATCH(W$2,DedListItem,0))=FALSE,(SUMPRODUCT((PayEmp=$C119)*(PayDate&lt;=$AC119)*(PayDedList=W$2)*(PayDedValues))*OFFSET(Setup!$E$81,MATCH(W$5,CompListItem,0),0,1,1))-SUMIFS(OFFSET(W$6,1,0,PayCount,1),PayDate,"&lt;"&amp;$AC119,PayEmp,$C119),(MIN(IF(OFFSET(Setup!$G$81,MATCH(W$5,CompListItem,0),0,1,1)="Taxable",SUMPRODUCT((PayEmp=$C119)*(PayDate&lt;=$AC119)*(ISERROR(SEARCH(PayEarnCode,W$4)))*(PayEarnTax)*(PayEarnValues)),SUMPRODUCT((PayEmp=$C119)*(PayDate&lt;=$AC119)*(ISERROR(SEARCH(PayEarnCode,W$4)))*(PayEarnValues))),IF(ISNUMBER(W$3),W$3/12*$AA119,IgnoreMin)))*OFFSET(Setup!$E$81,MATCH(W$5,CompListItem,0),0,1,1)-SUMIFS(OFFSET(W$6,1,0,PayCount,1),PayDate,"&lt;"&amp;$AC119,PayEmp,$C119)))))))</f>
        <v>0</v>
      </c>
      <c r="X119" s="185">
        <f t="shared" ca="1" si="48"/>
        <v>180</v>
      </c>
      <c r="Y119" s="139">
        <f t="shared" ca="1" si="57"/>
        <v>9180</v>
      </c>
      <c r="Z119" s="139">
        <f t="shared" ca="1" si="49"/>
        <v>453.75</v>
      </c>
      <c r="AA119" s="146">
        <f ca="1">IF(OR($B119&lt;=Setup!$E$12,$B119&gt;=Setup!$D$12+1),0,IF($F119&lt;&gt;"Active",0,IF($AE119="Yes",$AB119,((YEAR($AC119)*12)+MONTH($AC119))-((YEAR($AD119)*12)+MONTH($AD119)-1))))</f>
        <v>8</v>
      </c>
      <c r="AB119" s="146">
        <f ca="1">IF(OR($B119&lt;=Setup!$E$12,$B119&gt;=Setup!$D$12+1),0,((YEAR($AC119)*12)+MONTH($AC119))-((YEAR(Setup!$E$12)*12)+MONTH(Setup!$E$12)))</f>
        <v>8</v>
      </c>
      <c r="AC119" s="186">
        <f t="shared" ca="1" si="50"/>
        <v>45224</v>
      </c>
      <c r="AD119" s="144">
        <f ca="1">IF(ISNA(VLOOKUP($C119,EmpAll,COLUMN(Emp!$E$4),0)),$AC119,IF(VLOOKUP($C119,EmpAll,COLUMN(Emp!$E$4),0)&lt;=Setup!$E$12,DATE(YEAR(Setup!$E$12),MONTH(Setup!$E$12)+1,1),VLOOKUP($C119,EmpAll,COLUMN(Emp!$E$4),0)))</f>
        <v>44986</v>
      </c>
      <c r="AE119" s="144" t="str">
        <f ca="1">IF(ISNA(VLOOKUP($C119,EmpAll,COLUMN(Emp!$G$1),0)),"-",IF(VLOOKUP($C119,EmpAll,COLUMN(Emp!$G$1),0)=0,"-",VLOOKUP($C119,EmpAll,COLUMN(Emp!$G$1),0)))</f>
        <v>-</v>
      </c>
      <c r="AF119" s="145">
        <f ca="1">IF(A119=PaySlip!$G$3,1,0)</f>
        <v>0</v>
      </c>
      <c r="AG119" s="130" cm="1">
        <f t="array" aca="1" ref="AG119" ca="1">IF(COUNTIFS(OverEmp,$C119,OverMed,"MED",OverDate,"&lt;"&amp;DATE(YEAR($AC119),MONTH($AC119)+1,1),OverEnd,"&gt;="&amp;DATE(YEAR($AC119),MONTH($AC119),1))&gt;0,SUMIFS(OverValue,OverEmp,$C119,OverMed,"MED",OverDate,"&lt;"&amp;DATE(YEAR($AC119),MONTH($AC119)+1,1),OverEnd,"&gt;="&amp;DATE(YEAR($AC119),MONTH($AC119),1)),IF(ISNA(VLOOKUP($C119,EmpAll,COLUMN(Emp!$N$4),0)),0,VLOOKUP($C119,EmpAll,COLUMN(Emp!$N$4),0)))</f>
        <v>0</v>
      </c>
      <c r="AH119" s="146">
        <f ca="1">VLOOKUP($AG119,MedList,COLUMN(Setup!$C$49),1)</f>
        <v>0</v>
      </c>
      <c r="AI119" s="146">
        <f t="shared" ca="1" si="40"/>
        <v>0</v>
      </c>
      <c r="AJ119" s="101" t="str">
        <f ca="1">IF(ISNA(VLOOKUP($C119,EmpAll,COLUMN(Emp!$L$4),0)),"None!",VLOOKUP($C119,EmpAll,COLUMN(Emp!$L$4),0))</f>
        <v>A</v>
      </c>
      <c r="AK119" s="147">
        <f t="shared" ca="1" si="51"/>
        <v>17235</v>
      </c>
      <c r="AL119" s="101" t="str">
        <f ca="1">IF(ISNA(VLOOKUP($C119,Employees[],COLUMN(Emp!$M$4),0))=TRUE,"Error!",IF(VLOOKUP($C119,Employees[],COLUMN(Emp!$M$4),0)=0,"Yes",VLOOKUP($C119,Employees[],COLUMN(Emp!$M$4),0)))</f>
        <v>A</v>
      </c>
      <c r="AM119" s="148">
        <f t="shared" ca="1" si="41"/>
        <v>108000</v>
      </c>
      <c r="AN119" s="148" cm="1">
        <f t="array" aca="1" ref="AN119" ca="1">-IF($F119="Terminated",0,IF($AA119=0,0,IF(ISNA(MATCH(AN$5,PayDedList,0)),0,MIN(IF(COUNTIFS(OverEmp,$C119,OverDeduct,AN$5,OverDate,"&lt;"&amp;DATE(YEAR($AC119),MONTH($AC119)+1,1),OverEnd,"&gt;="&amp;DATE(YEAR($AC119),MONTH($AC119),1))&gt;0,SUMPRODUCT((PayEmp=$C119)*(PayDate&lt;=$AC119)*(OFFSET($N$6,1,MATCH(AN$5,PayDedList,0)-1,PayCount,1)))/$AA119*12*AN$3,IF(OR(AN$1="Fixed",AN$1="Not Used"),SUMPRODUCT((PayEmp=$C119)*(PayDate&lt;=$AC119)*(OFFSET($N$6,1,MATCH(AN$5,PayDedList,0)-1,PayCount,1)))/$AA119*12*AN$3,IF(ISNA(MATCH(AN$1,EarnListItem,0))=FALSE,SUMPRODUCT((PayEmp=$C119)*(PayDate&lt;=$AC119)*(OFFSET($N$6,1,MATCH(AN$5,PayDedList,0)-1,PayCount,1)))/$AA119*12*AN$3,(MIN(((SUMPRODUCT((PayEmp=$C119)*(PayDate&lt;=$AC119)*(ISERROR(SEARCH(PayEarnCode,AN$2)))*(PayEarnType="Monthly")*(PayEarnValues))/$AA119*12)+(SUMPRODUCT((PayEmp=$C119)*(PayDate&lt;=$AC119)*(ISERROR(SEARCH(PayEarnCode,AN$2)))*(PayEarnType="Quarterly")*(PayEarnValues))/MAX(1,ROUNDDOWN($AB119/3,0))*4)+(SUMPRODUCT((PayEmp=$C119)*(PayDate&lt;=$AC119)*(ISERROR(SEARCH(PayEarnCode,AN$2)))*(PayEarnType="Bi-Annual")*(PayEarnValues))/MAX(1,ROUNDDOWN($AB119/6,0))*2)+(SUMPRODUCT((PayEmp=$C119)*(PayDate&lt;=$AC119)*(ISERROR(SEARCH(PayEarnCode,AN$2)))*(PayEarnType="Annual")*(PayEarnValues)))),IF(ISNUMBER(OFFSET($N$3,0,MATCH(AN$5,PayDedList,0)-1,1,1)),OFFSET($N$3,0,MATCH(AN$5,PayDedList,0)-1,1,1),IgnoreMin)))*IF(COUNTIFS(EmpNo,$C119,OFFSET(Emp!$R$4,1,MATCH(AN$5,DedListItem,0)-1,EmpCount,1),"&lt;&gt;")&gt;0,VLOOKUP($C119,EmpAll,COLUMN(Emp!$R$4)+MATCH(AN$5,DedListItem,0)-1,0),OFFSET(Setup!$E$73,MATCH(AN$5,DedListItem,0),0,1,1))*AN$3))),IF(ISNUMBER(AN$4),AN$4,IgnoreMin)))))</f>
        <v>0</v>
      </c>
      <c r="AO119" s="148" cm="1">
        <f t="array" aca="1" ref="AO119" ca="1">-IF($F119="Terminated",0,IF($AA119=0,0,IF(ISNA(MATCH(AO$5,PayDedList,0)),0,MIN(IF(COUNTIFS(OverEmp,$C119,OverDeduct,AO$5,OverDate,"&lt;"&amp;DATE(YEAR($AC119),MONTH($AC119)+1,1),OverEnd,"&gt;="&amp;DATE(YEAR($AC119),MONTH($AC119),1))&gt;0,SUMPRODUCT((PayEmp=$C119)*(PayDate&lt;=$AC119)*(OFFSET($N$6,1,MATCH(AO$5,PayDedList,0)-1,PayCount,1)))/$AA119*12*AO$3,IF(OR(AO$1="Fixed",AO$1="Not Used"),SUMPRODUCT((PayEmp=$C119)*(PayDate&lt;=$AC119)*(OFFSET($N$6,1,MATCH(AO$5,PayDedList,0)-1,PayCount,1)))/$AA119*12*AO$3,IF(ISNA(MATCH(AO$1,EarnListItem,0))=FALSE,SUMPRODUCT((PayEmp=$C119)*(PayDate&lt;=$AC119)*(OFFSET($N$6,1,MATCH(AO$5,PayDedList,0)-1,PayCount,1)))/$AA119*12*AO$3,(MIN(((SUMPRODUCT((PayEmp=$C119)*(PayDate&lt;=$AC119)*(ISERROR(SEARCH(PayEarnCode,AO$2)))*(PayEarnType="Monthly")*(PayEarnValues))/$AA119*12)+(SUMPRODUCT((PayEmp=$C119)*(PayDate&lt;=$AC119)*(ISERROR(SEARCH(PayEarnCode,AO$2)))*(PayEarnType="Quarterly")*(PayEarnValues))/MAX(1,ROUNDDOWN($AB119/3,0))*4)+(SUMPRODUCT((PayEmp=$C119)*(PayDate&lt;=$AC119)*(ISERROR(SEARCH(PayEarnCode,AO$2)))*(PayEarnType="Bi-Annual")*(PayEarnValues))/MAX(1,ROUNDDOWN($AB119/6,0))*2)+(SUMPRODUCT((PayEmp=$C119)*(PayDate&lt;=$AC119)*(ISERROR(SEARCH(PayEarnCode,AO$2)))*(PayEarnType="Annual")*(PayEarnValues)))),IF(ISNUMBER(OFFSET($N$3,0,MATCH(AO$5,PayDedList,0)-1,1,1)),OFFSET($N$3,0,MATCH(AO$5,PayDedList,0)-1,1,1),IgnoreMin)))*IF(COUNTIFS(EmpNo,$C119,OFFSET(Emp!$R$4,1,MATCH(AO$5,DedListItem,0)-1,EmpCount,1),"&lt;&gt;")&gt;0,VLOOKUP($C119,EmpAll,COLUMN(Emp!$R$4)+MATCH(AO$5,DedListItem,0)-1,0),OFFSET(Setup!$E$73,MATCH(AO$5,DedListItem,0),0,1,1))*AO$3))),IF(ISNUMBER(AO$4),AO$4,IgnoreMin)))))</f>
        <v>0</v>
      </c>
      <c r="AP119" s="148" cm="1">
        <f t="array" aca="1" ref="AP119" ca="1">-IF($F119="Terminated",0,IF($AA119=0,0,IF(ISNA(MATCH(AP$5,PayDedList,0)),0,MIN(IF(COUNTIFS(OverEmp,$C119,OverDeduct,AP$5,OverDate,"&lt;"&amp;DATE(YEAR($AC119),MONTH($AC119)+1,1),OverEnd,"&gt;="&amp;DATE(YEAR($AC119),MONTH($AC119),1))&gt;0,SUMPRODUCT((PayEmp=$C119)*(PayDate&lt;=$AC119)*(OFFSET($N$6,1,MATCH(AP$5,PayDedList,0)-1,PayCount,1)))/$AA119*12*AP$3,IF(OR(AP$1="Fixed",AP$1="Not Used"),SUMPRODUCT((PayEmp=$C119)*(PayDate&lt;=$AC119)*(OFFSET($N$6,1,MATCH(AP$5,PayDedList,0)-1,PayCount,1)))/$AA119*12*AP$3,IF(ISNA(MATCH(AP$1,EarnListItem,0))=FALSE,SUMPRODUCT((PayEmp=$C119)*(PayDate&lt;=$AC119)*(OFFSET($N$6,1,MATCH(AP$5,PayDedList,0)-1,PayCount,1)))/$AA119*12*AP$3,(MIN(((SUMPRODUCT((PayEmp=$C119)*(PayDate&lt;=$AC119)*(ISERROR(SEARCH(PayEarnCode,AP$2)))*(PayEarnType="Monthly")*(PayEarnValues))/$AA119*12)+(SUMPRODUCT((PayEmp=$C119)*(PayDate&lt;=$AC119)*(ISERROR(SEARCH(PayEarnCode,AP$2)))*(PayEarnType="Quarterly")*(PayEarnValues))/MAX(1,ROUNDDOWN($AB119/3,0))*4)+(SUMPRODUCT((PayEmp=$C119)*(PayDate&lt;=$AC119)*(ISERROR(SEARCH(PayEarnCode,AP$2)))*(PayEarnType="Bi-Annual")*(PayEarnValues))/MAX(1,ROUNDDOWN($AB119/6,0))*2)+(SUMPRODUCT((PayEmp=$C119)*(PayDate&lt;=$AC119)*(ISERROR(SEARCH(PayEarnCode,AP$2)))*(PayEarnType="Annual")*(PayEarnValues)))),IF(ISNUMBER(OFFSET($N$3,0,MATCH(AP$5,PayDedList,0)-1,1,1)),OFFSET($N$3,0,MATCH(AP$5,PayDedList,0)-1,1,1),IgnoreMin)))*IF(COUNTIFS(EmpNo,$C119,OFFSET(Emp!$R$4,1,MATCH(AP$5,DedListItem,0)-1,EmpCount,1),"&lt;&gt;")&gt;0,VLOOKUP($C119,EmpAll,COLUMN(Emp!$R$4)+MATCH(AP$5,DedListItem,0)-1,0),OFFSET(Setup!$E$73,MATCH(AP$5,DedListItem,0),0,1,1))*AP$3))),IF(ISNUMBER(AP$4),AP$4,IgnoreMin)))))</f>
        <v>0</v>
      </c>
      <c r="AQ119" s="148" cm="1">
        <f t="array" aca="1" ref="AQ119" ca="1">-IF($F119="Terminated",0,IF($AA119=0,0,IF(ISNA(MATCH(AQ$5,PayDedList,0)),0,MIN(IF(COUNTIFS(OverEmp,$C119,OverDeduct,AQ$5,OverDate,"&lt;"&amp;DATE(YEAR($AC119),MONTH($AC119)+1,1),OverEnd,"&gt;="&amp;DATE(YEAR($AC119),MONTH($AC119),1))&gt;0,SUMPRODUCT((PayEmp=$C119)*(PayDate&lt;=$AC119)*(OFFSET($N$6,1,MATCH(AQ$5,PayDedList,0)-1,PayCount,1)))/$AA119*12*AQ$3,IF(OR(AQ$1="Fixed",AQ$1="Not Used"),SUMPRODUCT((PayEmp=$C119)*(PayDate&lt;=$AC119)*(OFFSET($N$6,1,MATCH(AQ$5,PayDedList,0)-1,PayCount,1)))/$AA119*12*AQ$3,IF(ISNA(MATCH(AQ$1,EarnListItem,0))=FALSE,SUMPRODUCT((PayEmp=$C119)*(PayDate&lt;=$AC119)*(OFFSET($N$6,1,MATCH(AQ$5,PayDedList,0)-1,PayCount,1)))/$AA119*12*AQ$3,(MIN(((SUMPRODUCT((PayEmp=$C119)*(PayDate&lt;=$AC119)*(ISERROR(SEARCH(PayEarnCode,AQ$2)))*(PayEarnType="Monthly")*(PayEarnValues))/$AA119*12)+(SUMPRODUCT((PayEmp=$C119)*(PayDate&lt;=$AC119)*(ISERROR(SEARCH(PayEarnCode,AQ$2)))*(PayEarnType="Quarterly")*(PayEarnValues))/MAX(1,ROUNDDOWN($AB119/3,0))*4)+(SUMPRODUCT((PayEmp=$C119)*(PayDate&lt;=$AC119)*(ISERROR(SEARCH(PayEarnCode,AQ$2)))*(PayEarnType="Bi-Annual")*(PayEarnValues))/MAX(1,ROUNDDOWN($AB119/6,0))*2)+(SUMPRODUCT((PayEmp=$C119)*(PayDate&lt;=$AC119)*(ISERROR(SEARCH(PayEarnCode,AQ$2)))*(PayEarnType="Annual")*(PayEarnValues)))),IF(ISNUMBER(OFFSET($N$3,0,MATCH(AQ$5,PayDedList,0)-1,1,1)),OFFSET($N$3,0,MATCH(AQ$5,PayDedList,0)-1,1,1),IgnoreMin)))*IF(COUNTIFS(EmpNo,$C119,OFFSET(Emp!$R$4,1,MATCH(AQ$5,DedListItem,0)-1,EmpCount,1),"&lt;&gt;")&gt;0,VLOOKUP($C119,EmpAll,COLUMN(Emp!$R$4)+MATCH(AQ$5,DedListItem,0)-1,0),OFFSET(Setup!$E$73,MATCH(AQ$5,DedListItem,0),0,1,1))*AQ$3))),IF(ISNUMBER(AQ$4),AQ$4,IgnoreMin)))))</f>
        <v>0</v>
      </c>
      <c r="AR119" s="148">
        <f t="shared" ca="1" si="52"/>
        <v>108000</v>
      </c>
      <c r="AS119" s="148">
        <f t="shared" ca="1" si="42"/>
        <v>108000</v>
      </c>
      <c r="AT119" s="148" cm="1">
        <f t="array" aca="1" ref="AT119" ca="1">-IF($F119="Terminated",0,IF($AA119=0,0,IF(ISNA(MATCH(AT$5,PayDedList,0)),0,MIN(IF(COUNTIFS(OverEmp,$C119,OverDeduct,AT$5,OverDate,"&lt;"&amp;DATE(YEAR($AC119),MONTH($AC119)+1,1),OverEnd,"&gt;="&amp;DATE(YEAR($AC119),MONTH($AC119),1))&gt;0,SUMPRODUCT((PayEmp=$C119)*(PayDate&lt;=$AC119)*(OFFSET($N$6,1,MATCH(AT$5,PayDedList,0)-1,PayCount,1)))/$AA119*12*AT$3,IF(OR(AT$1="Fixed",AT$1="Not Used"),SUMPRODUCT((PayEmp=$C119)*(PayDate&lt;=$AC119)*(OFFSET($N$6,1,MATCH(AT$5,PayDedList,0)-1,PayCount,1)))/$AA119*12*AT$3,IF(ISNA(MATCH(OFFSET($N$2,0,MATCH(AT$5,PayDedList,0)-1,1,1),EarnListItem,0))=FALSE,SUMPRODUCT((PayEmp=$C119)*(PayDate&lt;=$AC119)*(OFFSET($N$6,1,MATCH(AT$5,PayDedList,0)-1,PayCount,1)))/$AA119*12*AT$3,(MIN(SUMPRODUCT((PayEmp=$C119)*(PayDate&lt;=$AC119)*(ISERROR(SEARCH(PayEarnCode,AT$2)))*(PayEarnType="Monthly")*(PayEarnValues))/$AA119*12,IF(ISNUMBER(OFFSET($N$3,0,MATCH(AT$5,PayDedList,0)-1,1,1)),OFFSET($N$3,0,MATCH(AT$5,PayDedList,0)-1,1,1),IgnoreMin)))*IF(COUNTIFS(EmpNo,$C119,OFFSET(Emp!$R$4,1,MATCH(AT$5,DedListItem,0)-1,EmpCount,1),"&lt;&gt;")&gt;0,VLOOKUP($C119,EmpAll,COLUMN(Emp!$R$4)+MATCH(AT$5,DedListItem,0)-1,0),OFFSET(Setup!$E$73,MATCH(AT$5,DedListItem,0),0,1,1))*AT$3))),IF(ISNUMBER(AT$4),AT$4,IgnoreMin)))))</f>
        <v>0</v>
      </c>
      <c r="AU119" s="148" cm="1">
        <f t="array" aca="1" ref="AU119" ca="1">-IF($F119="Terminated",0,IF($AA119=0,0,IF(ISNA(MATCH(AU$5,PayDedList,0)),0,MIN(IF(COUNTIFS(OverEmp,$C119,OverDeduct,AU$5,OverDate,"&lt;"&amp;DATE(YEAR($AC119),MONTH($AC119)+1,1),OverEnd,"&gt;="&amp;DATE(YEAR($AC119),MONTH($AC119),1))&gt;0,SUMPRODUCT((PayEmp=$C119)*(PayDate&lt;=$AC119)*(OFFSET($N$6,1,MATCH(AU$5,PayDedList,0)-1,PayCount,1)))/$AA119*12*AU$3,IF(OR(AU$1="Fixed",AU$1="Not Used"),SUMPRODUCT((PayEmp=$C119)*(PayDate&lt;=$AC119)*(OFFSET($N$6,1,MATCH(AU$5,PayDedList,0)-1,PayCount,1)))/$AA119*12*AU$3,IF(ISNA(MATCH(OFFSET($N$2,0,MATCH(AU$5,PayDedList,0)-1,1,1),EarnListItem,0))=FALSE,SUMPRODUCT((PayEmp=$C119)*(PayDate&lt;=$AC119)*(OFFSET($N$6,1,MATCH(AU$5,PayDedList,0)-1,PayCount,1)))/$AA119*12*AU$3,(MIN(SUMPRODUCT((PayEmp=$C119)*(PayDate&lt;=$AC119)*(ISERROR(SEARCH(PayEarnCode,AU$2)))*(PayEarnType="Monthly")*(PayEarnValues))/$AA119*12,IF(ISNUMBER(OFFSET($N$3,0,MATCH(AU$5,PayDedList,0)-1,1,1)),OFFSET($N$3,0,MATCH(AU$5,PayDedList,0)-1,1,1),IgnoreMin)))*IF(COUNTIFS(EmpNo,$C119,OFFSET(Emp!$R$4,1,MATCH(AU$5,DedListItem,0)-1,EmpCount,1),"&lt;&gt;")&gt;0,VLOOKUP($C119,EmpAll,COLUMN(Emp!$R$4)+MATCH(AU$5,DedListItem,0)-1,0),OFFSET(Setup!$E$73,MATCH(AU$5,DedListItem,0),0,1,1))*AU$3))),IF(ISNUMBER(AU$4),AU$4,IgnoreMin)))))</f>
        <v>0</v>
      </c>
      <c r="AV119" s="148" cm="1">
        <f t="array" aca="1" ref="AV119" ca="1">-IF($F119="Terminated",0,IF($AA119=0,0,IF(ISNA(MATCH(AV$5,PayDedList,0)),0,MIN(IF(COUNTIFS(OverEmp,$C119,OverDeduct,AV$5,OverDate,"&lt;"&amp;DATE(YEAR($AC119),MONTH($AC119)+1,1),OverEnd,"&gt;="&amp;DATE(YEAR($AC119),MONTH($AC119),1))&gt;0,SUMPRODUCT((PayEmp=$C119)*(PayDate&lt;=$AC119)*(OFFSET($N$6,1,MATCH(AV$5,PayDedList,0)-1,PayCount,1)))/$AA119*12*AV$3,IF(OR(AV$1="Fixed",AV$1="Not Used"),SUMPRODUCT((PayEmp=$C119)*(PayDate&lt;=$AC119)*(OFFSET($N$6,1,MATCH(AV$5,PayDedList,0)-1,PayCount,1)))/$AA119*12*AV$3,IF(ISNA(MATCH(OFFSET($N$2,0,MATCH(AV$5,PayDedList,0)-1,1,1),EarnListItem,0))=FALSE,SUMPRODUCT((PayEmp=$C119)*(PayDate&lt;=$AC119)*(OFFSET($N$6,1,MATCH(AV$5,PayDedList,0)-1,PayCount,1)))/$AA119*12*AV$3,(MIN(SUMPRODUCT((PayEmp=$C119)*(PayDate&lt;=$AC119)*(ISERROR(SEARCH(PayEarnCode,AV$2)))*(PayEarnType="Monthly")*(PayEarnValues))/$AA119*12,IF(ISNUMBER(OFFSET($N$3,0,MATCH(AV$5,PayDedList,0)-1,1,1)),OFFSET($N$3,0,MATCH(AV$5,PayDedList,0)-1,1,1),IgnoreMin)))*IF(COUNTIFS(EmpNo,$C119,OFFSET(Emp!$R$4,1,MATCH(AV$5,DedListItem,0)-1,EmpCount,1),"&lt;&gt;")&gt;0,VLOOKUP($C119,EmpAll,COLUMN(Emp!$R$4)+MATCH(AV$5,DedListItem,0)-1,0),OFFSET(Setup!$E$73,MATCH(AV$5,DedListItem,0),0,1,1))*AV$3))),IF(ISNUMBER(AV$4),AV$4,IgnoreMin)))))</f>
        <v>0</v>
      </c>
      <c r="AW119" s="148" cm="1">
        <f t="array" aca="1" ref="AW119" ca="1">-IF($F119="Terminated",0,IF($AA119=0,0,IF(ISNA(MATCH(AW$5,PayDedList,0)),0,MIN(IF(COUNTIFS(OverEmp,$C119,OverDeduct,AW$5,OverDate,"&lt;"&amp;DATE(YEAR($AC119),MONTH($AC119)+1,1),OverEnd,"&gt;="&amp;DATE(YEAR($AC119),MONTH($AC119),1))&gt;0,SUMPRODUCT((PayEmp=$C119)*(PayDate&lt;=$AC119)*(OFFSET($N$6,1,MATCH(AW$5,PayDedList,0)-1,PayCount,1)))/$AA119*12*AW$3,IF(OR(AW$1="Fixed",AW$1="Not Used"),SUMPRODUCT((PayEmp=$C119)*(PayDate&lt;=$AC119)*(OFFSET($N$6,1,MATCH(AW$5,PayDedList,0)-1,PayCount,1)))/$AA119*12*AW$3,IF(ISNA(MATCH(OFFSET($N$2,0,MATCH(AW$5,PayDedList,0)-1,1,1),EarnListItem,0))=FALSE,SUMPRODUCT((PayEmp=$C119)*(PayDate&lt;=$AC119)*(OFFSET($N$6,1,MATCH(AW$5,PayDedList,0)-1,PayCount,1)))/$AA119*12*AW$3,(MIN(SUMPRODUCT((PayEmp=$C119)*(PayDate&lt;=$AC119)*(ISERROR(SEARCH(PayEarnCode,AW$2)))*(PayEarnType="Monthly")*(PayEarnValues))/$AA119*12,IF(ISNUMBER(OFFSET($N$3,0,MATCH(AW$5,PayDedList,0)-1,1,1)),OFFSET($N$3,0,MATCH(AW$5,PayDedList,0)-1,1,1),IgnoreMin)))*IF(COUNTIFS(EmpNo,$C119,OFFSET(Emp!$R$4,1,MATCH(AW$5,DedListItem,0)-1,EmpCount,1),"&lt;&gt;")&gt;0,VLOOKUP($C119,EmpAll,COLUMN(Emp!$R$4)+MATCH(AW$5,DedListItem,0)-1,0),OFFSET(Setup!$E$73,MATCH(AW$5,DedListItem,0),0,1,1))*AW$3))),IF(ISNUMBER(AW$4),AW$4,IgnoreMin)))))</f>
        <v>0</v>
      </c>
      <c r="AX119" s="148">
        <f t="shared" ca="1" si="58"/>
        <v>108000</v>
      </c>
      <c r="AY119" s="148">
        <f t="shared" ca="1" si="59"/>
        <v>0</v>
      </c>
      <c r="AZ119" s="148">
        <f ca="1">IF(ISNUMBER($AL119),($AR119*$AL119)-$AI119-$AK119,MAX(0,IF($AL119="B",IF($AR119&lt;Setup!$C$32,($AR119*Setup!$D$32)-$AI119-$AK119,(($AR119-VLOOKUP($AR119,TaxAll2,1,1))*OFFSET(Setup!$D$32,MATCH($AR119,TaxBracket2,1),0,1,1))+OFFSET(Setup!$E$31,MATCH($AR119,TaxBracket2,1),0,1,1)-$AI119-$AK119),IF($AR119&lt;Setup!$C$21,($AR119*Setup!$D$21)-$AI119-$AK119,(($AR119-VLOOKUP($AR119,TaxAll1,1,1))*OFFSET(Setup!$D$21,MATCH($AR119,TaxBracket1,1),0,1,1))+OFFSET(Setup!$E$20,MATCH($AR119,TaxBracket1,1),0,1,1)-$AI119-$AK119))))</f>
        <v>2205</v>
      </c>
      <c r="BA119" s="148">
        <f ca="1">IF(ISNUMBER($AL119),($AX119*$AL119)-$AI119-$AK119,MAX(0,IF($AL119="B",IF($AX119&lt;Setup!$C$32,($AX119*Setup!$D$32)-$AI119-$AK119,(($AX119-VLOOKUP($AX119,TaxAll2,1,1))*OFFSET(Setup!$D$32,MATCH($AX119,TaxBracket2,1),0,1,1))+OFFSET(Setup!$E$31,MATCH($AX119,TaxBracket2,1),0,1,1)-$AI119-$AK119),IF($AX119&lt;Setup!$C$21,($AX119*Setup!$D$21)-$AI119-$AK119,(($AX119-VLOOKUP($AX119,TaxAll1,1,1))*OFFSET(Setup!$D$21,MATCH($AX119,TaxBracket1,1),0,1,1))+OFFSET(Setup!$E$20,MATCH($AX119,TaxBracket1,1),0,1,1)-$AI119-$AK119))))</f>
        <v>2205</v>
      </c>
      <c r="BB119" s="148">
        <f t="shared" ca="1" si="53"/>
        <v>0</v>
      </c>
      <c r="BC119" s="150">
        <f t="shared" ca="1" si="45"/>
        <v>1</v>
      </c>
      <c r="BD119" s="150">
        <f t="shared" ca="1" si="46"/>
        <v>0</v>
      </c>
      <c r="BE119" s="148">
        <f t="shared" ca="1" si="47"/>
        <v>108000</v>
      </c>
    </row>
    <row r="120" spans="1:57" ht="16.149999999999999" customHeight="1" x14ac:dyDescent="0.25">
      <c r="A120" s="10" t="str" cm="1">
        <f t="array" aca="1" ref="A120" ca="1">IF(ROW($A120)-ROW($A$6)&gt;EmpCount*12,"-",TEXT($B120,"yyyy")&amp;TEXT($B120,"mm")&amp;"-"&amp;$C120)</f>
        <v>202310-EXS009</v>
      </c>
      <c r="B120" s="137" cm="1">
        <f t="array" aca="1" ref="B120" ca="1">IF(ROW($A120)-ROW($A$6)&gt;EmpCount*12,Setup!$D$12,DATE(YEAR(Setup!$F$12),MONTH(Setup!$F$12)+ROUNDDOWN((ROW($A120)-ROW($A$6)-1)/EmpCount,0),IF(Setup!$C$14&gt;DAY(DATE(YEAR(Setup!$F$12),MONTH(Setup!$F$12)+ROUNDDOWN((ROW($A120)-ROW($A$6)-1)/EmpCount,0)+1,0)),DAY(DATE(YEAR(Setup!$F$12),MONTH(Setup!$F$12)+ROUNDDOWN((ROW($A120)-ROW($A$6)-1)/EmpCount,0)+1,0)),Setup!$C$14)))</f>
        <v>45224</v>
      </c>
      <c r="C120" s="101" t="str" cm="1">
        <f t="array" aca="1" ref="C120" ca="1">IF(ROW($A120)-ROW($A$6)&gt;EmpCount*12,"-",OFFSET(Emp!$A$4,ROW($A120)-ROW($A$6)-IF(ROW($A120)-ROW($A$6)&gt;EmpCount,ROUNDDOWN((ROW($A120)-ROW($A$6)-1)/EmpCount,0)*EmpCount,0),0,1,1))</f>
        <v>EXS009</v>
      </c>
      <c r="D120" s="10" t="str">
        <f ca="1">IF(ISNA(VLOOKUP($C120,EmpAll,COLUMN(Emp!$B$4),0)),"-",VLOOKUP($C120,EmpAll,COLUMN(Emp!$B$4),0))</f>
        <v>Brown JT</v>
      </c>
      <c r="E120" s="145" t="str">
        <f ca="1">IF(ISNA(VLOOKUP($C120,EmpAll,COLUMN(Emp!$C$4),0)),"-",VLOOKUP($C120,EmpAll,COLUMN(Emp!$C$4),0))</f>
        <v>A</v>
      </c>
      <c r="F120" s="101" t="str">
        <f ca="1">IF(ISNA(VLOOKUP($C120,EmpAll,COLUMN(Emp!$A$4),0)),"-",IF(AND(VLOOKUP($C120,EmpAll,COLUMN(Emp!$E$4),0)&lt;&gt;0,VLOOKUP($C120,EmpAll,COLUMN(Emp!$E$4),0)&gt;=DATE(YEAR($AC120),MONTH($AC120)+1,0)),"Inactive",IF(AND(VLOOKUP($C120,EmpAll,COLUMN(Emp!$F$4),0)&lt;&gt;0,VLOOKUP($C120,EmpAll,COLUMN(Emp!$F$4),0)&lt;=DATE(YEAR($AC120),MONTH($AC120),0)),"Terminated","Active")))</f>
        <v>Active</v>
      </c>
      <c r="G120" s="133" cm="1">
        <f t="array" aca="1" ref="G120" ca="1">IF($F120&lt;&gt;"Active",0,IF(COUNTIFS(OverEmp,$C120,OverEarn,G$2,OverDate,"&lt;"&amp;DATE(YEAR($AC120),MONTH($AC120)+1,1),OverEnd,"&gt;="&amp;DATE(YEAR($AC120),MONTH($AC120),1))&gt;0,SUMIFS(OverValue,OverEmp,$C120,OverEarn,G$2,OverDate,"&lt;"&amp;DATE(YEAR($AC120),MONTH($AC120)+1,1),OverEnd,"&gt;="&amp;DATE(YEAR($AC120),MONTH($AC120),1)),IF(AND($AC120&gt;=Setup!$E$10,SUMIFS(EmpIncrease,EmpCode,$C120)&gt;0),SUMIFS(EmpIncrease,EmpCode,$C120),SUMIFS(EmpSalary,EmpCode,$C120))))</f>
        <v>9000</v>
      </c>
      <c r="H120" s="133" cm="1">
        <f t="array" aca="1" ref="H120" ca="1">IF($F120&lt;&gt;"Active",0,IF(COUNTIFS(OverEmp,$C120,OverEarn,H$2,OverDate,"&lt;"&amp;DATE(YEAR($AC120),MONTH($AC120)+1,1),OverEnd,"&gt;="&amp;DATE(YEAR($AC120),MONTH($AC120),1))&gt;0,SUMIFS(OverValue,OverEmp,$C120,OverEarn,H$2,OverDate,"&lt;"&amp;DATE(YEAR($AC120),MONTH($AC120)+1,1),OverEnd,"&gt;="&amp;DATE(YEAR($AC120),MONTH($AC120),1)),0))</f>
        <v>0</v>
      </c>
      <c r="I120" s="133" cm="1">
        <f t="array" aca="1" ref="I120" ca="1">IF($F120&lt;&gt;"Active",0,IF(COUNTIFS(OverEmp,$C120,OverEarn,I$2,OverDate,"&lt;"&amp;DATE(YEAR($AC120),MONTH($AC120)+1,1),OverEnd,"&gt;="&amp;DATE(YEAR($AC120),MONTH($AC120),1))&gt;0,SUMIFS(OverValue,OverEmp,$C120,OverEarn,I$2,OverDate,"&lt;"&amp;DATE(YEAR($AC120),MONTH($AC120)+1,1),OverEnd,"&gt;="&amp;DATE(YEAR($AC120),MONTH($AC120),1)),IF(MONTH(B120)=Setup!$C$15,SUMIFS(EmpBonus,EmpCode,$C120),0)))</f>
        <v>0</v>
      </c>
      <c r="J120" s="133" cm="1">
        <f t="array" aca="1" ref="J120" ca="1">IF($F120&lt;&gt;"Active",0,IF(COUNTIFS(OverEmp,$C120,OverEarn,J$2,OverDate,"&lt;"&amp;DATE(YEAR($AC120),MONTH($AC120)+1,1),OverEnd,"&gt;="&amp;DATE(YEAR($AC120),MONTH($AC120),1))&gt;0,SUMIFS(OverValue,OverEmp,$C120,OverEarn,J$2,OverDate,"&lt;"&amp;DATE(YEAR($AC120),MONTH($AC120)+1,1),OverEnd,"&gt;="&amp;DATE(YEAR($AC120),MONTH($AC120),1)),0))</f>
        <v>0</v>
      </c>
      <c r="K120" s="133" cm="1">
        <f t="array" aca="1" ref="K120" ca="1">IF($F120&lt;&gt;"Active",0,IF(COUNTIFS(OverEmp,$C120,OverEarn,K$2,OverDate,"&lt;"&amp;DATE(YEAR($AC120),MONTH($AC120)+1,1),OverEnd,"&gt;="&amp;DATE(YEAR($AC120),MONTH($AC120),1))&gt;0,SUMIFS(OverValue,OverEmp,$C120,OverEarn,K$2,OverDate,"&lt;"&amp;DATE(YEAR($AC120),MONTH($AC120)+1,1),OverEnd,"&gt;="&amp;DATE(YEAR($AC120),MONTH($AC120),1)),0))</f>
        <v>0</v>
      </c>
      <c r="L120" s="185">
        <f t="shared" ca="1" si="54"/>
        <v>9000</v>
      </c>
      <c r="M120" s="182" cm="1">
        <f t="array" aca="1" ref="M120" ca="1">IF(COUNTIFS(OverEmp,$C120,OverTax,M$5,OverDate,"&lt;"&amp;DATE(YEAR($AC120),MONTH($AC120)+1,1),OverEnd,"&gt;="&amp;DATE(YEAR($AC120),MONTH($AC120),1))&gt;0,SUMIFS(OverValue,OverEmp,$C120,OverTax,M$5,OverDate,"&lt;"&amp;DATE(YEAR($AC120),MONTH($AC120)+1,1),OverEnd,"&gt;="&amp;DATE(YEAR($AC120),MONTH($AC120),1)),(($BA120/12*$AA120)+(BB120*IF(1-$BC120=0,0,BD120/(1-$BC120))))-IF($F120="Terminated",0,SUMIFS(PayTaxDeduct,PayDate,"&lt;"&amp;$AC120,PayEmp,$C120)))</f>
        <v>183.75</v>
      </c>
      <c r="N120" s="133" cm="1">
        <f t="array" aca="1" ref="N120" ca="1">IF($F120="Terminated",0,IF($AA120=0,0,IF(ISNA(MATCH(N$5,DedListItem,0)),0,IF(COUNTIFS(OverEmp,$C120,OverDeduct,N$5,OverDate,"&lt;"&amp;DATE(YEAR($AC120),MONTH($AC120)+1,1),OverEnd,"&gt;="&amp;DATE(YEAR($AC120),MONTH($AC120),1))&gt;0,SUMIFS(OverValue,OverEmp,$C120,OverDeduct,N$5,OverDate,"&lt;"&amp;DATE(YEAR($AC120),MONTH($AC120)+1,1),OverEnd,"&gt;="&amp;DATE(YEAR($AC120),MONTH($AC120),1)),IF(OR(N$2="Fixed",N$2="Not Used"),(IF(COUNTIFS(EmpNo,$C120,OFFSET(Emp!$R$4,1,MATCH(N$5,DedListItem,0)-1,EmpCount,1),"&lt;&gt;")&gt;0,VLOOKUP($C120,EmpAll,COLUMN(Emp!$R$4)+MATCH(N$5,DedListItem,0)-1,0),OFFSET(Setup!$E$73,MATCH(N$5,DedListItem,0),0,1,1))*$AA120)-SUMIFS(OFFSET(N$6,1,0,PayCount,1),PayDate,"&lt;"&amp;$AC120,PayEmp,$C120),IF(ISNA(MATCH(N$2,EarnListItem,0))=FALSE,IF(OFFSET(Setup!$G$73,MATCH(N$5,DedListItem,0),0,1,1)="Taxable",SUMPRODUCT((PayEmp=$C120)*(PayDate&lt;=$AC120)*(PayEarnCode=N$2)*(PayEarnTax)*(PayEarnValues)),SUMPRODUCT((PayEmp=$C120)*(PayDate&lt;=$AC120)*(PayEarnCode=N$2)*(PayEarnValues)))*IF(COUNTIFS(EmpNo,$C120,OFFSET(Emp!$R$4,1,MATCH(N$5,DedListItem,0)-1,EmpCount,1),"&lt;&gt;")&gt;0,VLOOKUP($C120,EmpAll,COLUMN(Emp!$R$4)+MATCH(N$5,DedListItem,0)-1,0),OFFSET(Setup!$E$73,MATCH(N$5,DedListItem,0),0,1,1)),(MIN(IF(OFFSET(Setup!$G$73,MATCH(N$5,DedListItem,0),0,1,1)="Taxable",SUMPRODUCT((PayEmp=$C120)*(PayDate&lt;=$AC120)*(ISERROR(SEARCH(PayEarnCode,N$4)))*(PayEarnTax)*(PayEarnValues)),SUMPRODUCT((PayEmp=$C120)*(PayDate&lt;=$AC120)*(ISERROR(SEARCH(PayEarnCode,N$4)))*(PayEarnValues))),IF(ISNUMBER(N$3),N$3/12*$AA120,IgnoreMin)))*IF(COUNTIFS(EmpNo,$C120,OFFSET(Emp!$R$4,1,MATCH(N$5,DedListItem,0)-1,EmpCount,1),"&lt;&gt;")&gt;0,VLOOKUP($C120,EmpAll,COLUMN(Emp!$R$4)+MATCH(N$5,DedListItem,0)-1,0),OFFSET(Setup!$E$73,MATCH(N$5,DedListItem,0),0,1,1)))-SUMIFS(OFFSET(N$6,1,0,PayCount,1),PayDate,"&lt;"&amp;$AC120,PayEmp,$C120))))))</f>
        <v>90</v>
      </c>
      <c r="O120" s="133" cm="1">
        <f t="array" aca="1" ref="O120" ca="1">IF($F120="Terminated",0,IF($AA120=0,0,IF(ISNA(MATCH(O$5,DedListItem,0)),0,IF(COUNTIFS(OverEmp,$C120,OverDeduct,O$5,OverDate,"&lt;"&amp;DATE(YEAR($AC120),MONTH($AC120)+1,1),OverEnd,"&gt;="&amp;DATE(YEAR($AC120),MONTH($AC120),1))&gt;0,SUMIFS(OverValue,OverEmp,$C120,OverDeduct,O$5,OverDate,"&lt;"&amp;DATE(YEAR($AC120),MONTH($AC120)+1,1),OverEnd,"&gt;="&amp;DATE(YEAR($AC120),MONTH($AC120),1)),IF(OR(O$2="Fixed",O$2="Not Used"),(IF(COUNTIFS(EmpNo,$C120,OFFSET(Emp!$R$4,1,MATCH(O$5,DedListItem,0)-1,EmpCount,1),"&lt;&gt;")&gt;0,VLOOKUP($C120,EmpAll,COLUMN(Emp!$R$4)+MATCH(O$5,DedListItem,0)-1,0),OFFSET(Setup!$E$73,MATCH(O$5,DedListItem,0),0,1,1))*$AA120)-SUMIFS(OFFSET(O$6,1,0,PayCount,1),PayDate,"&lt;"&amp;$AC120,PayEmp,$C120),IF(ISNA(MATCH(O$2,EarnListItem,0))=FALSE,IF(OFFSET(Setup!$G$73,MATCH(O$5,DedListItem,0),0,1,1)="Taxable",SUMPRODUCT((PayEmp=$C120)*(PayDate&lt;=$AC120)*(PayEarnCode=O$2)*(PayEarnTax)*(PayEarnValues)),SUMPRODUCT((PayEmp=$C120)*(PayDate&lt;=$AC120)*(PayEarnCode=O$2)*(PayEarnValues)))*IF(COUNTIFS(EmpNo,$C120,OFFSET(Emp!$R$4,1,MATCH(O$5,DedListItem,0)-1,EmpCount,1),"&lt;&gt;")&gt;0,VLOOKUP($C120,EmpAll,COLUMN(Emp!$R$4)+MATCH(O$5,DedListItem,0)-1,0),OFFSET(Setup!$E$73,MATCH(O$5,DedListItem,0),0,1,1)),(MIN(IF(OFFSET(Setup!$G$73,MATCH(O$5,DedListItem,0),0,1,1)="Taxable",SUMPRODUCT((PayEmp=$C120)*(PayDate&lt;=$AC120)*(ISERROR(SEARCH(PayEarnCode,O$4)))*(PayEarnTax)*(PayEarnValues)),SUMPRODUCT((PayEmp=$C120)*(PayDate&lt;=$AC120)*(ISERROR(SEARCH(PayEarnCode,O$4)))*(PayEarnValues))),IF(ISNUMBER(O$3),O$3/12*$AA120,IgnoreMin)))*IF(COUNTIFS(EmpNo,$C120,OFFSET(Emp!$R$4,1,MATCH(O$5,DedListItem,0)-1,EmpCount,1),"&lt;&gt;")&gt;0,VLOOKUP($C120,EmpAll,COLUMN(Emp!$R$4)+MATCH(O$5,DedListItem,0)-1,0),OFFSET(Setup!$E$73,MATCH(O$5,DedListItem,0),0,1,1)))-SUMIFS(OFFSET(O$6,1,0,PayCount,1),PayDate,"&lt;"&amp;$AC120,PayEmp,$C120))))))</f>
        <v>0</v>
      </c>
      <c r="P120" s="133" cm="1">
        <f t="array" aca="1" ref="P120" ca="1">IF($F120="Terminated",0,IF($AA120=0,0,IF(ISNA(MATCH(P$5,DedListItem,0)),0,IF(COUNTIFS(OverEmp,$C120,OverDeduct,P$5,OverDate,"&lt;"&amp;DATE(YEAR($AC120),MONTH($AC120)+1,1),OverEnd,"&gt;="&amp;DATE(YEAR($AC120),MONTH($AC120),1))&gt;0,SUMIFS(OverValue,OverEmp,$C120,OverDeduct,P$5,OverDate,"&lt;"&amp;DATE(YEAR($AC120),MONTH($AC120)+1,1),OverEnd,"&gt;="&amp;DATE(YEAR($AC120),MONTH($AC120),1)),IF(OR(P$2="Fixed",P$2="Not Used"),(IF(COUNTIFS(EmpNo,$C120,OFFSET(Emp!$R$4,1,MATCH(P$5,DedListItem,0)-1,EmpCount,1),"&lt;&gt;")&gt;0,VLOOKUP($C120,EmpAll,COLUMN(Emp!$R$4)+MATCH(P$5,DedListItem,0)-1,0),OFFSET(Setup!$E$73,MATCH(P$5,DedListItem,0),0,1,1))*$AA120)-SUMIFS(OFFSET(P$6,1,0,PayCount,1),PayDate,"&lt;"&amp;$AC120,PayEmp,$C120),IF(ISNA(MATCH(P$2,EarnListItem,0))=FALSE,IF(OFFSET(Setup!$G$73,MATCH(P$5,DedListItem,0),0,1,1)="Taxable",SUMPRODUCT((PayEmp=$C120)*(PayDate&lt;=$AC120)*(PayEarnCode=P$2)*(PayEarnTax)*(PayEarnValues)),SUMPRODUCT((PayEmp=$C120)*(PayDate&lt;=$AC120)*(PayEarnCode=P$2)*(PayEarnValues)))*IF(COUNTIFS(EmpNo,$C120,OFFSET(Emp!$R$4,1,MATCH(P$5,DedListItem,0)-1,EmpCount,1),"&lt;&gt;")&gt;0,VLOOKUP($C120,EmpAll,COLUMN(Emp!$R$4)+MATCH(P$5,DedListItem,0)-1,0),OFFSET(Setup!$E$73,MATCH(P$5,DedListItem,0),0,1,1)),(MIN(IF(OFFSET(Setup!$G$73,MATCH(P$5,DedListItem,0),0,1,1)="Taxable",SUMPRODUCT((PayEmp=$C120)*(PayDate&lt;=$AC120)*(ISERROR(SEARCH(PayEarnCode,P$4)))*(PayEarnTax)*(PayEarnValues)),SUMPRODUCT((PayEmp=$C120)*(PayDate&lt;=$AC120)*(ISERROR(SEARCH(PayEarnCode,P$4)))*(PayEarnValues))),IF(ISNUMBER(P$3),P$3/12*$AA120,IgnoreMin)))*IF(COUNTIFS(EmpNo,$C120,OFFSET(Emp!$R$4,1,MATCH(P$5,DedListItem,0)-1,EmpCount,1),"&lt;&gt;")&gt;0,VLOOKUP($C120,EmpAll,COLUMN(Emp!$R$4)+MATCH(P$5,DedListItem,0)-1,0),OFFSET(Setup!$E$73,MATCH(P$5,DedListItem,0),0,1,1)))-SUMIFS(OFFSET(P$6,1,0,PayCount,1),PayDate,"&lt;"&amp;$AC120,PayEmp,$C120))))))</f>
        <v>0</v>
      </c>
      <c r="Q120" s="133" cm="1">
        <f t="array" aca="1" ref="Q120" ca="1">IF($F120="Terminated",0,IF($AA120=0,0,IF(ISNA(MATCH(Q$5,DedListItem,0)),0,IF(COUNTIFS(OverEmp,$C120,OverDeduct,Q$5,OverDate,"&lt;"&amp;DATE(YEAR($AC120),MONTH($AC120)+1,1),OverEnd,"&gt;="&amp;DATE(YEAR($AC120),MONTH($AC120),1))&gt;0,SUMIFS(OverValue,OverEmp,$C120,OverDeduct,Q$5,OverDate,"&lt;"&amp;DATE(YEAR($AC120),MONTH($AC120)+1,1),OverEnd,"&gt;="&amp;DATE(YEAR($AC120),MONTH($AC120),1)),IF(OR(Q$2="Fixed",Q$2="Not Used"),(IF(COUNTIFS(EmpNo,$C120,OFFSET(Emp!$R$4,1,MATCH(Q$5,DedListItem,0)-1,EmpCount,1),"&lt;&gt;")&gt;0,VLOOKUP($C120,EmpAll,COLUMN(Emp!$R$4)+MATCH(Q$5,DedListItem,0)-1,0),OFFSET(Setup!$E$73,MATCH(Q$5,DedListItem,0),0,1,1))*$AA120)-SUMIFS(OFFSET(Q$6,1,0,PayCount,1),PayDate,"&lt;"&amp;$AC120,PayEmp,$C120),IF(ISNA(MATCH(Q$2,EarnListItem,0))=FALSE,IF(OFFSET(Setup!$G$73,MATCH(Q$5,DedListItem,0),0,1,1)="Taxable",SUMPRODUCT((PayEmp=$C120)*(PayDate&lt;=$AC120)*(PayEarnCode=Q$2)*(PayEarnTax)*(PayEarnValues)),SUMPRODUCT((PayEmp=$C120)*(PayDate&lt;=$AC120)*(PayEarnCode=Q$2)*(PayEarnValues)))*IF(COUNTIFS(EmpNo,$C120,OFFSET(Emp!$R$4,1,MATCH(Q$5,DedListItem,0)-1,EmpCount,1),"&lt;&gt;")&gt;0,VLOOKUP($C120,EmpAll,COLUMN(Emp!$R$4)+MATCH(Q$5,DedListItem,0)-1,0),OFFSET(Setup!$E$73,MATCH(Q$5,DedListItem,0),0,1,1)),(MIN(IF(OFFSET(Setup!$G$73,MATCH(Q$5,DedListItem,0),0,1,1)="Taxable",SUMPRODUCT((PayEmp=$C120)*(PayDate&lt;=$AC120)*(ISERROR(SEARCH(PayEarnCode,Q$4)))*(PayEarnTax)*(PayEarnValues)),SUMPRODUCT((PayEmp=$C120)*(PayDate&lt;=$AC120)*(ISERROR(SEARCH(PayEarnCode,Q$4)))*(PayEarnValues))),IF(ISNUMBER(Q$3),Q$3/12*$AA120,IgnoreMin)))*IF(COUNTIFS(EmpNo,$C120,OFFSET(Emp!$R$4,1,MATCH(Q$5,DedListItem,0)-1,EmpCount,1),"&lt;&gt;")&gt;0,VLOOKUP($C120,EmpAll,COLUMN(Emp!$R$4)+MATCH(Q$5,DedListItem,0)-1,0),OFFSET(Setup!$E$73,MATCH(Q$5,DedListItem,0),0,1,1)))-SUMIFS(OFFSET(Q$6,1,0,PayCount,1),PayDate,"&lt;"&amp;$AC120,PayEmp,$C120))))))</f>
        <v>0</v>
      </c>
      <c r="R120" s="185">
        <f t="shared" ca="1" si="55"/>
        <v>273.75</v>
      </c>
      <c r="S120" s="139">
        <f t="shared" ca="1" si="56"/>
        <v>8726.25</v>
      </c>
      <c r="T120" s="133" cm="1">
        <f t="array" aca="1" ref="T120" ca="1">IF($F120="Terminated",0,IF($AA120=0,0,IF(ISNA(MATCH(T$5,CompListItem,0)),0,IF(COUNTIFS(OverEmp,$C120,OverComp,T$5,OverDate,"&lt;"&amp;DATE(YEAR($AC120),MONTH($AC120)+1,1),OverEnd,"&gt;="&amp;DATE(YEAR($AC120),MONTH($AC120),1))&gt;0,SUMIFS(OverValue,OverEmp,$C120,OverComp,T$5,OverDate,"&lt;"&amp;DATE(YEAR($AC120),MONTH($AC120)+1,1),OverEnd,"&gt;="&amp;DATE(YEAR($AC120),MONTH($AC120),1)),IF(OR(T$2="Fixed",T$2="Not Used"),(OFFSET(Setup!$E$81,MATCH(T$5,CompListItem,0),0,1,1)*$AA120)-SUMIFS(OFFSET(T$6,1,0,PayCount,1),PayDate,"&lt;"&amp;$AC120,PayEmp,$C120),IF(ISNA(MATCH(T$2,DedListItem,0))=FALSE,(SUMPRODUCT((PayEmp=$C120)*(PayDate&lt;=$AC120)*(PayDedList=T$2)*(PayDedValues))*OFFSET(Setup!$E$81,MATCH(T$5,CompListItem,0),0,1,1))-SUMIFS(OFFSET(T$6,1,0,PayCount,1),PayDate,"&lt;"&amp;$AC120,PayEmp,$C120),(MIN(IF(OFFSET(Setup!$G$81,MATCH(T$5,CompListItem,0),0,1,1)="Taxable",SUMPRODUCT((PayEmp=$C120)*(PayDate&lt;=$AC120)*(ISERROR(SEARCH(PayEarnCode,T$4)))*(PayEarnTax)*(PayEarnValues)),SUMPRODUCT((PayEmp=$C120)*(PayDate&lt;=$AC120)*(ISERROR(SEARCH(PayEarnCode,T$4)))*(PayEarnValues))),IF(ISNUMBER(T$3),T$3/12*$AA120,IgnoreMin)))*OFFSET(Setup!$E$81,MATCH(T$5,CompListItem,0),0,1,1)-SUMIFS(OFFSET(T$6,1,0,PayCount,1),PayDate,"&lt;"&amp;$AC120,PayEmp,$C120)))))))</f>
        <v>90</v>
      </c>
      <c r="U120" s="133" cm="1">
        <f t="array" aca="1" ref="U120" ca="1">IF($F120="Terminated",0,IF($AA120=0,0,IF(ISNA(MATCH(U$5,CompListItem,0)),0,IF(COUNTIFS(OverEmp,$C120,OverComp,U$5,OverDate,"&lt;"&amp;DATE(YEAR($AC120),MONTH($AC120)+1,1),OverEnd,"&gt;="&amp;DATE(YEAR($AC120),MONTH($AC120),1))&gt;0,SUMIFS(OverValue,OverEmp,$C120,OverComp,U$5,OverDate,"&lt;"&amp;DATE(YEAR($AC120),MONTH($AC120)+1,1),OverEnd,"&gt;="&amp;DATE(YEAR($AC120),MONTH($AC120),1)),IF(OR(U$2="Fixed",U$2="Not Used"),(OFFSET(Setup!$E$81,MATCH(U$5,CompListItem,0),0,1,1)*$AA120)-SUMIFS(OFFSET(U$6,1,0,PayCount,1),PayDate,"&lt;"&amp;$AC120,PayEmp,$C120),IF(ISNA(MATCH(U$2,DedListItem,0))=FALSE,(SUMPRODUCT((PayEmp=$C120)*(PayDate&lt;=$AC120)*(PayDedList=U$2)*(PayDedValues))*OFFSET(Setup!$E$81,MATCH(U$5,CompListItem,0),0,1,1))-SUMIFS(OFFSET(U$6,1,0,PayCount,1),PayDate,"&lt;"&amp;$AC120,PayEmp,$C120),(MIN(IF(OFFSET(Setup!$G$81,MATCH(U$5,CompListItem,0),0,1,1)="Taxable",SUMPRODUCT((PayEmp=$C120)*(PayDate&lt;=$AC120)*(ISERROR(SEARCH(PayEarnCode,U$4)))*(PayEarnTax)*(PayEarnValues)),SUMPRODUCT((PayEmp=$C120)*(PayDate&lt;=$AC120)*(ISERROR(SEARCH(PayEarnCode,U$4)))*(PayEarnValues))),IF(ISNUMBER(U$3),U$3/12*$AA120,IgnoreMin)))*OFFSET(Setup!$E$81,MATCH(U$5,CompListItem,0),0,1,1)-SUMIFS(OFFSET(U$6,1,0,PayCount,1),PayDate,"&lt;"&amp;$AC120,PayEmp,$C120)))))))</f>
        <v>90</v>
      </c>
      <c r="V120" s="133" cm="1">
        <f t="array" aca="1" ref="V120" ca="1">IF($F120="Terminated",0,IF($AA120=0,0,IF(ISNA(MATCH(V$5,CompListItem,0)),0,IF(COUNTIFS(OverEmp,$C120,OverComp,V$5,OverDate,"&lt;"&amp;DATE(YEAR($AC120),MONTH($AC120)+1,1),OverEnd,"&gt;="&amp;DATE(YEAR($AC120),MONTH($AC120),1))&gt;0,SUMIFS(OverValue,OverEmp,$C120,OverComp,V$5,OverDate,"&lt;"&amp;DATE(YEAR($AC120),MONTH($AC120)+1,1),OverEnd,"&gt;="&amp;DATE(YEAR($AC120),MONTH($AC120),1)),IF(OR(V$2="Fixed",V$2="Not Used"),(OFFSET(Setup!$E$81,MATCH(V$5,CompListItem,0),0,1,1)*$AA120)-SUMIFS(OFFSET(V$6,1,0,PayCount,1),PayDate,"&lt;"&amp;$AC120,PayEmp,$C120),IF(ISNA(MATCH(V$2,DedListItem,0))=FALSE,(SUMPRODUCT((PayEmp=$C120)*(PayDate&lt;=$AC120)*(PayDedList=V$2)*(PayDedValues))*OFFSET(Setup!$E$81,MATCH(V$5,CompListItem,0),0,1,1))-SUMIFS(OFFSET(V$6,1,0,PayCount,1),PayDate,"&lt;"&amp;$AC120,PayEmp,$C120),(MIN(IF(OFFSET(Setup!$G$81,MATCH(V$5,CompListItem,0),0,1,1)="Taxable",SUMPRODUCT((PayEmp=$C120)*(PayDate&lt;=$AC120)*(ISERROR(SEARCH(PayEarnCode,V$4)))*(PayEarnTax)*(PayEarnValues)),SUMPRODUCT((PayEmp=$C120)*(PayDate&lt;=$AC120)*(ISERROR(SEARCH(PayEarnCode,V$4)))*(PayEarnValues))),IF(ISNUMBER(V$3),V$3/12*$AA120,IgnoreMin)))*OFFSET(Setup!$E$81,MATCH(V$5,CompListItem,0),0,1,1)-SUMIFS(OFFSET(V$6,1,0,PayCount,1),PayDate,"&lt;"&amp;$AC120,PayEmp,$C120)))))))</f>
        <v>0</v>
      </c>
      <c r="W120" s="133" cm="1">
        <f t="array" aca="1" ref="W120" ca="1">IF($F120="Terminated",0,IF($AA120=0,0,IF(ISNA(MATCH(W$5,CompListItem,0)),0,IF(COUNTIFS(OverEmp,$C120,OverComp,W$5,OverDate,"&lt;"&amp;DATE(YEAR($AC120),MONTH($AC120)+1,1),OverEnd,"&gt;="&amp;DATE(YEAR($AC120),MONTH($AC120),1))&gt;0,SUMIFS(OverValue,OverEmp,$C120,OverComp,W$5,OverDate,"&lt;"&amp;DATE(YEAR($AC120),MONTH($AC120)+1,1),OverEnd,"&gt;="&amp;DATE(YEAR($AC120),MONTH($AC120),1)),IF(OR(W$2="Fixed",W$2="Not Used"),(OFFSET(Setup!$E$81,MATCH(W$5,CompListItem,0),0,1,1)*$AA120)-SUMIFS(OFFSET(W$6,1,0,PayCount,1),PayDate,"&lt;"&amp;$AC120,PayEmp,$C120),IF(ISNA(MATCH(W$2,DedListItem,0))=FALSE,(SUMPRODUCT((PayEmp=$C120)*(PayDate&lt;=$AC120)*(PayDedList=W$2)*(PayDedValues))*OFFSET(Setup!$E$81,MATCH(W$5,CompListItem,0),0,1,1))-SUMIFS(OFFSET(W$6,1,0,PayCount,1),PayDate,"&lt;"&amp;$AC120,PayEmp,$C120),(MIN(IF(OFFSET(Setup!$G$81,MATCH(W$5,CompListItem,0),0,1,1)="Taxable",SUMPRODUCT((PayEmp=$C120)*(PayDate&lt;=$AC120)*(ISERROR(SEARCH(PayEarnCode,W$4)))*(PayEarnTax)*(PayEarnValues)),SUMPRODUCT((PayEmp=$C120)*(PayDate&lt;=$AC120)*(ISERROR(SEARCH(PayEarnCode,W$4)))*(PayEarnValues))),IF(ISNUMBER(W$3),W$3/12*$AA120,IgnoreMin)))*OFFSET(Setup!$E$81,MATCH(W$5,CompListItem,0),0,1,1)-SUMIFS(OFFSET(W$6,1,0,PayCount,1),PayDate,"&lt;"&amp;$AC120,PayEmp,$C120)))))))</f>
        <v>0</v>
      </c>
      <c r="X120" s="185">
        <f t="shared" ca="1" si="48"/>
        <v>180</v>
      </c>
      <c r="Y120" s="139">
        <f t="shared" ca="1" si="57"/>
        <v>9180</v>
      </c>
      <c r="Z120" s="139">
        <f t="shared" ca="1" si="49"/>
        <v>453.75</v>
      </c>
      <c r="AA120" s="146">
        <f ca="1">IF(OR($B120&lt;=Setup!$E$12,$B120&gt;=Setup!$D$12+1),0,IF($F120&lt;&gt;"Active",0,IF($AE120="Yes",$AB120,((YEAR($AC120)*12)+MONTH($AC120))-((YEAR($AD120)*12)+MONTH($AD120)-1))))</f>
        <v>8</v>
      </c>
      <c r="AB120" s="146">
        <f ca="1">IF(OR($B120&lt;=Setup!$E$12,$B120&gt;=Setup!$D$12+1),0,((YEAR($AC120)*12)+MONTH($AC120))-((YEAR(Setup!$E$12)*12)+MONTH(Setup!$E$12)))</f>
        <v>8</v>
      </c>
      <c r="AC120" s="186">
        <f t="shared" ca="1" si="50"/>
        <v>45224</v>
      </c>
      <c r="AD120" s="144">
        <f ca="1">IF(ISNA(VLOOKUP($C120,EmpAll,COLUMN(Emp!$E$4),0)),$AC120,IF(VLOOKUP($C120,EmpAll,COLUMN(Emp!$E$4),0)&lt;=Setup!$E$12,DATE(YEAR(Setup!$E$12),MONTH(Setup!$E$12)+1,1),VLOOKUP($C120,EmpAll,COLUMN(Emp!$E$4),0)))</f>
        <v>44986</v>
      </c>
      <c r="AE120" s="144" t="str">
        <f ca="1">IF(ISNA(VLOOKUP($C120,EmpAll,COLUMN(Emp!$G$1),0)),"-",IF(VLOOKUP($C120,EmpAll,COLUMN(Emp!$G$1),0)=0,"-",VLOOKUP($C120,EmpAll,COLUMN(Emp!$G$1),0)))</f>
        <v>-</v>
      </c>
      <c r="AF120" s="145">
        <f ca="1">IF(A120=PaySlip!$G$3,1,0)</f>
        <v>0</v>
      </c>
      <c r="AG120" s="130" cm="1">
        <f t="array" aca="1" ref="AG120" ca="1">IF(COUNTIFS(OverEmp,$C120,OverMed,"MED",OverDate,"&lt;"&amp;DATE(YEAR($AC120),MONTH($AC120)+1,1),OverEnd,"&gt;="&amp;DATE(YEAR($AC120),MONTH($AC120),1))&gt;0,SUMIFS(OverValue,OverEmp,$C120,OverMed,"MED",OverDate,"&lt;"&amp;DATE(YEAR($AC120),MONTH($AC120)+1,1),OverEnd,"&gt;="&amp;DATE(YEAR($AC120),MONTH($AC120),1)),IF(ISNA(VLOOKUP($C120,EmpAll,COLUMN(Emp!$N$4),0)),0,VLOOKUP($C120,EmpAll,COLUMN(Emp!$N$4),0)))</f>
        <v>0</v>
      </c>
      <c r="AH120" s="146">
        <f ca="1">VLOOKUP($AG120,MedList,COLUMN(Setup!$C$49),1)</f>
        <v>0</v>
      </c>
      <c r="AI120" s="146">
        <f t="shared" ca="1" si="40"/>
        <v>0</v>
      </c>
      <c r="AJ120" s="101" t="str">
        <f ca="1">IF(ISNA(VLOOKUP($C120,EmpAll,COLUMN(Emp!$L$4),0)),"None!",VLOOKUP($C120,EmpAll,COLUMN(Emp!$L$4),0))</f>
        <v>A</v>
      </c>
      <c r="AK120" s="147">
        <f t="shared" ca="1" si="51"/>
        <v>17235</v>
      </c>
      <c r="AL120" s="101" t="str">
        <f ca="1">IF(ISNA(VLOOKUP($C120,Employees[],COLUMN(Emp!$M$4),0))=TRUE,"Error!",IF(VLOOKUP($C120,Employees[],COLUMN(Emp!$M$4),0)=0,"Yes",VLOOKUP($C120,Employees[],COLUMN(Emp!$M$4),0)))</f>
        <v>A</v>
      </c>
      <c r="AM120" s="148">
        <f t="shared" ca="1" si="41"/>
        <v>108000</v>
      </c>
      <c r="AN120" s="148" cm="1">
        <f t="array" aca="1" ref="AN120" ca="1">-IF($F120="Terminated",0,IF($AA120=0,0,IF(ISNA(MATCH(AN$5,PayDedList,0)),0,MIN(IF(COUNTIFS(OverEmp,$C120,OverDeduct,AN$5,OverDate,"&lt;"&amp;DATE(YEAR($AC120),MONTH($AC120)+1,1),OverEnd,"&gt;="&amp;DATE(YEAR($AC120),MONTH($AC120),1))&gt;0,SUMPRODUCT((PayEmp=$C120)*(PayDate&lt;=$AC120)*(OFFSET($N$6,1,MATCH(AN$5,PayDedList,0)-1,PayCount,1)))/$AA120*12*AN$3,IF(OR(AN$1="Fixed",AN$1="Not Used"),SUMPRODUCT((PayEmp=$C120)*(PayDate&lt;=$AC120)*(OFFSET($N$6,1,MATCH(AN$5,PayDedList,0)-1,PayCount,1)))/$AA120*12*AN$3,IF(ISNA(MATCH(AN$1,EarnListItem,0))=FALSE,SUMPRODUCT((PayEmp=$C120)*(PayDate&lt;=$AC120)*(OFFSET($N$6,1,MATCH(AN$5,PayDedList,0)-1,PayCount,1)))/$AA120*12*AN$3,(MIN(((SUMPRODUCT((PayEmp=$C120)*(PayDate&lt;=$AC120)*(ISERROR(SEARCH(PayEarnCode,AN$2)))*(PayEarnType="Monthly")*(PayEarnValues))/$AA120*12)+(SUMPRODUCT((PayEmp=$C120)*(PayDate&lt;=$AC120)*(ISERROR(SEARCH(PayEarnCode,AN$2)))*(PayEarnType="Quarterly")*(PayEarnValues))/MAX(1,ROUNDDOWN($AB120/3,0))*4)+(SUMPRODUCT((PayEmp=$C120)*(PayDate&lt;=$AC120)*(ISERROR(SEARCH(PayEarnCode,AN$2)))*(PayEarnType="Bi-Annual")*(PayEarnValues))/MAX(1,ROUNDDOWN($AB120/6,0))*2)+(SUMPRODUCT((PayEmp=$C120)*(PayDate&lt;=$AC120)*(ISERROR(SEARCH(PayEarnCode,AN$2)))*(PayEarnType="Annual")*(PayEarnValues)))),IF(ISNUMBER(OFFSET($N$3,0,MATCH(AN$5,PayDedList,0)-1,1,1)),OFFSET($N$3,0,MATCH(AN$5,PayDedList,0)-1,1,1),IgnoreMin)))*IF(COUNTIFS(EmpNo,$C120,OFFSET(Emp!$R$4,1,MATCH(AN$5,DedListItem,0)-1,EmpCount,1),"&lt;&gt;")&gt;0,VLOOKUP($C120,EmpAll,COLUMN(Emp!$R$4)+MATCH(AN$5,DedListItem,0)-1,0),OFFSET(Setup!$E$73,MATCH(AN$5,DedListItem,0),0,1,1))*AN$3))),IF(ISNUMBER(AN$4),AN$4,IgnoreMin)))))</f>
        <v>0</v>
      </c>
      <c r="AO120" s="148" cm="1">
        <f t="array" aca="1" ref="AO120" ca="1">-IF($F120="Terminated",0,IF($AA120=0,0,IF(ISNA(MATCH(AO$5,PayDedList,0)),0,MIN(IF(COUNTIFS(OverEmp,$C120,OverDeduct,AO$5,OverDate,"&lt;"&amp;DATE(YEAR($AC120),MONTH($AC120)+1,1),OverEnd,"&gt;="&amp;DATE(YEAR($AC120),MONTH($AC120),1))&gt;0,SUMPRODUCT((PayEmp=$C120)*(PayDate&lt;=$AC120)*(OFFSET($N$6,1,MATCH(AO$5,PayDedList,0)-1,PayCount,1)))/$AA120*12*AO$3,IF(OR(AO$1="Fixed",AO$1="Not Used"),SUMPRODUCT((PayEmp=$C120)*(PayDate&lt;=$AC120)*(OFFSET($N$6,1,MATCH(AO$5,PayDedList,0)-1,PayCount,1)))/$AA120*12*AO$3,IF(ISNA(MATCH(AO$1,EarnListItem,0))=FALSE,SUMPRODUCT((PayEmp=$C120)*(PayDate&lt;=$AC120)*(OFFSET($N$6,1,MATCH(AO$5,PayDedList,0)-1,PayCount,1)))/$AA120*12*AO$3,(MIN(((SUMPRODUCT((PayEmp=$C120)*(PayDate&lt;=$AC120)*(ISERROR(SEARCH(PayEarnCode,AO$2)))*(PayEarnType="Monthly")*(PayEarnValues))/$AA120*12)+(SUMPRODUCT((PayEmp=$C120)*(PayDate&lt;=$AC120)*(ISERROR(SEARCH(PayEarnCode,AO$2)))*(PayEarnType="Quarterly")*(PayEarnValues))/MAX(1,ROUNDDOWN($AB120/3,0))*4)+(SUMPRODUCT((PayEmp=$C120)*(PayDate&lt;=$AC120)*(ISERROR(SEARCH(PayEarnCode,AO$2)))*(PayEarnType="Bi-Annual")*(PayEarnValues))/MAX(1,ROUNDDOWN($AB120/6,0))*2)+(SUMPRODUCT((PayEmp=$C120)*(PayDate&lt;=$AC120)*(ISERROR(SEARCH(PayEarnCode,AO$2)))*(PayEarnType="Annual")*(PayEarnValues)))),IF(ISNUMBER(OFFSET($N$3,0,MATCH(AO$5,PayDedList,0)-1,1,1)),OFFSET($N$3,0,MATCH(AO$5,PayDedList,0)-1,1,1),IgnoreMin)))*IF(COUNTIFS(EmpNo,$C120,OFFSET(Emp!$R$4,1,MATCH(AO$5,DedListItem,0)-1,EmpCount,1),"&lt;&gt;")&gt;0,VLOOKUP($C120,EmpAll,COLUMN(Emp!$R$4)+MATCH(AO$5,DedListItem,0)-1,0),OFFSET(Setup!$E$73,MATCH(AO$5,DedListItem,0),0,1,1))*AO$3))),IF(ISNUMBER(AO$4),AO$4,IgnoreMin)))))</f>
        <v>0</v>
      </c>
      <c r="AP120" s="148" cm="1">
        <f t="array" aca="1" ref="AP120" ca="1">-IF($F120="Terminated",0,IF($AA120=0,0,IF(ISNA(MATCH(AP$5,PayDedList,0)),0,MIN(IF(COUNTIFS(OverEmp,$C120,OverDeduct,AP$5,OverDate,"&lt;"&amp;DATE(YEAR($AC120),MONTH($AC120)+1,1),OverEnd,"&gt;="&amp;DATE(YEAR($AC120),MONTH($AC120),1))&gt;0,SUMPRODUCT((PayEmp=$C120)*(PayDate&lt;=$AC120)*(OFFSET($N$6,1,MATCH(AP$5,PayDedList,0)-1,PayCount,1)))/$AA120*12*AP$3,IF(OR(AP$1="Fixed",AP$1="Not Used"),SUMPRODUCT((PayEmp=$C120)*(PayDate&lt;=$AC120)*(OFFSET($N$6,1,MATCH(AP$5,PayDedList,0)-1,PayCount,1)))/$AA120*12*AP$3,IF(ISNA(MATCH(AP$1,EarnListItem,0))=FALSE,SUMPRODUCT((PayEmp=$C120)*(PayDate&lt;=$AC120)*(OFFSET($N$6,1,MATCH(AP$5,PayDedList,0)-1,PayCount,1)))/$AA120*12*AP$3,(MIN(((SUMPRODUCT((PayEmp=$C120)*(PayDate&lt;=$AC120)*(ISERROR(SEARCH(PayEarnCode,AP$2)))*(PayEarnType="Monthly")*(PayEarnValues))/$AA120*12)+(SUMPRODUCT((PayEmp=$C120)*(PayDate&lt;=$AC120)*(ISERROR(SEARCH(PayEarnCode,AP$2)))*(PayEarnType="Quarterly")*(PayEarnValues))/MAX(1,ROUNDDOWN($AB120/3,0))*4)+(SUMPRODUCT((PayEmp=$C120)*(PayDate&lt;=$AC120)*(ISERROR(SEARCH(PayEarnCode,AP$2)))*(PayEarnType="Bi-Annual")*(PayEarnValues))/MAX(1,ROUNDDOWN($AB120/6,0))*2)+(SUMPRODUCT((PayEmp=$C120)*(PayDate&lt;=$AC120)*(ISERROR(SEARCH(PayEarnCode,AP$2)))*(PayEarnType="Annual")*(PayEarnValues)))),IF(ISNUMBER(OFFSET($N$3,0,MATCH(AP$5,PayDedList,0)-1,1,1)),OFFSET($N$3,0,MATCH(AP$5,PayDedList,0)-1,1,1),IgnoreMin)))*IF(COUNTIFS(EmpNo,$C120,OFFSET(Emp!$R$4,1,MATCH(AP$5,DedListItem,0)-1,EmpCount,1),"&lt;&gt;")&gt;0,VLOOKUP($C120,EmpAll,COLUMN(Emp!$R$4)+MATCH(AP$5,DedListItem,0)-1,0),OFFSET(Setup!$E$73,MATCH(AP$5,DedListItem,0),0,1,1))*AP$3))),IF(ISNUMBER(AP$4),AP$4,IgnoreMin)))))</f>
        <v>0</v>
      </c>
      <c r="AQ120" s="148" cm="1">
        <f t="array" aca="1" ref="AQ120" ca="1">-IF($F120="Terminated",0,IF($AA120=0,0,IF(ISNA(MATCH(AQ$5,PayDedList,0)),0,MIN(IF(COUNTIFS(OverEmp,$C120,OverDeduct,AQ$5,OverDate,"&lt;"&amp;DATE(YEAR($AC120),MONTH($AC120)+1,1),OverEnd,"&gt;="&amp;DATE(YEAR($AC120),MONTH($AC120),1))&gt;0,SUMPRODUCT((PayEmp=$C120)*(PayDate&lt;=$AC120)*(OFFSET($N$6,1,MATCH(AQ$5,PayDedList,0)-1,PayCount,1)))/$AA120*12*AQ$3,IF(OR(AQ$1="Fixed",AQ$1="Not Used"),SUMPRODUCT((PayEmp=$C120)*(PayDate&lt;=$AC120)*(OFFSET($N$6,1,MATCH(AQ$5,PayDedList,0)-1,PayCount,1)))/$AA120*12*AQ$3,IF(ISNA(MATCH(AQ$1,EarnListItem,0))=FALSE,SUMPRODUCT((PayEmp=$C120)*(PayDate&lt;=$AC120)*(OFFSET($N$6,1,MATCH(AQ$5,PayDedList,0)-1,PayCount,1)))/$AA120*12*AQ$3,(MIN(((SUMPRODUCT((PayEmp=$C120)*(PayDate&lt;=$AC120)*(ISERROR(SEARCH(PayEarnCode,AQ$2)))*(PayEarnType="Monthly")*(PayEarnValues))/$AA120*12)+(SUMPRODUCT((PayEmp=$C120)*(PayDate&lt;=$AC120)*(ISERROR(SEARCH(PayEarnCode,AQ$2)))*(PayEarnType="Quarterly")*(PayEarnValues))/MAX(1,ROUNDDOWN($AB120/3,0))*4)+(SUMPRODUCT((PayEmp=$C120)*(PayDate&lt;=$AC120)*(ISERROR(SEARCH(PayEarnCode,AQ$2)))*(PayEarnType="Bi-Annual")*(PayEarnValues))/MAX(1,ROUNDDOWN($AB120/6,0))*2)+(SUMPRODUCT((PayEmp=$C120)*(PayDate&lt;=$AC120)*(ISERROR(SEARCH(PayEarnCode,AQ$2)))*(PayEarnType="Annual")*(PayEarnValues)))),IF(ISNUMBER(OFFSET($N$3,0,MATCH(AQ$5,PayDedList,0)-1,1,1)),OFFSET($N$3,0,MATCH(AQ$5,PayDedList,0)-1,1,1),IgnoreMin)))*IF(COUNTIFS(EmpNo,$C120,OFFSET(Emp!$R$4,1,MATCH(AQ$5,DedListItem,0)-1,EmpCount,1),"&lt;&gt;")&gt;0,VLOOKUP($C120,EmpAll,COLUMN(Emp!$R$4)+MATCH(AQ$5,DedListItem,0)-1,0),OFFSET(Setup!$E$73,MATCH(AQ$5,DedListItem,0),0,1,1))*AQ$3))),IF(ISNUMBER(AQ$4),AQ$4,IgnoreMin)))))</f>
        <v>0</v>
      </c>
      <c r="AR120" s="148">
        <f t="shared" ca="1" si="52"/>
        <v>108000</v>
      </c>
      <c r="AS120" s="148">
        <f t="shared" ca="1" si="42"/>
        <v>108000</v>
      </c>
      <c r="AT120" s="148" cm="1">
        <f t="array" aca="1" ref="AT120" ca="1">-IF($F120="Terminated",0,IF($AA120=0,0,IF(ISNA(MATCH(AT$5,PayDedList,0)),0,MIN(IF(COUNTIFS(OverEmp,$C120,OverDeduct,AT$5,OverDate,"&lt;"&amp;DATE(YEAR($AC120),MONTH($AC120)+1,1),OverEnd,"&gt;="&amp;DATE(YEAR($AC120),MONTH($AC120),1))&gt;0,SUMPRODUCT((PayEmp=$C120)*(PayDate&lt;=$AC120)*(OFFSET($N$6,1,MATCH(AT$5,PayDedList,0)-1,PayCount,1)))/$AA120*12*AT$3,IF(OR(AT$1="Fixed",AT$1="Not Used"),SUMPRODUCT((PayEmp=$C120)*(PayDate&lt;=$AC120)*(OFFSET($N$6,1,MATCH(AT$5,PayDedList,0)-1,PayCount,1)))/$AA120*12*AT$3,IF(ISNA(MATCH(OFFSET($N$2,0,MATCH(AT$5,PayDedList,0)-1,1,1),EarnListItem,0))=FALSE,SUMPRODUCT((PayEmp=$C120)*(PayDate&lt;=$AC120)*(OFFSET($N$6,1,MATCH(AT$5,PayDedList,0)-1,PayCount,1)))/$AA120*12*AT$3,(MIN(SUMPRODUCT((PayEmp=$C120)*(PayDate&lt;=$AC120)*(ISERROR(SEARCH(PayEarnCode,AT$2)))*(PayEarnType="Monthly")*(PayEarnValues))/$AA120*12,IF(ISNUMBER(OFFSET($N$3,0,MATCH(AT$5,PayDedList,0)-1,1,1)),OFFSET($N$3,0,MATCH(AT$5,PayDedList,0)-1,1,1),IgnoreMin)))*IF(COUNTIFS(EmpNo,$C120,OFFSET(Emp!$R$4,1,MATCH(AT$5,DedListItem,0)-1,EmpCount,1),"&lt;&gt;")&gt;0,VLOOKUP($C120,EmpAll,COLUMN(Emp!$R$4)+MATCH(AT$5,DedListItem,0)-1,0),OFFSET(Setup!$E$73,MATCH(AT$5,DedListItem,0),0,1,1))*AT$3))),IF(ISNUMBER(AT$4),AT$4,IgnoreMin)))))</f>
        <v>0</v>
      </c>
      <c r="AU120" s="148" cm="1">
        <f t="array" aca="1" ref="AU120" ca="1">-IF($F120="Terminated",0,IF($AA120=0,0,IF(ISNA(MATCH(AU$5,PayDedList,0)),0,MIN(IF(COUNTIFS(OverEmp,$C120,OverDeduct,AU$5,OverDate,"&lt;"&amp;DATE(YEAR($AC120),MONTH($AC120)+1,1),OverEnd,"&gt;="&amp;DATE(YEAR($AC120),MONTH($AC120),1))&gt;0,SUMPRODUCT((PayEmp=$C120)*(PayDate&lt;=$AC120)*(OFFSET($N$6,1,MATCH(AU$5,PayDedList,0)-1,PayCount,1)))/$AA120*12*AU$3,IF(OR(AU$1="Fixed",AU$1="Not Used"),SUMPRODUCT((PayEmp=$C120)*(PayDate&lt;=$AC120)*(OFFSET($N$6,1,MATCH(AU$5,PayDedList,0)-1,PayCount,1)))/$AA120*12*AU$3,IF(ISNA(MATCH(OFFSET($N$2,0,MATCH(AU$5,PayDedList,0)-1,1,1),EarnListItem,0))=FALSE,SUMPRODUCT((PayEmp=$C120)*(PayDate&lt;=$AC120)*(OFFSET($N$6,1,MATCH(AU$5,PayDedList,0)-1,PayCount,1)))/$AA120*12*AU$3,(MIN(SUMPRODUCT((PayEmp=$C120)*(PayDate&lt;=$AC120)*(ISERROR(SEARCH(PayEarnCode,AU$2)))*(PayEarnType="Monthly")*(PayEarnValues))/$AA120*12,IF(ISNUMBER(OFFSET($N$3,0,MATCH(AU$5,PayDedList,0)-1,1,1)),OFFSET($N$3,0,MATCH(AU$5,PayDedList,0)-1,1,1),IgnoreMin)))*IF(COUNTIFS(EmpNo,$C120,OFFSET(Emp!$R$4,1,MATCH(AU$5,DedListItem,0)-1,EmpCount,1),"&lt;&gt;")&gt;0,VLOOKUP($C120,EmpAll,COLUMN(Emp!$R$4)+MATCH(AU$5,DedListItem,0)-1,0),OFFSET(Setup!$E$73,MATCH(AU$5,DedListItem,0),0,1,1))*AU$3))),IF(ISNUMBER(AU$4),AU$4,IgnoreMin)))))</f>
        <v>0</v>
      </c>
      <c r="AV120" s="148" cm="1">
        <f t="array" aca="1" ref="AV120" ca="1">-IF($F120="Terminated",0,IF($AA120=0,0,IF(ISNA(MATCH(AV$5,PayDedList,0)),0,MIN(IF(COUNTIFS(OverEmp,$C120,OverDeduct,AV$5,OverDate,"&lt;"&amp;DATE(YEAR($AC120),MONTH($AC120)+1,1),OverEnd,"&gt;="&amp;DATE(YEAR($AC120),MONTH($AC120),1))&gt;0,SUMPRODUCT((PayEmp=$C120)*(PayDate&lt;=$AC120)*(OFFSET($N$6,1,MATCH(AV$5,PayDedList,0)-1,PayCount,1)))/$AA120*12*AV$3,IF(OR(AV$1="Fixed",AV$1="Not Used"),SUMPRODUCT((PayEmp=$C120)*(PayDate&lt;=$AC120)*(OFFSET($N$6,1,MATCH(AV$5,PayDedList,0)-1,PayCount,1)))/$AA120*12*AV$3,IF(ISNA(MATCH(OFFSET($N$2,0,MATCH(AV$5,PayDedList,0)-1,1,1),EarnListItem,0))=FALSE,SUMPRODUCT((PayEmp=$C120)*(PayDate&lt;=$AC120)*(OFFSET($N$6,1,MATCH(AV$5,PayDedList,0)-1,PayCount,1)))/$AA120*12*AV$3,(MIN(SUMPRODUCT((PayEmp=$C120)*(PayDate&lt;=$AC120)*(ISERROR(SEARCH(PayEarnCode,AV$2)))*(PayEarnType="Monthly")*(PayEarnValues))/$AA120*12,IF(ISNUMBER(OFFSET($N$3,0,MATCH(AV$5,PayDedList,0)-1,1,1)),OFFSET($N$3,0,MATCH(AV$5,PayDedList,0)-1,1,1),IgnoreMin)))*IF(COUNTIFS(EmpNo,$C120,OFFSET(Emp!$R$4,1,MATCH(AV$5,DedListItem,0)-1,EmpCount,1),"&lt;&gt;")&gt;0,VLOOKUP($C120,EmpAll,COLUMN(Emp!$R$4)+MATCH(AV$5,DedListItem,0)-1,0),OFFSET(Setup!$E$73,MATCH(AV$5,DedListItem,0),0,1,1))*AV$3))),IF(ISNUMBER(AV$4),AV$4,IgnoreMin)))))</f>
        <v>0</v>
      </c>
      <c r="AW120" s="148" cm="1">
        <f t="array" aca="1" ref="AW120" ca="1">-IF($F120="Terminated",0,IF($AA120=0,0,IF(ISNA(MATCH(AW$5,PayDedList,0)),0,MIN(IF(COUNTIFS(OverEmp,$C120,OverDeduct,AW$5,OverDate,"&lt;"&amp;DATE(YEAR($AC120),MONTH($AC120)+1,1),OverEnd,"&gt;="&amp;DATE(YEAR($AC120),MONTH($AC120),1))&gt;0,SUMPRODUCT((PayEmp=$C120)*(PayDate&lt;=$AC120)*(OFFSET($N$6,1,MATCH(AW$5,PayDedList,0)-1,PayCount,1)))/$AA120*12*AW$3,IF(OR(AW$1="Fixed",AW$1="Not Used"),SUMPRODUCT((PayEmp=$C120)*(PayDate&lt;=$AC120)*(OFFSET($N$6,1,MATCH(AW$5,PayDedList,0)-1,PayCount,1)))/$AA120*12*AW$3,IF(ISNA(MATCH(OFFSET($N$2,0,MATCH(AW$5,PayDedList,0)-1,1,1),EarnListItem,0))=FALSE,SUMPRODUCT((PayEmp=$C120)*(PayDate&lt;=$AC120)*(OFFSET($N$6,1,MATCH(AW$5,PayDedList,0)-1,PayCount,1)))/$AA120*12*AW$3,(MIN(SUMPRODUCT((PayEmp=$C120)*(PayDate&lt;=$AC120)*(ISERROR(SEARCH(PayEarnCode,AW$2)))*(PayEarnType="Monthly")*(PayEarnValues))/$AA120*12,IF(ISNUMBER(OFFSET($N$3,0,MATCH(AW$5,PayDedList,0)-1,1,1)),OFFSET($N$3,0,MATCH(AW$5,PayDedList,0)-1,1,1),IgnoreMin)))*IF(COUNTIFS(EmpNo,$C120,OFFSET(Emp!$R$4,1,MATCH(AW$5,DedListItem,0)-1,EmpCount,1),"&lt;&gt;")&gt;0,VLOOKUP($C120,EmpAll,COLUMN(Emp!$R$4)+MATCH(AW$5,DedListItem,0)-1,0),OFFSET(Setup!$E$73,MATCH(AW$5,DedListItem,0),0,1,1))*AW$3))),IF(ISNUMBER(AW$4),AW$4,IgnoreMin)))))</f>
        <v>0</v>
      </c>
      <c r="AX120" s="148">
        <f t="shared" ca="1" si="58"/>
        <v>108000</v>
      </c>
      <c r="AY120" s="148">
        <f t="shared" ca="1" si="59"/>
        <v>0</v>
      </c>
      <c r="AZ120" s="148">
        <f ca="1">IF(ISNUMBER($AL120),($AR120*$AL120)-$AI120-$AK120,MAX(0,IF($AL120="B",IF($AR120&lt;Setup!$C$32,($AR120*Setup!$D$32)-$AI120-$AK120,(($AR120-VLOOKUP($AR120,TaxAll2,1,1))*OFFSET(Setup!$D$32,MATCH($AR120,TaxBracket2,1),0,1,1))+OFFSET(Setup!$E$31,MATCH($AR120,TaxBracket2,1),0,1,1)-$AI120-$AK120),IF($AR120&lt;Setup!$C$21,($AR120*Setup!$D$21)-$AI120-$AK120,(($AR120-VLOOKUP($AR120,TaxAll1,1,1))*OFFSET(Setup!$D$21,MATCH($AR120,TaxBracket1,1),0,1,1))+OFFSET(Setup!$E$20,MATCH($AR120,TaxBracket1,1),0,1,1)-$AI120-$AK120))))</f>
        <v>2205</v>
      </c>
      <c r="BA120" s="148">
        <f ca="1">IF(ISNUMBER($AL120),($AX120*$AL120)-$AI120-$AK120,MAX(0,IF($AL120="B",IF($AX120&lt;Setup!$C$32,($AX120*Setup!$D$32)-$AI120-$AK120,(($AX120-VLOOKUP($AX120,TaxAll2,1,1))*OFFSET(Setup!$D$32,MATCH($AX120,TaxBracket2,1),0,1,1))+OFFSET(Setup!$E$31,MATCH($AX120,TaxBracket2,1),0,1,1)-$AI120-$AK120),IF($AX120&lt;Setup!$C$21,($AX120*Setup!$D$21)-$AI120-$AK120,(($AX120-VLOOKUP($AX120,TaxAll1,1,1))*OFFSET(Setup!$D$21,MATCH($AX120,TaxBracket1,1),0,1,1))+OFFSET(Setup!$E$20,MATCH($AX120,TaxBracket1,1),0,1,1)-$AI120-$AK120))))</f>
        <v>2205</v>
      </c>
      <c r="BB120" s="148">
        <f t="shared" ca="1" si="53"/>
        <v>0</v>
      </c>
      <c r="BC120" s="150">
        <f t="shared" ca="1" si="45"/>
        <v>1</v>
      </c>
      <c r="BD120" s="150">
        <f t="shared" ca="1" si="46"/>
        <v>0</v>
      </c>
      <c r="BE120" s="148">
        <f t="shared" ca="1" si="47"/>
        <v>108000</v>
      </c>
    </row>
    <row r="121" spans="1:57" ht="16.149999999999999" customHeight="1" x14ac:dyDescent="0.25">
      <c r="A121" s="10" t="str" cm="1">
        <f t="array" aca="1" ref="A121" ca="1">IF(ROW($A121)-ROW($A$6)&gt;EmpCount*12,"-",TEXT($B121,"yyyy")&amp;TEXT($B121,"mm")&amp;"-"&amp;$C121)</f>
        <v>202310-EXS010</v>
      </c>
      <c r="B121" s="137" cm="1">
        <f t="array" aca="1" ref="B121" ca="1">IF(ROW($A121)-ROW($A$6)&gt;EmpCount*12,Setup!$D$12,DATE(YEAR(Setup!$F$12),MONTH(Setup!$F$12)+ROUNDDOWN((ROW($A121)-ROW($A$6)-1)/EmpCount,0),IF(Setup!$C$14&gt;DAY(DATE(YEAR(Setup!$F$12),MONTH(Setup!$F$12)+ROUNDDOWN((ROW($A121)-ROW($A$6)-1)/EmpCount,0)+1,0)),DAY(DATE(YEAR(Setup!$F$12),MONTH(Setup!$F$12)+ROUNDDOWN((ROW($A121)-ROW($A$6)-1)/EmpCount,0)+1,0)),Setup!$C$14)))</f>
        <v>45224</v>
      </c>
      <c r="C121" s="101" t="str" cm="1">
        <f t="array" aca="1" ref="C121" ca="1">IF(ROW($A121)-ROW($A$6)&gt;EmpCount*12,"-",OFFSET(Emp!$A$4,ROW($A121)-ROW($A$6)-IF(ROW($A121)-ROW($A$6)&gt;EmpCount,ROUNDDOWN((ROW($A121)-ROW($A$6)-1)/EmpCount,0)*EmpCount,0),0,1,1))</f>
        <v>EXS010</v>
      </c>
      <c r="D121" s="10" t="str">
        <f ca="1">IF(ISNA(VLOOKUP($C121,EmpAll,COLUMN(Emp!$B$4),0)),"-",VLOOKUP($C121,EmpAll,COLUMN(Emp!$B$4),0))</f>
        <v>Lewis I</v>
      </c>
      <c r="E121" s="145" t="str">
        <f ca="1">IF(ISNA(VLOOKUP($C121,EmpAll,COLUMN(Emp!$C$4),0)),"-",VLOOKUP($C121,EmpAll,COLUMN(Emp!$C$4),0))</f>
        <v>A</v>
      </c>
      <c r="F121" s="101" t="str">
        <f ca="1">IF(ISNA(VLOOKUP($C121,EmpAll,COLUMN(Emp!$A$4),0)),"-",IF(AND(VLOOKUP($C121,EmpAll,COLUMN(Emp!$E$4),0)&lt;&gt;0,VLOOKUP($C121,EmpAll,COLUMN(Emp!$E$4),0)&gt;=DATE(YEAR($AC121),MONTH($AC121)+1,0)),"Inactive",IF(AND(VLOOKUP($C121,EmpAll,COLUMN(Emp!$F$4),0)&lt;&gt;0,VLOOKUP($C121,EmpAll,COLUMN(Emp!$F$4),0)&lt;=DATE(YEAR($AC121),MONTH($AC121),0)),"Terminated","Active")))</f>
        <v>Active</v>
      </c>
      <c r="G121" s="133" cm="1">
        <f t="array" aca="1" ref="G121" ca="1">IF($F121&lt;&gt;"Active",0,IF(COUNTIFS(OverEmp,$C121,OverEarn,G$2,OverDate,"&lt;"&amp;DATE(YEAR($AC121),MONTH($AC121)+1,1),OverEnd,"&gt;="&amp;DATE(YEAR($AC121),MONTH($AC121),1))&gt;0,SUMIFS(OverValue,OverEmp,$C121,OverEarn,G$2,OverDate,"&lt;"&amp;DATE(YEAR($AC121),MONTH($AC121)+1,1),OverEnd,"&gt;="&amp;DATE(YEAR($AC121),MONTH($AC121),1)),IF(AND($AC121&gt;=Setup!$E$10,SUMIFS(EmpIncrease,EmpCode,$C121)&gt;0),SUMIFS(EmpIncrease,EmpCode,$C121),SUMIFS(EmpSalary,EmpCode,$C121))))</f>
        <v>9000</v>
      </c>
      <c r="H121" s="133" cm="1">
        <f t="array" aca="1" ref="H121" ca="1">IF($F121&lt;&gt;"Active",0,IF(COUNTIFS(OverEmp,$C121,OverEarn,H$2,OverDate,"&lt;"&amp;DATE(YEAR($AC121),MONTH($AC121)+1,1),OverEnd,"&gt;="&amp;DATE(YEAR($AC121),MONTH($AC121),1))&gt;0,SUMIFS(OverValue,OverEmp,$C121,OverEarn,H$2,OverDate,"&lt;"&amp;DATE(YEAR($AC121),MONTH($AC121)+1,1),OverEnd,"&gt;="&amp;DATE(YEAR($AC121),MONTH($AC121),1)),0))</f>
        <v>0</v>
      </c>
      <c r="I121" s="133" cm="1">
        <f t="array" aca="1" ref="I121" ca="1">IF($F121&lt;&gt;"Active",0,IF(COUNTIFS(OverEmp,$C121,OverEarn,I$2,OverDate,"&lt;"&amp;DATE(YEAR($AC121),MONTH($AC121)+1,1),OverEnd,"&gt;="&amp;DATE(YEAR($AC121),MONTH($AC121),1))&gt;0,SUMIFS(OverValue,OverEmp,$C121,OverEarn,I$2,OverDate,"&lt;"&amp;DATE(YEAR($AC121),MONTH($AC121)+1,1),OverEnd,"&gt;="&amp;DATE(YEAR($AC121),MONTH($AC121),1)),IF(MONTH(B121)=Setup!$C$15,SUMIFS(EmpBonus,EmpCode,$C121),0)))</f>
        <v>0</v>
      </c>
      <c r="J121" s="133" cm="1">
        <f t="array" aca="1" ref="J121" ca="1">IF($F121&lt;&gt;"Active",0,IF(COUNTIFS(OverEmp,$C121,OverEarn,J$2,OverDate,"&lt;"&amp;DATE(YEAR($AC121),MONTH($AC121)+1,1),OverEnd,"&gt;="&amp;DATE(YEAR($AC121),MONTH($AC121),1))&gt;0,SUMIFS(OverValue,OverEmp,$C121,OverEarn,J$2,OverDate,"&lt;"&amp;DATE(YEAR($AC121),MONTH($AC121)+1,1),OverEnd,"&gt;="&amp;DATE(YEAR($AC121),MONTH($AC121),1)),0))</f>
        <v>0</v>
      </c>
      <c r="K121" s="133" cm="1">
        <f t="array" aca="1" ref="K121" ca="1">IF($F121&lt;&gt;"Active",0,IF(COUNTIFS(OverEmp,$C121,OverEarn,K$2,OverDate,"&lt;"&amp;DATE(YEAR($AC121),MONTH($AC121)+1,1),OverEnd,"&gt;="&amp;DATE(YEAR($AC121),MONTH($AC121),1))&gt;0,SUMIFS(OverValue,OverEmp,$C121,OverEarn,K$2,OverDate,"&lt;"&amp;DATE(YEAR($AC121),MONTH($AC121)+1,1),OverEnd,"&gt;="&amp;DATE(YEAR($AC121),MONTH($AC121),1)),0))</f>
        <v>0</v>
      </c>
      <c r="L121" s="185">
        <f t="shared" ca="1" si="54"/>
        <v>9000</v>
      </c>
      <c r="M121" s="182" cm="1">
        <f t="array" aca="1" ref="M121" ca="1">IF(COUNTIFS(OverEmp,$C121,OverTax,M$5,OverDate,"&lt;"&amp;DATE(YEAR($AC121),MONTH($AC121)+1,1),OverEnd,"&gt;="&amp;DATE(YEAR($AC121),MONTH($AC121),1))&gt;0,SUMIFS(OverValue,OverEmp,$C121,OverTax,M$5,OverDate,"&lt;"&amp;DATE(YEAR($AC121),MONTH($AC121)+1,1),OverEnd,"&gt;="&amp;DATE(YEAR($AC121),MONTH($AC121),1)),(($BA121/12*$AA121)+(BB121*IF(1-$BC121=0,0,BD121/(1-$BC121))))-IF($F121="Terminated",0,SUMIFS(PayTaxDeduct,PayDate,"&lt;"&amp;$AC121,PayEmp,$C121)))</f>
        <v>183.75</v>
      </c>
      <c r="N121" s="133" cm="1">
        <f t="array" aca="1" ref="N121" ca="1">IF($F121="Terminated",0,IF($AA121=0,0,IF(ISNA(MATCH(N$5,DedListItem,0)),0,IF(COUNTIFS(OverEmp,$C121,OverDeduct,N$5,OverDate,"&lt;"&amp;DATE(YEAR($AC121),MONTH($AC121)+1,1),OverEnd,"&gt;="&amp;DATE(YEAR($AC121),MONTH($AC121),1))&gt;0,SUMIFS(OverValue,OverEmp,$C121,OverDeduct,N$5,OverDate,"&lt;"&amp;DATE(YEAR($AC121),MONTH($AC121)+1,1),OverEnd,"&gt;="&amp;DATE(YEAR($AC121),MONTH($AC121),1)),IF(OR(N$2="Fixed",N$2="Not Used"),(IF(COUNTIFS(EmpNo,$C121,OFFSET(Emp!$R$4,1,MATCH(N$5,DedListItem,0)-1,EmpCount,1),"&lt;&gt;")&gt;0,VLOOKUP($C121,EmpAll,COLUMN(Emp!$R$4)+MATCH(N$5,DedListItem,0)-1,0),OFFSET(Setup!$E$73,MATCH(N$5,DedListItem,0),0,1,1))*$AA121)-SUMIFS(OFFSET(N$6,1,0,PayCount,1),PayDate,"&lt;"&amp;$AC121,PayEmp,$C121),IF(ISNA(MATCH(N$2,EarnListItem,0))=FALSE,IF(OFFSET(Setup!$G$73,MATCH(N$5,DedListItem,0),0,1,1)="Taxable",SUMPRODUCT((PayEmp=$C121)*(PayDate&lt;=$AC121)*(PayEarnCode=N$2)*(PayEarnTax)*(PayEarnValues)),SUMPRODUCT((PayEmp=$C121)*(PayDate&lt;=$AC121)*(PayEarnCode=N$2)*(PayEarnValues)))*IF(COUNTIFS(EmpNo,$C121,OFFSET(Emp!$R$4,1,MATCH(N$5,DedListItem,0)-1,EmpCount,1),"&lt;&gt;")&gt;0,VLOOKUP($C121,EmpAll,COLUMN(Emp!$R$4)+MATCH(N$5,DedListItem,0)-1,0),OFFSET(Setup!$E$73,MATCH(N$5,DedListItem,0),0,1,1)),(MIN(IF(OFFSET(Setup!$G$73,MATCH(N$5,DedListItem,0),0,1,1)="Taxable",SUMPRODUCT((PayEmp=$C121)*(PayDate&lt;=$AC121)*(ISERROR(SEARCH(PayEarnCode,N$4)))*(PayEarnTax)*(PayEarnValues)),SUMPRODUCT((PayEmp=$C121)*(PayDate&lt;=$AC121)*(ISERROR(SEARCH(PayEarnCode,N$4)))*(PayEarnValues))),IF(ISNUMBER(N$3),N$3/12*$AA121,IgnoreMin)))*IF(COUNTIFS(EmpNo,$C121,OFFSET(Emp!$R$4,1,MATCH(N$5,DedListItem,0)-1,EmpCount,1),"&lt;&gt;")&gt;0,VLOOKUP($C121,EmpAll,COLUMN(Emp!$R$4)+MATCH(N$5,DedListItem,0)-1,0),OFFSET(Setup!$E$73,MATCH(N$5,DedListItem,0),0,1,1)))-SUMIFS(OFFSET(N$6,1,0,PayCount,1),PayDate,"&lt;"&amp;$AC121,PayEmp,$C121))))))</f>
        <v>90</v>
      </c>
      <c r="O121" s="133" cm="1">
        <f t="array" aca="1" ref="O121" ca="1">IF($F121="Terminated",0,IF($AA121=0,0,IF(ISNA(MATCH(O$5,DedListItem,0)),0,IF(COUNTIFS(OverEmp,$C121,OverDeduct,O$5,OverDate,"&lt;"&amp;DATE(YEAR($AC121),MONTH($AC121)+1,1),OverEnd,"&gt;="&amp;DATE(YEAR($AC121),MONTH($AC121),1))&gt;0,SUMIFS(OverValue,OverEmp,$C121,OverDeduct,O$5,OverDate,"&lt;"&amp;DATE(YEAR($AC121),MONTH($AC121)+1,1),OverEnd,"&gt;="&amp;DATE(YEAR($AC121),MONTH($AC121),1)),IF(OR(O$2="Fixed",O$2="Not Used"),(IF(COUNTIFS(EmpNo,$C121,OFFSET(Emp!$R$4,1,MATCH(O$5,DedListItem,0)-1,EmpCount,1),"&lt;&gt;")&gt;0,VLOOKUP($C121,EmpAll,COLUMN(Emp!$R$4)+MATCH(O$5,DedListItem,0)-1,0),OFFSET(Setup!$E$73,MATCH(O$5,DedListItem,0),0,1,1))*$AA121)-SUMIFS(OFFSET(O$6,1,0,PayCount,1),PayDate,"&lt;"&amp;$AC121,PayEmp,$C121),IF(ISNA(MATCH(O$2,EarnListItem,0))=FALSE,IF(OFFSET(Setup!$G$73,MATCH(O$5,DedListItem,0),0,1,1)="Taxable",SUMPRODUCT((PayEmp=$C121)*(PayDate&lt;=$AC121)*(PayEarnCode=O$2)*(PayEarnTax)*(PayEarnValues)),SUMPRODUCT((PayEmp=$C121)*(PayDate&lt;=$AC121)*(PayEarnCode=O$2)*(PayEarnValues)))*IF(COUNTIFS(EmpNo,$C121,OFFSET(Emp!$R$4,1,MATCH(O$5,DedListItem,0)-1,EmpCount,1),"&lt;&gt;")&gt;0,VLOOKUP($C121,EmpAll,COLUMN(Emp!$R$4)+MATCH(O$5,DedListItem,0)-1,0),OFFSET(Setup!$E$73,MATCH(O$5,DedListItem,0),0,1,1)),(MIN(IF(OFFSET(Setup!$G$73,MATCH(O$5,DedListItem,0),0,1,1)="Taxable",SUMPRODUCT((PayEmp=$C121)*(PayDate&lt;=$AC121)*(ISERROR(SEARCH(PayEarnCode,O$4)))*(PayEarnTax)*(PayEarnValues)),SUMPRODUCT((PayEmp=$C121)*(PayDate&lt;=$AC121)*(ISERROR(SEARCH(PayEarnCode,O$4)))*(PayEarnValues))),IF(ISNUMBER(O$3),O$3/12*$AA121,IgnoreMin)))*IF(COUNTIFS(EmpNo,$C121,OFFSET(Emp!$R$4,1,MATCH(O$5,DedListItem,0)-1,EmpCount,1),"&lt;&gt;")&gt;0,VLOOKUP($C121,EmpAll,COLUMN(Emp!$R$4)+MATCH(O$5,DedListItem,0)-1,0),OFFSET(Setup!$E$73,MATCH(O$5,DedListItem,0),0,1,1)))-SUMIFS(OFFSET(O$6,1,0,PayCount,1),PayDate,"&lt;"&amp;$AC121,PayEmp,$C121))))))</f>
        <v>0</v>
      </c>
      <c r="P121" s="133" cm="1">
        <f t="array" aca="1" ref="P121" ca="1">IF($F121="Terminated",0,IF($AA121=0,0,IF(ISNA(MATCH(P$5,DedListItem,0)),0,IF(COUNTIFS(OverEmp,$C121,OverDeduct,P$5,OverDate,"&lt;"&amp;DATE(YEAR($AC121),MONTH($AC121)+1,1),OverEnd,"&gt;="&amp;DATE(YEAR($AC121),MONTH($AC121),1))&gt;0,SUMIFS(OverValue,OverEmp,$C121,OverDeduct,P$5,OverDate,"&lt;"&amp;DATE(YEAR($AC121),MONTH($AC121)+1,1),OverEnd,"&gt;="&amp;DATE(YEAR($AC121),MONTH($AC121),1)),IF(OR(P$2="Fixed",P$2="Not Used"),(IF(COUNTIFS(EmpNo,$C121,OFFSET(Emp!$R$4,1,MATCH(P$5,DedListItem,0)-1,EmpCount,1),"&lt;&gt;")&gt;0,VLOOKUP($C121,EmpAll,COLUMN(Emp!$R$4)+MATCH(P$5,DedListItem,0)-1,0),OFFSET(Setup!$E$73,MATCH(P$5,DedListItem,0),0,1,1))*$AA121)-SUMIFS(OFFSET(P$6,1,0,PayCount,1),PayDate,"&lt;"&amp;$AC121,PayEmp,$C121),IF(ISNA(MATCH(P$2,EarnListItem,0))=FALSE,IF(OFFSET(Setup!$G$73,MATCH(P$5,DedListItem,0),0,1,1)="Taxable",SUMPRODUCT((PayEmp=$C121)*(PayDate&lt;=$AC121)*(PayEarnCode=P$2)*(PayEarnTax)*(PayEarnValues)),SUMPRODUCT((PayEmp=$C121)*(PayDate&lt;=$AC121)*(PayEarnCode=P$2)*(PayEarnValues)))*IF(COUNTIFS(EmpNo,$C121,OFFSET(Emp!$R$4,1,MATCH(P$5,DedListItem,0)-1,EmpCount,1),"&lt;&gt;")&gt;0,VLOOKUP($C121,EmpAll,COLUMN(Emp!$R$4)+MATCH(P$5,DedListItem,0)-1,0),OFFSET(Setup!$E$73,MATCH(P$5,DedListItem,0),0,1,1)),(MIN(IF(OFFSET(Setup!$G$73,MATCH(P$5,DedListItem,0),0,1,1)="Taxable",SUMPRODUCT((PayEmp=$C121)*(PayDate&lt;=$AC121)*(ISERROR(SEARCH(PayEarnCode,P$4)))*(PayEarnTax)*(PayEarnValues)),SUMPRODUCT((PayEmp=$C121)*(PayDate&lt;=$AC121)*(ISERROR(SEARCH(PayEarnCode,P$4)))*(PayEarnValues))),IF(ISNUMBER(P$3),P$3/12*$AA121,IgnoreMin)))*IF(COUNTIFS(EmpNo,$C121,OFFSET(Emp!$R$4,1,MATCH(P$5,DedListItem,0)-1,EmpCount,1),"&lt;&gt;")&gt;0,VLOOKUP($C121,EmpAll,COLUMN(Emp!$R$4)+MATCH(P$5,DedListItem,0)-1,0),OFFSET(Setup!$E$73,MATCH(P$5,DedListItem,0),0,1,1)))-SUMIFS(OFFSET(P$6,1,0,PayCount,1),PayDate,"&lt;"&amp;$AC121,PayEmp,$C121))))))</f>
        <v>0</v>
      </c>
      <c r="Q121" s="133" cm="1">
        <f t="array" aca="1" ref="Q121" ca="1">IF($F121="Terminated",0,IF($AA121=0,0,IF(ISNA(MATCH(Q$5,DedListItem,0)),0,IF(COUNTIFS(OverEmp,$C121,OverDeduct,Q$5,OverDate,"&lt;"&amp;DATE(YEAR($AC121),MONTH($AC121)+1,1),OverEnd,"&gt;="&amp;DATE(YEAR($AC121),MONTH($AC121),1))&gt;0,SUMIFS(OverValue,OverEmp,$C121,OverDeduct,Q$5,OverDate,"&lt;"&amp;DATE(YEAR($AC121),MONTH($AC121)+1,1),OverEnd,"&gt;="&amp;DATE(YEAR($AC121),MONTH($AC121),1)),IF(OR(Q$2="Fixed",Q$2="Not Used"),(IF(COUNTIFS(EmpNo,$C121,OFFSET(Emp!$R$4,1,MATCH(Q$5,DedListItem,0)-1,EmpCount,1),"&lt;&gt;")&gt;0,VLOOKUP($C121,EmpAll,COLUMN(Emp!$R$4)+MATCH(Q$5,DedListItem,0)-1,0),OFFSET(Setup!$E$73,MATCH(Q$5,DedListItem,0),0,1,1))*$AA121)-SUMIFS(OFFSET(Q$6,1,0,PayCount,1),PayDate,"&lt;"&amp;$AC121,PayEmp,$C121),IF(ISNA(MATCH(Q$2,EarnListItem,0))=FALSE,IF(OFFSET(Setup!$G$73,MATCH(Q$5,DedListItem,0),0,1,1)="Taxable",SUMPRODUCT((PayEmp=$C121)*(PayDate&lt;=$AC121)*(PayEarnCode=Q$2)*(PayEarnTax)*(PayEarnValues)),SUMPRODUCT((PayEmp=$C121)*(PayDate&lt;=$AC121)*(PayEarnCode=Q$2)*(PayEarnValues)))*IF(COUNTIFS(EmpNo,$C121,OFFSET(Emp!$R$4,1,MATCH(Q$5,DedListItem,0)-1,EmpCount,1),"&lt;&gt;")&gt;0,VLOOKUP($C121,EmpAll,COLUMN(Emp!$R$4)+MATCH(Q$5,DedListItem,0)-1,0),OFFSET(Setup!$E$73,MATCH(Q$5,DedListItem,0),0,1,1)),(MIN(IF(OFFSET(Setup!$G$73,MATCH(Q$5,DedListItem,0),0,1,1)="Taxable",SUMPRODUCT((PayEmp=$C121)*(PayDate&lt;=$AC121)*(ISERROR(SEARCH(PayEarnCode,Q$4)))*(PayEarnTax)*(PayEarnValues)),SUMPRODUCT((PayEmp=$C121)*(PayDate&lt;=$AC121)*(ISERROR(SEARCH(PayEarnCode,Q$4)))*(PayEarnValues))),IF(ISNUMBER(Q$3),Q$3/12*$AA121,IgnoreMin)))*IF(COUNTIFS(EmpNo,$C121,OFFSET(Emp!$R$4,1,MATCH(Q$5,DedListItem,0)-1,EmpCount,1),"&lt;&gt;")&gt;0,VLOOKUP($C121,EmpAll,COLUMN(Emp!$R$4)+MATCH(Q$5,DedListItem,0)-1,0),OFFSET(Setup!$E$73,MATCH(Q$5,DedListItem,0),0,1,1)))-SUMIFS(OFFSET(Q$6,1,0,PayCount,1),PayDate,"&lt;"&amp;$AC121,PayEmp,$C121))))))</f>
        <v>0</v>
      </c>
      <c r="R121" s="185">
        <f t="shared" ca="1" si="55"/>
        <v>273.75</v>
      </c>
      <c r="S121" s="139">
        <f t="shared" ca="1" si="56"/>
        <v>8726.25</v>
      </c>
      <c r="T121" s="133" cm="1">
        <f t="array" aca="1" ref="T121" ca="1">IF($F121="Terminated",0,IF($AA121=0,0,IF(ISNA(MATCH(T$5,CompListItem,0)),0,IF(COUNTIFS(OverEmp,$C121,OverComp,T$5,OverDate,"&lt;"&amp;DATE(YEAR($AC121),MONTH($AC121)+1,1),OverEnd,"&gt;="&amp;DATE(YEAR($AC121),MONTH($AC121),1))&gt;0,SUMIFS(OverValue,OverEmp,$C121,OverComp,T$5,OverDate,"&lt;"&amp;DATE(YEAR($AC121),MONTH($AC121)+1,1),OverEnd,"&gt;="&amp;DATE(YEAR($AC121),MONTH($AC121),1)),IF(OR(T$2="Fixed",T$2="Not Used"),(OFFSET(Setup!$E$81,MATCH(T$5,CompListItem,0),0,1,1)*$AA121)-SUMIFS(OFFSET(T$6,1,0,PayCount,1),PayDate,"&lt;"&amp;$AC121,PayEmp,$C121),IF(ISNA(MATCH(T$2,DedListItem,0))=FALSE,(SUMPRODUCT((PayEmp=$C121)*(PayDate&lt;=$AC121)*(PayDedList=T$2)*(PayDedValues))*OFFSET(Setup!$E$81,MATCH(T$5,CompListItem,0),0,1,1))-SUMIFS(OFFSET(T$6,1,0,PayCount,1),PayDate,"&lt;"&amp;$AC121,PayEmp,$C121),(MIN(IF(OFFSET(Setup!$G$81,MATCH(T$5,CompListItem,0),0,1,1)="Taxable",SUMPRODUCT((PayEmp=$C121)*(PayDate&lt;=$AC121)*(ISERROR(SEARCH(PayEarnCode,T$4)))*(PayEarnTax)*(PayEarnValues)),SUMPRODUCT((PayEmp=$C121)*(PayDate&lt;=$AC121)*(ISERROR(SEARCH(PayEarnCode,T$4)))*(PayEarnValues))),IF(ISNUMBER(T$3),T$3/12*$AA121,IgnoreMin)))*OFFSET(Setup!$E$81,MATCH(T$5,CompListItem,0),0,1,1)-SUMIFS(OFFSET(T$6,1,0,PayCount,1),PayDate,"&lt;"&amp;$AC121,PayEmp,$C121)))))))</f>
        <v>90</v>
      </c>
      <c r="U121" s="133" cm="1">
        <f t="array" aca="1" ref="U121" ca="1">IF($F121="Terminated",0,IF($AA121=0,0,IF(ISNA(MATCH(U$5,CompListItem,0)),0,IF(COUNTIFS(OverEmp,$C121,OverComp,U$5,OverDate,"&lt;"&amp;DATE(YEAR($AC121),MONTH($AC121)+1,1),OverEnd,"&gt;="&amp;DATE(YEAR($AC121),MONTH($AC121),1))&gt;0,SUMIFS(OverValue,OverEmp,$C121,OverComp,U$5,OverDate,"&lt;"&amp;DATE(YEAR($AC121),MONTH($AC121)+1,1),OverEnd,"&gt;="&amp;DATE(YEAR($AC121),MONTH($AC121),1)),IF(OR(U$2="Fixed",U$2="Not Used"),(OFFSET(Setup!$E$81,MATCH(U$5,CompListItem,0),0,1,1)*$AA121)-SUMIFS(OFFSET(U$6,1,0,PayCount,1),PayDate,"&lt;"&amp;$AC121,PayEmp,$C121),IF(ISNA(MATCH(U$2,DedListItem,0))=FALSE,(SUMPRODUCT((PayEmp=$C121)*(PayDate&lt;=$AC121)*(PayDedList=U$2)*(PayDedValues))*OFFSET(Setup!$E$81,MATCH(U$5,CompListItem,0),0,1,1))-SUMIFS(OFFSET(U$6,1,0,PayCount,1),PayDate,"&lt;"&amp;$AC121,PayEmp,$C121),(MIN(IF(OFFSET(Setup!$G$81,MATCH(U$5,CompListItem,0),0,1,1)="Taxable",SUMPRODUCT((PayEmp=$C121)*(PayDate&lt;=$AC121)*(ISERROR(SEARCH(PayEarnCode,U$4)))*(PayEarnTax)*(PayEarnValues)),SUMPRODUCT((PayEmp=$C121)*(PayDate&lt;=$AC121)*(ISERROR(SEARCH(PayEarnCode,U$4)))*(PayEarnValues))),IF(ISNUMBER(U$3),U$3/12*$AA121,IgnoreMin)))*OFFSET(Setup!$E$81,MATCH(U$5,CompListItem,0),0,1,1)-SUMIFS(OFFSET(U$6,1,0,PayCount,1),PayDate,"&lt;"&amp;$AC121,PayEmp,$C121)))))))</f>
        <v>90</v>
      </c>
      <c r="V121" s="133" cm="1">
        <f t="array" aca="1" ref="V121" ca="1">IF($F121="Terminated",0,IF($AA121=0,0,IF(ISNA(MATCH(V$5,CompListItem,0)),0,IF(COUNTIFS(OverEmp,$C121,OverComp,V$5,OverDate,"&lt;"&amp;DATE(YEAR($AC121),MONTH($AC121)+1,1),OverEnd,"&gt;="&amp;DATE(YEAR($AC121),MONTH($AC121),1))&gt;0,SUMIFS(OverValue,OverEmp,$C121,OverComp,V$5,OverDate,"&lt;"&amp;DATE(YEAR($AC121),MONTH($AC121)+1,1),OverEnd,"&gt;="&amp;DATE(YEAR($AC121),MONTH($AC121),1)),IF(OR(V$2="Fixed",V$2="Not Used"),(OFFSET(Setup!$E$81,MATCH(V$5,CompListItem,0),0,1,1)*$AA121)-SUMIFS(OFFSET(V$6,1,0,PayCount,1),PayDate,"&lt;"&amp;$AC121,PayEmp,$C121),IF(ISNA(MATCH(V$2,DedListItem,0))=FALSE,(SUMPRODUCT((PayEmp=$C121)*(PayDate&lt;=$AC121)*(PayDedList=V$2)*(PayDedValues))*OFFSET(Setup!$E$81,MATCH(V$5,CompListItem,0),0,1,1))-SUMIFS(OFFSET(V$6,1,0,PayCount,1),PayDate,"&lt;"&amp;$AC121,PayEmp,$C121),(MIN(IF(OFFSET(Setup!$G$81,MATCH(V$5,CompListItem,0),0,1,1)="Taxable",SUMPRODUCT((PayEmp=$C121)*(PayDate&lt;=$AC121)*(ISERROR(SEARCH(PayEarnCode,V$4)))*(PayEarnTax)*(PayEarnValues)),SUMPRODUCT((PayEmp=$C121)*(PayDate&lt;=$AC121)*(ISERROR(SEARCH(PayEarnCode,V$4)))*(PayEarnValues))),IF(ISNUMBER(V$3),V$3/12*$AA121,IgnoreMin)))*OFFSET(Setup!$E$81,MATCH(V$5,CompListItem,0),0,1,1)-SUMIFS(OFFSET(V$6,1,0,PayCount,1),PayDate,"&lt;"&amp;$AC121,PayEmp,$C121)))))))</f>
        <v>0</v>
      </c>
      <c r="W121" s="133" cm="1">
        <f t="array" aca="1" ref="W121" ca="1">IF($F121="Terminated",0,IF($AA121=0,0,IF(ISNA(MATCH(W$5,CompListItem,0)),0,IF(COUNTIFS(OverEmp,$C121,OverComp,W$5,OverDate,"&lt;"&amp;DATE(YEAR($AC121),MONTH($AC121)+1,1),OverEnd,"&gt;="&amp;DATE(YEAR($AC121),MONTH($AC121),1))&gt;0,SUMIFS(OverValue,OverEmp,$C121,OverComp,W$5,OverDate,"&lt;"&amp;DATE(YEAR($AC121),MONTH($AC121)+1,1),OverEnd,"&gt;="&amp;DATE(YEAR($AC121),MONTH($AC121),1)),IF(OR(W$2="Fixed",W$2="Not Used"),(OFFSET(Setup!$E$81,MATCH(W$5,CompListItem,0),0,1,1)*$AA121)-SUMIFS(OFFSET(W$6,1,0,PayCount,1),PayDate,"&lt;"&amp;$AC121,PayEmp,$C121),IF(ISNA(MATCH(W$2,DedListItem,0))=FALSE,(SUMPRODUCT((PayEmp=$C121)*(PayDate&lt;=$AC121)*(PayDedList=W$2)*(PayDedValues))*OFFSET(Setup!$E$81,MATCH(W$5,CompListItem,0),0,1,1))-SUMIFS(OFFSET(W$6,1,0,PayCount,1),PayDate,"&lt;"&amp;$AC121,PayEmp,$C121),(MIN(IF(OFFSET(Setup!$G$81,MATCH(W$5,CompListItem,0),0,1,1)="Taxable",SUMPRODUCT((PayEmp=$C121)*(PayDate&lt;=$AC121)*(ISERROR(SEARCH(PayEarnCode,W$4)))*(PayEarnTax)*(PayEarnValues)),SUMPRODUCT((PayEmp=$C121)*(PayDate&lt;=$AC121)*(ISERROR(SEARCH(PayEarnCode,W$4)))*(PayEarnValues))),IF(ISNUMBER(W$3),W$3/12*$AA121,IgnoreMin)))*OFFSET(Setup!$E$81,MATCH(W$5,CompListItem,0),0,1,1)-SUMIFS(OFFSET(W$6,1,0,PayCount,1),PayDate,"&lt;"&amp;$AC121,PayEmp,$C121)))))))</f>
        <v>0</v>
      </c>
      <c r="X121" s="185">
        <f t="shared" ca="1" si="48"/>
        <v>180</v>
      </c>
      <c r="Y121" s="139">
        <f t="shared" ca="1" si="57"/>
        <v>9180</v>
      </c>
      <c r="Z121" s="139">
        <f t="shared" ca="1" si="49"/>
        <v>453.75</v>
      </c>
      <c r="AA121" s="146">
        <f ca="1">IF(OR($B121&lt;=Setup!$E$12,$B121&gt;=Setup!$D$12+1),0,IF($F121&lt;&gt;"Active",0,IF($AE121="Yes",$AB121,((YEAR($AC121)*12)+MONTH($AC121))-((YEAR($AD121)*12)+MONTH($AD121)-1))))</f>
        <v>8</v>
      </c>
      <c r="AB121" s="146">
        <f ca="1">IF(OR($B121&lt;=Setup!$E$12,$B121&gt;=Setup!$D$12+1),0,((YEAR($AC121)*12)+MONTH($AC121))-((YEAR(Setup!$E$12)*12)+MONTH(Setup!$E$12)))</f>
        <v>8</v>
      </c>
      <c r="AC121" s="186">
        <f t="shared" ca="1" si="50"/>
        <v>45224</v>
      </c>
      <c r="AD121" s="144">
        <f ca="1">IF(ISNA(VLOOKUP($C121,EmpAll,COLUMN(Emp!$E$4),0)),$AC121,IF(VLOOKUP($C121,EmpAll,COLUMN(Emp!$E$4),0)&lt;=Setup!$E$12,DATE(YEAR(Setup!$E$12),MONTH(Setup!$E$12)+1,1),VLOOKUP($C121,EmpAll,COLUMN(Emp!$E$4),0)))</f>
        <v>44986</v>
      </c>
      <c r="AE121" s="144" t="str">
        <f ca="1">IF(ISNA(VLOOKUP($C121,EmpAll,COLUMN(Emp!$G$1),0)),"-",IF(VLOOKUP($C121,EmpAll,COLUMN(Emp!$G$1),0)=0,"-",VLOOKUP($C121,EmpAll,COLUMN(Emp!$G$1),0)))</f>
        <v>-</v>
      </c>
      <c r="AF121" s="145">
        <f ca="1">IF(A121=PaySlip!$G$3,1,0)</f>
        <v>0</v>
      </c>
      <c r="AG121" s="130" cm="1">
        <f t="array" aca="1" ref="AG121" ca="1">IF(COUNTIFS(OverEmp,$C121,OverMed,"MED",OverDate,"&lt;"&amp;DATE(YEAR($AC121),MONTH($AC121)+1,1),OverEnd,"&gt;="&amp;DATE(YEAR($AC121),MONTH($AC121),1))&gt;0,SUMIFS(OverValue,OverEmp,$C121,OverMed,"MED",OverDate,"&lt;"&amp;DATE(YEAR($AC121),MONTH($AC121)+1,1),OverEnd,"&gt;="&amp;DATE(YEAR($AC121),MONTH($AC121),1)),IF(ISNA(VLOOKUP($C121,EmpAll,COLUMN(Emp!$N$4),0)),0,VLOOKUP($C121,EmpAll,COLUMN(Emp!$N$4),0)))</f>
        <v>0</v>
      </c>
      <c r="AH121" s="146">
        <f ca="1">VLOOKUP($AG121,MedList,COLUMN(Setup!$C$49),1)</f>
        <v>0</v>
      </c>
      <c r="AI121" s="146">
        <f t="shared" ca="1" si="40"/>
        <v>0</v>
      </c>
      <c r="AJ121" s="101" t="str">
        <f ca="1">IF(ISNA(VLOOKUP($C121,EmpAll,COLUMN(Emp!$L$4),0)),"None!",VLOOKUP($C121,EmpAll,COLUMN(Emp!$L$4),0))</f>
        <v>A</v>
      </c>
      <c r="AK121" s="147">
        <f t="shared" ca="1" si="51"/>
        <v>17235</v>
      </c>
      <c r="AL121" s="101" t="str">
        <f ca="1">IF(ISNA(VLOOKUP($C121,Employees[],COLUMN(Emp!$M$4),0))=TRUE,"Error!",IF(VLOOKUP($C121,Employees[],COLUMN(Emp!$M$4),0)=0,"Yes",VLOOKUP($C121,Employees[],COLUMN(Emp!$M$4),0)))</f>
        <v>A</v>
      </c>
      <c r="AM121" s="148">
        <f t="shared" ca="1" si="41"/>
        <v>108000</v>
      </c>
      <c r="AN121" s="148" cm="1">
        <f t="array" aca="1" ref="AN121" ca="1">-IF($F121="Terminated",0,IF($AA121=0,0,IF(ISNA(MATCH(AN$5,PayDedList,0)),0,MIN(IF(COUNTIFS(OverEmp,$C121,OverDeduct,AN$5,OverDate,"&lt;"&amp;DATE(YEAR($AC121),MONTH($AC121)+1,1),OverEnd,"&gt;="&amp;DATE(YEAR($AC121),MONTH($AC121),1))&gt;0,SUMPRODUCT((PayEmp=$C121)*(PayDate&lt;=$AC121)*(OFFSET($N$6,1,MATCH(AN$5,PayDedList,0)-1,PayCount,1)))/$AA121*12*AN$3,IF(OR(AN$1="Fixed",AN$1="Not Used"),SUMPRODUCT((PayEmp=$C121)*(PayDate&lt;=$AC121)*(OFFSET($N$6,1,MATCH(AN$5,PayDedList,0)-1,PayCount,1)))/$AA121*12*AN$3,IF(ISNA(MATCH(AN$1,EarnListItem,0))=FALSE,SUMPRODUCT((PayEmp=$C121)*(PayDate&lt;=$AC121)*(OFFSET($N$6,1,MATCH(AN$5,PayDedList,0)-1,PayCount,1)))/$AA121*12*AN$3,(MIN(((SUMPRODUCT((PayEmp=$C121)*(PayDate&lt;=$AC121)*(ISERROR(SEARCH(PayEarnCode,AN$2)))*(PayEarnType="Monthly")*(PayEarnValues))/$AA121*12)+(SUMPRODUCT((PayEmp=$C121)*(PayDate&lt;=$AC121)*(ISERROR(SEARCH(PayEarnCode,AN$2)))*(PayEarnType="Quarterly")*(PayEarnValues))/MAX(1,ROUNDDOWN($AB121/3,0))*4)+(SUMPRODUCT((PayEmp=$C121)*(PayDate&lt;=$AC121)*(ISERROR(SEARCH(PayEarnCode,AN$2)))*(PayEarnType="Bi-Annual")*(PayEarnValues))/MAX(1,ROUNDDOWN($AB121/6,0))*2)+(SUMPRODUCT((PayEmp=$C121)*(PayDate&lt;=$AC121)*(ISERROR(SEARCH(PayEarnCode,AN$2)))*(PayEarnType="Annual")*(PayEarnValues)))),IF(ISNUMBER(OFFSET($N$3,0,MATCH(AN$5,PayDedList,0)-1,1,1)),OFFSET($N$3,0,MATCH(AN$5,PayDedList,0)-1,1,1),IgnoreMin)))*IF(COUNTIFS(EmpNo,$C121,OFFSET(Emp!$R$4,1,MATCH(AN$5,DedListItem,0)-1,EmpCount,1),"&lt;&gt;")&gt;0,VLOOKUP($C121,EmpAll,COLUMN(Emp!$R$4)+MATCH(AN$5,DedListItem,0)-1,0),OFFSET(Setup!$E$73,MATCH(AN$5,DedListItem,0),0,1,1))*AN$3))),IF(ISNUMBER(AN$4),AN$4,IgnoreMin)))))</f>
        <v>0</v>
      </c>
      <c r="AO121" s="148" cm="1">
        <f t="array" aca="1" ref="AO121" ca="1">-IF($F121="Terminated",0,IF($AA121=0,0,IF(ISNA(MATCH(AO$5,PayDedList,0)),0,MIN(IF(COUNTIFS(OverEmp,$C121,OverDeduct,AO$5,OverDate,"&lt;"&amp;DATE(YEAR($AC121),MONTH($AC121)+1,1),OverEnd,"&gt;="&amp;DATE(YEAR($AC121),MONTH($AC121),1))&gt;0,SUMPRODUCT((PayEmp=$C121)*(PayDate&lt;=$AC121)*(OFFSET($N$6,1,MATCH(AO$5,PayDedList,0)-1,PayCount,1)))/$AA121*12*AO$3,IF(OR(AO$1="Fixed",AO$1="Not Used"),SUMPRODUCT((PayEmp=$C121)*(PayDate&lt;=$AC121)*(OFFSET($N$6,1,MATCH(AO$5,PayDedList,0)-1,PayCount,1)))/$AA121*12*AO$3,IF(ISNA(MATCH(AO$1,EarnListItem,0))=FALSE,SUMPRODUCT((PayEmp=$C121)*(PayDate&lt;=$AC121)*(OFFSET($N$6,1,MATCH(AO$5,PayDedList,0)-1,PayCount,1)))/$AA121*12*AO$3,(MIN(((SUMPRODUCT((PayEmp=$C121)*(PayDate&lt;=$AC121)*(ISERROR(SEARCH(PayEarnCode,AO$2)))*(PayEarnType="Monthly")*(PayEarnValues))/$AA121*12)+(SUMPRODUCT((PayEmp=$C121)*(PayDate&lt;=$AC121)*(ISERROR(SEARCH(PayEarnCode,AO$2)))*(PayEarnType="Quarterly")*(PayEarnValues))/MAX(1,ROUNDDOWN($AB121/3,0))*4)+(SUMPRODUCT((PayEmp=$C121)*(PayDate&lt;=$AC121)*(ISERROR(SEARCH(PayEarnCode,AO$2)))*(PayEarnType="Bi-Annual")*(PayEarnValues))/MAX(1,ROUNDDOWN($AB121/6,0))*2)+(SUMPRODUCT((PayEmp=$C121)*(PayDate&lt;=$AC121)*(ISERROR(SEARCH(PayEarnCode,AO$2)))*(PayEarnType="Annual")*(PayEarnValues)))),IF(ISNUMBER(OFFSET($N$3,0,MATCH(AO$5,PayDedList,0)-1,1,1)),OFFSET($N$3,0,MATCH(AO$5,PayDedList,0)-1,1,1),IgnoreMin)))*IF(COUNTIFS(EmpNo,$C121,OFFSET(Emp!$R$4,1,MATCH(AO$5,DedListItem,0)-1,EmpCount,1),"&lt;&gt;")&gt;0,VLOOKUP($C121,EmpAll,COLUMN(Emp!$R$4)+MATCH(AO$5,DedListItem,0)-1,0),OFFSET(Setup!$E$73,MATCH(AO$5,DedListItem,0),0,1,1))*AO$3))),IF(ISNUMBER(AO$4),AO$4,IgnoreMin)))))</f>
        <v>0</v>
      </c>
      <c r="AP121" s="148" cm="1">
        <f t="array" aca="1" ref="AP121" ca="1">-IF($F121="Terminated",0,IF($AA121=0,0,IF(ISNA(MATCH(AP$5,PayDedList,0)),0,MIN(IF(COUNTIFS(OverEmp,$C121,OverDeduct,AP$5,OverDate,"&lt;"&amp;DATE(YEAR($AC121),MONTH($AC121)+1,1),OverEnd,"&gt;="&amp;DATE(YEAR($AC121),MONTH($AC121),1))&gt;0,SUMPRODUCT((PayEmp=$C121)*(PayDate&lt;=$AC121)*(OFFSET($N$6,1,MATCH(AP$5,PayDedList,0)-1,PayCount,1)))/$AA121*12*AP$3,IF(OR(AP$1="Fixed",AP$1="Not Used"),SUMPRODUCT((PayEmp=$C121)*(PayDate&lt;=$AC121)*(OFFSET($N$6,1,MATCH(AP$5,PayDedList,0)-1,PayCount,1)))/$AA121*12*AP$3,IF(ISNA(MATCH(AP$1,EarnListItem,0))=FALSE,SUMPRODUCT((PayEmp=$C121)*(PayDate&lt;=$AC121)*(OFFSET($N$6,1,MATCH(AP$5,PayDedList,0)-1,PayCount,1)))/$AA121*12*AP$3,(MIN(((SUMPRODUCT((PayEmp=$C121)*(PayDate&lt;=$AC121)*(ISERROR(SEARCH(PayEarnCode,AP$2)))*(PayEarnType="Monthly")*(PayEarnValues))/$AA121*12)+(SUMPRODUCT((PayEmp=$C121)*(PayDate&lt;=$AC121)*(ISERROR(SEARCH(PayEarnCode,AP$2)))*(PayEarnType="Quarterly")*(PayEarnValues))/MAX(1,ROUNDDOWN($AB121/3,0))*4)+(SUMPRODUCT((PayEmp=$C121)*(PayDate&lt;=$AC121)*(ISERROR(SEARCH(PayEarnCode,AP$2)))*(PayEarnType="Bi-Annual")*(PayEarnValues))/MAX(1,ROUNDDOWN($AB121/6,0))*2)+(SUMPRODUCT((PayEmp=$C121)*(PayDate&lt;=$AC121)*(ISERROR(SEARCH(PayEarnCode,AP$2)))*(PayEarnType="Annual")*(PayEarnValues)))),IF(ISNUMBER(OFFSET($N$3,0,MATCH(AP$5,PayDedList,0)-1,1,1)),OFFSET($N$3,0,MATCH(AP$5,PayDedList,0)-1,1,1),IgnoreMin)))*IF(COUNTIFS(EmpNo,$C121,OFFSET(Emp!$R$4,1,MATCH(AP$5,DedListItem,0)-1,EmpCount,1),"&lt;&gt;")&gt;0,VLOOKUP($C121,EmpAll,COLUMN(Emp!$R$4)+MATCH(AP$5,DedListItem,0)-1,0),OFFSET(Setup!$E$73,MATCH(AP$5,DedListItem,0),0,1,1))*AP$3))),IF(ISNUMBER(AP$4),AP$4,IgnoreMin)))))</f>
        <v>0</v>
      </c>
      <c r="AQ121" s="148" cm="1">
        <f t="array" aca="1" ref="AQ121" ca="1">-IF($F121="Terminated",0,IF($AA121=0,0,IF(ISNA(MATCH(AQ$5,PayDedList,0)),0,MIN(IF(COUNTIFS(OverEmp,$C121,OverDeduct,AQ$5,OverDate,"&lt;"&amp;DATE(YEAR($AC121),MONTH($AC121)+1,1),OverEnd,"&gt;="&amp;DATE(YEAR($AC121),MONTH($AC121),1))&gt;0,SUMPRODUCT((PayEmp=$C121)*(PayDate&lt;=$AC121)*(OFFSET($N$6,1,MATCH(AQ$5,PayDedList,0)-1,PayCount,1)))/$AA121*12*AQ$3,IF(OR(AQ$1="Fixed",AQ$1="Not Used"),SUMPRODUCT((PayEmp=$C121)*(PayDate&lt;=$AC121)*(OFFSET($N$6,1,MATCH(AQ$5,PayDedList,0)-1,PayCount,1)))/$AA121*12*AQ$3,IF(ISNA(MATCH(AQ$1,EarnListItem,0))=FALSE,SUMPRODUCT((PayEmp=$C121)*(PayDate&lt;=$AC121)*(OFFSET($N$6,1,MATCH(AQ$5,PayDedList,0)-1,PayCount,1)))/$AA121*12*AQ$3,(MIN(((SUMPRODUCT((PayEmp=$C121)*(PayDate&lt;=$AC121)*(ISERROR(SEARCH(PayEarnCode,AQ$2)))*(PayEarnType="Monthly")*(PayEarnValues))/$AA121*12)+(SUMPRODUCT((PayEmp=$C121)*(PayDate&lt;=$AC121)*(ISERROR(SEARCH(PayEarnCode,AQ$2)))*(PayEarnType="Quarterly")*(PayEarnValues))/MAX(1,ROUNDDOWN($AB121/3,0))*4)+(SUMPRODUCT((PayEmp=$C121)*(PayDate&lt;=$AC121)*(ISERROR(SEARCH(PayEarnCode,AQ$2)))*(PayEarnType="Bi-Annual")*(PayEarnValues))/MAX(1,ROUNDDOWN($AB121/6,0))*2)+(SUMPRODUCT((PayEmp=$C121)*(PayDate&lt;=$AC121)*(ISERROR(SEARCH(PayEarnCode,AQ$2)))*(PayEarnType="Annual")*(PayEarnValues)))),IF(ISNUMBER(OFFSET($N$3,0,MATCH(AQ$5,PayDedList,0)-1,1,1)),OFFSET($N$3,0,MATCH(AQ$5,PayDedList,0)-1,1,1),IgnoreMin)))*IF(COUNTIFS(EmpNo,$C121,OFFSET(Emp!$R$4,1,MATCH(AQ$5,DedListItem,0)-1,EmpCount,1),"&lt;&gt;")&gt;0,VLOOKUP($C121,EmpAll,COLUMN(Emp!$R$4)+MATCH(AQ$5,DedListItem,0)-1,0),OFFSET(Setup!$E$73,MATCH(AQ$5,DedListItem,0),0,1,1))*AQ$3))),IF(ISNUMBER(AQ$4),AQ$4,IgnoreMin)))))</f>
        <v>0</v>
      </c>
      <c r="AR121" s="148">
        <f t="shared" ca="1" si="52"/>
        <v>108000</v>
      </c>
      <c r="AS121" s="148">
        <f t="shared" ca="1" si="42"/>
        <v>108000</v>
      </c>
      <c r="AT121" s="148" cm="1">
        <f t="array" aca="1" ref="AT121" ca="1">-IF($F121="Terminated",0,IF($AA121=0,0,IF(ISNA(MATCH(AT$5,PayDedList,0)),0,MIN(IF(COUNTIFS(OverEmp,$C121,OverDeduct,AT$5,OverDate,"&lt;"&amp;DATE(YEAR($AC121),MONTH($AC121)+1,1),OverEnd,"&gt;="&amp;DATE(YEAR($AC121),MONTH($AC121),1))&gt;0,SUMPRODUCT((PayEmp=$C121)*(PayDate&lt;=$AC121)*(OFFSET($N$6,1,MATCH(AT$5,PayDedList,0)-1,PayCount,1)))/$AA121*12*AT$3,IF(OR(AT$1="Fixed",AT$1="Not Used"),SUMPRODUCT((PayEmp=$C121)*(PayDate&lt;=$AC121)*(OFFSET($N$6,1,MATCH(AT$5,PayDedList,0)-1,PayCount,1)))/$AA121*12*AT$3,IF(ISNA(MATCH(OFFSET($N$2,0,MATCH(AT$5,PayDedList,0)-1,1,1),EarnListItem,0))=FALSE,SUMPRODUCT((PayEmp=$C121)*(PayDate&lt;=$AC121)*(OFFSET($N$6,1,MATCH(AT$5,PayDedList,0)-1,PayCount,1)))/$AA121*12*AT$3,(MIN(SUMPRODUCT((PayEmp=$C121)*(PayDate&lt;=$AC121)*(ISERROR(SEARCH(PayEarnCode,AT$2)))*(PayEarnType="Monthly")*(PayEarnValues))/$AA121*12,IF(ISNUMBER(OFFSET($N$3,0,MATCH(AT$5,PayDedList,0)-1,1,1)),OFFSET($N$3,0,MATCH(AT$5,PayDedList,0)-1,1,1),IgnoreMin)))*IF(COUNTIFS(EmpNo,$C121,OFFSET(Emp!$R$4,1,MATCH(AT$5,DedListItem,0)-1,EmpCount,1),"&lt;&gt;")&gt;0,VLOOKUP($C121,EmpAll,COLUMN(Emp!$R$4)+MATCH(AT$5,DedListItem,0)-1,0),OFFSET(Setup!$E$73,MATCH(AT$5,DedListItem,0),0,1,1))*AT$3))),IF(ISNUMBER(AT$4),AT$4,IgnoreMin)))))</f>
        <v>0</v>
      </c>
      <c r="AU121" s="148" cm="1">
        <f t="array" aca="1" ref="AU121" ca="1">-IF($F121="Terminated",0,IF($AA121=0,0,IF(ISNA(MATCH(AU$5,PayDedList,0)),0,MIN(IF(COUNTIFS(OverEmp,$C121,OverDeduct,AU$5,OverDate,"&lt;"&amp;DATE(YEAR($AC121),MONTH($AC121)+1,1),OverEnd,"&gt;="&amp;DATE(YEAR($AC121),MONTH($AC121),1))&gt;0,SUMPRODUCT((PayEmp=$C121)*(PayDate&lt;=$AC121)*(OFFSET($N$6,1,MATCH(AU$5,PayDedList,0)-1,PayCount,1)))/$AA121*12*AU$3,IF(OR(AU$1="Fixed",AU$1="Not Used"),SUMPRODUCT((PayEmp=$C121)*(PayDate&lt;=$AC121)*(OFFSET($N$6,1,MATCH(AU$5,PayDedList,0)-1,PayCount,1)))/$AA121*12*AU$3,IF(ISNA(MATCH(OFFSET($N$2,0,MATCH(AU$5,PayDedList,0)-1,1,1),EarnListItem,0))=FALSE,SUMPRODUCT((PayEmp=$C121)*(PayDate&lt;=$AC121)*(OFFSET($N$6,1,MATCH(AU$5,PayDedList,0)-1,PayCount,1)))/$AA121*12*AU$3,(MIN(SUMPRODUCT((PayEmp=$C121)*(PayDate&lt;=$AC121)*(ISERROR(SEARCH(PayEarnCode,AU$2)))*(PayEarnType="Monthly")*(PayEarnValues))/$AA121*12,IF(ISNUMBER(OFFSET($N$3,0,MATCH(AU$5,PayDedList,0)-1,1,1)),OFFSET($N$3,0,MATCH(AU$5,PayDedList,0)-1,1,1),IgnoreMin)))*IF(COUNTIFS(EmpNo,$C121,OFFSET(Emp!$R$4,1,MATCH(AU$5,DedListItem,0)-1,EmpCount,1),"&lt;&gt;")&gt;0,VLOOKUP($C121,EmpAll,COLUMN(Emp!$R$4)+MATCH(AU$5,DedListItem,0)-1,0),OFFSET(Setup!$E$73,MATCH(AU$5,DedListItem,0),0,1,1))*AU$3))),IF(ISNUMBER(AU$4),AU$4,IgnoreMin)))))</f>
        <v>0</v>
      </c>
      <c r="AV121" s="148" cm="1">
        <f t="array" aca="1" ref="AV121" ca="1">-IF($F121="Terminated",0,IF($AA121=0,0,IF(ISNA(MATCH(AV$5,PayDedList,0)),0,MIN(IF(COUNTIFS(OverEmp,$C121,OverDeduct,AV$5,OverDate,"&lt;"&amp;DATE(YEAR($AC121),MONTH($AC121)+1,1),OverEnd,"&gt;="&amp;DATE(YEAR($AC121),MONTH($AC121),1))&gt;0,SUMPRODUCT((PayEmp=$C121)*(PayDate&lt;=$AC121)*(OFFSET($N$6,1,MATCH(AV$5,PayDedList,0)-1,PayCount,1)))/$AA121*12*AV$3,IF(OR(AV$1="Fixed",AV$1="Not Used"),SUMPRODUCT((PayEmp=$C121)*(PayDate&lt;=$AC121)*(OFFSET($N$6,1,MATCH(AV$5,PayDedList,0)-1,PayCount,1)))/$AA121*12*AV$3,IF(ISNA(MATCH(OFFSET($N$2,0,MATCH(AV$5,PayDedList,0)-1,1,1),EarnListItem,0))=FALSE,SUMPRODUCT((PayEmp=$C121)*(PayDate&lt;=$AC121)*(OFFSET($N$6,1,MATCH(AV$5,PayDedList,0)-1,PayCount,1)))/$AA121*12*AV$3,(MIN(SUMPRODUCT((PayEmp=$C121)*(PayDate&lt;=$AC121)*(ISERROR(SEARCH(PayEarnCode,AV$2)))*(PayEarnType="Monthly")*(PayEarnValues))/$AA121*12,IF(ISNUMBER(OFFSET($N$3,0,MATCH(AV$5,PayDedList,0)-1,1,1)),OFFSET($N$3,0,MATCH(AV$5,PayDedList,0)-1,1,1),IgnoreMin)))*IF(COUNTIFS(EmpNo,$C121,OFFSET(Emp!$R$4,1,MATCH(AV$5,DedListItem,0)-1,EmpCount,1),"&lt;&gt;")&gt;0,VLOOKUP($C121,EmpAll,COLUMN(Emp!$R$4)+MATCH(AV$5,DedListItem,0)-1,0),OFFSET(Setup!$E$73,MATCH(AV$5,DedListItem,0),0,1,1))*AV$3))),IF(ISNUMBER(AV$4),AV$4,IgnoreMin)))))</f>
        <v>0</v>
      </c>
      <c r="AW121" s="148" cm="1">
        <f t="array" aca="1" ref="AW121" ca="1">-IF($F121="Terminated",0,IF($AA121=0,0,IF(ISNA(MATCH(AW$5,PayDedList,0)),0,MIN(IF(COUNTIFS(OverEmp,$C121,OverDeduct,AW$5,OverDate,"&lt;"&amp;DATE(YEAR($AC121),MONTH($AC121)+1,1),OverEnd,"&gt;="&amp;DATE(YEAR($AC121),MONTH($AC121),1))&gt;0,SUMPRODUCT((PayEmp=$C121)*(PayDate&lt;=$AC121)*(OFFSET($N$6,1,MATCH(AW$5,PayDedList,0)-1,PayCount,1)))/$AA121*12*AW$3,IF(OR(AW$1="Fixed",AW$1="Not Used"),SUMPRODUCT((PayEmp=$C121)*(PayDate&lt;=$AC121)*(OFFSET($N$6,1,MATCH(AW$5,PayDedList,0)-1,PayCount,1)))/$AA121*12*AW$3,IF(ISNA(MATCH(OFFSET($N$2,0,MATCH(AW$5,PayDedList,0)-1,1,1),EarnListItem,0))=FALSE,SUMPRODUCT((PayEmp=$C121)*(PayDate&lt;=$AC121)*(OFFSET($N$6,1,MATCH(AW$5,PayDedList,0)-1,PayCount,1)))/$AA121*12*AW$3,(MIN(SUMPRODUCT((PayEmp=$C121)*(PayDate&lt;=$AC121)*(ISERROR(SEARCH(PayEarnCode,AW$2)))*(PayEarnType="Monthly")*(PayEarnValues))/$AA121*12,IF(ISNUMBER(OFFSET($N$3,0,MATCH(AW$5,PayDedList,0)-1,1,1)),OFFSET($N$3,0,MATCH(AW$5,PayDedList,0)-1,1,1),IgnoreMin)))*IF(COUNTIFS(EmpNo,$C121,OFFSET(Emp!$R$4,1,MATCH(AW$5,DedListItem,0)-1,EmpCount,1),"&lt;&gt;")&gt;0,VLOOKUP($C121,EmpAll,COLUMN(Emp!$R$4)+MATCH(AW$5,DedListItem,0)-1,0),OFFSET(Setup!$E$73,MATCH(AW$5,DedListItem,0),0,1,1))*AW$3))),IF(ISNUMBER(AW$4),AW$4,IgnoreMin)))))</f>
        <v>0</v>
      </c>
      <c r="AX121" s="148">
        <f t="shared" ca="1" si="58"/>
        <v>108000</v>
      </c>
      <c r="AY121" s="148">
        <f t="shared" ca="1" si="59"/>
        <v>0</v>
      </c>
      <c r="AZ121" s="148">
        <f ca="1">IF(ISNUMBER($AL121),($AR121*$AL121)-$AI121-$AK121,MAX(0,IF($AL121="B",IF($AR121&lt;Setup!$C$32,($AR121*Setup!$D$32)-$AI121-$AK121,(($AR121-VLOOKUP($AR121,TaxAll2,1,1))*OFFSET(Setup!$D$32,MATCH($AR121,TaxBracket2,1),0,1,1))+OFFSET(Setup!$E$31,MATCH($AR121,TaxBracket2,1),0,1,1)-$AI121-$AK121),IF($AR121&lt;Setup!$C$21,($AR121*Setup!$D$21)-$AI121-$AK121,(($AR121-VLOOKUP($AR121,TaxAll1,1,1))*OFFSET(Setup!$D$21,MATCH($AR121,TaxBracket1,1),0,1,1))+OFFSET(Setup!$E$20,MATCH($AR121,TaxBracket1,1),0,1,1)-$AI121-$AK121))))</f>
        <v>2205</v>
      </c>
      <c r="BA121" s="148">
        <f ca="1">IF(ISNUMBER($AL121),($AX121*$AL121)-$AI121-$AK121,MAX(0,IF($AL121="B",IF($AX121&lt;Setup!$C$32,($AX121*Setup!$D$32)-$AI121-$AK121,(($AX121-VLOOKUP($AX121,TaxAll2,1,1))*OFFSET(Setup!$D$32,MATCH($AX121,TaxBracket2,1),0,1,1))+OFFSET(Setup!$E$31,MATCH($AX121,TaxBracket2,1),0,1,1)-$AI121-$AK121),IF($AX121&lt;Setup!$C$21,($AX121*Setup!$D$21)-$AI121-$AK121,(($AX121-VLOOKUP($AX121,TaxAll1,1,1))*OFFSET(Setup!$D$21,MATCH($AX121,TaxBracket1,1),0,1,1))+OFFSET(Setup!$E$20,MATCH($AX121,TaxBracket1,1),0,1,1)-$AI121-$AK121))))</f>
        <v>2205</v>
      </c>
      <c r="BB121" s="148">
        <f t="shared" ca="1" si="53"/>
        <v>0</v>
      </c>
      <c r="BC121" s="150">
        <f t="shared" ca="1" si="45"/>
        <v>1</v>
      </c>
      <c r="BD121" s="150">
        <f t="shared" ca="1" si="46"/>
        <v>0</v>
      </c>
      <c r="BE121" s="148">
        <f t="shared" ca="1" si="47"/>
        <v>108000</v>
      </c>
    </row>
    <row r="122" spans="1:57" ht="16.149999999999999" customHeight="1" x14ac:dyDescent="0.25">
      <c r="A122" s="10" t="str" cm="1">
        <f t="array" aca="1" ref="A122" ca="1">IF(ROW($A122)-ROW($A$6)&gt;EmpCount*12,"-",TEXT($B122,"yyyy")&amp;TEXT($B122,"mm")&amp;"-"&amp;$C122)</f>
        <v>202310-EXS011</v>
      </c>
      <c r="B122" s="137" cm="1">
        <f t="array" aca="1" ref="B122" ca="1">IF(ROW($A122)-ROW($A$6)&gt;EmpCount*12,Setup!$D$12,DATE(YEAR(Setup!$F$12),MONTH(Setup!$F$12)+ROUNDDOWN((ROW($A122)-ROW($A$6)-1)/EmpCount,0),IF(Setup!$C$14&gt;DAY(DATE(YEAR(Setup!$F$12),MONTH(Setup!$F$12)+ROUNDDOWN((ROW($A122)-ROW($A$6)-1)/EmpCount,0)+1,0)),DAY(DATE(YEAR(Setup!$F$12),MONTH(Setup!$F$12)+ROUNDDOWN((ROW($A122)-ROW($A$6)-1)/EmpCount,0)+1,0)),Setup!$C$14)))</f>
        <v>45224</v>
      </c>
      <c r="C122" s="101" t="str" cm="1">
        <f t="array" aca="1" ref="C122" ca="1">IF(ROW($A122)-ROW($A$6)&gt;EmpCount*12,"-",OFFSET(Emp!$A$4,ROW($A122)-ROW($A$6)-IF(ROW($A122)-ROW($A$6)&gt;EmpCount,ROUNDDOWN((ROW($A122)-ROW($A$6)-1)/EmpCount,0)*EmpCount,0),0,1,1))</f>
        <v>EXS011</v>
      </c>
      <c r="D122" s="10" t="str">
        <f ca="1">IF(ISNA(VLOOKUP($C122,EmpAll,COLUMN(Emp!$B$4),0)),"-",VLOOKUP($C122,EmpAll,COLUMN(Emp!$B$4),0))</f>
        <v>Newport GD</v>
      </c>
      <c r="E122" s="145" t="str">
        <f ca="1">IF(ISNA(VLOOKUP($C122,EmpAll,COLUMN(Emp!$C$4),0)),"-",VLOOKUP($C122,EmpAll,COLUMN(Emp!$C$4),0))</f>
        <v>A</v>
      </c>
      <c r="F122" s="101" t="str">
        <f ca="1">IF(ISNA(VLOOKUP($C122,EmpAll,COLUMN(Emp!$A$4),0)),"-",IF(AND(VLOOKUP($C122,EmpAll,COLUMN(Emp!$E$4),0)&lt;&gt;0,VLOOKUP($C122,EmpAll,COLUMN(Emp!$E$4),0)&gt;=DATE(YEAR($AC122),MONTH($AC122)+1,0)),"Inactive",IF(AND(VLOOKUP($C122,EmpAll,COLUMN(Emp!$F$4),0)&lt;&gt;0,VLOOKUP($C122,EmpAll,COLUMN(Emp!$F$4),0)&lt;=DATE(YEAR($AC122),MONTH($AC122),0)),"Terminated","Active")))</f>
        <v>Active</v>
      </c>
      <c r="G122" s="133" cm="1">
        <f t="array" aca="1" ref="G122" ca="1">IF($F122&lt;&gt;"Active",0,IF(COUNTIFS(OverEmp,$C122,OverEarn,G$2,OverDate,"&lt;"&amp;DATE(YEAR($AC122),MONTH($AC122)+1,1),OverEnd,"&gt;="&amp;DATE(YEAR($AC122),MONTH($AC122),1))&gt;0,SUMIFS(OverValue,OverEmp,$C122,OverEarn,G$2,OverDate,"&lt;"&amp;DATE(YEAR($AC122),MONTH($AC122)+1,1),OverEnd,"&gt;="&amp;DATE(YEAR($AC122),MONTH($AC122),1)),IF(AND($AC122&gt;=Setup!$E$10,SUMIFS(EmpIncrease,EmpCode,$C122)&gt;0),SUMIFS(EmpIncrease,EmpCode,$C122),SUMIFS(EmpSalary,EmpCode,$C122))))</f>
        <v>5000</v>
      </c>
      <c r="H122" s="133" cm="1">
        <f t="array" aca="1" ref="H122" ca="1">IF($F122&lt;&gt;"Active",0,IF(COUNTIFS(OverEmp,$C122,OverEarn,H$2,OverDate,"&lt;"&amp;DATE(YEAR($AC122),MONTH($AC122)+1,1),OverEnd,"&gt;="&amp;DATE(YEAR($AC122),MONTH($AC122),1))&gt;0,SUMIFS(OverValue,OverEmp,$C122,OverEarn,H$2,OverDate,"&lt;"&amp;DATE(YEAR($AC122),MONTH($AC122)+1,1),OverEnd,"&gt;="&amp;DATE(YEAR($AC122),MONTH($AC122),1)),0))</f>
        <v>0</v>
      </c>
      <c r="I122" s="133" cm="1">
        <f t="array" aca="1" ref="I122" ca="1">IF($F122&lt;&gt;"Active",0,IF(COUNTIFS(OverEmp,$C122,OverEarn,I$2,OverDate,"&lt;"&amp;DATE(YEAR($AC122),MONTH($AC122)+1,1),OverEnd,"&gt;="&amp;DATE(YEAR($AC122),MONTH($AC122),1))&gt;0,SUMIFS(OverValue,OverEmp,$C122,OverEarn,I$2,OverDate,"&lt;"&amp;DATE(YEAR($AC122),MONTH($AC122)+1,1),OverEnd,"&gt;="&amp;DATE(YEAR($AC122),MONTH($AC122),1)),IF(MONTH(B122)=Setup!$C$15,SUMIFS(EmpBonus,EmpCode,$C122),0)))</f>
        <v>0</v>
      </c>
      <c r="J122" s="133" cm="1">
        <f t="array" aca="1" ref="J122" ca="1">IF($F122&lt;&gt;"Active",0,IF(COUNTIFS(OverEmp,$C122,OverEarn,J$2,OverDate,"&lt;"&amp;DATE(YEAR($AC122),MONTH($AC122)+1,1),OverEnd,"&gt;="&amp;DATE(YEAR($AC122),MONTH($AC122),1))&gt;0,SUMIFS(OverValue,OverEmp,$C122,OverEarn,J$2,OverDate,"&lt;"&amp;DATE(YEAR($AC122),MONTH($AC122)+1,1),OverEnd,"&gt;="&amp;DATE(YEAR($AC122),MONTH($AC122),1)),0))</f>
        <v>0</v>
      </c>
      <c r="K122" s="133" cm="1">
        <f t="array" aca="1" ref="K122" ca="1">IF($F122&lt;&gt;"Active",0,IF(COUNTIFS(OverEmp,$C122,OverEarn,K$2,OverDate,"&lt;"&amp;DATE(YEAR($AC122),MONTH($AC122)+1,1),OverEnd,"&gt;="&amp;DATE(YEAR($AC122),MONTH($AC122),1))&gt;0,SUMIFS(OverValue,OverEmp,$C122,OverEarn,K$2,OverDate,"&lt;"&amp;DATE(YEAR($AC122),MONTH($AC122)+1,1),OverEnd,"&gt;="&amp;DATE(YEAR($AC122),MONTH($AC122),1)),0))</f>
        <v>0</v>
      </c>
      <c r="L122" s="185">
        <f t="shared" ca="1" si="54"/>
        <v>5000</v>
      </c>
      <c r="M122" s="182" cm="1">
        <f t="array" aca="1" ref="M122" ca="1">IF(COUNTIFS(OverEmp,$C122,OverTax,M$5,OverDate,"&lt;"&amp;DATE(YEAR($AC122),MONTH($AC122)+1,1),OverEnd,"&gt;="&amp;DATE(YEAR($AC122),MONTH($AC122),1))&gt;0,SUMIFS(OverValue,OverEmp,$C122,OverTax,M$5,OverDate,"&lt;"&amp;DATE(YEAR($AC122),MONTH($AC122)+1,1),OverEnd,"&gt;="&amp;DATE(YEAR($AC122),MONTH($AC122),1)),(($BA122/12*$AA122)+(BB122*IF(1-$BC122=0,0,BD122/(1-$BC122))))-IF($F122="Terminated",0,SUMIFS(PayTaxDeduct,PayDate,"&lt;"&amp;$AC122,PayEmp,$C122)))</f>
        <v>0</v>
      </c>
      <c r="N122" s="133" cm="1">
        <f t="array" aca="1" ref="N122" ca="1">IF($F122="Terminated",0,IF($AA122=0,0,IF(ISNA(MATCH(N$5,DedListItem,0)),0,IF(COUNTIFS(OverEmp,$C122,OverDeduct,N$5,OverDate,"&lt;"&amp;DATE(YEAR($AC122),MONTH($AC122)+1,1),OverEnd,"&gt;="&amp;DATE(YEAR($AC122),MONTH($AC122),1))&gt;0,SUMIFS(OverValue,OverEmp,$C122,OverDeduct,N$5,OverDate,"&lt;"&amp;DATE(YEAR($AC122),MONTH($AC122)+1,1),OverEnd,"&gt;="&amp;DATE(YEAR($AC122),MONTH($AC122),1)),IF(OR(N$2="Fixed",N$2="Not Used"),(IF(COUNTIFS(EmpNo,$C122,OFFSET(Emp!$R$4,1,MATCH(N$5,DedListItem,0)-1,EmpCount,1),"&lt;&gt;")&gt;0,VLOOKUP($C122,EmpAll,COLUMN(Emp!$R$4)+MATCH(N$5,DedListItem,0)-1,0),OFFSET(Setup!$E$73,MATCH(N$5,DedListItem,0),0,1,1))*$AA122)-SUMIFS(OFFSET(N$6,1,0,PayCount,1),PayDate,"&lt;"&amp;$AC122,PayEmp,$C122),IF(ISNA(MATCH(N$2,EarnListItem,0))=FALSE,IF(OFFSET(Setup!$G$73,MATCH(N$5,DedListItem,0),0,1,1)="Taxable",SUMPRODUCT((PayEmp=$C122)*(PayDate&lt;=$AC122)*(PayEarnCode=N$2)*(PayEarnTax)*(PayEarnValues)),SUMPRODUCT((PayEmp=$C122)*(PayDate&lt;=$AC122)*(PayEarnCode=N$2)*(PayEarnValues)))*IF(COUNTIFS(EmpNo,$C122,OFFSET(Emp!$R$4,1,MATCH(N$5,DedListItem,0)-1,EmpCount,1),"&lt;&gt;")&gt;0,VLOOKUP($C122,EmpAll,COLUMN(Emp!$R$4)+MATCH(N$5,DedListItem,0)-1,0),OFFSET(Setup!$E$73,MATCH(N$5,DedListItem,0),0,1,1)),(MIN(IF(OFFSET(Setup!$G$73,MATCH(N$5,DedListItem,0),0,1,1)="Taxable",SUMPRODUCT((PayEmp=$C122)*(PayDate&lt;=$AC122)*(ISERROR(SEARCH(PayEarnCode,N$4)))*(PayEarnTax)*(PayEarnValues)),SUMPRODUCT((PayEmp=$C122)*(PayDate&lt;=$AC122)*(ISERROR(SEARCH(PayEarnCode,N$4)))*(PayEarnValues))),IF(ISNUMBER(N$3),N$3/12*$AA122,IgnoreMin)))*IF(COUNTIFS(EmpNo,$C122,OFFSET(Emp!$R$4,1,MATCH(N$5,DedListItem,0)-1,EmpCount,1),"&lt;&gt;")&gt;0,VLOOKUP($C122,EmpAll,COLUMN(Emp!$R$4)+MATCH(N$5,DedListItem,0)-1,0),OFFSET(Setup!$E$73,MATCH(N$5,DedListItem,0),0,1,1)))-SUMIFS(OFFSET(N$6,1,0,PayCount,1),PayDate,"&lt;"&amp;$AC122,PayEmp,$C122))))))</f>
        <v>50</v>
      </c>
      <c r="O122" s="133" cm="1">
        <f t="array" aca="1" ref="O122" ca="1">IF($F122="Terminated",0,IF($AA122=0,0,IF(ISNA(MATCH(O$5,DedListItem,0)),0,IF(COUNTIFS(OverEmp,$C122,OverDeduct,O$5,OverDate,"&lt;"&amp;DATE(YEAR($AC122),MONTH($AC122)+1,1),OverEnd,"&gt;="&amp;DATE(YEAR($AC122),MONTH($AC122),1))&gt;0,SUMIFS(OverValue,OverEmp,$C122,OverDeduct,O$5,OverDate,"&lt;"&amp;DATE(YEAR($AC122),MONTH($AC122)+1,1),OverEnd,"&gt;="&amp;DATE(YEAR($AC122),MONTH($AC122),1)),IF(OR(O$2="Fixed",O$2="Not Used"),(IF(COUNTIFS(EmpNo,$C122,OFFSET(Emp!$R$4,1,MATCH(O$5,DedListItem,0)-1,EmpCount,1),"&lt;&gt;")&gt;0,VLOOKUP($C122,EmpAll,COLUMN(Emp!$R$4)+MATCH(O$5,DedListItem,0)-1,0),OFFSET(Setup!$E$73,MATCH(O$5,DedListItem,0),0,1,1))*$AA122)-SUMIFS(OFFSET(O$6,1,0,PayCount,1),PayDate,"&lt;"&amp;$AC122,PayEmp,$C122),IF(ISNA(MATCH(O$2,EarnListItem,0))=FALSE,IF(OFFSET(Setup!$G$73,MATCH(O$5,DedListItem,0),0,1,1)="Taxable",SUMPRODUCT((PayEmp=$C122)*(PayDate&lt;=$AC122)*(PayEarnCode=O$2)*(PayEarnTax)*(PayEarnValues)),SUMPRODUCT((PayEmp=$C122)*(PayDate&lt;=$AC122)*(PayEarnCode=O$2)*(PayEarnValues)))*IF(COUNTIFS(EmpNo,$C122,OFFSET(Emp!$R$4,1,MATCH(O$5,DedListItem,0)-1,EmpCount,1),"&lt;&gt;")&gt;0,VLOOKUP($C122,EmpAll,COLUMN(Emp!$R$4)+MATCH(O$5,DedListItem,0)-1,0),OFFSET(Setup!$E$73,MATCH(O$5,DedListItem,0),0,1,1)),(MIN(IF(OFFSET(Setup!$G$73,MATCH(O$5,DedListItem,0),0,1,1)="Taxable",SUMPRODUCT((PayEmp=$C122)*(PayDate&lt;=$AC122)*(ISERROR(SEARCH(PayEarnCode,O$4)))*(PayEarnTax)*(PayEarnValues)),SUMPRODUCT((PayEmp=$C122)*(PayDate&lt;=$AC122)*(ISERROR(SEARCH(PayEarnCode,O$4)))*(PayEarnValues))),IF(ISNUMBER(O$3),O$3/12*$AA122,IgnoreMin)))*IF(COUNTIFS(EmpNo,$C122,OFFSET(Emp!$R$4,1,MATCH(O$5,DedListItem,0)-1,EmpCount,1),"&lt;&gt;")&gt;0,VLOOKUP($C122,EmpAll,COLUMN(Emp!$R$4)+MATCH(O$5,DedListItem,0)-1,0),OFFSET(Setup!$E$73,MATCH(O$5,DedListItem,0),0,1,1)))-SUMIFS(OFFSET(O$6,1,0,PayCount,1),PayDate,"&lt;"&amp;$AC122,PayEmp,$C122))))))</f>
        <v>0</v>
      </c>
      <c r="P122" s="133" cm="1">
        <f t="array" aca="1" ref="P122" ca="1">IF($F122="Terminated",0,IF($AA122=0,0,IF(ISNA(MATCH(P$5,DedListItem,0)),0,IF(COUNTIFS(OverEmp,$C122,OverDeduct,P$5,OverDate,"&lt;"&amp;DATE(YEAR($AC122),MONTH($AC122)+1,1),OverEnd,"&gt;="&amp;DATE(YEAR($AC122),MONTH($AC122),1))&gt;0,SUMIFS(OverValue,OverEmp,$C122,OverDeduct,P$5,OverDate,"&lt;"&amp;DATE(YEAR($AC122),MONTH($AC122)+1,1),OverEnd,"&gt;="&amp;DATE(YEAR($AC122),MONTH($AC122),1)),IF(OR(P$2="Fixed",P$2="Not Used"),(IF(COUNTIFS(EmpNo,$C122,OFFSET(Emp!$R$4,1,MATCH(P$5,DedListItem,0)-1,EmpCount,1),"&lt;&gt;")&gt;0,VLOOKUP($C122,EmpAll,COLUMN(Emp!$R$4)+MATCH(P$5,DedListItem,0)-1,0),OFFSET(Setup!$E$73,MATCH(P$5,DedListItem,0),0,1,1))*$AA122)-SUMIFS(OFFSET(P$6,1,0,PayCount,1),PayDate,"&lt;"&amp;$AC122,PayEmp,$C122),IF(ISNA(MATCH(P$2,EarnListItem,0))=FALSE,IF(OFFSET(Setup!$G$73,MATCH(P$5,DedListItem,0),0,1,1)="Taxable",SUMPRODUCT((PayEmp=$C122)*(PayDate&lt;=$AC122)*(PayEarnCode=P$2)*(PayEarnTax)*(PayEarnValues)),SUMPRODUCT((PayEmp=$C122)*(PayDate&lt;=$AC122)*(PayEarnCode=P$2)*(PayEarnValues)))*IF(COUNTIFS(EmpNo,$C122,OFFSET(Emp!$R$4,1,MATCH(P$5,DedListItem,0)-1,EmpCount,1),"&lt;&gt;")&gt;0,VLOOKUP($C122,EmpAll,COLUMN(Emp!$R$4)+MATCH(P$5,DedListItem,0)-1,0),OFFSET(Setup!$E$73,MATCH(P$5,DedListItem,0),0,1,1)),(MIN(IF(OFFSET(Setup!$G$73,MATCH(P$5,DedListItem,0),0,1,1)="Taxable",SUMPRODUCT((PayEmp=$C122)*(PayDate&lt;=$AC122)*(ISERROR(SEARCH(PayEarnCode,P$4)))*(PayEarnTax)*(PayEarnValues)),SUMPRODUCT((PayEmp=$C122)*(PayDate&lt;=$AC122)*(ISERROR(SEARCH(PayEarnCode,P$4)))*(PayEarnValues))),IF(ISNUMBER(P$3),P$3/12*$AA122,IgnoreMin)))*IF(COUNTIFS(EmpNo,$C122,OFFSET(Emp!$R$4,1,MATCH(P$5,DedListItem,0)-1,EmpCount,1),"&lt;&gt;")&gt;0,VLOOKUP($C122,EmpAll,COLUMN(Emp!$R$4)+MATCH(P$5,DedListItem,0)-1,0),OFFSET(Setup!$E$73,MATCH(P$5,DedListItem,0),0,1,1)))-SUMIFS(OFFSET(P$6,1,0,PayCount,1),PayDate,"&lt;"&amp;$AC122,PayEmp,$C122))))))</f>
        <v>0</v>
      </c>
      <c r="Q122" s="133" cm="1">
        <f t="array" aca="1" ref="Q122" ca="1">IF($F122="Terminated",0,IF($AA122=0,0,IF(ISNA(MATCH(Q$5,DedListItem,0)),0,IF(COUNTIFS(OverEmp,$C122,OverDeduct,Q$5,OverDate,"&lt;"&amp;DATE(YEAR($AC122),MONTH($AC122)+1,1),OverEnd,"&gt;="&amp;DATE(YEAR($AC122),MONTH($AC122),1))&gt;0,SUMIFS(OverValue,OverEmp,$C122,OverDeduct,Q$5,OverDate,"&lt;"&amp;DATE(YEAR($AC122),MONTH($AC122)+1,1),OverEnd,"&gt;="&amp;DATE(YEAR($AC122),MONTH($AC122),1)),IF(OR(Q$2="Fixed",Q$2="Not Used"),(IF(COUNTIFS(EmpNo,$C122,OFFSET(Emp!$R$4,1,MATCH(Q$5,DedListItem,0)-1,EmpCount,1),"&lt;&gt;")&gt;0,VLOOKUP($C122,EmpAll,COLUMN(Emp!$R$4)+MATCH(Q$5,DedListItem,0)-1,0),OFFSET(Setup!$E$73,MATCH(Q$5,DedListItem,0),0,1,1))*$AA122)-SUMIFS(OFFSET(Q$6,1,0,PayCount,1),PayDate,"&lt;"&amp;$AC122,PayEmp,$C122),IF(ISNA(MATCH(Q$2,EarnListItem,0))=FALSE,IF(OFFSET(Setup!$G$73,MATCH(Q$5,DedListItem,0),0,1,1)="Taxable",SUMPRODUCT((PayEmp=$C122)*(PayDate&lt;=$AC122)*(PayEarnCode=Q$2)*(PayEarnTax)*(PayEarnValues)),SUMPRODUCT((PayEmp=$C122)*(PayDate&lt;=$AC122)*(PayEarnCode=Q$2)*(PayEarnValues)))*IF(COUNTIFS(EmpNo,$C122,OFFSET(Emp!$R$4,1,MATCH(Q$5,DedListItem,0)-1,EmpCount,1),"&lt;&gt;")&gt;0,VLOOKUP($C122,EmpAll,COLUMN(Emp!$R$4)+MATCH(Q$5,DedListItem,0)-1,0),OFFSET(Setup!$E$73,MATCH(Q$5,DedListItem,0),0,1,1)),(MIN(IF(OFFSET(Setup!$G$73,MATCH(Q$5,DedListItem,0),0,1,1)="Taxable",SUMPRODUCT((PayEmp=$C122)*(PayDate&lt;=$AC122)*(ISERROR(SEARCH(PayEarnCode,Q$4)))*(PayEarnTax)*(PayEarnValues)),SUMPRODUCT((PayEmp=$C122)*(PayDate&lt;=$AC122)*(ISERROR(SEARCH(PayEarnCode,Q$4)))*(PayEarnValues))),IF(ISNUMBER(Q$3),Q$3/12*$AA122,IgnoreMin)))*IF(COUNTIFS(EmpNo,$C122,OFFSET(Emp!$R$4,1,MATCH(Q$5,DedListItem,0)-1,EmpCount,1),"&lt;&gt;")&gt;0,VLOOKUP($C122,EmpAll,COLUMN(Emp!$R$4)+MATCH(Q$5,DedListItem,0)-1,0),OFFSET(Setup!$E$73,MATCH(Q$5,DedListItem,0),0,1,1)))-SUMIFS(OFFSET(Q$6,1,0,PayCount,1),PayDate,"&lt;"&amp;$AC122,PayEmp,$C122))))))</f>
        <v>0</v>
      </c>
      <c r="R122" s="185">
        <f t="shared" ca="1" si="55"/>
        <v>50</v>
      </c>
      <c r="S122" s="139">
        <f t="shared" ca="1" si="56"/>
        <v>4950</v>
      </c>
      <c r="T122" s="133" cm="1">
        <f t="array" aca="1" ref="T122" ca="1">IF($F122="Terminated",0,IF($AA122=0,0,IF(ISNA(MATCH(T$5,CompListItem,0)),0,IF(COUNTIFS(OverEmp,$C122,OverComp,T$5,OverDate,"&lt;"&amp;DATE(YEAR($AC122),MONTH($AC122)+1,1),OverEnd,"&gt;="&amp;DATE(YEAR($AC122),MONTH($AC122),1))&gt;0,SUMIFS(OverValue,OverEmp,$C122,OverComp,T$5,OverDate,"&lt;"&amp;DATE(YEAR($AC122),MONTH($AC122)+1,1),OverEnd,"&gt;="&amp;DATE(YEAR($AC122),MONTH($AC122),1)),IF(OR(T$2="Fixed",T$2="Not Used"),(OFFSET(Setup!$E$81,MATCH(T$5,CompListItem,0),0,1,1)*$AA122)-SUMIFS(OFFSET(T$6,1,0,PayCount,1),PayDate,"&lt;"&amp;$AC122,PayEmp,$C122),IF(ISNA(MATCH(T$2,DedListItem,0))=FALSE,(SUMPRODUCT((PayEmp=$C122)*(PayDate&lt;=$AC122)*(PayDedList=T$2)*(PayDedValues))*OFFSET(Setup!$E$81,MATCH(T$5,CompListItem,0),0,1,1))-SUMIFS(OFFSET(T$6,1,0,PayCount,1),PayDate,"&lt;"&amp;$AC122,PayEmp,$C122),(MIN(IF(OFFSET(Setup!$G$81,MATCH(T$5,CompListItem,0),0,1,1)="Taxable",SUMPRODUCT((PayEmp=$C122)*(PayDate&lt;=$AC122)*(ISERROR(SEARCH(PayEarnCode,T$4)))*(PayEarnTax)*(PayEarnValues)),SUMPRODUCT((PayEmp=$C122)*(PayDate&lt;=$AC122)*(ISERROR(SEARCH(PayEarnCode,T$4)))*(PayEarnValues))),IF(ISNUMBER(T$3),T$3/12*$AA122,IgnoreMin)))*OFFSET(Setup!$E$81,MATCH(T$5,CompListItem,0),0,1,1)-SUMIFS(OFFSET(T$6,1,0,PayCount,1),PayDate,"&lt;"&amp;$AC122,PayEmp,$C122)))))))</f>
        <v>50</v>
      </c>
      <c r="U122" s="133" cm="1">
        <f t="array" aca="1" ref="U122" ca="1">IF($F122="Terminated",0,IF($AA122=0,0,IF(ISNA(MATCH(U$5,CompListItem,0)),0,IF(COUNTIFS(OverEmp,$C122,OverComp,U$5,OverDate,"&lt;"&amp;DATE(YEAR($AC122),MONTH($AC122)+1,1),OverEnd,"&gt;="&amp;DATE(YEAR($AC122),MONTH($AC122),1))&gt;0,SUMIFS(OverValue,OverEmp,$C122,OverComp,U$5,OverDate,"&lt;"&amp;DATE(YEAR($AC122),MONTH($AC122)+1,1),OverEnd,"&gt;="&amp;DATE(YEAR($AC122),MONTH($AC122),1)),IF(OR(U$2="Fixed",U$2="Not Used"),(OFFSET(Setup!$E$81,MATCH(U$5,CompListItem,0),0,1,1)*$AA122)-SUMIFS(OFFSET(U$6,1,0,PayCount,1),PayDate,"&lt;"&amp;$AC122,PayEmp,$C122),IF(ISNA(MATCH(U$2,DedListItem,0))=FALSE,(SUMPRODUCT((PayEmp=$C122)*(PayDate&lt;=$AC122)*(PayDedList=U$2)*(PayDedValues))*OFFSET(Setup!$E$81,MATCH(U$5,CompListItem,0),0,1,1))-SUMIFS(OFFSET(U$6,1,0,PayCount,1),PayDate,"&lt;"&amp;$AC122,PayEmp,$C122),(MIN(IF(OFFSET(Setup!$G$81,MATCH(U$5,CompListItem,0),0,1,1)="Taxable",SUMPRODUCT((PayEmp=$C122)*(PayDate&lt;=$AC122)*(ISERROR(SEARCH(PayEarnCode,U$4)))*(PayEarnTax)*(PayEarnValues)),SUMPRODUCT((PayEmp=$C122)*(PayDate&lt;=$AC122)*(ISERROR(SEARCH(PayEarnCode,U$4)))*(PayEarnValues))),IF(ISNUMBER(U$3),U$3/12*$AA122,IgnoreMin)))*OFFSET(Setup!$E$81,MATCH(U$5,CompListItem,0),0,1,1)-SUMIFS(OFFSET(U$6,1,0,PayCount,1),PayDate,"&lt;"&amp;$AC122,PayEmp,$C122)))))))</f>
        <v>50</v>
      </c>
      <c r="V122" s="133" cm="1">
        <f t="array" aca="1" ref="V122" ca="1">IF($F122="Terminated",0,IF($AA122=0,0,IF(ISNA(MATCH(V$5,CompListItem,0)),0,IF(COUNTIFS(OverEmp,$C122,OverComp,V$5,OverDate,"&lt;"&amp;DATE(YEAR($AC122),MONTH($AC122)+1,1),OverEnd,"&gt;="&amp;DATE(YEAR($AC122),MONTH($AC122),1))&gt;0,SUMIFS(OverValue,OverEmp,$C122,OverComp,V$5,OverDate,"&lt;"&amp;DATE(YEAR($AC122),MONTH($AC122)+1,1),OverEnd,"&gt;="&amp;DATE(YEAR($AC122),MONTH($AC122),1)),IF(OR(V$2="Fixed",V$2="Not Used"),(OFFSET(Setup!$E$81,MATCH(V$5,CompListItem,0),0,1,1)*$AA122)-SUMIFS(OFFSET(V$6,1,0,PayCount,1),PayDate,"&lt;"&amp;$AC122,PayEmp,$C122),IF(ISNA(MATCH(V$2,DedListItem,0))=FALSE,(SUMPRODUCT((PayEmp=$C122)*(PayDate&lt;=$AC122)*(PayDedList=V$2)*(PayDedValues))*OFFSET(Setup!$E$81,MATCH(V$5,CompListItem,0),0,1,1))-SUMIFS(OFFSET(V$6,1,0,PayCount,1),PayDate,"&lt;"&amp;$AC122,PayEmp,$C122),(MIN(IF(OFFSET(Setup!$G$81,MATCH(V$5,CompListItem,0),0,1,1)="Taxable",SUMPRODUCT((PayEmp=$C122)*(PayDate&lt;=$AC122)*(ISERROR(SEARCH(PayEarnCode,V$4)))*(PayEarnTax)*(PayEarnValues)),SUMPRODUCT((PayEmp=$C122)*(PayDate&lt;=$AC122)*(ISERROR(SEARCH(PayEarnCode,V$4)))*(PayEarnValues))),IF(ISNUMBER(V$3),V$3/12*$AA122,IgnoreMin)))*OFFSET(Setup!$E$81,MATCH(V$5,CompListItem,0),0,1,1)-SUMIFS(OFFSET(V$6,1,0,PayCount,1),PayDate,"&lt;"&amp;$AC122,PayEmp,$C122)))))))</f>
        <v>0</v>
      </c>
      <c r="W122" s="133" cm="1">
        <f t="array" aca="1" ref="W122" ca="1">IF($F122="Terminated",0,IF($AA122=0,0,IF(ISNA(MATCH(W$5,CompListItem,0)),0,IF(COUNTIFS(OverEmp,$C122,OverComp,W$5,OverDate,"&lt;"&amp;DATE(YEAR($AC122),MONTH($AC122)+1,1),OverEnd,"&gt;="&amp;DATE(YEAR($AC122),MONTH($AC122),1))&gt;0,SUMIFS(OverValue,OverEmp,$C122,OverComp,W$5,OverDate,"&lt;"&amp;DATE(YEAR($AC122),MONTH($AC122)+1,1),OverEnd,"&gt;="&amp;DATE(YEAR($AC122),MONTH($AC122),1)),IF(OR(W$2="Fixed",W$2="Not Used"),(OFFSET(Setup!$E$81,MATCH(W$5,CompListItem,0),0,1,1)*$AA122)-SUMIFS(OFFSET(W$6,1,0,PayCount,1),PayDate,"&lt;"&amp;$AC122,PayEmp,$C122),IF(ISNA(MATCH(W$2,DedListItem,0))=FALSE,(SUMPRODUCT((PayEmp=$C122)*(PayDate&lt;=$AC122)*(PayDedList=W$2)*(PayDedValues))*OFFSET(Setup!$E$81,MATCH(W$5,CompListItem,0),0,1,1))-SUMIFS(OFFSET(W$6,1,0,PayCount,1),PayDate,"&lt;"&amp;$AC122,PayEmp,$C122),(MIN(IF(OFFSET(Setup!$G$81,MATCH(W$5,CompListItem,0),0,1,1)="Taxable",SUMPRODUCT((PayEmp=$C122)*(PayDate&lt;=$AC122)*(ISERROR(SEARCH(PayEarnCode,W$4)))*(PayEarnTax)*(PayEarnValues)),SUMPRODUCT((PayEmp=$C122)*(PayDate&lt;=$AC122)*(ISERROR(SEARCH(PayEarnCode,W$4)))*(PayEarnValues))),IF(ISNUMBER(W$3),W$3/12*$AA122,IgnoreMin)))*OFFSET(Setup!$E$81,MATCH(W$5,CompListItem,0),0,1,1)-SUMIFS(OFFSET(W$6,1,0,PayCount,1),PayDate,"&lt;"&amp;$AC122,PayEmp,$C122)))))))</f>
        <v>0</v>
      </c>
      <c r="X122" s="185">
        <f t="shared" ca="1" si="48"/>
        <v>100</v>
      </c>
      <c r="Y122" s="139">
        <f t="shared" ca="1" si="57"/>
        <v>5100</v>
      </c>
      <c r="Z122" s="139">
        <f t="shared" ca="1" si="49"/>
        <v>150</v>
      </c>
      <c r="AA122" s="146">
        <f ca="1">IF(OR($B122&lt;=Setup!$E$12,$B122&gt;=Setup!$D$12+1),0,IF($F122&lt;&gt;"Active",0,IF($AE122="Yes",$AB122,((YEAR($AC122)*12)+MONTH($AC122))-((YEAR($AD122)*12)+MONTH($AD122)-1))))</f>
        <v>8</v>
      </c>
      <c r="AB122" s="146">
        <f ca="1">IF(OR($B122&lt;=Setup!$E$12,$B122&gt;=Setup!$D$12+1),0,((YEAR($AC122)*12)+MONTH($AC122))-((YEAR(Setup!$E$12)*12)+MONTH(Setup!$E$12)))</f>
        <v>8</v>
      </c>
      <c r="AC122" s="186">
        <f t="shared" ca="1" si="50"/>
        <v>45224</v>
      </c>
      <c r="AD122" s="144">
        <f ca="1">IF(ISNA(VLOOKUP($C122,EmpAll,COLUMN(Emp!$E$4),0)),$AC122,IF(VLOOKUP($C122,EmpAll,COLUMN(Emp!$E$4),0)&lt;=Setup!$E$12,DATE(YEAR(Setup!$E$12),MONTH(Setup!$E$12)+1,1),VLOOKUP($C122,EmpAll,COLUMN(Emp!$E$4),0)))</f>
        <v>44986</v>
      </c>
      <c r="AE122" s="144" t="str">
        <f ca="1">IF(ISNA(VLOOKUP($C122,EmpAll,COLUMN(Emp!$G$1),0)),"-",IF(VLOOKUP($C122,EmpAll,COLUMN(Emp!$G$1),0)=0,"-",VLOOKUP($C122,EmpAll,COLUMN(Emp!$G$1),0)))</f>
        <v>-</v>
      </c>
      <c r="AF122" s="145">
        <f ca="1">IF(A122=PaySlip!$G$3,1,0)</f>
        <v>0</v>
      </c>
      <c r="AG122" s="130" cm="1">
        <f t="array" aca="1" ref="AG122" ca="1">IF(COUNTIFS(OverEmp,$C122,OverMed,"MED",OverDate,"&lt;"&amp;DATE(YEAR($AC122),MONTH($AC122)+1,1),OverEnd,"&gt;="&amp;DATE(YEAR($AC122),MONTH($AC122),1))&gt;0,SUMIFS(OverValue,OverEmp,$C122,OverMed,"MED",OverDate,"&lt;"&amp;DATE(YEAR($AC122),MONTH($AC122)+1,1),OverEnd,"&gt;="&amp;DATE(YEAR($AC122),MONTH($AC122),1)),IF(ISNA(VLOOKUP($C122,EmpAll,COLUMN(Emp!$N$4),0)),0,VLOOKUP($C122,EmpAll,COLUMN(Emp!$N$4),0)))</f>
        <v>0</v>
      </c>
      <c r="AH122" s="146">
        <f ca="1">VLOOKUP($AG122,MedList,COLUMN(Setup!$C$49),1)</f>
        <v>0</v>
      </c>
      <c r="AI122" s="146">
        <f t="shared" ca="1" si="40"/>
        <v>0</v>
      </c>
      <c r="AJ122" s="101" t="str">
        <f ca="1">IF(ISNA(VLOOKUP($C122,EmpAll,COLUMN(Emp!$L$4),0)),"None!",VLOOKUP($C122,EmpAll,COLUMN(Emp!$L$4),0))</f>
        <v>A</v>
      </c>
      <c r="AK122" s="147">
        <f t="shared" ca="1" si="51"/>
        <v>17235</v>
      </c>
      <c r="AL122" s="101" t="str">
        <f ca="1">IF(ISNA(VLOOKUP($C122,Employees[],COLUMN(Emp!$M$4),0))=TRUE,"Error!",IF(VLOOKUP($C122,Employees[],COLUMN(Emp!$M$4),0)=0,"Yes",VLOOKUP($C122,Employees[],COLUMN(Emp!$M$4),0)))</f>
        <v>A</v>
      </c>
      <c r="AM122" s="148">
        <f t="shared" ca="1" si="41"/>
        <v>60000</v>
      </c>
      <c r="AN122" s="148" cm="1">
        <f t="array" aca="1" ref="AN122" ca="1">-IF($F122="Terminated",0,IF($AA122=0,0,IF(ISNA(MATCH(AN$5,PayDedList,0)),0,MIN(IF(COUNTIFS(OverEmp,$C122,OverDeduct,AN$5,OverDate,"&lt;"&amp;DATE(YEAR($AC122),MONTH($AC122)+1,1),OverEnd,"&gt;="&amp;DATE(YEAR($AC122),MONTH($AC122),1))&gt;0,SUMPRODUCT((PayEmp=$C122)*(PayDate&lt;=$AC122)*(OFFSET($N$6,1,MATCH(AN$5,PayDedList,0)-1,PayCount,1)))/$AA122*12*AN$3,IF(OR(AN$1="Fixed",AN$1="Not Used"),SUMPRODUCT((PayEmp=$C122)*(PayDate&lt;=$AC122)*(OFFSET($N$6,1,MATCH(AN$5,PayDedList,0)-1,PayCount,1)))/$AA122*12*AN$3,IF(ISNA(MATCH(AN$1,EarnListItem,0))=FALSE,SUMPRODUCT((PayEmp=$C122)*(PayDate&lt;=$AC122)*(OFFSET($N$6,1,MATCH(AN$5,PayDedList,0)-1,PayCount,1)))/$AA122*12*AN$3,(MIN(((SUMPRODUCT((PayEmp=$C122)*(PayDate&lt;=$AC122)*(ISERROR(SEARCH(PayEarnCode,AN$2)))*(PayEarnType="Monthly")*(PayEarnValues))/$AA122*12)+(SUMPRODUCT((PayEmp=$C122)*(PayDate&lt;=$AC122)*(ISERROR(SEARCH(PayEarnCode,AN$2)))*(PayEarnType="Quarterly")*(PayEarnValues))/MAX(1,ROUNDDOWN($AB122/3,0))*4)+(SUMPRODUCT((PayEmp=$C122)*(PayDate&lt;=$AC122)*(ISERROR(SEARCH(PayEarnCode,AN$2)))*(PayEarnType="Bi-Annual")*(PayEarnValues))/MAX(1,ROUNDDOWN($AB122/6,0))*2)+(SUMPRODUCT((PayEmp=$C122)*(PayDate&lt;=$AC122)*(ISERROR(SEARCH(PayEarnCode,AN$2)))*(PayEarnType="Annual")*(PayEarnValues)))),IF(ISNUMBER(OFFSET($N$3,0,MATCH(AN$5,PayDedList,0)-1,1,1)),OFFSET($N$3,0,MATCH(AN$5,PayDedList,0)-1,1,1),IgnoreMin)))*IF(COUNTIFS(EmpNo,$C122,OFFSET(Emp!$R$4,1,MATCH(AN$5,DedListItem,0)-1,EmpCount,1),"&lt;&gt;")&gt;0,VLOOKUP($C122,EmpAll,COLUMN(Emp!$R$4)+MATCH(AN$5,DedListItem,0)-1,0),OFFSET(Setup!$E$73,MATCH(AN$5,DedListItem,0),0,1,1))*AN$3))),IF(ISNUMBER(AN$4),AN$4,IgnoreMin)))))</f>
        <v>0</v>
      </c>
      <c r="AO122" s="148" cm="1">
        <f t="array" aca="1" ref="AO122" ca="1">-IF($F122="Terminated",0,IF($AA122=0,0,IF(ISNA(MATCH(AO$5,PayDedList,0)),0,MIN(IF(COUNTIFS(OverEmp,$C122,OverDeduct,AO$5,OverDate,"&lt;"&amp;DATE(YEAR($AC122),MONTH($AC122)+1,1),OverEnd,"&gt;="&amp;DATE(YEAR($AC122),MONTH($AC122),1))&gt;0,SUMPRODUCT((PayEmp=$C122)*(PayDate&lt;=$AC122)*(OFFSET($N$6,1,MATCH(AO$5,PayDedList,0)-1,PayCount,1)))/$AA122*12*AO$3,IF(OR(AO$1="Fixed",AO$1="Not Used"),SUMPRODUCT((PayEmp=$C122)*(PayDate&lt;=$AC122)*(OFFSET($N$6,1,MATCH(AO$5,PayDedList,0)-1,PayCount,1)))/$AA122*12*AO$3,IF(ISNA(MATCH(AO$1,EarnListItem,0))=FALSE,SUMPRODUCT((PayEmp=$C122)*(PayDate&lt;=$AC122)*(OFFSET($N$6,1,MATCH(AO$5,PayDedList,0)-1,PayCount,1)))/$AA122*12*AO$3,(MIN(((SUMPRODUCT((PayEmp=$C122)*(PayDate&lt;=$AC122)*(ISERROR(SEARCH(PayEarnCode,AO$2)))*(PayEarnType="Monthly")*(PayEarnValues))/$AA122*12)+(SUMPRODUCT((PayEmp=$C122)*(PayDate&lt;=$AC122)*(ISERROR(SEARCH(PayEarnCode,AO$2)))*(PayEarnType="Quarterly")*(PayEarnValues))/MAX(1,ROUNDDOWN($AB122/3,0))*4)+(SUMPRODUCT((PayEmp=$C122)*(PayDate&lt;=$AC122)*(ISERROR(SEARCH(PayEarnCode,AO$2)))*(PayEarnType="Bi-Annual")*(PayEarnValues))/MAX(1,ROUNDDOWN($AB122/6,0))*2)+(SUMPRODUCT((PayEmp=$C122)*(PayDate&lt;=$AC122)*(ISERROR(SEARCH(PayEarnCode,AO$2)))*(PayEarnType="Annual")*(PayEarnValues)))),IF(ISNUMBER(OFFSET($N$3,0,MATCH(AO$5,PayDedList,0)-1,1,1)),OFFSET($N$3,0,MATCH(AO$5,PayDedList,0)-1,1,1),IgnoreMin)))*IF(COUNTIFS(EmpNo,$C122,OFFSET(Emp!$R$4,1,MATCH(AO$5,DedListItem,0)-1,EmpCount,1),"&lt;&gt;")&gt;0,VLOOKUP($C122,EmpAll,COLUMN(Emp!$R$4)+MATCH(AO$5,DedListItem,0)-1,0),OFFSET(Setup!$E$73,MATCH(AO$5,DedListItem,0),0,1,1))*AO$3))),IF(ISNUMBER(AO$4),AO$4,IgnoreMin)))))</f>
        <v>0</v>
      </c>
      <c r="AP122" s="148" cm="1">
        <f t="array" aca="1" ref="AP122" ca="1">-IF($F122="Terminated",0,IF($AA122=0,0,IF(ISNA(MATCH(AP$5,PayDedList,0)),0,MIN(IF(COUNTIFS(OverEmp,$C122,OverDeduct,AP$5,OverDate,"&lt;"&amp;DATE(YEAR($AC122),MONTH($AC122)+1,1),OverEnd,"&gt;="&amp;DATE(YEAR($AC122),MONTH($AC122),1))&gt;0,SUMPRODUCT((PayEmp=$C122)*(PayDate&lt;=$AC122)*(OFFSET($N$6,1,MATCH(AP$5,PayDedList,0)-1,PayCount,1)))/$AA122*12*AP$3,IF(OR(AP$1="Fixed",AP$1="Not Used"),SUMPRODUCT((PayEmp=$C122)*(PayDate&lt;=$AC122)*(OFFSET($N$6,1,MATCH(AP$5,PayDedList,0)-1,PayCount,1)))/$AA122*12*AP$3,IF(ISNA(MATCH(AP$1,EarnListItem,0))=FALSE,SUMPRODUCT((PayEmp=$C122)*(PayDate&lt;=$AC122)*(OFFSET($N$6,1,MATCH(AP$5,PayDedList,0)-1,PayCount,1)))/$AA122*12*AP$3,(MIN(((SUMPRODUCT((PayEmp=$C122)*(PayDate&lt;=$AC122)*(ISERROR(SEARCH(PayEarnCode,AP$2)))*(PayEarnType="Monthly")*(PayEarnValues))/$AA122*12)+(SUMPRODUCT((PayEmp=$C122)*(PayDate&lt;=$AC122)*(ISERROR(SEARCH(PayEarnCode,AP$2)))*(PayEarnType="Quarterly")*(PayEarnValues))/MAX(1,ROUNDDOWN($AB122/3,0))*4)+(SUMPRODUCT((PayEmp=$C122)*(PayDate&lt;=$AC122)*(ISERROR(SEARCH(PayEarnCode,AP$2)))*(PayEarnType="Bi-Annual")*(PayEarnValues))/MAX(1,ROUNDDOWN($AB122/6,0))*2)+(SUMPRODUCT((PayEmp=$C122)*(PayDate&lt;=$AC122)*(ISERROR(SEARCH(PayEarnCode,AP$2)))*(PayEarnType="Annual")*(PayEarnValues)))),IF(ISNUMBER(OFFSET($N$3,0,MATCH(AP$5,PayDedList,0)-1,1,1)),OFFSET($N$3,0,MATCH(AP$5,PayDedList,0)-1,1,1),IgnoreMin)))*IF(COUNTIFS(EmpNo,$C122,OFFSET(Emp!$R$4,1,MATCH(AP$5,DedListItem,0)-1,EmpCount,1),"&lt;&gt;")&gt;0,VLOOKUP($C122,EmpAll,COLUMN(Emp!$R$4)+MATCH(AP$5,DedListItem,0)-1,0),OFFSET(Setup!$E$73,MATCH(AP$5,DedListItem,0),0,1,1))*AP$3))),IF(ISNUMBER(AP$4),AP$4,IgnoreMin)))))</f>
        <v>0</v>
      </c>
      <c r="AQ122" s="148" cm="1">
        <f t="array" aca="1" ref="AQ122" ca="1">-IF($F122="Terminated",0,IF($AA122=0,0,IF(ISNA(MATCH(AQ$5,PayDedList,0)),0,MIN(IF(COUNTIFS(OverEmp,$C122,OverDeduct,AQ$5,OverDate,"&lt;"&amp;DATE(YEAR($AC122),MONTH($AC122)+1,1),OverEnd,"&gt;="&amp;DATE(YEAR($AC122),MONTH($AC122),1))&gt;0,SUMPRODUCT((PayEmp=$C122)*(PayDate&lt;=$AC122)*(OFFSET($N$6,1,MATCH(AQ$5,PayDedList,0)-1,PayCount,1)))/$AA122*12*AQ$3,IF(OR(AQ$1="Fixed",AQ$1="Not Used"),SUMPRODUCT((PayEmp=$C122)*(PayDate&lt;=$AC122)*(OFFSET($N$6,1,MATCH(AQ$5,PayDedList,0)-1,PayCount,1)))/$AA122*12*AQ$3,IF(ISNA(MATCH(AQ$1,EarnListItem,0))=FALSE,SUMPRODUCT((PayEmp=$C122)*(PayDate&lt;=$AC122)*(OFFSET($N$6,1,MATCH(AQ$5,PayDedList,0)-1,PayCount,1)))/$AA122*12*AQ$3,(MIN(((SUMPRODUCT((PayEmp=$C122)*(PayDate&lt;=$AC122)*(ISERROR(SEARCH(PayEarnCode,AQ$2)))*(PayEarnType="Monthly")*(PayEarnValues))/$AA122*12)+(SUMPRODUCT((PayEmp=$C122)*(PayDate&lt;=$AC122)*(ISERROR(SEARCH(PayEarnCode,AQ$2)))*(PayEarnType="Quarterly")*(PayEarnValues))/MAX(1,ROUNDDOWN($AB122/3,0))*4)+(SUMPRODUCT((PayEmp=$C122)*(PayDate&lt;=$AC122)*(ISERROR(SEARCH(PayEarnCode,AQ$2)))*(PayEarnType="Bi-Annual")*(PayEarnValues))/MAX(1,ROUNDDOWN($AB122/6,0))*2)+(SUMPRODUCT((PayEmp=$C122)*(PayDate&lt;=$AC122)*(ISERROR(SEARCH(PayEarnCode,AQ$2)))*(PayEarnType="Annual")*(PayEarnValues)))),IF(ISNUMBER(OFFSET($N$3,0,MATCH(AQ$5,PayDedList,0)-1,1,1)),OFFSET($N$3,0,MATCH(AQ$5,PayDedList,0)-1,1,1),IgnoreMin)))*IF(COUNTIFS(EmpNo,$C122,OFFSET(Emp!$R$4,1,MATCH(AQ$5,DedListItem,0)-1,EmpCount,1),"&lt;&gt;")&gt;0,VLOOKUP($C122,EmpAll,COLUMN(Emp!$R$4)+MATCH(AQ$5,DedListItem,0)-1,0),OFFSET(Setup!$E$73,MATCH(AQ$5,DedListItem,0),0,1,1))*AQ$3))),IF(ISNUMBER(AQ$4),AQ$4,IgnoreMin)))))</f>
        <v>0</v>
      </c>
      <c r="AR122" s="148">
        <f t="shared" ca="1" si="52"/>
        <v>60000</v>
      </c>
      <c r="AS122" s="148">
        <f t="shared" ca="1" si="42"/>
        <v>60000</v>
      </c>
      <c r="AT122" s="148" cm="1">
        <f t="array" aca="1" ref="AT122" ca="1">-IF($F122="Terminated",0,IF($AA122=0,0,IF(ISNA(MATCH(AT$5,PayDedList,0)),0,MIN(IF(COUNTIFS(OverEmp,$C122,OverDeduct,AT$5,OverDate,"&lt;"&amp;DATE(YEAR($AC122),MONTH($AC122)+1,1),OverEnd,"&gt;="&amp;DATE(YEAR($AC122),MONTH($AC122),1))&gt;0,SUMPRODUCT((PayEmp=$C122)*(PayDate&lt;=$AC122)*(OFFSET($N$6,1,MATCH(AT$5,PayDedList,0)-1,PayCount,1)))/$AA122*12*AT$3,IF(OR(AT$1="Fixed",AT$1="Not Used"),SUMPRODUCT((PayEmp=$C122)*(PayDate&lt;=$AC122)*(OFFSET($N$6,1,MATCH(AT$5,PayDedList,0)-1,PayCount,1)))/$AA122*12*AT$3,IF(ISNA(MATCH(OFFSET($N$2,0,MATCH(AT$5,PayDedList,0)-1,1,1),EarnListItem,0))=FALSE,SUMPRODUCT((PayEmp=$C122)*(PayDate&lt;=$AC122)*(OFFSET($N$6,1,MATCH(AT$5,PayDedList,0)-1,PayCount,1)))/$AA122*12*AT$3,(MIN(SUMPRODUCT((PayEmp=$C122)*(PayDate&lt;=$AC122)*(ISERROR(SEARCH(PayEarnCode,AT$2)))*(PayEarnType="Monthly")*(PayEarnValues))/$AA122*12,IF(ISNUMBER(OFFSET($N$3,0,MATCH(AT$5,PayDedList,0)-1,1,1)),OFFSET($N$3,0,MATCH(AT$5,PayDedList,0)-1,1,1),IgnoreMin)))*IF(COUNTIFS(EmpNo,$C122,OFFSET(Emp!$R$4,1,MATCH(AT$5,DedListItem,0)-1,EmpCount,1),"&lt;&gt;")&gt;0,VLOOKUP($C122,EmpAll,COLUMN(Emp!$R$4)+MATCH(AT$5,DedListItem,0)-1,0),OFFSET(Setup!$E$73,MATCH(AT$5,DedListItem,0),0,1,1))*AT$3))),IF(ISNUMBER(AT$4),AT$4,IgnoreMin)))))</f>
        <v>0</v>
      </c>
      <c r="AU122" s="148" cm="1">
        <f t="array" aca="1" ref="AU122" ca="1">-IF($F122="Terminated",0,IF($AA122=0,0,IF(ISNA(MATCH(AU$5,PayDedList,0)),0,MIN(IF(COUNTIFS(OverEmp,$C122,OverDeduct,AU$5,OverDate,"&lt;"&amp;DATE(YEAR($AC122),MONTH($AC122)+1,1),OverEnd,"&gt;="&amp;DATE(YEAR($AC122),MONTH($AC122),1))&gt;0,SUMPRODUCT((PayEmp=$C122)*(PayDate&lt;=$AC122)*(OFFSET($N$6,1,MATCH(AU$5,PayDedList,0)-1,PayCount,1)))/$AA122*12*AU$3,IF(OR(AU$1="Fixed",AU$1="Not Used"),SUMPRODUCT((PayEmp=$C122)*(PayDate&lt;=$AC122)*(OFFSET($N$6,1,MATCH(AU$5,PayDedList,0)-1,PayCount,1)))/$AA122*12*AU$3,IF(ISNA(MATCH(OFFSET($N$2,0,MATCH(AU$5,PayDedList,0)-1,1,1),EarnListItem,0))=FALSE,SUMPRODUCT((PayEmp=$C122)*(PayDate&lt;=$AC122)*(OFFSET($N$6,1,MATCH(AU$5,PayDedList,0)-1,PayCount,1)))/$AA122*12*AU$3,(MIN(SUMPRODUCT((PayEmp=$C122)*(PayDate&lt;=$AC122)*(ISERROR(SEARCH(PayEarnCode,AU$2)))*(PayEarnType="Monthly")*(PayEarnValues))/$AA122*12,IF(ISNUMBER(OFFSET($N$3,0,MATCH(AU$5,PayDedList,0)-1,1,1)),OFFSET($N$3,0,MATCH(AU$5,PayDedList,0)-1,1,1),IgnoreMin)))*IF(COUNTIFS(EmpNo,$C122,OFFSET(Emp!$R$4,1,MATCH(AU$5,DedListItem,0)-1,EmpCount,1),"&lt;&gt;")&gt;0,VLOOKUP($C122,EmpAll,COLUMN(Emp!$R$4)+MATCH(AU$5,DedListItem,0)-1,0),OFFSET(Setup!$E$73,MATCH(AU$5,DedListItem,0),0,1,1))*AU$3))),IF(ISNUMBER(AU$4),AU$4,IgnoreMin)))))</f>
        <v>0</v>
      </c>
      <c r="AV122" s="148" cm="1">
        <f t="array" aca="1" ref="AV122" ca="1">-IF($F122="Terminated",0,IF($AA122=0,0,IF(ISNA(MATCH(AV$5,PayDedList,0)),0,MIN(IF(COUNTIFS(OverEmp,$C122,OverDeduct,AV$5,OverDate,"&lt;"&amp;DATE(YEAR($AC122),MONTH($AC122)+1,1),OverEnd,"&gt;="&amp;DATE(YEAR($AC122),MONTH($AC122),1))&gt;0,SUMPRODUCT((PayEmp=$C122)*(PayDate&lt;=$AC122)*(OFFSET($N$6,1,MATCH(AV$5,PayDedList,0)-1,PayCount,1)))/$AA122*12*AV$3,IF(OR(AV$1="Fixed",AV$1="Not Used"),SUMPRODUCT((PayEmp=$C122)*(PayDate&lt;=$AC122)*(OFFSET($N$6,1,MATCH(AV$5,PayDedList,0)-1,PayCount,1)))/$AA122*12*AV$3,IF(ISNA(MATCH(OFFSET($N$2,0,MATCH(AV$5,PayDedList,0)-1,1,1),EarnListItem,0))=FALSE,SUMPRODUCT((PayEmp=$C122)*(PayDate&lt;=$AC122)*(OFFSET($N$6,1,MATCH(AV$5,PayDedList,0)-1,PayCount,1)))/$AA122*12*AV$3,(MIN(SUMPRODUCT((PayEmp=$C122)*(PayDate&lt;=$AC122)*(ISERROR(SEARCH(PayEarnCode,AV$2)))*(PayEarnType="Monthly")*(PayEarnValues))/$AA122*12,IF(ISNUMBER(OFFSET($N$3,0,MATCH(AV$5,PayDedList,0)-1,1,1)),OFFSET($N$3,0,MATCH(AV$5,PayDedList,0)-1,1,1),IgnoreMin)))*IF(COUNTIFS(EmpNo,$C122,OFFSET(Emp!$R$4,1,MATCH(AV$5,DedListItem,0)-1,EmpCount,1),"&lt;&gt;")&gt;0,VLOOKUP($C122,EmpAll,COLUMN(Emp!$R$4)+MATCH(AV$5,DedListItem,0)-1,0),OFFSET(Setup!$E$73,MATCH(AV$5,DedListItem,0),0,1,1))*AV$3))),IF(ISNUMBER(AV$4),AV$4,IgnoreMin)))))</f>
        <v>0</v>
      </c>
      <c r="AW122" s="148" cm="1">
        <f t="array" aca="1" ref="AW122" ca="1">-IF($F122="Terminated",0,IF($AA122=0,0,IF(ISNA(MATCH(AW$5,PayDedList,0)),0,MIN(IF(COUNTIFS(OverEmp,$C122,OverDeduct,AW$5,OverDate,"&lt;"&amp;DATE(YEAR($AC122),MONTH($AC122)+1,1),OverEnd,"&gt;="&amp;DATE(YEAR($AC122),MONTH($AC122),1))&gt;0,SUMPRODUCT((PayEmp=$C122)*(PayDate&lt;=$AC122)*(OFFSET($N$6,1,MATCH(AW$5,PayDedList,0)-1,PayCount,1)))/$AA122*12*AW$3,IF(OR(AW$1="Fixed",AW$1="Not Used"),SUMPRODUCT((PayEmp=$C122)*(PayDate&lt;=$AC122)*(OFFSET($N$6,1,MATCH(AW$5,PayDedList,0)-1,PayCount,1)))/$AA122*12*AW$3,IF(ISNA(MATCH(OFFSET($N$2,0,MATCH(AW$5,PayDedList,0)-1,1,1),EarnListItem,0))=FALSE,SUMPRODUCT((PayEmp=$C122)*(PayDate&lt;=$AC122)*(OFFSET($N$6,1,MATCH(AW$5,PayDedList,0)-1,PayCount,1)))/$AA122*12*AW$3,(MIN(SUMPRODUCT((PayEmp=$C122)*(PayDate&lt;=$AC122)*(ISERROR(SEARCH(PayEarnCode,AW$2)))*(PayEarnType="Monthly")*(PayEarnValues))/$AA122*12,IF(ISNUMBER(OFFSET($N$3,0,MATCH(AW$5,PayDedList,0)-1,1,1)),OFFSET($N$3,0,MATCH(AW$5,PayDedList,0)-1,1,1),IgnoreMin)))*IF(COUNTIFS(EmpNo,$C122,OFFSET(Emp!$R$4,1,MATCH(AW$5,DedListItem,0)-1,EmpCount,1),"&lt;&gt;")&gt;0,VLOOKUP($C122,EmpAll,COLUMN(Emp!$R$4)+MATCH(AW$5,DedListItem,0)-1,0),OFFSET(Setup!$E$73,MATCH(AW$5,DedListItem,0),0,1,1))*AW$3))),IF(ISNUMBER(AW$4),AW$4,IgnoreMin)))))</f>
        <v>0</v>
      </c>
      <c r="AX122" s="148">
        <f t="shared" ca="1" si="58"/>
        <v>60000</v>
      </c>
      <c r="AY122" s="148">
        <f t="shared" ca="1" si="59"/>
        <v>0</v>
      </c>
      <c r="AZ122" s="148">
        <f ca="1">IF(ISNUMBER($AL122),($AR122*$AL122)-$AI122-$AK122,MAX(0,IF($AL122="B",IF($AR122&lt;Setup!$C$32,($AR122*Setup!$D$32)-$AI122-$AK122,(($AR122-VLOOKUP($AR122,TaxAll2,1,1))*OFFSET(Setup!$D$32,MATCH($AR122,TaxBracket2,1),0,1,1))+OFFSET(Setup!$E$31,MATCH($AR122,TaxBracket2,1),0,1,1)-$AI122-$AK122),IF($AR122&lt;Setup!$C$21,($AR122*Setup!$D$21)-$AI122-$AK122,(($AR122-VLOOKUP($AR122,TaxAll1,1,1))*OFFSET(Setup!$D$21,MATCH($AR122,TaxBracket1,1),0,1,1))+OFFSET(Setup!$E$20,MATCH($AR122,TaxBracket1,1),0,1,1)-$AI122-$AK122))))</f>
        <v>0</v>
      </c>
      <c r="BA122" s="148">
        <f ca="1">IF(ISNUMBER($AL122),($AX122*$AL122)-$AI122-$AK122,MAX(0,IF($AL122="B",IF($AX122&lt;Setup!$C$32,($AX122*Setup!$D$32)-$AI122-$AK122,(($AX122-VLOOKUP($AX122,TaxAll2,1,1))*OFFSET(Setup!$D$32,MATCH($AX122,TaxBracket2,1),0,1,1))+OFFSET(Setup!$E$31,MATCH($AX122,TaxBracket2,1),0,1,1)-$AI122-$AK122),IF($AX122&lt;Setup!$C$21,($AX122*Setup!$D$21)-$AI122-$AK122,(($AX122-VLOOKUP($AX122,TaxAll1,1,1))*OFFSET(Setup!$D$21,MATCH($AX122,TaxBracket1,1),0,1,1))+OFFSET(Setup!$E$20,MATCH($AX122,TaxBracket1,1),0,1,1)-$AI122-$AK122))))</f>
        <v>0</v>
      </c>
      <c r="BB122" s="148">
        <f t="shared" ca="1" si="53"/>
        <v>0</v>
      </c>
      <c r="BC122" s="150">
        <f t="shared" ca="1" si="45"/>
        <v>1</v>
      </c>
      <c r="BD122" s="150">
        <f t="shared" ca="1" si="46"/>
        <v>0</v>
      </c>
      <c r="BE122" s="148">
        <f t="shared" ca="1" si="47"/>
        <v>60000</v>
      </c>
    </row>
    <row r="123" spans="1:57" ht="16.149999999999999" customHeight="1" x14ac:dyDescent="0.25">
      <c r="A123" s="10" t="str" cm="1">
        <f t="array" aca="1" ref="A123" ca="1">IF(ROW($A123)-ROW($A$6)&gt;EmpCount*12,"-",TEXT($B123,"yyyy")&amp;TEXT($B123,"mm")&amp;"-"&amp;$C123)</f>
        <v>202310-EXS012</v>
      </c>
      <c r="B123" s="137" cm="1">
        <f t="array" aca="1" ref="B123" ca="1">IF(ROW($A123)-ROW($A$6)&gt;EmpCount*12,Setup!$D$12,DATE(YEAR(Setup!$F$12),MONTH(Setup!$F$12)+ROUNDDOWN((ROW($A123)-ROW($A$6)-1)/EmpCount,0),IF(Setup!$C$14&gt;DAY(DATE(YEAR(Setup!$F$12),MONTH(Setup!$F$12)+ROUNDDOWN((ROW($A123)-ROW($A$6)-1)/EmpCount,0)+1,0)),DAY(DATE(YEAR(Setup!$F$12),MONTH(Setup!$F$12)+ROUNDDOWN((ROW($A123)-ROW($A$6)-1)/EmpCount,0)+1,0)),Setup!$C$14)))</f>
        <v>45224</v>
      </c>
      <c r="C123" s="101" t="str" cm="1">
        <f t="array" aca="1" ref="C123" ca="1">IF(ROW($A123)-ROW($A$6)&gt;EmpCount*12,"-",OFFSET(Emp!$A$4,ROW($A123)-ROW($A$6)-IF(ROW($A123)-ROW($A$6)&gt;EmpCount,ROUNDDOWN((ROW($A123)-ROW($A$6)-1)/EmpCount,0)*EmpCount,0),0,1,1))</f>
        <v>EXS012</v>
      </c>
      <c r="D123" s="10" t="str">
        <f ca="1">IF(ISNA(VLOOKUP($C123,EmpAll,COLUMN(Emp!$B$4),0)),"-",VLOOKUP($C123,EmpAll,COLUMN(Emp!$B$4),0))</f>
        <v>Williams VS</v>
      </c>
      <c r="E123" s="145" t="str">
        <f ca="1">IF(ISNA(VLOOKUP($C123,EmpAll,COLUMN(Emp!$C$4),0)),"-",VLOOKUP($C123,EmpAll,COLUMN(Emp!$C$4),0))</f>
        <v>A</v>
      </c>
      <c r="F123" s="101" t="str">
        <f ca="1">IF(ISNA(VLOOKUP($C123,EmpAll,COLUMN(Emp!$A$4),0)),"-",IF(AND(VLOOKUP($C123,EmpAll,COLUMN(Emp!$E$4),0)&lt;&gt;0,VLOOKUP($C123,EmpAll,COLUMN(Emp!$E$4),0)&gt;=DATE(YEAR($AC123),MONTH($AC123)+1,0)),"Inactive",IF(AND(VLOOKUP($C123,EmpAll,COLUMN(Emp!$F$4),0)&lt;&gt;0,VLOOKUP($C123,EmpAll,COLUMN(Emp!$F$4),0)&lt;=DATE(YEAR($AC123),MONTH($AC123),0)),"Terminated","Active")))</f>
        <v>Active</v>
      </c>
      <c r="G123" s="133" cm="1">
        <f t="array" aca="1" ref="G123" ca="1">IF($F123&lt;&gt;"Active",0,IF(COUNTIFS(OverEmp,$C123,OverEarn,G$2,OverDate,"&lt;"&amp;DATE(YEAR($AC123),MONTH($AC123)+1,1),OverEnd,"&gt;="&amp;DATE(YEAR($AC123),MONTH($AC123),1))&gt;0,SUMIFS(OverValue,OverEmp,$C123,OverEarn,G$2,OverDate,"&lt;"&amp;DATE(YEAR($AC123),MONTH($AC123)+1,1),OverEnd,"&gt;="&amp;DATE(YEAR($AC123),MONTH($AC123),1)),IF(AND($AC123&gt;=Setup!$E$10,SUMIFS(EmpIncrease,EmpCode,$C123)&gt;0),SUMIFS(EmpIncrease,EmpCode,$C123),SUMIFS(EmpSalary,EmpCode,$C123))))</f>
        <v>5000</v>
      </c>
      <c r="H123" s="133" cm="1">
        <f t="array" aca="1" ref="H123" ca="1">IF($F123&lt;&gt;"Active",0,IF(COUNTIFS(OverEmp,$C123,OverEarn,H$2,OverDate,"&lt;"&amp;DATE(YEAR($AC123),MONTH($AC123)+1,1),OverEnd,"&gt;="&amp;DATE(YEAR($AC123),MONTH($AC123),1))&gt;0,SUMIFS(OverValue,OverEmp,$C123,OverEarn,H$2,OverDate,"&lt;"&amp;DATE(YEAR($AC123),MONTH($AC123)+1,1),OverEnd,"&gt;="&amp;DATE(YEAR($AC123),MONTH($AC123),1)),0))</f>
        <v>0</v>
      </c>
      <c r="I123" s="133" cm="1">
        <f t="array" aca="1" ref="I123" ca="1">IF($F123&lt;&gt;"Active",0,IF(COUNTIFS(OverEmp,$C123,OverEarn,I$2,OverDate,"&lt;"&amp;DATE(YEAR($AC123),MONTH($AC123)+1,1),OverEnd,"&gt;="&amp;DATE(YEAR($AC123),MONTH($AC123),1))&gt;0,SUMIFS(OverValue,OverEmp,$C123,OverEarn,I$2,OverDate,"&lt;"&amp;DATE(YEAR($AC123),MONTH($AC123)+1,1),OverEnd,"&gt;="&amp;DATE(YEAR($AC123),MONTH($AC123),1)),IF(MONTH(B123)=Setup!$C$15,SUMIFS(EmpBonus,EmpCode,$C123),0)))</f>
        <v>0</v>
      </c>
      <c r="J123" s="133" cm="1">
        <f t="array" aca="1" ref="J123" ca="1">IF($F123&lt;&gt;"Active",0,IF(COUNTIFS(OverEmp,$C123,OverEarn,J$2,OverDate,"&lt;"&amp;DATE(YEAR($AC123),MONTH($AC123)+1,1),OverEnd,"&gt;="&amp;DATE(YEAR($AC123),MONTH($AC123),1))&gt;0,SUMIFS(OverValue,OverEmp,$C123,OverEarn,J$2,OverDate,"&lt;"&amp;DATE(YEAR($AC123),MONTH($AC123)+1,1),OverEnd,"&gt;="&amp;DATE(YEAR($AC123),MONTH($AC123),1)),0))</f>
        <v>0</v>
      </c>
      <c r="K123" s="133" cm="1">
        <f t="array" aca="1" ref="K123" ca="1">IF($F123&lt;&gt;"Active",0,IF(COUNTIFS(OverEmp,$C123,OverEarn,K$2,OverDate,"&lt;"&amp;DATE(YEAR($AC123),MONTH($AC123)+1,1),OverEnd,"&gt;="&amp;DATE(YEAR($AC123),MONTH($AC123),1))&gt;0,SUMIFS(OverValue,OverEmp,$C123,OverEarn,K$2,OverDate,"&lt;"&amp;DATE(YEAR($AC123),MONTH($AC123)+1,1),OverEnd,"&gt;="&amp;DATE(YEAR($AC123),MONTH($AC123),1)),0))</f>
        <v>0</v>
      </c>
      <c r="L123" s="185">
        <f t="shared" ca="1" si="54"/>
        <v>5000</v>
      </c>
      <c r="M123" s="182" cm="1">
        <f t="array" aca="1" ref="M123" ca="1">IF(COUNTIFS(OverEmp,$C123,OverTax,M$5,OverDate,"&lt;"&amp;DATE(YEAR($AC123),MONTH($AC123)+1,1),OverEnd,"&gt;="&amp;DATE(YEAR($AC123),MONTH($AC123),1))&gt;0,SUMIFS(OverValue,OverEmp,$C123,OverTax,M$5,OverDate,"&lt;"&amp;DATE(YEAR($AC123),MONTH($AC123)+1,1),OverEnd,"&gt;="&amp;DATE(YEAR($AC123),MONTH($AC123),1)),(($BA123/12*$AA123)+(BB123*IF(1-$BC123=0,0,BD123/(1-$BC123))))-IF($F123="Terminated",0,SUMIFS(PayTaxDeduct,PayDate,"&lt;"&amp;$AC123,PayEmp,$C123)))</f>
        <v>0</v>
      </c>
      <c r="N123" s="133" cm="1">
        <f t="array" aca="1" ref="N123" ca="1">IF($F123="Terminated",0,IF($AA123=0,0,IF(ISNA(MATCH(N$5,DedListItem,0)),0,IF(COUNTIFS(OverEmp,$C123,OverDeduct,N$5,OverDate,"&lt;"&amp;DATE(YEAR($AC123),MONTH($AC123)+1,1),OverEnd,"&gt;="&amp;DATE(YEAR($AC123),MONTH($AC123),1))&gt;0,SUMIFS(OverValue,OverEmp,$C123,OverDeduct,N$5,OverDate,"&lt;"&amp;DATE(YEAR($AC123),MONTH($AC123)+1,1),OverEnd,"&gt;="&amp;DATE(YEAR($AC123),MONTH($AC123),1)),IF(OR(N$2="Fixed",N$2="Not Used"),(IF(COUNTIFS(EmpNo,$C123,OFFSET(Emp!$R$4,1,MATCH(N$5,DedListItem,0)-1,EmpCount,1),"&lt;&gt;")&gt;0,VLOOKUP($C123,EmpAll,COLUMN(Emp!$R$4)+MATCH(N$5,DedListItem,0)-1,0),OFFSET(Setup!$E$73,MATCH(N$5,DedListItem,0),0,1,1))*$AA123)-SUMIFS(OFFSET(N$6,1,0,PayCount,1),PayDate,"&lt;"&amp;$AC123,PayEmp,$C123),IF(ISNA(MATCH(N$2,EarnListItem,0))=FALSE,IF(OFFSET(Setup!$G$73,MATCH(N$5,DedListItem,0),0,1,1)="Taxable",SUMPRODUCT((PayEmp=$C123)*(PayDate&lt;=$AC123)*(PayEarnCode=N$2)*(PayEarnTax)*(PayEarnValues)),SUMPRODUCT((PayEmp=$C123)*(PayDate&lt;=$AC123)*(PayEarnCode=N$2)*(PayEarnValues)))*IF(COUNTIFS(EmpNo,$C123,OFFSET(Emp!$R$4,1,MATCH(N$5,DedListItem,0)-1,EmpCount,1),"&lt;&gt;")&gt;0,VLOOKUP($C123,EmpAll,COLUMN(Emp!$R$4)+MATCH(N$5,DedListItem,0)-1,0),OFFSET(Setup!$E$73,MATCH(N$5,DedListItem,0),0,1,1)),(MIN(IF(OFFSET(Setup!$G$73,MATCH(N$5,DedListItem,0),0,1,1)="Taxable",SUMPRODUCT((PayEmp=$C123)*(PayDate&lt;=$AC123)*(ISERROR(SEARCH(PayEarnCode,N$4)))*(PayEarnTax)*(PayEarnValues)),SUMPRODUCT((PayEmp=$C123)*(PayDate&lt;=$AC123)*(ISERROR(SEARCH(PayEarnCode,N$4)))*(PayEarnValues))),IF(ISNUMBER(N$3),N$3/12*$AA123,IgnoreMin)))*IF(COUNTIFS(EmpNo,$C123,OFFSET(Emp!$R$4,1,MATCH(N$5,DedListItem,0)-1,EmpCount,1),"&lt;&gt;")&gt;0,VLOOKUP($C123,EmpAll,COLUMN(Emp!$R$4)+MATCH(N$5,DedListItem,0)-1,0),OFFSET(Setup!$E$73,MATCH(N$5,DedListItem,0),0,1,1)))-SUMIFS(OFFSET(N$6,1,0,PayCount,1),PayDate,"&lt;"&amp;$AC123,PayEmp,$C123))))))</f>
        <v>50</v>
      </c>
      <c r="O123" s="133" cm="1">
        <f t="array" aca="1" ref="O123" ca="1">IF($F123="Terminated",0,IF($AA123=0,0,IF(ISNA(MATCH(O$5,DedListItem,0)),0,IF(COUNTIFS(OverEmp,$C123,OverDeduct,O$5,OverDate,"&lt;"&amp;DATE(YEAR($AC123),MONTH($AC123)+1,1),OverEnd,"&gt;="&amp;DATE(YEAR($AC123),MONTH($AC123),1))&gt;0,SUMIFS(OverValue,OverEmp,$C123,OverDeduct,O$5,OverDate,"&lt;"&amp;DATE(YEAR($AC123),MONTH($AC123)+1,1),OverEnd,"&gt;="&amp;DATE(YEAR($AC123),MONTH($AC123),1)),IF(OR(O$2="Fixed",O$2="Not Used"),(IF(COUNTIFS(EmpNo,$C123,OFFSET(Emp!$R$4,1,MATCH(O$5,DedListItem,0)-1,EmpCount,1),"&lt;&gt;")&gt;0,VLOOKUP($C123,EmpAll,COLUMN(Emp!$R$4)+MATCH(O$5,DedListItem,0)-1,0),OFFSET(Setup!$E$73,MATCH(O$5,DedListItem,0),0,1,1))*$AA123)-SUMIFS(OFFSET(O$6,1,0,PayCount,1),PayDate,"&lt;"&amp;$AC123,PayEmp,$C123),IF(ISNA(MATCH(O$2,EarnListItem,0))=FALSE,IF(OFFSET(Setup!$G$73,MATCH(O$5,DedListItem,0),0,1,1)="Taxable",SUMPRODUCT((PayEmp=$C123)*(PayDate&lt;=$AC123)*(PayEarnCode=O$2)*(PayEarnTax)*(PayEarnValues)),SUMPRODUCT((PayEmp=$C123)*(PayDate&lt;=$AC123)*(PayEarnCode=O$2)*(PayEarnValues)))*IF(COUNTIFS(EmpNo,$C123,OFFSET(Emp!$R$4,1,MATCH(O$5,DedListItem,0)-1,EmpCount,1),"&lt;&gt;")&gt;0,VLOOKUP($C123,EmpAll,COLUMN(Emp!$R$4)+MATCH(O$5,DedListItem,0)-1,0),OFFSET(Setup!$E$73,MATCH(O$5,DedListItem,0),0,1,1)),(MIN(IF(OFFSET(Setup!$G$73,MATCH(O$5,DedListItem,0),0,1,1)="Taxable",SUMPRODUCT((PayEmp=$C123)*(PayDate&lt;=$AC123)*(ISERROR(SEARCH(PayEarnCode,O$4)))*(PayEarnTax)*(PayEarnValues)),SUMPRODUCT((PayEmp=$C123)*(PayDate&lt;=$AC123)*(ISERROR(SEARCH(PayEarnCode,O$4)))*(PayEarnValues))),IF(ISNUMBER(O$3),O$3/12*$AA123,IgnoreMin)))*IF(COUNTIFS(EmpNo,$C123,OFFSET(Emp!$R$4,1,MATCH(O$5,DedListItem,0)-1,EmpCount,1),"&lt;&gt;")&gt;0,VLOOKUP($C123,EmpAll,COLUMN(Emp!$R$4)+MATCH(O$5,DedListItem,0)-1,0),OFFSET(Setup!$E$73,MATCH(O$5,DedListItem,0),0,1,1)))-SUMIFS(OFFSET(O$6,1,0,PayCount,1),PayDate,"&lt;"&amp;$AC123,PayEmp,$C123))))))</f>
        <v>0</v>
      </c>
      <c r="P123" s="133" cm="1">
        <f t="array" aca="1" ref="P123" ca="1">IF($F123="Terminated",0,IF($AA123=0,0,IF(ISNA(MATCH(P$5,DedListItem,0)),0,IF(COUNTIFS(OverEmp,$C123,OverDeduct,P$5,OverDate,"&lt;"&amp;DATE(YEAR($AC123),MONTH($AC123)+1,1),OverEnd,"&gt;="&amp;DATE(YEAR($AC123),MONTH($AC123),1))&gt;0,SUMIFS(OverValue,OverEmp,$C123,OverDeduct,P$5,OverDate,"&lt;"&amp;DATE(YEAR($AC123),MONTH($AC123)+1,1),OverEnd,"&gt;="&amp;DATE(YEAR($AC123),MONTH($AC123),1)),IF(OR(P$2="Fixed",P$2="Not Used"),(IF(COUNTIFS(EmpNo,$C123,OFFSET(Emp!$R$4,1,MATCH(P$5,DedListItem,0)-1,EmpCount,1),"&lt;&gt;")&gt;0,VLOOKUP($C123,EmpAll,COLUMN(Emp!$R$4)+MATCH(P$5,DedListItem,0)-1,0),OFFSET(Setup!$E$73,MATCH(P$5,DedListItem,0),0,1,1))*$AA123)-SUMIFS(OFFSET(P$6,1,0,PayCount,1),PayDate,"&lt;"&amp;$AC123,PayEmp,$C123),IF(ISNA(MATCH(P$2,EarnListItem,0))=FALSE,IF(OFFSET(Setup!$G$73,MATCH(P$5,DedListItem,0),0,1,1)="Taxable",SUMPRODUCT((PayEmp=$C123)*(PayDate&lt;=$AC123)*(PayEarnCode=P$2)*(PayEarnTax)*(PayEarnValues)),SUMPRODUCT((PayEmp=$C123)*(PayDate&lt;=$AC123)*(PayEarnCode=P$2)*(PayEarnValues)))*IF(COUNTIFS(EmpNo,$C123,OFFSET(Emp!$R$4,1,MATCH(P$5,DedListItem,0)-1,EmpCount,1),"&lt;&gt;")&gt;0,VLOOKUP($C123,EmpAll,COLUMN(Emp!$R$4)+MATCH(P$5,DedListItem,0)-1,0),OFFSET(Setup!$E$73,MATCH(P$5,DedListItem,0),0,1,1)),(MIN(IF(OFFSET(Setup!$G$73,MATCH(P$5,DedListItem,0),0,1,1)="Taxable",SUMPRODUCT((PayEmp=$C123)*(PayDate&lt;=$AC123)*(ISERROR(SEARCH(PayEarnCode,P$4)))*(PayEarnTax)*(PayEarnValues)),SUMPRODUCT((PayEmp=$C123)*(PayDate&lt;=$AC123)*(ISERROR(SEARCH(PayEarnCode,P$4)))*(PayEarnValues))),IF(ISNUMBER(P$3),P$3/12*$AA123,IgnoreMin)))*IF(COUNTIFS(EmpNo,$C123,OFFSET(Emp!$R$4,1,MATCH(P$5,DedListItem,0)-1,EmpCount,1),"&lt;&gt;")&gt;0,VLOOKUP($C123,EmpAll,COLUMN(Emp!$R$4)+MATCH(P$5,DedListItem,0)-1,0),OFFSET(Setup!$E$73,MATCH(P$5,DedListItem,0),0,1,1)))-SUMIFS(OFFSET(P$6,1,0,PayCount,1),PayDate,"&lt;"&amp;$AC123,PayEmp,$C123))))))</f>
        <v>0</v>
      </c>
      <c r="Q123" s="133" cm="1">
        <f t="array" aca="1" ref="Q123" ca="1">IF($F123="Terminated",0,IF($AA123=0,0,IF(ISNA(MATCH(Q$5,DedListItem,0)),0,IF(COUNTIFS(OverEmp,$C123,OverDeduct,Q$5,OverDate,"&lt;"&amp;DATE(YEAR($AC123),MONTH($AC123)+1,1),OverEnd,"&gt;="&amp;DATE(YEAR($AC123),MONTH($AC123),1))&gt;0,SUMIFS(OverValue,OverEmp,$C123,OverDeduct,Q$5,OverDate,"&lt;"&amp;DATE(YEAR($AC123),MONTH($AC123)+1,1),OverEnd,"&gt;="&amp;DATE(YEAR($AC123),MONTH($AC123),1)),IF(OR(Q$2="Fixed",Q$2="Not Used"),(IF(COUNTIFS(EmpNo,$C123,OFFSET(Emp!$R$4,1,MATCH(Q$5,DedListItem,0)-1,EmpCount,1),"&lt;&gt;")&gt;0,VLOOKUP($C123,EmpAll,COLUMN(Emp!$R$4)+MATCH(Q$5,DedListItem,0)-1,0),OFFSET(Setup!$E$73,MATCH(Q$5,DedListItem,0),0,1,1))*$AA123)-SUMIFS(OFFSET(Q$6,1,0,PayCount,1),PayDate,"&lt;"&amp;$AC123,PayEmp,$C123),IF(ISNA(MATCH(Q$2,EarnListItem,0))=FALSE,IF(OFFSET(Setup!$G$73,MATCH(Q$5,DedListItem,0),0,1,1)="Taxable",SUMPRODUCT((PayEmp=$C123)*(PayDate&lt;=$AC123)*(PayEarnCode=Q$2)*(PayEarnTax)*(PayEarnValues)),SUMPRODUCT((PayEmp=$C123)*(PayDate&lt;=$AC123)*(PayEarnCode=Q$2)*(PayEarnValues)))*IF(COUNTIFS(EmpNo,$C123,OFFSET(Emp!$R$4,1,MATCH(Q$5,DedListItem,0)-1,EmpCount,1),"&lt;&gt;")&gt;0,VLOOKUP($C123,EmpAll,COLUMN(Emp!$R$4)+MATCH(Q$5,DedListItem,0)-1,0),OFFSET(Setup!$E$73,MATCH(Q$5,DedListItem,0),0,1,1)),(MIN(IF(OFFSET(Setup!$G$73,MATCH(Q$5,DedListItem,0),0,1,1)="Taxable",SUMPRODUCT((PayEmp=$C123)*(PayDate&lt;=$AC123)*(ISERROR(SEARCH(PayEarnCode,Q$4)))*(PayEarnTax)*(PayEarnValues)),SUMPRODUCT((PayEmp=$C123)*(PayDate&lt;=$AC123)*(ISERROR(SEARCH(PayEarnCode,Q$4)))*(PayEarnValues))),IF(ISNUMBER(Q$3),Q$3/12*$AA123,IgnoreMin)))*IF(COUNTIFS(EmpNo,$C123,OFFSET(Emp!$R$4,1,MATCH(Q$5,DedListItem,0)-1,EmpCount,1),"&lt;&gt;")&gt;0,VLOOKUP($C123,EmpAll,COLUMN(Emp!$R$4)+MATCH(Q$5,DedListItem,0)-1,0),OFFSET(Setup!$E$73,MATCH(Q$5,DedListItem,0),0,1,1)))-SUMIFS(OFFSET(Q$6,1,0,PayCount,1),PayDate,"&lt;"&amp;$AC123,PayEmp,$C123))))))</f>
        <v>0</v>
      </c>
      <c r="R123" s="185">
        <f t="shared" ca="1" si="55"/>
        <v>50</v>
      </c>
      <c r="S123" s="139">
        <f t="shared" ca="1" si="56"/>
        <v>4950</v>
      </c>
      <c r="T123" s="133" cm="1">
        <f t="array" aca="1" ref="T123" ca="1">IF($F123="Terminated",0,IF($AA123=0,0,IF(ISNA(MATCH(T$5,CompListItem,0)),0,IF(COUNTIFS(OverEmp,$C123,OverComp,T$5,OverDate,"&lt;"&amp;DATE(YEAR($AC123),MONTH($AC123)+1,1),OverEnd,"&gt;="&amp;DATE(YEAR($AC123),MONTH($AC123),1))&gt;0,SUMIFS(OverValue,OverEmp,$C123,OverComp,T$5,OverDate,"&lt;"&amp;DATE(YEAR($AC123),MONTH($AC123)+1,1),OverEnd,"&gt;="&amp;DATE(YEAR($AC123),MONTH($AC123),1)),IF(OR(T$2="Fixed",T$2="Not Used"),(OFFSET(Setup!$E$81,MATCH(T$5,CompListItem,0),0,1,1)*$AA123)-SUMIFS(OFFSET(T$6,1,0,PayCount,1),PayDate,"&lt;"&amp;$AC123,PayEmp,$C123),IF(ISNA(MATCH(T$2,DedListItem,0))=FALSE,(SUMPRODUCT((PayEmp=$C123)*(PayDate&lt;=$AC123)*(PayDedList=T$2)*(PayDedValues))*OFFSET(Setup!$E$81,MATCH(T$5,CompListItem,0),0,1,1))-SUMIFS(OFFSET(T$6,1,0,PayCount,1),PayDate,"&lt;"&amp;$AC123,PayEmp,$C123),(MIN(IF(OFFSET(Setup!$G$81,MATCH(T$5,CompListItem,0),0,1,1)="Taxable",SUMPRODUCT((PayEmp=$C123)*(PayDate&lt;=$AC123)*(ISERROR(SEARCH(PayEarnCode,T$4)))*(PayEarnTax)*(PayEarnValues)),SUMPRODUCT((PayEmp=$C123)*(PayDate&lt;=$AC123)*(ISERROR(SEARCH(PayEarnCode,T$4)))*(PayEarnValues))),IF(ISNUMBER(T$3),T$3/12*$AA123,IgnoreMin)))*OFFSET(Setup!$E$81,MATCH(T$5,CompListItem,0),0,1,1)-SUMIFS(OFFSET(T$6,1,0,PayCount,1),PayDate,"&lt;"&amp;$AC123,PayEmp,$C123)))))))</f>
        <v>50</v>
      </c>
      <c r="U123" s="133" cm="1">
        <f t="array" aca="1" ref="U123" ca="1">IF($F123="Terminated",0,IF($AA123=0,0,IF(ISNA(MATCH(U$5,CompListItem,0)),0,IF(COUNTIFS(OverEmp,$C123,OverComp,U$5,OverDate,"&lt;"&amp;DATE(YEAR($AC123),MONTH($AC123)+1,1),OverEnd,"&gt;="&amp;DATE(YEAR($AC123),MONTH($AC123),1))&gt;0,SUMIFS(OverValue,OverEmp,$C123,OverComp,U$5,OverDate,"&lt;"&amp;DATE(YEAR($AC123),MONTH($AC123)+1,1),OverEnd,"&gt;="&amp;DATE(YEAR($AC123),MONTH($AC123),1)),IF(OR(U$2="Fixed",U$2="Not Used"),(OFFSET(Setup!$E$81,MATCH(U$5,CompListItem,0),0,1,1)*$AA123)-SUMIFS(OFFSET(U$6,1,0,PayCount,1),PayDate,"&lt;"&amp;$AC123,PayEmp,$C123),IF(ISNA(MATCH(U$2,DedListItem,0))=FALSE,(SUMPRODUCT((PayEmp=$C123)*(PayDate&lt;=$AC123)*(PayDedList=U$2)*(PayDedValues))*OFFSET(Setup!$E$81,MATCH(U$5,CompListItem,0),0,1,1))-SUMIFS(OFFSET(U$6,1,0,PayCount,1),PayDate,"&lt;"&amp;$AC123,PayEmp,$C123),(MIN(IF(OFFSET(Setup!$G$81,MATCH(U$5,CompListItem,0),0,1,1)="Taxable",SUMPRODUCT((PayEmp=$C123)*(PayDate&lt;=$AC123)*(ISERROR(SEARCH(PayEarnCode,U$4)))*(PayEarnTax)*(PayEarnValues)),SUMPRODUCT((PayEmp=$C123)*(PayDate&lt;=$AC123)*(ISERROR(SEARCH(PayEarnCode,U$4)))*(PayEarnValues))),IF(ISNUMBER(U$3),U$3/12*$AA123,IgnoreMin)))*OFFSET(Setup!$E$81,MATCH(U$5,CompListItem,0),0,1,1)-SUMIFS(OFFSET(U$6,1,0,PayCount,1),PayDate,"&lt;"&amp;$AC123,PayEmp,$C123)))))))</f>
        <v>50</v>
      </c>
      <c r="V123" s="133" cm="1">
        <f t="array" aca="1" ref="V123" ca="1">IF($F123="Terminated",0,IF($AA123=0,0,IF(ISNA(MATCH(V$5,CompListItem,0)),0,IF(COUNTIFS(OverEmp,$C123,OverComp,V$5,OverDate,"&lt;"&amp;DATE(YEAR($AC123),MONTH($AC123)+1,1),OverEnd,"&gt;="&amp;DATE(YEAR($AC123),MONTH($AC123),1))&gt;0,SUMIFS(OverValue,OverEmp,$C123,OverComp,V$5,OverDate,"&lt;"&amp;DATE(YEAR($AC123),MONTH($AC123)+1,1),OverEnd,"&gt;="&amp;DATE(YEAR($AC123),MONTH($AC123),1)),IF(OR(V$2="Fixed",V$2="Not Used"),(OFFSET(Setup!$E$81,MATCH(V$5,CompListItem,0),0,1,1)*$AA123)-SUMIFS(OFFSET(V$6,1,0,PayCount,1),PayDate,"&lt;"&amp;$AC123,PayEmp,$C123),IF(ISNA(MATCH(V$2,DedListItem,0))=FALSE,(SUMPRODUCT((PayEmp=$C123)*(PayDate&lt;=$AC123)*(PayDedList=V$2)*(PayDedValues))*OFFSET(Setup!$E$81,MATCH(V$5,CompListItem,0),0,1,1))-SUMIFS(OFFSET(V$6,1,0,PayCount,1),PayDate,"&lt;"&amp;$AC123,PayEmp,$C123),(MIN(IF(OFFSET(Setup!$G$81,MATCH(V$5,CompListItem,0),0,1,1)="Taxable",SUMPRODUCT((PayEmp=$C123)*(PayDate&lt;=$AC123)*(ISERROR(SEARCH(PayEarnCode,V$4)))*(PayEarnTax)*(PayEarnValues)),SUMPRODUCT((PayEmp=$C123)*(PayDate&lt;=$AC123)*(ISERROR(SEARCH(PayEarnCode,V$4)))*(PayEarnValues))),IF(ISNUMBER(V$3),V$3/12*$AA123,IgnoreMin)))*OFFSET(Setup!$E$81,MATCH(V$5,CompListItem,0),0,1,1)-SUMIFS(OFFSET(V$6,1,0,PayCount,1),PayDate,"&lt;"&amp;$AC123,PayEmp,$C123)))))))</f>
        <v>0</v>
      </c>
      <c r="W123" s="133" cm="1">
        <f t="array" aca="1" ref="W123" ca="1">IF($F123="Terminated",0,IF($AA123=0,0,IF(ISNA(MATCH(W$5,CompListItem,0)),0,IF(COUNTIFS(OverEmp,$C123,OverComp,W$5,OverDate,"&lt;"&amp;DATE(YEAR($AC123),MONTH($AC123)+1,1),OverEnd,"&gt;="&amp;DATE(YEAR($AC123),MONTH($AC123),1))&gt;0,SUMIFS(OverValue,OverEmp,$C123,OverComp,W$5,OverDate,"&lt;"&amp;DATE(YEAR($AC123),MONTH($AC123)+1,1),OverEnd,"&gt;="&amp;DATE(YEAR($AC123),MONTH($AC123),1)),IF(OR(W$2="Fixed",W$2="Not Used"),(OFFSET(Setup!$E$81,MATCH(W$5,CompListItem,0),0,1,1)*$AA123)-SUMIFS(OFFSET(W$6,1,0,PayCount,1),PayDate,"&lt;"&amp;$AC123,PayEmp,$C123),IF(ISNA(MATCH(W$2,DedListItem,0))=FALSE,(SUMPRODUCT((PayEmp=$C123)*(PayDate&lt;=$AC123)*(PayDedList=W$2)*(PayDedValues))*OFFSET(Setup!$E$81,MATCH(W$5,CompListItem,0),0,1,1))-SUMIFS(OFFSET(W$6,1,0,PayCount,1),PayDate,"&lt;"&amp;$AC123,PayEmp,$C123),(MIN(IF(OFFSET(Setup!$G$81,MATCH(W$5,CompListItem,0),0,1,1)="Taxable",SUMPRODUCT((PayEmp=$C123)*(PayDate&lt;=$AC123)*(ISERROR(SEARCH(PayEarnCode,W$4)))*(PayEarnTax)*(PayEarnValues)),SUMPRODUCT((PayEmp=$C123)*(PayDate&lt;=$AC123)*(ISERROR(SEARCH(PayEarnCode,W$4)))*(PayEarnValues))),IF(ISNUMBER(W$3),W$3/12*$AA123,IgnoreMin)))*OFFSET(Setup!$E$81,MATCH(W$5,CompListItem,0),0,1,1)-SUMIFS(OFFSET(W$6,1,0,PayCount,1),PayDate,"&lt;"&amp;$AC123,PayEmp,$C123)))))))</f>
        <v>0</v>
      </c>
      <c r="X123" s="185">
        <f t="shared" ca="1" si="48"/>
        <v>100</v>
      </c>
      <c r="Y123" s="139">
        <f t="shared" ca="1" si="57"/>
        <v>5100</v>
      </c>
      <c r="Z123" s="139">
        <f t="shared" ca="1" si="49"/>
        <v>150</v>
      </c>
      <c r="AA123" s="146">
        <f ca="1">IF(OR($B123&lt;=Setup!$E$12,$B123&gt;=Setup!$D$12+1),0,IF($F123&lt;&gt;"Active",0,IF($AE123="Yes",$AB123,((YEAR($AC123)*12)+MONTH($AC123))-((YEAR($AD123)*12)+MONTH($AD123)-1))))</f>
        <v>8</v>
      </c>
      <c r="AB123" s="146">
        <f ca="1">IF(OR($B123&lt;=Setup!$E$12,$B123&gt;=Setup!$D$12+1),0,((YEAR($AC123)*12)+MONTH($AC123))-((YEAR(Setup!$E$12)*12)+MONTH(Setup!$E$12)))</f>
        <v>8</v>
      </c>
      <c r="AC123" s="186">
        <f t="shared" ca="1" si="50"/>
        <v>45224</v>
      </c>
      <c r="AD123" s="144">
        <f ca="1">IF(ISNA(VLOOKUP($C123,EmpAll,COLUMN(Emp!$E$4),0)),$AC123,IF(VLOOKUP($C123,EmpAll,COLUMN(Emp!$E$4),0)&lt;=Setup!$E$12,DATE(YEAR(Setup!$E$12),MONTH(Setup!$E$12)+1,1),VLOOKUP($C123,EmpAll,COLUMN(Emp!$E$4),0)))</f>
        <v>44986</v>
      </c>
      <c r="AE123" s="144" t="str">
        <f ca="1">IF(ISNA(VLOOKUP($C123,EmpAll,COLUMN(Emp!$G$1),0)),"-",IF(VLOOKUP($C123,EmpAll,COLUMN(Emp!$G$1),0)=0,"-",VLOOKUP($C123,EmpAll,COLUMN(Emp!$G$1),0)))</f>
        <v>-</v>
      </c>
      <c r="AF123" s="145">
        <f ca="1">IF(A123=PaySlip!$G$3,1,0)</f>
        <v>0</v>
      </c>
      <c r="AG123" s="130" cm="1">
        <f t="array" aca="1" ref="AG123" ca="1">IF(COUNTIFS(OverEmp,$C123,OverMed,"MED",OverDate,"&lt;"&amp;DATE(YEAR($AC123),MONTH($AC123)+1,1),OverEnd,"&gt;="&amp;DATE(YEAR($AC123),MONTH($AC123),1))&gt;0,SUMIFS(OverValue,OverEmp,$C123,OverMed,"MED",OverDate,"&lt;"&amp;DATE(YEAR($AC123),MONTH($AC123)+1,1),OverEnd,"&gt;="&amp;DATE(YEAR($AC123),MONTH($AC123),1)),IF(ISNA(VLOOKUP($C123,EmpAll,COLUMN(Emp!$N$4),0)),0,VLOOKUP($C123,EmpAll,COLUMN(Emp!$N$4),0)))</f>
        <v>0</v>
      </c>
      <c r="AH123" s="146">
        <f ca="1">VLOOKUP($AG123,MedList,COLUMN(Setup!$C$49),1)</f>
        <v>0</v>
      </c>
      <c r="AI123" s="146">
        <f t="shared" ca="1" si="40"/>
        <v>0</v>
      </c>
      <c r="AJ123" s="101" t="str">
        <f ca="1">IF(ISNA(VLOOKUP($C123,EmpAll,COLUMN(Emp!$L$4),0)),"None!",VLOOKUP($C123,EmpAll,COLUMN(Emp!$L$4),0))</f>
        <v>A</v>
      </c>
      <c r="AK123" s="147">
        <f t="shared" ca="1" si="51"/>
        <v>17235</v>
      </c>
      <c r="AL123" s="101" t="str">
        <f ca="1">IF(ISNA(VLOOKUP($C123,Employees[],COLUMN(Emp!$M$4),0))=TRUE,"Error!",IF(VLOOKUP($C123,Employees[],COLUMN(Emp!$M$4),0)=0,"Yes",VLOOKUP($C123,Employees[],COLUMN(Emp!$M$4),0)))</f>
        <v>A</v>
      </c>
      <c r="AM123" s="148">
        <f t="shared" ca="1" si="41"/>
        <v>60000</v>
      </c>
      <c r="AN123" s="148" cm="1">
        <f t="array" aca="1" ref="AN123" ca="1">-IF($F123="Terminated",0,IF($AA123=0,0,IF(ISNA(MATCH(AN$5,PayDedList,0)),0,MIN(IF(COUNTIFS(OverEmp,$C123,OverDeduct,AN$5,OverDate,"&lt;"&amp;DATE(YEAR($AC123),MONTH($AC123)+1,1),OverEnd,"&gt;="&amp;DATE(YEAR($AC123),MONTH($AC123),1))&gt;0,SUMPRODUCT((PayEmp=$C123)*(PayDate&lt;=$AC123)*(OFFSET($N$6,1,MATCH(AN$5,PayDedList,0)-1,PayCount,1)))/$AA123*12*AN$3,IF(OR(AN$1="Fixed",AN$1="Not Used"),SUMPRODUCT((PayEmp=$C123)*(PayDate&lt;=$AC123)*(OFFSET($N$6,1,MATCH(AN$5,PayDedList,0)-1,PayCount,1)))/$AA123*12*AN$3,IF(ISNA(MATCH(AN$1,EarnListItem,0))=FALSE,SUMPRODUCT((PayEmp=$C123)*(PayDate&lt;=$AC123)*(OFFSET($N$6,1,MATCH(AN$5,PayDedList,0)-1,PayCount,1)))/$AA123*12*AN$3,(MIN(((SUMPRODUCT((PayEmp=$C123)*(PayDate&lt;=$AC123)*(ISERROR(SEARCH(PayEarnCode,AN$2)))*(PayEarnType="Monthly")*(PayEarnValues))/$AA123*12)+(SUMPRODUCT((PayEmp=$C123)*(PayDate&lt;=$AC123)*(ISERROR(SEARCH(PayEarnCode,AN$2)))*(PayEarnType="Quarterly")*(PayEarnValues))/MAX(1,ROUNDDOWN($AB123/3,0))*4)+(SUMPRODUCT((PayEmp=$C123)*(PayDate&lt;=$AC123)*(ISERROR(SEARCH(PayEarnCode,AN$2)))*(PayEarnType="Bi-Annual")*(PayEarnValues))/MAX(1,ROUNDDOWN($AB123/6,0))*2)+(SUMPRODUCT((PayEmp=$C123)*(PayDate&lt;=$AC123)*(ISERROR(SEARCH(PayEarnCode,AN$2)))*(PayEarnType="Annual")*(PayEarnValues)))),IF(ISNUMBER(OFFSET($N$3,0,MATCH(AN$5,PayDedList,0)-1,1,1)),OFFSET($N$3,0,MATCH(AN$5,PayDedList,0)-1,1,1),IgnoreMin)))*IF(COUNTIFS(EmpNo,$C123,OFFSET(Emp!$R$4,1,MATCH(AN$5,DedListItem,0)-1,EmpCount,1),"&lt;&gt;")&gt;0,VLOOKUP($C123,EmpAll,COLUMN(Emp!$R$4)+MATCH(AN$5,DedListItem,0)-1,0),OFFSET(Setup!$E$73,MATCH(AN$5,DedListItem,0),0,1,1))*AN$3))),IF(ISNUMBER(AN$4),AN$4,IgnoreMin)))))</f>
        <v>0</v>
      </c>
      <c r="AO123" s="148" cm="1">
        <f t="array" aca="1" ref="AO123" ca="1">-IF($F123="Terminated",0,IF($AA123=0,0,IF(ISNA(MATCH(AO$5,PayDedList,0)),0,MIN(IF(COUNTIFS(OverEmp,$C123,OverDeduct,AO$5,OverDate,"&lt;"&amp;DATE(YEAR($AC123),MONTH($AC123)+1,1),OverEnd,"&gt;="&amp;DATE(YEAR($AC123),MONTH($AC123),1))&gt;0,SUMPRODUCT((PayEmp=$C123)*(PayDate&lt;=$AC123)*(OFFSET($N$6,1,MATCH(AO$5,PayDedList,0)-1,PayCount,1)))/$AA123*12*AO$3,IF(OR(AO$1="Fixed",AO$1="Not Used"),SUMPRODUCT((PayEmp=$C123)*(PayDate&lt;=$AC123)*(OFFSET($N$6,1,MATCH(AO$5,PayDedList,0)-1,PayCount,1)))/$AA123*12*AO$3,IF(ISNA(MATCH(AO$1,EarnListItem,0))=FALSE,SUMPRODUCT((PayEmp=$C123)*(PayDate&lt;=$AC123)*(OFFSET($N$6,1,MATCH(AO$5,PayDedList,0)-1,PayCount,1)))/$AA123*12*AO$3,(MIN(((SUMPRODUCT((PayEmp=$C123)*(PayDate&lt;=$AC123)*(ISERROR(SEARCH(PayEarnCode,AO$2)))*(PayEarnType="Monthly")*(PayEarnValues))/$AA123*12)+(SUMPRODUCT((PayEmp=$C123)*(PayDate&lt;=$AC123)*(ISERROR(SEARCH(PayEarnCode,AO$2)))*(PayEarnType="Quarterly")*(PayEarnValues))/MAX(1,ROUNDDOWN($AB123/3,0))*4)+(SUMPRODUCT((PayEmp=$C123)*(PayDate&lt;=$AC123)*(ISERROR(SEARCH(PayEarnCode,AO$2)))*(PayEarnType="Bi-Annual")*(PayEarnValues))/MAX(1,ROUNDDOWN($AB123/6,0))*2)+(SUMPRODUCT((PayEmp=$C123)*(PayDate&lt;=$AC123)*(ISERROR(SEARCH(PayEarnCode,AO$2)))*(PayEarnType="Annual")*(PayEarnValues)))),IF(ISNUMBER(OFFSET($N$3,0,MATCH(AO$5,PayDedList,0)-1,1,1)),OFFSET($N$3,0,MATCH(AO$5,PayDedList,0)-1,1,1),IgnoreMin)))*IF(COUNTIFS(EmpNo,$C123,OFFSET(Emp!$R$4,1,MATCH(AO$5,DedListItem,0)-1,EmpCount,1),"&lt;&gt;")&gt;0,VLOOKUP($C123,EmpAll,COLUMN(Emp!$R$4)+MATCH(AO$5,DedListItem,0)-1,0),OFFSET(Setup!$E$73,MATCH(AO$5,DedListItem,0),0,1,1))*AO$3))),IF(ISNUMBER(AO$4),AO$4,IgnoreMin)))))</f>
        <v>0</v>
      </c>
      <c r="AP123" s="148" cm="1">
        <f t="array" aca="1" ref="AP123" ca="1">-IF($F123="Terminated",0,IF($AA123=0,0,IF(ISNA(MATCH(AP$5,PayDedList,0)),0,MIN(IF(COUNTIFS(OverEmp,$C123,OverDeduct,AP$5,OverDate,"&lt;"&amp;DATE(YEAR($AC123),MONTH($AC123)+1,1),OverEnd,"&gt;="&amp;DATE(YEAR($AC123),MONTH($AC123),1))&gt;0,SUMPRODUCT((PayEmp=$C123)*(PayDate&lt;=$AC123)*(OFFSET($N$6,1,MATCH(AP$5,PayDedList,0)-1,PayCount,1)))/$AA123*12*AP$3,IF(OR(AP$1="Fixed",AP$1="Not Used"),SUMPRODUCT((PayEmp=$C123)*(PayDate&lt;=$AC123)*(OFFSET($N$6,1,MATCH(AP$5,PayDedList,0)-1,PayCount,1)))/$AA123*12*AP$3,IF(ISNA(MATCH(AP$1,EarnListItem,0))=FALSE,SUMPRODUCT((PayEmp=$C123)*(PayDate&lt;=$AC123)*(OFFSET($N$6,1,MATCH(AP$5,PayDedList,0)-1,PayCount,1)))/$AA123*12*AP$3,(MIN(((SUMPRODUCT((PayEmp=$C123)*(PayDate&lt;=$AC123)*(ISERROR(SEARCH(PayEarnCode,AP$2)))*(PayEarnType="Monthly")*(PayEarnValues))/$AA123*12)+(SUMPRODUCT((PayEmp=$C123)*(PayDate&lt;=$AC123)*(ISERROR(SEARCH(PayEarnCode,AP$2)))*(PayEarnType="Quarterly")*(PayEarnValues))/MAX(1,ROUNDDOWN($AB123/3,0))*4)+(SUMPRODUCT((PayEmp=$C123)*(PayDate&lt;=$AC123)*(ISERROR(SEARCH(PayEarnCode,AP$2)))*(PayEarnType="Bi-Annual")*(PayEarnValues))/MAX(1,ROUNDDOWN($AB123/6,0))*2)+(SUMPRODUCT((PayEmp=$C123)*(PayDate&lt;=$AC123)*(ISERROR(SEARCH(PayEarnCode,AP$2)))*(PayEarnType="Annual")*(PayEarnValues)))),IF(ISNUMBER(OFFSET($N$3,0,MATCH(AP$5,PayDedList,0)-1,1,1)),OFFSET($N$3,0,MATCH(AP$5,PayDedList,0)-1,1,1),IgnoreMin)))*IF(COUNTIFS(EmpNo,$C123,OFFSET(Emp!$R$4,1,MATCH(AP$5,DedListItem,0)-1,EmpCount,1),"&lt;&gt;")&gt;0,VLOOKUP($C123,EmpAll,COLUMN(Emp!$R$4)+MATCH(AP$5,DedListItem,0)-1,0),OFFSET(Setup!$E$73,MATCH(AP$5,DedListItem,0),0,1,1))*AP$3))),IF(ISNUMBER(AP$4),AP$4,IgnoreMin)))))</f>
        <v>0</v>
      </c>
      <c r="AQ123" s="148" cm="1">
        <f t="array" aca="1" ref="AQ123" ca="1">-IF($F123="Terminated",0,IF($AA123=0,0,IF(ISNA(MATCH(AQ$5,PayDedList,0)),0,MIN(IF(COUNTIFS(OverEmp,$C123,OverDeduct,AQ$5,OverDate,"&lt;"&amp;DATE(YEAR($AC123),MONTH($AC123)+1,1),OverEnd,"&gt;="&amp;DATE(YEAR($AC123),MONTH($AC123),1))&gt;0,SUMPRODUCT((PayEmp=$C123)*(PayDate&lt;=$AC123)*(OFFSET($N$6,1,MATCH(AQ$5,PayDedList,0)-1,PayCount,1)))/$AA123*12*AQ$3,IF(OR(AQ$1="Fixed",AQ$1="Not Used"),SUMPRODUCT((PayEmp=$C123)*(PayDate&lt;=$AC123)*(OFFSET($N$6,1,MATCH(AQ$5,PayDedList,0)-1,PayCount,1)))/$AA123*12*AQ$3,IF(ISNA(MATCH(AQ$1,EarnListItem,0))=FALSE,SUMPRODUCT((PayEmp=$C123)*(PayDate&lt;=$AC123)*(OFFSET($N$6,1,MATCH(AQ$5,PayDedList,0)-1,PayCount,1)))/$AA123*12*AQ$3,(MIN(((SUMPRODUCT((PayEmp=$C123)*(PayDate&lt;=$AC123)*(ISERROR(SEARCH(PayEarnCode,AQ$2)))*(PayEarnType="Monthly")*(PayEarnValues))/$AA123*12)+(SUMPRODUCT((PayEmp=$C123)*(PayDate&lt;=$AC123)*(ISERROR(SEARCH(PayEarnCode,AQ$2)))*(PayEarnType="Quarterly")*(PayEarnValues))/MAX(1,ROUNDDOWN($AB123/3,0))*4)+(SUMPRODUCT((PayEmp=$C123)*(PayDate&lt;=$AC123)*(ISERROR(SEARCH(PayEarnCode,AQ$2)))*(PayEarnType="Bi-Annual")*(PayEarnValues))/MAX(1,ROUNDDOWN($AB123/6,0))*2)+(SUMPRODUCT((PayEmp=$C123)*(PayDate&lt;=$AC123)*(ISERROR(SEARCH(PayEarnCode,AQ$2)))*(PayEarnType="Annual")*(PayEarnValues)))),IF(ISNUMBER(OFFSET($N$3,0,MATCH(AQ$5,PayDedList,0)-1,1,1)),OFFSET($N$3,0,MATCH(AQ$5,PayDedList,0)-1,1,1),IgnoreMin)))*IF(COUNTIFS(EmpNo,$C123,OFFSET(Emp!$R$4,1,MATCH(AQ$5,DedListItem,0)-1,EmpCount,1),"&lt;&gt;")&gt;0,VLOOKUP($C123,EmpAll,COLUMN(Emp!$R$4)+MATCH(AQ$5,DedListItem,0)-1,0),OFFSET(Setup!$E$73,MATCH(AQ$5,DedListItem,0),0,1,1))*AQ$3))),IF(ISNUMBER(AQ$4),AQ$4,IgnoreMin)))))</f>
        <v>0</v>
      </c>
      <c r="AR123" s="148">
        <f t="shared" ca="1" si="52"/>
        <v>60000</v>
      </c>
      <c r="AS123" s="148">
        <f t="shared" ca="1" si="42"/>
        <v>60000</v>
      </c>
      <c r="AT123" s="148" cm="1">
        <f t="array" aca="1" ref="AT123" ca="1">-IF($F123="Terminated",0,IF($AA123=0,0,IF(ISNA(MATCH(AT$5,PayDedList,0)),0,MIN(IF(COUNTIFS(OverEmp,$C123,OverDeduct,AT$5,OverDate,"&lt;"&amp;DATE(YEAR($AC123),MONTH($AC123)+1,1),OverEnd,"&gt;="&amp;DATE(YEAR($AC123),MONTH($AC123),1))&gt;0,SUMPRODUCT((PayEmp=$C123)*(PayDate&lt;=$AC123)*(OFFSET($N$6,1,MATCH(AT$5,PayDedList,0)-1,PayCount,1)))/$AA123*12*AT$3,IF(OR(AT$1="Fixed",AT$1="Not Used"),SUMPRODUCT((PayEmp=$C123)*(PayDate&lt;=$AC123)*(OFFSET($N$6,1,MATCH(AT$5,PayDedList,0)-1,PayCount,1)))/$AA123*12*AT$3,IF(ISNA(MATCH(OFFSET($N$2,0,MATCH(AT$5,PayDedList,0)-1,1,1),EarnListItem,0))=FALSE,SUMPRODUCT((PayEmp=$C123)*(PayDate&lt;=$AC123)*(OFFSET($N$6,1,MATCH(AT$5,PayDedList,0)-1,PayCount,1)))/$AA123*12*AT$3,(MIN(SUMPRODUCT((PayEmp=$C123)*(PayDate&lt;=$AC123)*(ISERROR(SEARCH(PayEarnCode,AT$2)))*(PayEarnType="Monthly")*(PayEarnValues))/$AA123*12,IF(ISNUMBER(OFFSET($N$3,0,MATCH(AT$5,PayDedList,0)-1,1,1)),OFFSET($N$3,0,MATCH(AT$5,PayDedList,0)-1,1,1),IgnoreMin)))*IF(COUNTIFS(EmpNo,$C123,OFFSET(Emp!$R$4,1,MATCH(AT$5,DedListItem,0)-1,EmpCount,1),"&lt;&gt;")&gt;0,VLOOKUP($C123,EmpAll,COLUMN(Emp!$R$4)+MATCH(AT$5,DedListItem,0)-1,0),OFFSET(Setup!$E$73,MATCH(AT$5,DedListItem,0),0,1,1))*AT$3))),IF(ISNUMBER(AT$4),AT$4,IgnoreMin)))))</f>
        <v>0</v>
      </c>
      <c r="AU123" s="148" cm="1">
        <f t="array" aca="1" ref="AU123" ca="1">-IF($F123="Terminated",0,IF($AA123=0,0,IF(ISNA(MATCH(AU$5,PayDedList,0)),0,MIN(IF(COUNTIFS(OverEmp,$C123,OverDeduct,AU$5,OverDate,"&lt;"&amp;DATE(YEAR($AC123),MONTH($AC123)+1,1),OverEnd,"&gt;="&amp;DATE(YEAR($AC123),MONTH($AC123),1))&gt;0,SUMPRODUCT((PayEmp=$C123)*(PayDate&lt;=$AC123)*(OFFSET($N$6,1,MATCH(AU$5,PayDedList,0)-1,PayCount,1)))/$AA123*12*AU$3,IF(OR(AU$1="Fixed",AU$1="Not Used"),SUMPRODUCT((PayEmp=$C123)*(PayDate&lt;=$AC123)*(OFFSET($N$6,1,MATCH(AU$5,PayDedList,0)-1,PayCount,1)))/$AA123*12*AU$3,IF(ISNA(MATCH(OFFSET($N$2,0,MATCH(AU$5,PayDedList,0)-1,1,1),EarnListItem,0))=FALSE,SUMPRODUCT((PayEmp=$C123)*(PayDate&lt;=$AC123)*(OFFSET($N$6,1,MATCH(AU$5,PayDedList,0)-1,PayCount,1)))/$AA123*12*AU$3,(MIN(SUMPRODUCT((PayEmp=$C123)*(PayDate&lt;=$AC123)*(ISERROR(SEARCH(PayEarnCode,AU$2)))*(PayEarnType="Monthly")*(PayEarnValues))/$AA123*12,IF(ISNUMBER(OFFSET($N$3,0,MATCH(AU$5,PayDedList,0)-1,1,1)),OFFSET($N$3,0,MATCH(AU$5,PayDedList,0)-1,1,1),IgnoreMin)))*IF(COUNTIFS(EmpNo,$C123,OFFSET(Emp!$R$4,1,MATCH(AU$5,DedListItem,0)-1,EmpCount,1),"&lt;&gt;")&gt;0,VLOOKUP($C123,EmpAll,COLUMN(Emp!$R$4)+MATCH(AU$5,DedListItem,0)-1,0),OFFSET(Setup!$E$73,MATCH(AU$5,DedListItem,0),0,1,1))*AU$3))),IF(ISNUMBER(AU$4),AU$4,IgnoreMin)))))</f>
        <v>0</v>
      </c>
      <c r="AV123" s="148" cm="1">
        <f t="array" aca="1" ref="AV123" ca="1">-IF($F123="Terminated",0,IF($AA123=0,0,IF(ISNA(MATCH(AV$5,PayDedList,0)),0,MIN(IF(COUNTIFS(OverEmp,$C123,OverDeduct,AV$5,OverDate,"&lt;"&amp;DATE(YEAR($AC123),MONTH($AC123)+1,1),OverEnd,"&gt;="&amp;DATE(YEAR($AC123),MONTH($AC123),1))&gt;0,SUMPRODUCT((PayEmp=$C123)*(PayDate&lt;=$AC123)*(OFFSET($N$6,1,MATCH(AV$5,PayDedList,0)-1,PayCount,1)))/$AA123*12*AV$3,IF(OR(AV$1="Fixed",AV$1="Not Used"),SUMPRODUCT((PayEmp=$C123)*(PayDate&lt;=$AC123)*(OFFSET($N$6,1,MATCH(AV$5,PayDedList,0)-1,PayCount,1)))/$AA123*12*AV$3,IF(ISNA(MATCH(OFFSET($N$2,0,MATCH(AV$5,PayDedList,0)-1,1,1),EarnListItem,0))=FALSE,SUMPRODUCT((PayEmp=$C123)*(PayDate&lt;=$AC123)*(OFFSET($N$6,1,MATCH(AV$5,PayDedList,0)-1,PayCount,1)))/$AA123*12*AV$3,(MIN(SUMPRODUCT((PayEmp=$C123)*(PayDate&lt;=$AC123)*(ISERROR(SEARCH(PayEarnCode,AV$2)))*(PayEarnType="Monthly")*(PayEarnValues))/$AA123*12,IF(ISNUMBER(OFFSET($N$3,0,MATCH(AV$5,PayDedList,0)-1,1,1)),OFFSET($N$3,0,MATCH(AV$5,PayDedList,0)-1,1,1),IgnoreMin)))*IF(COUNTIFS(EmpNo,$C123,OFFSET(Emp!$R$4,1,MATCH(AV$5,DedListItem,0)-1,EmpCount,1),"&lt;&gt;")&gt;0,VLOOKUP($C123,EmpAll,COLUMN(Emp!$R$4)+MATCH(AV$5,DedListItem,0)-1,0),OFFSET(Setup!$E$73,MATCH(AV$5,DedListItem,0),0,1,1))*AV$3))),IF(ISNUMBER(AV$4),AV$4,IgnoreMin)))))</f>
        <v>0</v>
      </c>
      <c r="AW123" s="148" cm="1">
        <f t="array" aca="1" ref="AW123" ca="1">-IF($F123="Terminated",0,IF($AA123=0,0,IF(ISNA(MATCH(AW$5,PayDedList,0)),0,MIN(IF(COUNTIFS(OverEmp,$C123,OverDeduct,AW$5,OverDate,"&lt;"&amp;DATE(YEAR($AC123),MONTH($AC123)+1,1),OverEnd,"&gt;="&amp;DATE(YEAR($AC123),MONTH($AC123),1))&gt;0,SUMPRODUCT((PayEmp=$C123)*(PayDate&lt;=$AC123)*(OFFSET($N$6,1,MATCH(AW$5,PayDedList,0)-1,PayCount,1)))/$AA123*12*AW$3,IF(OR(AW$1="Fixed",AW$1="Not Used"),SUMPRODUCT((PayEmp=$C123)*(PayDate&lt;=$AC123)*(OFFSET($N$6,1,MATCH(AW$5,PayDedList,0)-1,PayCount,1)))/$AA123*12*AW$3,IF(ISNA(MATCH(OFFSET($N$2,0,MATCH(AW$5,PayDedList,0)-1,1,1),EarnListItem,0))=FALSE,SUMPRODUCT((PayEmp=$C123)*(PayDate&lt;=$AC123)*(OFFSET($N$6,1,MATCH(AW$5,PayDedList,0)-1,PayCount,1)))/$AA123*12*AW$3,(MIN(SUMPRODUCT((PayEmp=$C123)*(PayDate&lt;=$AC123)*(ISERROR(SEARCH(PayEarnCode,AW$2)))*(PayEarnType="Monthly")*(PayEarnValues))/$AA123*12,IF(ISNUMBER(OFFSET($N$3,0,MATCH(AW$5,PayDedList,0)-1,1,1)),OFFSET($N$3,0,MATCH(AW$5,PayDedList,0)-1,1,1),IgnoreMin)))*IF(COUNTIFS(EmpNo,$C123,OFFSET(Emp!$R$4,1,MATCH(AW$5,DedListItem,0)-1,EmpCount,1),"&lt;&gt;")&gt;0,VLOOKUP($C123,EmpAll,COLUMN(Emp!$R$4)+MATCH(AW$5,DedListItem,0)-1,0),OFFSET(Setup!$E$73,MATCH(AW$5,DedListItem,0),0,1,1))*AW$3))),IF(ISNUMBER(AW$4),AW$4,IgnoreMin)))))</f>
        <v>0</v>
      </c>
      <c r="AX123" s="148">
        <f t="shared" ca="1" si="58"/>
        <v>60000</v>
      </c>
      <c r="AY123" s="148">
        <f t="shared" ca="1" si="59"/>
        <v>0</v>
      </c>
      <c r="AZ123" s="148">
        <f ca="1">IF(ISNUMBER($AL123),($AR123*$AL123)-$AI123-$AK123,MAX(0,IF($AL123="B",IF($AR123&lt;Setup!$C$32,($AR123*Setup!$D$32)-$AI123-$AK123,(($AR123-VLOOKUP($AR123,TaxAll2,1,1))*OFFSET(Setup!$D$32,MATCH($AR123,TaxBracket2,1),0,1,1))+OFFSET(Setup!$E$31,MATCH($AR123,TaxBracket2,1),0,1,1)-$AI123-$AK123),IF($AR123&lt;Setup!$C$21,($AR123*Setup!$D$21)-$AI123-$AK123,(($AR123-VLOOKUP($AR123,TaxAll1,1,1))*OFFSET(Setup!$D$21,MATCH($AR123,TaxBracket1,1),0,1,1))+OFFSET(Setup!$E$20,MATCH($AR123,TaxBracket1,1),0,1,1)-$AI123-$AK123))))</f>
        <v>0</v>
      </c>
      <c r="BA123" s="148">
        <f ca="1">IF(ISNUMBER($AL123),($AX123*$AL123)-$AI123-$AK123,MAX(0,IF($AL123="B",IF($AX123&lt;Setup!$C$32,($AX123*Setup!$D$32)-$AI123-$AK123,(($AX123-VLOOKUP($AX123,TaxAll2,1,1))*OFFSET(Setup!$D$32,MATCH($AX123,TaxBracket2,1),0,1,1))+OFFSET(Setup!$E$31,MATCH($AX123,TaxBracket2,1),0,1,1)-$AI123-$AK123),IF($AX123&lt;Setup!$C$21,($AX123*Setup!$D$21)-$AI123-$AK123,(($AX123-VLOOKUP($AX123,TaxAll1,1,1))*OFFSET(Setup!$D$21,MATCH($AX123,TaxBracket1,1),0,1,1))+OFFSET(Setup!$E$20,MATCH($AX123,TaxBracket1,1),0,1,1)-$AI123-$AK123))))</f>
        <v>0</v>
      </c>
      <c r="BB123" s="148">
        <f t="shared" ca="1" si="53"/>
        <v>0</v>
      </c>
      <c r="BC123" s="150">
        <f t="shared" ca="1" si="45"/>
        <v>1</v>
      </c>
      <c r="BD123" s="150">
        <f t="shared" ca="1" si="46"/>
        <v>0</v>
      </c>
      <c r="BE123" s="148">
        <f t="shared" ca="1" si="47"/>
        <v>60000</v>
      </c>
    </row>
    <row r="124" spans="1:57" ht="16.149999999999999" customHeight="1" x14ac:dyDescent="0.25">
      <c r="A124" s="10" t="str" cm="1">
        <f t="array" aca="1" ref="A124" ca="1">IF(ROW($A124)-ROW($A$6)&gt;EmpCount*12,"-",TEXT($B124,"yyyy")&amp;TEXT($B124,"mm")&amp;"-"&amp;$C124)</f>
        <v>202310-EXS013</v>
      </c>
      <c r="B124" s="137" cm="1">
        <f t="array" aca="1" ref="B124" ca="1">IF(ROW($A124)-ROW($A$6)&gt;EmpCount*12,Setup!$D$12,DATE(YEAR(Setup!$F$12),MONTH(Setup!$F$12)+ROUNDDOWN((ROW($A124)-ROW($A$6)-1)/EmpCount,0),IF(Setup!$C$14&gt;DAY(DATE(YEAR(Setup!$F$12),MONTH(Setup!$F$12)+ROUNDDOWN((ROW($A124)-ROW($A$6)-1)/EmpCount,0)+1,0)),DAY(DATE(YEAR(Setup!$F$12),MONTH(Setup!$F$12)+ROUNDDOWN((ROW($A124)-ROW($A$6)-1)/EmpCount,0)+1,0)),Setup!$C$14)))</f>
        <v>45224</v>
      </c>
      <c r="C124" s="101" t="str" cm="1">
        <f t="array" aca="1" ref="C124" ca="1">IF(ROW($A124)-ROW($A$6)&gt;EmpCount*12,"-",OFFSET(Emp!$A$4,ROW($A124)-ROW($A$6)-IF(ROW($A124)-ROW($A$6)&gt;EmpCount,ROUNDDOWN((ROW($A124)-ROW($A$6)-1)/EmpCount,0)*EmpCount,0),0,1,1))</f>
        <v>EXS013</v>
      </c>
      <c r="D124" s="10" t="str">
        <f ca="1">IF(ISNA(VLOOKUP($C124,EmpAll,COLUMN(Emp!$B$4),0)),"-",VLOOKUP($C124,EmpAll,COLUMN(Emp!$B$4),0))</f>
        <v>East WD</v>
      </c>
      <c r="E124" s="145" t="str">
        <f ca="1">IF(ISNA(VLOOKUP($C124,EmpAll,COLUMN(Emp!$C$4),0)),"-",VLOOKUP($C124,EmpAll,COLUMN(Emp!$C$4),0))</f>
        <v>A</v>
      </c>
      <c r="F124" s="101" t="str">
        <f ca="1">IF(ISNA(VLOOKUP($C124,EmpAll,COLUMN(Emp!$A$4),0)),"-",IF(AND(VLOOKUP($C124,EmpAll,COLUMN(Emp!$E$4),0)&lt;&gt;0,VLOOKUP($C124,EmpAll,COLUMN(Emp!$E$4),0)&gt;=DATE(YEAR($AC124),MONTH($AC124)+1,0)),"Inactive",IF(AND(VLOOKUP($C124,EmpAll,COLUMN(Emp!$F$4),0)&lt;&gt;0,VLOOKUP($C124,EmpAll,COLUMN(Emp!$F$4),0)&lt;=DATE(YEAR($AC124),MONTH($AC124),0)),"Terminated","Active")))</f>
        <v>Active</v>
      </c>
      <c r="G124" s="133" cm="1">
        <f t="array" aca="1" ref="G124" ca="1">IF($F124&lt;&gt;"Active",0,IF(COUNTIFS(OverEmp,$C124,OverEarn,G$2,OverDate,"&lt;"&amp;DATE(YEAR($AC124),MONTH($AC124)+1,1),OverEnd,"&gt;="&amp;DATE(YEAR($AC124),MONTH($AC124),1))&gt;0,SUMIFS(OverValue,OverEmp,$C124,OverEarn,G$2,OverDate,"&lt;"&amp;DATE(YEAR($AC124),MONTH($AC124)+1,1),OverEnd,"&gt;="&amp;DATE(YEAR($AC124),MONTH($AC124),1)),IF(AND($AC124&gt;=Setup!$E$10,SUMIFS(EmpIncrease,EmpCode,$C124)&gt;0),SUMIFS(EmpIncrease,EmpCode,$C124),SUMIFS(EmpSalary,EmpCode,$C124))))</f>
        <v>5000</v>
      </c>
      <c r="H124" s="133" cm="1">
        <f t="array" aca="1" ref="H124" ca="1">IF($F124&lt;&gt;"Active",0,IF(COUNTIFS(OverEmp,$C124,OverEarn,H$2,OverDate,"&lt;"&amp;DATE(YEAR($AC124),MONTH($AC124)+1,1),OverEnd,"&gt;="&amp;DATE(YEAR($AC124),MONTH($AC124),1))&gt;0,SUMIFS(OverValue,OverEmp,$C124,OverEarn,H$2,OverDate,"&lt;"&amp;DATE(YEAR($AC124),MONTH($AC124)+1,1),OverEnd,"&gt;="&amp;DATE(YEAR($AC124),MONTH($AC124),1)),0))</f>
        <v>0</v>
      </c>
      <c r="I124" s="133" cm="1">
        <f t="array" aca="1" ref="I124" ca="1">IF($F124&lt;&gt;"Active",0,IF(COUNTIFS(OverEmp,$C124,OverEarn,I$2,OverDate,"&lt;"&amp;DATE(YEAR($AC124),MONTH($AC124)+1,1),OverEnd,"&gt;="&amp;DATE(YEAR($AC124),MONTH($AC124),1))&gt;0,SUMIFS(OverValue,OverEmp,$C124,OverEarn,I$2,OverDate,"&lt;"&amp;DATE(YEAR($AC124),MONTH($AC124)+1,1),OverEnd,"&gt;="&amp;DATE(YEAR($AC124),MONTH($AC124),1)),IF(MONTH(B124)=Setup!$C$15,SUMIFS(EmpBonus,EmpCode,$C124),0)))</f>
        <v>0</v>
      </c>
      <c r="J124" s="133" cm="1">
        <f t="array" aca="1" ref="J124" ca="1">IF($F124&lt;&gt;"Active",0,IF(COUNTIFS(OverEmp,$C124,OverEarn,J$2,OverDate,"&lt;"&amp;DATE(YEAR($AC124),MONTH($AC124)+1,1),OverEnd,"&gt;="&amp;DATE(YEAR($AC124),MONTH($AC124),1))&gt;0,SUMIFS(OverValue,OverEmp,$C124,OverEarn,J$2,OverDate,"&lt;"&amp;DATE(YEAR($AC124),MONTH($AC124)+1,1),OverEnd,"&gt;="&amp;DATE(YEAR($AC124),MONTH($AC124),1)),0))</f>
        <v>0</v>
      </c>
      <c r="K124" s="133" cm="1">
        <f t="array" aca="1" ref="K124" ca="1">IF($F124&lt;&gt;"Active",0,IF(COUNTIFS(OverEmp,$C124,OverEarn,K$2,OverDate,"&lt;"&amp;DATE(YEAR($AC124),MONTH($AC124)+1,1),OverEnd,"&gt;="&amp;DATE(YEAR($AC124),MONTH($AC124),1))&gt;0,SUMIFS(OverValue,OverEmp,$C124,OverEarn,K$2,OverDate,"&lt;"&amp;DATE(YEAR($AC124),MONTH($AC124)+1,1),OverEnd,"&gt;="&amp;DATE(YEAR($AC124),MONTH($AC124),1)),0))</f>
        <v>0</v>
      </c>
      <c r="L124" s="185">
        <f t="shared" ca="1" si="54"/>
        <v>5000</v>
      </c>
      <c r="M124" s="182" cm="1">
        <f t="array" aca="1" ref="M124" ca="1">IF(COUNTIFS(OverEmp,$C124,OverTax,M$5,OverDate,"&lt;"&amp;DATE(YEAR($AC124),MONTH($AC124)+1,1),OverEnd,"&gt;="&amp;DATE(YEAR($AC124),MONTH($AC124),1))&gt;0,SUMIFS(OverValue,OverEmp,$C124,OverTax,M$5,OverDate,"&lt;"&amp;DATE(YEAR($AC124),MONTH($AC124)+1,1),OverEnd,"&gt;="&amp;DATE(YEAR($AC124),MONTH($AC124),1)),(($BA124/12*$AA124)+(BB124*IF(1-$BC124=0,0,BD124/(1-$BC124))))-IF($F124="Terminated",0,SUMIFS(PayTaxDeduct,PayDate,"&lt;"&amp;$AC124,PayEmp,$C124)))</f>
        <v>0</v>
      </c>
      <c r="N124" s="133" cm="1">
        <f t="array" aca="1" ref="N124" ca="1">IF($F124="Terminated",0,IF($AA124=0,0,IF(ISNA(MATCH(N$5,DedListItem,0)),0,IF(COUNTIFS(OverEmp,$C124,OverDeduct,N$5,OverDate,"&lt;"&amp;DATE(YEAR($AC124),MONTH($AC124)+1,1),OverEnd,"&gt;="&amp;DATE(YEAR($AC124),MONTH($AC124),1))&gt;0,SUMIFS(OverValue,OverEmp,$C124,OverDeduct,N$5,OverDate,"&lt;"&amp;DATE(YEAR($AC124),MONTH($AC124)+1,1),OverEnd,"&gt;="&amp;DATE(YEAR($AC124),MONTH($AC124),1)),IF(OR(N$2="Fixed",N$2="Not Used"),(IF(COUNTIFS(EmpNo,$C124,OFFSET(Emp!$R$4,1,MATCH(N$5,DedListItem,0)-1,EmpCount,1),"&lt;&gt;")&gt;0,VLOOKUP($C124,EmpAll,COLUMN(Emp!$R$4)+MATCH(N$5,DedListItem,0)-1,0),OFFSET(Setup!$E$73,MATCH(N$5,DedListItem,0),0,1,1))*$AA124)-SUMIFS(OFFSET(N$6,1,0,PayCount,1),PayDate,"&lt;"&amp;$AC124,PayEmp,$C124),IF(ISNA(MATCH(N$2,EarnListItem,0))=FALSE,IF(OFFSET(Setup!$G$73,MATCH(N$5,DedListItem,0),0,1,1)="Taxable",SUMPRODUCT((PayEmp=$C124)*(PayDate&lt;=$AC124)*(PayEarnCode=N$2)*(PayEarnTax)*(PayEarnValues)),SUMPRODUCT((PayEmp=$C124)*(PayDate&lt;=$AC124)*(PayEarnCode=N$2)*(PayEarnValues)))*IF(COUNTIFS(EmpNo,$C124,OFFSET(Emp!$R$4,1,MATCH(N$5,DedListItem,0)-1,EmpCount,1),"&lt;&gt;")&gt;0,VLOOKUP($C124,EmpAll,COLUMN(Emp!$R$4)+MATCH(N$5,DedListItem,0)-1,0),OFFSET(Setup!$E$73,MATCH(N$5,DedListItem,0),0,1,1)),(MIN(IF(OFFSET(Setup!$G$73,MATCH(N$5,DedListItem,0),0,1,1)="Taxable",SUMPRODUCT((PayEmp=$C124)*(PayDate&lt;=$AC124)*(ISERROR(SEARCH(PayEarnCode,N$4)))*(PayEarnTax)*(PayEarnValues)),SUMPRODUCT((PayEmp=$C124)*(PayDate&lt;=$AC124)*(ISERROR(SEARCH(PayEarnCode,N$4)))*(PayEarnValues))),IF(ISNUMBER(N$3),N$3/12*$AA124,IgnoreMin)))*IF(COUNTIFS(EmpNo,$C124,OFFSET(Emp!$R$4,1,MATCH(N$5,DedListItem,0)-1,EmpCount,1),"&lt;&gt;")&gt;0,VLOOKUP($C124,EmpAll,COLUMN(Emp!$R$4)+MATCH(N$5,DedListItem,0)-1,0),OFFSET(Setup!$E$73,MATCH(N$5,DedListItem,0),0,1,1)))-SUMIFS(OFFSET(N$6,1,0,PayCount,1),PayDate,"&lt;"&amp;$AC124,PayEmp,$C124))))))</f>
        <v>50</v>
      </c>
      <c r="O124" s="133" cm="1">
        <f t="array" aca="1" ref="O124" ca="1">IF($F124="Terminated",0,IF($AA124=0,0,IF(ISNA(MATCH(O$5,DedListItem,0)),0,IF(COUNTIFS(OverEmp,$C124,OverDeduct,O$5,OverDate,"&lt;"&amp;DATE(YEAR($AC124),MONTH($AC124)+1,1),OverEnd,"&gt;="&amp;DATE(YEAR($AC124),MONTH($AC124),1))&gt;0,SUMIFS(OverValue,OverEmp,$C124,OverDeduct,O$5,OverDate,"&lt;"&amp;DATE(YEAR($AC124),MONTH($AC124)+1,1),OverEnd,"&gt;="&amp;DATE(YEAR($AC124),MONTH($AC124),1)),IF(OR(O$2="Fixed",O$2="Not Used"),(IF(COUNTIFS(EmpNo,$C124,OFFSET(Emp!$R$4,1,MATCH(O$5,DedListItem,0)-1,EmpCount,1),"&lt;&gt;")&gt;0,VLOOKUP($C124,EmpAll,COLUMN(Emp!$R$4)+MATCH(O$5,DedListItem,0)-1,0),OFFSET(Setup!$E$73,MATCH(O$5,DedListItem,0),0,1,1))*$AA124)-SUMIFS(OFFSET(O$6,1,0,PayCount,1),PayDate,"&lt;"&amp;$AC124,PayEmp,$C124),IF(ISNA(MATCH(O$2,EarnListItem,0))=FALSE,IF(OFFSET(Setup!$G$73,MATCH(O$5,DedListItem,0),0,1,1)="Taxable",SUMPRODUCT((PayEmp=$C124)*(PayDate&lt;=$AC124)*(PayEarnCode=O$2)*(PayEarnTax)*(PayEarnValues)),SUMPRODUCT((PayEmp=$C124)*(PayDate&lt;=$AC124)*(PayEarnCode=O$2)*(PayEarnValues)))*IF(COUNTIFS(EmpNo,$C124,OFFSET(Emp!$R$4,1,MATCH(O$5,DedListItem,0)-1,EmpCount,1),"&lt;&gt;")&gt;0,VLOOKUP($C124,EmpAll,COLUMN(Emp!$R$4)+MATCH(O$5,DedListItem,0)-1,0),OFFSET(Setup!$E$73,MATCH(O$5,DedListItem,0),0,1,1)),(MIN(IF(OFFSET(Setup!$G$73,MATCH(O$5,DedListItem,0),0,1,1)="Taxable",SUMPRODUCT((PayEmp=$C124)*(PayDate&lt;=$AC124)*(ISERROR(SEARCH(PayEarnCode,O$4)))*(PayEarnTax)*(PayEarnValues)),SUMPRODUCT((PayEmp=$C124)*(PayDate&lt;=$AC124)*(ISERROR(SEARCH(PayEarnCode,O$4)))*(PayEarnValues))),IF(ISNUMBER(O$3),O$3/12*$AA124,IgnoreMin)))*IF(COUNTIFS(EmpNo,$C124,OFFSET(Emp!$R$4,1,MATCH(O$5,DedListItem,0)-1,EmpCount,1),"&lt;&gt;")&gt;0,VLOOKUP($C124,EmpAll,COLUMN(Emp!$R$4)+MATCH(O$5,DedListItem,0)-1,0),OFFSET(Setup!$E$73,MATCH(O$5,DedListItem,0),0,1,1)))-SUMIFS(OFFSET(O$6,1,0,PayCount,1),PayDate,"&lt;"&amp;$AC124,PayEmp,$C124))))))</f>
        <v>0</v>
      </c>
      <c r="P124" s="133" cm="1">
        <f t="array" aca="1" ref="P124" ca="1">IF($F124="Terminated",0,IF($AA124=0,0,IF(ISNA(MATCH(P$5,DedListItem,0)),0,IF(COUNTIFS(OverEmp,$C124,OverDeduct,P$5,OverDate,"&lt;"&amp;DATE(YEAR($AC124),MONTH($AC124)+1,1),OverEnd,"&gt;="&amp;DATE(YEAR($AC124),MONTH($AC124),1))&gt;0,SUMIFS(OverValue,OverEmp,$C124,OverDeduct,P$5,OverDate,"&lt;"&amp;DATE(YEAR($AC124),MONTH($AC124)+1,1),OverEnd,"&gt;="&amp;DATE(YEAR($AC124),MONTH($AC124),1)),IF(OR(P$2="Fixed",P$2="Not Used"),(IF(COUNTIFS(EmpNo,$C124,OFFSET(Emp!$R$4,1,MATCH(P$5,DedListItem,0)-1,EmpCount,1),"&lt;&gt;")&gt;0,VLOOKUP($C124,EmpAll,COLUMN(Emp!$R$4)+MATCH(P$5,DedListItem,0)-1,0),OFFSET(Setup!$E$73,MATCH(P$5,DedListItem,0),0,1,1))*$AA124)-SUMIFS(OFFSET(P$6,1,0,PayCount,1),PayDate,"&lt;"&amp;$AC124,PayEmp,$C124),IF(ISNA(MATCH(P$2,EarnListItem,0))=FALSE,IF(OFFSET(Setup!$G$73,MATCH(P$5,DedListItem,0),0,1,1)="Taxable",SUMPRODUCT((PayEmp=$C124)*(PayDate&lt;=$AC124)*(PayEarnCode=P$2)*(PayEarnTax)*(PayEarnValues)),SUMPRODUCT((PayEmp=$C124)*(PayDate&lt;=$AC124)*(PayEarnCode=P$2)*(PayEarnValues)))*IF(COUNTIFS(EmpNo,$C124,OFFSET(Emp!$R$4,1,MATCH(P$5,DedListItem,0)-1,EmpCount,1),"&lt;&gt;")&gt;0,VLOOKUP($C124,EmpAll,COLUMN(Emp!$R$4)+MATCH(P$5,DedListItem,0)-1,0),OFFSET(Setup!$E$73,MATCH(P$5,DedListItem,0),0,1,1)),(MIN(IF(OFFSET(Setup!$G$73,MATCH(P$5,DedListItem,0),0,1,1)="Taxable",SUMPRODUCT((PayEmp=$C124)*(PayDate&lt;=$AC124)*(ISERROR(SEARCH(PayEarnCode,P$4)))*(PayEarnTax)*(PayEarnValues)),SUMPRODUCT((PayEmp=$C124)*(PayDate&lt;=$AC124)*(ISERROR(SEARCH(PayEarnCode,P$4)))*(PayEarnValues))),IF(ISNUMBER(P$3),P$3/12*$AA124,IgnoreMin)))*IF(COUNTIFS(EmpNo,$C124,OFFSET(Emp!$R$4,1,MATCH(P$5,DedListItem,0)-1,EmpCount,1),"&lt;&gt;")&gt;0,VLOOKUP($C124,EmpAll,COLUMN(Emp!$R$4)+MATCH(P$5,DedListItem,0)-1,0),OFFSET(Setup!$E$73,MATCH(P$5,DedListItem,0),0,1,1)))-SUMIFS(OFFSET(P$6,1,0,PayCount,1),PayDate,"&lt;"&amp;$AC124,PayEmp,$C124))))))</f>
        <v>0</v>
      </c>
      <c r="Q124" s="133" cm="1">
        <f t="array" aca="1" ref="Q124" ca="1">IF($F124="Terminated",0,IF($AA124=0,0,IF(ISNA(MATCH(Q$5,DedListItem,0)),0,IF(COUNTIFS(OverEmp,$C124,OverDeduct,Q$5,OverDate,"&lt;"&amp;DATE(YEAR($AC124),MONTH($AC124)+1,1),OverEnd,"&gt;="&amp;DATE(YEAR($AC124),MONTH($AC124),1))&gt;0,SUMIFS(OverValue,OverEmp,$C124,OverDeduct,Q$5,OverDate,"&lt;"&amp;DATE(YEAR($AC124),MONTH($AC124)+1,1),OverEnd,"&gt;="&amp;DATE(YEAR($AC124),MONTH($AC124),1)),IF(OR(Q$2="Fixed",Q$2="Not Used"),(IF(COUNTIFS(EmpNo,$C124,OFFSET(Emp!$R$4,1,MATCH(Q$5,DedListItem,0)-1,EmpCount,1),"&lt;&gt;")&gt;0,VLOOKUP($C124,EmpAll,COLUMN(Emp!$R$4)+MATCH(Q$5,DedListItem,0)-1,0),OFFSET(Setup!$E$73,MATCH(Q$5,DedListItem,0),0,1,1))*$AA124)-SUMIFS(OFFSET(Q$6,1,0,PayCount,1),PayDate,"&lt;"&amp;$AC124,PayEmp,$C124),IF(ISNA(MATCH(Q$2,EarnListItem,0))=FALSE,IF(OFFSET(Setup!$G$73,MATCH(Q$5,DedListItem,0),0,1,1)="Taxable",SUMPRODUCT((PayEmp=$C124)*(PayDate&lt;=$AC124)*(PayEarnCode=Q$2)*(PayEarnTax)*(PayEarnValues)),SUMPRODUCT((PayEmp=$C124)*(PayDate&lt;=$AC124)*(PayEarnCode=Q$2)*(PayEarnValues)))*IF(COUNTIFS(EmpNo,$C124,OFFSET(Emp!$R$4,1,MATCH(Q$5,DedListItem,0)-1,EmpCount,1),"&lt;&gt;")&gt;0,VLOOKUP($C124,EmpAll,COLUMN(Emp!$R$4)+MATCH(Q$5,DedListItem,0)-1,0),OFFSET(Setup!$E$73,MATCH(Q$5,DedListItem,0),0,1,1)),(MIN(IF(OFFSET(Setup!$G$73,MATCH(Q$5,DedListItem,0),0,1,1)="Taxable",SUMPRODUCT((PayEmp=$C124)*(PayDate&lt;=$AC124)*(ISERROR(SEARCH(PayEarnCode,Q$4)))*(PayEarnTax)*(PayEarnValues)),SUMPRODUCT((PayEmp=$C124)*(PayDate&lt;=$AC124)*(ISERROR(SEARCH(PayEarnCode,Q$4)))*(PayEarnValues))),IF(ISNUMBER(Q$3),Q$3/12*$AA124,IgnoreMin)))*IF(COUNTIFS(EmpNo,$C124,OFFSET(Emp!$R$4,1,MATCH(Q$5,DedListItem,0)-1,EmpCount,1),"&lt;&gt;")&gt;0,VLOOKUP($C124,EmpAll,COLUMN(Emp!$R$4)+MATCH(Q$5,DedListItem,0)-1,0),OFFSET(Setup!$E$73,MATCH(Q$5,DedListItem,0),0,1,1)))-SUMIFS(OFFSET(Q$6,1,0,PayCount,1),PayDate,"&lt;"&amp;$AC124,PayEmp,$C124))))))</f>
        <v>0</v>
      </c>
      <c r="R124" s="185">
        <f t="shared" ca="1" si="55"/>
        <v>50</v>
      </c>
      <c r="S124" s="139">
        <f t="shared" ca="1" si="56"/>
        <v>4950</v>
      </c>
      <c r="T124" s="133" cm="1">
        <f t="array" aca="1" ref="T124" ca="1">IF($F124="Terminated",0,IF($AA124=0,0,IF(ISNA(MATCH(T$5,CompListItem,0)),0,IF(COUNTIFS(OverEmp,$C124,OverComp,T$5,OverDate,"&lt;"&amp;DATE(YEAR($AC124),MONTH($AC124)+1,1),OverEnd,"&gt;="&amp;DATE(YEAR($AC124),MONTH($AC124),1))&gt;0,SUMIFS(OverValue,OverEmp,$C124,OverComp,T$5,OverDate,"&lt;"&amp;DATE(YEAR($AC124),MONTH($AC124)+1,1),OverEnd,"&gt;="&amp;DATE(YEAR($AC124),MONTH($AC124),1)),IF(OR(T$2="Fixed",T$2="Not Used"),(OFFSET(Setup!$E$81,MATCH(T$5,CompListItem,0),0,1,1)*$AA124)-SUMIFS(OFFSET(T$6,1,0,PayCount,1),PayDate,"&lt;"&amp;$AC124,PayEmp,$C124),IF(ISNA(MATCH(T$2,DedListItem,0))=FALSE,(SUMPRODUCT((PayEmp=$C124)*(PayDate&lt;=$AC124)*(PayDedList=T$2)*(PayDedValues))*OFFSET(Setup!$E$81,MATCH(T$5,CompListItem,0),0,1,1))-SUMIFS(OFFSET(T$6,1,0,PayCount,1),PayDate,"&lt;"&amp;$AC124,PayEmp,$C124),(MIN(IF(OFFSET(Setup!$G$81,MATCH(T$5,CompListItem,0),0,1,1)="Taxable",SUMPRODUCT((PayEmp=$C124)*(PayDate&lt;=$AC124)*(ISERROR(SEARCH(PayEarnCode,T$4)))*(PayEarnTax)*(PayEarnValues)),SUMPRODUCT((PayEmp=$C124)*(PayDate&lt;=$AC124)*(ISERROR(SEARCH(PayEarnCode,T$4)))*(PayEarnValues))),IF(ISNUMBER(T$3),T$3/12*$AA124,IgnoreMin)))*OFFSET(Setup!$E$81,MATCH(T$5,CompListItem,0),0,1,1)-SUMIFS(OFFSET(T$6,1,0,PayCount,1),PayDate,"&lt;"&amp;$AC124,PayEmp,$C124)))))))</f>
        <v>50</v>
      </c>
      <c r="U124" s="133" cm="1">
        <f t="array" aca="1" ref="U124" ca="1">IF($F124="Terminated",0,IF($AA124=0,0,IF(ISNA(MATCH(U$5,CompListItem,0)),0,IF(COUNTIFS(OverEmp,$C124,OverComp,U$5,OverDate,"&lt;"&amp;DATE(YEAR($AC124),MONTH($AC124)+1,1),OverEnd,"&gt;="&amp;DATE(YEAR($AC124),MONTH($AC124),1))&gt;0,SUMIFS(OverValue,OverEmp,$C124,OverComp,U$5,OverDate,"&lt;"&amp;DATE(YEAR($AC124),MONTH($AC124)+1,1),OverEnd,"&gt;="&amp;DATE(YEAR($AC124),MONTH($AC124),1)),IF(OR(U$2="Fixed",U$2="Not Used"),(OFFSET(Setup!$E$81,MATCH(U$5,CompListItem,0),0,1,1)*$AA124)-SUMIFS(OFFSET(U$6,1,0,PayCount,1),PayDate,"&lt;"&amp;$AC124,PayEmp,$C124),IF(ISNA(MATCH(U$2,DedListItem,0))=FALSE,(SUMPRODUCT((PayEmp=$C124)*(PayDate&lt;=$AC124)*(PayDedList=U$2)*(PayDedValues))*OFFSET(Setup!$E$81,MATCH(U$5,CompListItem,0),0,1,1))-SUMIFS(OFFSET(U$6,1,0,PayCount,1),PayDate,"&lt;"&amp;$AC124,PayEmp,$C124),(MIN(IF(OFFSET(Setup!$G$81,MATCH(U$5,CompListItem,0),0,1,1)="Taxable",SUMPRODUCT((PayEmp=$C124)*(PayDate&lt;=$AC124)*(ISERROR(SEARCH(PayEarnCode,U$4)))*(PayEarnTax)*(PayEarnValues)),SUMPRODUCT((PayEmp=$C124)*(PayDate&lt;=$AC124)*(ISERROR(SEARCH(PayEarnCode,U$4)))*(PayEarnValues))),IF(ISNUMBER(U$3),U$3/12*$AA124,IgnoreMin)))*OFFSET(Setup!$E$81,MATCH(U$5,CompListItem,0),0,1,1)-SUMIFS(OFFSET(U$6,1,0,PayCount,1),PayDate,"&lt;"&amp;$AC124,PayEmp,$C124)))))))</f>
        <v>50</v>
      </c>
      <c r="V124" s="133" cm="1">
        <f t="array" aca="1" ref="V124" ca="1">IF($F124="Terminated",0,IF($AA124=0,0,IF(ISNA(MATCH(V$5,CompListItem,0)),0,IF(COUNTIFS(OverEmp,$C124,OverComp,V$5,OverDate,"&lt;"&amp;DATE(YEAR($AC124),MONTH($AC124)+1,1),OverEnd,"&gt;="&amp;DATE(YEAR($AC124),MONTH($AC124),1))&gt;0,SUMIFS(OverValue,OverEmp,$C124,OverComp,V$5,OverDate,"&lt;"&amp;DATE(YEAR($AC124),MONTH($AC124)+1,1),OverEnd,"&gt;="&amp;DATE(YEAR($AC124),MONTH($AC124),1)),IF(OR(V$2="Fixed",V$2="Not Used"),(OFFSET(Setup!$E$81,MATCH(V$5,CompListItem,0),0,1,1)*$AA124)-SUMIFS(OFFSET(V$6,1,0,PayCount,1),PayDate,"&lt;"&amp;$AC124,PayEmp,$C124),IF(ISNA(MATCH(V$2,DedListItem,0))=FALSE,(SUMPRODUCT((PayEmp=$C124)*(PayDate&lt;=$AC124)*(PayDedList=V$2)*(PayDedValues))*OFFSET(Setup!$E$81,MATCH(V$5,CompListItem,0),0,1,1))-SUMIFS(OFFSET(V$6,1,0,PayCount,1),PayDate,"&lt;"&amp;$AC124,PayEmp,$C124),(MIN(IF(OFFSET(Setup!$G$81,MATCH(V$5,CompListItem,0),0,1,1)="Taxable",SUMPRODUCT((PayEmp=$C124)*(PayDate&lt;=$AC124)*(ISERROR(SEARCH(PayEarnCode,V$4)))*(PayEarnTax)*(PayEarnValues)),SUMPRODUCT((PayEmp=$C124)*(PayDate&lt;=$AC124)*(ISERROR(SEARCH(PayEarnCode,V$4)))*(PayEarnValues))),IF(ISNUMBER(V$3),V$3/12*$AA124,IgnoreMin)))*OFFSET(Setup!$E$81,MATCH(V$5,CompListItem,0),0,1,1)-SUMIFS(OFFSET(V$6,1,0,PayCount,1),PayDate,"&lt;"&amp;$AC124,PayEmp,$C124)))))))</f>
        <v>0</v>
      </c>
      <c r="W124" s="133" cm="1">
        <f t="array" aca="1" ref="W124" ca="1">IF($F124="Terminated",0,IF($AA124=0,0,IF(ISNA(MATCH(W$5,CompListItem,0)),0,IF(COUNTIFS(OverEmp,$C124,OverComp,W$5,OverDate,"&lt;"&amp;DATE(YEAR($AC124),MONTH($AC124)+1,1),OverEnd,"&gt;="&amp;DATE(YEAR($AC124),MONTH($AC124),1))&gt;0,SUMIFS(OverValue,OverEmp,$C124,OverComp,W$5,OverDate,"&lt;"&amp;DATE(YEAR($AC124),MONTH($AC124)+1,1),OverEnd,"&gt;="&amp;DATE(YEAR($AC124),MONTH($AC124),1)),IF(OR(W$2="Fixed",W$2="Not Used"),(OFFSET(Setup!$E$81,MATCH(W$5,CompListItem,0),0,1,1)*$AA124)-SUMIFS(OFFSET(W$6,1,0,PayCount,1),PayDate,"&lt;"&amp;$AC124,PayEmp,$C124),IF(ISNA(MATCH(W$2,DedListItem,0))=FALSE,(SUMPRODUCT((PayEmp=$C124)*(PayDate&lt;=$AC124)*(PayDedList=W$2)*(PayDedValues))*OFFSET(Setup!$E$81,MATCH(W$5,CompListItem,0),0,1,1))-SUMIFS(OFFSET(W$6,1,0,PayCount,1),PayDate,"&lt;"&amp;$AC124,PayEmp,$C124),(MIN(IF(OFFSET(Setup!$G$81,MATCH(W$5,CompListItem,0),0,1,1)="Taxable",SUMPRODUCT((PayEmp=$C124)*(PayDate&lt;=$AC124)*(ISERROR(SEARCH(PayEarnCode,W$4)))*(PayEarnTax)*(PayEarnValues)),SUMPRODUCT((PayEmp=$C124)*(PayDate&lt;=$AC124)*(ISERROR(SEARCH(PayEarnCode,W$4)))*(PayEarnValues))),IF(ISNUMBER(W$3),W$3/12*$AA124,IgnoreMin)))*OFFSET(Setup!$E$81,MATCH(W$5,CompListItem,0),0,1,1)-SUMIFS(OFFSET(W$6,1,0,PayCount,1),PayDate,"&lt;"&amp;$AC124,PayEmp,$C124)))))))</f>
        <v>0</v>
      </c>
      <c r="X124" s="185">
        <f t="shared" ca="1" si="48"/>
        <v>100</v>
      </c>
      <c r="Y124" s="139">
        <f t="shared" ca="1" si="57"/>
        <v>5100</v>
      </c>
      <c r="Z124" s="139">
        <f t="shared" ca="1" si="49"/>
        <v>150</v>
      </c>
      <c r="AA124" s="146">
        <f ca="1">IF(OR($B124&lt;=Setup!$E$12,$B124&gt;=Setup!$D$12+1),0,IF($F124&lt;&gt;"Active",0,IF($AE124="Yes",$AB124,((YEAR($AC124)*12)+MONTH($AC124))-((YEAR($AD124)*12)+MONTH($AD124)-1))))</f>
        <v>8</v>
      </c>
      <c r="AB124" s="146">
        <f ca="1">IF(OR($B124&lt;=Setup!$E$12,$B124&gt;=Setup!$D$12+1),0,((YEAR($AC124)*12)+MONTH($AC124))-((YEAR(Setup!$E$12)*12)+MONTH(Setup!$E$12)))</f>
        <v>8</v>
      </c>
      <c r="AC124" s="186">
        <f t="shared" ca="1" si="50"/>
        <v>45224</v>
      </c>
      <c r="AD124" s="144">
        <f ca="1">IF(ISNA(VLOOKUP($C124,EmpAll,COLUMN(Emp!$E$4),0)),$AC124,IF(VLOOKUP($C124,EmpAll,COLUMN(Emp!$E$4),0)&lt;=Setup!$E$12,DATE(YEAR(Setup!$E$12),MONTH(Setup!$E$12)+1,1),VLOOKUP($C124,EmpAll,COLUMN(Emp!$E$4),0)))</f>
        <v>44986</v>
      </c>
      <c r="AE124" s="144" t="str">
        <f ca="1">IF(ISNA(VLOOKUP($C124,EmpAll,COLUMN(Emp!$G$1),0)),"-",IF(VLOOKUP($C124,EmpAll,COLUMN(Emp!$G$1),0)=0,"-",VLOOKUP($C124,EmpAll,COLUMN(Emp!$G$1),0)))</f>
        <v>-</v>
      </c>
      <c r="AF124" s="145">
        <f ca="1">IF(A124=PaySlip!$G$3,1,0)</f>
        <v>0</v>
      </c>
      <c r="AG124" s="130" cm="1">
        <f t="array" aca="1" ref="AG124" ca="1">IF(COUNTIFS(OverEmp,$C124,OverMed,"MED",OverDate,"&lt;"&amp;DATE(YEAR($AC124),MONTH($AC124)+1,1),OverEnd,"&gt;="&amp;DATE(YEAR($AC124),MONTH($AC124),1))&gt;0,SUMIFS(OverValue,OverEmp,$C124,OverMed,"MED",OverDate,"&lt;"&amp;DATE(YEAR($AC124),MONTH($AC124)+1,1),OverEnd,"&gt;="&amp;DATE(YEAR($AC124),MONTH($AC124),1)),IF(ISNA(VLOOKUP($C124,EmpAll,COLUMN(Emp!$N$4),0)),0,VLOOKUP($C124,EmpAll,COLUMN(Emp!$N$4),0)))</f>
        <v>0</v>
      </c>
      <c r="AH124" s="146">
        <f ca="1">VLOOKUP($AG124,MedList,COLUMN(Setup!$C$49),1)</f>
        <v>0</v>
      </c>
      <c r="AI124" s="146">
        <f t="shared" ca="1" si="40"/>
        <v>0</v>
      </c>
      <c r="AJ124" s="101" t="str">
        <f ca="1">IF(ISNA(VLOOKUP($C124,EmpAll,COLUMN(Emp!$L$4),0)),"None!",VLOOKUP($C124,EmpAll,COLUMN(Emp!$L$4),0))</f>
        <v>A</v>
      </c>
      <c r="AK124" s="147">
        <f t="shared" ca="1" si="51"/>
        <v>17235</v>
      </c>
      <c r="AL124" s="101" t="str">
        <f ca="1">IF(ISNA(VLOOKUP($C124,Employees[],COLUMN(Emp!$M$4),0))=TRUE,"Error!",IF(VLOOKUP($C124,Employees[],COLUMN(Emp!$M$4),0)=0,"Yes",VLOOKUP($C124,Employees[],COLUMN(Emp!$M$4),0)))</f>
        <v>A</v>
      </c>
      <c r="AM124" s="148">
        <f t="shared" ca="1" si="41"/>
        <v>60000</v>
      </c>
      <c r="AN124" s="148" cm="1">
        <f t="array" aca="1" ref="AN124" ca="1">-IF($F124="Terminated",0,IF($AA124=0,0,IF(ISNA(MATCH(AN$5,PayDedList,0)),0,MIN(IF(COUNTIFS(OverEmp,$C124,OverDeduct,AN$5,OverDate,"&lt;"&amp;DATE(YEAR($AC124),MONTH($AC124)+1,1),OverEnd,"&gt;="&amp;DATE(YEAR($AC124),MONTH($AC124),1))&gt;0,SUMPRODUCT((PayEmp=$C124)*(PayDate&lt;=$AC124)*(OFFSET($N$6,1,MATCH(AN$5,PayDedList,0)-1,PayCount,1)))/$AA124*12*AN$3,IF(OR(AN$1="Fixed",AN$1="Not Used"),SUMPRODUCT((PayEmp=$C124)*(PayDate&lt;=$AC124)*(OFFSET($N$6,1,MATCH(AN$5,PayDedList,0)-1,PayCount,1)))/$AA124*12*AN$3,IF(ISNA(MATCH(AN$1,EarnListItem,0))=FALSE,SUMPRODUCT((PayEmp=$C124)*(PayDate&lt;=$AC124)*(OFFSET($N$6,1,MATCH(AN$5,PayDedList,0)-1,PayCount,1)))/$AA124*12*AN$3,(MIN(((SUMPRODUCT((PayEmp=$C124)*(PayDate&lt;=$AC124)*(ISERROR(SEARCH(PayEarnCode,AN$2)))*(PayEarnType="Monthly")*(PayEarnValues))/$AA124*12)+(SUMPRODUCT((PayEmp=$C124)*(PayDate&lt;=$AC124)*(ISERROR(SEARCH(PayEarnCode,AN$2)))*(PayEarnType="Quarterly")*(PayEarnValues))/MAX(1,ROUNDDOWN($AB124/3,0))*4)+(SUMPRODUCT((PayEmp=$C124)*(PayDate&lt;=$AC124)*(ISERROR(SEARCH(PayEarnCode,AN$2)))*(PayEarnType="Bi-Annual")*(PayEarnValues))/MAX(1,ROUNDDOWN($AB124/6,0))*2)+(SUMPRODUCT((PayEmp=$C124)*(PayDate&lt;=$AC124)*(ISERROR(SEARCH(PayEarnCode,AN$2)))*(PayEarnType="Annual")*(PayEarnValues)))),IF(ISNUMBER(OFFSET($N$3,0,MATCH(AN$5,PayDedList,0)-1,1,1)),OFFSET($N$3,0,MATCH(AN$5,PayDedList,0)-1,1,1),IgnoreMin)))*IF(COUNTIFS(EmpNo,$C124,OFFSET(Emp!$R$4,1,MATCH(AN$5,DedListItem,0)-1,EmpCount,1),"&lt;&gt;")&gt;0,VLOOKUP($C124,EmpAll,COLUMN(Emp!$R$4)+MATCH(AN$5,DedListItem,0)-1,0),OFFSET(Setup!$E$73,MATCH(AN$5,DedListItem,0),0,1,1))*AN$3))),IF(ISNUMBER(AN$4),AN$4,IgnoreMin)))))</f>
        <v>0</v>
      </c>
      <c r="AO124" s="148" cm="1">
        <f t="array" aca="1" ref="AO124" ca="1">-IF($F124="Terminated",0,IF($AA124=0,0,IF(ISNA(MATCH(AO$5,PayDedList,0)),0,MIN(IF(COUNTIFS(OverEmp,$C124,OverDeduct,AO$5,OverDate,"&lt;"&amp;DATE(YEAR($AC124),MONTH($AC124)+1,1),OverEnd,"&gt;="&amp;DATE(YEAR($AC124),MONTH($AC124),1))&gt;0,SUMPRODUCT((PayEmp=$C124)*(PayDate&lt;=$AC124)*(OFFSET($N$6,1,MATCH(AO$5,PayDedList,0)-1,PayCount,1)))/$AA124*12*AO$3,IF(OR(AO$1="Fixed",AO$1="Not Used"),SUMPRODUCT((PayEmp=$C124)*(PayDate&lt;=$AC124)*(OFFSET($N$6,1,MATCH(AO$5,PayDedList,0)-1,PayCount,1)))/$AA124*12*AO$3,IF(ISNA(MATCH(AO$1,EarnListItem,0))=FALSE,SUMPRODUCT((PayEmp=$C124)*(PayDate&lt;=$AC124)*(OFFSET($N$6,1,MATCH(AO$5,PayDedList,0)-1,PayCount,1)))/$AA124*12*AO$3,(MIN(((SUMPRODUCT((PayEmp=$C124)*(PayDate&lt;=$AC124)*(ISERROR(SEARCH(PayEarnCode,AO$2)))*(PayEarnType="Monthly")*(PayEarnValues))/$AA124*12)+(SUMPRODUCT((PayEmp=$C124)*(PayDate&lt;=$AC124)*(ISERROR(SEARCH(PayEarnCode,AO$2)))*(PayEarnType="Quarterly")*(PayEarnValues))/MAX(1,ROUNDDOWN($AB124/3,0))*4)+(SUMPRODUCT((PayEmp=$C124)*(PayDate&lt;=$AC124)*(ISERROR(SEARCH(PayEarnCode,AO$2)))*(PayEarnType="Bi-Annual")*(PayEarnValues))/MAX(1,ROUNDDOWN($AB124/6,0))*2)+(SUMPRODUCT((PayEmp=$C124)*(PayDate&lt;=$AC124)*(ISERROR(SEARCH(PayEarnCode,AO$2)))*(PayEarnType="Annual")*(PayEarnValues)))),IF(ISNUMBER(OFFSET($N$3,0,MATCH(AO$5,PayDedList,0)-1,1,1)),OFFSET($N$3,0,MATCH(AO$5,PayDedList,0)-1,1,1),IgnoreMin)))*IF(COUNTIFS(EmpNo,$C124,OFFSET(Emp!$R$4,1,MATCH(AO$5,DedListItem,0)-1,EmpCount,1),"&lt;&gt;")&gt;0,VLOOKUP($C124,EmpAll,COLUMN(Emp!$R$4)+MATCH(AO$5,DedListItem,0)-1,0),OFFSET(Setup!$E$73,MATCH(AO$5,DedListItem,0),0,1,1))*AO$3))),IF(ISNUMBER(AO$4),AO$4,IgnoreMin)))))</f>
        <v>0</v>
      </c>
      <c r="AP124" s="148" cm="1">
        <f t="array" aca="1" ref="AP124" ca="1">-IF($F124="Terminated",0,IF($AA124=0,0,IF(ISNA(MATCH(AP$5,PayDedList,0)),0,MIN(IF(COUNTIFS(OverEmp,$C124,OverDeduct,AP$5,OverDate,"&lt;"&amp;DATE(YEAR($AC124),MONTH($AC124)+1,1),OverEnd,"&gt;="&amp;DATE(YEAR($AC124),MONTH($AC124),1))&gt;0,SUMPRODUCT((PayEmp=$C124)*(PayDate&lt;=$AC124)*(OFFSET($N$6,1,MATCH(AP$5,PayDedList,0)-1,PayCount,1)))/$AA124*12*AP$3,IF(OR(AP$1="Fixed",AP$1="Not Used"),SUMPRODUCT((PayEmp=$C124)*(PayDate&lt;=$AC124)*(OFFSET($N$6,1,MATCH(AP$5,PayDedList,0)-1,PayCount,1)))/$AA124*12*AP$3,IF(ISNA(MATCH(AP$1,EarnListItem,0))=FALSE,SUMPRODUCT((PayEmp=$C124)*(PayDate&lt;=$AC124)*(OFFSET($N$6,1,MATCH(AP$5,PayDedList,0)-1,PayCount,1)))/$AA124*12*AP$3,(MIN(((SUMPRODUCT((PayEmp=$C124)*(PayDate&lt;=$AC124)*(ISERROR(SEARCH(PayEarnCode,AP$2)))*(PayEarnType="Monthly")*(PayEarnValues))/$AA124*12)+(SUMPRODUCT((PayEmp=$C124)*(PayDate&lt;=$AC124)*(ISERROR(SEARCH(PayEarnCode,AP$2)))*(PayEarnType="Quarterly")*(PayEarnValues))/MAX(1,ROUNDDOWN($AB124/3,0))*4)+(SUMPRODUCT((PayEmp=$C124)*(PayDate&lt;=$AC124)*(ISERROR(SEARCH(PayEarnCode,AP$2)))*(PayEarnType="Bi-Annual")*(PayEarnValues))/MAX(1,ROUNDDOWN($AB124/6,0))*2)+(SUMPRODUCT((PayEmp=$C124)*(PayDate&lt;=$AC124)*(ISERROR(SEARCH(PayEarnCode,AP$2)))*(PayEarnType="Annual")*(PayEarnValues)))),IF(ISNUMBER(OFFSET($N$3,0,MATCH(AP$5,PayDedList,0)-1,1,1)),OFFSET($N$3,0,MATCH(AP$5,PayDedList,0)-1,1,1),IgnoreMin)))*IF(COUNTIFS(EmpNo,$C124,OFFSET(Emp!$R$4,1,MATCH(AP$5,DedListItem,0)-1,EmpCount,1),"&lt;&gt;")&gt;0,VLOOKUP($C124,EmpAll,COLUMN(Emp!$R$4)+MATCH(AP$5,DedListItem,0)-1,0),OFFSET(Setup!$E$73,MATCH(AP$5,DedListItem,0),0,1,1))*AP$3))),IF(ISNUMBER(AP$4),AP$4,IgnoreMin)))))</f>
        <v>0</v>
      </c>
      <c r="AQ124" s="148" cm="1">
        <f t="array" aca="1" ref="AQ124" ca="1">-IF($F124="Terminated",0,IF($AA124=0,0,IF(ISNA(MATCH(AQ$5,PayDedList,0)),0,MIN(IF(COUNTIFS(OverEmp,$C124,OverDeduct,AQ$5,OverDate,"&lt;"&amp;DATE(YEAR($AC124),MONTH($AC124)+1,1),OverEnd,"&gt;="&amp;DATE(YEAR($AC124),MONTH($AC124),1))&gt;0,SUMPRODUCT((PayEmp=$C124)*(PayDate&lt;=$AC124)*(OFFSET($N$6,1,MATCH(AQ$5,PayDedList,0)-1,PayCount,1)))/$AA124*12*AQ$3,IF(OR(AQ$1="Fixed",AQ$1="Not Used"),SUMPRODUCT((PayEmp=$C124)*(PayDate&lt;=$AC124)*(OFFSET($N$6,1,MATCH(AQ$5,PayDedList,0)-1,PayCount,1)))/$AA124*12*AQ$3,IF(ISNA(MATCH(AQ$1,EarnListItem,0))=FALSE,SUMPRODUCT((PayEmp=$C124)*(PayDate&lt;=$AC124)*(OFFSET($N$6,1,MATCH(AQ$5,PayDedList,0)-1,PayCount,1)))/$AA124*12*AQ$3,(MIN(((SUMPRODUCT((PayEmp=$C124)*(PayDate&lt;=$AC124)*(ISERROR(SEARCH(PayEarnCode,AQ$2)))*(PayEarnType="Monthly")*(PayEarnValues))/$AA124*12)+(SUMPRODUCT((PayEmp=$C124)*(PayDate&lt;=$AC124)*(ISERROR(SEARCH(PayEarnCode,AQ$2)))*(PayEarnType="Quarterly")*(PayEarnValues))/MAX(1,ROUNDDOWN($AB124/3,0))*4)+(SUMPRODUCT((PayEmp=$C124)*(PayDate&lt;=$AC124)*(ISERROR(SEARCH(PayEarnCode,AQ$2)))*(PayEarnType="Bi-Annual")*(PayEarnValues))/MAX(1,ROUNDDOWN($AB124/6,0))*2)+(SUMPRODUCT((PayEmp=$C124)*(PayDate&lt;=$AC124)*(ISERROR(SEARCH(PayEarnCode,AQ$2)))*(PayEarnType="Annual")*(PayEarnValues)))),IF(ISNUMBER(OFFSET($N$3,0,MATCH(AQ$5,PayDedList,0)-1,1,1)),OFFSET($N$3,0,MATCH(AQ$5,PayDedList,0)-1,1,1),IgnoreMin)))*IF(COUNTIFS(EmpNo,$C124,OFFSET(Emp!$R$4,1,MATCH(AQ$5,DedListItem,0)-1,EmpCount,1),"&lt;&gt;")&gt;0,VLOOKUP($C124,EmpAll,COLUMN(Emp!$R$4)+MATCH(AQ$5,DedListItem,0)-1,0),OFFSET(Setup!$E$73,MATCH(AQ$5,DedListItem,0),0,1,1))*AQ$3))),IF(ISNUMBER(AQ$4),AQ$4,IgnoreMin)))))</f>
        <v>0</v>
      </c>
      <c r="AR124" s="148">
        <f t="shared" ca="1" si="52"/>
        <v>60000</v>
      </c>
      <c r="AS124" s="148">
        <f t="shared" ca="1" si="42"/>
        <v>60000</v>
      </c>
      <c r="AT124" s="148" cm="1">
        <f t="array" aca="1" ref="AT124" ca="1">-IF($F124="Terminated",0,IF($AA124=0,0,IF(ISNA(MATCH(AT$5,PayDedList,0)),0,MIN(IF(COUNTIFS(OverEmp,$C124,OverDeduct,AT$5,OverDate,"&lt;"&amp;DATE(YEAR($AC124),MONTH($AC124)+1,1),OverEnd,"&gt;="&amp;DATE(YEAR($AC124),MONTH($AC124),1))&gt;0,SUMPRODUCT((PayEmp=$C124)*(PayDate&lt;=$AC124)*(OFFSET($N$6,1,MATCH(AT$5,PayDedList,0)-1,PayCount,1)))/$AA124*12*AT$3,IF(OR(AT$1="Fixed",AT$1="Not Used"),SUMPRODUCT((PayEmp=$C124)*(PayDate&lt;=$AC124)*(OFFSET($N$6,1,MATCH(AT$5,PayDedList,0)-1,PayCount,1)))/$AA124*12*AT$3,IF(ISNA(MATCH(OFFSET($N$2,0,MATCH(AT$5,PayDedList,0)-1,1,1),EarnListItem,0))=FALSE,SUMPRODUCT((PayEmp=$C124)*(PayDate&lt;=$AC124)*(OFFSET($N$6,1,MATCH(AT$5,PayDedList,0)-1,PayCount,1)))/$AA124*12*AT$3,(MIN(SUMPRODUCT((PayEmp=$C124)*(PayDate&lt;=$AC124)*(ISERROR(SEARCH(PayEarnCode,AT$2)))*(PayEarnType="Monthly")*(PayEarnValues))/$AA124*12,IF(ISNUMBER(OFFSET($N$3,0,MATCH(AT$5,PayDedList,0)-1,1,1)),OFFSET($N$3,0,MATCH(AT$5,PayDedList,0)-1,1,1),IgnoreMin)))*IF(COUNTIFS(EmpNo,$C124,OFFSET(Emp!$R$4,1,MATCH(AT$5,DedListItem,0)-1,EmpCount,1),"&lt;&gt;")&gt;0,VLOOKUP($C124,EmpAll,COLUMN(Emp!$R$4)+MATCH(AT$5,DedListItem,0)-1,0),OFFSET(Setup!$E$73,MATCH(AT$5,DedListItem,0),0,1,1))*AT$3))),IF(ISNUMBER(AT$4),AT$4,IgnoreMin)))))</f>
        <v>0</v>
      </c>
      <c r="AU124" s="148" cm="1">
        <f t="array" aca="1" ref="AU124" ca="1">-IF($F124="Terminated",0,IF($AA124=0,0,IF(ISNA(MATCH(AU$5,PayDedList,0)),0,MIN(IF(COUNTIFS(OverEmp,$C124,OverDeduct,AU$5,OverDate,"&lt;"&amp;DATE(YEAR($AC124),MONTH($AC124)+1,1),OverEnd,"&gt;="&amp;DATE(YEAR($AC124),MONTH($AC124),1))&gt;0,SUMPRODUCT((PayEmp=$C124)*(PayDate&lt;=$AC124)*(OFFSET($N$6,1,MATCH(AU$5,PayDedList,0)-1,PayCount,1)))/$AA124*12*AU$3,IF(OR(AU$1="Fixed",AU$1="Not Used"),SUMPRODUCT((PayEmp=$C124)*(PayDate&lt;=$AC124)*(OFFSET($N$6,1,MATCH(AU$5,PayDedList,0)-1,PayCount,1)))/$AA124*12*AU$3,IF(ISNA(MATCH(OFFSET($N$2,0,MATCH(AU$5,PayDedList,0)-1,1,1),EarnListItem,0))=FALSE,SUMPRODUCT((PayEmp=$C124)*(PayDate&lt;=$AC124)*(OFFSET($N$6,1,MATCH(AU$5,PayDedList,0)-1,PayCount,1)))/$AA124*12*AU$3,(MIN(SUMPRODUCT((PayEmp=$C124)*(PayDate&lt;=$AC124)*(ISERROR(SEARCH(PayEarnCode,AU$2)))*(PayEarnType="Monthly")*(PayEarnValues))/$AA124*12,IF(ISNUMBER(OFFSET($N$3,0,MATCH(AU$5,PayDedList,0)-1,1,1)),OFFSET($N$3,0,MATCH(AU$5,PayDedList,0)-1,1,1),IgnoreMin)))*IF(COUNTIFS(EmpNo,$C124,OFFSET(Emp!$R$4,1,MATCH(AU$5,DedListItem,0)-1,EmpCount,1),"&lt;&gt;")&gt;0,VLOOKUP($C124,EmpAll,COLUMN(Emp!$R$4)+MATCH(AU$5,DedListItem,0)-1,0),OFFSET(Setup!$E$73,MATCH(AU$5,DedListItem,0),0,1,1))*AU$3))),IF(ISNUMBER(AU$4),AU$4,IgnoreMin)))))</f>
        <v>0</v>
      </c>
      <c r="AV124" s="148" cm="1">
        <f t="array" aca="1" ref="AV124" ca="1">-IF($F124="Terminated",0,IF($AA124=0,0,IF(ISNA(MATCH(AV$5,PayDedList,0)),0,MIN(IF(COUNTIFS(OverEmp,$C124,OverDeduct,AV$5,OverDate,"&lt;"&amp;DATE(YEAR($AC124),MONTH($AC124)+1,1),OverEnd,"&gt;="&amp;DATE(YEAR($AC124),MONTH($AC124),1))&gt;0,SUMPRODUCT((PayEmp=$C124)*(PayDate&lt;=$AC124)*(OFFSET($N$6,1,MATCH(AV$5,PayDedList,0)-1,PayCount,1)))/$AA124*12*AV$3,IF(OR(AV$1="Fixed",AV$1="Not Used"),SUMPRODUCT((PayEmp=$C124)*(PayDate&lt;=$AC124)*(OFFSET($N$6,1,MATCH(AV$5,PayDedList,0)-1,PayCount,1)))/$AA124*12*AV$3,IF(ISNA(MATCH(OFFSET($N$2,0,MATCH(AV$5,PayDedList,0)-1,1,1),EarnListItem,0))=FALSE,SUMPRODUCT((PayEmp=$C124)*(PayDate&lt;=$AC124)*(OFFSET($N$6,1,MATCH(AV$5,PayDedList,0)-1,PayCount,1)))/$AA124*12*AV$3,(MIN(SUMPRODUCT((PayEmp=$C124)*(PayDate&lt;=$AC124)*(ISERROR(SEARCH(PayEarnCode,AV$2)))*(PayEarnType="Monthly")*(PayEarnValues))/$AA124*12,IF(ISNUMBER(OFFSET($N$3,0,MATCH(AV$5,PayDedList,0)-1,1,1)),OFFSET($N$3,0,MATCH(AV$5,PayDedList,0)-1,1,1),IgnoreMin)))*IF(COUNTIFS(EmpNo,$C124,OFFSET(Emp!$R$4,1,MATCH(AV$5,DedListItem,0)-1,EmpCount,1),"&lt;&gt;")&gt;0,VLOOKUP($C124,EmpAll,COLUMN(Emp!$R$4)+MATCH(AV$5,DedListItem,0)-1,0),OFFSET(Setup!$E$73,MATCH(AV$5,DedListItem,0),0,1,1))*AV$3))),IF(ISNUMBER(AV$4),AV$4,IgnoreMin)))))</f>
        <v>0</v>
      </c>
      <c r="AW124" s="148" cm="1">
        <f t="array" aca="1" ref="AW124" ca="1">-IF($F124="Terminated",0,IF($AA124=0,0,IF(ISNA(MATCH(AW$5,PayDedList,0)),0,MIN(IF(COUNTIFS(OverEmp,$C124,OverDeduct,AW$5,OverDate,"&lt;"&amp;DATE(YEAR($AC124),MONTH($AC124)+1,1),OverEnd,"&gt;="&amp;DATE(YEAR($AC124),MONTH($AC124),1))&gt;0,SUMPRODUCT((PayEmp=$C124)*(PayDate&lt;=$AC124)*(OFFSET($N$6,1,MATCH(AW$5,PayDedList,0)-1,PayCount,1)))/$AA124*12*AW$3,IF(OR(AW$1="Fixed",AW$1="Not Used"),SUMPRODUCT((PayEmp=$C124)*(PayDate&lt;=$AC124)*(OFFSET($N$6,1,MATCH(AW$5,PayDedList,0)-1,PayCount,1)))/$AA124*12*AW$3,IF(ISNA(MATCH(OFFSET($N$2,0,MATCH(AW$5,PayDedList,0)-1,1,1),EarnListItem,0))=FALSE,SUMPRODUCT((PayEmp=$C124)*(PayDate&lt;=$AC124)*(OFFSET($N$6,1,MATCH(AW$5,PayDedList,0)-1,PayCount,1)))/$AA124*12*AW$3,(MIN(SUMPRODUCT((PayEmp=$C124)*(PayDate&lt;=$AC124)*(ISERROR(SEARCH(PayEarnCode,AW$2)))*(PayEarnType="Monthly")*(PayEarnValues))/$AA124*12,IF(ISNUMBER(OFFSET($N$3,0,MATCH(AW$5,PayDedList,0)-1,1,1)),OFFSET($N$3,0,MATCH(AW$5,PayDedList,0)-1,1,1),IgnoreMin)))*IF(COUNTIFS(EmpNo,$C124,OFFSET(Emp!$R$4,1,MATCH(AW$5,DedListItem,0)-1,EmpCount,1),"&lt;&gt;")&gt;0,VLOOKUP($C124,EmpAll,COLUMN(Emp!$R$4)+MATCH(AW$5,DedListItem,0)-1,0),OFFSET(Setup!$E$73,MATCH(AW$5,DedListItem,0),0,1,1))*AW$3))),IF(ISNUMBER(AW$4),AW$4,IgnoreMin)))))</f>
        <v>0</v>
      </c>
      <c r="AX124" s="148">
        <f t="shared" ca="1" si="58"/>
        <v>60000</v>
      </c>
      <c r="AY124" s="148">
        <f t="shared" ca="1" si="59"/>
        <v>0</v>
      </c>
      <c r="AZ124" s="148">
        <f ca="1">IF(ISNUMBER($AL124),($AR124*$AL124)-$AI124-$AK124,MAX(0,IF($AL124="B",IF($AR124&lt;Setup!$C$32,($AR124*Setup!$D$32)-$AI124-$AK124,(($AR124-VLOOKUP($AR124,TaxAll2,1,1))*OFFSET(Setup!$D$32,MATCH($AR124,TaxBracket2,1),0,1,1))+OFFSET(Setup!$E$31,MATCH($AR124,TaxBracket2,1),0,1,1)-$AI124-$AK124),IF($AR124&lt;Setup!$C$21,($AR124*Setup!$D$21)-$AI124-$AK124,(($AR124-VLOOKUP($AR124,TaxAll1,1,1))*OFFSET(Setup!$D$21,MATCH($AR124,TaxBracket1,1),0,1,1))+OFFSET(Setup!$E$20,MATCH($AR124,TaxBracket1,1),0,1,1)-$AI124-$AK124))))</f>
        <v>0</v>
      </c>
      <c r="BA124" s="148">
        <f ca="1">IF(ISNUMBER($AL124),($AX124*$AL124)-$AI124-$AK124,MAX(0,IF($AL124="B",IF($AX124&lt;Setup!$C$32,($AX124*Setup!$D$32)-$AI124-$AK124,(($AX124-VLOOKUP($AX124,TaxAll2,1,1))*OFFSET(Setup!$D$32,MATCH($AX124,TaxBracket2,1),0,1,1))+OFFSET(Setup!$E$31,MATCH($AX124,TaxBracket2,1),0,1,1)-$AI124-$AK124),IF($AX124&lt;Setup!$C$21,($AX124*Setup!$D$21)-$AI124-$AK124,(($AX124-VLOOKUP($AX124,TaxAll1,1,1))*OFFSET(Setup!$D$21,MATCH($AX124,TaxBracket1,1),0,1,1))+OFFSET(Setup!$E$20,MATCH($AX124,TaxBracket1,1),0,1,1)-$AI124-$AK124))))</f>
        <v>0</v>
      </c>
      <c r="BB124" s="148">
        <f t="shared" ca="1" si="53"/>
        <v>0</v>
      </c>
      <c r="BC124" s="150">
        <f t="shared" ca="1" si="45"/>
        <v>1</v>
      </c>
      <c r="BD124" s="150">
        <f t="shared" ca="1" si="46"/>
        <v>0</v>
      </c>
      <c r="BE124" s="148">
        <f t="shared" ca="1" si="47"/>
        <v>60000</v>
      </c>
    </row>
    <row r="125" spans="1:57" ht="16.149999999999999" customHeight="1" x14ac:dyDescent="0.25">
      <c r="A125" s="10" t="str" cm="1">
        <f t="array" aca="1" ref="A125" ca="1">IF(ROW($A125)-ROW($A$6)&gt;EmpCount*12,"-",TEXT($B125,"yyyy")&amp;TEXT($B125,"mm")&amp;"-"&amp;$C125)</f>
        <v>202310-EXS014</v>
      </c>
      <c r="B125" s="137" cm="1">
        <f t="array" aca="1" ref="B125" ca="1">IF(ROW($A125)-ROW($A$6)&gt;EmpCount*12,Setup!$D$12,DATE(YEAR(Setup!$F$12),MONTH(Setup!$F$12)+ROUNDDOWN((ROW($A125)-ROW($A$6)-1)/EmpCount,0),IF(Setup!$C$14&gt;DAY(DATE(YEAR(Setup!$F$12),MONTH(Setup!$F$12)+ROUNDDOWN((ROW($A125)-ROW($A$6)-1)/EmpCount,0)+1,0)),DAY(DATE(YEAR(Setup!$F$12),MONTH(Setup!$F$12)+ROUNDDOWN((ROW($A125)-ROW($A$6)-1)/EmpCount,0)+1,0)),Setup!$C$14)))</f>
        <v>45224</v>
      </c>
      <c r="C125" s="101" t="str" cm="1">
        <f t="array" aca="1" ref="C125" ca="1">IF(ROW($A125)-ROW($A$6)&gt;EmpCount*12,"-",OFFSET(Emp!$A$4,ROW($A125)-ROW($A$6)-IF(ROW($A125)-ROW($A$6)&gt;EmpCount,ROUNDDOWN((ROW($A125)-ROW($A$6)-1)/EmpCount,0)*EmpCount,0),0,1,1))</f>
        <v>EXS014</v>
      </c>
      <c r="D125" s="10" t="str">
        <f ca="1">IF(ISNA(VLOOKUP($C125,EmpAll,COLUMN(Emp!$B$4),0)),"-",VLOOKUP($C125,EmpAll,COLUMN(Emp!$B$4),0))</f>
        <v>Ross Q</v>
      </c>
      <c r="E125" s="145" t="str">
        <f ca="1">IF(ISNA(VLOOKUP($C125,EmpAll,COLUMN(Emp!$C$4),0)),"-",VLOOKUP($C125,EmpAll,COLUMN(Emp!$C$4),0))</f>
        <v>A</v>
      </c>
      <c r="F125" s="101" t="str">
        <f ca="1">IF(ISNA(VLOOKUP($C125,EmpAll,COLUMN(Emp!$A$4),0)),"-",IF(AND(VLOOKUP($C125,EmpAll,COLUMN(Emp!$E$4),0)&lt;&gt;0,VLOOKUP($C125,EmpAll,COLUMN(Emp!$E$4),0)&gt;=DATE(YEAR($AC125),MONTH($AC125)+1,0)),"Inactive",IF(AND(VLOOKUP($C125,EmpAll,COLUMN(Emp!$F$4),0)&lt;&gt;0,VLOOKUP($C125,EmpAll,COLUMN(Emp!$F$4),0)&lt;=DATE(YEAR($AC125),MONTH($AC125),0)),"Terminated","Active")))</f>
        <v>Active</v>
      </c>
      <c r="G125" s="133" cm="1">
        <f t="array" aca="1" ref="G125" ca="1">IF($F125&lt;&gt;"Active",0,IF(COUNTIFS(OverEmp,$C125,OverEarn,G$2,OverDate,"&lt;"&amp;DATE(YEAR($AC125),MONTH($AC125)+1,1),OverEnd,"&gt;="&amp;DATE(YEAR($AC125),MONTH($AC125),1))&gt;0,SUMIFS(OverValue,OverEmp,$C125,OverEarn,G$2,OverDate,"&lt;"&amp;DATE(YEAR($AC125),MONTH($AC125)+1,1),OverEnd,"&gt;="&amp;DATE(YEAR($AC125),MONTH($AC125),1)),IF(AND($AC125&gt;=Setup!$E$10,SUMIFS(EmpIncrease,EmpCode,$C125)&gt;0),SUMIFS(EmpIncrease,EmpCode,$C125),SUMIFS(EmpSalary,EmpCode,$C125))))</f>
        <v>29150</v>
      </c>
      <c r="H125" s="133" cm="1">
        <f t="array" aca="1" ref="H125" ca="1">IF($F125&lt;&gt;"Active",0,IF(COUNTIFS(OverEmp,$C125,OverEarn,H$2,OverDate,"&lt;"&amp;DATE(YEAR($AC125),MONTH($AC125)+1,1),OverEnd,"&gt;="&amp;DATE(YEAR($AC125),MONTH($AC125),1))&gt;0,SUMIFS(OverValue,OverEmp,$C125,OverEarn,H$2,OverDate,"&lt;"&amp;DATE(YEAR($AC125),MONTH($AC125)+1,1),OverEnd,"&gt;="&amp;DATE(YEAR($AC125),MONTH($AC125),1)),0))</f>
        <v>0</v>
      </c>
      <c r="I125" s="133" cm="1">
        <f t="array" aca="1" ref="I125" ca="1">IF($F125&lt;&gt;"Active",0,IF(COUNTIFS(OverEmp,$C125,OverEarn,I$2,OverDate,"&lt;"&amp;DATE(YEAR($AC125),MONTH($AC125)+1,1),OverEnd,"&gt;="&amp;DATE(YEAR($AC125),MONTH($AC125),1))&gt;0,SUMIFS(OverValue,OverEmp,$C125,OverEarn,I$2,OverDate,"&lt;"&amp;DATE(YEAR($AC125),MONTH($AC125)+1,1),OverEnd,"&gt;="&amp;DATE(YEAR($AC125),MONTH($AC125),1)),IF(MONTH(B125)=Setup!$C$15,SUMIFS(EmpBonus,EmpCode,$C125),0)))</f>
        <v>0</v>
      </c>
      <c r="J125" s="133" cm="1">
        <f t="array" aca="1" ref="J125" ca="1">IF($F125&lt;&gt;"Active",0,IF(COUNTIFS(OverEmp,$C125,OverEarn,J$2,OverDate,"&lt;"&amp;DATE(YEAR($AC125),MONTH($AC125)+1,1),OverEnd,"&gt;="&amp;DATE(YEAR($AC125),MONTH($AC125),1))&gt;0,SUMIFS(OverValue,OverEmp,$C125,OverEarn,J$2,OverDate,"&lt;"&amp;DATE(YEAR($AC125),MONTH($AC125)+1,1),OverEnd,"&gt;="&amp;DATE(YEAR($AC125),MONTH($AC125),1)),0))</f>
        <v>0</v>
      </c>
      <c r="K125" s="133" cm="1">
        <f t="array" aca="1" ref="K125" ca="1">IF($F125&lt;&gt;"Active",0,IF(COUNTIFS(OverEmp,$C125,OverEarn,K$2,OverDate,"&lt;"&amp;DATE(YEAR($AC125),MONTH($AC125)+1,1),OverEnd,"&gt;="&amp;DATE(YEAR($AC125),MONTH($AC125),1))&gt;0,SUMIFS(OverValue,OverEmp,$C125,OverEarn,K$2,OverDate,"&lt;"&amp;DATE(YEAR($AC125),MONTH($AC125)+1,1),OverEnd,"&gt;="&amp;DATE(YEAR($AC125),MONTH($AC125),1)),0))</f>
        <v>0</v>
      </c>
      <c r="L125" s="185">
        <f t="shared" ca="1" si="54"/>
        <v>29150</v>
      </c>
      <c r="M125" s="182" cm="1">
        <f t="array" aca="1" ref="M125" ca="1">IF(COUNTIFS(OverEmp,$C125,OverTax,M$5,OverDate,"&lt;"&amp;DATE(YEAR($AC125),MONTH($AC125)+1,1),OverEnd,"&gt;="&amp;DATE(YEAR($AC125),MONTH($AC125),1))&gt;0,SUMIFS(OverValue,OverEmp,$C125,OverTax,M$5,OverDate,"&lt;"&amp;DATE(YEAR($AC125),MONTH($AC125)+1,1),OverEnd,"&gt;="&amp;DATE(YEAR($AC125),MONTH($AC125),1)),(($BA125/12*$AA125)+(BB125*IF(1-$BC125=0,0,BD125/(1-$BC125))))-IF($F125="Terminated",0,SUMIFS(PayTaxDeduct,PayDate,"&lt;"&amp;$AC125,PayEmp,$C125)))</f>
        <v>4562.0833333333321</v>
      </c>
      <c r="N125" s="133" cm="1">
        <f t="array" aca="1" ref="N125" ca="1">IF($F125="Terminated",0,IF($AA125=0,0,IF(ISNA(MATCH(N$5,DedListItem,0)),0,IF(COUNTIFS(OverEmp,$C125,OverDeduct,N$5,OverDate,"&lt;"&amp;DATE(YEAR($AC125),MONTH($AC125)+1,1),OverEnd,"&gt;="&amp;DATE(YEAR($AC125),MONTH($AC125),1))&gt;0,SUMIFS(OverValue,OverEmp,$C125,OverDeduct,N$5,OverDate,"&lt;"&amp;DATE(YEAR($AC125),MONTH($AC125)+1,1),OverEnd,"&gt;="&amp;DATE(YEAR($AC125),MONTH($AC125),1)),IF(OR(N$2="Fixed",N$2="Not Used"),(IF(COUNTIFS(EmpNo,$C125,OFFSET(Emp!$R$4,1,MATCH(N$5,DedListItem,0)-1,EmpCount,1),"&lt;&gt;")&gt;0,VLOOKUP($C125,EmpAll,COLUMN(Emp!$R$4)+MATCH(N$5,DedListItem,0)-1,0),OFFSET(Setup!$E$73,MATCH(N$5,DedListItem,0),0,1,1))*$AA125)-SUMIFS(OFFSET(N$6,1,0,PayCount,1),PayDate,"&lt;"&amp;$AC125,PayEmp,$C125),IF(ISNA(MATCH(N$2,EarnListItem,0))=FALSE,IF(OFFSET(Setup!$G$73,MATCH(N$5,DedListItem,0),0,1,1)="Taxable",SUMPRODUCT((PayEmp=$C125)*(PayDate&lt;=$AC125)*(PayEarnCode=N$2)*(PayEarnTax)*(PayEarnValues)),SUMPRODUCT((PayEmp=$C125)*(PayDate&lt;=$AC125)*(PayEarnCode=N$2)*(PayEarnValues)))*IF(COUNTIFS(EmpNo,$C125,OFFSET(Emp!$R$4,1,MATCH(N$5,DedListItem,0)-1,EmpCount,1),"&lt;&gt;")&gt;0,VLOOKUP($C125,EmpAll,COLUMN(Emp!$R$4)+MATCH(N$5,DedListItem,0)-1,0),OFFSET(Setup!$E$73,MATCH(N$5,DedListItem,0),0,1,1)),(MIN(IF(OFFSET(Setup!$G$73,MATCH(N$5,DedListItem,0),0,1,1)="Taxable",SUMPRODUCT((PayEmp=$C125)*(PayDate&lt;=$AC125)*(ISERROR(SEARCH(PayEarnCode,N$4)))*(PayEarnTax)*(PayEarnValues)),SUMPRODUCT((PayEmp=$C125)*(PayDate&lt;=$AC125)*(ISERROR(SEARCH(PayEarnCode,N$4)))*(PayEarnValues))),IF(ISNUMBER(N$3),N$3/12*$AA125,IgnoreMin)))*IF(COUNTIFS(EmpNo,$C125,OFFSET(Emp!$R$4,1,MATCH(N$5,DedListItem,0)-1,EmpCount,1),"&lt;&gt;")&gt;0,VLOOKUP($C125,EmpAll,COLUMN(Emp!$R$4)+MATCH(N$5,DedListItem,0)-1,0),OFFSET(Setup!$E$73,MATCH(N$5,DedListItem,0),0,1,1)))-SUMIFS(OFFSET(N$6,1,0,PayCount,1),PayDate,"&lt;"&amp;$AC125,PayEmp,$C125))))))</f>
        <v>177.12</v>
      </c>
      <c r="O125" s="133" cm="1">
        <f t="array" aca="1" ref="O125" ca="1">IF($F125="Terminated",0,IF($AA125=0,0,IF(ISNA(MATCH(O$5,DedListItem,0)),0,IF(COUNTIFS(OverEmp,$C125,OverDeduct,O$5,OverDate,"&lt;"&amp;DATE(YEAR($AC125),MONTH($AC125)+1,1),OverEnd,"&gt;="&amp;DATE(YEAR($AC125),MONTH($AC125),1))&gt;0,SUMIFS(OverValue,OverEmp,$C125,OverDeduct,O$5,OverDate,"&lt;"&amp;DATE(YEAR($AC125),MONTH($AC125)+1,1),OverEnd,"&gt;="&amp;DATE(YEAR($AC125),MONTH($AC125),1)),IF(OR(O$2="Fixed",O$2="Not Used"),(IF(COUNTIFS(EmpNo,$C125,OFFSET(Emp!$R$4,1,MATCH(O$5,DedListItem,0)-1,EmpCount,1),"&lt;&gt;")&gt;0,VLOOKUP($C125,EmpAll,COLUMN(Emp!$R$4)+MATCH(O$5,DedListItem,0)-1,0),OFFSET(Setup!$E$73,MATCH(O$5,DedListItem,0),0,1,1))*$AA125)-SUMIFS(OFFSET(O$6,1,0,PayCount,1),PayDate,"&lt;"&amp;$AC125,PayEmp,$C125),IF(ISNA(MATCH(O$2,EarnListItem,0))=FALSE,IF(OFFSET(Setup!$G$73,MATCH(O$5,DedListItem,0),0,1,1)="Taxable",SUMPRODUCT((PayEmp=$C125)*(PayDate&lt;=$AC125)*(PayEarnCode=O$2)*(PayEarnTax)*(PayEarnValues)),SUMPRODUCT((PayEmp=$C125)*(PayDate&lt;=$AC125)*(PayEarnCode=O$2)*(PayEarnValues)))*IF(COUNTIFS(EmpNo,$C125,OFFSET(Emp!$R$4,1,MATCH(O$5,DedListItem,0)-1,EmpCount,1),"&lt;&gt;")&gt;0,VLOOKUP($C125,EmpAll,COLUMN(Emp!$R$4)+MATCH(O$5,DedListItem,0)-1,0),OFFSET(Setup!$E$73,MATCH(O$5,DedListItem,0),0,1,1)),(MIN(IF(OFFSET(Setup!$G$73,MATCH(O$5,DedListItem,0),0,1,1)="Taxable",SUMPRODUCT((PayEmp=$C125)*(PayDate&lt;=$AC125)*(ISERROR(SEARCH(PayEarnCode,O$4)))*(PayEarnTax)*(PayEarnValues)),SUMPRODUCT((PayEmp=$C125)*(PayDate&lt;=$AC125)*(ISERROR(SEARCH(PayEarnCode,O$4)))*(PayEarnValues))),IF(ISNUMBER(O$3),O$3/12*$AA125,IgnoreMin)))*IF(COUNTIFS(EmpNo,$C125,OFFSET(Emp!$R$4,1,MATCH(O$5,DedListItem,0)-1,EmpCount,1),"&lt;&gt;")&gt;0,VLOOKUP($C125,EmpAll,COLUMN(Emp!$R$4)+MATCH(O$5,DedListItem,0)-1,0),OFFSET(Setup!$E$73,MATCH(O$5,DedListItem,0),0,1,1)))-SUMIFS(OFFSET(O$6,1,0,PayCount,1),PayDate,"&lt;"&amp;$AC125,PayEmp,$C125))))))</f>
        <v>0</v>
      </c>
      <c r="P125" s="133" cm="1">
        <f t="array" aca="1" ref="P125" ca="1">IF($F125="Terminated",0,IF($AA125=0,0,IF(ISNA(MATCH(P$5,DedListItem,0)),0,IF(COUNTIFS(OverEmp,$C125,OverDeduct,P$5,OverDate,"&lt;"&amp;DATE(YEAR($AC125),MONTH($AC125)+1,1),OverEnd,"&gt;="&amp;DATE(YEAR($AC125),MONTH($AC125),1))&gt;0,SUMIFS(OverValue,OverEmp,$C125,OverDeduct,P$5,OverDate,"&lt;"&amp;DATE(YEAR($AC125),MONTH($AC125)+1,1),OverEnd,"&gt;="&amp;DATE(YEAR($AC125),MONTH($AC125),1)),IF(OR(P$2="Fixed",P$2="Not Used"),(IF(COUNTIFS(EmpNo,$C125,OFFSET(Emp!$R$4,1,MATCH(P$5,DedListItem,0)-1,EmpCount,1),"&lt;&gt;")&gt;0,VLOOKUP($C125,EmpAll,COLUMN(Emp!$R$4)+MATCH(P$5,DedListItem,0)-1,0),OFFSET(Setup!$E$73,MATCH(P$5,DedListItem,0),0,1,1))*$AA125)-SUMIFS(OFFSET(P$6,1,0,PayCount,1),PayDate,"&lt;"&amp;$AC125,PayEmp,$C125),IF(ISNA(MATCH(P$2,EarnListItem,0))=FALSE,IF(OFFSET(Setup!$G$73,MATCH(P$5,DedListItem,0),0,1,1)="Taxable",SUMPRODUCT((PayEmp=$C125)*(PayDate&lt;=$AC125)*(PayEarnCode=P$2)*(PayEarnTax)*(PayEarnValues)),SUMPRODUCT((PayEmp=$C125)*(PayDate&lt;=$AC125)*(PayEarnCode=P$2)*(PayEarnValues)))*IF(COUNTIFS(EmpNo,$C125,OFFSET(Emp!$R$4,1,MATCH(P$5,DedListItem,0)-1,EmpCount,1),"&lt;&gt;")&gt;0,VLOOKUP($C125,EmpAll,COLUMN(Emp!$R$4)+MATCH(P$5,DedListItem,0)-1,0),OFFSET(Setup!$E$73,MATCH(P$5,DedListItem,0),0,1,1)),(MIN(IF(OFFSET(Setup!$G$73,MATCH(P$5,DedListItem,0),0,1,1)="Taxable",SUMPRODUCT((PayEmp=$C125)*(PayDate&lt;=$AC125)*(ISERROR(SEARCH(PayEarnCode,P$4)))*(PayEarnTax)*(PayEarnValues)),SUMPRODUCT((PayEmp=$C125)*(PayDate&lt;=$AC125)*(ISERROR(SEARCH(PayEarnCode,P$4)))*(PayEarnValues))),IF(ISNUMBER(P$3),P$3/12*$AA125,IgnoreMin)))*IF(COUNTIFS(EmpNo,$C125,OFFSET(Emp!$R$4,1,MATCH(P$5,DedListItem,0)-1,EmpCount,1),"&lt;&gt;")&gt;0,VLOOKUP($C125,EmpAll,COLUMN(Emp!$R$4)+MATCH(P$5,DedListItem,0)-1,0),OFFSET(Setup!$E$73,MATCH(P$5,DedListItem,0),0,1,1)))-SUMIFS(OFFSET(P$6,1,0,PayCount,1),PayDate,"&lt;"&amp;$AC125,PayEmp,$C125))))))</f>
        <v>0</v>
      </c>
      <c r="Q125" s="133" cm="1">
        <f t="array" aca="1" ref="Q125" ca="1">IF($F125="Terminated",0,IF($AA125=0,0,IF(ISNA(MATCH(Q$5,DedListItem,0)),0,IF(COUNTIFS(OverEmp,$C125,OverDeduct,Q$5,OverDate,"&lt;"&amp;DATE(YEAR($AC125),MONTH($AC125)+1,1),OverEnd,"&gt;="&amp;DATE(YEAR($AC125),MONTH($AC125),1))&gt;0,SUMIFS(OverValue,OverEmp,$C125,OverDeduct,Q$5,OverDate,"&lt;"&amp;DATE(YEAR($AC125),MONTH($AC125)+1,1),OverEnd,"&gt;="&amp;DATE(YEAR($AC125),MONTH($AC125),1)),IF(OR(Q$2="Fixed",Q$2="Not Used"),(IF(COUNTIFS(EmpNo,$C125,OFFSET(Emp!$R$4,1,MATCH(Q$5,DedListItem,0)-1,EmpCount,1),"&lt;&gt;")&gt;0,VLOOKUP($C125,EmpAll,COLUMN(Emp!$R$4)+MATCH(Q$5,DedListItem,0)-1,0),OFFSET(Setup!$E$73,MATCH(Q$5,DedListItem,0),0,1,1))*$AA125)-SUMIFS(OFFSET(Q$6,1,0,PayCount,1),PayDate,"&lt;"&amp;$AC125,PayEmp,$C125),IF(ISNA(MATCH(Q$2,EarnListItem,0))=FALSE,IF(OFFSET(Setup!$G$73,MATCH(Q$5,DedListItem,0),0,1,1)="Taxable",SUMPRODUCT((PayEmp=$C125)*(PayDate&lt;=$AC125)*(PayEarnCode=Q$2)*(PayEarnTax)*(PayEarnValues)),SUMPRODUCT((PayEmp=$C125)*(PayDate&lt;=$AC125)*(PayEarnCode=Q$2)*(PayEarnValues)))*IF(COUNTIFS(EmpNo,$C125,OFFSET(Emp!$R$4,1,MATCH(Q$5,DedListItem,0)-1,EmpCount,1),"&lt;&gt;")&gt;0,VLOOKUP($C125,EmpAll,COLUMN(Emp!$R$4)+MATCH(Q$5,DedListItem,0)-1,0),OFFSET(Setup!$E$73,MATCH(Q$5,DedListItem,0),0,1,1)),(MIN(IF(OFFSET(Setup!$G$73,MATCH(Q$5,DedListItem,0),0,1,1)="Taxable",SUMPRODUCT((PayEmp=$C125)*(PayDate&lt;=$AC125)*(ISERROR(SEARCH(PayEarnCode,Q$4)))*(PayEarnTax)*(PayEarnValues)),SUMPRODUCT((PayEmp=$C125)*(PayDate&lt;=$AC125)*(ISERROR(SEARCH(PayEarnCode,Q$4)))*(PayEarnValues))),IF(ISNUMBER(Q$3),Q$3/12*$AA125,IgnoreMin)))*IF(COUNTIFS(EmpNo,$C125,OFFSET(Emp!$R$4,1,MATCH(Q$5,DedListItem,0)-1,EmpCount,1),"&lt;&gt;")&gt;0,VLOOKUP($C125,EmpAll,COLUMN(Emp!$R$4)+MATCH(Q$5,DedListItem,0)-1,0),OFFSET(Setup!$E$73,MATCH(Q$5,DedListItem,0),0,1,1)))-SUMIFS(OFFSET(Q$6,1,0,PayCount,1),PayDate,"&lt;"&amp;$AC125,PayEmp,$C125))))))</f>
        <v>0</v>
      </c>
      <c r="R125" s="185">
        <f t="shared" ca="1" si="55"/>
        <v>4739.203333333332</v>
      </c>
      <c r="S125" s="139">
        <f t="shared" ca="1" si="56"/>
        <v>24410.799999999999</v>
      </c>
      <c r="T125" s="133" cm="1">
        <f t="array" aca="1" ref="T125" ca="1">IF($F125="Terminated",0,IF($AA125=0,0,IF(ISNA(MATCH(T$5,CompListItem,0)),0,IF(COUNTIFS(OverEmp,$C125,OverComp,T$5,OverDate,"&lt;"&amp;DATE(YEAR($AC125),MONTH($AC125)+1,1),OverEnd,"&gt;="&amp;DATE(YEAR($AC125),MONTH($AC125),1))&gt;0,SUMIFS(OverValue,OverEmp,$C125,OverComp,T$5,OverDate,"&lt;"&amp;DATE(YEAR($AC125),MONTH($AC125)+1,1),OverEnd,"&gt;="&amp;DATE(YEAR($AC125),MONTH($AC125),1)),IF(OR(T$2="Fixed",T$2="Not Used"),(OFFSET(Setup!$E$81,MATCH(T$5,CompListItem,0),0,1,1)*$AA125)-SUMIFS(OFFSET(T$6,1,0,PayCount,1),PayDate,"&lt;"&amp;$AC125,PayEmp,$C125),IF(ISNA(MATCH(T$2,DedListItem,0))=FALSE,(SUMPRODUCT((PayEmp=$C125)*(PayDate&lt;=$AC125)*(PayDedList=T$2)*(PayDedValues))*OFFSET(Setup!$E$81,MATCH(T$5,CompListItem,0),0,1,1))-SUMIFS(OFFSET(T$6,1,0,PayCount,1),PayDate,"&lt;"&amp;$AC125,PayEmp,$C125),(MIN(IF(OFFSET(Setup!$G$81,MATCH(T$5,CompListItem,0),0,1,1)="Taxable",SUMPRODUCT((PayEmp=$C125)*(PayDate&lt;=$AC125)*(ISERROR(SEARCH(PayEarnCode,T$4)))*(PayEarnTax)*(PayEarnValues)),SUMPRODUCT((PayEmp=$C125)*(PayDate&lt;=$AC125)*(ISERROR(SEARCH(PayEarnCode,T$4)))*(PayEarnValues))),IF(ISNUMBER(T$3),T$3/12*$AA125,IgnoreMin)))*OFFSET(Setup!$E$81,MATCH(T$5,CompListItem,0),0,1,1)-SUMIFS(OFFSET(T$6,1,0,PayCount,1),PayDate,"&lt;"&amp;$AC125,PayEmp,$C125)))))))</f>
        <v>177.12</v>
      </c>
      <c r="U125" s="133" cm="1">
        <f t="array" aca="1" ref="U125" ca="1">IF($F125="Terminated",0,IF($AA125=0,0,IF(ISNA(MATCH(U$5,CompListItem,0)),0,IF(COUNTIFS(OverEmp,$C125,OverComp,U$5,OverDate,"&lt;"&amp;DATE(YEAR($AC125),MONTH($AC125)+1,1),OverEnd,"&gt;="&amp;DATE(YEAR($AC125),MONTH($AC125),1))&gt;0,SUMIFS(OverValue,OverEmp,$C125,OverComp,U$5,OverDate,"&lt;"&amp;DATE(YEAR($AC125),MONTH($AC125)+1,1),OverEnd,"&gt;="&amp;DATE(YEAR($AC125),MONTH($AC125),1)),IF(OR(U$2="Fixed",U$2="Not Used"),(OFFSET(Setup!$E$81,MATCH(U$5,CompListItem,0),0,1,1)*$AA125)-SUMIFS(OFFSET(U$6,1,0,PayCount,1),PayDate,"&lt;"&amp;$AC125,PayEmp,$C125),IF(ISNA(MATCH(U$2,DedListItem,0))=FALSE,(SUMPRODUCT((PayEmp=$C125)*(PayDate&lt;=$AC125)*(PayDedList=U$2)*(PayDedValues))*OFFSET(Setup!$E$81,MATCH(U$5,CompListItem,0),0,1,1))-SUMIFS(OFFSET(U$6,1,0,PayCount,1),PayDate,"&lt;"&amp;$AC125,PayEmp,$C125),(MIN(IF(OFFSET(Setup!$G$81,MATCH(U$5,CompListItem,0),0,1,1)="Taxable",SUMPRODUCT((PayEmp=$C125)*(PayDate&lt;=$AC125)*(ISERROR(SEARCH(PayEarnCode,U$4)))*(PayEarnTax)*(PayEarnValues)),SUMPRODUCT((PayEmp=$C125)*(PayDate&lt;=$AC125)*(ISERROR(SEARCH(PayEarnCode,U$4)))*(PayEarnValues))),IF(ISNUMBER(U$3),U$3/12*$AA125,IgnoreMin)))*OFFSET(Setup!$E$81,MATCH(U$5,CompListItem,0),0,1,1)-SUMIFS(OFFSET(U$6,1,0,PayCount,1),PayDate,"&lt;"&amp;$AC125,PayEmp,$C125)))))))</f>
        <v>291.5</v>
      </c>
      <c r="V125" s="133" cm="1">
        <f t="array" aca="1" ref="V125" ca="1">IF($F125="Terminated",0,IF($AA125=0,0,IF(ISNA(MATCH(V$5,CompListItem,0)),0,IF(COUNTIFS(OverEmp,$C125,OverComp,V$5,OverDate,"&lt;"&amp;DATE(YEAR($AC125),MONTH($AC125)+1,1),OverEnd,"&gt;="&amp;DATE(YEAR($AC125),MONTH($AC125),1))&gt;0,SUMIFS(OverValue,OverEmp,$C125,OverComp,V$5,OverDate,"&lt;"&amp;DATE(YEAR($AC125),MONTH($AC125)+1,1),OverEnd,"&gt;="&amp;DATE(YEAR($AC125),MONTH($AC125),1)),IF(OR(V$2="Fixed",V$2="Not Used"),(OFFSET(Setup!$E$81,MATCH(V$5,CompListItem,0),0,1,1)*$AA125)-SUMIFS(OFFSET(V$6,1,0,PayCount,1),PayDate,"&lt;"&amp;$AC125,PayEmp,$C125),IF(ISNA(MATCH(V$2,DedListItem,0))=FALSE,(SUMPRODUCT((PayEmp=$C125)*(PayDate&lt;=$AC125)*(PayDedList=V$2)*(PayDedValues))*OFFSET(Setup!$E$81,MATCH(V$5,CompListItem,0),0,1,1))-SUMIFS(OFFSET(V$6,1,0,PayCount,1),PayDate,"&lt;"&amp;$AC125,PayEmp,$C125),(MIN(IF(OFFSET(Setup!$G$81,MATCH(V$5,CompListItem,0),0,1,1)="Taxable",SUMPRODUCT((PayEmp=$C125)*(PayDate&lt;=$AC125)*(ISERROR(SEARCH(PayEarnCode,V$4)))*(PayEarnTax)*(PayEarnValues)),SUMPRODUCT((PayEmp=$C125)*(PayDate&lt;=$AC125)*(ISERROR(SEARCH(PayEarnCode,V$4)))*(PayEarnValues))),IF(ISNUMBER(V$3),V$3/12*$AA125,IgnoreMin)))*OFFSET(Setup!$E$81,MATCH(V$5,CompListItem,0),0,1,1)-SUMIFS(OFFSET(V$6,1,0,PayCount,1),PayDate,"&lt;"&amp;$AC125,PayEmp,$C125)))))))</f>
        <v>0</v>
      </c>
      <c r="W125" s="133" cm="1">
        <f t="array" aca="1" ref="W125" ca="1">IF($F125="Terminated",0,IF($AA125=0,0,IF(ISNA(MATCH(W$5,CompListItem,0)),0,IF(COUNTIFS(OverEmp,$C125,OverComp,W$5,OverDate,"&lt;"&amp;DATE(YEAR($AC125),MONTH($AC125)+1,1),OverEnd,"&gt;="&amp;DATE(YEAR($AC125),MONTH($AC125),1))&gt;0,SUMIFS(OverValue,OverEmp,$C125,OverComp,W$5,OverDate,"&lt;"&amp;DATE(YEAR($AC125),MONTH($AC125)+1,1),OverEnd,"&gt;="&amp;DATE(YEAR($AC125),MONTH($AC125),1)),IF(OR(W$2="Fixed",W$2="Not Used"),(OFFSET(Setup!$E$81,MATCH(W$5,CompListItem,0),0,1,1)*$AA125)-SUMIFS(OFFSET(W$6,1,0,PayCount,1),PayDate,"&lt;"&amp;$AC125,PayEmp,$C125),IF(ISNA(MATCH(W$2,DedListItem,0))=FALSE,(SUMPRODUCT((PayEmp=$C125)*(PayDate&lt;=$AC125)*(PayDedList=W$2)*(PayDedValues))*OFFSET(Setup!$E$81,MATCH(W$5,CompListItem,0),0,1,1))-SUMIFS(OFFSET(W$6,1,0,PayCount,1),PayDate,"&lt;"&amp;$AC125,PayEmp,$C125),(MIN(IF(OFFSET(Setup!$G$81,MATCH(W$5,CompListItem,0),0,1,1)="Taxable",SUMPRODUCT((PayEmp=$C125)*(PayDate&lt;=$AC125)*(ISERROR(SEARCH(PayEarnCode,W$4)))*(PayEarnTax)*(PayEarnValues)),SUMPRODUCT((PayEmp=$C125)*(PayDate&lt;=$AC125)*(ISERROR(SEARCH(PayEarnCode,W$4)))*(PayEarnValues))),IF(ISNUMBER(W$3),W$3/12*$AA125,IgnoreMin)))*OFFSET(Setup!$E$81,MATCH(W$5,CompListItem,0),0,1,1)-SUMIFS(OFFSET(W$6,1,0,PayCount,1),PayDate,"&lt;"&amp;$AC125,PayEmp,$C125)))))))</f>
        <v>0</v>
      </c>
      <c r="X125" s="185">
        <f t="shared" ca="1" si="48"/>
        <v>468.62</v>
      </c>
      <c r="Y125" s="139">
        <f t="shared" ca="1" si="57"/>
        <v>29618.62</v>
      </c>
      <c r="Z125" s="139">
        <f t="shared" ca="1" si="49"/>
        <v>5207.82</v>
      </c>
      <c r="AA125" s="146">
        <f ca="1">IF(OR($B125&lt;=Setup!$E$12,$B125&gt;=Setup!$D$12+1),0,IF($F125&lt;&gt;"Active",0,IF($AE125="Yes",$AB125,((YEAR($AC125)*12)+MONTH($AC125))-((YEAR($AD125)*12)+MONTH($AD125)-1))))</f>
        <v>5</v>
      </c>
      <c r="AB125" s="146">
        <f ca="1">IF(OR($B125&lt;=Setup!$E$12,$B125&gt;=Setup!$D$12+1),0,((YEAR($AC125)*12)+MONTH($AC125))-((YEAR(Setup!$E$12)*12)+MONTH(Setup!$E$12)))</f>
        <v>8</v>
      </c>
      <c r="AC125" s="186">
        <f t="shared" ca="1" si="50"/>
        <v>45224</v>
      </c>
      <c r="AD125" s="144">
        <f ca="1">IF(ISNA(VLOOKUP($C125,EmpAll,COLUMN(Emp!$E$4),0)),$AC125,IF(VLOOKUP($C125,EmpAll,COLUMN(Emp!$E$4),0)&lt;=Setup!$E$12,DATE(YEAR(Setup!$E$12),MONTH(Setup!$E$12)+1,1),VLOOKUP($C125,EmpAll,COLUMN(Emp!$E$4),0)))</f>
        <v>45102</v>
      </c>
      <c r="AE125" s="144" t="str">
        <f ca="1">IF(ISNA(VLOOKUP($C125,EmpAll,COLUMN(Emp!$G$1),0)),"-",IF(VLOOKUP($C125,EmpAll,COLUMN(Emp!$G$1),0)=0,"-",VLOOKUP($C125,EmpAll,COLUMN(Emp!$G$1),0)))</f>
        <v>-</v>
      </c>
      <c r="AF125" s="145">
        <f ca="1">IF(A125=PaySlip!$G$3,1,0)</f>
        <v>0</v>
      </c>
      <c r="AG125" s="130" cm="1">
        <f t="array" aca="1" ref="AG125" ca="1">IF(COUNTIFS(OverEmp,$C125,OverMed,"MED",OverDate,"&lt;"&amp;DATE(YEAR($AC125),MONTH($AC125)+1,1),OverEnd,"&gt;="&amp;DATE(YEAR($AC125),MONTH($AC125),1))&gt;0,SUMIFS(OverValue,OverEmp,$C125,OverMed,"MED",OverDate,"&lt;"&amp;DATE(YEAR($AC125),MONTH($AC125)+1,1),OverEnd,"&gt;="&amp;DATE(YEAR($AC125),MONTH($AC125),1)),IF(ISNA(VLOOKUP($C125,EmpAll,COLUMN(Emp!$N$4),0)),0,VLOOKUP($C125,EmpAll,COLUMN(Emp!$N$4),0)))</f>
        <v>0</v>
      </c>
      <c r="AH125" s="146">
        <f ca="1">VLOOKUP($AG125,MedList,COLUMN(Setup!$C$49),1)</f>
        <v>0</v>
      </c>
      <c r="AI125" s="146">
        <f t="shared" ca="1" si="40"/>
        <v>0</v>
      </c>
      <c r="AJ125" s="101" t="str">
        <f ca="1">IF(ISNA(VLOOKUP($C125,EmpAll,COLUMN(Emp!$L$4),0)),"None!",VLOOKUP($C125,EmpAll,COLUMN(Emp!$L$4),0))</f>
        <v>A</v>
      </c>
      <c r="AK125" s="147">
        <f t="shared" ca="1" si="51"/>
        <v>17235</v>
      </c>
      <c r="AL125" s="101" t="str">
        <f ca="1">IF(ISNA(VLOOKUP($C125,Employees[],COLUMN(Emp!$M$4),0))=TRUE,"Error!",IF(VLOOKUP($C125,Employees[],COLUMN(Emp!$M$4),0)=0,"Yes",VLOOKUP($C125,Employees[],COLUMN(Emp!$M$4),0)))</f>
        <v>A</v>
      </c>
      <c r="AM125" s="148">
        <f t="shared" ca="1" si="41"/>
        <v>349800</v>
      </c>
      <c r="AN125" s="148" cm="1">
        <f t="array" aca="1" ref="AN125" ca="1">-IF($F125="Terminated",0,IF($AA125=0,0,IF(ISNA(MATCH(AN$5,PayDedList,0)),0,MIN(IF(COUNTIFS(OverEmp,$C125,OverDeduct,AN$5,OverDate,"&lt;"&amp;DATE(YEAR($AC125),MONTH($AC125)+1,1),OverEnd,"&gt;="&amp;DATE(YEAR($AC125),MONTH($AC125),1))&gt;0,SUMPRODUCT((PayEmp=$C125)*(PayDate&lt;=$AC125)*(OFFSET($N$6,1,MATCH(AN$5,PayDedList,0)-1,PayCount,1)))/$AA125*12*AN$3,IF(OR(AN$1="Fixed",AN$1="Not Used"),SUMPRODUCT((PayEmp=$C125)*(PayDate&lt;=$AC125)*(OFFSET($N$6,1,MATCH(AN$5,PayDedList,0)-1,PayCount,1)))/$AA125*12*AN$3,IF(ISNA(MATCH(AN$1,EarnListItem,0))=FALSE,SUMPRODUCT((PayEmp=$C125)*(PayDate&lt;=$AC125)*(OFFSET($N$6,1,MATCH(AN$5,PayDedList,0)-1,PayCount,1)))/$AA125*12*AN$3,(MIN(((SUMPRODUCT((PayEmp=$C125)*(PayDate&lt;=$AC125)*(ISERROR(SEARCH(PayEarnCode,AN$2)))*(PayEarnType="Monthly")*(PayEarnValues))/$AA125*12)+(SUMPRODUCT((PayEmp=$C125)*(PayDate&lt;=$AC125)*(ISERROR(SEARCH(PayEarnCode,AN$2)))*(PayEarnType="Quarterly")*(PayEarnValues))/MAX(1,ROUNDDOWN($AB125/3,0))*4)+(SUMPRODUCT((PayEmp=$C125)*(PayDate&lt;=$AC125)*(ISERROR(SEARCH(PayEarnCode,AN$2)))*(PayEarnType="Bi-Annual")*(PayEarnValues))/MAX(1,ROUNDDOWN($AB125/6,0))*2)+(SUMPRODUCT((PayEmp=$C125)*(PayDate&lt;=$AC125)*(ISERROR(SEARCH(PayEarnCode,AN$2)))*(PayEarnType="Annual")*(PayEarnValues)))),IF(ISNUMBER(OFFSET($N$3,0,MATCH(AN$5,PayDedList,0)-1,1,1)),OFFSET($N$3,0,MATCH(AN$5,PayDedList,0)-1,1,1),IgnoreMin)))*IF(COUNTIFS(EmpNo,$C125,OFFSET(Emp!$R$4,1,MATCH(AN$5,DedListItem,0)-1,EmpCount,1),"&lt;&gt;")&gt;0,VLOOKUP($C125,EmpAll,COLUMN(Emp!$R$4)+MATCH(AN$5,DedListItem,0)-1,0),OFFSET(Setup!$E$73,MATCH(AN$5,DedListItem,0),0,1,1))*AN$3))),IF(ISNUMBER(AN$4),AN$4,IgnoreMin)))))</f>
        <v>0</v>
      </c>
      <c r="AO125" s="148" cm="1">
        <f t="array" aca="1" ref="AO125" ca="1">-IF($F125="Terminated",0,IF($AA125=0,0,IF(ISNA(MATCH(AO$5,PayDedList,0)),0,MIN(IF(COUNTIFS(OverEmp,$C125,OverDeduct,AO$5,OverDate,"&lt;"&amp;DATE(YEAR($AC125),MONTH($AC125)+1,1),OverEnd,"&gt;="&amp;DATE(YEAR($AC125),MONTH($AC125),1))&gt;0,SUMPRODUCT((PayEmp=$C125)*(PayDate&lt;=$AC125)*(OFFSET($N$6,1,MATCH(AO$5,PayDedList,0)-1,PayCount,1)))/$AA125*12*AO$3,IF(OR(AO$1="Fixed",AO$1="Not Used"),SUMPRODUCT((PayEmp=$C125)*(PayDate&lt;=$AC125)*(OFFSET($N$6,1,MATCH(AO$5,PayDedList,0)-1,PayCount,1)))/$AA125*12*AO$3,IF(ISNA(MATCH(AO$1,EarnListItem,0))=FALSE,SUMPRODUCT((PayEmp=$C125)*(PayDate&lt;=$AC125)*(OFFSET($N$6,1,MATCH(AO$5,PayDedList,0)-1,PayCount,1)))/$AA125*12*AO$3,(MIN(((SUMPRODUCT((PayEmp=$C125)*(PayDate&lt;=$AC125)*(ISERROR(SEARCH(PayEarnCode,AO$2)))*(PayEarnType="Monthly")*(PayEarnValues))/$AA125*12)+(SUMPRODUCT((PayEmp=$C125)*(PayDate&lt;=$AC125)*(ISERROR(SEARCH(PayEarnCode,AO$2)))*(PayEarnType="Quarterly")*(PayEarnValues))/MAX(1,ROUNDDOWN($AB125/3,0))*4)+(SUMPRODUCT((PayEmp=$C125)*(PayDate&lt;=$AC125)*(ISERROR(SEARCH(PayEarnCode,AO$2)))*(PayEarnType="Bi-Annual")*(PayEarnValues))/MAX(1,ROUNDDOWN($AB125/6,0))*2)+(SUMPRODUCT((PayEmp=$C125)*(PayDate&lt;=$AC125)*(ISERROR(SEARCH(PayEarnCode,AO$2)))*(PayEarnType="Annual")*(PayEarnValues)))),IF(ISNUMBER(OFFSET($N$3,0,MATCH(AO$5,PayDedList,0)-1,1,1)),OFFSET($N$3,0,MATCH(AO$5,PayDedList,0)-1,1,1),IgnoreMin)))*IF(COUNTIFS(EmpNo,$C125,OFFSET(Emp!$R$4,1,MATCH(AO$5,DedListItem,0)-1,EmpCount,1),"&lt;&gt;")&gt;0,VLOOKUP($C125,EmpAll,COLUMN(Emp!$R$4)+MATCH(AO$5,DedListItem,0)-1,0),OFFSET(Setup!$E$73,MATCH(AO$5,DedListItem,0),0,1,1))*AO$3))),IF(ISNUMBER(AO$4),AO$4,IgnoreMin)))))</f>
        <v>0</v>
      </c>
      <c r="AP125" s="148" cm="1">
        <f t="array" aca="1" ref="AP125" ca="1">-IF($F125="Terminated",0,IF($AA125=0,0,IF(ISNA(MATCH(AP$5,PayDedList,0)),0,MIN(IF(COUNTIFS(OverEmp,$C125,OverDeduct,AP$5,OverDate,"&lt;"&amp;DATE(YEAR($AC125),MONTH($AC125)+1,1),OverEnd,"&gt;="&amp;DATE(YEAR($AC125),MONTH($AC125),1))&gt;0,SUMPRODUCT((PayEmp=$C125)*(PayDate&lt;=$AC125)*(OFFSET($N$6,1,MATCH(AP$5,PayDedList,0)-1,PayCount,1)))/$AA125*12*AP$3,IF(OR(AP$1="Fixed",AP$1="Not Used"),SUMPRODUCT((PayEmp=$C125)*(PayDate&lt;=$AC125)*(OFFSET($N$6,1,MATCH(AP$5,PayDedList,0)-1,PayCount,1)))/$AA125*12*AP$3,IF(ISNA(MATCH(AP$1,EarnListItem,0))=FALSE,SUMPRODUCT((PayEmp=$C125)*(PayDate&lt;=$AC125)*(OFFSET($N$6,1,MATCH(AP$5,PayDedList,0)-1,PayCount,1)))/$AA125*12*AP$3,(MIN(((SUMPRODUCT((PayEmp=$C125)*(PayDate&lt;=$AC125)*(ISERROR(SEARCH(PayEarnCode,AP$2)))*(PayEarnType="Monthly")*(PayEarnValues))/$AA125*12)+(SUMPRODUCT((PayEmp=$C125)*(PayDate&lt;=$AC125)*(ISERROR(SEARCH(PayEarnCode,AP$2)))*(PayEarnType="Quarterly")*(PayEarnValues))/MAX(1,ROUNDDOWN($AB125/3,0))*4)+(SUMPRODUCT((PayEmp=$C125)*(PayDate&lt;=$AC125)*(ISERROR(SEARCH(PayEarnCode,AP$2)))*(PayEarnType="Bi-Annual")*(PayEarnValues))/MAX(1,ROUNDDOWN($AB125/6,0))*2)+(SUMPRODUCT((PayEmp=$C125)*(PayDate&lt;=$AC125)*(ISERROR(SEARCH(PayEarnCode,AP$2)))*(PayEarnType="Annual")*(PayEarnValues)))),IF(ISNUMBER(OFFSET($N$3,0,MATCH(AP$5,PayDedList,0)-1,1,1)),OFFSET($N$3,0,MATCH(AP$5,PayDedList,0)-1,1,1),IgnoreMin)))*IF(COUNTIFS(EmpNo,$C125,OFFSET(Emp!$R$4,1,MATCH(AP$5,DedListItem,0)-1,EmpCount,1),"&lt;&gt;")&gt;0,VLOOKUP($C125,EmpAll,COLUMN(Emp!$R$4)+MATCH(AP$5,DedListItem,0)-1,0),OFFSET(Setup!$E$73,MATCH(AP$5,DedListItem,0),0,1,1))*AP$3))),IF(ISNUMBER(AP$4),AP$4,IgnoreMin)))))</f>
        <v>0</v>
      </c>
      <c r="AQ125" s="148" cm="1">
        <f t="array" aca="1" ref="AQ125" ca="1">-IF($F125="Terminated",0,IF($AA125=0,0,IF(ISNA(MATCH(AQ$5,PayDedList,0)),0,MIN(IF(COUNTIFS(OverEmp,$C125,OverDeduct,AQ$5,OverDate,"&lt;"&amp;DATE(YEAR($AC125),MONTH($AC125)+1,1),OverEnd,"&gt;="&amp;DATE(YEAR($AC125),MONTH($AC125),1))&gt;0,SUMPRODUCT((PayEmp=$C125)*(PayDate&lt;=$AC125)*(OFFSET($N$6,1,MATCH(AQ$5,PayDedList,0)-1,PayCount,1)))/$AA125*12*AQ$3,IF(OR(AQ$1="Fixed",AQ$1="Not Used"),SUMPRODUCT((PayEmp=$C125)*(PayDate&lt;=$AC125)*(OFFSET($N$6,1,MATCH(AQ$5,PayDedList,0)-1,PayCount,1)))/$AA125*12*AQ$3,IF(ISNA(MATCH(AQ$1,EarnListItem,0))=FALSE,SUMPRODUCT((PayEmp=$C125)*(PayDate&lt;=$AC125)*(OFFSET($N$6,1,MATCH(AQ$5,PayDedList,0)-1,PayCount,1)))/$AA125*12*AQ$3,(MIN(((SUMPRODUCT((PayEmp=$C125)*(PayDate&lt;=$AC125)*(ISERROR(SEARCH(PayEarnCode,AQ$2)))*(PayEarnType="Monthly")*(PayEarnValues))/$AA125*12)+(SUMPRODUCT((PayEmp=$C125)*(PayDate&lt;=$AC125)*(ISERROR(SEARCH(PayEarnCode,AQ$2)))*(PayEarnType="Quarterly")*(PayEarnValues))/MAX(1,ROUNDDOWN($AB125/3,0))*4)+(SUMPRODUCT((PayEmp=$C125)*(PayDate&lt;=$AC125)*(ISERROR(SEARCH(PayEarnCode,AQ$2)))*(PayEarnType="Bi-Annual")*(PayEarnValues))/MAX(1,ROUNDDOWN($AB125/6,0))*2)+(SUMPRODUCT((PayEmp=$C125)*(PayDate&lt;=$AC125)*(ISERROR(SEARCH(PayEarnCode,AQ$2)))*(PayEarnType="Annual")*(PayEarnValues)))),IF(ISNUMBER(OFFSET($N$3,0,MATCH(AQ$5,PayDedList,0)-1,1,1)),OFFSET($N$3,0,MATCH(AQ$5,PayDedList,0)-1,1,1),IgnoreMin)))*IF(COUNTIFS(EmpNo,$C125,OFFSET(Emp!$R$4,1,MATCH(AQ$5,DedListItem,0)-1,EmpCount,1),"&lt;&gt;")&gt;0,VLOOKUP($C125,EmpAll,COLUMN(Emp!$R$4)+MATCH(AQ$5,DedListItem,0)-1,0),OFFSET(Setup!$E$73,MATCH(AQ$5,DedListItem,0),0,1,1))*AQ$3))),IF(ISNUMBER(AQ$4),AQ$4,IgnoreMin)))))</f>
        <v>0</v>
      </c>
      <c r="AR125" s="148">
        <f t="shared" ca="1" si="52"/>
        <v>349800</v>
      </c>
      <c r="AS125" s="148">
        <f t="shared" ca="1" si="42"/>
        <v>349800</v>
      </c>
      <c r="AT125" s="148" cm="1">
        <f t="array" aca="1" ref="AT125" ca="1">-IF($F125="Terminated",0,IF($AA125=0,0,IF(ISNA(MATCH(AT$5,PayDedList,0)),0,MIN(IF(COUNTIFS(OverEmp,$C125,OverDeduct,AT$5,OverDate,"&lt;"&amp;DATE(YEAR($AC125),MONTH($AC125)+1,1),OverEnd,"&gt;="&amp;DATE(YEAR($AC125),MONTH($AC125),1))&gt;0,SUMPRODUCT((PayEmp=$C125)*(PayDate&lt;=$AC125)*(OFFSET($N$6,1,MATCH(AT$5,PayDedList,0)-1,PayCount,1)))/$AA125*12*AT$3,IF(OR(AT$1="Fixed",AT$1="Not Used"),SUMPRODUCT((PayEmp=$C125)*(PayDate&lt;=$AC125)*(OFFSET($N$6,1,MATCH(AT$5,PayDedList,0)-1,PayCount,1)))/$AA125*12*AT$3,IF(ISNA(MATCH(OFFSET($N$2,0,MATCH(AT$5,PayDedList,0)-1,1,1),EarnListItem,0))=FALSE,SUMPRODUCT((PayEmp=$C125)*(PayDate&lt;=$AC125)*(OFFSET($N$6,1,MATCH(AT$5,PayDedList,0)-1,PayCount,1)))/$AA125*12*AT$3,(MIN(SUMPRODUCT((PayEmp=$C125)*(PayDate&lt;=$AC125)*(ISERROR(SEARCH(PayEarnCode,AT$2)))*(PayEarnType="Monthly")*(PayEarnValues))/$AA125*12,IF(ISNUMBER(OFFSET($N$3,0,MATCH(AT$5,PayDedList,0)-1,1,1)),OFFSET($N$3,0,MATCH(AT$5,PayDedList,0)-1,1,1),IgnoreMin)))*IF(COUNTIFS(EmpNo,$C125,OFFSET(Emp!$R$4,1,MATCH(AT$5,DedListItem,0)-1,EmpCount,1),"&lt;&gt;")&gt;0,VLOOKUP($C125,EmpAll,COLUMN(Emp!$R$4)+MATCH(AT$5,DedListItem,0)-1,0),OFFSET(Setup!$E$73,MATCH(AT$5,DedListItem,0),0,1,1))*AT$3))),IF(ISNUMBER(AT$4),AT$4,IgnoreMin)))))</f>
        <v>0</v>
      </c>
      <c r="AU125" s="148" cm="1">
        <f t="array" aca="1" ref="AU125" ca="1">-IF($F125="Terminated",0,IF($AA125=0,0,IF(ISNA(MATCH(AU$5,PayDedList,0)),0,MIN(IF(COUNTIFS(OverEmp,$C125,OverDeduct,AU$5,OverDate,"&lt;"&amp;DATE(YEAR($AC125),MONTH($AC125)+1,1),OverEnd,"&gt;="&amp;DATE(YEAR($AC125),MONTH($AC125),1))&gt;0,SUMPRODUCT((PayEmp=$C125)*(PayDate&lt;=$AC125)*(OFFSET($N$6,1,MATCH(AU$5,PayDedList,0)-1,PayCount,1)))/$AA125*12*AU$3,IF(OR(AU$1="Fixed",AU$1="Not Used"),SUMPRODUCT((PayEmp=$C125)*(PayDate&lt;=$AC125)*(OFFSET($N$6,1,MATCH(AU$5,PayDedList,0)-1,PayCount,1)))/$AA125*12*AU$3,IF(ISNA(MATCH(OFFSET($N$2,0,MATCH(AU$5,PayDedList,0)-1,1,1),EarnListItem,0))=FALSE,SUMPRODUCT((PayEmp=$C125)*(PayDate&lt;=$AC125)*(OFFSET($N$6,1,MATCH(AU$5,PayDedList,0)-1,PayCount,1)))/$AA125*12*AU$3,(MIN(SUMPRODUCT((PayEmp=$C125)*(PayDate&lt;=$AC125)*(ISERROR(SEARCH(PayEarnCode,AU$2)))*(PayEarnType="Monthly")*(PayEarnValues))/$AA125*12,IF(ISNUMBER(OFFSET($N$3,0,MATCH(AU$5,PayDedList,0)-1,1,1)),OFFSET($N$3,0,MATCH(AU$5,PayDedList,0)-1,1,1),IgnoreMin)))*IF(COUNTIFS(EmpNo,$C125,OFFSET(Emp!$R$4,1,MATCH(AU$5,DedListItem,0)-1,EmpCount,1),"&lt;&gt;")&gt;0,VLOOKUP($C125,EmpAll,COLUMN(Emp!$R$4)+MATCH(AU$5,DedListItem,0)-1,0),OFFSET(Setup!$E$73,MATCH(AU$5,DedListItem,0),0,1,1))*AU$3))),IF(ISNUMBER(AU$4),AU$4,IgnoreMin)))))</f>
        <v>0</v>
      </c>
      <c r="AV125" s="148" cm="1">
        <f t="array" aca="1" ref="AV125" ca="1">-IF($F125="Terminated",0,IF($AA125=0,0,IF(ISNA(MATCH(AV$5,PayDedList,0)),0,MIN(IF(COUNTIFS(OverEmp,$C125,OverDeduct,AV$5,OverDate,"&lt;"&amp;DATE(YEAR($AC125),MONTH($AC125)+1,1),OverEnd,"&gt;="&amp;DATE(YEAR($AC125),MONTH($AC125),1))&gt;0,SUMPRODUCT((PayEmp=$C125)*(PayDate&lt;=$AC125)*(OFFSET($N$6,1,MATCH(AV$5,PayDedList,0)-1,PayCount,1)))/$AA125*12*AV$3,IF(OR(AV$1="Fixed",AV$1="Not Used"),SUMPRODUCT((PayEmp=$C125)*(PayDate&lt;=$AC125)*(OFFSET($N$6,1,MATCH(AV$5,PayDedList,0)-1,PayCount,1)))/$AA125*12*AV$3,IF(ISNA(MATCH(OFFSET($N$2,0,MATCH(AV$5,PayDedList,0)-1,1,1),EarnListItem,0))=FALSE,SUMPRODUCT((PayEmp=$C125)*(PayDate&lt;=$AC125)*(OFFSET($N$6,1,MATCH(AV$5,PayDedList,0)-1,PayCount,1)))/$AA125*12*AV$3,(MIN(SUMPRODUCT((PayEmp=$C125)*(PayDate&lt;=$AC125)*(ISERROR(SEARCH(PayEarnCode,AV$2)))*(PayEarnType="Monthly")*(PayEarnValues))/$AA125*12,IF(ISNUMBER(OFFSET($N$3,0,MATCH(AV$5,PayDedList,0)-1,1,1)),OFFSET($N$3,0,MATCH(AV$5,PayDedList,0)-1,1,1),IgnoreMin)))*IF(COUNTIFS(EmpNo,$C125,OFFSET(Emp!$R$4,1,MATCH(AV$5,DedListItem,0)-1,EmpCount,1),"&lt;&gt;")&gt;0,VLOOKUP($C125,EmpAll,COLUMN(Emp!$R$4)+MATCH(AV$5,DedListItem,0)-1,0),OFFSET(Setup!$E$73,MATCH(AV$5,DedListItem,0),0,1,1))*AV$3))),IF(ISNUMBER(AV$4),AV$4,IgnoreMin)))))</f>
        <v>0</v>
      </c>
      <c r="AW125" s="148" cm="1">
        <f t="array" aca="1" ref="AW125" ca="1">-IF($F125="Terminated",0,IF($AA125=0,0,IF(ISNA(MATCH(AW$5,PayDedList,0)),0,MIN(IF(COUNTIFS(OverEmp,$C125,OverDeduct,AW$5,OverDate,"&lt;"&amp;DATE(YEAR($AC125),MONTH($AC125)+1,1),OverEnd,"&gt;="&amp;DATE(YEAR($AC125),MONTH($AC125),1))&gt;0,SUMPRODUCT((PayEmp=$C125)*(PayDate&lt;=$AC125)*(OFFSET($N$6,1,MATCH(AW$5,PayDedList,0)-1,PayCount,1)))/$AA125*12*AW$3,IF(OR(AW$1="Fixed",AW$1="Not Used"),SUMPRODUCT((PayEmp=$C125)*(PayDate&lt;=$AC125)*(OFFSET($N$6,1,MATCH(AW$5,PayDedList,0)-1,PayCount,1)))/$AA125*12*AW$3,IF(ISNA(MATCH(OFFSET($N$2,0,MATCH(AW$5,PayDedList,0)-1,1,1),EarnListItem,0))=FALSE,SUMPRODUCT((PayEmp=$C125)*(PayDate&lt;=$AC125)*(OFFSET($N$6,1,MATCH(AW$5,PayDedList,0)-1,PayCount,1)))/$AA125*12*AW$3,(MIN(SUMPRODUCT((PayEmp=$C125)*(PayDate&lt;=$AC125)*(ISERROR(SEARCH(PayEarnCode,AW$2)))*(PayEarnType="Monthly")*(PayEarnValues))/$AA125*12,IF(ISNUMBER(OFFSET($N$3,0,MATCH(AW$5,PayDedList,0)-1,1,1)),OFFSET($N$3,0,MATCH(AW$5,PayDedList,0)-1,1,1),IgnoreMin)))*IF(COUNTIFS(EmpNo,$C125,OFFSET(Emp!$R$4,1,MATCH(AW$5,DedListItem,0)-1,EmpCount,1),"&lt;&gt;")&gt;0,VLOOKUP($C125,EmpAll,COLUMN(Emp!$R$4)+MATCH(AW$5,DedListItem,0)-1,0),OFFSET(Setup!$E$73,MATCH(AW$5,DedListItem,0),0,1,1))*AW$3))),IF(ISNUMBER(AW$4),AW$4,IgnoreMin)))))</f>
        <v>0</v>
      </c>
      <c r="AX125" s="148">
        <f t="shared" ca="1" si="58"/>
        <v>349800</v>
      </c>
      <c r="AY125" s="148">
        <f t="shared" ca="1" si="59"/>
        <v>0</v>
      </c>
      <c r="AZ125" s="148">
        <f ca="1">IF(ISNUMBER($AL125),($AR125*$AL125)-$AI125-$AK125,MAX(0,IF($AL125="B",IF($AR125&lt;Setup!$C$32,($AR125*Setup!$D$32)-$AI125-$AK125,(($AR125-VLOOKUP($AR125,TaxAll2,1,1))*OFFSET(Setup!$D$32,MATCH($AR125,TaxBracket2,1),0,1,1))+OFFSET(Setup!$E$31,MATCH($AR125,TaxBracket2,1),0,1,1)-$AI125-$AK125),IF($AR125&lt;Setup!$C$21,($AR125*Setup!$D$21)-$AI125-$AK125,(($AR125-VLOOKUP($AR125,TaxAll1,1,1))*OFFSET(Setup!$D$21,MATCH($AR125,TaxBracket1,1),0,1,1))+OFFSET(Setup!$E$20,MATCH($AR125,TaxBracket1,1),0,1,1)-$AI125-$AK125))))</f>
        <v>54745</v>
      </c>
      <c r="BA125" s="148">
        <f ca="1">IF(ISNUMBER($AL125),($AX125*$AL125)-$AI125-$AK125,MAX(0,IF($AL125="B",IF($AX125&lt;Setup!$C$32,($AX125*Setup!$D$32)-$AI125-$AK125,(($AX125-VLOOKUP($AX125,TaxAll2,1,1))*OFFSET(Setup!$D$32,MATCH($AX125,TaxBracket2,1),0,1,1))+OFFSET(Setup!$E$31,MATCH($AX125,TaxBracket2,1),0,1,1)-$AI125-$AK125),IF($AX125&lt;Setup!$C$21,($AX125*Setup!$D$21)-$AI125-$AK125,(($AX125-VLOOKUP($AX125,TaxAll1,1,1))*OFFSET(Setup!$D$21,MATCH($AX125,TaxBracket1,1),0,1,1))+OFFSET(Setup!$E$20,MATCH($AX125,TaxBracket1,1),0,1,1)-$AI125-$AK125))))</f>
        <v>54745</v>
      </c>
      <c r="BB125" s="148">
        <f t="shared" ca="1" si="53"/>
        <v>0</v>
      </c>
      <c r="BC125" s="150">
        <f t="shared" ca="1" si="45"/>
        <v>1</v>
      </c>
      <c r="BD125" s="150">
        <f t="shared" ca="1" si="46"/>
        <v>0</v>
      </c>
      <c r="BE125" s="148">
        <f t="shared" ca="1" si="47"/>
        <v>349800</v>
      </c>
    </row>
    <row r="126" spans="1:57" ht="16.149999999999999" customHeight="1" x14ac:dyDescent="0.25">
      <c r="A126" s="10" t="str" cm="1">
        <f t="array" aca="1" ref="A126" ca="1">IF(ROW($A126)-ROW($A$6)&gt;EmpCount*12,"-",TEXT($B126,"yyyy")&amp;TEXT($B126,"mm")&amp;"-"&amp;$C126)</f>
        <v>202310-EXS015</v>
      </c>
      <c r="B126" s="137" cm="1">
        <f t="array" aca="1" ref="B126" ca="1">IF(ROW($A126)-ROW($A$6)&gt;EmpCount*12,Setup!$D$12,DATE(YEAR(Setup!$F$12),MONTH(Setup!$F$12)+ROUNDDOWN((ROW($A126)-ROW($A$6)-1)/EmpCount,0),IF(Setup!$C$14&gt;DAY(DATE(YEAR(Setup!$F$12),MONTH(Setup!$F$12)+ROUNDDOWN((ROW($A126)-ROW($A$6)-1)/EmpCount,0)+1,0)),DAY(DATE(YEAR(Setup!$F$12),MONTH(Setup!$F$12)+ROUNDDOWN((ROW($A126)-ROW($A$6)-1)/EmpCount,0)+1,0)),Setup!$C$14)))</f>
        <v>45224</v>
      </c>
      <c r="C126" s="101" t="str" cm="1">
        <f t="array" aca="1" ref="C126" ca="1">IF(ROW($A126)-ROW($A$6)&gt;EmpCount*12,"-",OFFSET(Emp!$A$4,ROW($A126)-ROW($A$6)-IF(ROW($A126)-ROW($A$6)&gt;EmpCount,ROUNDDOWN((ROW($A126)-ROW($A$6)-1)/EmpCount,0)*EmpCount,0),0,1,1))</f>
        <v>EXS015</v>
      </c>
      <c r="D126" s="10" t="str">
        <f ca="1">IF(ISNA(VLOOKUP($C126,EmpAll,COLUMN(Emp!$B$4),0)),"-",VLOOKUP($C126,EmpAll,COLUMN(Emp!$B$4),0))</f>
        <v>Graham L</v>
      </c>
      <c r="E126" s="145" t="str">
        <f ca="1">IF(ISNA(VLOOKUP($C126,EmpAll,COLUMN(Emp!$C$4),0)),"-",VLOOKUP($C126,EmpAll,COLUMN(Emp!$C$4),0))</f>
        <v>S</v>
      </c>
      <c r="F126" s="101" t="str">
        <f ca="1">IF(ISNA(VLOOKUP($C126,EmpAll,COLUMN(Emp!$A$4),0)),"-",IF(AND(VLOOKUP($C126,EmpAll,COLUMN(Emp!$E$4),0)&lt;&gt;0,VLOOKUP($C126,EmpAll,COLUMN(Emp!$E$4),0)&gt;=DATE(YEAR($AC126),MONTH($AC126)+1,0)),"Inactive",IF(AND(VLOOKUP($C126,EmpAll,COLUMN(Emp!$F$4),0)&lt;&gt;0,VLOOKUP($C126,EmpAll,COLUMN(Emp!$F$4),0)&lt;=DATE(YEAR($AC126),MONTH($AC126),0)),"Terminated","Active")))</f>
        <v>Inactive</v>
      </c>
      <c r="G126" s="133" cm="1">
        <f t="array" aca="1" ref="G126" ca="1">IF($F126&lt;&gt;"Active",0,IF(COUNTIFS(OverEmp,$C126,OverEarn,G$2,OverDate,"&lt;"&amp;DATE(YEAR($AC126),MONTH($AC126)+1,1),OverEnd,"&gt;="&amp;DATE(YEAR($AC126),MONTH($AC126),1))&gt;0,SUMIFS(OverValue,OverEmp,$C126,OverEarn,G$2,OverDate,"&lt;"&amp;DATE(YEAR($AC126),MONTH($AC126)+1,1),OverEnd,"&gt;="&amp;DATE(YEAR($AC126),MONTH($AC126),1)),IF(AND($AC126&gt;=Setup!$E$10,SUMIFS(EmpIncrease,EmpCode,$C126)&gt;0),SUMIFS(EmpIncrease,EmpCode,$C126),SUMIFS(EmpSalary,EmpCode,$C126))))</f>
        <v>0</v>
      </c>
      <c r="H126" s="133" cm="1">
        <f t="array" aca="1" ref="H126" ca="1">IF($F126&lt;&gt;"Active",0,IF(COUNTIFS(OverEmp,$C126,OverEarn,H$2,OverDate,"&lt;"&amp;DATE(YEAR($AC126),MONTH($AC126)+1,1),OverEnd,"&gt;="&amp;DATE(YEAR($AC126),MONTH($AC126),1))&gt;0,SUMIFS(OverValue,OverEmp,$C126,OverEarn,H$2,OverDate,"&lt;"&amp;DATE(YEAR($AC126),MONTH($AC126)+1,1),OverEnd,"&gt;="&amp;DATE(YEAR($AC126),MONTH($AC126),1)),0))</f>
        <v>0</v>
      </c>
      <c r="I126" s="133" cm="1">
        <f t="array" aca="1" ref="I126" ca="1">IF($F126&lt;&gt;"Active",0,IF(COUNTIFS(OverEmp,$C126,OverEarn,I$2,OverDate,"&lt;"&amp;DATE(YEAR($AC126),MONTH($AC126)+1,1),OverEnd,"&gt;="&amp;DATE(YEAR($AC126),MONTH($AC126),1))&gt;0,SUMIFS(OverValue,OverEmp,$C126,OverEarn,I$2,OverDate,"&lt;"&amp;DATE(YEAR($AC126),MONTH($AC126)+1,1),OverEnd,"&gt;="&amp;DATE(YEAR($AC126),MONTH($AC126),1)),IF(MONTH(B126)=Setup!$C$15,SUMIFS(EmpBonus,EmpCode,$C126),0)))</f>
        <v>0</v>
      </c>
      <c r="J126" s="133" cm="1">
        <f t="array" aca="1" ref="J126" ca="1">IF($F126&lt;&gt;"Active",0,IF(COUNTIFS(OverEmp,$C126,OverEarn,J$2,OverDate,"&lt;"&amp;DATE(YEAR($AC126),MONTH($AC126)+1,1),OverEnd,"&gt;="&amp;DATE(YEAR($AC126),MONTH($AC126),1))&gt;0,SUMIFS(OverValue,OverEmp,$C126,OverEarn,J$2,OverDate,"&lt;"&amp;DATE(YEAR($AC126),MONTH($AC126)+1,1),OverEnd,"&gt;="&amp;DATE(YEAR($AC126),MONTH($AC126),1)),0))</f>
        <v>0</v>
      </c>
      <c r="K126" s="133" cm="1">
        <f t="array" aca="1" ref="K126" ca="1">IF($F126&lt;&gt;"Active",0,IF(COUNTIFS(OverEmp,$C126,OverEarn,K$2,OverDate,"&lt;"&amp;DATE(YEAR($AC126),MONTH($AC126)+1,1),OverEnd,"&gt;="&amp;DATE(YEAR($AC126),MONTH($AC126),1))&gt;0,SUMIFS(OverValue,OverEmp,$C126,OverEarn,K$2,OverDate,"&lt;"&amp;DATE(YEAR($AC126),MONTH($AC126)+1,1),OverEnd,"&gt;="&amp;DATE(YEAR($AC126),MONTH($AC126),1)),0))</f>
        <v>0</v>
      </c>
      <c r="L126" s="185">
        <f t="shared" ca="1" si="54"/>
        <v>0</v>
      </c>
      <c r="M126" s="182" cm="1">
        <f t="array" aca="1" ref="M126" ca="1">IF(COUNTIFS(OverEmp,$C126,OverTax,M$5,OverDate,"&lt;"&amp;DATE(YEAR($AC126),MONTH($AC126)+1,1),OverEnd,"&gt;="&amp;DATE(YEAR($AC126),MONTH($AC126),1))&gt;0,SUMIFS(OverValue,OverEmp,$C126,OverTax,M$5,OverDate,"&lt;"&amp;DATE(YEAR($AC126),MONTH($AC126)+1,1),OverEnd,"&gt;="&amp;DATE(YEAR($AC126),MONTH($AC126),1)),(($BA126/12*$AA126)+(BB126*IF(1-$BC126=0,0,BD126/(1-$BC126))))-IF($F126="Terminated",0,SUMIFS(PayTaxDeduct,PayDate,"&lt;"&amp;$AC126,PayEmp,$C126)))</f>
        <v>0</v>
      </c>
      <c r="N126" s="133" cm="1">
        <f t="array" aca="1" ref="N126" ca="1">IF($F126="Terminated",0,IF($AA126=0,0,IF(ISNA(MATCH(N$5,DedListItem,0)),0,IF(COUNTIFS(OverEmp,$C126,OverDeduct,N$5,OverDate,"&lt;"&amp;DATE(YEAR($AC126),MONTH($AC126)+1,1),OverEnd,"&gt;="&amp;DATE(YEAR($AC126),MONTH($AC126),1))&gt;0,SUMIFS(OverValue,OverEmp,$C126,OverDeduct,N$5,OverDate,"&lt;"&amp;DATE(YEAR($AC126),MONTH($AC126)+1,1),OverEnd,"&gt;="&amp;DATE(YEAR($AC126),MONTH($AC126),1)),IF(OR(N$2="Fixed",N$2="Not Used"),(IF(COUNTIFS(EmpNo,$C126,OFFSET(Emp!$R$4,1,MATCH(N$5,DedListItem,0)-1,EmpCount,1),"&lt;&gt;")&gt;0,VLOOKUP($C126,EmpAll,COLUMN(Emp!$R$4)+MATCH(N$5,DedListItem,0)-1,0),OFFSET(Setup!$E$73,MATCH(N$5,DedListItem,0),0,1,1))*$AA126)-SUMIFS(OFFSET(N$6,1,0,PayCount,1),PayDate,"&lt;"&amp;$AC126,PayEmp,$C126),IF(ISNA(MATCH(N$2,EarnListItem,0))=FALSE,IF(OFFSET(Setup!$G$73,MATCH(N$5,DedListItem,0),0,1,1)="Taxable",SUMPRODUCT((PayEmp=$C126)*(PayDate&lt;=$AC126)*(PayEarnCode=N$2)*(PayEarnTax)*(PayEarnValues)),SUMPRODUCT((PayEmp=$C126)*(PayDate&lt;=$AC126)*(PayEarnCode=N$2)*(PayEarnValues)))*IF(COUNTIFS(EmpNo,$C126,OFFSET(Emp!$R$4,1,MATCH(N$5,DedListItem,0)-1,EmpCount,1),"&lt;&gt;")&gt;0,VLOOKUP($C126,EmpAll,COLUMN(Emp!$R$4)+MATCH(N$5,DedListItem,0)-1,0),OFFSET(Setup!$E$73,MATCH(N$5,DedListItem,0),0,1,1)),(MIN(IF(OFFSET(Setup!$G$73,MATCH(N$5,DedListItem,0),0,1,1)="Taxable",SUMPRODUCT((PayEmp=$C126)*(PayDate&lt;=$AC126)*(ISERROR(SEARCH(PayEarnCode,N$4)))*(PayEarnTax)*(PayEarnValues)),SUMPRODUCT((PayEmp=$C126)*(PayDate&lt;=$AC126)*(ISERROR(SEARCH(PayEarnCode,N$4)))*(PayEarnValues))),IF(ISNUMBER(N$3),N$3/12*$AA126,IgnoreMin)))*IF(COUNTIFS(EmpNo,$C126,OFFSET(Emp!$R$4,1,MATCH(N$5,DedListItem,0)-1,EmpCount,1),"&lt;&gt;")&gt;0,VLOOKUP($C126,EmpAll,COLUMN(Emp!$R$4)+MATCH(N$5,DedListItem,0)-1,0),OFFSET(Setup!$E$73,MATCH(N$5,DedListItem,0),0,1,1)))-SUMIFS(OFFSET(N$6,1,0,PayCount,1),PayDate,"&lt;"&amp;$AC126,PayEmp,$C126))))))</f>
        <v>0</v>
      </c>
      <c r="O126" s="133" cm="1">
        <f t="array" aca="1" ref="O126" ca="1">IF($F126="Terminated",0,IF($AA126=0,0,IF(ISNA(MATCH(O$5,DedListItem,0)),0,IF(COUNTIFS(OverEmp,$C126,OverDeduct,O$5,OverDate,"&lt;"&amp;DATE(YEAR($AC126),MONTH($AC126)+1,1),OverEnd,"&gt;="&amp;DATE(YEAR($AC126),MONTH($AC126),1))&gt;0,SUMIFS(OverValue,OverEmp,$C126,OverDeduct,O$5,OverDate,"&lt;"&amp;DATE(YEAR($AC126),MONTH($AC126)+1,1),OverEnd,"&gt;="&amp;DATE(YEAR($AC126),MONTH($AC126),1)),IF(OR(O$2="Fixed",O$2="Not Used"),(IF(COUNTIFS(EmpNo,$C126,OFFSET(Emp!$R$4,1,MATCH(O$5,DedListItem,0)-1,EmpCount,1),"&lt;&gt;")&gt;0,VLOOKUP($C126,EmpAll,COLUMN(Emp!$R$4)+MATCH(O$5,DedListItem,0)-1,0),OFFSET(Setup!$E$73,MATCH(O$5,DedListItem,0),0,1,1))*$AA126)-SUMIFS(OFFSET(O$6,1,0,PayCount,1),PayDate,"&lt;"&amp;$AC126,PayEmp,$C126),IF(ISNA(MATCH(O$2,EarnListItem,0))=FALSE,IF(OFFSET(Setup!$G$73,MATCH(O$5,DedListItem,0),0,1,1)="Taxable",SUMPRODUCT((PayEmp=$C126)*(PayDate&lt;=$AC126)*(PayEarnCode=O$2)*(PayEarnTax)*(PayEarnValues)),SUMPRODUCT((PayEmp=$C126)*(PayDate&lt;=$AC126)*(PayEarnCode=O$2)*(PayEarnValues)))*IF(COUNTIFS(EmpNo,$C126,OFFSET(Emp!$R$4,1,MATCH(O$5,DedListItem,0)-1,EmpCount,1),"&lt;&gt;")&gt;0,VLOOKUP($C126,EmpAll,COLUMN(Emp!$R$4)+MATCH(O$5,DedListItem,0)-1,0),OFFSET(Setup!$E$73,MATCH(O$5,DedListItem,0),0,1,1)),(MIN(IF(OFFSET(Setup!$G$73,MATCH(O$5,DedListItem,0),0,1,1)="Taxable",SUMPRODUCT((PayEmp=$C126)*(PayDate&lt;=$AC126)*(ISERROR(SEARCH(PayEarnCode,O$4)))*(PayEarnTax)*(PayEarnValues)),SUMPRODUCT((PayEmp=$C126)*(PayDate&lt;=$AC126)*(ISERROR(SEARCH(PayEarnCode,O$4)))*(PayEarnValues))),IF(ISNUMBER(O$3),O$3/12*$AA126,IgnoreMin)))*IF(COUNTIFS(EmpNo,$C126,OFFSET(Emp!$R$4,1,MATCH(O$5,DedListItem,0)-1,EmpCount,1),"&lt;&gt;")&gt;0,VLOOKUP($C126,EmpAll,COLUMN(Emp!$R$4)+MATCH(O$5,DedListItem,0)-1,0),OFFSET(Setup!$E$73,MATCH(O$5,DedListItem,0),0,1,1)))-SUMIFS(OFFSET(O$6,1,0,PayCount,1),PayDate,"&lt;"&amp;$AC126,PayEmp,$C126))))))</f>
        <v>0</v>
      </c>
      <c r="P126" s="133" cm="1">
        <f t="array" aca="1" ref="P126" ca="1">IF($F126="Terminated",0,IF($AA126=0,0,IF(ISNA(MATCH(P$5,DedListItem,0)),0,IF(COUNTIFS(OverEmp,$C126,OverDeduct,P$5,OverDate,"&lt;"&amp;DATE(YEAR($AC126),MONTH($AC126)+1,1),OverEnd,"&gt;="&amp;DATE(YEAR($AC126),MONTH($AC126),1))&gt;0,SUMIFS(OverValue,OverEmp,$C126,OverDeduct,P$5,OverDate,"&lt;"&amp;DATE(YEAR($AC126),MONTH($AC126)+1,1),OverEnd,"&gt;="&amp;DATE(YEAR($AC126),MONTH($AC126),1)),IF(OR(P$2="Fixed",P$2="Not Used"),(IF(COUNTIFS(EmpNo,$C126,OFFSET(Emp!$R$4,1,MATCH(P$5,DedListItem,0)-1,EmpCount,1),"&lt;&gt;")&gt;0,VLOOKUP($C126,EmpAll,COLUMN(Emp!$R$4)+MATCH(P$5,DedListItem,0)-1,0),OFFSET(Setup!$E$73,MATCH(P$5,DedListItem,0),0,1,1))*$AA126)-SUMIFS(OFFSET(P$6,1,0,PayCount,1),PayDate,"&lt;"&amp;$AC126,PayEmp,$C126),IF(ISNA(MATCH(P$2,EarnListItem,0))=FALSE,IF(OFFSET(Setup!$G$73,MATCH(P$5,DedListItem,0),0,1,1)="Taxable",SUMPRODUCT((PayEmp=$C126)*(PayDate&lt;=$AC126)*(PayEarnCode=P$2)*(PayEarnTax)*(PayEarnValues)),SUMPRODUCT((PayEmp=$C126)*(PayDate&lt;=$AC126)*(PayEarnCode=P$2)*(PayEarnValues)))*IF(COUNTIFS(EmpNo,$C126,OFFSET(Emp!$R$4,1,MATCH(P$5,DedListItem,0)-1,EmpCount,1),"&lt;&gt;")&gt;0,VLOOKUP($C126,EmpAll,COLUMN(Emp!$R$4)+MATCH(P$5,DedListItem,0)-1,0),OFFSET(Setup!$E$73,MATCH(P$5,DedListItem,0),0,1,1)),(MIN(IF(OFFSET(Setup!$G$73,MATCH(P$5,DedListItem,0),0,1,1)="Taxable",SUMPRODUCT((PayEmp=$C126)*(PayDate&lt;=$AC126)*(ISERROR(SEARCH(PayEarnCode,P$4)))*(PayEarnTax)*(PayEarnValues)),SUMPRODUCT((PayEmp=$C126)*(PayDate&lt;=$AC126)*(ISERROR(SEARCH(PayEarnCode,P$4)))*(PayEarnValues))),IF(ISNUMBER(P$3),P$3/12*$AA126,IgnoreMin)))*IF(COUNTIFS(EmpNo,$C126,OFFSET(Emp!$R$4,1,MATCH(P$5,DedListItem,0)-1,EmpCount,1),"&lt;&gt;")&gt;0,VLOOKUP($C126,EmpAll,COLUMN(Emp!$R$4)+MATCH(P$5,DedListItem,0)-1,0),OFFSET(Setup!$E$73,MATCH(P$5,DedListItem,0),0,1,1)))-SUMIFS(OFFSET(P$6,1,0,PayCount,1),PayDate,"&lt;"&amp;$AC126,PayEmp,$C126))))))</f>
        <v>0</v>
      </c>
      <c r="Q126" s="133" cm="1">
        <f t="array" aca="1" ref="Q126" ca="1">IF($F126="Terminated",0,IF($AA126=0,0,IF(ISNA(MATCH(Q$5,DedListItem,0)),0,IF(COUNTIFS(OverEmp,$C126,OverDeduct,Q$5,OverDate,"&lt;"&amp;DATE(YEAR($AC126),MONTH($AC126)+1,1),OverEnd,"&gt;="&amp;DATE(YEAR($AC126),MONTH($AC126),1))&gt;0,SUMIFS(OverValue,OverEmp,$C126,OverDeduct,Q$5,OverDate,"&lt;"&amp;DATE(YEAR($AC126),MONTH($AC126)+1,1),OverEnd,"&gt;="&amp;DATE(YEAR($AC126),MONTH($AC126),1)),IF(OR(Q$2="Fixed",Q$2="Not Used"),(IF(COUNTIFS(EmpNo,$C126,OFFSET(Emp!$R$4,1,MATCH(Q$5,DedListItem,0)-1,EmpCount,1),"&lt;&gt;")&gt;0,VLOOKUP($C126,EmpAll,COLUMN(Emp!$R$4)+MATCH(Q$5,DedListItem,0)-1,0),OFFSET(Setup!$E$73,MATCH(Q$5,DedListItem,0),0,1,1))*$AA126)-SUMIFS(OFFSET(Q$6,1,0,PayCount,1),PayDate,"&lt;"&amp;$AC126,PayEmp,$C126),IF(ISNA(MATCH(Q$2,EarnListItem,0))=FALSE,IF(OFFSET(Setup!$G$73,MATCH(Q$5,DedListItem,0),0,1,1)="Taxable",SUMPRODUCT((PayEmp=$C126)*(PayDate&lt;=$AC126)*(PayEarnCode=Q$2)*(PayEarnTax)*(PayEarnValues)),SUMPRODUCT((PayEmp=$C126)*(PayDate&lt;=$AC126)*(PayEarnCode=Q$2)*(PayEarnValues)))*IF(COUNTIFS(EmpNo,$C126,OFFSET(Emp!$R$4,1,MATCH(Q$5,DedListItem,0)-1,EmpCount,1),"&lt;&gt;")&gt;0,VLOOKUP($C126,EmpAll,COLUMN(Emp!$R$4)+MATCH(Q$5,DedListItem,0)-1,0),OFFSET(Setup!$E$73,MATCH(Q$5,DedListItem,0),0,1,1)),(MIN(IF(OFFSET(Setup!$G$73,MATCH(Q$5,DedListItem,0),0,1,1)="Taxable",SUMPRODUCT((PayEmp=$C126)*(PayDate&lt;=$AC126)*(ISERROR(SEARCH(PayEarnCode,Q$4)))*(PayEarnTax)*(PayEarnValues)),SUMPRODUCT((PayEmp=$C126)*(PayDate&lt;=$AC126)*(ISERROR(SEARCH(PayEarnCode,Q$4)))*(PayEarnValues))),IF(ISNUMBER(Q$3),Q$3/12*$AA126,IgnoreMin)))*IF(COUNTIFS(EmpNo,$C126,OFFSET(Emp!$R$4,1,MATCH(Q$5,DedListItem,0)-1,EmpCount,1),"&lt;&gt;")&gt;0,VLOOKUP($C126,EmpAll,COLUMN(Emp!$R$4)+MATCH(Q$5,DedListItem,0)-1,0),OFFSET(Setup!$E$73,MATCH(Q$5,DedListItem,0),0,1,1)))-SUMIFS(OFFSET(Q$6,1,0,PayCount,1),PayDate,"&lt;"&amp;$AC126,PayEmp,$C126))))))</f>
        <v>0</v>
      </c>
      <c r="R126" s="185">
        <f t="shared" ca="1" si="55"/>
        <v>0</v>
      </c>
      <c r="S126" s="139">
        <f t="shared" ca="1" si="56"/>
        <v>0</v>
      </c>
      <c r="T126" s="133" cm="1">
        <f t="array" aca="1" ref="T126" ca="1">IF($F126="Terminated",0,IF($AA126=0,0,IF(ISNA(MATCH(T$5,CompListItem,0)),0,IF(COUNTIFS(OverEmp,$C126,OverComp,T$5,OverDate,"&lt;"&amp;DATE(YEAR($AC126),MONTH($AC126)+1,1),OverEnd,"&gt;="&amp;DATE(YEAR($AC126),MONTH($AC126),1))&gt;0,SUMIFS(OverValue,OverEmp,$C126,OverComp,T$5,OverDate,"&lt;"&amp;DATE(YEAR($AC126),MONTH($AC126)+1,1),OverEnd,"&gt;="&amp;DATE(YEAR($AC126),MONTH($AC126),1)),IF(OR(T$2="Fixed",T$2="Not Used"),(OFFSET(Setup!$E$81,MATCH(T$5,CompListItem,0),0,1,1)*$AA126)-SUMIFS(OFFSET(T$6,1,0,PayCount,1),PayDate,"&lt;"&amp;$AC126,PayEmp,$C126),IF(ISNA(MATCH(T$2,DedListItem,0))=FALSE,(SUMPRODUCT((PayEmp=$C126)*(PayDate&lt;=$AC126)*(PayDedList=T$2)*(PayDedValues))*OFFSET(Setup!$E$81,MATCH(T$5,CompListItem,0),0,1,1))-SUMIFS(OFFSET(T$6,1,0,PayCount,1),PayDate,"&lt;"&amp;$AC126,PayEmp,$C126),(MIN(IF(OFFSET(Setup!$G$81,MATCH(T$5,CompListItem,0),0,1,1)="Taxable",SUMPRODUCT((PayEmp=$C126)*(PayDate&lt;=$AC126)*(ISERROR(SEARCH(PayEarnCode,T$4)))*(PayEarnTax)*(PayEarnValues)),SUMPRODUCT((PayEmp=$C126)*(PayDate&lt;=$AC126)*(ISERROR(SEARCH(PayEarnCode,T$4)))*(PayEarnValues))),IF(ISNUMBER(T$3),T$3/12*$AA126,IgnoreMin)))*OFFSET(Setup!$E$81,MATCH(T$5,CompListItem,0),0,1,1)-SUMIFS(OFFSET(T$6,1,0,PayCount,1),PayDate,"&lt;"&amp;$AC126,PayEmp,$C126)))))))</f>
        <v>0</v>
      </c>
      <c r="U126" s="133" cm="1">
        <f t="array" aca="1" ref="U126" ca="1">IF($F126="Terminated",0,IF($AA126=0,0,IF(ISNA(MATCH(U$5,CompListItem,0)),0,IF(COUNTIFS(OverEmp,$C126,OverComp,U$5,OverDate,"&lt;"&amp;DATE(YEAR($AC126),MONTH($AC126)+1,1),OverEnd,"&gt;="&amp;DATE(YEAR($AC126),MONTH($AC126),1))&gt;0,SUMIFS(OverValue,OverEmp,$C126,OverComp,U$5,OverDate,"&lt;"&amp;DATE(YEAR($AC126),MONTH($AC126)+1,1),OverEnd,"&gt;="&amp;DATE(YEAR($AC126),MONTH($AC126),1)),IF(OR(U$2="Fixed",U$2="Not Used"),(OFFSET(Setup!$E$81,MATCH(U$5,CompListItem,0),0,1,1)*$AA126)-SUMIFS(OFFSET(U$6,1,0,PayCount,1),PayDate,"&lt;"&amp;$AC126,PayEmp,$C126),IF(ISNA(MATCH(U$2,DedListItem,0))=FALSE,(SUMPRODUCT((PayEmp=$C126)*(PayDate&lt;=$AC126)*(PayDedList=U$2)*(PayDedValues))*OFFSET(Setup!$E$81,MATCH(U$5,CompListItem,0),0,1,1))-SUMIFS(OFFSET(U$6,1,0,PayCount,1),PayDate,"&lt;"&amp;$AC126,PayEmp,$C126),(MIN(IF(OFFSET(Setup!$G$81,MATCH(U$5,CompListItem,0),0,1,1)="Taxable",SUMPRODUCT((PayEmp=$C126)*(PayDate&lt;=$AC126)*(ISERROR(SEARCH(PayEarnCode,U$4)))*(PayEarnTax)*(PayEarnValues)),SUMPRODUCT((PayEmp=$C126)*(PayDate&lt;=$AC126)*(ISERROR(SEARCH(PayEarnCode,U$4)))*(PayEarnValues))),IF(ISNUMBER(U$3),U$3/12*$AA126,IgnoreMin)))*OFFSET(Setup!$E$81,MATCH(U$5,CompListItem,0),0,1,1)-SUMIFS(OFFSET(U$6,1,0,PayCount,1),PayDate,"&lt;"&amp;$AC126,PayEmp,$C126)))))))</f>
        <v>0</v>
      </c>
      <c r="V126" s="133" cm="1">
        <f t="array" aca="1" ref="V126" ca="1">IF($F126="Terminated",0,IF($AA126=0,0,IF(ISNA(MATCH(V$5,CompListItem,0)),0,IF(COUNTIFS(OverEmp,$C126,OverComp,V$5,OverDate,"&lt;"&amp;DATE(YEAR($AC126),MONTH($AC126)+1,1),OverEnd,"&gt;="&amp;DATE(YEAR($AC126),MONTH($AC126),1))&gt;0,SUMIFS(OverValue,OverEmp,$C126,OverComp,V$5,OverDate,"&lt;"&amp;DATE(YEAR($AC126),MONTH($AC126)+1,1),OverEnd,"&gt;="&amp;DATE(YEAR($AC126),MONTH($AC126),1)),IF(OR(V$2="Fixed",V$2="Not Used"),(OFFSET(Setup!$E$81,MATCH(V$5,CompListItem,0),0,1,1)*$AA126)-SUMIFS(OFFSET(V$6,1,0,PayCount,1),PayDate,"&lt;"&amp;$AC126,PayEmp,$C126),IF(ISNA(MATCH(V$2,DedListItem,0))=FALSE,(SUMPRODUCT((PayEmp=$C126)*(PayDate&lt;=$AC126)*(PayDedList=V$2)*(PayDedValues))*OFFSET(Setup!$E$81,MATCH(V$5,CompListItem,0),0,1,1))-SUMIFS(OFFSET(V$6,1,0,PayCount,1),PayDate,"&lt;"&amp;$AC126,PayEmp,$C126),(MIN(IF(OFFSET(Setup!$G$81,MATCH(V$5,CompListItem,0),0,1,1)="Taxable",SUMPRODUCT((PayEmp=$C126)*(PayDate&lt;=$AC126)*(ISERROR(SEARCH(PayEarnCode,V$4)))*(PayEarnTax)*(PayEarnValues)),SUMPRODUCT((PayEmp=$C126)*(PayDate&lt;=$AC126)*(ISERROR(SEARCH(PayEarnCode,V$4)))*(PayEarnValues))),IF(ISNUMBER(V$3),V$3/12*$AA126,IgnoreMin)))*OFFSET(Setup!$E$81,MATCH(V$5,CompListItem,0),0,1,1)-SUMIFS(OFFSET(V$6,1,0,PayCount,1),PayDate,"&lt;"&amp;$AC126,PayEmp,$C126)))))))</f>
        <v>0</v>
      </c>
      <c r="W126" s="133" cm="1">
        <f t="array" aca="1" ref="W126" ca="1">IF($F126="Terminated",0,IF($AA126=0,0,IF(ISNA(MATCH(W$5,CompListItem,0)),0,IF(COUNTIFS(OverEmp,$C126,OverComp,W$5,OverDate,"&lt;"&amp;DATE(YEAR($AC126),MONTH($AC126)+1,1),OverEnd,"&gt;="&amp;DATE(YEAR($AC126),MONTH($AC126),1))&gt;0,SUMIFS(OverValue,OverEmp,$C126,OverComp,W$5,OverDate,"&lt;"&amp;DATE(YEAR($AC126),MONTH($AC126)+1,1),OverEnd,"&gt;="&amp;DATE(YEAR($AC126),MONTH($AC126),1)),IF(OR(W$2="Fixed",W$2="Not Used"),(OFFSET(Setup!$E$81,MATCH(W$5,CompListItem,0),0,1,1)*$AA126)-SUMIFS(OFFSET(W$6,1,0,PayCount,1),PayDate,"&lt;"&amp;$AC126,PayEmp,$C126),IF(ISNA(MATCH(W$2,DedListItem,0))=FALSE,(SUMPRODUCT((PayEmp=$C126)*(PayDate&lt;=$AC126)*(PayDedList=W$2)*(PayDedValues))*OFFSET(Setup!$E$81,MATCH(W$5,CompListItem,0),0,1,1))-SUMIFS(OFFSET(W$6,1,0,PayCount,1),PayDate,"&lt;"&amp;$AC126,PayEmp,$C126),(MIN(IF(OFFSET(Setup!$G$81,MATCH(W$5,CompListItem,0),0,1,1)="Taxable",SUMPRODUCT((PayEmp=$C126)*(PayDate&lt;=$AC126)*(ISERROR(SEARCH(PayEarnCode,W$4)))*(PayEarnTax)*(PayEarnValues)),SUMPRODUCT((PayEmp=$C126)*(PayDate&lt;=$AC126)*(ISERROR(SEARCH(PayEarnCode,W$4)))*(PayEarnValues))),IF(ISNUMBER(W$3),W$3/12*$AA126,IgnoreMin)))*OFFSET(Setup!$E$81,MATCH(W$5,CompListItem,0),0,1,1)-SUMIFS(OFFSET(W$6,1,0,PayCount,1),PayDate,"&lt;"&amp;$AC126,PayEmp,$C126)))))))</f>
        <v>0</v>
      </c>
      <c r="X126" s="185">
        <f t="shared" ca="1" si="48"/>
        <v>0</v>
      </c>
      <c r="Y126" s="139">
        <f t="shared" ca="1" si="57"/>
        <v>0</v>
      </c>
      <c r="Z126" s="139">
        <f t="shared" ca="1" si="49"/>
        <v>0</v>
      </c>
      <c r="AA126" s="146">
        <f ca="1">IF(OR($B126&lt;=Setup!$E$12,$B126&gt;=Setup!$D$12+1),0,IF($F126&lt;&gt;"Active",0,IF($AE126="Yes",$AB126,((YEAR($AC126)*12)+MONTH($AC126))-((YEAR($AD126)*12)+MONTH($AD126)-1))))</f>
        <v>0</v>
      </c>
      <c r="AB126" s="146">
        <f ca="1">IF(OR($B126&lt;=Setup!$E$12,$B126&gt;=Setup!$D$12+1),0,((YEAR($AC126)*12)+MONTH($AC126))-((YEAR(Setup!$E$12)*12)+MONTH(Setup!$E$12)))</f>
        <v>8</v>
      </c>
      <c r="AC126" s="186">
        <f t="shared" ca="1" si="50"/>
        <v>45224</v>
      </c>
      <c r="AD126" s="144">
        <f ca="1">IF(ISNA(VLOOKUP($C126,EmpAll,COLUMN(Emp!$E$4),0)),$AC126,IF(VLOOKUP($C126,EmpAll,COLUMN(Emp!$E$4),0)&lt;=Setup!$E$12,DATE(YEAR(Setup!$E$12),MONTH(Setup!$E$12)+1,1),VLOOKUP($C126,EmpAll,COLUMN(Emp!$E$4),0)))</f>
        <v>45316</v>
      </c>
      <c r="AE126" s="144" t="str">
        <f ca="1">IF(ISNA(VLOOKUP($C126,EmpAll,COLUMN(Emp!$G$1),0)),"-",IF(VLOOKUP($C126,EmpAll,COLUMN(Emp!$G$1),0)=0,"-",VLOOKUP($C126,EmpAll,COLUMN(Emp!$G$1),0)))</f>
        <v>-</v>
      </c>
      <c r="AF126" s="145">
        <f ca="1">IF(A126=PaySlip!$G$3,1,0)</f>
        <v>0</v>
      </c>
      <c r="AG126" s="130" cm="1">
        <f t="array" aca="1" ref="AG126" ca="1">IF(COUNTIFS(OverEmp,$C126,OverMed,"MED",OverDate,"&lt;"&amp;DATE(YEAR($AC126),MONTH($AC126)+1,1),OverEnd,"&gt;="&amp;DATE(YEAR($AC126),MONTH($AC126),1))&gt;0,SUMIFS(OverValue,OverEmp,$C126,OverMed,"MED",OverDate,"&lt;"&amp;DATE(YEAR($AC126),MONTH($AC126)+1,1),OverEnd,"&gt;="&amp;DATE(YEAR($AC126),MONTH($AC126),1)),IF(ISNA(VLOOKUP($C126,EmpAll,COLUMN(Emp!$N$4),0)),0,VLOOKUP($C126,EmpAll,COLUMN(Emp!$N$4),0)))</f>
        <v>1</v>
      </c>
      <c r="AH126" s="146">
        <f ca="1">VLOOKUP($AG126,MedList,COLUMN(Setup!$C$49),1)</f>
        <v>364</v>
      </c>
      <c r="AI126" s="146">
        <f t="shared" ca="1" si="40"/>
        <v>7280</v>
      </c>
      <c r="AJ126" s="101" t="str">
        <f ca="1">IF(ISNA(VLOOKUP($C126,EmpAll,COLUMN(Emp!$L$4),0)),"None!",VLOOKUP($C126,EmpAll,COLUMN(Emp!$L$4),0))</f>
        <v>A</v>
      </c>
      <c r="AK126" s="147">
        <f t="shared" ca="1" si="51"/>
        <v>17235</v>
      </c>
      <c r="AL126" s="101" t="str">
        <f ca="1">IF(ISNA(VLOOKUP($C126,Employees[],COLUMN(Emp!$M$4),0))=TRUE,"Error!",IF(VLOOKUP($C126,Employees[],COLUMN(Emp!$M$4),0)=0,"Yes",VLOOKUP($C126,Employees[],COLUMN(Emp!$M$4),0)))</f>
        <v>A</v>
      </c>
      <c r="AM126" s="148">
        <f t="shared" ca="1" si="41"/>
        <v>0</v>
      </c>
      <c r="AN126" s="148" cm="1">
        <f t="array" aca="1" ref="AN126" ca="1">-IF($F126="Terminated",0,IF($AA126=0,0,IF(ISNA(MATCH(AN$5,PayDedList,0)),0,MIN(IF(COUNTIFS(OverEmp,$C126,OverDeduct,AN$5,OverDate,"&lt;"&amp;DATE(YEAR($AC126),MONTH($AC126)+1,1),OverEnd,"&gt;="&amp;DATE(YEAR($AC126),MONTH($AC126),1))&gt;0,SUMPRODUCT((PayEmp=$C126)*(PayDate&lt;=$AC126)*(OFFSET($N$6,1,MATCH(AN$5,PayDedList,0)-1,PayCount,1)))/$AA126*12*AN$3,IF(OR(AN$1="Fixed",AN$1="Not Used"),SUMPRODUCT((PayEmp=$C126)*(PayDate&lt;=$AC126)*(OFFSET($N$6,1,MATCH(AN$5,PayDedList,0)-1,PayCount,1)))/$AA126*12*AN$3,IF(ISNA(MATCH(AN$1,EarnListItem,0))=FALSE,SUMPRODUCT((PayEmp=$C126)*(PayDate&lt;=$AC126)*(OFFSET($N$6,1,MATCH(AN$5,PayDedList,0)-1,PayCount,1)))/$AA126*12*AN$3,(MIN(((SUMPRODUCT((PayEmp=$C126)*(PayDate&lt;=$AC126)*(ISERROR(SEARCH(PayEarnCode,AN$2)))*(PayEarnType="Monthly")*(PayEarnValues))/$AA126*12)+(SUMPRODUCT((PayEmp=$C126)*(PayDate&lt;=$AC126)*(ISERROR(SEARCH(PayEarnCode,AN$2)))*(PayEarnType="Quarterly")*(PayEarnValues))/MAX(1,ROUNDDOWN($AB126/3,0))*4)+(SUMPRODUCT((PayEmp=$C126)*(PayDate&lt;=$AC126)*(ISERROR(SEARCH(PayEarnCode,AN$2)))*(PayEarnType="Bi-Annual")*(PayEarnValues))/MAX(1,ROUNDDOWN($AB126/6,0))*2)+(SUMPRODUCT((PayEmp=$C126)*(PayDate&lt;=$AC126)*(ISERROR(SEARCH(PayEarnCode,AN$2)))*(PayEarnType="Annual")*(PayEarnValues)))),IF(ISNUMBER(OFFSET($N$3,0,MATCH(AN$5,PayDedList,0)-1,1,1)),OFFSET($N$3,0,MATCH(AN$5,PayDedList,0)-1,1,1),IgnoreMin)))*IF(COUNTIFS(EmpNo,$C126,OFFSET(Emp!$R$4,1,MATCH(AN$5,DedListItem,0)-1,EmpCount,1),"&lt;&gt;")&gt;0,VLOOKUP($C126,EmpAll,COLUMN(Emp!$R$4)+MATCH(AN$5,DedListItem,0)-1,0),OFFSET(Setup!$E$73,MATCH(AN$5,DedListItem,0),0,1,1))*AN$3))),IF(ISNUMBER(AN$4),AN$4,IgnoreMin)))))</f>
        <v>0</v>
      </c>
      <c r="AO126" s="148" cm="1">
        <f t="array" aca="1" ref="AO126" ca="1">-IF($F126="Terminated",0,IF($AA126=0,0,IF(ISNA(MATCH(AO$5,PayDedList,0)),0,MIN(IF(COUNTIFS(OverEmp,$C126,OverDeduct,AO$5,OverDate,"&lt;"&amp;DATE(YEAR($AC126),MONTH($AC126)+1,1),OverEnd,"&gt;="&amp;DATE(YEAR($AC126),MONTH($AC126),1))&gt;0,SUMPRODUCT((PayEmp=$C126)*(PayDate&lt;=$AC126)*(OFFSET($N$6,1,MATCH(AO$5,PayDedList,0)-1,PayCount,1)))/$AA126*12*AO$3,IF(OR(AO$1="Fixed",AO$1="Not Used"),SUMPRODUCT((PayEmp=$C126)*(PayDate&lt;=$AC126)*(OFFSET($N$6,1,MATCH(AO$5,PayDedList,0)-1,PayCount,1)))/$AA126*12*AO$3,IF(ISNA(MATCH(AO$1,EarnListItem,0))=FALSE,SUMPRODUCT((PayEmp=$C126)*(PayDate&lt;=$AC126)*(OFFSET($N$6,1,MATCH(AO$5,PayDedList,0)-1,PayCount,1)))/$AA126*12*AO$3,(MIN(((SUMPRODUCT((PayEmp=$C126)*(PayDate&lt;=$AC126)*(ISERROR(SEARCH(PayEarnCode,AO$2)))*(PayEarnType="Monthly")*(PayEarnValues))/$AA126*12)+(SUMPRODUCT((PayEmp=$C126)*(PayDate&lt;=$AC126)*(ISERROR(SEARCH(PayEarnCode,AO$2)))*(PayEarnType="Quarterly")*(PayEarnValues))/MAX(1,ROUNDDOWN($AB126/3,0))*4)+(SUMPRODUCT((PayEmp=$C126)*(PayDate&lt;=$AC126)*(ISERROR(SEARCH(PayEarnCode,AO$2)))*(PayEarnType="Bi-Annual")*(PayEarnValues))/MAX(1,ROUNDDOWN($AB126/6,0))*2)+(SUMPRODUCT((PayEmp=$C126)*(PayDate&lt;=$AC126)*(ISERROR(SEARCH(PayEarnCode,AO$2)))*(PayEarnType="Annual")*(PayEarnValues)))),IF(ISNUMBER(OFFSET($N$3,0,MATCH(AO$5,PayDedList,0)-1,1,1)),OFFSET($N$3,0,MATCH(AO$5,PayDedList,0)-1,1,1),IgnoreMin)))*IF(COUNTIFS(EmpNo,$C126,OFFSET(Emp!$R$4,1,MATCH(AO$5,DedListItem,0)-1,EmpCount,1),"&lt;&gt;")&gt;0,VLOOKUP($C126,EmpAll,COLUMN(Emp!$R$4)+MATCH(AO$5,DedListItem,0)-1,0),OFFSET(Setup!$E$73,MATCH(AO$5,DedListItem,0),0,1,1))*AO$3))),IF(ISNUMBER(AO$4),AO$4,IgnoreMin)))))</f>
        <v>0</v>
      </c>
      <c r="AP126" s="148" cm="1">
        <f t="array" aca="1" ref="AP126" ca="1">-IF($F126="Terminated",0,IF($AA126=0,0,IF(ISNA(MATCH(AP$5,PayDedList,0)),0,MIN(IF(COUNTIFS(OverEmp,$C126,OverDeduct,AP$5,OverDate,"&lt;"&amp;DATE(YEAR($AC126),MONTH($AC126)+1,1),OverEnd,"&gt;="&amp;DATE(YEAR($AC126),MONTH($AC126),1))&gt;0,SUMPRODUCT((PayEmp=$C126)*(PayDate&lt;=$AC126)*(OFFSET($N$6,1,MATCH(AP$5,PayDedList,0)-1,PayCount,1)))/$AA126*12*AP$3,IF(OR(AP$1="Fixed",AP$1="Not Used"),SUMPRODUCT((PayEmp=$C126)*(PayDate&lt;=$AC126)*(OFFSET($N$6,1,MATCH(AP$5,PayDedList,0)-1,PayCount,1)))/$AA126*12*AP$3,IF(ISNA(MATCH(AP$1,EarnListItem,0))=FALSE,SUMPRODUCT((PayEmp=$C126)*(PayDate&lt;=$AC126)*(OFFSET($N$6,1,MATCH(AP$5,PayDedList,0)-1,PayCount,1)))/$AA126*12*AP$3,(MIN(((SUMPRODUCT((PayEmp=$C126)*(PayDate&lt;=$AC126)*(ISERROR(SEARCH(PayEarnCode,AP$2)))*(PayEarnType="Monthly")*(PayEarnValues))/$AA126*12)+(SUMPRODUCT((PayEmp=$C126)*(PayDate&lt;=$AC126)*(ISERROR(SEARCH(PayEarnCode,AP$2)))*(PayEarnType="Quarterly")*(PayEarnValues))/MAX(1,ROUNDDOWN($AB126/3,0))*4)+(SUMPRODUCT((PayEmp=$C126)*(PayDate&lt;=$AC126)*(ISERROR(SEARCH(PayEarnCode,AP$2)))*(PayEarnType="Bi-Annual")*(PayEarnValues))/MAX(1,ROUNDDOWN($AB126/6,0))*2)+(SUMPRODUCT((PayEmp=$C126)*(PayDate&lt;=$AC126)*(ISERROR(SEARCH(PayEarnCode,AP$2)))*(PayEarnType="Annual")*(PayEarnValues)))),IF(ISNUMBER(OFFSET($N$3,0,MATCH(AP$5,PayDedList,0)-1,1,1)),OFFSET($N$3,0,MATCH(AP$5,PayDedList,0)-1,1,1),IgnoreMin)))*IF(COUNTIFS(EmpNo,$C126,OFFSET(Emp!$R$4,1,MATCH(AP$5,DedListItem,0)-1,EmpCount,1),"&lt;&gt;")&gt;0,VLOOKUP($C126,EmpAll,COLUMN(Emp!$R$4)+MATCH(AP$5,DedListItem,0)-1,0),OFFSET(Setup!$E$73,MATCH(AP$5,DedListItem,0),0,1,1))*AP$3))),IF(ISNUMBER(AP$4),AP$4,IgnoreMin)))))</f>
        <v>0</v>
      </c>
      <c r="AQ126" s="148" cm="1">
        <f t="array" aca="1" ref="AQ126" ca="1">-IF($F126="Terminated",0,IF($AA126=0,0,IF(ISNA(MATCH(AQ$5,PayDedList,0)),0,MIN(IF(COUNTIFS(OverEmp,$C126,OverDeduct,AQ$5,OverDate,"&lt;"&amp;DATE(YEAR($AC126),MONTH($AC126)+1,1),OverEnd,"&gt;="&amp;DATE(YEAR($AC126),MONTH($AC126),1))&gt;0,SUMPRODUCT((PayEmp=$C126)*(PayDate&lt;=$AC126)*(OFFSET($N$6,1,MATCH(AQ$5,PayDedList,0)-1,PayCount,1)))/$AA126*12*AQ$3,IF(OR(AQ$1="Fixed",AQ$1="Not Used"),SUMPRODUCT((PayEmp=$C126)*(PayDate&lt;=$AC126)*(OFFSET($N$6,1,MATCH(AQ$5,PayDedList,0)-1,PayCount,1)))/$AA126*12*AQ$3,IF(ISNA(MATCH(AQ$1,EarnListItem,0))=FALSE,SUMPRODUCT((PayEmp=$C126)*(PayDate&lt;=$AC126)*(OFFSET($N$6,1,MATCH(AQ$5,PayDedList,0)-1,PayCount,1)))/$AA126*12*AQ$3,(MIN(((SUMPRODUCT((PayEmp=$C126)*(PayDate&lt;=$AC126)*(ISERROR(SEARCH(PayEarnCode,AQ$2)))*(PayEarnType="Monthly")*(PayEarnValues))/$AA126*12)+(SUMPRODUCT((PayEmp=$C126)*(PayDate&lt;=$AC126)*(ISERROR(SEARCH(PayEarnCode,AQ$2)))*(PayEarnType="Quarterly")*(PayEarnValues))/MAX(1,ROUNDDOWN($AB126/3,0))*4)+(SUMPRODUCT((PayEmp=$C126)*(PayDate&lt;=$AC126)*(ISERROR(SEARCH(PayEarnCode,AQ$2)))*(PayEarnType="Bi-Annual")*(PayEarnValues))/MAX(1,ROUNDDOWN($AB126/6,0))*2)+(SUMPRODUCT((PayEmp=$C126)*(PayDate&lt;=$AC126)*(ISERROR(SEARCH(PayEarnCode,AQ$2)))*(PayEarnType="Annual")*(PayEarnValues)))),IF(ISNUMBER(OFFSET($N$3,0,MATCH(AQ$5,PayDedList,0)-1,1,1)),OFFSET($N$3,0,MATCH(AQ$5,PayDedList,0)-1,1,1),IgnoreMin)))*IF(COUNTIFS(EmpNo,$C126,OFFSET(Emp!$R$4,1,MATCH(AQ$5,DedListItem,0)-1,EmpCount,1),"&lt;&gt;")&gt;0,VLOOKUP($C126,EmpAll,COLUMN(Emp!$R$4)+MATCH(AQ$5,DedListItem,0)-1,0),OFFSET(Setup!$E$73,MATCH(AQ$5,DedListItem,0),0,1,1))*AQ$3))),IF(ISNUMBER(AQ$4),AQ$4,IgnoreMin)))))</f>
        <v>0</v>
      </c>
      <c r="AR126" s="148">
        <f t="shared" ca="1" si="52"/>
        <v>0</v>
      </c>
      <c r="AS126" s="148">
        <f t="shared" ca="1" si="42"/>
        <v>0</v>
      </c>
      <c r="AT126" s="148" cm="1">
        <f t="array" aca="1" ref="AT126" ca="1">-IF($F126="Terminated",0,IF($AA126=0,0,IF(ISNA(MATCH(AT$5,PayDedList,0)),0,MIN(IF(COUNTIFS(OverEmp,$C126,OverDeduct,AT$5,OverDate,"&lt;"&amp;DATE(YEAR($AC126),MONTH($AC126)+1,1),OverEnd,"&gt;="&amp;DATE(YEAR($AC126),MONTH($AC126),1))&gt;0,SUMPRODUCT((PayEmp=$C126)*(PayDate&lt;=$AC126)*(OFFSET($N$6,1,MATCH(AT$5,PayDedList,0)-1,PayCount,1)))/$AA126*12*AT$3,IF(OR(AT$1="Fixed",AT$1="Not Used"),SUMPRODUCT((PayEmp=$C126)*(PayDate&lt;=$AC126)*(OFFSET($N$6,1,MATCH(AT$5,PayDedList,0)-1,PayCount,1)))/$AA126*12*AT$3,IF(ISNA(MATCH(OFFSET($N$2,0,MATCH(AT$5,PayDedList,0)-1,1,1),EarnListItem,0))=FALSE,SUMPRODUCT((PayEmp=$C126)*(PayDate&lt;=$AC126)*(OFFSET($N$6,1,MATCH(AT$5,PayDedList,0)-1,PayCount,1)))/$AA126*12*AT$3,(MIN(SUMPRODUCT((PayEmp=$C126)*(PayDate&lt;=$AC126)*(ISERROR(SEARCH(PayEarnCode,AT$2)))*(PayEarnType="Monthly")*(PayEarnValues))/$AA126*12,IF(ISNUMBER(OFFSET($N$3,0,MATCH(AT$5,PayDedList,0)-1,1,1)),OFFSET($N$3,0,MATCH(AT$5,PayDedList,0)-1,1,1),IgnoreMin)))*IF(COUNTIFS(EmpNo,$C126,OFFSET(Emp!$R$4,1,MATCH(AT$5,DedListItem,0)-1,EmpCount,1),"&lt;&gt;")&gt;0,VLOOKUP($C126,EmpAll,COLUMN(Emp!$R$4)+MATCH(AT$5,DedListItem,0)-1,0),OFFSET(Setup!$E$73,MATCH(AT$5,DedListItem,0),0,1,1))*AT$3))),IF(ISNUMBER(AT$4),AT$4,IgnoreMin)))))</f>
        <v>0</v>
      </c>
      <c r="AU126" s="148" cm="1">
        <f t="array" aca="1" ref="AU126" ca="1">-IF($F126="Terminated",0,IF($AA126=0,0,IF(ISNA(MATCH(AU$5,PayDedList,0)),0,MIN(IF(COUNTIFS(OverEmp,$C126,OverDeduct,AU$5,OverDate,"&lt;"&amp;DATE(YEAR($AC126),MONTH($AC126)+1,1),OverEnd,"&gt;="&amp;DATE(YEAR($AC126),MONTH($AC126),1))&gt;0,SUMPRODUCT((PayEmp=$C126)*(PayDate&lt;=$AC126)*(OFFSET($N$6,1,MATCH(AU$5,PayDedList,0)-1,PayCount,1)))/$AA126*12*AU$3,IF(OR(AU$1="Fixed",AU$1="Not Used"),SUMPRODUCT((PayEmp=$C126)*(PayDate&lt;=$AC126)*(OFFSET($N$6,1,MATCH(AU$5,PayDedList,0)-1,PayCount,1)))/$AA126*12*AU$3,IF(ISNA(MATCH(OFFSET($N$2,0,MATCH(AU$5,PayDedList,0)-1,1,1),EarnListItem,0))=FALSE,SUMPRODUCT((PayEmp=$C126)*(PayDate&lt;=$AC126)*(OFFSET($N$6,1,MATCH(AU$5,PayDedList,0)-1,PayCount,1)))/$AA126*12*AU$3,(MIN(SUMPRODUCT((PayEmp=$C126)*(PayDate&lt;=$AC126)*(ISERROR(SEARCH(PayEarnCode,AU$2)))*(PayEarnType="Monthly")*(PayEarnValues))/$AA126*12,IF(ISNUMBER(OFFSET($N$3,0,MATCH(AU$5,PayDedList,0)-1,1,1)),OFFSET($N$3,0,MATCH(AU$5,PayDedList,0)-1,1,1),IgnoreMin)))*IF(COUNTIFS(EmpNo,$C126,OFFSET(Emp!$R$4,1,MATCH(AU$5,DedListItem,0)-1,EmpCount,1),"&lt;&gt;")&gt;0,VLOOKUP($C126,EmpAll,COLUMN(Emp!$R$4)+MATCH(AU$5,DedListItem,0)-1,0),OFFSET(Setup!$E$73,MATCH(AU$5,DedListItem,0),0,1,1))*AU$3))),IF(ISNUMBER(AU$4),AU$4,IgnoreMin)))))</f>
        <v>0</v>
      </c>
      <c r="AV126" s="148" cm="1">
        <f t="array" aca="1" ref="AV126" ca="1">-IF($F126="Terminated",0,IF($AA126=0,0,IF(ISNA(MATCH(AV$5,PayDedList,0)),0,MIN(IF(COUNTIFS(OverEmp,$C126,OverDeduct,AV$5,OverDate,"&lt;"&amp;DATE(YEAR($AC126),MONTH($AC126)+1,1),OverEnd,"&gt;="&amp;DATE(YEAR($AC126),MONTH($AC126),1))&gt;0,SUMPRODUCT((PayEmp=$C126)*(PayDate&lt;=$AC126)*(OFFSET($N$6,1,MATCH(AV$5,PayDedList,0)-1,PayCount,1)))/$AA126*12*AV$3,IF(OR(AV$1="Fixed",AV$1="Not Used"),SUMPRODUCT((PayEmp=$C126)*(PayDate&lt;=$AC126)*(OFFSET($N$6,1,MATCH(AV$5,PayDedList,0)-1,PayCount,1)))/$AA126*12*AV$3,IF(ISNA(MATCH(OFFSET($N$2,0,MATCH(AV$5,PayDedList,0)-1,1,1),EarnListItem,0))=FALSE,SUMPRODUCT((PayEmp=$C126)*(PayDate&lt;=$AC126)*(OFFSET($N$6,1,MATCH(AV$5,PayDedList,0)-1,PayCount,1)))/$AA126*12*AV$3,(MIN(SUMPRODUCT((PayEmp=$C126)*(PayDate&lt;=$AC126)*(ISERROR(SEARCH(PayEarnCode,AV$2)))*(PayEarnType="Monthly")*(PayEarnValues))/$AA126*12,IF(ISNUMBER(OFFSET($N$3,0,MATCH(AV$5,PayDedList,0)-1,1,1)),OFFSET($N$3,0,MATCH(AV$5,PayDedList,0)-1,1,1),IgnoreMin)))*IF(COUNTIFS(EmpNo,$C126,OFFSET(Emp!$R$4,1,MATCH(AV$5,DedListItem,0)-1,EmpCount,1),"&lt;&gt;")&gt;0,VLOOKUP($C126,EmpAll,COLUMN(Emp!$R$4)+MATCH(AV$5,DedListItem,0)-1,0),OFFSET(Setup!$E$73,MATCH(AV$5,DedListItem,0),0,1,1))*AV$3))),IF(ISNUMBER(AV$4),AV$4,IgnoreMin)))))</f>
        <v>0</v>
      </c>
      <c r="AW126" s="148" cm="1">
        <f t="array" aca="1" ref="AW126" ca="1">-IF($F126="Terminated",0,IF($AA126=0,0,IF(ISNA(MATCH(AW$5,PayDedList,0)),0,MIN(IF(COUNTIFS(OverEmp,$C126,OverDeduct,AW$5,OverDate,"&lt;"&amp;DATE(YEAR($AC126),MONTH($AC126)+1,1),OverEnd,"&gt;="&amp;DATE(YEAR($AC126),MONTH($AC126),1))&gt;0,SUMPRODUCT((PayEmp=$C126)*(PayDate&lt;=$AC126)*(OFFSET($N$6,1,MATCH(AW$5,PayDedList,0)-1,PayCount,1)))/$AA126*12*AW$3,IF(OR(AW$1="Fixed",AW$1="Not Used"),SUMPRODUCT((PayEmp=$C126)*(PayDate&lt;=$AC126)*(OFFSET($N$6,1,MATCH(AW$5,PayDedList,0)-1,PayCount,1)))/$AA126*12*AW$3,IF(ISNA(MATCH(OFFSET($N$2,0,MATCH(AW$5,PayDedList,0)-1,1,1),EarnListItem,0))=FALSE,SUMPRODUCT((PayEmp=$C126)*(PayDate&lt;=$AC126)*(OFFSET($N$6,1,MATCH(AW$5,PayDedList,0)-1,PayCount,1)))/$AA126*12*AW$3,(MIN(SUMPRODUCT((PayEmp=$C126)*(PayDate&lt;=$AC126)*(ISERROR(SEARCH(PayEarnCode,AW$2)))*(PayEarnType="Monthly")*(PayEarnValues))/$AA126*12,IF(ISNUMBER(OFFSET($N$3,0,MATCH(AW$5,PayDedList,0)-1,1,1)),OFFSET($N$3,0,MATCH(AW$5,PayDedList,0)-1,1,1),IgnoreMin)))*IF(COUNTIFS(EmpNo,$C126,OFFSET(Emp!$R$4,1,MATCH(AW$5,DedListItem,0)-1,EmpCount,1),"&lt;&gt;")&gt;0,VLOOKUP($C126,EmpAll,COLUMN(Emp!$R$4)+MATCH(AW$5,DedListItem,0)-1,0),OFFSET(Setup!$E$73,MATCH(AW$5,DedListItem,0),0,1,1))*AW$3))),IF(ISNUMBER(AW$4),AW$4,IgnoreMin)))))</f>
        <v>0</v>
      </c>
      <c r="AX126" s="148">
        <f t="shared" ca="1" si="58"/>
        <v>0</v>
      </c>
      <c r="AY126" s="148">
        <f t="shared" ca="1" si="59"/>
        <v>0</v>
      </c>
      <c r="AZ126" s="148">
        <f ca="1">IF(ISNUMBER($AL126),($AR126*$AL126)-$AI126-$AK126,MAX(0,IF($AL126="B",IF($AR126&lt;Setup!$C$32,($AR126*Setup!$D$32)-$AI126-$AK126,(($AR126-VLOOKUP($AR126,TaxAll2,1,1))*OFFSET(Setup!$D$32,MATCH($AR126,TaxBracket2,1),0,1,1))+OFFSET(Setup!$E$31,MATCH($AR126,TaxBracket2,1),0,1,1)-$AI126-$AK126),IF($AR126&lt;Setup!$C$21,($AR126*Setup!$D$21)-$AI126-$AK126,(($AR126-VLOOKUP($AR126,TaxAll1,1,1))*OFFSET(Setup!$D$21,MATCH($AR126,TaxBracket1,1),0,1,1))+OFFSET(Setup!$E$20,MATCH($AR126,TaxBracket1,1),0,1,1)-$AI126-$AK126))))</f>
        <v>0</v>
      </c>
      <c r="BA126" s="148">
        <f ca="1">IF(ISNUMBER($AL126),($AX126*$AL126)-$AI126-$AK126,MAX(0,IF($AL126="B",IF($AX126&lt;Setup!$C$32,($AX126*Setup!$D$32)-$AI126-$AK126,(($AX126-VLOOKUP($AX126,TaxAll2,1,1))*OFFSET(Setup!$D$32,MATCH($AX126,TaxBracket2,1),0,1,1))+OFFSET(Setup!$E$31,MATCH($AX126,TaxBracket2,1),0,1,1)-$AI126-$AK126),IF($AX126&lt;Setup!$C$21,($AX126*Setup!$D$21)-$AI126-$AK126,(($AX126-VLOOKUP($AX126,TaxAll1,1,1))*OFFSET(Setup!$D$21,MATCH($AX126,TaxBracket1,1),0,1,1))+OFFSET(Setup!$E$20,MATCH($AX126,TaxBracket1,1),0,1,1)-$AI126-$AK126))))</f>
        <v>0</v>
      </c>
      <c r="BB126" s="148">
        <f t="shared" ca="1" si="53"/>
        <v>0</v>
      </c>
      <c r="BC126" s="150">
        <f t="shared" ca="1" si="45"/>
        <v>0</v>
      </c>
      <c r="BD126" s="150">
        <f t="shared" ca="1" si="46"/>
        <v>0</v>
      </c>
      <c r="BE126" s="148">
        <f t="shared" ca="1" si="47"/>
        <v>0</v>
      </c>
    </row>
    <row r="127" spans="1:57" ht="16.149999999999999" customHeight="1" x14ac:dyDescent="0.25">
      <c r="A127" s="10" t="str" cm="1">
        <f t="array" aca="1" ref="A127" ca="1">IF(ROW($A127)-ROW($A$6)&gt;EmpCount*12,"-",TEXT($B127,"yyyy")&amp;TEXT($B127,"mm")&amp;"-"&amp;$C127)</f>
        <v>202311-EXS001</v>
      </c>
      <c r="B127" s="137" cm="1">
        <f t="array" aca="1" ref="B127" ca="1">IF(ROW($A127)-ROW($A$6)&gt;EmpCount*12,Setup!$D$12,DATE(YEAR(Setup!$F$12),MONTH(Setup!$F$12)+ROUNDDOWN((ROW($A127)-ROW($A$6)-1)/EmpCount,0),IF(Setup!$C$14&gt;DAY(DATE(YEAR(Setup!$F$12),MONTH(Setup!$F$12)+ROUNDDOWN((ROW($A127)-ROW($A$6)-1)/EmpCount,0)+1,0)),DAY(DATE(YEAR(Setup!$F$12),MONTH(Setup!$F$12)+ROUNDDOWN((ROW($A127)-ROW($A$6)-1)/EmpCount,0)+1,0)),Setup!$C$14)))</f>
        <v>45255</v>
      </c>
      <c r="C127" s="101" t="str" cm="1">
        <f t="array" aca="1" ref="C127" ca="1">IF(ROW($A127)-ROW($A$6)&gt;EmpCount*12,"-",OFFSET(Emp!$A$4,ROW($A127)-ROW($A$6)-IF(ROW($A127)-ROW($A$6)&gt;EmpCount,ROUNDDOWN((ROW($A127)-ROW($A$6)-1)/EmpCount,0)*EmpCount,0),0,1,1))</f>
        <v>EXS001</v>
      </c>
      <c r="D127" s="10" t="str">
        <f ca="1">IF(ISNA(VLOOKUP($C127,EmpAll,COLUMN(Emp!$B$4),0)),"-",VLOOKUP($C127,EmpAll,COLUMN(Emp!$B$4),0))</f>
        <v>Taylor AE</v>
      </c>
      <c r="E127" s="145" t="str">
        <f ca="1">IF(ISNA(VLOOKUP($C127,EmpAll,COLUMN(Emp!$C$4),0)),"-",VLOOKUP($C127,EmpAll,COLUMN(Emp!$C$4),0))</f>
        <v>M</v>
      </c>
      <c r="F127" s="101" t="str">
        <f ca="1">IF(ISNA(VLOOKUP($C127,EmpAll,COLUMN(Emp!$A$4),0)),"-",IF(AND(VLOOKUP($C127,EmpAll,COLUMN(Emp!$E$4),0)&lt;&gt;0,VLOOKUP($C127,EmpAll,COLUMN(Emp!$E$4),0)&gt;=DATE(YEAR($AC127),MONTH($AC127)+1,0)),"Inactive",IF(AND(VLOOKUP($C127,EmpAll,COLUMN(Emp!$F$4),0)&lt;&gt;0,VLOOKUP($C127,EmpAll,COLUMN(Emp!$F$4),0)&lt;=DATE(YEAR($AC127),MONTH($AC127),0)),"Terminated","Active")))</f>
        <v>Active</v>
      </c>
      <c r="G127" s="133" cm="1">
        <f t="array" aca="1" ref="G127" ca="1">IF($F127&lt;&gt;"Active",0,IF(COUNTIFS(OverEmp,$C127,OverEarn,G$2,OverDate,"&lt;"&amp;DATE(YEAR($AC127),MONTH($AC127)+1,1),OverEnd,"&gt;="&amp;DATE(YEAR($AC127),MONTH($AC127),1))&gt;0,SUMIFS(OverValue,OverEmp,$C127,OverEarn,G$2,OverDate,"&lt;"&amp;DATE(YEAR($AC127),MONTH($AC127)+1,1),OverEnd,"&gt;="&amp;DATE(YEAR($AC127),MONTH($AC127),1)),IF(AND($AC127&gt;=Setup!$E$10,SUMIFS(EmpIncrease,EmpCode,$C127)&gt;0),SUMIFS(EmpIncrease,EmpCode,$C127),SUMIFS(EmpSalary,EmpCode,$C127))))</f>
        <v>150000</v>
      </c>
      <c r="H127" s="133" cm="1">
        <f t="array" aca="1" ref="H127" ca="1">IF($F127&lt;&gt;"Active",0,IF(COUNTIFS(OverEmp,$C127,OverEarn,H$2,OverDate,"&lt;"&amp;DATE(YEAR($AC127),MONTH($AC127)+1,1),OverEnd,"&gt;="&amp;DATE(YEAR($AC127),MONTH($AC127),1))&gt;0,SUMIFS(OverValue,OverEmp,$C127,OverEarn,H$2,OverDate,"&lt;"&amp;DATE(YEAR($AC127),MONTH($AC127)+1,1),OverEnd,"&gt;="&amp;DATE(YEAR($AC127),MONTH($AC127),1)),0))</f>
        <v>0</v>
      </c>
      <c r="I127" s="133" cm="1">
        <f t="array" aca="1" ref="I127" ca="1">IF($F127&lt;&gt;"Active",0,IF(COUNTIFS(OverEmp,$C127,OverEarn,I$2,OverDate,"&lt;"&amp;DATE(YEAR($AC127),MONTH($AC127)+1,1),OverEnd,"&gt;="&amp;DATE(YEAR($AC127),MONTH($AC127),1))&gt;0,SUMIFS(OverValue,OverEmp,$C127,OverEarn,I$2,OverDate,"&lt;"&amp;DATE(YEAR($AC127),MONTH($AC127)+1,1),OverEnd,"&gt;="&amp;DATE(YEAR($AC127),MONTH($AC127),1)),IF(MONTH(B127)=Setup!$C$15,SUMIFS(EmpBonus,EmpCode,$C127),0)))</f>
        <v>0</v>
      </c>
      <c r="J127" s="133" cm="1">
        <f t="array" aca="1" ref="J127" ca="1">IF($F127&lt;&gt;"Active",0,IF(COUNTIFS(OverEmp,$C127,OverEarn,J$2,OverDate,"&lt;"&amp;DATE(YEAR($AC127),MONTH($AC127)+1,1),OverEnd,"&gt;="&amp;DATE(YEAR($AC127),MONTH($AC127),1))&gt;0,SUMIFS(OverValue,OverEmp,$C127,OverEarn,J$2,OverDate,"&lt;"&amp;DATE(YEAR($AC127),MONTH($AC127)+1,1),OverEnd,"&gt;="&amp;DATE(YEAR($AC127),MONTH($AC127),1)),0))</f>
        <v>0</v>
      </c>
      <c r="K127" s="133" cm="1">
        <f t="array" aca="1" ref="K127" ca="1">IF($F127&lt;&gt;"Active",0,IF(COUNTIFS(OverEmp,$C127,OverEarn,K$2,OverDate,"&lt;"&amp;DATE(YEAR($AC127),MONTH($AC127)+1,1),OverEnd,"&gt;="&amp;DATE(YEAR($AC127),MONTH($AC127),1))&gt;0,SUMIFS(OverValue,OverEmp,$C127,OverEarn,K$2,OverDate,"&lt;"&amp;DATE(YEAR($AC127),MONTH($AC127)+1,1),OverEnd,"&gt;="&amp;DATE(YEAR($AC127),MONTH($AC127),1)),0))</f>
        <v>0</v>
      </c>
      <c r="L127" s="185">
        <f t="shared" ca="1" si="54"/>
        <v>150000</v>
      </c>
      <c r="M127" s="182" cm="1">
        <f t="array" aca="1" ref="M127" ca="1">IF(COUNTIFS(OverEmp,$C127,OverTax,M$5,OverDate,"&lt;"&amp;DATE(YEAR($AC127),MONTH($AC127)+1,1),OverEnd,"&gt;="&amp;DATE(YEAR($AC127),MONTH($AC127),1))&gt;0,SUMIFS(OverValue,OverEmp,$C127,OverTax,M$5,OverDate,"&lt;"&amp;DATE(YEAR($AC127),MONTH($AC127)+1,1),OverEnd,"&gt;="&amp;DATE(YEAR($AC127),MONTH($AC127),1)),(($BA127/12*$AA127)+(BB127*IF(1-$BC127=0,0,BD127/(1-$BC127))))-IF($F127="Terminated",0,SUMIFS(PayTaxDeduct,PayDate,"&lt;"&amp;$AC127,PayEmp,$C127)))</f>
        <v>45611.833333333314</v>
      </c>
      <c r="N127" s="133" cm="1">
        <f t="array" aca="1" ref="N127" ca="1">IF($F127="Terminated",0,IF($AA127=0,0,IF(ISNA(MATCH(N$5,DedListItem,0)),0,IF(COUNTIFS(OverEmp,$C127,OverDeduct,N$5,OverDate,"&lt;"&amp;DATE(YEAR($AC127),MONTH($AC127)+1,1),OverEnd,"&gt;="&amp;DATE(YEAR($AC127),MONTH($AC127),1))&gt;0,SUMIFS(OverValue,OverEmp,$C127,OverDeduct,N$5,OverDate,"&lt;"&amp;DATE(YEAR($AC127),MONTH($AC127)+1,1),OverEnd,"&gt;="&amp;DATE(YEAR($AC127),MONTH($AC127),1)),IF(OR(N$2="Fixed",N$2="Not Used"),(IF(COUNTIFS(EmpNo,$C127,OFFSET(Emp!$R$4,1,MATCH(N$5,DedListItem,0)-1,EmpCount,1),"&lt;&gt;")&gt;0,VLOOKUP($C127,EmpAll,COLUMN(Emp!$R$4)+MATCH(N$5,DedListItem,0)-1,0),OFFSET(Setup!$E$73,MATCH(N$5,DedListItem,0),0,1,1))*$AA127)-SUMIFS(OFFSET(N$6,1,0,PayCount,1),PayDate,"&lt;"&amp;$AC127,PayEmp,$C127),IF(ISNA(MATCH(N$2,EarnListItem,0))=FALSE,IF(OFFSET(Setup!$G$73,MATCH(N$5,DedListItem,0),0,1,1)="Taxable",SUMPRODUCT((PayEmp=$C127)*(PayDate&lt;=$AC127)*(PayEarnCode=N$2)*(PayEarnTax)*(PayEarnValues)),SUMPRODUCT((PayEmp=$C127)*(PayDate&lt;=$AC127)*(PayEarnCode=N$2)*(PayEarnValues)))*IF(COUNTIFS(EmpNo,$C127,OFFSET(Emp!$R$4,1,MATCH(N$5,DedListItem,0)-1,EmpCount,1),"&lt;&gt;")&gt;0,VLOOKUP($C127,EmpAll,COLUMN(Emp!$R$4)+MATCH(N$5,DedListItem,0)-1,0),OFFSET(Setup!$E$73,MATCH(N$5,DedListItem,0),0,1,1)),(MIN(IF(OFFSET(Setup!$G$73,MATCH(N$5,DedListItem,0),0,1,1)="Taxable",SUMPRODUCT((PayEmp=$C127)*(PayDate&lt;=$AC127)*(ISERROR(SEARCH(PayEarnCode,N$4)))*(PayEarnTax)*(PayEarnValues)),SUMPRODUCT((PayEmp=$C127)*(PayDate&lt;=$AC127)*(ISERROR(SEARCH(PayEarnCode,N$4)))*(PayEarnValues))),IF(ISNUMBER(N$3),N$3/12*$AA127,IgnoreMin)))*IF(COUNTIFS(EmpNo,$C127,OFFSET(Emp!$R$4,1,MATCH(N$5,DedListItem,0)-1,EmpCount,1),"&lt;&gt;")&gt;0,VLOOKUP($C127,EmpAll,COLUMN(Emp!$R$4)+MATCH(N$5,DedListItem,0)-1,0),OFFSET(Setup!$E$73,MATCH(N$5,DedListItem,0),0,1,1)))-SUMIFS(OFFSET(N$6,1,0,PayCount,1),PayDate,"&lt;"&amp;$AC127,PayEmp,$C127))))))</f>
        <v>177.11999999999989</v>
      </c>
      <c r="O127" s="133" cm="1">
        <f t="array" aca="1" ref="O127" ca="1">IF($F127="Terminated",0,IF($AA127=0,0,IF(ISNA(MATCH(O$5,DedListItem,0)),0,IF(COUNTIFS(OverEmp,$C127,OverDeduct,O$5,OverDate,"&lt;"&amp;DATE(YEAR($AC127),MONTH($AC127)+1,1),OverEnd,"&gt;="&amp;DATE(YEAR($AC127),MONTH($AC127),1))&gt;0,SUMIFS(OverValue,OverEmp,$C127,OverDeduct,O$5,OverDate,"&lt;"&amp;DATE(YEAR($AC127),MONTH($AC127)+1,1),OverEnd,"&gt;="&amp;DATE(YEAR($AC127),MONTH($AC127),1)),IF(OR(O$2="Fixed",O$2="Not Used"),(IF(COUNTIFS(EmpNo,$C127,OFFSET(Emp!$R$4,1,MATCH(O$5,DedListItem,0)-1,EmpCount,1),"&lt;&gt;")&gt;0,VLOOKUP($C127,EmpAll,COLUMN(Emp!$R$4)+MATCH(O$5,DedListItem,0)-1,0),OFFSET(Setup!$E$73,MATCH(O$5,DedListItem,0),0,1,1))*$AA127)-SUMIFS(OFFSET(O$6,1,0,PayCount,1),PayDate,"&lt;"&amp;$AC127,PayEmp,$C127),IF(ISNA(MATCH(O$2,EarnListItem,0))=FALSE,IF(OFFSET(Setup!$G$73,MATCH(O$5,DedListItem,0),0,1,1)="Taxable",SUMPRODUCT((PayEmp=$C127)*(PayDate&lt;=$AC127)*(PayEarnCode=O$2)*(PayEarnTax)*(PayEarnValues)),SUMPRODUCT((PayEmp=$C127)*(PayDate&lt;=$AC127)*(PayEarnCode=O$2)*(PayEarnValues)))*IF(COUNTIFS(EmpNo,$C127,OFFSET(Emp!$R$4,1,MATCH(O$5,DedListItem,0)-1,EmpCount,1),"&lt;&gt;")&gt;0,VLOOKUP($C127,EmpAll,COLUMN(Emp!$R$4)+MATCH(O$5,DedListItem,0)-1,0),OFFSET(Setup!$E$73,MATCH(O$5,DedListItem,0),0,1,1)),(MIN(IF(OFFSET(Setup!$G$73,MATCH(O$5,DedListItem,0),0,1,1)="Taxable",SUMPRODUCT((PayEmp=$C127)*(PayDate&lt;=$AC127)*(ISERROR(SEARCH(PayEarnCode,O$4)))*(PayEarnTax)*(PayEarnValues)),SUMPRODUCT((PayEmp=$C127)*(PayDate&lt;=$AC127)*(ISERROR(SEARCH(PayEarnCode,O$4)))*(PayEarnValues))),IF(ISNUMBER(O$3),O$3/12*$AA127,IgnoreMin)))*IF(COUNTIFS(EmpNo,$C127,OFFSET(Emp!$R$4,1,MATCH(O$5,DedListItem,0)-1,EmpCount,1),"&lt;&gt;")&gt;0,VLOOKUP($C127,EmpAll,COLUMN(Emp!$R$4)+MATCH(O$5,DedListItem,0)-1,0),OFFSET(Setup!$E$73,MATCH(O$5,DedListItem,0),0,1,1)))-SUMIFS(OFFSET(O$6,1,0,PayCount,1),PayDate,"&lt;"&amp;$AC127,PayEmp,$C127))))))</f>
        <v>11250</v>
      </c>
      <c r="P127" s="133" cm="1">
        <f t="array" aca="1" ref="P127" ca="1">IF($F127="Terminated",0,IF($AA127=0,0,IF(ISNA(MATCH(P$5,DedListItem,0)),0,IF(COUNTIFS(OverEmp,$C127,OverDeduct,P$5,OverDate,"&lt;"&amp;DATE(YEAR($AC127),MONTH($AC127)+1,1),OverEnd,"&gt;="&amp;DATE(YEAR($AC127),MONTH($AC127),1))&gt;0,SUMIFS(OverValue,OverEmp,$C127,OverDeduct,P$5,OverDate,"&lt;"&amp;DATE(YEAR($AC127),MONTH($AC127)+1,1),OverEnd,"&gt;="&amp;DATE(YEAR($AC127),MONTH($AC127),1)),IF(OR(P$2="Fixed",P$2="Not Used"),(IF(COUNTIFS(EmpNo,$C127,OFFSET(Emp!$R$4,1,MATCH(P$5,DedListItem,0)-1,EmpCount,1),"&lt;&gt;")&gt;0,VLOOKUP($C127,EmpAll,COLUMN(Emp!$R$4)+MATCH(P$5,DedListItem,0)-1,0),OFFSET(Setup!$E$73,MATCH(P$5,DedListItem,0),0,1,1))*$AA127)-SUMIFS(OFFSET(P$6,1,0,PayCount,1),PayDate,"&lt;"&amp;$AC127,PayEmp,$C127),IF(ISNA(MATCH(P$2,EarnListItem,0))=FALSE,IF(OFFSET(Setup!$G$73,MATCH(P$5,DedListItem,0),0,1,1)="Taxable",SUMPRODUCT((PayEmp=$C127)*(PayDate&lt;=$AC127)*(PayEarnCode=P$2)*(PayEarnTax)*(PayEarnValues)),SUMPRODUCT((PayEmp=$C127)*(PayDate&lt;=$AC127)*(PayEarnCode=P$2)*(PayEarnValues)))*IF(COUNTIFS(EmpNo,$C127,OFFSET(Emp!$R$4,1,MATCH(P$5,DedListItem,0)-1,EmpCount,1),"&lt;&gt;")&gt;0,VLOOKUP($C127,EmpAll,COLUMN(Emp!$R$4)+MATCH(P$5,DedListItem,0)-1,0),OFFSET(Setup!$E$73,MATCH(P$5,DedListItem,0),0,1,1)),(MIN(IF(OFFSET(Setup!$G$73,MATCH(P$5,DedListItem,0),0,1,1)="Taxable",SUMPRODUCT((PayEmp=$C127)*(PayDate&lt;=$AC127)*(ISERROR(SEARCH(PayEarnCode,P$4)))*(PayEarnTax)*(PayEarnValues)),SUMPRODUCT((PayEmp=$C127)*(PayDate&lt;=$AC127)*(ISERROR(SEARCH(PayEarnCode,P$4)))*(PayEarnValues))),IF(ISNUMBER(P$3),P$3/12*$AA127,IgnoreMin)))*IF(COUNTIFS(EmpNo,$C127,OFFSET(Emp!$R$4,1,MATCH(P$5,DedListItem,0)-1,EmpCount,1),"&lt;&gt;")&gt;0,VLOOKUP($C127,EmpAll,COLUMN(Emp!$R$4)+MATCH(P$5,DedListItem,0)-1,0),OFFSET(Setup!$E$73,MATCH(P$5,DedListItem,0),0,1,1)))-SUMIFS(OFFSET(P$6,1,0,PayCount,1),PayDate,"&lt;"&amp;$AC127,PayEmp,$C127))))))</f>
        <v>0</v>
      </c>
      <c r="Q127" s="133" cm="1">
        <f t="array" aca="1" ref="Q127" ca="1">IF($F127="Terminated",0,IF($AA127=0,0,IF(ISNA(MATCH(Q$5,DedListItem,0)),0,IF(COUNTIFS(OverEmp,$C127,OverDeduct,Q$5,OverDate,"&lt;"&amp;DATE(YEAR($AC127),MONTH($AC127)+1,1),OverEnd,"&gt;="&amp;DATE(YEAR($AC127),MONTH($AC127),1))&gt;0,SUMIFS(OverValue,OverEmp,$C127,OverDeduct,Q$5,OverDate,"&lt;"&amp;DATE(YEAR($AC127),MONTH($AC127)+1,1),OverEnd,"&gt;="&amp;DATE(YEAR($AC127),MONTH($AC127),1)),IF(OR(Q$2="Fixed",Q$2="Not Used"),(IF(COUNTIFS(EmpNo,$C127,OFFSET(Emp!$R$4,1,MATCH(Q$5,DedListItem,0)-1,EmpCount,1),"&lt;&gt;")&gt;0,VLOOKUP($C127,EmpAll,COLUMN(Emp!$R$4)+MATCH(Q$5,DedListItem,0)-1,0),OFFSET(Setup!$E$73,MATCH(Q$5,DedListItem,0),0,1,1))*$AA127)-SUMIFS(OFFSET(Q$6,1,0,PayCount,1),PayDate,"&lt;"&amp;$AC127,PayEmp,$C127),IF(ISNA(MATCH(Q$2,EarnListItem,0))=FALSE,IF(OFFSET(Setup!$G$73,MATCH(Q$5,DedListItem,0),0,1,1)="Taxable",SUMPRODUCT((PayEmp=$C127)*(PayDate&lt;=$AC127)*(PayEarnCode=Q$2)*(PayEarnTax)*(PayEarnValues)),SUMPRODUCT((PayEmp=$C127)*(PayDate&lt;=$AC127)*(PayEarnCode=Q$2)*(PayEarnValues)))*IF(COUNTIFS(EmpNo,$C127,OFFSET(Emp!$R$4,1,MATCH(Q$5,DedListItem,0)-1,EmpCount,1),"&lt;&gt;")&gt;0,VLOOKUP($C127,EmpAll,COLUMN(Emp!$R$4)+MATCH(Q$5,DedListItem,0)-1,0),OFFSET(Setup!$E$73,MATCH(Q$5,DedListItem,0),0,1,1)),(MIN(IF(OFFSET(Setup!$G$73,MATCH(Q$5,DedListItem,0),0,1,1)="Taxable",SUMPRODUCT((PayEmp=$C127)*(PayDate&lt;=$AC127)*(ISERROR(SEARCH(PayEarnCode,Q$4)))*(PayEarnTax)*(PayEarnValues)),SUMPRODUCT((PayEmp=$C127)*(PayDate&lt;=$AC127)*(ISERROR(SEARCH(PayEarnCode,Q$4)))*(PayEarnValues))),IF(ISNUMBER(Q$3),Q$3/12*$AA127,IgnoreMin)))*IF(COUNTIFS(EmpNo,$C127,OFFSET(Emp!$R$4,1,MATCH(Q$5,DedListItem,0)-1,EmpCount,1),"&lt;&gt;")&gt;0,VLOOKUP($C127,EmpAll,COLUMN(Emp!$R$4)+MATCH(Q$5,DedListItem,0)-1,0),OFFSET(Setup!$E$73,MATCH(Q$5,DedListItem,0),0,1,1)))-SUMIFS(OFFSET(Q$6,1,0,PayCount,1),PayDate,"&lt;"&amp;$AC127,PayEmp,$C127))))))</f>
        <v>0</v>
      </c>
      <c r="R127" s="185">
        <f t="shared" ca="1" si="55"/>
        <v>57038.953333333317</v>
      </c>
      <c r="S127" s="139">
        <f t="shared" ca="1" si="56"/>
        <v>92961.05</v>
      </c>
      <c r="T127" s="133" cm="1">
        <f t="array" aca="1" ref="T127" ca="1">IF($F127="Terminated",0,IF($AA127=0,0,IF(ISNA(MATCH(T$5,CompListItem,0)),0,IF(COUNTIFS(OverEmp,$C127,OverComp,T$5,OverDate,"&lt;"&amp;DATE(YEAR($AC127),MONTH($AC127)+1,1),OverEnd,"&gt;="&amp;DATE(YEAR($AC127),MONTH($AC127),1))&gt;0,SUMIFS(OverValue,OverEmp,$C127,OverComp,T$5,OverDate,"&lt;"&amp;DATE(YEAR($AC127),MONTH($AC127)+1,1),OverEnd,"&gt;="&amp;DATE(YEAR($AC127),MONTH($AC127),1)),IF(OR(T$2="Fixed",T$2="Not Used"),(OFFSET(Setup!$E$81,MATCH(T$5,CompListItem,0),0,1,1)*$AA127)-SUMIFS(OFFSET(T$6,1,0,PayCount,1),PayDate,"&lt;"&amp;$AC127,PayEmp,$C127),IF(ISNA(MATCH(T$2,DedListItem,0))=FALSE,(SUMPRODUCT((PayEmp=$C127)*(PayDate&lt;=$AC127)*(PayDedList=T$2)*(PayDedValues))*OFFSET(Setup!$E$81,MATCH(T$5,CompListItem,0),0,1,1))-SUMIFS(OFFSET(T$6,1,0,PayCount,1),PayDate,"&lt;"&amp;$AC127,PayEmp,$C127),(MIN(IF(OFFSET(Setup!$G$81,MATCH(T$5,CompListItem,0),0,1,1)="Taxable",SUMPRODUCT((PayEmp=$C127)*(PayDate&lt;=$AC127)*(ISERROR(SEARCH(PayEarnCode,T$4)))*(PayEarnTax)*(PayEarnValues)),SUMPRODUCT((PayEmp=$C127)*(PayDate&lt;=$AC127)*(ISERROR(SEARCH(PayEarnCode,T$4)))*(PayEarnValues))),IF(ISNUMBER(T$3),T$3/12*$AA127,IgnoreMin)))*OFFSET(Setup!$E$81,MATCH(T$5,CompListItem,0),0,1,1)-SUMIFS(OFFSET(T$6,1,0,PayCount,1),PayDate,"&lt;"&amp;$AC127,PayEmp,$C127)))))))</f>
        <v>177.11999999999989</v>
      </c>
      <c r="U127" s="133" cm="1">
        <f t="array" aca="1" ref="U127" ca="1">IF($F127="Terminated",0,IF($AA127=0,0,IF(ISNA(MATCH(U$5,CompListItem,0)),0,IF(COUNTIFS(OverEmp,$C127,OverComp,U$5,OverDate,"&lt;"&amp;DATE(YEAR($AC127),MONTH($AC127)+1,1),OverEnd,"&gt;="&amp;DATE(YEAR($AC127),MONTH($AC127),1))&gt;0,SUMIFS(OverValue,OverEmp,$C127,OverComp,U$5,OverDate,"&lt;"&amp;DATE(YEAR($AC127),MONTH($AC127)+1,1),OverEnd,"&gt;="&amp;DATE(YEAR($AC127),MONTH($AC127),1)),IF(OR(U$2="Fixed",U$2="Not Used"),(OFFSET(Setup!$E$81,MATCH(U$5,CompListItem,0),0,1,1)*$AA127)-SUMIFS(OFFSET(U$6,1,0,PayCount,1),PayDate,"&lt;"&amp;$AC127,PayEmp,$C127),IF(ISNA(MATCH(U$2,DedListItem,0))=FALSE,(SUMPRODUCT((PayEmp=$C127)*(PayDate&lt;=$AC127)*(PayDedList=U$2)*(PayDedValues))*OFFSET(Setup!$E$81,MATCH(U$5,CompListItem,0),0,1,1))-SUMIFS(OFFSET(U$6,1,0,PayCount,1),PayDate,"&lt;"&amp;$AC127,PayEmp,$C127),(MIN(IF(OFFSET(Setup!$G$81,MATCH(U$5,CompListItem,0),0,1,1)="Taxable",SUMPRODUCT((PayEmp=$C127)*(PayDate&lt;=$AC127)*(ISERROR(SEARCH(PayEarnCode,U$4)))*(PayEarnTax)*(PayEarnValues)),SUMPRODUCT((PayEmp=$C127)*(PayDate&lt;=$AC127)*(ISERROR(SEARCH(PayEarnCode,U$4)))*(PayEarnValues))),IF(ISNUMBER(U$3),U$3/12*$AA127,IgnoreMin)))*OFFSET(Setup!$E$81,MATCH(U$5,CompListItem,0),0,1,1)-SUMIFS(OFFSET(U$6,1,0,PayCount,1),PayDate,"&lt;"&amp;$AC127,PayEmp,$C127)))))))</f>
        <v>1500</v>
      </c>
      <c r="V127" s="133" cm="1">
        <f t="array" aca="1" ref="V127" ca="1">IF($F127="Terminated",0,IF($AA127=0,0,IF(ISNA(MATCH(V$5,CompListItem,0)),0,IF(COUNTIFS(OverEmp,$C127,OverComp,V$5,OverDate,"&lt;"&amp;DATE(YEAR($AC127),MONTH($AC127)+1,1),OverEnd,"&gt;="&amp;DATE(YEAR($AC127),MONTH($AC127),1))&gt;0,SUMIFS(OverValue,OverEmp,$C127,OverComp,V$5,OverDate,"&lt;"&amp;DATE(YEAR($AC127),MONTH($AC127)+1,1),OverEnd,"&gt;="&amp;DATE(YEAR($AC127),MONTH($AC127),1)),IF(OR(V$2="Fixed",V$2="Not Used"),(OFFSET(Setup!$E$81,MATCH(V$5,CompListItem,0),0,1,1)*$AA127)-SUMIFS(OFFSET(V$6,1,0,PayCount,1),PayDate,"&lt;"&amp;$AC127,PayEmp,$C127),IF(ISNA(MATCH(V$2,DedListItem,0))=FALSE,(SUMPRODUCT((PayEmp=$C127)*(PayDate&lt;=$AC127)*(PayDedList=V$2)*(PayDedValues))*OFFSET(Setup!$E$81,MATCH(V$5,CompListItem,0),0,1,1))-SUMIFS(OFFSET(V$6,1,0,PayCount,1),PayDate,"&lt;"&amp;$AC127,PayEmp,$C127),(MIN(IF(OFFSET(Setup!$G$81,MATCH(V$5,CompListItem,0),0,1,1)="Taxable",SUMPRODUCT((PayEmp=$C127)*(PayDate&lt;=$AC127)*(ISERROR(SEARCH(PayEarnCode,V$4)))*(PayEarnTax)*(PayEarnValues)),SUMPRODUCT((PayEmp=$C127)*(PayDate&lt;=$AC127)*(ISERROR(SEARCH(PayEarnCode,V$4)))*(PayEarnValues))),IF(ISNUMBER(V$3),V$3/12*$AA127,IgnoreMin)))*OFFSET(Setup!$E$81,MATCH(V$5,CompListItem,0),0,1,1)-SUMIFS(OFFSET(V$6,1,0,PayCount,1),PayDate,"&lt;"&amp;$AC127,PayEmp,$C127)))))))</f>
        <v>0</v>
      </c>
      <c r="W127" s="133" cm="1">
        <f t="array" aca="1" ref="W127" ca="1">IF($F127="Terminated",0,IF($AA127=0,0,IF(ISNA(MATCH(W$5,CompListItem,0)),0,IF(COUNTIFS(OverEmp,$C127,OverComp,W$5,OverDate,"&lt;"&amp;DATE(YEAR($AC127),MONTH($AC127)+1,1),OverEnd,"&gt;="&amp;DATE(YEAR($AC127),MONTH($AC127),1))&gt;0,SUMIFS(OverValue,OverEmp,$C127,OverComp,W$5,OverDate,"&lt;"&amp;DATE(YEAR($AC127),MONTH($AC127)+1,1),OverEnd,"&gt;="&amp;DATE(YEAR($AC127),MONTH($AC127),1)),IF(OR(W$2="Fixed",W$2="Not Used"),(OFFSET(Setup!$E$81,MATCH(W$5,CompListItem,0),0,1,1)*$AA127)-SUMIFS(OFFSET(W$6,1,0,PayCount,1),PayDate,"&lt;"&amp;$AC127,PayEmp,$C127),IF(ISNA(MATCH(W$2,DedListItem,0))=FALSE,(SUMPRODUCT((PayEmp=$C127)*(PayDate&lt;=$AC127)*(PayDedList=W$2)*(PayDedValues))*OFFSET(Setup!$E$81,MATCH(W$5,CompListItem,0),0,1,1))-SUMIFS(OFFSET(W$6,1,0,PayCount,1),PayDate,"&lt;"&amp;$AC127,PayEmp,$C127),(MIN(IF(OFFSET(Setup!$G$81,MATCH(W$5,CompListItem,0),0,1,1)="Taxable",SUMPRODUCT((PayEmp=$C127)*(PayDate&lt;=$AC127)*(ISERROR(SEARCH(PayEarnCode,W$4)))*(PayEarnTax)*(PayEarnValues)),SUMPRODUCT((PayEmp=$C127)*(PayDate&lt;=$AC127)*(ISERROR(SEARCH(PayEarnCode,W$4)))*(PayEarnValues))),IF(ISNUMBER(W$3),W$3/12*$AA127,IgnoreMin)))*OFFSET(Setup!$E$81,MATCH(W$5,CompListItem,0),0,1,1)-SUMIFS(OFFSET(W$6,1,0,PayCount,1),PayDate,"&lt;"&amp;$AC127,PayEmp,$C127)))))))</f>
        <v>0</v>
      </c>
      <c r="X127" s="185">
        <f t="shared" ca="1" si="48"/>
        <v>1677.12</v>
      </c>
      <c r="Y127" s="139">
        <f t="shared" ca="1" si="57"/>
        <v>151677.12</v>
      </c>
      <c r="Z127" s="139">
        <f t="shared" ca="1" si="49"/>
        <v>58716.07</v>
      </c>
      <c r="AA127" s="146">
        <f ca="1">IF(OR($B127&lt;=Setup!$E$12,$B127&gt;=Setup!$D$12+1),0,IF($F127&lt;&gt;"Active",0,IF($AE127="Yes",$AB127,((YEAR($AC127)*12)+MONTH($AC127))-((YEAR($AD127)*12)+MONTH($AD127)-1))))</f>
        <v>9</v>
      </c>
      <c r="AB127" s="146">
        <f ca="1">IF(OR($B127&lt;=Setup!$E$12,$B127&gt;=Setup!$D$12+1),0,((YEAR($AC127)*12)+MONTH($AC127))-((YEAR(Setup!$E$12)*12)+MONTH(Setup!$E$12)))</f>
        <v>9</v>
      </c>
      <c r="AC127" s="186">
        <f t="shared" ca="1" si="50"/>
        <v>45255</v>
      </c>
      <c r="AD127" s="144">
        <f ca="1">IF(ISNA(VLOOKUP($C127,EmpAll,COLUMN(Emp!$E$4),0)),$AC127,IF(VLOOKUP($C127,EmpAll,COLUMN(Emp!$E$4),0)&lt;=Setup!$E$12,DATE(YEAR(Setup!$E$12),MONTH(Setup!$E$12)+1,1),VLOOKUP($C127,EmpAll,COLUMN(Emp!$E$4),0)))</f>
        <v>44986</v>
      </c>
      <c r="AE127" s="144" t="str">
        <f ca="1">IF(ISNA(VLOOKUP($C127,EmpAll,COLUMN(Emp!$G$1),0)),"-",IF(VLOOKUP($C127,EmpAll,COLUMN(Emp!$G$1),0)=0,"-",VLOOKUP($C127,EmpAll,COLUMN(Emp!$G$1),0)))</f>
        <v>-</v>
      </c>
      <c r="AF127" s="145">
        <f ca="1">IF(A127=PaySlip!$G$3,1,0)</f>
        <v>0</v>
      </c>
      <c r="AG127" s="130" cm="1">
        <f t="array" aca="1" ref="AG127" ca="1">IF(COUNTIFS(OverEmp,$C127,OverMed,"MED",OverDate,"&lt;"&amp;DATE(YEAR($AC127),MONTH($AC127)+1,1),OverEnd,"&gt;="&amp;DATE(YEAR($AC127),MONTH($AC127),1))&gt;0,SUMIFS(OverValue,OverEmp,$C127,OverMed,"MED",OverDate,"&lt;"&amp;DATE(YEAR($AC127),MONTH($AC127)+1,1),OverEnd,"&gt;="&amp;DATE(YEAR($AC127),MONTH($AC127),1)),IF(ISNA(VLOOKUP($C127,EmpAll,COLUMN(Emp!$N$4),0)),0,VLOOKUP($C127,EmpAll,COLUMN(Emp!$N$4),0)))</f>
        <v>5</v>
      </c>
      <c r="AH127" s="146">
        <f ca="1">VLOOKUP($AG127,MedList,COLUMN(Setup!$C$49),1)</f>
        <v>1466</v>
      </c>
      <c r="AI127" s="146">
        <f t="shared" ca="1" si="40"/>
        <v>17592</v>
      </c>
      <c r="AJ127" s="101" t="str">
        <f ca="1">IF(ISNA(VLOOKUP($C127,EmpAll,COLUMN(Emp!$L$4),0)),"None!",VLOOKUP($C127,EmpAll,COLUMN(Emp!$L$4),0))</f>
        <v>A</v>
      </c>
      <c r="AK127" s="147">
        <f t="shared" ca="1" si="51"/>
        <v>17235</v>
      </c>
      <c r="AL127" s="101" t="str">
        <f ca="1">IF(ISNA(VLOOKUP($C127,Employees[],COLUMN(Emp!$M$4),0))=TRUE,"Error!",IF(VLOOKUP($C127,Employees[],COLUMN(Emp!$M$4),0)=0,"Yes",VLOOKUP($C127,Employees[],COLUMN(Emp!$M$4),0)))</f>
        <v>A</v>
      </c>
      <c r="AM127" s="148">
        <f t="shared" ca="1" si="41"/>
        <v>1800000</v>
      </c>
      <c r="AN127" s="148" cm="1">
        <f t="array" aca="1" ref="AN127" ca="1">-IF($F127="Terminated",0,IF($AA127=0,0,IF(ISNA(MATCH(AN$5,PayDedList,0)),0,MIN(IF(COUNTIFS(OverEmp,$C127,OverDeduct,AN$5,OverDate,"&lt;"&amp;DATE(YEAR($AC127),MONTH($AC127)+1,1),OverEnd,"&gt;="&amp;DATE(YEAR($AC127),MONTH($AC127),1))&gt;0,SUMPRODUCT((PayEmp=$C127)*(PayDate&lt;=$AC127)*(OFFSET($N$6,1,MATCH(AN$5,PayDedList,0)-1,PayCount,1)))/$AA127*12*AN$3,IF(OR(AN$1="Fixed",AN$1="Not Used"),SUMPRODUCT((PayEmp=$C127)*(PayDate&lt;=$AC127)*(OFFSET($N$6,1,MATCH(AN$5,PayDedList,0)-1,PayCount,1)))/$AA127*12*AN$3,IF(ISNA(MATCH(AN$1,EarnListItem,0))=FALSE,SUMPRODUCT((PayEmp=$C127)*(PayDate&lt;=$AC127)*(OFFSET($N$6,1,MATCH(AN$5,PayDedList,0)-1,PayCount,1)))/$AA127*12*AN$3,(MIN(((SUMPRODUCT((PayEmp=$C127)*(PayDate&lt;=$AC127)*(ISERROR(SEARCH(PayEarnCode,AN$2)))*(PayEarnType="Monthly")*(PayEarnValues))/$AA127*12)+(SUMPRODUCT((PayEmp=$C127)*(PayDate&lt;=$AC127)*(ISERROR(SEARCH(PayEarnCode,AN$2)))*(PayEarnType="Quarterly")*(PayEarnValues))/MAX(1,ROUNDDOWN($AB127/3,0))*4)+(SUMPRODUCT((PayEmp=$C127)*(PayDate&lt;=$AC127)*(ISERROR(SEARCH(PayEarnCode,AN$2)))*(PayEarnType="Bi-Annual")*(PayEarnValues))/MAX(1,ROUNDDOWN($AB127/6,0))*2)+(SUMPRODUCT((PayEmp=$C127)*(PayDate&lt;=$AC127)*(ISERROR(SEARCH(PayEarnCode,AN$2)))*(PayEarnType="Annual")*(PayEarnValues)))),IF(ISNUMBER(OFFSET($N$3,0,MATCH(AN$5,PayDedList,0)-1,1,1)),OFFSET($N$3,0,MATCH(AN$5,PayDedList,0)-1,1,1),IgnoreMin)))*IF(COUNTIFS(EmpNo,$C127,OFFSET(Emp!$R$4,1,MATCH(AN$5,DedListItem,0)-1,EmpCount,1),"&lt;&gt;")&gt;0,VLOOKUP($C127,EmpAll,COLUMN(Emp!$R$4)+MATCH(AN$5,DedListItem,0)-1,0),OFFSET(Setup!$E$73,MATCH(AN$5,DedListItem,0),0,1,1))*AN$3))),IF(ISNUMBER(AN$4),AN$4,IgnoreMin)))))</f>
        <v>0</v>
      </c>
      <c r="AO127" s="148" cm="1">
        <f t="array" aca="1" ref="AO127" ca="1">-IF($F127="Terminated",0,IF($AA127=0,0,IF(ISNA(MATCH(AO$5,PayDedList,0)),0,MIN(IF(COUNTIFS(OverEmp,$C127,OverDeduct,AO$5,OverDate,"&lt;"&amp;DATE(YEAR($AC127),MONTH($AC127)+1,1),OverEnd,"&gt;="&amp;DATE(YEAR($AC127),MONTH($AC127),1))&gt;0,SUMPRODUCT((PayEmp=$C127)*(PayDate&lt;=$AC127)*(OFFSET($N$6,1,MATCH(AO$5,PayDedList,0)-1,PayCount,1)))/$AA127*12*AO$3,IF(OR(AO$1="Fixed",AO$1="Not Used"),SUMPRODUCT((PayEmp=$C127)*(PayDate&lt;=$AC127)*(OFFSET($N$6,1,MATCH(AO$5,PayDedList,0)-1,PayCount,1)))/$AA127*12*AO$3,IF(ISNA(MATCH(AO$1,EarnListItem,0))=FALSE,SUMPRODUCT((PayEmp=$C127)*(PayDate&lt;=$AC127)*(OFFSET($N$6,1,MATCH(AO$5,PayDedList,0)-1,PayCount,1)))/$AA127*12*AO$3,(MIN(((SUMPRODUCT((PayEmp=$C127)*(PayDate&lt;=$AC127)*(ISERROR(SEARCH(PayEarnCode,AO$2)))*(PayEarnType="Monthly")*(PayEarnValues))/$AA127*12)+(SUMPRODUCT((PayEmp=$C127)*(PayDate&lt;=$AC127)*(ISERROR(SEARCH(PayEarnCode,AO$2)))*(PayEarnType="Quarterly")*(PayEarnValues))/MAX(1,ROUNDDOWN($AB127/3,0))*4)+(SUMPRODUCT((PayEmp=$C127)*(PayDate&lt;=$AC127)*(ISERROR(SEARCH(PayEarnCode,AO$2)))*(PayEarnType="Bi-Annual")*(PayEarnValues))/MAX(1,ROUNDDOWN($AB127/6,0))*2)+(SUMPRODUCT((PayEmp=$C127)*(PayDate&lt;=$AC127)*(ISERROR(SEARCH(PayEarnCode,AO$2)))*(PayEarnType="Annual")*(PayEarnValues)))),IF(ISNUMBER(OFFSET($N$3,0,MATCH(AO$5,PayDedList,0)-1,1,1)),OFFSET($N$3,0,MATCH(AO$5,PayDedList,0)-1,1,1),IgnoreMin)))*IF(COUNTIFS(EmpNo,$C127,OFFSET(Emp!$R$4,1,MATCH(AO$5,DedListItem,0)-1,EmpCount,1),"&lt;&gt;")&gt;0,VLOOKUP($C127,EmpAll,COLUMN(Emp!$R$4)+MATCH(AO$5,DedListItem,0)-1,0),OFFSET(Setup!$E$73,MATCH(AO$5,DedListItem,0),0,1,1))*AO$3))),IF(ISNUMBER(AO$4),AO$4,IgnoreMin)))))</f>
        <v>-135000</v>
      </c>
      <c r="AP127" s="148" cm="1">
        <f t="array" aca="1" ref="AP127" ca="1">-IF($F127="Terminated",0,IF($AA127=0,0,IF(ISNA(MATCH(AP$5,PayDedList,0)),0,MIN(IF(COUNTIFS(OverEmp,$C127,OverDeduct,AP$5,OverDate,"&lt;"&amp;DATE(YEAR($AC127),MONTH($AC127)+1,1),OverEnd,"&gt;="&amp;DATE(YEAR($AC127),MONTH($AC127),1))&gt;0,SUMPRODUCT((PayEmp=$C127)*(PayDate&lt;=$AC127)*(OFFSET($N$6,1,MATCH(AP$5,PayDedList,0)-1,PayCount,1)))/$AA127*12*AP$3,IF(OR(AP$1="Fixed",AP$1="Not Used"),SUMPRODUCT((PayEmp=$C127)*(PayDate&lt;=$AC127)*(OFFSET($N$6,1,MATCH(AP$5,PayDedList,0)-1,PayCount,1)))/$AA127*12*AP$3,IF(ISNA(MATCH(AP$1,EarnListItem,0))=FALSE,SUMPRODUCT((PayEmp=$C127)*(PayDate&lt;=$AC127)*(OFFSET($N$6,1,MATCH(AP$5,PayDedList,0)-1,PayCount,1)))/$AA127*12*AP$3,(MIN(((SUMPRODUCT((PayEmp=$C127)*(PayDate&lt;=$AC127)*(ISERROR(SEARCH(PayEarnCode,AP$2)))*(PayEarnType="Monthly")*(PayEarnValues))/$AA127*12)+(SUMPRODUCT((PayEmp=$C127)*(PayDate&lt;=$AC127)*(ISERROR(SEARCH(PayEarnCode,AP$2)))*(PayEarnType="Quarterly")*(PayEarnValues))/MAX(1,ROUNDDOWN($AB127/3,0))*4)+(SUMPRODUCT((PayEmp=$C127)*(PayDate&lt;=$AC127)*(ISERROR(SEARCH(PayEarnCode,AP$2)))*(PayEarnType="Bi-Annual")*(PayEarnValues))/MAX(1,ROUNDDOWN($AB127/6,0))*2)+(SUMPRODUCT((PayEmp=$C127)*(PayDate&lt;=$AC127)*(ISERROR(SEARCH(PayEarnCode,AP$2)))*(PayEarnType="Annual")*(PayEarnValues)))),IF(ISNUMBER(OFFSET($N$3,0,MATCH(AP$5,PayDedList,0)-1,1,1)),OFFSET($N$3,0,MATCH(AP$5,PayDedList,0)-1,1,1),IgnoreMin)))*IF(COUNTIFS(EmpNo,$C127,OFFSET(Emp!$R$4,1,MATCH(AP$5,DedListItem,0)-1,EmpCount,1),"&lt;&gt;")&gt;0,VLOOKUP($C127,EmpAll,COLUMN(Emp!$R$4)+MATCH(AP$5,DedListItem,0)-1,0),OFFSET(Setup!$E$73,MATCH(AP$5,DedListItem,0),0,1,1))*AP$3))),IF(ISNUMBER(AP$4),AP$4,IgnoreMin)))))</f>
        <v>0</v>
      </c>
      <c r="AQ127" s="148" cm="1">
        <f t="array" aca="1" ref="AQ127" ca="1">-IF($F127="Terminated",0,IF($AA127=0,0,IF(ISNA(MATCH(AQ$5,PayDedList,0)),0,MIN(IF(COUNTIFS(OverEmp,$C127,OverDeduct,AQ$5,OverDate,"&lt;"&amp;DATE(YEAR($AC127),MONTH($AC127)+1,1),OverEnd,"&gt;="&amp;DATE(YEAR($AC127),MONTH($AC127),1))&gt;0,SUMPRODUCT((PayEmp=$C127)*(PayDate&lt;=$AC127)*(OFFSET($N$6,1,MATCH(AQ$5,PayDedList,0)-1,PayCount,1)))/$AA127*12*AQ$3,IF(OR(AQ$1="Fixed",AQ$1="Not Used"),SUMPRODUCT((PayEmp=$C127)*(PayDate&lt;=$AC127)*(OFFSET($N$6,1,MATCH(AQ$5,PayDedList,0)-1,PayCount,1)))/$AA127*12*AQ$3,IF(ISNA(MATCH(AQ$1,EarnListItem,0))=FALSE,SUMPRODUCT((PayEmp=$C127)*(PayDate&lt;=$AC127)*(OFFSET($N$6,1,MATCH(AQ$5,PayDedList,0)-1,PayCount,1)))/$AA127*12*AQ$3,(MIN(((SUMPRODUCT((PayEmp=$C127)*(PayDate&lt;=$AC127)*(ISERROR(SEARCH(PayEarnCode,AQ$2)))*(PayEarnType="Monthly")*(PayEarnValues))/$AA127*12)+(SUMPRODUCT((PayEmp=$C127)*(PayDate&lt;=$AC127)*(ISERROR(SEARCH(PayEarnCode,AQ$2)))*(PayEarnType="Quarterly")*(PayEarnValues))/MAX(1,ROUNDDOWN($AB127/3,0))*4)+(SUMPRODUCT((PayEmp=$C127)*(PayDate&lt;=$AC127)*(ISERROR(SEARCH(PayEarnCode,AQ$2)))*(PayEarnType="Bi-Annual")*(PayEarnValues))/MAX(1,ROUNDDOWN($AB127/6,0))*2)+(SUMPRODUCT((PayEmp=$C127)*(PayDate&lt;=$AC127)*(ISERROR(SEARCH(PayEarnCode,AQ$2)))*(PayEarnType="Annual")*(PayEarnValues)))),IF(ISNUMBER(OFFSET($N$3,0,MATCH(AQ$5,PayDedList,0)-1,1,1)),OFFSET($N$3,0,MATCH(AQ$5,PayDedList,0)-1,1,1),IgnoreMin)))*IF(COUNTIFS(EmpNo,$C127,OFFSET(Emp!$R$4,1,MATCH(AQ$5,DedListItem,0)-1,EmpCount,1),"&lt;&gt;")&gt;0,VLOOKUP($C127,EmpAll,COLUMN(Emp!$R$4)+MATCH(AQ$5,DedListItem,0)-1,0),OFFSET(Setup!$E$73,MATCH(AQ$5,DedListItem,0),0,1,1))*AQ$3))),IF(ISNUMBER(AQ$4),AQ$4,IgnoreMin)))))</f>
        <v>0</v>
      </c>
      <c r="AR127" s="148">
        <f t="shared" ca="1" si="52"/>
        <v>1665000</v>
      </c>
      <c r="AS127" s="148">
        <f t="shared" ca="1" si="42"/>
        <v>1800000</v>
      </c>
      <c r="AT127" s="148" cm="1">
        <f t="array" aca="1" ref="AT127" ca="1">-IF($F127="Terminated",0,IF($AA127=0,0,IF(ISNA(MATCH(AT$5,PayDedList,0)),0,MIN(IF(COUNTIFS(OverEmp,$C127,OverDeduct,AT$5,OverDate,"&lt;"&amp;DATE(YEAR($AC127),MONTH($AC127)+1,1),OverEnd,"&gt;="&amp;DATE(YEAR($AC127),MONTH($AC127),1))&gt;0,SUMPRODUCT((PayEmp=$C127)*(PayDate&lt;=$AC127)*(OFFSET($N$6,1,MATCH(AT$5,PayDedList,0)-1,PayCount,1)))/$AA127*12*AT$3,IF(OR(AT$1="Fixed",AT$1="Not Used"),SUMPRODUCT((PayEmp=$C127)*(PayDate&lt;=$AC127)*(OFFSET($N$6,1,MATCH(AT$5,PayDedList,0)-1,PayCount,1)))/$AA127*12*AT$3,IF(ISNA(MATCH(OFFSET($N$2,0,MATCH(AT$5,PayDedList,0)-1,1,1),EarnListItem,0))=FALSE,SUMPRODUCT((PayEmp=$C127)*(PayDate&lt;=$AC127)*(OFFSET($N$6,1,MATCH(AT$5,PayDedList,0)-1,PayCount,1)))/$AA127*12*AT$3,(MIN(SUMPRODUCT((PayEmp=$C127)*(PayDate&lt;=$AC127)*(ISERROR(SEARCH(PayEarnCode,AT$2)))*(PayEarnType="Monthly")*(PayEarnValues))/$AA127*12,IF(ISNUMBER(OFFSET($N$3,0,MATCH(AT$5,PayDedList,0)-1,1,1)),OFFSET($N$3,0,MATCH(AT$5,PayDedList,0)-1,1,1),IgnoreMin)))*IF(COUNTIFS(EmpNo,$C127,OFFSET(Emp!$R$4,1,MATCH(AT$5,DedListItem,0)-1,EmpCount,1),"&lt;&gt;")&gt;0,VLOOKUP($C127,EmpAll,COLUMN(Emp!$R$4)+MATCH(AT$5,DedListItem,0)-1,0),OFFSET(Setup!$E$73,MATCH(AT$5,DedListItem,0),0,1,1))*AT$3))),IF(ISNUMBER(AT$4),AT$4,IgnoreMin)))))</f>
        <v>0</v>
      </c>
      <c r="AU127" s="148" cm="1">
        <f t="array" aca="1" ref="AU127" ca="1">-IF($F127="Terminated",0,IF($AA127=0,0,IF(ISNA(MATCH(AU$5,PayDedList,0)),0,MIN(IF(COUNTIFS(OverEmp,$C127,OverDeduct,AU$5,OverDate,"&lt;"&amp;DATE(YEAR($AC127),MONTH($AC127)+1,1),OverEnd,"&gt;="&amp;DATE(YEAR($AC127),MONTH($AC127),1))&gt;0,SUMPRODUCT((PayEmp=$C127)*(PayDate&lt;=$AC127)*(OFFSET($N$6,1,MATCH(AU$5,PayDedList,0)-1,PayCount,1)))/$AA127*12*AU$3,IF(OR(AU$1="Fixed",AU$1="Not Used"),SUMPRODUCT((PayEmp=$C127)*(PayDate&lt;=$AC127)*(OFFSET($N$6,1,MATCH(AU$5,PayDedList,0)-1,PayCount,1)))/$AA127*12*AU$3,IF(ISNA(MATCH(OFFSET($N$2,0,MATCH(AU$5,PayDedList,0)-1,1,1),EarnListItem,0))=FALSE,SUMPRODUCT((PayEmp=$C127)*(PayDate&lt;=$AC127)*(OFFSET($N$6,1,MATCH(AU$5,PayDedList,0)-1,PayCount,1)))/$AA127*12*AU$3,(MIN(SUMPRODUCT((PayEmp=$C127)*(PayDate&lt;=$AC127)*(ISERROR(SEARCH(PayEarnCode,AU$2)))*(PayEarnType="Monthly")*(PayEarnValues))/$AA127*12,IF(ISNUMBER(OFFSET($N$3,0,MATCH(AU$5,PayDedList,0)-1,1,1)),OFFSET($N$3,0,MATCH(AU$5,PayDedList,0)-1,1,1),IgnoreMin)))*IF(COUNTIFS(EmpNo,$C127,OFFSET(Emp!$R$4,1,MATCH(AU$5,DedListItem,0)-1,EmpCount,1),"&lt;&gt;")&gt;0,VLOOKUP($C127,EmpAll,COLUMN(Emp!$R$4)+MATCH(AU$5,DedListItem,0)-1,0),OFFSET(Setup!$E$73,MATCH(AU$5,DedListItem,0),0,1,1))*AU$3))),IF(ISNUMBER(AU$4),AU$4,IgnoreMin)))))</f>
        <v>-135000</v>
      </c>
      <c r="AV127" s="148" cm="1">
        <f t="array" aca="1" ref="AV127" ca="1">-IF($F127="Terminated",0,IF($AA127=0,0,IF(ISNA(MATCH(AV$5,PayDedList,0)),0,MIN(IF(COUNTIFS(OverEmp,$C127,OverDeduct,AV$5,OverDate,"&lt;"&amp;DATE(YEAR($AC127),MONTH($AC127)+1,1),OverEnd,"&gt;="&amp;DATE(YEAR($AC127),MONTH($AC127),1))&gt;0,SUMPRODUCT((PayEmp=$C127)*(PayDate&lt;=$AC127)*(OFFSET($N$6,1,MATCH(AV$5,PayDedList,0)-1,PayCount,1)))/$AA127*12*AV$3,IF(OR(AV$1="Fixed",AV$1="Not Used"),SUMPRODUCT((PayEmp=$C127)*(PayDate&lt;=$AC127)*(OFFSET($N$6,1,MATCH(AV$5,PayDedList,0)-1,PayCount,1)))/$AA127*12*AV$3,IF(ISNA(MATCH(OFFSET($N$2,0,MATCH(AV$5,PayDedList,0)-1,1,1),EarnListItem,0))=FALSE,SUMPRODUCT((PayEmp=$C127)*(PayDate&lt;=$AC127)*(OFFSET($N$6,1,MATCH(AV$5,PayDedList,0)-1,PayCount,1)))/$AA127*12*AV$3,(MIN(SUMPRODUCT((PayEmp=$C127)*(PayDate&lt;=$AC127)*(ISERROR(SEARCH(PayEarnCode,AV$2)))*(PayEarnType="Monthly")*(PayEarnValues))/$AA127*12,IF(ISNUMBER(OFFSET($N$3,0,MATCH(AV$5,PayDedList,0)-1,1,1)),OFFSET($N$3,0,MATCH(AV$5,PayDedList,0)-1,1,1),IgnoreMin)))*IF(COUNTIFS(EmpNo,$C127,OFFSET(Emp!$R$4,1,MATCH(AV$5,DedListItem,0)-1,EmpCount,1),"&lt;&gt;")&gt;0,VLOOKUP($C127,EmpAll,COLUMN(Emp!$R$4)+MATCH(AV$5,DedListItem,0)-1,0),OFFSET(Setup!$E$73,MATCH(AV$5,DedListItem,0),0,1,1))*AV$3))),IF(ISNUMBER(AV$4),AV$4,IgnoreMin)))))</f>
        <v>0</v>
      </c>
      <c r="AW127" s="148" cm="1">
        <f t="array" aca="1" ref="AW127" ca="1">-IF($F127="Terminated",0,IF($AA127=0,0,IF(ISNA(MATCH(AW$5,PayDedList,0)),0,MIN(IF(COUNTIFS(OverEmp,$C127,OverDeduct,AW$5,OverDate,"&lt;"&amp;DATE(YEAR($AC127),MONTH($AC127)+1,1),OverEnd,"&gt;="&amp;DATE(YEAR($AC127),MONTH($AC127),1))&gt;0,SUMPRODUCT((PayEmp=$C127)*(PayDate&lt;=$AC127)*(OFFSET($N$6,1,MATCH(AW$5,PayDedList,0)-1,PayCount,1)))/$AA127*12*AW$3,IF(OR(AW$1="Fixed",AW$1="Not Used"),SUMPRODUCT((PayEmp=$C127)*(PayDate&lt;=$AC127)*(OFFSET($N$6,1,MATCH(AW$5,PayDedList,0)-1,PayCount,1)))/$AA127*12*AW$3,IF(ISNA(MATCH(OFFSET($N$2,0,MATCH(AW$5,PayDedList,0)-1,1,1),EarnListItem,0))=FALSE,SUMPRODUCT((PayEmp=$C127)*(PayDate&lt;=$AC127)*(OFFSET($N$6,1,MATCH(AW$5,PayDedList,0)-1,PayCount,1)))/$AA127*12*AW$3,(MIN(SUMPRODUCT((PayEmp=$C127)*(PayDate&lt;=$AC127)*(ISERROR(SEARCH(PayEarnCode,AW$2)))*(PayEarnType="Monthly")*(PayEarnValues))/$AA127*12,IF(ISNUMBER(OFFSET($N$3,0,MATCH(AW$5,PayDedList,0)-1,1,1)),OFFSET($N$3,0,MATCH(AW$5,PayDedList,0)-1,1,1),IgnoreMin)))*IF(COUNTIFS(EmpNo,$C127,OFFSET(Emp!$R$4,1,MATCH(AW$5,DedListItem,0)-1,EmpCount,1),"&lt;&gt;")&gt;0,VLOOKUP($C127,EmpAll,COLUMN(Emp!$R$4)+MATCH(AW$5,DedListItem,0)-1,0),OFFSET(Setup!$E$73,MATCH(AW$5,DedListItem,0),0,1,1))*AW$3))),IF(ISNUMBER(AW$4),AW$4,IgnoreMin)))))</f>
        <v>0</v>
      </c>
      <c r="AX127" s="148">
        <f t="shared" ca="1" si="58"/>
        <v>1665000</v>
      </c>
      <c r="AY127" s="148">
        <f t="shared" ca="1" si="59"/>
        <v>0</v>
      </c>
      <c r="AZ127" s="148">
        <f ca="1">IF(ISNUMBER($AL127),($AR127*$AL127)-$AI127-$AK127,MAX(0,IF($AL127="B",IF($AR127&lt;Setup!$C$32,($AR127*Setup!$D$32)-$AI127-$AK127,(($AR127-VLOOKUP($AR127,TaxAll2,1,1))*OFFSET(Setup!$D$32,MATCH($AR127,TaxBracket2,1),0,1,1))+OFFSET(Setup!$E$31,MATCH($AR127,TaxBracket2,1),0,1,1)-$AI127-$AK127),IF($AR127&lt;Setup!$C$21,($AR127*Setup!$D$21)-$AI127-$AK127,(($AR127-VLOOKUP($AR127,TaxAll1,1,1))*OFFSET(Setup!$D$21,MATCH($AR127,TaxBracket1,1),0,1,1))+OFFSET(Setup!$E$20,MATCH($AR127,TaxBracket1,1),0,1,1)-$AI127-$AK127))))</f>
        <v>547342</v>
      </c>
      <c r="BA127" s="148">
        <f ca="1">IF(ISNUMBER($AL127),($AX127*$AL127)-$AI127-$AK127,MAX(0,IF($AL127="B",IF($AX127&lt;Setup!$C$32,($AX127*Setup!$D$32)-$AI127-$AK127,(($AX127-VLOOKUP($AX127,TaxAll2,1,1))*OFFSET(Setup!$D$32,MATCH($AX127,TaxBracket2,1),0,1,1))+OFFSET(Setup!$E$31,MATCH($AX127,TaxBracket2,1),0,1,1)-$AI127-$AK127),IF($AX127&lt;Setup!$C$21,($AX127*Setup!$D$21)-$AI127-$AK127,(($AX127-VLOOKUP($AX127,TaxAll1,1,1))*OFFSET(Setup!$D$21,MATCH($AX127,TaxBracket1,1),0,1,1))+OFFSET(Setup!$E$20,MATCH($AX127,TaxBracket1,1),0,1,1)-$AI127-$AK127))))</f>
        <v>547342</v>
      </c>
      <c r="BB127" s="148">
        <f t="shared" ca="1" si="53"/>
        <v>0</v>
      </c>
      <c r="BC127" s="150">
        <f t="shared" ca="1" si="45"/>
        <v>1</v>
      </c>
      <c r="BD127" s="150">
        <f t="shared" ca="1" si="46"/>
        <v>0</v>
      </c>
      <c r="BE127" s="148">
        <f t="shared" ca="1" si="47"/>
        <v>1800000</v>
      </c>
    </row>
    <row r="128" spans="1:57" ht="16.149999999999999" customHeight="1" x14ac:dyDescent="0.25">
      <c r="A128" s="10" t="str" cm="1">
        <f t="array" aca="1" ref="A128" ca="1">IF(ROW($A128)-ROW($A$6)&gt;EmpCount*12,"-",TEXT($B128,"yyyy")&amp;TEXT($B128,"mm")&amp;"-"&amp;$C128)</f>
        <v>202311-EXS002</v>
      </c>
      <c r="B128" s="137" cm="1">
        <f t="array" aca="1" ref="B128" ca="1">IF(ROW($A128)-ROW($A$6)&gt;EmpCount*12,Setup!$D$12,DATE(YEAR(Setup!$F$12),MONTH(Setup!$F$12)+ROUNDDOWN((ROW($A128)-ROW($A$6)-1)/EmpCount,0),IF(Setup!$C$14&gt;DAY(DATE(YEAR(Setup!$F$12),MONTH(Setup!$F$12)+ROUNDDOWN((ROW($A128)-ROW($A$6)-1)/EmpCount,0)+1,0)),DAY(DATE(YEAR(Setup!$F$12),MONTH(Setup!$F$12)+ROUNDDOWN((ROW($A128)-ROW($A$6)-1)/EmpCount,0)+1,0)),Setup!$C$14)))</f>
        <v>45255</v>
      </c>
      <c r="C128" s="101" t="str" cm="1">
        <f t="array" aca="1" ref="C128" ca="1">IF(ROW($A128)-ROW($A$6)&gt;EmpCount*12,"-",OFFSET(Emp!$A$4,ROW($A128)-ROW($A$6)-IF(ROW($A128)-ROW($A$6)&gt;EmpCount,ROUNDDOWN((ROW($A128)-ROW($A$6)-1)/EmpCount,0)*EmpCount,0),0,1,1))</f>
        <v>EXS002</v>
      </c>
      <c r="D128" s="10" t="str">
        <f ca="1">IF(ISNA(VLOOKUP($C128,EmpAll,COLUMN(Emp!$B$4),0)),"-",VLOOKUP($C128,EmpAll,COLUMN(Emp!$B$4),0))</f>
        <v>Smith F</v>
      </c>
      <c r="E128" s="145" t="str">
        <f ca="1">IF(ISNA(VLOOKUP($C128,EmpAll,COLUMN(Emp!$C$4),0)),"-",VLOOKUP($C128,EmpAll,COLUMN(Emp!$C$4),0))</f>
        <v>M</v>
      </c>
      <c r="F128" s="101" t="str">
        <f ca="1">IF(ISNA(VLOOKUP($C128,EmpAll,COLUMN(Emp!$A$4),0)),"-",IF(AND(VLOOKUP($C128,EmpAll,COLUMN(Emp!$E$4),0)&lt;&gt;0,VLOOKUP($C128,EmpAll,COLUMN(Emp!$E$4),0)&gt;=DATE(YEAR($AC128),MONTH($AC128)+1,0)),"Inactive",IF(AND(VLOOKUP($C128,EmpAll,COLUMN(Emp!$F$4),0)&lt;&gt;0,VLOOKUP($C128,EmpAll,COLUMN(Emp!$F$4),0)&lt;=DATE(YEAR($AC128),MONTH($AC128),0)),"Terminated","Active")))</f>
        <v>Active</v>
      </c>
      <c r="G128" s="133" cm="1">
        <f t="array" aca="1" ref="G128" ca="1">IF($F128&lt;&gt;"Active",0,IF(COUNTIFS(OverEmp,$C128,OverEarn,G$2,OverDate,"&lt;"&amp;DATE(YEAR($AC128),MONTH($AC128)+1,1),OverEnd,"&gt;="&amp;DATE(YEAR($AC128),MONTH($AC128),1))&gt;0,SUMIFS(OverValue,OverEmp,$C128,OverEarn,G$2,OverDate,"&lt;"&amp;DATE(YEAR($AC128),MONTH($AC128)+1,1),OverEnd,"&gt;="&amp;DATE(YEAR($AC128),MONTH($AC128),1)),IF(AND($AC128&gt;=Setup!$E$10,SUMIFS(EmpIncrease,EmpCode,$C128)&gt;0),SUMIFS(EmpIncrease,EmpCode,$C128),SUMIFS(EmpSalary,EmpCode,$C128))))</f>
        <v>120000</v>
      </c>
      <c r="H128" s="133" cm="1">
        <f t="array" aca="1" ref="H128" ca="1">IF($F128&lt;&gt;"Active",0,IF(COUNTIFS(OverEmp,$C128,OverEarn,H$2,OverDate,"&lt;"&amp;DATE(YEAR($AC128),MONTH($AC128)+1,1),OverEnd,"&gt;="&amp;DATE(YEAR($AC128),MONTH($AC128),1))&gt;0,SUMIFS(OverValue,OverEmp,$C128,OverEarn,H$2,OverDate,"&lt;"&amp;DATE(YEAR($AC128),MONTH($AC128)+1,1),OverEnd,"&gt;="&amp;DATE(YEAR($AC128),MONTH($AC128),1)),0))</f>
        <v>0</v>
      </c>
      <c r="I128" s="133" cm="1">
        <f t="array" aca="1" ref="I128" ca="1">IF($F128&lt;&gt;"Active",0,IF(COUNTIFS(OverEmp,$C128,OverEarn,I$2,OverDate,"&lt;"&amp;DATE(YEAR($AC128),MONTH($AC128)+1,1),OverEnd,"&gt;="&amp;DATE(YEAR($AC128),MONTH($AC128),1))&gt;0,SUMIFS(OverValue,OverEmp,$C128,OverEarn,I$2,OverDate,"&lt;"&amp;DATE(YEAR($AC128),MONTH($AC128)+1,1),OverEnd,"&gt;="&amp;DATE(YEAR($AC128),MONTH($AC128),1)),IF(MONTH(B128)=Setup!$C$15,SUMIFS(EmpBonus,EmpCode,$C128),0)))</f>
        <v>0</v>
      </c>
      <c r="J128" s="133" cm="1">
        <f t="array" aca="1" ref="J128" ca="1">IF($F128&lt;&gt;"Active",0,IF(COUNTIFS(OverEmp,$C128,OverEarn,J$2,OverDate,"&lt;"&amp;DATE(YEAR($AC128),MONTH($AC128)+1,1),OverEnd,"&gt;="&amp;DATE(YEAR($AC128),MONTH($AC128),1))&gt;0,SUMIFS(OverValue,OverEmp,$C128,OverEarn,J$2,OverDate,"&lt;"&amp;DATE(YEAR($AC128),MONTH($AC128)+1,1),OverEnd,"&gt;="&amp;DATE(YEAR($AC128),MONTH($AC128),1)),0))</f>
        <v>0</v>
      </c>
      <c r="K128" s="133" cm="1">
        <f t="array" aca="1" ref="K128" ca="1">IF($F128&lt;&gt;"Active",0,IF(COUNTIFS(OverEmp,$C128,OverEarn,K$2,OverDate,"&lt;"&amp;DATE(YEAR($AC128),MONTH($AC128)+1,1),OverEnd,"&gt;="&amp;DATE(YEAR($AC128),MONTH($AC128),1))&gt;0,SUMIFS(OverValue,OverEmp,$C128,OverEarn,K$2,OverDate,"&lt;"&amp;DATE(YEAR($AC128),MONTH($AC128)+1,1),OverEnd,"&gt;="&amp;DATE(YEAR($AC128),MONTH($AC128),1)),0))</f>
        <v>0</v>
      </c>
      <c r="L128" s="185">
        <f t="shared" ca="1" si="54"/>
        <v>120000</v>
      </c>
      <c r="M128" s="182" cm="1">
        <f t="array" aca="1" ref="M128" ca="1">IF(COUNTIFS(OverEmp,$C128,OverTax,M$5,OverDate,"&lt;"&amp;DATE(YEAR($AC128),MONTH($AC128)+1,1),OverEnd,"&gt;="&amp;DATE(YEAR($AC128),MONTH($AC128),1))&gt;0,SUMIFS(OverValue,OverEmp,$C128,OverTax,M$5,OverDate,"&lt;"&amp;DATE(YEAR($AC128),MONTH($AC128)+1,1),OverEnd,"&gt;="&amp;DATE(YEAR($AC128),MONTH($AC128),1)),(($BA128/12*$AA128)+(BB128*IF(1-$BC128=0,0,BD128/(1-$BC128))))-IF($F128="Terminated",0,SUMIFS(PayTaxDeduct,PayDate,"&lt;"&amp;$AC128,PayEmp,$C128)))</f>
        <v>38498.333333333314</v>
      </c>
      <c r="N128" s="133" cm="1">
        <f t="array" aca="1" ref="N128" ca="1">IF($F128="Terminated",0,IF($AA128=0,0,IF(ISNA(MATCH(N$5,DedListItem,0)),0,IF(COUNTIFS(OverEmp,$C128,OverDeduct,N$5,OverDate,"&lt;"&amp;DATE(YEAR($AC128),MONTH($AC128)+1,1),OverEnd,"&gt;="&amp;DATE(YEAR($AC128),MONTH($AC128),1))&gt;0,SUMIFS(OverValue,OverEmp,$C128,OverDeduct,N$5,OverDate,"&lt;"&amp;DATE(YEAR($AC128),MONTH($AC128)+1,1),OverEnd,"&gt;="&amp;DATE(YEAR($AC128),MONTH($AC128),1)),IF(OR(N$2="Fixed",N$2="Not Used"),(IF(COUNTIFS(EmpNo,$C128,OFFSET(Emp!$R$4,1,MATCH(N$5,DedListItem,0)-1,EmpCount,1),"&lt;&gt;")&gt;0,VLOOKUP($C128,EmpAll,COLUMN(Emp!$R$4)+MATCH(N$5,DedListItem,0)-1,0),OFFSET(Setup!$E$73,MATCH(N$5,DedListItem,0),0,1,1))*$AA128)-SUMIFS(OFFSET(N$6,1,0,PayCount,1),PayDate,"&lt;"&amp;$AC128,PayEmp,$C128),IF(ISNA(MATCH(N$2,EarnListItem,0))=FALSE,IF(OFFSET(Setup!$G$73,MATCH(N$5,DedListItem,0),0,1,1)="Taxable",SUMPRODUCT((PayEmp=$C128)*(PayDate&lt;=$AC128)*(PayEarnCode=N$2)*(PayEarnTax)*(PayEarnValues)),SUMPRODUCT((PayEmp=$C128)*(PayDate&lt;=$AC128)*(PayEarnCode=N$2)*(PayEarnValues)))*IF(COUNTIFS(EmpNo,$C128,OFFSET(Emp!$R$4,1,MATCH(N$5,DedListItem,0)-1,EmpCount,1),"&lt;&gt;")&gt;0,VLOOKUP($C128,EmpAll,COLUMN(Emp!$R$4)+MATCH(N$5,DedListItem,0)-1,0),OFFSET(Setup!$E$73,MATCH(N$5,DedListItem,0),0,1,1)),(MIN(IF(OFFSET(Setup!$G$73,MATCH(N$5,DedListItem,0),0,1,1)="Taxable",SUMPRODUCT((PayEmp=$C128)*(PayDate&lt;=$AC128)*(ISERROR(SEARCH(PayEarnCode,N$4)))*(PayEarnTax)*(PayEarnValues)),SUMPRODUCT((PayEmp=$C128)*(PayDate&lt;=$AC128)*(ISERROR(SEARCH(PayEarnCode,N$4)))*(PayEarnValues))),IF(ISNUMBER(N$3),N$3/12*$AA128,IgnoreMin)))*IF(COUNTIFS(EmpNo,$C128,OFFSET(Emp!$R$4,1,MATCH(N$5,DedListItem,0)-1,EmpCount,1),"&lt;&gt;")&gt;0,VLOOKUP($C128,EmpAll,COLUMN(Emp!$R$4)+MATCH(N$5,DedListItem,0)-1,0),OFFSET(Setup!$E$73,MATCH(N$5,DedListItem,0),0,1,1)))-SUMIFS(OFFSET(N$6,1,0,PayCount,1),PayDate,"&lt;"&amp;$AC128,PayEmp,$C128))))))</f>
        <v>177.11999999999989</v>
      </c>
      <c r="O128" s="133" cm="1">
        <f t="array" aca="1" ref="O128" ca="1">IF($F128="Terminated",0,IF($AA128=0,0,IF(ISNA(MATCH(O$5,DedListItem,0)),0,IF(COUNTIFS(OverEmp,$C128,OverDeduct,O$5,OverDate,"&lt;"&amp;DATE(YEAR($AC128),MONTH($AC128)+1,1),OverEnd,"&gt;="&amp;DATE(YEAR($AC128),MONTH($AC128),1))&gt;0,SUMIFS(OverValue,OverEmp,$C128,OverDeduct,O$5,OverDate,"&lt;"&amp;DATE(YEAR($AC128),MONTH($AC128)+1,1),OverEnd,"&gt;="&amp;DATE(YEAR($AC128),MONTH($AC128),1)),IF(OR(O$2="Fixed",O$2="Not Used"),(IF(COUNTIFS(EmpNo,$C128,OFFSET(Emp!$R$4,1,MATCH(O$5,DedListItem,0)-1,EmpCount,1),"&lt;&gt;")&gt;0,VLOOKUP($C128,EmpAll,COLUMN(Emp!$R$4)+MATCH(O$5,DedListItem,0)-1,0),OFFSET(Setup!$E$73,MATCH(O$5,DedListItem,0),0,1,1))*$AA128)-SUMIFS(OFFSET(O$6,1,0,PayCount,1),PayDate,"&lt;"&amp;$AC128,PayEmp,$C128),IF(ISNA(MATCH(O$2,EarnListItem,0))=FALSE,IF(OFFSET(Setup!$G$73,MATCH(O$5,DedListItem,0),0,1,1)="Taxable",SUMPRODUCT((PayEmp=$C128)*(PayDate&lt;=$AC128)*(PayEarnCode=O$2)*(PayEarnTax)*(PayEarnValues)),SUMPRODUCT((PayEmp=$C128)*(PayDate&lt;=$AC128)*(PayEarnCode=O$2)*(PayEarnValues)))*IF(COUNTIFS(EmpNo,$C128,OFFSET(Emp!$R$4,1,MATCH(O$5,DedListItem,0)-1,EmpCount,1),"&lt;&gt;")&gt;0,VLOOKUP($C128,EmpAll,COLUMN(Emp!$R$4)+MATCH(O$5,DedListItem,0)-1,0),OFFSET(Setup!$E$73,MATCH(O$5,DedListItem,0),0,1,1)),(MIN(IF(OFFSET(Setup!$G$73,MATCH(O$5,DedListItem,0),0,1,1)="Taxable",SUMPRODUCT((PayEmp=$C128)*(PayDate&lt;=$AC128)*(ISERROR(SEARCH(PayEarnCode,O$4)))*(PayEarnTax)*(PayEarnValues)),SUMPRODUCT((PayEmp=$C128)*(PayDate&lt;=$AC128)*(ISERROR(SEARCH(PayEarnCode,O$4)))*(PayEarnValues))),IF(ISNUMBER(O$3),O$3/12*$AA128,IgnoreMin)))*IF(COUNTIFS(EmpNo,$C128,OFFSET(Emp!$R$4,1,MATCH(O$5,DedListItem,0)-1,EmpCount,1),"&lt;&gt;")&gt;0,VLOOKUP($C128,EmpAll,COLUMN(Emp!$R$4)+MATCH(O$5,DedListItem,0)-1,0),OFFSET(Setup!$E$73,MATCH(O$5,DedListItem,0),0,1,1)))-SUMIFS(OFFSET(O$6,1,0,PayCount,1),PayDate,"&lt;"&amp;$AC128,PayEmp,$C128))))))</f>
        <v>0</v>
      </c>
      <c r="P128" s="133" cm="1">
        <f t="array" aca="1" ref="P128" ca="1">IF($F128="Terminated",0,IF($AA128=0,0,IF(ISNA(MATCH(P$5,DedListItem,0)),0,IF(COUNTIFS(OverEmp,$C128,OverDeduct,P$5,OverDate,"&lt;"&amp;DATE(YEAR($AC128),MONTH($AC128)+1,1),OverEnd,"&gt;="&amp;DATE(YEAR($AC128),MONTH($AC128),1))&gt;0,SUMIFS(OverValue,OverEmp,$C128,OverDeduct,P$5,OverDate,"&lt;"&amp;DATE(YEAR($AC128),MONTH($AC128)+1,1),OverEnd,"&gt;="&amp;DATE(YEAR($AC128),MONTH($AC128),1)),IF(OR(P$2="Fixed",P$2="Not Used"),(IF(COUNTIFS(EmpNo,$C128,OFFSET(Emp!$R$4,1,MATCH(P$5,DedListItem,0)-1,EmpCount,1),"&lt;&gt;")&gt;0,VLOOKUP($C128,EmpAll,COLUMN(Emp!$R$4)+MATCH(P$5,DedListItem,0)-1,0),OFFSET(Setup!$E$73,MATCH(P$5,DedListItem,0),0,1,1))*$AA128)-SUMIFS(OFFSET(P$6,1,0,PayCount,1),PayDate,"&lt;"&amp;$AC128,PayEmp,$C128),IF(ISNA(MATCH(P$2,EarnListItem,0))=FALSE,IF(OFFSET(Setup!$G$73,MATCH(P$5,DedListItem,0),0,1,1)="Taxable",SUMPRODUCT((PayEmp=$C128)*(PayDate&lt;=$AC128)*(PayEarnCode=P$2)*(PayEarnTax)*(PayEarnValues)),SUMPRODUCT((PayEmp=$C128)*(PayDate&lt;=$AC128)*(PayEarnCode=P$2)*(PayEarnValues)))*IF(COUNTIFS(EmpNo,$C128,OFFSET(Emp!$R$4,1,MATCH(P$5,DedListItem,0)-1,EmpCount,1),"&lt;&gt;")&gt;0,VLOOKUP($C128,EmpAll,COLUMN(Emp!$R$4)+MATCH(P$5,DedListItem,0)-1,0),OFFSET(Setup!$E$73,MATCH(P$5,DedListItem,0),0,1,1)),(MIN(IF(OFFSET(Setup!$G$73,MATCH(P$5,DedListItem,0),0,1,1)="Taxable",SUMPRODUCT((PayEmp=$C128)*(PayDate&lt;=$AC128)*(ISERROR(SEARCH(PayEarnCode,P$4)))*(PayEarnTax)*(PayEarnValues)),SUMPRODUCT((PayEmp=$C128)*(PayDate&lt;=$AC128)*(ISERROR(SEARCH(PayEarnCode,P$4)))*(PayEarnValues))),IF(ISNUMBER(P$3),P$3/12*$AA128,IgnoreMin)))*IF(COUNTIFS(EmpNo,$C128,OFFSET(Emp!$R$4,1,MATCH(P$5,DedListItem,0)-1,EmpCount,1),"&lt;&gt;")&gt;0,VLOOKUP($C128,EmpAll,COLUMN(Emp!$R$4)+MATCH(P$5,DedListItem,0)-1,0),OFFSET(Setup!$E$73,MATCH(P$5,DedListItem,0),0,1,1)))-SUMIFS(OFFSET(P$6,1,0,PayCount,1),PayDate,"&lt;"&amp;$AC128,PayEmp,$C128))))))</f>
        <v>0</v>
      </c>
      <c r="Q128" s="133" cm="1">
        <f t="array" aca="1" ref="Q128" ca="1">IF($F128="Terminated",0,IF($AA128=0,0,IF(ISNA(MATCH(Q$5,DedListItem,0)),0,IF(COUNTIFS(OverEmp,$C128,OverDeduct,Q$5,OverDate,"&lt;"&amp;DATE(YEAR($AC128),MONTH($AC128)+1,1),OverEnd,"&gt;="&amp;DATE(YEAR($AC128),MONTH($AC128),1))&gt;0,SUMIFS(OverValue,OverEmp,$C128,OverDeduct,Q$5,OverDate,"&lt;"&amp;DATE(YEAR($AC128),MONTH($AC128)+1,1),OverEnd,"&gt;="&amp;DATE(YEAR($AC128),MONTH($AC128),1)),IF(OR(Q$2="Fixed",Q$2="Not Used"),(IF(COUNTIFS(EmpNo,$C128,OFFSET(Emp!$R$4,1,MATCH(Q$5,DedListItem,0)-1,EmpCount,1),"&lt;&gt;")&gt;0,VLOOKUP($C128,EmpAll,COLUMN(Emp!$R$4)+MATCH(Q$5,DedListItem,0)-1,0),OFFSET(Setup!$E$73,MATCH(Q$5,DedListItem,0),0,1,1))*$AA128)-SUMIFS(OFFSET(Q$6,1,0,PayCount,1),PayDate,"&lt;"&amp;$AC128,PayEmp,$C128),IF(ISNA(MATCH(Q$2,EarnListItem,0))=FALSE,IF(OFFSET(Setup!$G$73,MATCH(Q$5,DedListItem,0),0,1,1)="Taxable",SUMPRODUCT((PayEmp=$C128)*(PayDate&lt;=$AC128)*(PayEarnCode=Q$2)*(PayEarnTax)*(PayEarnValues)),SUMPRODUCT((PayEmp=$C128)*(PayDate&lt;=$AC128)*(PayEarnCode=Q$2)*(PayEarnValues)))*IF(COUNTIFS(EmpNo,$C128,OFFSET(Emp!$R$4,1,MATCH(Q$5,DedListItem,0)-1,EmpCount,1),"&lt;&gt;")&gt;0,VLOOKUP($C128,EmpAll,COLUMN(Emp!$R$4)+MATCH(Q$5,DedListItem,0)-1,0),OFFSET(Setup!$E$73,MATCH(Q$5,DedListItem,0),0,1,1)),(MIN(IF(OFFSET(Setup!$G$73,MATCH(Q$5,DedListItem,0),0,1,1)="Taxable",SUMPRODUCT((PayEmp=$C128)*(PayDate&lt;=$AC128)*(ISERROR(SEARCH(PayEarnCode,Q$4)))*(PayEarnTax)*(PayEarnValues)),SUMPRODUCT((PayEmp=$C128)*(PayDate&lt;=$AC128)*(ISERROR(SEARCH(PayEarnCode,Q$4)))*(PayEarnValues))),IF(ISNUMBER(Q$3),Q$3/12*$AA128,IgnoreMin)))*IF(COUNTIFS(EmpNo,$C128,OFFSET(Emp!$R$4,1,MATCH(Q$5,DedListItem,0)-1,EmpCount,1),"&lt;&gt;")&gt;0,VLOOKUP($C128,EmpAll,COLUMN(Emp!$R$4)+MATCH(Q$5,DedListItem,0)-1,0),OFFSET(Setup!$E$73,MATCH(Q$5,DedListItem,0),0,1,1)))-SUMIFS(OFFSET(Q$6,1,0,PayCount,1),PayDate,"&lt;"&amp;$AC128,PayEmp,$C128))))))</f>
        <v>0</v>
      </c>
      <c r="R128" s="185">
        <f t="shared" ca="1" si="55"/>
        <v>38675.453333333317</v>
      </c>
      <c r="S128" s="139">
        <f t="shared" ca="1" si="56"/>
        <v>81324.55</v>
      </c>
      <c r="T128" s="133" cm="1">
        <f t="array" aca="1" ref="T128" ca="1">IF($F128="Terminated",0,IF($AA128=0,0,IF(ISNA(MATCH(T$5,CompListItem,0)),0,IF(COUNTIFS(OverEmp,$C128,OverComp,T$5,OverDate,"&lt;"&amp;DATE(YEAR($AC128),MONTH($AC128)+1,1),OverEnd,"&gt;="&amp;DATE(YEAR($AC128),MONTH($AC128),1))&gt;0,SUMIFS(OverValue,OverEmp,$C128,OverComp,T$5,OverDate,"&lt;"&amp;DATE(YEAR($AC128),MONTH($AC128)+1,1),OverEnd,"&gt;="&amp;DATE(YEAR($AC128),MONTH($AC128),1)),IF(OR(T$2="Fixed",T$2="Not Used"),(OFFSET(Setup!$E$81,MATCH(T$5,CompListItem,0),0,1,1)*$AA128)-SUMIFS(OFFSET(T$6,1,0,PayCount,1),PayDate,"&lt;"&amp;$AC128,PayEmp,$C128),IF(ISNA(MATCH(T$2,DedListItem,0))=FALSE,(SUMPRODUCT((PayEmp=$C128)*(PayDate&lt;=$AC128)*(PayDedList=T$2)*(PayDedValues))*OFFSET(Setup!$E$81,MATCH(T$5,CompListItem,0),0,1,1))-SUMIFS(OFFSET(T$6,1,0,PayCount,1),PayDate,"&lt;"&amp;$AC128,PayEmp,$C128),(MIN(IF(OFFSET(Setup!$G$81,MATCH(T$5,CompListItem,0),0,1,1)="Taxable",SUMPRODUCT((PayEmp=$C128)*(PayDate&lt;=$AC128)*(ISERROR(SEARCH(PayEarnCode,T$4)))*(PayEarnTax)*(PayEarnValues)),SUMPRODUCT((PayEmp=$C128)*(PayDate&lt;=$AC128)*(ISERROR(SEARCH(PayEarnCode,T$4)))*(PayEarnValues))),IF(ISNUMBER(T$3),T$3/12*$AA128,IgnoreMin)))*OFFSET(Setup!$E$81,MATCH(T$5,CompListItem,0),0,1,1)-SUMIFS(OFFSET(T$6,1,0,PayCount,1),PayDate,"&lt;"&amp;$AC128,PayEmp,$C128)))))))</f>
        <v>177.11999999999989</v>
      </c>
      <c r="U128" s="133" cm="1">
        <f t="array" aca="1" ref="U128" ca="1">IF($F128="Terminated",0,IF($AA128=0,0,IF(ISNA(MATCH(U$5,CompListItem,0)),0,IF(COUNTIFS(OverEmp,$C128,OverComp,U$5,OverDate,"&lt;"&amp;DATE(YEAR($AC128),MONTH($AC128)+1,1),OverEnd,"&gt;="&amp;DATE(YEAR($AC128),MONTH($AC128),1))&gt;0,SUMIFS(OverValue,OverEmp,$C128,OverComp,U$5,OverDate,"&lt;"&amp;DATE(YEAR($AC128),MONTH($AC128)+1,1),OverEnd,"&gt;="&amp;DATE(YEAR($AC128),MONTH($AC128),1)),IF(OR(U$2="Fixed",U$2="Not Used"),(OFFSET(Setup!$E$81,MATCH(U$5,CompListItem,0),0,1,1)*$AA128)-SUMIFS(OFFSET(U$6,1,0,PayCount,1),PayDate,"&lt;"&amp;$AC128,PayEmp,$C128),IF(ISNA(MATCH(U$2,DedListItem,0))=FALSE,(SUMPRODUCT((PayEmp=$C128)*(PayDate&lt;=$AC128)*(PayDedList=U$2)*(PayDedValues))*OFFSET(Setup!$E$81,MATCH(U$5,CompListItem,0),0,1,1))-SUMIFS(OFFSET(U$6,1,0,PayCount,1),PayDate,"&lt;"&amp;$AC128,PayEmp,$C128),(MIN(IF(OFFSET(Setup!$G$81,MATCH(U$5,CompListItem,0),0,1,1)="Taxable",SUMPRODUCT((PayEmp=$C128)*(PayDate&lt;=$AC128)*(ISERROR(SEARCH(PayEarnCode,U$4)))*(PayEarnTax)*(PayEarnValues)),SUMPRODUCT((PayEmp=$C128)*(PayDate&lt;=$AC128)*(ISERROR(SEARCH(PayEarnCode,U$4)))*(PayEarnValues))),IF(ISNUMBER(U$3),U$3/12*$AA128,IgnoreMin)))*OFFSET(Setup!$E$81,MATCH(U$5,CompListItem,0),0,1,1)-SUMIFS(OFFSET(U$6,1,0,PayCount,1),PayDate,"&lt;"&amp;$AC128,PayEmp,$C128)))))))</f>
        <v>1200</v>
      </c>
      <c r="V128" s="133" cm="1">
        <f t="array" aca="1" ref="V128" ca="1">IF($F128="Terminated",0,IF($AA128=0,0,IF(ISNA(MATCH(V$5,CompListItem,0)),0,IF(COUNTIFS(OverEmp,$C128,OverComp,V$5,OverDate,"&lt;"&amp;DATE(YEAR($AC128),MONTH($AC128)+1,1),OverEnd,"&gt;="&amp;DATE(YEAR($AC128),MONTH($AC128),1))&gt;0,SUMIFS(OverValue,OverEmp,$C128,OverComp,V$5,OverDate,"&lt;"&amp;DATE(YEAR($AC128),MONTH($AC128)+1,1),OverEnd,"&gt;="&amp;DATE(YEAR($AC128),MONTH($AC128),1)),IF(OR(V$2="Fixed",V$2="Not Used"),(OFFSET(Setup!$E$81,MATCH(V$5,CompListItem,0),0,1,1)*$AA128)-SUMIFS(OFFSET(V$6,1,0,PayCount,1),PayDate,"&lt;"&amp;$AC128,PayEmp,$C128),IF(ISNA(MATCH(V$2,DedListItem,0))=FALSE,(SUMPRODUCT((PayEmp=$C128)*(PayDate&lt;=$AC128)*(PayDedList=V$2)*(PayDedValues))*OFFSET(Setup!$E$81,MATCH(V$5,CompListItem,0),0,1,1))-SUMIFS(OFFSET(V$6,1,0,PayCount,1),PayDate,"&lt;"&amp;$AC128,PayEmp,$C128),(MIN(IF(OFFSET(Setup!$G$81,MATCH(V$5,CompListItem,0),0,1,1)="Taxable",SUMPRODUCT((PayEmp=$C128)*(PayDate&lt;=$AC128)*(ISERROR(SEARCH(PayEarnCode,V$4)))*(PayEarnTax)*(PayEarnValues)),SUMPRODUCT((PayEmp=$C128)*(PayDate&lt;=$AC128)*(ISERROR(SEARCH(PayEarnCode,V$4)))*(PayEarnValues))),IF(ISNUMBER(V$3),V$3/12*$AA128,IgnoreMin)))*OFFSET(Setup!$E$81,MATCH(V$5,CompListItem,0),0,1,1)-SUMIFS(OFFSET(V$6,1,0,PayCount,1),PayDate,"&lt;"&amp;$AC128,PayEmp,$C128)))))))</f>
        <v>0</v>
      </c>
      <c r="W128" s="133" cm="1">
        <f t="array" aca="1" ref="W128" ca="1">IF($F128="Terminated",0,IF($AA128=0,0,IF(ISNA(MATCH(W$5,CompListItem,0)),0,IF(COUNTIFS(OverEmp,$C128,OverComp,W$5,OverDate,"&lt;"&amp;DATE(YEAR($AC128),MONTH($AC128)+1,1),OverEnd,"&gt;="&amp;DATE(YEAR($AC128),MONTH($AC128),1))&gt;0,SUMIFS(OverValue,OverEmp,$C128,OverComp,W$5,OverDate,"&lt;"&amp;DATE(YEAR($AC128),MONTH($AC128)+1,1),OverEnd,"&gt;="&amp;DATE(YEAR($AC128),MONTH($AC128),1)),IF(OR(W$2="Fixed",W$2="Not Used"),(OFFSET(Setup!$E$81,MATCH(W$5,CompListItem,0),0,1,1)*$AA128)-SUMIFS(OFFSET(W$6,1,0,PayCount,1),PayDate,"&lt;"&amp;$AC128,PayEmp,$C128),IF(ISNA(MATCH(W$2,DedListItem,0))=FALSE,(SUMPRODUCT((PayEmp=$C128)*(PayDate&lt;=$AC128)*(PayDedList=W$2)*(PayDedValues))*OFFSET(Setup!$E$81,MATCH(W$5,CompListItem,0),0,1,1))-SUMIFS(OFFSET(W$6,1,0,PayCount,1),PayDate,"&lt;"&amp;$AC128,PayEmp,$C128),(MIN(IF(OFFSET(Setup!$G$81,MATCH(W$5,CompListItem,0),0,1,1)="Taxable",SUMPRODUCT((PayEmp=$C128)*(PayDate&lt;=$AC128)*(ISERROR(SEARCH(PayEarnCode,W$4)))*(PayEarnTax)*(PayEarnValues)),SUMPRODUCT((PayEmp=$C128)*(PayDate&lt;=$AC128)*(ISERROR(SEARCH(PayEarnCode,W$4)))*(PayEarnValues))),IF(ISNUMBER(W$3),W$3/12*$AA128,IgnoreMin)))*OFFSET(Setup!$E$81,MATCH(W$5,CompListItem,0),0,1,1)-SUMIFS(OFFSET(W$6,1,0,PayCount,1),PayDate,"&lt;"&amp;$AC128,PayEmp,$C128)))))))</f>
        <v>0</v>
      </c>
      <c r="X128" s="185">
        <f t="shared" ca="1" si="48"/>
        <v>1377.12</v>
      </c>
      <c r="Y128" s="139">
        <f t="shared" ca="1" si="57"/>
        <v>121377.12</v>
      </c>
      <c r="Z128" s="139">
        <f t="shared" ca="1" si="49"/>
        <v>40052.57</v>
      </c>
      <c r="AA128" s="146">
        <f ca="1">IF(OR($B128&lt;=Setup!$E$12,$B128&gt;=Setup!$D$12+1),0,IF($F128&lt;&gt;"Active",0,IF($AE128="Yes",$AB128,((YEAR($AC128)*12)+MONTH($AC128))-((YEAR($AD128)*12)+MONTH($AD128)-1))))</f>
        <v>9</v>
      </c>
      <c r="AB128" s="146">
        <f ca="1">IF(OR($B128&lt;=Setup!$E$12,$B128&gt;=Setup!$D$12+1),0,((YEAR($AC128)*12)+MONTH($AC128))-((YEAR(Setup!$E$12)*12)+MONTH(Setup!$E$12)))</f>
        <v>9</v>
      </c>
      <c r="AC128" s="186">
        <f t="shared" ca="1" si="50"/>
        <v>45255</v>
      </c>
      <c r="AD128" s="144">
        <f ca="1">IF(ISNA(VLOOKUP($C128,EmpAll,COLUMN(Emp!$E$4),0)),$AC128,IF(VLOOKUP($C128,EmpAll,COLUMN(Emp!$E$4),0)&lt;=Setup!$E$12,DATE(YEAR(Setup!$E$12),MONTH(Setup!$E$12)+1,1),VLOOKUP($C128,EmpAll,COLUMN(Emp!$E$4),0)))</f>
        <v>44986</v>
      </c>
      <c r="AE128" s="144" t="str">
        <f ca="1">IF(ISNA(VLOOKUP($C128,EmpAll,COLUMN(Emp!$G$1),0)),"-",IF(VLOOKUP($C128,EmpAll,COLUMN(Emp!$G$1),0)=0,"-",VLOOKUP($C128,EmpAll,COLUMN(Emp!$G$1),0)))</f>
        <v>-</v>
      </c>
      <c r="AF128" s="145">
        <f ca="1">IF(A128=PaySlip!$G$3,1,0)</f>
        <v>0</v>
      </c>
      <c r="AG128" s="130" cm="1">
        <f t="array" aca="1" ref="AG128" ca="1">IF(COUNTIFS(OverEmp,$C128,OverMed,"MED",OverDate,"&lt;"&amp;DATE(YEAR($AC128),MONTH($AC128)+1,1),OverEnd,"&gt;="&amp;DATE(YEAR($AC128),MONTH($AC128),1))&gt;0,SUMIFS(OverValue,OverEmp,$C128,OverMed,"MED",OverDate,"&lt;"&amp;DATE(YEAR($AC128),MONTH($AC128)+1,1),OverEnd,"&gt;="&amp;DATE(YEAR($AC128),MONTH($AC128),1)),IF(ISNA(VLOOKUP($C128,EmpAll,COLUMN(Emp!$N$4),0)),0,VLOOKUP($C128,EmpAll,COLUMN(Emp!$N$4),0)))</f>
        <v>3</v>
      </c>
      <c r="AH128" s="146">
        <f ca="1">VLOOKUP($AG128,MedList,COLUMN(Setup!$C$49),1)</f>
        <v>974</v>
      </c>
      <c r="AI128" s="146">
        <f t="shared" ca="1" si="40"/>
        <v>10704</v>
      </c>
      <c r="AJ128" s="101" t="str">
        <f ca="1">IF(ISNA(VLOOKUP($C128,EmpAll,COLUMN(Emp!$L$4),0)),"None!",VLOOKUP($C128,EmpAll,COLUMN(Emp!$L$4),0))</f>
        <v>A</v>
      </c>
      <c r="AK128" s="147">
        <f t="shared" ca="1" si="51"/>
        <v>17235</v>
      </c>
      <c r="AL128" s="101" t="str">
        <f ca="1">IF(ISNA(VLOOKUP($C128,Employees[],COLUMN(Emp!$M$4),0))=TRUE,"Error!",IF(VLOOKUP($C128,Employees[],COLUMN(Emp!$M$4),0)=0,"Yes",VLOOKUP($C128,Employees[],COLUMN(Emp!$M$4),0)))</f>
        <v>A</v>
      </c>
      <c r="AM128" s="148">
        <f t="shared" ca="1" si="41"/>
        <v>1440000</v>
      </c>
      <c r="AN128" s="148" cm="1">
        <f t="array" aca="1" ref="AN128" ca="1">-IF($F128="Terminated",0,IF($AA128=0,0,IF(ISNA(MATCH(AN$5,PayDedList,0)),0,MIN(IF(COUNTIFS(OverEmp,$C128,OverDeduct,AN$5,OverDate,"&lt;"&amp;DATE(YEAR($AC128),MONTH($AC128)+1,1),OverEnd,"&gt;="&amp;DATE(YEAR($AC128),MONTH($AC128),1))&gt;0,SUMPRODUCT((PayEmp=$C128)*(PayDate&lt;=$AC128)*(OFFSET($N$6,1,MATCH(AN$5,PayDedList,0)-1,PayCount,1)))/$AA128*12*AN$3,IF(OR(AN$1="Fixed",AN$1="Not Used"),SUMPRODUCT((PayEmp=$C128)*(PayDate&lt;=$AC128)*(OFFSET($N$6,1,MATCH(AN$5,PayDedList,0)-1,PayCount,1)))/$AA128*12*AN$3,IF(ISNA(MATCH(AN$1,EarnListItem,0))=FALSE,SUMPRODUCT((PayEmp=$C128)*(PayDate&lt;=$AC128)*(OFFSET($N$6,1,MATCH(AN$5,PayDedList,0)-1,PayCount,1)))/$AA128*12*AN$3,(MIN(((SUMPRODUCT((PayEmp=$C128)*(PayDate&lt;=$AC128)*(ISERROR(SEARCH(PayEarnCode,AN$2)))*(PayEarnType="Monthly")*(PayEarnValues))/$AA128*12)+(SUMPRODUCT((PayEmp=$C128)*(PayDate&lt;=$AC128)*(ISERROR(SEARCH(PayEarnCode,AN$2)))*(PayEarnType="Quarterly")*(PayEarnValues))/MAX(1,ROUNDDOWN($AB128/3,0))*4)+(SUMPRODUCT((PayEmp=$C128)*(PayDate&lt;=$AC128)*(ISERROR(SEARCH(PayEarnCode,AN$2)))*(PayEarnType="Bi-Annual")*(PayEarnValues))/MAX(1,ROUNDDOWN($AB128/6,0))*2)+(SUMPRODUCT((PayEmp=$C128)*(PayDate&lt;=$AC128)*(ISERROR(SEARCH(PayEarnCode,AN$2)))*(PayEarnType="Annual")*(PayEarnValues)))),IF(ISNUMBER(OFFSET($N$3,0,MATCH(AN$5,PayDedList,0)-1,1,1)),OFFSET($N$3,0,MATCH(AN$5,PayDedList,0)-1,1,1),IgnoreMin)))*IF(COUNTIFS(EmpNo,$C128,OFFSET(Emp!$R$4,1,MATCH(AN$5,DedListItem,0)-1,EmpCount,1),"&lt;&gt;")&gt;0,VLOOKUP($C128,EmpAll,COLUMN(Emp!$R$4)+MATCH(AN$5,DedListItem,0)-1,0),OFFSET(Setup!$E$73,MATCH(AN$5,DedListItem,0),0,1,1))*AN$3))),IF(ISNUMBER(AN$4),AN$4,IgnoreMin)))))</f>
        <v>0</v>
      </c>
      <c r="AO128" s="148" cm="1">
        <f t="array" aca="1" ref="AO128" ca="1">-IF($F128="Terminated",0,IF($AA128=0,0,IF(ISNA(MATCH(AO$5,PayDedList,0)),0,MIN(IF(COUNTIFS(OverEmp,$C128,OverDeduct,AO$5,OverDate,"&lt;"&amp;DATE(YEAR($AC128),MONTH($AC128)+1,1),OverEnd,"&gt;="&amp;DATE(YEAR($AC128),MONTH($AC128),1))&gt;0,SUMPRODUCT((PayEmp=$C128)*(PayDate&lt;=$AC128)*(OFFSET($N$6,1,MATCH(AO$5,PayDedList,0)-1,PayCount,1)))/$AA128*12*AO$3,IF(OR(AO$1="Fixed",AO$1="Not Used"),SUMPRODUCT((PayEmp=$C128)*(PayDate&lt;=$AC128)*(OFFSET($N$6,1,MATCH(AO$5,PayDedList,0)-1,PayCount,1)))/$AA128*12*AO$3,IF(ISNA(MATCH(AO$1,EarnListItem,0))=FALSE,SUMPRODUCT((PayEmp=$C128)*(PayDate&lt;=$AC128)*(OFFSET($N$6,1,MATCH(AO$5,PayDedList,0)-1,PayCount,1)))/$AA128*12*AO$3,(MIN(((SUMPRODUCT((PayEmp=$C128)*(PayDate&lt;=$AC128)*(ISERROR(SEARCH(PayEarnCode,AO$2)))*(PayEarnType="Monthly")*(PayEarnValues))/$AA128*12)+(SUMPRODUCT((PayEmp=$C128)*(PayDate&lt;=$AC128)*(ISERROR(SEARCH(PayEarnCode,AO$2)))*(PayEarnType="Quarterly")*(PayEarnValues))/MAX(1,ROUNDDOWN($AB128/3,0))*4)+(SUMPRODUCT((PayEmp=$C128)*(PayDate&lt;=$AC128)*(ISERROR(SEARCH(PayEarnCode,AO$2)))*(PayEarnType="Bi-Annual")*(PayEarnValues))/MAX(1,ROUNDDOWN($AB128/6,0))*2)+(SUMPRODUCT((PayEmp=$C128)*(PayDate&lt;=$AC128)*(ISERROR(SEARCH(PayEarnCode,AO$2)))*(PayEarnType="Annual")*(PayEarnValues)))),IF(ISNUMBER(OFFSET($N$3,0,MATCH(AO$5,PayDedList,0)-1,1,1)),OFFSET($N$3,0,MATCH(AO$5,PayDedList,0)-1,1,1),IgnoreMin)))*IF(COUNTIFS(EmpNo,$C128,OFFSET(Emp!$R$4,1,MATCH(AO$5,DedListItem,0)-1,EmpCount,1),"&lt;&gt;")&gt;0,VLOOKUP($C128,EmpAll,COLUMN(Emp!$R$4)+MATCH(AO$5,DedListItem,0)-1,0),OFFSET(Setup!$E$73,MATCH(AO$5,DedListItem,0),0,1,1))*AO$3))),IF(ISNUMBER(AO$4),AO$4,IgnoreMin)))))</f>
        <v>0</v>
      </c>
      <c r="AP128" s="148" cm="1">
        <f t="array" aca="1" ref="AP128" ca="1">-IF($F128="Terminated",0,IF($AA128=0,0,IF(ISNA(MATCH(AP$5,PayDedList,0)),0,MIN(IF(COUNTIFS(OverEmp,$C128,OverDeduct,AP$5,OverDate,"&lt;"&amp;DATE(YEAR($AC128),MONTH($AC128)+1,1),OverEnd,"&gt;="&amp;DATE(YEAR($AC128),MONTH($AC128),1))&gt;0,SUMPRODUCT((PayEmp=$C128)*(PayDate&lt;=$AC128)*(OFFSET($N$6,1,MATCH(AP$5,PayDedList,0)-1,PayCount,1)))/$AA128*12*AP$3,IF(OR(AP$1="Fixed",AP$1="Not Used"),SUMPRODUCT((PayEmp=$C128)*(PayDate&lt;=$AC128)*(OFFSET($N$6,1,MATCH(AP$5,PayDedList,0)-1,PayCount,1)))/$AA128*12*AP$3,IF(ISNA(MATCH(AP$1,EarnListItem,0))=FALSE,SUMPRODUCT((PayEmp=$C128)*(PayDate&lt;=$AC128)*(OFFSET($N$6,1,MATCH(AP$5,PayDedList,0)-1,PayCount,1)))/$AA128*12*AP$3,(MIN(((SUMPRODUCT((PayEmp=$C128)*(PayDate&lt;=$AC128)*(ISERROR(SEARCH(PayEarnCode,AP$2)))*(PayEarnType="Monthly")*(PayEarnValues))/$AA128*12)+(SUMPRODUCT((PayEmp=$C128)*(PayDate&lt;=$AC128)*(ISERROR(SEARCH(PayEarnCode,AP$2)))*(PayEarnType="Quarterly")*(PayEarnValues))/MAX(1,ROUNDDOWN($AB128/3,0))*4)+(SUMPRODUCT((PayEmp=$C128)*(PayDate&lt;=$AC128)*(ISERROR(SEARCH(PayEarnCode,AP$2)))*(PayEarnType="Bi-Annual")*(PayEarnValues))/MAX(1,ROUNDDOWN($AB128/6,0))*2)+(SUMPRODUCT((PayEmp=$C128)*(PayDate&lt;=$AC128)*(ISERROR(SEARCH(PayEarnCode,AP$2)))*(PayEarnType="Annual")*(PayEarnValues)))),IF(ISNUMBER(OFFSET($N$3,0,MATCH(AP$5,PayDedList,0)-1,1,1)),OFFSET($N$3,0,MATCH(AP$5,PayDedList,0)-1,1,1),IgnoreMin)))*IF(COUNTIFS(EmpNo,$C128,OFFSET(Emp!$R$4,1,MATCH(AP$5,DedListItem,0)-1,EmpCount,1),"&lt;&gt;")&gt;0,VLOOKUP($C128,EmpAll,COLUMN(Emp!$R$4)+MATCH(AP$5,DedListItem,0)-1,0),OFFSET(Setup!$E$73,MATCH(AP$5,DedListItem,0),0,1,1))*AP$3))),IF(ISNUMBER(AP$4),AP$4,IgnoreMin)))))</f>
        <v>0</v>
      </c>
      <c r="AQ128" s="148" cm="1">
        <f t="array" aca="1" ref="AQ128" ca="1">-IF($F128="Terminated",0,IF($AA128=0,0,IF(ISNA(MATCH(AQ$5,PayDedList,0)),0,MIN(IF(COUNTIFS(OverEmp,$C128,OverDeduct,AQ$5,OverDate,"&lt;"&amp;DATE(YEAR($AC128),MONTH($AC128)+1,1),OverEnd,"&gt;="&amp;DATE(YEAR($AC128),MONTH($AC128),1))&gt;0,SUMPRODUCT((PayEmp=$C128)*(PayDate&lt;=$AC128)*(OFFSET($N$6,1,MATCH(AQ$5,PayDedList,0)-1,PayCount,1)))/$AA128*12*AQ$3,IF(OR(AQ$1="Fixed",AQ$1="Not Used"),SUMPRODUCT((PayEmp=$C128)*(PayDate&lt;=$AC128)*(OFFSET($N$6,1,MATCH(AQ$5,PayDedList,0)-1,PayCount,1)))/$AA128*12*AQ$3,IF(ISNA(MATCH(AQ$1,EarnListItem,0))=FALSE,SUMPRODUCT((PayEmp=$C128)*(PayDate&lt;=$AC128)*(OFFSET($N$6,1,MATCH(AQ$5,PayDedList,0)-1,PayCount,1)))/$AA128*12*AQ$3,(MIN(((SUMPRODUCT((PayEmp=$C128)*(PayDate&lt;=$AC128)*(ISERROR(SEARCH(PayEarnCode,AQ$2)))*(PayEarnType="Monthly")*(PayEarnValues))/$AA128*12)+(SUMPRODUCT((PayEmp=$C128)*(PayDate&lt;=$AC128)*(ISERROR(SEARCH(PayEarnCode,AQ$2)))*(PayEarnType="Quarterly")*(PayEarnValues))/MAX(1,ROUNDDOWN($AB128/3,0))*4)+(SUMPRODUCT((PayEmp=$C128)*(PayDate&lt;=$AC128)*(ISERROR(SEARCH(PayEarnCode,AQ$2)))*(PayEarnType="Bi-Annual")*(PayEarnValues))/MAX(1,ROUNDDOWN($AB128/6,0))*2)+(SUMPRODUCT((PayEmp=$C128)*(PayDate&lt;=$AC128)*(ISERROR(SEARCH(PayEarnCode,AQ$2)))*(PayEarnType="Annual")*(PayEarnValues)))),IF(ISNUMBER(OFFSET($N$3,0,MATCH(AQ$5,PayDedList,0)-1,1,1)),OFFSET($N$3,0,MATCH(AQ$5,PayDedList,0)-1,1,1),IgnoreMin)))*IF(COUNTIFS(EmpNo,$C128,OFFSET(Emp!$R$4,1,MATCH(AQ$5,DedListItem,0)-1,EmpCount,1),"&lt;&gt;")&gt;0,VLOOKUP($C128,EmpAll,COLUMN(Emp!$R$4)+MATCH(AQ$5,DedListItem,0)-1,0),OFFSET(Setup!$E$73,MATCH(AQ$5,DedListItem,0),0,1,1))*AQ$3))),IF(ISNUMBER(AQ$4),AQ$4,IgnoreMin)))))</f>
        <v>0</v>
      </c>
      <c r="AR128" s="148">
        <f t="shared" ca="1" si="52"/>
        <v>1440000</v>
      </c>
      <c r="AS128" s="148">
        <f t="shared" ca="1" si="42"/>
        <v>1440000</v>
      </c>
      <c r="AT128" s="148" cm="1">
        <f t="array" aca="1" ref="AT128" ca="1">-IF($F128="Terminated",0,IF($AA128=0,0,IF(ISNA(MATCH(AT$5,PayDedList,0)),0,MIN(IF(COUNTIFS(OverEmp,$C128,OverDeduct,AT$5,OverDate,"&lt;"&amp;DATE(YEAR($AC128),MONTH($AC128)+1,1),OverEnd,"&gt;="&amp;DATE(YEAR($AC128),MONTH($AC128),1))&gt;0,SUMPRODUCT((PayEmp=$C128)*(PayDate&lt;=$AC128)*(OFFSET($N$6,1,MATCH(AT$5,PayDedList,0)-1,PayCount,1)))/$AA128*12*AT$3,IF(OR(AT$1="Fixed",AT$1="Not Used"),SUMPRODUCT((PayEmp=$C128)*(PayDate&lt;=$AC128)*(OFFSET($N$6,1,MATCH(AT$5,PayDedList,0)-1,PayCount,1)))/$AA128*12*AT$3,IF(ISNA(MATCH(OFFSET($N$2,0,MATCH(AT$5,PayDedList,0)-1,1,1),EarnListItem,0))=FALSE,SUMPRODUCT((PayEmp=$C128)*(PayDate&lt;=$AC128)*(OFFSET($N$6,1,MATCH(AT$5,PayDedList,0)-1,PayCount,1)))/$AA128*12*AT$3,(MIN(SUMPRODUCT((PayEmp=$C128)*(PayDate&lt;=$AC128)*(ISERROR(SEARCH(PayEarnCode,AT$2)))*(PayEarnType="Monthly")*(PayEarnValues))/$AA128*12,IF(ISNUMBER(OFFSET($N$3,0,MATCH(AT$5,PayDedList,0)-1,1,1)),OFFSET($N$3,0,MATCH(AT$5,PayDedList,0)-1,1,1),IgnoreMin)))*IF(COUNTIFS(EmpNo,$C128,OFFSET(Emp!$R$4,1,MATCH(AT$5,DedListItem,0)-1,EmpCount,1),"&lt;&gt;")&gt;0,VLOOKUP($C128,EmpAll,COLUMN(Emp!$R$4)+MATCH(AT$5,DedListItem,0)-1,0),OFFSET(Setup!$E$73,MATCH(AT$5,DedListItem,0),0,1,1))*AT$3))),IF(ISNUMBER(AT$4),AT$4,IgnoreMin)))))</f>
        <v>0</v>
      </c>
      <c r="AU128" s="148" cm="1">
        <f t="array" aca="1" ref="AU128" ca="1">-IF($F128="Terminated",0,IF($AA128=0,0,IF(ISNA(MATCH(AU$5,PayDedList,0)),0,MIN(IF(COUNTIFS(OverEmp,$C128,OverDeduct,AU$5,OverDate,"&lt;"&amp;DATE(YEAR($AC128),MONTH($AC128)+1,1),OverEnd,"&gt;="&amp;DATE(YEAR($AC128),MONTH($AC128),1))&gt;0,SUMPRODUCT((PayEmp=$C128)*(PayDate&lt;=$AC128)*(OFFSET($N$6,1,MATCH(AU$5,PayDedList,0)-1,PayCount,1)))/$AA128*12*AU$3,IF(OR(AU$1="Fixed",AU$1="Not Used"),SUMPRODUCT((PayEmp=$C128)*(PayDate&lt;=$AC128)*(OFFSET($N$6,1,MATCH(AU$5,PayDedList,0)-1,PayCount,1)))/$AA128*12*AU$3,IF(ISNA(MATCH(OFFSET($N$2,0,MATCH(AU$5,PayDedList,0)-1,1,1),EarnListItem,0))=FALSE,SUMPRODUCT((PayEmp=$C128)*(PayDate&lt;=$AC128)*(OFFSET($N$6,1,MATCH(AU$5,PayDedList,0)-1,PayCount,1)))/$AA128*12*AU$3,(MIN(SUMPRODUCT((PayEmp=$C128)*(PayDate&lt;=$AC128)*(ISERROR(SEARCH(PayEarnCode,AU$2)))*(PayEarnType="Monthly")*(PayEarnValues))/$AA128*12,IF(ISNUMBER(OFFSET($N$3,0,MATCH(AU$5,PayDedList,0)-1,1,1)),OFFSET($N$3,0,MATCH(AU$5,PayDedList,0)-1,1,1),IgnoreMin)))*IF(COUNTIFS(EmpNo,$C128,OFFSET(Emp!$R$4,1,MATCH(AU$5,DedListItem,0)-1,EmpCount,1),"&lt;&gt;")&gt;0,VLOOKUP($C128,EmpAll,COLUMN(Emp!$R$4)+MATCH(AU$5,DedListItem,0)-1,0),OFFSET(Setup!$E$73,MATCH(AU$5,DedListItem,0),0,1,1))*AU$3))),IF(ISNUMBER(AU$4),AU$4,IgnoreMin)))))</f>
        <v>0</v>
      </c>
      <c r="AV128" s="148" cm="1">
        <f t="array" aca="1" ref="AV128" ca="1">-IF($F128="Terminated",0,IF($AA128=0,0,IF(ISNA(MATCH(AV$5,PayDedList,0)),0,MIN(IF(COUNTIFS(OverEmp,$C128,OverDeduct,AV$5,OverDate,"&lt;"&amp;DATE(YEAR($AC128),MONTH($AC128)+1,1),OverEnd,"&gt;="&amp;DATE(YEAR($AC128),MONTH($AC128),1))&gt;0,SUMPRODUCT((PayEmp=$C128)*(PayDate&lt;=$AC128)*(OFFSET($N$6,1,MATCH(AV$5,PayDedList,0)-1,PayCount,1)))/$AA128*12*AV$3,IF(OR(AV$1="Fixed",AV$1="Not Used"),SUMPRODUCT((PayEmp=$C128)*(PayDate&lt;=$AC128)*(OFFSET($N$6,1,MATCH(AV$5,PayDedList,0)-1,PayCount,1)))/$AA128*12*AV$3,IF(ISNA(MATCH(OFFSET($N$2,0,MATCH(AV$5,PayDedList,0)-1,1,1),EarnListItem,0))=FALSE,SUMPRODUCT((PayEmp=$C128)*(PayDate&lt;=$AC128)*(OFFSET($N$6,1,MATCH(AV$5,PayDedList,0)-1,PayCount,1)))/$AA128*12*AV$3,(MIN(SUMPRODUCT((PayEmp=$C128)*(PayDate&lt;=$AC128)*(ISERROR(SEARCH(PayEarnCode,AV$2)))*(PayEarnType="Monthly")*(PayEarnValues))/$AA128*12,IF(ISNUMBER(OFFSET($N$3,0,MATCH(AV$5,PayDedList,0)-1,1,1)),OFFSET($N$3,0,MATCH(AV$5,PayDedList,0)-1,1,1),IgnoreMin)))*IF(COUNTIFS(EmpNo,$C128,OFFSET(Emp!$R$4,1,MATCH(AV$5,DedListItem,0)-1,EmpCount,1),"&lt;&gt;")&gt;0,VLOOKUP($C128,EmpAll,COLUMN(Emp!$R$4)+MATCH(AV$5,DedListItem,0)-1,0),OFFSET(Setup!$E$73,MATCH(AV$5,DedListItem,0),0,1,1))*AV$3))),IF(ISNUMBER(AV$4),AV$4,IgnoreMin)))))</f>
        <v>0</v>
      </c>
      <c r="AW128" s="148" cm="1">
        <f t="array" aca="1" ref="AW128" ca="1">-IF($F128="Terminated",0,IF($AA128=0,0,IF(ISNA(MATCH(AW$5,PayDedList,0)),0,MIN(IF(COUNTIFS(OverEmp,$C128,OverDeduct,AW$5,OverDate,"&lt;"&amp;DATE(YEAR($AC128),MONTH($AC128)+1,1),OverEnd,"&gt;="&amp;DATE(YEAR($AC128),MONTH($AC128),1))&gt;0,SUMPRODUCT((PayEmp=$C128)*(PayDate&lt;=$AC128)*(OFFSET($N$6,1,MATCH(AW$5,PayDedList,0)-1,PayCount,1)))/$AA128*12*AW$3,IF(OR(AW$1="Fixed",AW$1="Not Used"),SUMPRODUCT((PayEmp=$C128)*(PayDate&lt;=$AC128)*(OFFSET($N$6,1,MATCH(AW$5,PayDedList,0)-1,PayCount,1)))/$AA128*12*AW$3,IF(ISNA(MATCH(OFFSET($N$2,0,MATCH(AW$5,PayDedList,0)-1,1,1),EarnListItem,0))=FALSE,SUMPRODUCT((PayEmp=$C128)*(PayDate&lt;=$AC128)*(OFFSET($N$6,1,MATCH(AW$5,PayDedList,0)-1,PayCount,1)))/$AA128*12*AW$3,(MIN(SUMPRODUCT((PayEmp=$C128)*(PayDate&lt;=$AC128)*(ISERROR(SEARCH(PayEarnCode,AW$2)))*(PayEarnType="Monthly")*(PayEarnValues))/$AA128*12,IF(ISNUMBER(OFFSET($N$3,0,MATCH(AW$5,PayDedList,0)-1,1,1)),OFFSET($N$3,0,MATCH(AW$5,PayDedList,0)-1,1,1),IgnoreMin)))*IF(COUNTIFS(EmpNo,$C128,OFFSET(Emp!$R$4,1,MATCH(AW$5,DedListItem,0)-1,EmpCount,1),"&lt;&gt;")&gt;0,VLOOKUP($C128,EmpAll,COLUMN(Emp!$R$4)+MATCH(AW$5,DedListItem,0)-1,0),OFFSET(Setup!$E$73,MATCH(AW$5,DedListItem,0),0,1,1))*AW$3))),IF(ISNUMBER(AW$4),AW$4,IgnoreMin)))))</f>
        <v>0</v>
      </c>
      <c r="AX128" s="148">
        <f t="shared" ca="1" si="58"/>
        <v>1440000</v>
      </c>
      <c r="AY128" s="148">
        <f t="shared" ca="1" si="59"/>
        <v>0</v>
      </c>
      <c r="AZ128" s="148">
        <f ca="1">IF(ISNUMBER($AL128),($AR128*$AL128)-$AI128-$AK128,MAX(0,IF($AL128="B",IF($AR128&lt;Setup!$C$32,($AR128*Setup!$D$32)-$AI128-$AK128,(($AR128-VLOOKUP($AR128,TaxAll2,1,1))*OFFSET(Setup!$D$32,MATCH($AR128,TaxBracket2,1),0,1,1))+OFFSET(Setup!$E$31,MATCH($AR128,TaxBracket2,1),0,1,1)-$AI128-$AK128),IF($AR128&lt;Setup!$C$21,($AR128*Setup!$D$21)-$AI128-$AK128,(($AR128-VLOOKUP($AR128,TaxAll1,1,1))*OFFSET(Setup!$D$21,MATCH($AR128,TaxBracket1,1),0,1,1))+OFFSET(Setup!$E$20,MATCH($AR128,TaxBracket1,1),0,1,1)-$AI128-$AK128))))</f>
        <v>461980</v>
      </c>
      <c r="BA128" s="148">
        <f ca="1">IF(ISNUMBER($AL128),($AX128*$AL128)-$AI128-$AK128,MAX(0,IF($AL128="B",IF($AX128&lt;Setup!$C$32,($AX128*Setup!$D$32)-$AI128-$AK128,(($AX128-VLOOKUP($AX128,TaxAll2,1,1))*OFFSET(Setup!$D$32,MATCH($AX128,TaxBracket2,1),0,1,1))+OFFSET(Setup!$E$31,MATCH($AX128,TaxBracket2,1),0,1,1)-$AI128-$AK128),IF($AX128&lt;Setup!$C$21,($AX128*Setup!$D$21)-$AI128-$AK128,(($AX128-VLOOKUP($AX128,TaxAll1,1,1))*OFFSET(Setup!$D$21,MATCH($AX128,TaxBracket1,1),0,1,1))+OFFSET(Setup!$E$20,MATCH($AX128,TaxBracket1,1),0,1,1)-$AI128-$AK128))))</f>
        <v>461980</v>
      </c>
      <c r="BB128" s="148">
        <f t="shared" ca="1" si="53"/>
        <v>0</v>
      </c>
      <c r="BC128" s="150">
        <f t="shared" ca="1" si="45"/>
        <v>1</v>
      </c>
      <c r="BD128" s="150">
        <f t="shared" ca="1" si="46"/>
        <v>0</v>
      </c>
      <c r="BE128" s="148">
        <f t="shared" ca="1" si="47"/>
        <v>1440000</v>
      </c>
    </row>
    <row r="129" spans="1:57" ht="16.149999999999999" customHeight="1" x14ac:dyDescent="0.25">
      <c r="A129" s="10" t="str" cm="1">
        <f t="array" aca="1" ref="A129" ca="1">IF(ROW($A129)-ROW($A$6)&gt;EmpCount*12,"-",TEXT($B129,"yyyy")&amp;TEXT($B129,"mm")&amp;"-"&amp;$C129)</f>
        <v>202311-EXS003</v>
      </c>
      <c r="B129" s="137" cm="1">
        <f t="array" aca="1" ref="B129" ca="1">IF(ROW($A129)-ROW($A$6)&gt;EmpCount*12,Setup!$D$12,DATE(YEAR(Setup!$F$12),MONTH(Setup!$F$12)+ROUNDDOWN((ROW($A129)-ROW($A$6)-1)/EmpCount,0),IF(Setup!$C$14&gt;DAY(DATE(YEAR(Setup!$F$12),MONTH(Setup!$F$12)+ROUNDDOWN((ROW($A129)-ROW($A$6)-1)/EmpCount,0)+1,0)),DAY(DATE(YEAR(Setup!$F$12),MONTH(Setup!$F$12)+ROUNDDOWN((ROW($A129)-ROW($A$6)-1)/EmpCount,0)+1,0)),Setup!$C$14)))</f>
        <v>45255</v>
      </c>
      <c r="C129" s="101" t="str" cm="1">
        <f t="array" aca="1" ref="C129" ca="1">IF(ROW($A129)-ROW($A$6)&gt;EmpCount*12,"-",OFFSET(Emp!$A$4,ROW($A129)-ROW($A$6)-IF(ROW($A129)-ROW($A$6)&gt;EmpCount,ROUNDDOWN((ROW($A129)-ROW($A$6)-1)/EmpCount,0)*EmpCount,0),0,1,1))</f>
        <v>EXS003</v>
      </c>
      <c r="D129" s="10" t="str">
        <f ca="1">IF(ISNA(VLOOKUP($C129,EmpAll,COLUMN(Emp!$B$4),0)),"-",VLOOKUP($C129,EmpAll,COLUMN(Emp!$B$4),0))</f>
        <v>Wilson PG</v>
      </c>
      <c r="E129" s="145" t="str">
        <f ca="1">IF(ISNA(VLOOKUP($C129,EmpAll,COLUMN(Emp!$C$4),0)),"-",VLOOKUP($C129,EmpAll,COLUMN(Emp!$C$4),0))</f>
        <v>S</v>
      </c>
      <c r="F129" s="101" t="str">
        <f ca="1">IF(ISNA(VLOOKUP($C129,EmpAll,COLUMN(Emp!$A$4),0)),"-",IF(AND(VLOOKUP($C129,EmpAll,COLUMN(Emp!$E$4),0)&lt;&gt;0,VLOOKUP($C129,EmpAll,COLUMN(Emp!$E$4),0)&gt;=DATE(YEAR($AC129),MONTH($AC129)+1,0)),"Inactive",IF(AND(VLOOKUP($C129,EmpAll,COLUMN(Emp!$F$4),0)&lt;&gt;0,VLOOKUP($C129,EmpAll,COLUMN(Emp!$F$4),0)&lt;=DATE(YEAR($AC129),MONTH($AC129),0)),"Terminated","Active")))</f>
        <v>Active</v>
      </c>
      <c r="G129" s="133" cm="1">
        <f t="array" aca="1" ref="G129" ca="1">IF($F129&lt;&gt;"Active",0,IF(COUNTIFS(OverEmp,$C129,OverEarn,G$2,OverDate,"&lt;"&amp;DATE(YEAR($AC129),MONTH($AC129)+1,1),OverEnd,"&gt;="&amp;DATE(YEAR($AC129),MONTH($AC129),1))&gt;0,SUMIFS(OverValue,OverEmp,$C129,OverEarn,G$2,OverDate,"&lt;"&amp;DATE(YEAR($AC129),MONTH($AC129)+1,1),OverEnd,"&gt;="&amp;DATE(YEAR($AC129),MONTH($AC129),1)),IF(AND($AC129&gt;=Setup!$E$10,SUMIFS(EmpIncrease,EmpCode,$C129)&gt;0),SUMIFS(EmpIncrease,EmpCode,$C129),SUMIFS(EmpSalary,EmpCode,$C129))))</f>
        <v>15000</v>
      </c>
      <c r="H129" s="133" cm="1">
        <f t="array" aca="1" ref="H129" ca="1">IF($F129&lt;&gt;"Active",0,IF(COUNTIFS(OverEmp,$C129,OverEarn,H$2,OverDate,"&lt;"&amp;DATE(YEAR($AC129),MONTH($AC129)+1,1),OverEnd,"&gt;="&amp;DATE(YEAR($AC129),MONTH($AC129),1))&gt;0,SUMIFS(OverValue,OverEmp,$C129,OverEarn,H$2,OverDate,"&lt;"&amp;DATE(YEAR($AC129),MONTH($AC129)+1,1),OverEnd,"&gt;="&amp;DATE(YEAR($AC129),MONTH($AC129),1)),0))</f>
        <v>0</v>
      </c>
      <c r="I129" s="133" cm="1">
        <f t="array" aca="1" ref="I129" ca="1">IF($F129&lt;&gt;"Active",0,IF(COUNTIFS(OverEmp,$C129,OverEarn,I$2,OverDate,"&lt;"&amp;DATE(YEAR($AC129),MONTH($AC129)+1,1),OverEnd,"&gt;="&amp;DATE(YEAR($AC129),MONTH($AC129),1))&gt;0,SUMIFS(OverValue,OverEmp,$C129,OverEarn,I$2,OverDate,"&lt;"&amp;DATE(YEAR($AC129),MONTH($AC129)+1,1),OverEnd,"&gt;="&amp;DATE(YEAR($AC129),MONTH($AC129),1)),IF(MONTH(B129)=Setup!$C$15,SUMIFS(EmpBonus,EmpCode,$C129),0)))</f>
        <v>0</v>
      </c>
      <c r="J129" s="133" cm="1">
        <f t="array" aca="1" ref="J129" ca="1">IF($F129&lt;&gt;"Active",0,IF(COUNTIFS(OverEmp,$C129,OverEarn,J$2,OverDate,"&lt;"&amp;DATE(YEAR($AC129),MONTH($AC129)+1,1),OverEnd,"&gt;="&amp;DATE(YEAR($AC129),MONTH($AC129),1))&gt;0,SUMIFS(OverValue,OverEmp,$C129,OverEarn,J$2,OverDate,"&lt;"&amp;DATE(YEAR($AC129),MONTH($AC129)+1,1),OverEnd,"&gt;="&amp;DATE(YEAR($AC129),MONTH($AC129),1)),0))</f>
        <v>0</v>
      </c>
      <c r="K129" s="133" cm="1">
        <f t="array" aca="1" ref="K129" ca="1">IF($F129&lt;&gt;"Active",0,IF(COUNTIFS(OverEmp,$C129,OverEarn,K$2,OverDate,"&lt;"&amp;DATE(YEAR($AC129),MONTH($AC129)+1,1),OverEnd,"&gt;="&amp;DATE(YEAR($AC129),MONTH($AC129),1))&gt;0,SUMIFS(OverValue,OverEmp,$C129,OverEarn,K$2,OverDate,"&lt;"&amp;DATE(YEAR($AC129),MONTH($AC129)+1,1),OverEnd,"&gt;="&amp;DATE(YEAR($AC129),MONTH($AC129),1)),0))</f>
        <v>0</v>
      </c>
      <c r="L129" s="185">
        <f t="shared" ca="1" si="54"/>
        <v>15000</v>
      </c>
      <c r="M129" s="182" cm="1">
        <f t="array" aca="1" ref="M129" ca="1">IF(COUNTIFS(OverEmp,$C129,OverTax,M$5,OverDate,"&lt;"&amp;DATE(YEAR($AC129),MONTH($AC129)+1,1),OverEnd,"&gt;="&amp;DATE(YEAR($AC129),MONTH($AC129),1))&gt;0,SUMIFS(OverValue,OverEmp,$C129,OverTax,M$5,OverDate,"&lt;"&amp;DATE(YEAR($AC129),MONTH($AC129)+1,1),OverEnd,"&gt;="&amp;DATE(YEAR($AC129),MONTH($AC129),1)),(($BA129/12*$AA129)+(BB129*IF(1-$BC129=0,0,BD129/(1-$BC129))))-IF($F129="Terminated",0,SUMIFS(PayTaxDeduct,PayDate,"&lt;"&amp;$AC129,PayEmp,$C129)))</f>
        <v>899.75</v>
      </c>
      <c r="N129" s="133" cm="1">
        <f t="array" aca="1" ref="N129" ca="1">IF($F129="Terminated",0,IF($AA129=0,0,IF(ISNA(MATCH(N$5,DedListItem,0)),0,IF(COUNTIFS(OverEmp,$C129,OverDeduct,N$5,OverDate,"&lt;"&amp;DATE(YEAR($AC129),MONTH($AC129)+1,1),OverEnd,"&gt;="&amp;DATE(YEAR($AC129),MONTH($AC129),1))&gt;0,SUMIFS(OverValue,OverEmp,$C129,OverDeduct,N$5,OverDate,"&lt;"&amp;DATE(YEAR($AC129),MONTH($AC129)+1,1),OverEnd,"&gt;="&amp;DATE(YEAR($AC129),MONTH($AC129),1)),IF(OR(N$2="Fixed",N$2="Not Used"),(IF(COUNTIFS(EmpNo,$C129,OFFSET(Emp!$R$4,1,MATCH(N$5,DedListItem,0)-1,EmpCount,1),"&lt;&gt;")&gt;0,VLOOKUP($C129,EmpAll,COLUMN(Emp!$R$4)+MATCH(N$5,DedListItem,0)-1,0),OFFSET(Setup!$E$73,MATCH(N$5,DedListItem,0),0,1,1))*$AA129)-SUMIFS(OFFSET(N$6,1,0,PayCount,1),PayDate,"&lt;"&amp;$AC129,PayEmp,$C129),IF(ISNA(MATCH(N$2,EarnListItem,0))=FALSE,IF(OFFSET(Setup!$G$73,MATCH(N$5,DedListItem,0),0,1,1)="Taxable",SUMPRODUCT((PayEmp=$C129)*(PayDate&lt;=$AC129)*(PayEarnCode=N$2)*(PayEarnTax)*(PayEarnValues)),SUMPRODUCT((PayEmp=$C129)*(PayDate&lt;=$AC129)*(PayEarnCode=N$2)*(PayEarnValues)))*IF(COUNTIFS(EmpNo,$C129,OFFSET(Emp!$R$4,1,MATCH(N$5,DedListItem,0)-1,EmpCount,1),"&lt;&gt;")&gt;0,VLOOKUP($C129,EmpAll,COLUMN(Emp!$R$4)+MATCH(N$5,DedListItem,0)-1,0),OFFSET(Setup!$E$73,MATCH(N$5,DedListItem,0),0,1,1)),(MIN(IF(OFFSET(Setup!$G$73,MATCH(N$5,DedListItem,0),0,1,1)="Taxable",SUMPRODUCT((PayEmp=$C129)*(PayDate&lt;=$AC129)*(ISERROR(SEARCH(PayEarnCode,N$4)))*(PayEarnTax)*(PayEarnValues)),SUMPRODUCT((PayEmp=$C129)*(PayDate&lt;=$AC129)*(ISERROR(SEARCH(PayEarnCode,N$4)))*(PayEarnValues))),IF(ISNUMBER(N$3),N$3/12*$AA129,IgnoreMin)))*IF(COUNTIFS(EmpNo,$C129,OFFSET(Emp!$R$4,1,MATCH(N$5,DedListItem,0)-1,EmpCount,1),"&lt;&gt;")&gt;0,VLOOKUP($C129,EmpAll,COLUMN(Emp!$R$4)+MATCH(N$5,DedListItem,0)-1,0),OFFSET(Setup!$E$73,MATCH(N$5,DedListItem,0),0,1,1)))-SUMIFS(OFFSET(N$6,1,0,PayCount,1),PayDate,"&lt;"&amp;$AC129,PayEmp,$C129))))))</f>
        <v>150</v>
      </c>
      <c r="O129" s="133" cm="1">
        <f t="array" aca="1" ref="O129" ca="1">IF($F129="Terminated",0,IF($AA129=0,0,IF(ISNA(MATCH(O$5,DedListItem,0)),0,IF(COUNTIFS(OverEmp,$C129,OverDeduct,O$5,OverDate,"&lt;"&amp;DATE(YEAR($AC129),MONTH($AC129)+1,1),OverEnd,"&gt;="&amp;DATE(YEAR($AC129),MONTH($AC129),1))&gt;0,SUMIFS(OverValue,OverEmp,$C129,OverDeduct,O$5,OverDate,"&lt;"&amp;DATE(YEAR($AC129),MONTH($AC129)+1,1),OverEnd,"&gt;="&amp;DATE(YEAR($AC129),MONTH($AC129),1)),IF(OR(O$2="Fixed",O$2="Not Used"),(IF(COUNTIFS(EmpNo,$C129,OFFSET(Emp!$R$4,1,MATCH(O$5,DedListItem,0)-1,EmpCount,1),"&lt;&gt;")&gt;0,VLOOKUP($C129,EmpAll,COLUMN(Emp!$R$4)+MATCH(O$5,DedListItem,0)-1,0),OFFSET(Setup!$E$73,MATCH(O$5,DedListItem,0),0,1,1))*$AA129)-SUMIFS(OFFSET(O$6,1,0,PayCount,1),PayDate,"&lt;"&amp;$AC129,PayEmp,$C129),IF(ISNA(MATCH(O$2,EarnListItem,0))=FALSE,IF(OFFSET(Setup!$G$73,MATCH(O$5,DedListItem,0),0,1,1)="Taxable",SUMPRODUCT((PayEmp=$C129)*(PayDate&lt;=$AC129)*(PayEarnCode=O$2)*(PayEarnTax)*(PayEarnValues)),SUMPRODUCT((PayEmp=$C129)*(PayDate&lt;=$AC129)*(PayEarnCode=O$2)*(PayEarnValues)))*IF(COUNTIFS(EmpNo,$C129,OFFSET(Emp!$R$4,1,MATCH(O$5,DedListItem,0)-1,EmpCount,1),"&lt;&gt;")&gt;0,VLOOKUP($C129,EmpAll,COLUMN(Emp!$R$4)+MATCH(O$5,DedListItem,0)-1,0),OFFSET(Setup!$E$73,MATCH(O$5,DedListItem,0),0,1,1)),(MIN(IF(OFFSET(Setup!$G$73,MATCH(O$5,DedListItem,0),0,1,1)="Taxable",SUMPRODUCT((PayEmp=$C129)*(PayDate&lt;=$AC129)*(ISERROR(SEARCH(PayEarnCode,O$4)))*(PayEarnTax)*(PayEarnValues)),SUMPRODUCT((PayEmp=$C129)*(PayDate&lt;=$AC129)*(ISERROR(SEARCH(PayEarnCode,O$4)))*(PayEarnValues))),IF(ISNUMBER(O$3),O$3/12*$AA129,IgnoreMin)))*IF(COUNTIFS(EmpNo,$C129,OFFSET(Emp!$R$4,1,MATCH(O$5,DedListItem,0)-1,EmpCount,1),"&lt;&gt;")&gt;0,VLOOKUP($C129,EmpAll,COLUMN(Emp!$R$4)+MATCH(O$5,DedListItem,0)-1,0),OFFSET(Setup!$E$73,MATCH(O$5,DedListItem,0),0,1,1)))-SUMIFS(OFFSET(O$6,1,0,PayCount,1),PayDate,"&lt;"&amp;$AC129,PayEmp,$C129))))))</f>
        <v>0</v>
      </c>
      <c r="P129" s="133" cm="1">
        <f t="array" aca="1" ref="P129" ca="1">IF($F129="Terminated",0,IF($AA129=0,0,IF(ISNA(MATCH(P$5,DedListItem,0)),0,IF(COUNTIFS(OverEmp,$C129,OverDeduct,P$5,OverDate,"&lt;"&amp;DATE(YEAR($AC129),MONTH($AC129)+1,1),OverEnd,"&gt;="&amp;DATE(YEAR($AC129),MONTH($AC129),1))&gt;0,SUMIFS(OverValue,OverEmp,$C129,OverDeduct,P$5,OverDate,"&lt;"&amp;DATE(YEAR($AC129),MONTH($AC129)+1,1),OverEnd,"&gt;="&amp;DATE(YEAR($AC129),MONTH($AC129),1)),IF(OR(P$2="Fixed",P$2="Not Used"),(IF(COUNTIFS(EmpNo,$C129,OFFSET(Emp!$R$4,1,MATCH(P$5,DedListItem,0)-1,EmpCount,1),"&lt;&gt;")&gt;0,VLOOKUP($C129,EmpAll,COLUMN(Emp!$R$4)+MATCH(P$5,DedListItem,0)-1,0),OFFSET(Setup!$E$73,MATCH(P$5,DedListItem,0),0,1,1))*$AA129)-SUMIFS(OFFSET(P$6,1,0,PayCount,1),PayDate,"&lt;"&amp;$AC129,PayEmp,$C129),IF(ISNA(MATCH(P$2,EarnListItem,0))=FALSE,IF(OFFSET(Setup!$G$73,MATCH(P$5,DedListItem,0),0,1,1)="Taxable",SUMPRODUCT((PayEmp=$C129)*(PayDate&lt;=$AC129)*(PayEarnCode=P$2)*(PayEarnTax)*(PayEarnValues)),SUMPRODUCT((PayEmp=$C129)*(PayDate&lt;=$AC129)*(PayEarnCode=P$2)*(PayEarnValues)))*IF(COUNTIFS(EmpNo,$C129,OFFSET(Emp!$R$4,1,MATCH(P$5,DedListItem,0)-1,EmpCount,1),"&lt;&gt;")&gt;0,VLOOKUP($C129,EmpAll,COLUMN(Emp!$R$4)+MATCH(P$5,DedListItem,0)-1,0),OFFSET(Setup!$E$73,MATCH(P$5,DedListItem,0),0,1,1)),(MIN(IF(OFFSET(Setup!$G$73,MATCH(P$5,DedListItem,0),0,1,1)="Taxable",SUMPRODUCT((PayEmp=$C129)*(PayDate&lt;=$AC129)*(ISERROR(SEARCH(PayEarnCode,P$4)))*(PayEarnTax)*(PayEarnValues)),SUMPRODUCT((PayEmp=$C129)*(PayDate&lt;=$AC129)*(ISERROR(SEARCH(PayEarnCode,P$4)))*(PayEarnValues))),IF(ISNUMBER(P$3),P$3/12*$AA129,IgnoreMin)))*IF(COUNTIFS(EmpNo,$C129,OFFSET(Emp!$R$4,1,MATCH(P$5,DedListItem,0)-1,EmpCount,1),"&lt;&gt;")&gt;0,VLOOKUP($C129,EmpAll,COLUMN(Emp!$R$4)+MATCH(P$5,DedListItem,0)-1,0),OFFSET(Setup!$E$73,MATCH(P$5,DedListItem,0),0,1,1)))-SUMIFS(OFFSET(P$6,1,0,PayCount,1),PayDate,"&lt;"&amp;$AC129,PayEmp,$C129))))))</f>
        <v>2000</v>
      </c>
      <c r="Q129" s="133" cm="1">
        <f t="array" aca="1" ref="Q129" ca="1">IF($F129="Terminated",0,IF($AA129=0,0,IF(ISNA(MATCH(Q$5,DedListItem,0)),0,IF(COUNTIFS(OverEmp,$C129,OverDeduct,Q$5,OverDate,"&lt;"&amp;DATE(YEAR($AC129),MONTH($AC129)+1,1),OverEnd,"&gt;="&amp;DATE(YEAR($AC129),MONTH($AC129),1))&gt;0,SUMIFS(OverValue,OverEmp,$C129,OverDeduct,Q$5,OverDate,"&lt;"&amp;DATE(YEAR($AC129),MONTH($AC129)+1,1),OverEnd,"&gt;="&amp;DATE(YEAR($AC129),MONTH($AC129),1)),IF(OR(Q$2="Fixed",Q$2="Not Used"),(IF(COUNTIFS(EmpNo,$C129,OFFSET(Emp!$R$4,1,MATCH(Q$5,DedListItem,0)-1,EmpCount,1),"&lt;&gt;")&gt;0,VLOOKUP($C129,EmpAll,COLUMN(Emp!$R$4)+MATCH(Q$5,DedListItem,0)-1,0),OFFSET(Setup!$E$73,MATCH(Q$5,DedListItem,0),0,1,1))*$AA129)-SUMIFS(OFFSET(Q$6,1,0,PayCount,1),PayDate,"&lt;"&amp;$AC129,PayEmp,$C129),IF(ISNA(MATCH(Q$2,EarnListItem,0))=FALSE,IF(OFFSET(Setup!$G$73,MATCH(Q$5,DedListItem,0),0,1,1)="Taxable",SUMPRODUCT((PayEmp=$C129)*(PayDate&lt;=$AC129)*(PayEarnCode=Q$2)*(PayEarnTax)*(PayEarnValues)),SUMPRODUCT((PayEmp=$C129)*(PayDate&lt;=$AC129)*(PayEarnCode=Q$2)*(PayEarnValues)))*IF(COUNTIFS(EmpNo,$C129,OFFSET(Emp!$R$4,1,MATCH(Q$5,DedListItem,0)-1,EmpCount,1),"&lt;&gt;")&gt;0,VLOOKUP($C129,EmpAll,COLUMN(Emp!$R$4)+MATCH(Q$5,DedListItem,0)-1,0),OFFSET(Setup!$E$73,MATCH(Q$5,DedListItem,0),0,1,1)),(MIN(IF(OFFSET(Setup!$G$73,MATCH(Q$5,DedListItem,0),0,1,1)="Taxable",SUMPRODUCT((PayEmp=$C129)*(PayDate&lt;=$AC129)*(ISERROR(SEARCH(PayEarnCode,Q$4)))*(PayEarnTax)*(PayEarnValues)),SUMPRODUCT((PayEmp=$C129)*(PayDate&lt;=$AC129)*(ISERROR(SEARCH(PayEarnCode,Q$4)))*(PayEarnValues))),IF(ISNUMBER(Q$3),Q$3/12*$AA129,IgnoreMin)))*IF(COUNTIFS(EmpNo,$C129,OFFSET(Emp!$R$4,1,MATCH(Q$5,DedListItem,0)-1,EmpCount,1),"&lt;&gt;")&gt;0,VLOOKUP($C129,EmpAll,COLUMN(Emp!$R$4)+MATCH(Q$5,DedListItem,0)-1,0),OFFSET(Setup!$E$73,MATCH(Q$5,DedListItem,0),0,1,1)))-SUMIFS(OFFSET(Q$6,1,0,PayCount,1),PayDate,"&lt;"&amp;$AC129,PayEmp,$C129))))))</f>
        <v>0</v>
      </c>
      <c r="R129" s="185">
        <f t="shared" ca="1" si="55"/>
        <v>3049.75</v>
      </c>
      <c r="S129" s="139">
        <f t="shared" ca="1" si="56"/>
        <v>11950.25</v>
      </c>
      <c r="T129" s="133" cm="1">
        <f t="array" aca="1" ref="T129" ca="1">IF($F129="Terminated",0,IF($AA129=0,0,IF(ISNA(MATCH(T$5,CompListItem,0)),0,IF(COUNTIFS(OverEmp,$C129,OverComp,T$5,OverDate,"&lt;"&amp;DATE(YEAR($AC129),MONTH($AC129)+1,1),OverEnd,"&gt;="&amp;DATE(YEAR($AC129),MONTH($AC129),1))&gt;0,SUMIFS(OverValue,OverEmp,$C129,OverComp,T$5,OverDate,"&lt;"&amp;DATE(YEAR($AC129),MONTH($AC129)+1,1),OverEnd,"&gt;="&amp;DATE(YEAR($AC129),MONTH($AC129),1)),IF(OR(T$2="Fixed",T$2="Not Used"),(OFFSET(Setup!$E$81,MATCH(T$5,CompListItem,0),0,1,1)*$AA129)-SUMIFS(OFFSET(T$6,1,0,PayCount,1),PayDate,"&lt;"&amp;$AC129,PayEmp,$C129),IF(ISNA(MATCH(T$2,DedListItem,0))=FALSE,(SUMPRODUCT((PayEmp=$C129)*(PayDate&lt;=$AC129)*(PayDedList=T$2)*(PayDedValues))*OFFSET(Setup!$E$81,MATCH(T$5,CompListItem,0),0,1,1))-SUMIFS(OFFSET(T$6,1,0,PayCount,1),PayDate,"&lt;"&amp;$AC129,PayEmp,$C129),(MIN(IF(OFFSET(Setup!$G$81,MATCH(T$5,CompListItem,0),0,1,1)="Taxable",SUMPRODUCT((PayEmp=$C129)*(PayDate&lt;=$AC129)*(ISERROR(SEARCH(PayEarnCode,T$4)))*(PayEarnTax)*(PayEarnValues)),SUMPRODUCT((PayEmp=$C129)*(PayDate&lt;=$AC129)*(ISERROR(SEARCH(PayEarnCode,T$4)))*(PayEarnValues))),IF(ISNUMBER(T$3),T$3/12*$AA129,IgnoreMin)))*OFFSET(Setup!$E$81,MATCH(T$5,CompListItem,0),0,1,1)-SUMIFS(OFFSET(T$6,1,0,PayCount,1),PayDate,"&lt;"&amp;$AC129,PayEmp,$C129)))))))</f>
        <v>150</v>
      </c>
      <c r="U129" s="133" cm="1">
        <f t="array" aca="1" ref="U129" ca="1">IF($F129="Terminated",0,IF($AA129=0,0,IF(ISNA(MATCH(U$5,CompListItem,0)),0,IF(COUNTIFS(OverEmp,$C129,OverComp,U$5,OverDate,"&lt;"&amp;DATE(YEAR($AC129),MONTH($AC129)+1,1),OverEnd,"&gt;="&amp;DATE(YEAR($AC129),MONTH($AC129),1))&gt;0,SUMIFS(OverValue,OverEmp,$C129,OverComp,U$5,OverDate,"&lt;"&amp;DATE(YEAR($AC129),MONTH($AC129)+1,1),OverEnd,"&gt;="&amp;DATE(YEAR($AC129),MONTH($AC129),1)),IF(OR(U$2="Fixed",U$2="Not Used"),(OFFSET(Setup!$E$81,MATCH(U$5,CompListItem,0),0,1,1)*$AA129)-SUMIFS(OFFSET(U$6,1,0,PayCount,1),PayDate,"&lt;"&amp;$AC129,PayEmp,$C129),IF(ISNA(MATCH(U$2,DedListItem,0))=FALSE,(SUMPRODUCT((PayEmp=$C129)*(PayDate&lt;=$AC129)*(PayDedList=U$2)*(PayDedValues))*OFFSET(Setup!$E$81,MATCH(U$5,CompListItem,0),0,1,1))-SUMIFS(OFFSET(U$6,1,0,PayCount,1),PayDate,"&lt;"&amp;$AC129,PayEmp,$C129),(MIN(IF(OFFSET(Setup!$G$81,MATCH(U$5,CompListItem,0),0,1,1)="Taxable",SUMPRODUCT((PayEmp=$C129)*(PayDate&lt;=$AC129)*(ISERROR(SEARCH(PayEarnCode,U$4)))*(PayEarnTax)*(PayEarnValues)),SUMPRODUCT((PayEmp=$C129)*(PayDate&lt;=$AC129)*(ISERROR(SEARCH(PayEarnCode,U$4)))*(PayEarnValues))),IF(ISNUMBER(U$3),U$3/12*$AA129,IgnoreMin)))*OFFSET(Setup!$E$81,MATCH(U$5,CompListItem,0),0,1,1)-SUMIFS(OFFSET(U$6,1,0,PayCount,1),PayDate,"&lt;"&amp;$AC129,PayEmp,$C129)))))))</f>
        <v>150</v>
      </c>
      <c r="V129" s="133" cm="1">
        <f t="array" aca="1" ref="V129" ca="1">IF($F129="Terminated",0,IF($AA129=0,0,IF(ISNA(MATCH(V$5,CompListItem,0)),0,IF(COUNTIFS(OverEmp,$C129,OverComp,V$5,OverDate,"&lt;"&amp;DATE(YEAR($AC129),MONTH($AC129)+1,1),OverEnd,"&gt;="&amp;DATE(YEAR($AC129),MONTH($AC129),1))&gt;0,SUMIFS(OverValue,OverEmp,$C129,OverComp,V$5,OverDate,"&lt;"&amp;DATE(YEAR($AC129),MONTH($AC129)+1,1),OverEnd,"&gt;="&amp;DATE(YEAR($AC129),MONTH($AC129),1)),IF(OR(V$2="Fixed",V$2="Not Used"),(OFFSET(Setup!$E$81,MATCH(V$5,CompListItem,0),0,1,1)*$AA129)-SUMIFS(OFFSET(V$6,1,0,PayCount,1),PayDate,"&lt;"&amp;$AC129,PayEmp,$C129),IF(ISNA(MATCH(V$2,DedListItem,0))=FALSE,(SUMPRODUCT((PayEmp=$C129)*(PayDate&lt;=$AC129)*(PayDedList=V$2)*(PayDedValues))*OFFSET(Setup!$E$81,MATCH(V$5,CompListItem,0),0,1,1))-SUMIFS(OFFSET(V$6,1,0,PayCount,1),PayDate,"&lt;"&amp;$AC129,PayEmp,$C129),(MIN(IF(OFFSET(Setup!$G$81,MATCH(V$5,CompListItem,0),0,1,1)="Taxable",SUMPRODUCT((PayEmp=$C129)*(PayDate&lt;=$AC129)*(ISERROR(SEARCH(PayEarnCode,V$4)))*(PayEarnTax)*(PayEarnValues)),SUMPRODUCT((PayEmp=$C129)*(PayDate&lt;=$AC129)*(ISERROR(SEARCH(PayEarnCode,V$4)))*(PayEarnValues))),IF(ISNUMBER(V$3),V$3/12*$AA129,IgnoreMin)))*OFFSET(Setup!$E$81,MATCH(V$5,CompListItem,0),0,1,1)-SUMIFS(OFFSET(V$6,1,0,PayCount,1),PayDate,"&lt;"&amp;$AC129,PayEmp,$C129)))))))</f>
        <v>0</v>
      </c>
      <c r="W129" s="133" cm="1">
        <f t="array" aca="1" ref="W129" ca="1">IF($F129="Terminated",0,IF($AA129=0,0,IF(ISNA(MATCH(W$5,CompListItem,0)),0,IF(COUNTIFS(OverEmp,$C129,OverComp,W$5,OverDate,"&lt;"&amp;DATE(YEAR($AC129),MONTH($AC129)+1,1),OverEnd,"&gt;="&amp;DATE(YEAR($AC129),MONTH($AC129),1))&gt;0,SUMIFS(OverValue,OverEmp,$C129,OverComp,W$5,OverDate,"&lt;"&amp;DATE(YEAR($AC129),MONTH($AC129)+1,1),OverEnd,"&gt;="&amp;DATE(YEAR($AC129),MONTH($AC129),1)),IF(OR(W$2="Fixed",W$2="Not Used"),(OFFSET(Setup!$E$81,MATCH(W$5,CompListItem,0),0,1,1)*$AA129)-SUMIFS(OFFSET(W$6,1,0,PayCount,1),PayDate,"&lt;"&amp;$AC129,PayEmp,$C129),IF(ISNA(MATCH(W$2,DedListItem,0))=FALSE,(SUMPRODUCT((PayEmp=$C129)*(PayDate&lt;=$AC129)*(PayDedList=W$2)*(PayDedValues))*OFFSET(Setup!$E$81,MATCH(W$5,CompListItem,0),0,1,1))-SUMIFS(OFFSET(W$6,1,0,PayCount,1),PayDate,"&lt;"&amp;$AC129,PayEmp,$C129),(MIN(IF(OFFSET(Setup!$G$81,MATCH(W$5,CompListItem,0),0,1,1)="Taxable",SUMPRODUCT((PayEmp=$C129)*(PayDate&lt;=$AC129)*(ISERROR(SEARCH(PayEarnCode,W$4)))*(PayEarnTax)*(PayEarnValues)),SUMPRODUCT((PayEmp=$C129)*(PayDate&lt;=$AC129)*(ISERROR(SEARCH(PayEarnCode,W$4)))*(PayEarnValues))),IF(ISNUMBER(W$3),W$3/12*$AA129,IgnoreMin)))*OFFSET(Setup!$E$81,MATCH(W$5,CompListItem,0),0,1,1)-SUMIFS(OFFSET(W$6,1,0,PayCount,1),PayDate,"&lt;"&amp;$AC129,PayEmp,$C129)))))))</f>
        <v>0</v>
      </c>
      <c r="X129" s="185">
        <f t="shared" ca="1" si="48"/>
        <v>300</v>
      </c>
      <c r="Y129" s="139">
        <f t="shared" ca="1" si="57"/>
        <v>15300</v>
      </c>
      <c r="Z129" s="139">
        <f t="shared" ca="1" si="49"/>
        <v>3349.75</v>
      </c>
      <c r="AA129" s="146">
        <f ca="1">IF(OR($B129&lt;=Setup!$E$12,$B129&gt;=Setup!$D$12+1),0,IF($F129&lt;&gt;"Active",0,IF($AE129="Yes",$AB129,((YEAR($AC129)*12)+MONTH($AC129))-((YEAR($AD129)*12)+MONTH($AD129)-1))))</f>
        <v>9</v>
      </c>
      <c r="AB129" s="146">
        <f ca="1">IF(OR($B129&lt;=Setup!$E$12,$B129&gt;=Setup!$D$12+1),0,((YEAR($AC129)*12)+MONTH($AC129))-((YEAR(Setup!$E$12)*12)+MONTH(Setup!$E$12)))</f>
        <v>9</v>
      </c>
      <c r="AC129" s="186">
        <f t="shared" ca="1" si="50"/>
        <v>45255</v>
      </c>
      <c r="AD129" s="144">
        <f ca="1">IF(ISNA(VLOOKUP($C129,EmpAll,COLUMN(Emp!$E$4),0)),$AC129,IF(VLOOKUP($C129,EmpAll,COLUMN(Emp!$E$4),0)&lt;=Setup!$E$12,DATE(YEAR(Setup!$E$12),MONTH(Setup!$E$12)+1,1),VLOOKUP($C129,EmpAll,COLUMN(Emp!$E$4),0)))</f>
        <v>44986</v>
      </c>
      <c r="AE129" s="144" t="str">
        <f ca="1">IF(ISNA(VLOOKUP($C129,EmpAll,COLUMN(Emp!$G$1),0)),"-",IF(VLOOKUP($C129,EmpAll,COLUMN(Emp!$G$1),0)=0,"-",VLOOKUP($C129,EmpAll,COLUMN(Emp!$G$1),0)))</f>
        <v>-</v>
      </c>
      <c r="AF129" s="145">
        <f ca="1">IF(A129=PaySlip!$G$3,1,0)</f>
        <v>0</v>
      </c>
      <c r="AG129" s="130" cm="1">
        <f t="array" aca="1" ref="AG129" ca="1">IF(COUNTIFS(OverEmp,$C129,OverMed,"MED",OverDate,"&lt;"&amp;DATE(YEAR($AC129),MONTH($AC129)+1,1),OverEnd,"&gt;="&amp;DATE(YEAR($AC129),MONTH($AC129),1))&gt;0,SUMIFS(OverValue,OverEmp,$C129,OverMed,"MED",OverDate,"&lt;"&amp;DATE(YEAR($AC129),MONTH($AC129)+1,1),OverEnd,"&gt;="&amp;DATE(YEAR($AC129),MONTH($AC129),1)),IF(ISNA(VLOOKUP($C129,EmpAll,COLUMN(Emp!$N$4),0)),0,VLOOKUP($C129,EmpAll,COLUMN(Emp!$N$4),0)))</f>
        <v>1</v>
      </c>
      <c r="AH129" s="146">
        <f ca="1">VLOOKUP($AG129,MedList,COLUMN(Setup!$C$49),1)</f>
        <v>364</v>
      </c>
      <c r="AI129" s="146">
        <f t="shared" ca="1" si="40"/>
        <v>4368</v>
      </c>
      <c r="AJ129" s="101" t="str">
        <f ca="1">IF(ISNA(VLOOKUP($C129,EmpAll,COLUMN(Emp!$L$4),0)),"None!",VLOOKUP($C129,EmpAll,COLUMN(Emp!$L$4),0))</f>
        <v>A</v>
      </c>
      <c r="AK129" s="147">
        <f t="shared" ca="1" si="51"/>
        <v>17235</v>
      </c>
      <c r="AL129" s="101" t="str">
        <f ca="1">IF(ISNA(VLOOKUP($C129,Employees[],COLUMN(Emp!$M$4),0))=TRUE,"Error!",IF(VLOOKUP($C129,Employees[],COLUMN(Emp!$M$4),0)=0,"Yes",VLOOKUP($C129,Employees[],COLUMN(Emp!$M$4),0)))</f>
        <v>A</v>
      </c>
      <c r="AM129" s="148">
        <f t="shared" ca="1" si="41"/>
        <v>180000</v>
      </c>
      <c r="AN129" s="148" cm="1">
        <f t="array" aca="1" ref="AN129" ca="1">-IF($F129="Terminated",0,IF($AA129=0,0,IF(ISNA(MATCH(AN$5,PayDedList,0)),0,MIN(IF(COUNTIFS(OverEmp,$C129,OverDeduct,AN$5,OverDate,"&lt;"&amp;DATE(YEAR($AC129),MONTH($AC129)+1,1),OverEnd,"&gt;="&amp;DATE(YEAR($AC129),MONTH($AC129),1))&gt;0,SUMPRODUCT((PayEmp=$C129)*(PayDate&lt;=$AC129)*(OFFSET($N$6,1,MATCH(AN$5,PayDedList,0)-1,PayCount,1)))/$AA129*12*AN$3,IF(OR(AN$1="Fixed",AN$1="Not Used"),SUMPRODUCT((PayEmp=$C129)*(PayDate&lt;=$AC129)*(OFFSET($N$6,1,MATCH(AN$5,PayDedList,0)-1,PayCount,1)))/$AA129*12*AN$3,IF(ISNA(MATCH(AN$1,EarnListItem,0))=FALSE,SUMPRODUCT((PayEmp=$C129)*(PayDate&lt;=$AC129)*(OFFSET($N$6,1,MATCH(AN$5,PayDedList,0)-1,PayCount,1)))/$AA129*12*AN$3,(MIN(((SUMPRODUCT((PayEmp=$C129)*(PayDate&lt;=$AC129)*(ISERROR(SEARCH(PayEarnCode,AN$2)))*(PayEarnType="Monthly")*(PayEarnValues))/$AA129*12)+(SUMPRODUCT((PayEmp=$C129)*(PayDate&lt;=$AC129)*(ISERROR(SEARCH(PayEarnCode,AN$2)))*(PayEarnType="Quarterly")*(PayEarnValues))/MAX(1,ROUNDDOWN($AB129/3,0))*4)+(SUMPRODUCT((PayEmp=$C129)*(PayDate&lt;=$AC129)*(ISERROR(SEARCH(PayEarnCode,AN$2)))*(PayEarnType="Bi-Annual")*(PayEarnValues))/MAX(1,ROUNDDOWN($AB129/6,0))*2)+(SUMPRODUCT((PayEmp=$C129)*(PayDate&lt;=$AC129)*(ISERROR(SEARCH(PayEarnCode,AN$2)))*(PayEarnType="Annual")*(PayEarnValues)))),IF(ISNUMBER(OFFSET($N$3,0,MATCH(AN$5,PayDedList,0)-1,1,1)),OFFSET($N$3,0,MATCH(AN$5,PayDedList,0)-1,1,1),IgnoreMin)))*IF(COUNTIFS(EmpNo,$C129,OFFSET(Emp!$R$4,1,MATCH(AN$5,DedListItem,0)-1,EmpCount,1),"&lt;&gt;")&gt;0,VLOOKUP($C129,EmpAll,COLUMN(Emp!$R$4)+MATCH(AN$5,DedListItem,0)-1,0),OFFSET(Setup!$E$73,MATCH(AN$5,DedListItem,0),0,1,1))*AN$3))),IF(ISNUMBER(AN$4),AN$4,IgnoreMin)))))</f>
        <v>0</v>
      </c>
      <c r="AO129" s="148" cm="1">
        <f t="array" aca="1" ref="AO129" ca="1">-IF($F129="Terminated",0,IF($AA129=0,0,IF(ISNA(MATCH(AO$5,PayDedList,0)),0,MIN(IF(COUNTIFS(OverEmp,$C129,OverDeduct,AO$5,OverDate,"&lt;"&amp;DATE(YEAR($AC129),MONTH($AC129)+1,1),OverEnd,"&gt;="&amp;DATE(YEAR($AC129),MONTH($AC129),1))&gt;0,SUMPRODUCT((PayEmp=$C129)*(PayDate&lt;=$AC129)*(OFFSET($N$6,1,MATCH(AO$5,PayDedList,0)-1,PayCount,1)))/$AA129*12*AO$3,IF(OR(AO$1="Fixed",AO$1="Not Used"),SUMPRODUCT((PayEmp=$C129)*(PayDate&lt;=$AC129)*(OFFSET($N$6,1,MATCH(AO$5,PayDedList,0)-1,PayCount,1)))/$AA129*12*AO$3,IF(ISNA(MATCH(AO$1,EarnListItem,0))=FALSE,SUMPRODUCT((PayEmp=$C129)*(PayDate&lt;=$AC129)*(OFFSET($N$6,1,MATCH(AO$5,PayDedList,0)-1,PayCount,1)))/$AA129*12*AO$3,(MIN(((SUMPRODUCT((PayEmp=$C129)*(PayDate&lt;=$AC129)*(ISERROR(SEARCH(PayEarnCode,AO$2)))*(PayEarnType="Monthly")*(PayEarnValues))/$AA129*12)+(SUMPRODUCT((PayEmp=$C129)*(PayDate&lt;=$AC129)*(ISERROR(SEARCH(PayEarnCode,AO$2)))*(PayEarnType="Quarterly")*(PayEarnValues))/MAX(1,ROUNDDOWN($AB129/3,0))*4)+(SUMPRODUCT((PayEmp=$C129)*(PayDate&lt;=$AC129)*(ISERROR(SEARCH(PayEarnCode,AO$2)))*(PayEarnType="Bi-Annual")*(PayEarnValues))/MAX(1,ROUNDDOWN($AB129/6,0))*2)+(SUMPRODUCT((PayEmp=$C129)*(PayDate&lt;=$AC129)*(ISERROR(SEARCH(PayEarnCode,AO$2)))*(PayEarnType="Annual")*(PayEarnValues)))),IF(ISNUMBER(OFFSET($N$3,0,MATCH(AO$5,PayDedList,0)-1,1,1)),OFFSET($N$3,0,MATCH(AO$5,PayDedList,0)-1,1,1),IgnoreMin)))*IF(COUNTIFS(EmpNo,$C129,OFFSET(Emp!$R$4,1,MATCH(AO$5,DedListItem,0)-1,EmpCount,1),"&lt;&gt;")&gt;0,VLOOKUP($C129,EmpAll,COLUMN(Emp!$R$4)+MATCH(AO$5,DedListItem,0)-1,0),OFFSET(Setup!$E$73,MATCH(AO$5,DedListItem,0),0,1,1))*AO$3))),IF(ISNUMBER(AO$4),AO$4,IgnoreMin)))))</f>
        <v>0</v>
      </c>
      <c r="AP129" s="148" cm="1">
        <f t="array" aca="1" ref="AP129" ca="1">-IF($F129="Terminated",0,IF($AA129=0,0,IF(ISNA(MATCH(AP$5,PayDedList,0)),0,MIN(IF(COUNTIFS(OverEmp,$C129,OverDeduct,AP$5,OverDate,"&lt;"&amp;DATE(YEAR($AC129),MONTH($AC129)+1,1),OverEnd,"&gt;="&amp;DATE(YEAR($AC129),MONTH($AC129),1))&gt;0,SUMPRODUCT((PayEmp=$C129)*(PayDate&lt;=$AC129)*(OFFSET($N$6,1,MATCH(AP$5,PayDedList,0)-1,PayCount,1)))/$AA129*12*AP$3,IF(OR(AP$1="Fixed",AP$1="Not Used"),SUMPRODUCT((PayEmp=$C129)*(PayDate&lt;=$AC129)*(OFFSET($N$6,1,MATCH(AP$5,PayDedList,0)-1,PayCount,1)))/$AA129*12*AP$3,IF(ISNA(MATCH(AP$1,EarnListItem,0))=FALSE,SUMPRODUCT((PayEmp=$C129)*(PayDate&lt;=$AC129)*(OFFSET($N$6,1,MATCH(AP$5,PayDedList,0)-1,PayCount,1)))/$AA129*12*AP$3,(MIN(((SUMPRODUCT((PayEmp=$C129)*(PayDate&lt;=$AC129)*(ISERROR(SEARCH(PayEarnCode,AP$2)))*(PayEarnType="Monthly")*(PayEarnValues))/$AA129*12)+(SUMPRODUCT((PayEmp=$C129)*(PayDate&lt;=$AC129)*(ISERROR(SEARCH(PayEarnCode,AP$2)))*(PayEarnType="Quarterly")*(PayEarnValues))/MAX(1,ROUNDDOWN($AB129/3,0))*4)+(SUMPRODUCT((PayEmp=$C129)*(PayDate&lt;=$AC129)*(ISERROR(SEARCH(PayEarnCode,AP$2)))*(PayEarnType="Bi-Annual")*(PayEarnValues))/MAX(1,ROUNDDOWN($AB129/6,0))*2)+(SUMPRODUCT((PayEmp=$C129)*(PayDate&lt;=$AC129)*(ISERROR(SEARCH(PayEarnCode,AP$2)))*(PayEarnType="Annual")*(PayEarnValues)))),IF(ISNUMBER(OFFSET($N$3,0,MATCH(AP$5,PayDedList,0)-1,1,1)),OFFSET($N$3,0,MATCH(AP$5,PayDedList,0)-1,1,1),IgnoreMin)))*IF(COUNTIFS(EmpNo,$C129,OFFSET(Emp!$R$4,1,MATCH(AP$5,DedListItem,0)-1,EmpCount,1),"&lt;&gt;")&gt;0,VLOOKUP($C129,EmpAll,COLUMN(Emp!$R$4)+MATCH(AP$5,DedListItem,0)-1,0),OFFSET(Setup!$E$73,MATCH(AP$5,DedListItem,0),0,1,1))*AP$3))),IF(ISNUMBER(AP$4),AP$4,IgnoreMin)))))</f>
        <v>0</v>
      </c>
      <c r="AQ129" s="148" cm="1">
        <f t="array" aca="1" ref="AQ129" ca="1">-IF($F129="Terminated",0,IF($AA129=0,0,IF(ISNA(MATCH(AQ$5,PayDedList,0)),0,MIN(IF(COUNTIFS(OverEmp,$C129,OverDeduct,AQ$5,OverDate,"&lt;"&amp;DATE(YEAR($AC129),MONTH($AC129)+1,1),OverEnd,"&gt;="&amp;DATE(YEAR($AC129),MONTH($AC129),1))&gt;0,SUMPRODUCT((PayEmp=$C129)*(PayDate&lt;=$AC129)*(OFFSET($N$6,1,MATCH(AQ$5,PayDedList,0)-1,PayCount,1)))/$AA129*12*AQ$3,IF(OR(AQ$1="Fixed",AQ$1="Not Used"),SUMPRODUCT((PayEmp=$C129)*(PayDate&lt;=$AC129)*(OFFSET($N$6,1,MATCH(AQ$5,PayDedList,0)-1,PayCount,1)))/$AA129*12*AQ$3,IF(ISNA(MATCH(AQ$1,EarnListItem,0))=FALSE,SUMPRODUCT((PayEmp=$C129)*(PayDate&lt;=$AC129)*(OFFSET($N$6,1,MATCH(AQ$5,PayDedList,0)-1,PayCount,1)))/$AA129*12*AQ$3,(MIN(((SUMPRODUCT((PayEmp=$C129)*(PayDate&lt;=$AC129)*(ISERROR(SEARCH(PayEarnCode,AQ$2)))*(PayEarnType="Monthly")*(PayEarnValues))/$AA129*12)+(SUMPRODUCT((PayEmp=$C129)*(PayDate&lt;=$AC129)*(ISERROR(SEARCH(PayEarnCode,AQ$2)))*(PayEarnType="Quarterly")*(PayEarnValues))/MAX(1,ROUNDDOWN($AB129/3,0))*4)+(SUMPRODUCT((PayEmp=$C129)*(PayDate&lt;=$AC129)*(ISERROR(SEARCH(PayEarnCode,AQ$2)))*(PayEarnType="Bi-Annual")*(PayEarnValues))/MAX(1,ROUNDDOWN($AB129/6,0))*2)+(SUMPRODUCT((PayEmp=$C129)*(PayDate&lt;=$AC129)*(ISERROR(SEARCH(PayEarnCode,AQ$2)))*(PayEarnType="Annual")*(PayEarnValues)))),IF(ISNUMBER(OFFSET($N$3,0,MATCH(AQ$5,PayDedList,0)-1,1,1)),OFFSET($N$3,0,MATCH(AQ$5,PayDedList,0)-1,1,1),IgnoreMin)))*IF(COUNTIFS(EmpNo,$C129,OFFSET(Emp!$R$4,1,MATCH(AQ$5,DedListItem,0)-1,EmpCount,1),"&lt;&gt;")&gt;0,VLOOKUP($C129,EmpAll,COLUMN(Emp!$R$4)+MATCH(AQ$5,DedListItem,0)-1,0),OFFSET(Setup!$E$73,MATCH(AQ$5,DedListItem,0),0,1,1))*AQ$3))),IF(ISNUMBER(AQ$4),AQ$4,IgnoreMin)))))</f>
        <v>0</v>
      </c>
      <c r="AR129" s="148">
        <f t="shared" ca="1" si="52"/>
        <v>180000</v>
      </c>
      <c r="AS129" s="148">
        <f t="shared" ca="1" si="42"/>
        <v>180000</v>
      </c>
      <c r="AT129" s="148" cm="1">
        <f t="array" aca="1" ref="AT129" ca="1">-IF($F129="Terminated",0,IF($AA129=0,0,IF(ISNA(MATCH(AT$5,PayDedList,0)),0,MIN(IF(COUNTIFS(OverEmp,$C129,OverDeduct,AT$5,OverDate,"&lt;"&amp;DATE(YEAR($AC129),MONTH($AC129)+1,1),OverEnd,"&gt;="&amp;DATE(YEAR($AC129),MONTH($AC129),1))&gt;0,SUMPRODUCT((PayEmp=$C129)*(PayDate&lt;=$AC129)*(OFFSET($N$6,1,MATCH(AT$5,PayDedList,0)-1,PayCount,1)))/$AA129*12*AT$3,IF(OR(AT$1="Fixed",AT$1="Not Used"),SUMPRODUCT((PayEmp=$C129)*(PayDate&lt;=$AC129)*(OFFSET($N$6,1,MATCH(AT$5,PayDedList,0)-1,PayCount,1)))/$AA129*12*AT$3,IF(ISNA(MATCH(OFFSET($N$2,0,MATCH(AT$5,PayDedList,0)-1,1,1),EarnListItem,0))=FALSE,SUMPRODUCT((PayEmp=$C129)*(PayDate&lt;=$AC129)*(OFFSET($N$6,1,MATCH(AT$5,PayDedList,0)-1,PayCount,1)))/$AA129*12*AT$3,(MIN(SUMPRODUCT((PayEmp=$C129)*(PayDate&lt;=$AC129)*(ISERROR(SEARCH(PayEarnCode,AT$2)))*(PayEarnType="Monthly")*(PayEarnValues))/$AA129*12,IF(ISNUMBER(OFFSET($N$3,0,MATCH(AT$5,PayDedList,0)-1,1,1)),OFFSET($N$3,0,MATCH(AT$5,PayDedList,0)-1,1,1),IgnoreMin)))*IF(COUNTIFS(EmpNo,$C129,OFFSET(Emp!$R$4,1,MATCH(AT$5,DedListItem,0)-1,EmpCount,1),"&lt;&gt;")&gt;0,VLOOKUP($C129,EmpAll,COLUMN(Emp!$R$4)+MATCH(AT$5,DedListItem,0)-1,0),OFFSET(Setup!$E$73,MATCH(AT$5,DedListItem,0),0,1,1))*AT$3))),IF(ISNUMBER(AT$4),AT$4,IgnoreMin)))))</f>
        <v>0</v>
      </c>
      <c r="AU129" s="148" cm="1">
        <f t="array" aca="1" ref="AU129" ca="1">-IF($F129="Terminated",0,IF($AA129=0,0,IF(ISNA(MATCH(AU$5,PayDedList,0)),0,MIN(IF(COUNTIFS(OverEmp,$C129,OverDeduct,AU$5,OverDate,"&lt;"&amp;DATE(YEAR($AC129),MONTH($AC129)+1,1),OverEnd,"&gt;="&amp;DATE(YEAR($AC129),MONTH($AC129),1))&gt;0,SUMPRODUCT((PayEmp=$C129)*(PayDate&lt;=$AC129)*(OFFSET($N$6,1,MATCH(AU$5,PayDedList,0)-1,PayCount,1)))/$AA129*12*AU$3,IF(OR(AU$1="Fixed",AU$1="Not Used"),SUMPRODUCT((PayEmp=$C129)*(PayDate&lt;=$AC129)*(OFFSET($N$6,1,MATCH(AU$5,PayDedList,0)-1,PayCount,1)))/$AA129*12*AU$3,IF(ISNA(MATCH(OFFSET($N$2,0,MATCH(AU$5,PayDedList,0)-1,1,1),EarnListItem,0))=FALSE,SUMPRODUCT((PayEmp=$C129)*(PayDate&lt;=$AC129)*(OFFSET($N$6,1,MATCH(AU$5,PayDedList,0)-1,PayCount,1)))/$AA129*12*AU$3,(MIN(SUMPRODUCT((PayEmp=$C129)*(PayDate&lt;=$AC129)*(ISERROR(SEARCH(PayEarnCode,AU$2)))*(PayEarnType="Monthly")*(PayEarnValues))/$AA129*12,IF(ISNUMBER(OFFSET($N$3,0,MATCH(AU$5,PayDedList,0)-1,1,1)),OFFSET($N$3,0,MATCH(AU$5,PayDedList,0)-1,1,1),IgnoreMin)))*IF(COUNTIFS(EmpNo,$C129,OFFSET(Emp!$R$4,1,MATCH(AU$5,DedListItem,0)-1,EmpCount,1),"&lt;&gt;")&gt;0,VLOOKUP($C129,EmpAll,COLUMN(Emp!$R$4)+MATCH(AU$5,DedListItem,0)-1,0),OFFSET(Setup!$E$73,MATCH(AU$5,DedListItem,0),0,1,1))*AU$3))),IF(ISNUMBER(AU$4),AU$4,IgnoreMin)))))</f>
        <v>0</v>
      </c>
      <c r="AV129" s="148" cm="1">
        <f t="array" aca="1" ref="AV129" ca="1">-IF($F129="Terminated",0,IF($AA129=0,0,IF(ISNA(MATCH(AV$5,PayDedList,0)),0,MIN(IF(COUNTIFS(OverEmp,$C129,OverDeduct,AV$5,OverDate,"&lt;"&amp;DATE(YEAR($AC129),MONTH($AC129)+1,1),OverEnd,"&gt;="&amp;DATE(YEAR($AC129),MONTH($AC129),1))&gt;0,SUMPRODUCT((PayEmp=$C129)*(PayDate&lt;=$AC129)*(OFFSET($N$6,1,MATCH(AV$5,PayDedList,0)-1,PayCount,1)))/$AA129*12*AV$3,IF(OR(AV$1="Fixed",AV$1="Not Used"),SUMPRODUCT((PayEmp=$C129)*(PayDate&lt;=$AC129)*(OFFSET($N$6,1,MATCH(AV$5,PayDedList,0)-1,PayCount,1)))/$AA129*12*AV$3,IF(ISNA(MATCH(OFFSET($N$2,0,MATCH(AV$5,PayDedList,0)-1,1,1),EarnListItem,0))=FALSE,SUMPRODUCT((PayEmp=$C129)*(PayDate&lt;=$AC129)*(OFFSET($N$6,1,MATCH(AV$5,PayDedList,0)-1,PayCount,1)))/$AA129*12*AV$3,(MIN(SUMPRODUCT((PayEmp=$C129)*(PayDate&lt;=$AC129)*(ISERROR(SEARCH(PayEarnCode,AV$2)))*(PayEarnType="Monthly")*(PayEarnValues))/$AA129*12,IF(ISNUMBER(OFFSET($N$3,0,MATCH(AV$5,PayDedList,0)-1,1,1)),OFFSET($N$3,0,MATCH(AV$5,PayDedList,0)-1,1,1),IgnoreMin)))*IF(COUNTIFS(EmpNo,$C129,OFFSET(Emp!$R$4,1,MATCH(AV$5,DedListItem,0)-1,EmpCount,1),"&lt;&gt;")&gt;0,VLOOKUP($C129,EmpAll,COLUMN(Emp!$R$4)+MATCH(AV$5,DedListItem,0)-1,0),OFFSET(Setup!$E$73,MATCH(AV$5,DedListItem,0),0,1,1))*AV$3))),IF(ISNUMBER(AV$4),AV$4,IgnoreMin)))))</f>
        <v>0</v>
      </c>
      <c r="AW129" s="148" cm="1">
        <f t="array" aca="1" ref="AW129" ca="1">-IF($F129="Terminated",0,IF($AA129=0,0,IF(ISNA(MATCH(AW$5,PayDedList,0)),0,MIN(IF(COUNTIFS(OverEmp,$C129,OverDeduct,AW$5,OverDate,"&lt;"&amp;DATE(YEAR($AC129),MONTH($AC129)+1,1),OverEnd,"&gt;="&amp;DATE(YEAR($AC129),MONTH($AC129),1))&gt;0,SUMPRODUCT((PayEmp=$C129)*(PayDate&lt;=$AC129)*(OFFSET($N$6,1,MATCH(AW$5,PayDedList,0)-1,PayCount,1)))/$AA129*12*AW$3,IF(OR(AW$1="Fixed",AW$1="Not Used"),SUMPRODUCT((PayEmp=$C129)*(PayDate&lt;=$AC129)*(OFFSET($N$6,1,MATCH(AW$5,PayDedList,0)-1,PayCount,1)))/$AA129*12*AW$3,IF(ISNA(MATCH(OFFSET($N$2,0,MATCH(AW$5,PayDedList,0)-1,1,1),EarnListItem,0))=FALSE,SUMPRODUCT((PayEmp=$C129)*(PayDate&lt;=$AC129)*(OFFSET($N$6,1,MATCH(AW$5,PayDedList,0)-1,PayCount,1)))/$AA129*12*AW$3,(MIN(SUMPRODUCT((PayEmp=$C129)*(PayDate&lt;=$AC129)*(ISERROR(SEARCH(PayEarnCode,AW$2)))*(PayEarnType="Monthly")*(PayEarnValues))/$AA129*12,IF(ISNUMBER(OFFSET($N$3,0,MATCH(AW$5,PayDedList,0)-1,1,1)),OFFSET($N$3,0,MATCH(AW$5,PayDedList,0)-1,1,1),IgnoreMin)))*IF(COUNTIFS(EmpNo,$C129,OFFSET(Emp!$R$4,1,MATCH(AW$5,DedListItem,0)-1,EmpCount,1),"&lt;&gt;")&gt;0,VLOOKUP($C129,EmpAll,COLUMN(Emp!$R$4)+MATCH(AW$5,DedListItem,0)-1,0),OFFSET(Setup!$E$73,MATCH(AW$5,DedListItem,0),0,1,1))*AW$3))),IF(ISNUMBER(AW$4),AW$4,IgnoreMin)))))</f>
        <v>0</v>
      </c>
      <c r="AX129" s="148">
        <f t="shared" ca="1" si="58"/>
        <v>180000</v>
      </c>
      <c r="AY129" s="148">
        <f t="shared" ca="1" si="59"/>
        <v>0</v>
      </c>
      <c r="AZ129" s="148">
        <f ca="1">IF(ISNUMBER($AL129),($AR129*$AL129)-$AI129-$AK129,MAX(0,IF($AL129="B",IF($AR129&lt;Setup!$C$32,($AR129*Setup!$D$32)-$AI129-$AK129,(($AR129-VLOOKUP($AR129,TaxAll2,1,1))*OFFSET(Setup!$D$32,MATCH($AR129,TaxBracket2,1),0,1,1))+OFFSET(Setup!$E$31,MATCH($AR129,TaxBracket2,1),0,1,1)-$AI129-$AK129),IF($AR129&lt;Setup!$C$21,($AR129*Setup!$D$21)-$AI129-$AK129,(($AR129-VLOOKUP($AR129,TaxAll1,1,1))*OFFSET(Setup!$D$21,MATCH($AR129,TaxBracket1,1),0,1,1))+OFFSET(Setup!$E$20,MATCH($AR129,TaxBracket1,1),0,1,1)-$AI129-$AK129))))</f>
        <v>10797</v>
      </c>
      <c r="BA129" s="148">
        <f ca="1">IF(ISNUMBER($AL129),($AX129*$AL129)-$AI129-$AK129,MAX(0,IF($AL129="B",IF($AX129&lt;Setup!$C$32,($AX129*Setup!$D$32)-$AI129-$AK129,(($AX129-VLOOKUP($AX129,TaxAll2,1,1))*OFFSET(Setup!$D$32,MATCH($AX129,TaxBracket2,1),0,1,1))+OFFSET(Setup!$E$31,MATCH($AX129,TaxBracket2,1),0,1,1)-$AI129-$AK129),IF($AX129&lt;Setup!$C$21,($AX129*Setup!$D$21)-$AI129-$AK129,(($AX129-VLOOKUP($AX129,TaxAll1,1,1))*OFFSET(Setup!$D$21,MATCH($AX129,TaxBracket1,1),0,1,1))+OFFSET(Setup!$E$20,MATCH($AX129,TaxBracket1,1),0,1,1)-$AI129-$AK129))))</f>
        <v>10797</v>
      </c>
      <c r="BB129" s="148">
        <f t="shared" ca="1" si="53"/>
        <v>0</v>
      </c>
      <c r="BC129" s="150">
        <f t="shared" ca="1" si="45"/>
        <v>1</v>
      </c>
      <c r="BD129" s="150">
        <f t="shared" ca="1" si="46"/>
        <v>0</v>
      </c>
      <c r="BE129" s="148">
        <f t="shared" ca="1" si="47"/>
        <v>180000</v>
      </c>
    </row>
    <row r="130" spans="1:57" ht="16.149999999999999" customHeight="1" x14ac:dyDescent="0.25">
      <c r="A130" s="10" t="str" cm="1">
        <f t="array" aca="1" ref="A130" ca="1">IF(ROW($A130)-ROW($A$6)&gt;EmpCount*12,"-",TEXT($B130,"yyyy")&amp;TEXT($B130,"mm")&amp;"-"&amp;$C130)</f>
        <v>202311-EXS004</v>
      </c>
      <c r="B130" s="137" cm="1">
        <f t="array" aca="1" ref="B130" ca="1">IF(ROW($A130)-ROW($A$6)&gt;EmpCount*12,Setup!$D$12,DATE(YEAR(Setup!$F$12),MONTH(Setup!$F$12)+ROUNDDOWN((ROW($A130)-ROW($A$6)-1)/EmpCount,0),IF(Setup!$C$14&gt;DAY(DATE(YEAR(Setup!$F$12),MONTH(Setup!$F$12)+ROUNDDOWN((ROW($A130)-ROW($A$6)-1)/EmpCount,0)+1,0)),DAY(DATE(YEAR(Setup!$F$12),MONTH(Setup!$F$12)+ROUNDDOWN((ROW($A130)-ROW($A$6)-1)/EmpCount,0)+1,0)),Setup!$C$14)))</f>
        <v>45255</v>
      </c>
      <c r="C130" s="101" t="str" cm="1">
        <f t="array" aca="1" ref="C130" ca="1">IF(ROW($A130)-ROW($A$6)&gt;EmpCount*12,"-",OFFSET(Emp!$A$4,ROW($A130)-ROW($A$6)-IF(ROW($A130)-ROW($A$6)&gt;EmpCount,ROUNDDOWN((ROW($A130)-ROW($A$6)-1)/EmpCount,0)*EmpCount,0),0,1,1))</f>
        <v>EXS004</v>
      </c>
      <c r="D130" s="10" t="str">
        <f ca="1">IF(ISNA(VLOOKUP($C130,EmpAll,COLUMN(Emp!$B$4),0)),"-",VLOOKUP($C130,EmpAll,COLUMN(Emp!$B$4),0))</f>
        <v>Osborne S</v>
      </c>
      <c r="E130" s="145" t="str">
        <f ca="1">IF(ISNA(VLOOKUP($C130,EmpAll,COLUMN(Emp!$C$4),0)),"-",VLOOKUP($C130,EmpAll,COLUMN(Emp!$C$4),0))</f>
        <v>S</v>
      </c>
      <c r="F130" s="101" t="str">
        <f ca="1">IF(ISNA(VLOOKUP($C130,EmpAll,COLUMN(Emp!$A$4),0)),"-",IF(AND(VLOOKUP($C130,EmpAll,COLUMN(Emp!$E$4),0)&lt;&gt;0,VLOOKUP($C130,EmpAll,COLUMN(Emp!$E$4),0)&gt;=DATE(YEAR($AC130),MONTH($AC130)+1,0)),"Inactive",IF(AND(VLOOKUP($C130,EmpAll,COLUMN(Emp!$F$4),0)&lt;&gt;0,VLOOKUP($C130,EmpAll,COLUMN(Emp!$F$4),0)&lt;=DATE(YEAR($AC130),MONTH($AC130),0)),"Terminated","Active")))</f>
        <v>Active</v>
      </c>
      <c r="G130" s="133" cm="1">
        <f t="array" aca="1" ref="G130" ca="1">IF($F130&lt;&gt;"Active",0,IF(COUNTIFS(OverEmp,$C130,OverEarn,G$2,OverDate,"&lt;"&amp;DATE(YEAR($AC130),MONTH($AC130)+1,1),OverEnd,"&gt;="&amp;DATE(YEAR($AC130),MONTH($AC130),1))&gt;0,SUMIFS(OverValue,OverEmp,$C130,OverEarn,G$2,OverDate,"&lt;"&amp;DATE(YEAR($AC130),MONTH($AC130)+1,1),OverEnd,"&gt;="&amp;DATE(YEAR($AC130),MONTH($AC130),1)),IF(AND($AC130&gt;=Setup!$E$10,SUMIFS(EmpIncrease,EmpCode,$C130)&gt;0),SUMIFS(EmpIncrease,EmpCode,$C130),SUMIFS(EmpSalary,EmpCode,$C130))))</f>
        <v>15000</v>
      </c>
      <c r="H130" s="133" cm="1">
        <f t="array" aca="1" ref="H130" ca="1">IF($F130&lt;&gt;"Active",0,IF(COUNTIFS(OverEmp,$C130,OverEarn,H$2,OverDate,"&lt;"&amp;DATE(YEAR($AC130),MONTH($AC130)+1,1),OverEnd,"&gt;="&amp;DATE(YEAR($AC130),MONTH($AC130),1))&gt;0,SUMIFS(OverValue,OverEmp,$C130,OverEarn,H$2,OverDate,"&lt;"&amp;DATE(YEAR($AC130),MONTH($AC130)+1,1),OverEnd,"&gt;="&amp;DATE(YEAR($AC130),MONTH($AC130),1)),0))</f>
        <v>0</v>
      </c>
      <c r="I130" s="133" cm="1">
        <f t="array" aca="1" ref="I130" ca="1">IF($F130&lt;&gt;"Active",0,IF(COUNTIFS(OverEmp,$C130,OverEarn,I$2,OverDate,"&lt;"&amp;DATE(YEAR($AC130),MONTH($AC130)+1,1),OverEnd,"&gt;="&amp;DATE(YEAR($AC130),MONTH($AC130),1))&gt;0,SUMIFS(OverValue,OverEmp,$C130,OverEarn,I$2,OverDate,"&lt;"&amp;DATE(YEAR($AC130),MONTH($AC130)+1,1),OverEnd,"&gt;="&amp;DATE(YEAR($AC130),MONTH($AC130),1)),IF(MONTH(B130)=Setup!$C$15,SUMIFS(EmpBonus,EmpCode,$C130),0)))</f>
        <v>0</v>
      </c>
      <c r="J130" s="133" cm="1">
        <f t="array" aca="1" ref="J130" ca="1">IF($F130&lt;&gt;"Active",0,IF(COUNTIFS(OverEmp,$C130,OverEarn,J$2,OverDate,"&lt;"&amp;DATE(YEAR($AC130),MONTH($AC130)+1,1),OverEnd,"&gt;="&amp;DATE(YEAR($AC130),MONTH($AC130),1))&gt;0,SUMIFS(OverValue,OverEmp,$C130,OverEarn,J$2,OverDate,"&lt;"&amp;DATE(YEAR($AC130),MONTH($AC130)+1,1),OverEnd,"&gt;="&amp;DATE(YEAR($AC130),MONTH($AC130),1)),0))</f>
        <v>0</v>
      </c>
      <c r="K130" s="133" cm="1">
        <f t="array" aca="1" ref="K130" ca="1">IF($F130&lt;&gt;"Active",0,IF(COUNTIFS(OverEmp,$C130,OverEarn,K$2,OverDate,"&lt;"&amp;DATE(YEAR($AC130),MONTH($AC130)+1,1),OverEnd,"&gt;="&amp;DATE(YEAR($AC130),MONTH($AC130),1))&gt;0,SUMIFS(OverValue,OverEmp,$C130,OverEarn,K$2,OverDate,"&lt;"&amp;DATE(YEAR($AC130),MONTH($AC130)+1,1),OverEnd,"&gt;="&amp;DATE(YEAR($AC130),MONTH($AC130),1)),0))</f>
        <v>0</v>
      </c>
      <c r="L130" s="185">
        <f t="shared" ca="1" si="54"/>
        <v>15000</v>
      </c>
      <c r="M130" s="182" cm="1">
        <f t="array" aca="1" ref="M130" ca="1">IF(COUNTIFS(OverEmp,$C130,OverTax,M$5,OverDate,"&lt;"&amp;DATE(YEAR($AC130),MONTH($AC130)+1,1),OverEnd,"&gt;="&amp;DATE(YEAR($AC130),MONTH($AC130),1))&gt;0,SUMIFS(OverValue,OverEmp,$C130,OverTax,M$5,OverDate,"&lt;"&amp;DATE(YEAR($AC130),MONTH($AC130)+1,1),OverEnd,"&gt;="&amp;DATE(YEAR($AC130),MONTH($AC130),1)),(($BA130/12*$AA130)+(BB130*IF(1-$BC130=0,0,BD130/(1-$BC130))))-IF($F130="Terminated",0,SUMIFS(PayTaxDeduct,PayDate,"&lt;"&amp;$AC130,PayEmp,$C130)))</f>
        <v>899.75</v>
      </c>
      <c r="N130" s="133" cm="1">
        <f t="array" aca="1" ref="N130" ca="1">IF($F130="Terminated",0,IF($AA130=0,0,IF(ISNA(MATCH(N$5,DedListItem,0)),0,IF(COUNTIFS(OverEmp,$C130,OverDeduct,N$5,OverDate,"&lt;"&amp;DATE(YEAR($AC130),MONTH($AC130)+1,1),OverEnd,"&gt;="&amp;DATE(YEAR($AC130),MONTH($AC130),1))&gt;0,SUMIFS(OverValue,OverEmp,$C130,OverDeduct,N$5,OverDate,"&lt;"&amp;DATE(YEAR($AC130),MONTH($AC130)+1,1),OverEnd,"&gt;="&amp;DATE(YEAR($AC130),MONTH($AC130),1)),IF(OR(N$2="Fixed",N$2="Not Used"),(IF(COUNTIFS(EmpNo,$C130,OFFSET(Emp!$R$4,1,MATCH(N$5,DedListItem,0)-1,EmpCount,1),"&lt;&gt;")&gt;0,VLOOKUP($C130,EmpAll,COLUMN(Emp!$R$4)+MATCH(N$5,DedListItem,0)-1,0),OFFSET(Setup!$E$73,MATCH(N$5,DedListItem,0),0,1,1))*$AA130)-SUMIFS(OFFSET(N$6,1,0,PayCount,1),PayDate,"&lt;"&amp;$AC130,PayEmp,$C130),IF(ISNA(MATCH(N$2,EarnListItem,0))=FALSE,IF(OFFSET(Setup!$G$73,MATCH(N$5,DedListItem,0),0,1,1)="Taxable",SUMPRODUCT((PayEmp=$C130)*(PayDate&lt;=$AC130)*(PayEarnCode=N$2)*(PayEarnTax)*(PayEarnValues)),SUMPRODUCT((PayEmp=$C130)*(PayDate&lt;=$AC130)*(PayEarnCode=N$2)*(PayEarnValues)))*IF(COUNTIFS(EmpNo,$C130,OFFSET(Emp!$R$4,1,MATCH(N$5,DedListItem,0)-1,EmpCount,1),"&lt;&gt;")&gt;0,VLOOKUP($C130,EmpAll,COLUMN(Emp!$R$4)+MATCH(N$5,DedListItem,0)-1,0),OFFSET(Setup!$E$73,MATCH(N$5,DedListItem,0),0,1,1)),(MIN(IF(OFFSET(Setup!$G$73,MATCH(N$5,DedListItem,0),0,1,1)="Taxable",SUMPRODUCT((PayEmp=$C130)*(PayDate&lt;=$AC130)*(ISERROR(SEARCH(PayEarnCode,N$4)))*(PayEarnTax)*(PayEarnValues)),SUMPRODUCT((PayEmp=$C130)*(PayDate&lt;=$AC130)*(ISERROR(SEARCH(PayEarnCode,N$4)))*(PayEarnValues))),IF(ISNUMBER(N$3),N$3/12*$AA130,IgnoreMin)))*IF(COUNTIFS(EmpNo,$C130,OFFSET(Emp!$R$4,1,MATCH(N$5,DedListItem,0)-1,EmpCount,1),"&lt;&gt;")&gt;0,VLOOKUP($C130,EmpAll,COLUMN(Emp!$R$4)+MATCH(N$5,DedListItem,0)-1,0),OFFSET(Setup!$E$73,MATCH(N$5,DedListItem,0),0,1,1)))-SUMIFS(OFFSET(N$6,1,0,PayCount,1),PayDate,"&lt;"&amp;$AC130,PayEmp,$C130))))))</f>
        <v>150</v>
      </c>
      <c r="O130" s="133" cm="1">
        <f t="array" aca="1" ref="O130" ca="1">IF($F130="Terminated",0,IF($AA130=0,0,IF(ISNA(MATCH(O$5,DedListItem,0)),0,IF(COUNTIFS(OverEmp,$C130,OverDeduct,O$5,OverDate,"&lt;"&amp;DATE(YEAR($AC130),MONTH($AC130)+1,1),OverEnd,"&gt;="&amp;DATE(YEAR($AC130),MONTH($AC130),1))&gt;0,SUMIFS(OverValue,OverEmp,$C130,OverDeduct,O$5,OverDate,"&lt;"&amp;DATE(YEAR($AC130),MONTH($AC130)+1,1),OverEnd,"&gt;="&amp;DATE(YEAR($AC130),MONTH($AC130),1)),IF(OR(O$2="Fixed",O$2="Not Used"),(IF(COUNTIFS(EmpNo,$C130,OFFSET(Emp!$R$4,1,MATCH(O$5,DedListItem,0)-1,EmpCount,1),"&lt;&gt;")&gt;0,VLOOKUP($C130,EmpAll,COLUMN(Emp!$R$4)+MATCH(O$5,DedListItem,0)-1,0),OFFSET(Setup!$E$73,MATCH(O$5,DedListItem,0),0,1,1))*$AA130)-SUMIFS(OFFSET(O$6,1,0,PayCount,1),PayDate,"&lt;"&amp;$AC130,PayEmp,$C130),IF(ISNA(MATCH(O$2,EarnListItem,0))=FALSE,IF(OFFSET(Setup!$G$73,MATCH(O$5,DedListItem,0),0,1,1)="Taxable",SUMPRODUCT((PayEmp=$C130)*(PayDate&lt;=$AC130)*(PayEarnCode=O$2)*(PayEarnTax)*(PayEarnValues)),SUMPRODUCT((PayEmp=$C130)*(PayDate&lt;=$AC130)*(PayEarnCode=O$2)*(PayEarnValues)))*IF(COUNTIFS(EmpNo,$C130,OFFSET(Emp!$R$4,1,MATCH(O$5,DedListItem,0)-1,EmpCount,1),"&lt;&gt;")&gt;0,VLOOKUP($C130,EmpAll,COLUMN(Emp!$R$4)+MATCH(O$5,DedListItem,0)-1,0),OFFSET(Setup!$E$73,MATCH(O$5,DedListItem,0),0,1,1)),(MIN(IF(OFFSET(Setup!$G$73,MATCH(O$5,DedListItem,0),0,1,1)="Taxable",SUMPRODUCT((PayEmp=$C130)*(PayDate&lt;=$AC130)*(ISERROR(SEARCH(PayEarnCode,O$4)))*(PayEarnTax)*(PayEarnValues)),SUMPRODUCT((PayEmp=$C130)*(PayDate&lt;=$AC130)*(ISERROR(SEARCH(PayEarnCode,O$4)))*(PayEarnValues))),IF(ISNUMBER(O$3),O$3/12*$AA130,IgnoreMin)))*IF(COUNTIFS(EmpNo,$C130,OFFSET(Emp!$R$4,1,MATCH(O$5,DedListItem,0)-1,EmpCount,1),"&lt;&gt;")&gt;0,VLOOKUP($C130,EmpAll,COLUMN(Emp!$R$4)+MATCH(O$5,DedListItem,0)-1,0),OFFSET(Setup!$E$73,MATCH(O$5,DedListItem,0),0,1,1)))-SUMIFS(OFFSET(O$6,1,0,PayCount,1),PayDate,"&lt;"&amp;$AC130,PayEmp,$C130))))))</f>
        <v>0</v>
      </c>
      <c r="P130" s="133" cm="1">
        <f t="array" aca="1" ref="P130" ca="1">IF($F130="Terminated",0,IF($AA130=0,0,IF(ISNA(MATCH(P$5,DedListItem,0)),0,IF(COUNTIFS(OverEmp,$C130,OverDeduct,P$5,OverDate,"&lt;"&amp;DATE(YEAR($AC130),MONTH($AC130)+1,1),OverEnd,"&gt;="&amp;DATE(YEAR($AC130),MONTH($AC130),1))&gt;0,SUMIFS(OverValue,OverEmp,$C130,OverDeduct,P$5,OverDate,"&lt;"&amp;DATE(YEAR($AC130),MONTH($AC130)+1,1),OverEnd,"&gt;="&amp;DATE(YEAR($AC130),MONTH($AC130),1)),IF(OR(P$2="Fixed",P$2="Not Used"),(IF(COUNTIFS(EmpNo,$C130,OFFSET(Emp!$R$4,1,MATCH(P$5,DedListItem,0)-1,EmpCount,1),"&lt;&gt;")&gt;0,VLOOKUP($C130,EmpAll,COLUMN(Emp!$R$4)+MATCH(P$5,DedListItem,0)-1,0),OFFSET(Setup!$E$73,MATCH(P$5,DedListItem,0),0,1,1))*$AA130)-SUMIFS(OFFSET(P$6,1,0,PayCount,1),PayDate,"&lt;"&amp;$AC130,PayEmp,$C130),IF(ISNA(MATCH(P$2,EarnListItem,0))=FALSE,IF(OFFSET(Setup!$G$73,MATCH(P$5,DedListItem,0),0,1,1)="Taxable",SUMPRODUCT((PayEmp=$C130)*(PayDate&lt;=$AC130)*(PayEarnCode=P$2)*(PayEarnTax)*(PayEarnValues)),SUMPRODUCT((PayEmp=$C130)*(PayDate&lt;=$AC130)*(PayEarnCode=P$2)*(PayEarnValues)))*IF(COUNTIFS(EmpNo,$C130,OFFSET(Emp!$R$4,1,MATCH(P$5,DedListItem,0)-1,EmpCount,1),"&lt;&gt;")&gt;0,VLOOKUP($C130,EmpAll,COLUMN(Emp!$R$4)+MATCH(P$5,DedListItem,0)-1,0),OFFSET(Setup!$E$73,MATCH(P$5,DedListItem,0),0,1,1)),(MIN(IF(OFFSET(Setup!$G$73,MATCH(P$5,DedListItem,0),0,1,1)="Taxable",SUMPRODUCT((PayEmp=$C130)*(PayDate&lt;=$AC130)*(ISERROR(SEARCH(PayEarnCode,P$4)))*(PayEarnTax)*(PayEarnValues)),SUMPRODUCT((PayEmp=$C130)*(PayDate&lt;=$AC130)*(ISERROR(SEARCH(PayEarnCode,P$4)))*(PayEarnValues))),IF(ISNUMBER(P$3),P$3/12*$AA130,IgnoreMin)))*IF(COUNTIFS(EmpNo,$C130,OFFSET(Emp!$R$4,1,MATCH(P$5,DedListItem,0)-1,EmpCount,1),"&lt;&gt;")&gt;0,VLOOKUP($C130,EmpAll,COLUMN(Emp!$R$4)+MATCH(P$5,DedListItem,0)-1,0),OFFSET(Setup!$E$73,MATCH(P$5,DedListItem,0),0,1,1)))-SUMIFS(OFFSET(P$6,1,0,PayCount,1),PayDate,"&lt;"&amp;$AC130,PayEmp,$C130))))))</f>
        <v>500</v>
      </c>
      <c r="Q130" s="133" cm="1">
        <f t="array" aca="1" ref="Q130" ca="1">IF($F130="Terminated",0,IF($AA130=0,0,IF(ISNA(MATCH(Q$5,DedListItem,0)),0,IF(COUNTIFS(OverEmp,$C130,OverDeduct,Q$5,OverDate,"&lt;"&amp;DATE(YEAR($AC130),MONTH($AC130)+1,1),OverEnd,"&gt;="&amp;DATE(YEAR($AC130),MONTH($AC130),1))&gt;0,SUMIFS(OverValue,OverEmp,$C130,OverDeduct,Q$5,OverDate,"&lt;"&amp;DATE(YEAR($AC130),MONTH($AC130)+1,1),OverEnd,"&gt;="&amp;DATE(YEAR($AC130),MONTH($AC130),1)),IF(OR(Q$2="Fixed",Q$2="Not Used"),(IF(COUNTIFS(EmpNo,$C130,OFFSET(Emp!$R$4,1,MATCH(Q$5,DedListItem,0)-1,EmpCount,1),"&lt;&gt;")&gt;0,VLOOKUP($C130,EmpAll,COLUMN(Emp!$R$4)+MATCH(Q$5,DedListItem,0)-1,0),OFFSET(Setup!$E$73,MATCH(Q$5,DedListItem,0),0,1,1))*$AA130)-SUMIFS(OFFSET(Q$6,1,0,PayCount,1),PayDate,"&lt;"&amp;$AC130,PayEmp,$C130),IF(ISNA(MATCH(Q$2,EarnListItem,0))=FALSE,IF(OFFSET(Setup!$G$73,MATCH(Q$5,DedListItem,0),0,1,1)="Taxable",SUMPRODUCT((PayEmp=$C130)*(PayDate&lt;=$AC130)*(PayEarnCode=Q$2)*(PayEarnTax)*(PayEarnValues)),SUMPRODUCT((PayEmp=$C130)*(PayDate&lt;=$AC130)*(PayEarnCode=Q$2)*(PayEarnValues)))*IF(COUNTIFS(EmpNo,$C130,OFFSET(Emp!$R$4,1,MATCH(Q$5,DedListItem,0)-1,EmpCount,1),"&lt;&gt;")&gt;0,VLOOKUP($C130,EmpAll,COLUMN(Emp!$R$4)+MATCH(Q$5,DedListItem,0)-1,0),OFFSET(Setup!$E$73,MATCH(Q$5,DedListItem,0),0,1,1)),(MIN(IF(OFFSET(Setup!$G$73,MATCH(Q$5,DedListItem,0),0,1,1)="Taxable",SUMPRODUCT((PayEmp=$C130)*(PayDate&lt;=$AC130)*(ISERROR(SEARCH(PayEarnCode,Q$4)))*(PayEarnTax)*(PayEarnValues)),SUMPRODUCT((PayEmp=$C130)*(PayDate&lt;=$AC130)*(ISERROR(SEARCH(PayEarnCode,Q$4)))*(PayEarnValues))),IF(ISNUMBER(Q$3),Q$3/12*$AA130,IgnoreMin)))*IF(COUNTIFS(EmpNo,$C130,OFFSET(Emp!$R$4,1,MATCH(Q$5,DedListItem,0)-1,EmpCount,1),"&lt;&gt;")&gt;0,VLOOKUP($C130,EmpAll,COLUMN(Emp!$R$4)+MATCH(Q$5,DedListItem,0)-1,0),OFFSET(Setup!$E$73,MATCH(Q$5,DedListItem,0),0,1,1)))-SUMIFS(OFFSET(Q$6,1,0,PayCount,1),PayDate,"&lt;"&amp;$AC130,PayEmp,$C130))))))</f>
        <v>0</v>
      </c>
      <c r="R130" s="185">
        <f t="shared" ca="1" si="55"/>
        <v>1549.75</v>
      </c>
      <c r="S130" s="139">
        <f t="shared" ca="1" si="56"/>
        <v>13450.25</v>
      </c>
      <c r="T130" s="133" cm="1">
        <f t="array" aca="1" ref="T130" ca="1">IF($F130="Terminated",0,IF($AA130=0,0,IF(ISNA(MATCH(T$5,CompListItem,0)),0,IF(COUNTIFS(OverEmp,$C130,OverComp,T$5,OverDate,"&lt;"&amp;DATE(YEAR($AC130),MONTH($AC130)+1,1),OverEnd,"&gt;="&amp;DATE(YEAR($AC130),MONTH($AC130),1))&gt;0,SUMIFS(OverValue,OverEmp,$C130,OverComp,T$5,OverDate,"&lt;"&amp;DATE(YEAR($AC130),MONTH($AC130)+1,1),OverEnd,"&gt;="&amp;DATE(YEAR($AC130),MONTH($AC130),1)),IF(OR(T$2="Fixed",T$2="Not Used"),(OFFSET(Setup!$E$81,MATCH(T$5,CompListItem,0),0,1,1)*$AA130)-SUMIFS(OFFSET(T$6,1,0,PayCount,1),PayDate,"&lt;"&amp;$AC130,PayEmp,$C130),IF(ISNA(MATCH(T$2,DedListItem,0))=FALSE,(SUMPRODUCT((PayEmp=$C130)*(PayDate&lt;=$AC130)*(PayDedList=T$2)*(PayDedValues))*OFFSET(Setup!$E$81,MATCH(T$5,CompListItem,0),0,1,1))-SUMIFS(OFFSET(T$6,1,0,PayCount,1),PayDate,"&lt;"&amp;$AC130,PayEmp,$C130),(MIN(IF(OFFSET(Setup!$G$81,MATCH(T$5,CompListItem,0),0,1,1)="Taxable",SUMPRODUCT((PayEmp=$C130)*(PayDate&lt;=$AC130)*(ISERROR(SEARCH(PayEarnCode,T$4)))*(PayEarnTax)*(PayEarnValues)),SUMPRODUCT((PayEmp=$C130)*(PayDate&lt;=$AC130)*(ISERROR(SEARCH(PayEarnCode,T$4)))*(PayEarnValues))),IF(ISNUMBER(T$3),T$3/12*$AA130,IgnoreMin)))*OFFSET(Setup!$E$81,MATCH(T$5,CompListItem,0),0,1,1)-SUMIFS(OFFSET(T$6,1,0,PayCount,1),PayDate,"&lt;"&amp;$AC130,PayEmp,$C130)))))))</f>
        <v>150</v>
      </c>
      <c r="U130" s="133" cm="1">
        <f t="array" aca="1" ref="U130" ca="1">IF($F130="Terminated",0,IF($AA130=0,0,IF(ISNA(MATCH(U$5,CompListItem,0)),0,IF(COUNTIFS(OverEmp,$C130,OverComp,U$5,OverDate,"&lt;"&amp;DATE(YEAR($AC130),MONTH($AC130)+1,1),OverEnd,"&gt;="&amp;DATE(YEAR($AC130),MONTH($AC130),1))&gt;0,SUMIFS(OverValue,OverEmp,$C130,OverComp,U$5,OverDate,"&lt;"&amp;DATE(YEAR($AC130),MONTH($AC130)+1,1),OverEnd,"&gt;="&amp;DATE(YEAR($AC130),MONTH($AC130),1)),IF(OR(U$2="Fixed",U$2="Not Used"),(OFFSET(Setup!$E$81,MATCH(U$5,CompListItem,0),0,1,1)*$AA130)-SUMIFS(OFFSET(U$6,1,0,PayCount,1),PayDate,"&lt;"&amp;$AC130,PayEmp,$C130),IF(ISNA(MATCH(U$2,DedListItem,0))=FALSE,(SUMPRODUCT((PayEmp=$C130)*(PayDate&lt;=$AC130)*(PayDedList=U$2)*(PayDedValues))*OFFSET(Setup!$E$81,MATCH(U$5,CompListItem,0),0,1,1))-SUMIFS(OFFSET(U$6,1,0,PayCount,1),PayDate,"&lt;"&amp;$AC130,PayEmp,$C130),(MIN(IF(OFFSET(Setup!$G$81,MATCH(U$5,CompListItem,0),0,1,1)="Taxable",SUMPRODUCT((PayEmp=$C130)*(PayDate&lt;=$AC130)*(ISERROR(SEARCH(PayEarnCode,U$4)))*(PayEarnTax)*(PayEarnValues)),SUMPRODUCT((PayEmp=$C130)*(PayDate&lt;=$AC130)*(ISERROR(SEARCH(PayEarnCode,U$4)))*(PayEarnValues))),IF(ISNUMBER(U$3),U$3/12*$AA130,IgnoreMin)))*OFFSET(Setup!$E$81,MATCH(U$5,CompListItem,0),0,1,1)-SUMIFS(OFFSET(U$6,1,0,PayCount,1),PayDate,"&lt;"&amp;$AC130,PayEmp,$C130)))))))</f>
        <v>150</v>
      </c>
      <c r="V130" s="133" cm="1">
        <f t="array" aca="1" ref="V130" ca="1">IF($F130="Terminated",0,IF($AA130=0,0,IF(ISNA(MATCH(V$5,CompListItem,0)),0,IF(COUNTIFS(OverEmp,$C130,OverComp,V$5,OverDate,"&lt;"&amp;DATE(YEAR($AC130),MONTH($AC130)+1,1),OverEnd,"&gt;="&amp;DATE(YEAR($AC130),MONTH($AC130),1))&gt;0,SUMIFS(OverValue,OverEmp,$C130,OverComp,V$5,OverDate,"&lt;"&amp;DATE(YEAR($AC130),MONTH($AC130)+1,1),OverEnd,"&gt;="&amp;DATE(YEAR($AC130),MONTH($AC130),1)),IF(OR(V$2="Fixed",V$2="Not Used"),(OFFSET(Setup!$E$81,MATCH(V$5,CompListItem,0),0,1,1)*$AA130)-SUMIFS(OFFSET(V$6,1,0,PayCount,1),PayDate,"&lt;"&amp;$AC130,PayEmp,$C130),IF(ISNA(MATCH(V$2,DedListItem,0))=FALSE,(SUMPRODUCT((PayEmp=$C130)*(PayDate&lt;=$AC130)*(PayDedList=V$2)*(PayDedValues))*OFFSET(Setup!$E$81,MATCH(V$5,CompListItem,0),0,1,1))-SUMIFS(OFFSET(V$6,1,0,PayCount,1),PayDate,"&lt;"&amp;$AC130,PayEmp,$C130),(MIN(IF(OFFSET(Setup!$G$81,MATCH(V$5,CompListItem,0),0,1,1)="Taxable",SUMPRODUCT((PayEmp=$C130)*(PayDate&lt;=$AC130)*(ISERROR(SEARCH(PayEarnCode,V$4)))*(PayEarnTax)*(PayEarnValues)),SUMPRODUCT((PayEmp=$C130)*(PayDate&lt;=$AC130)*(ISERROR(SEARCH(PayEarnCode,V$4)))*(PayEarnValues))),IF(ISNUMBER(V$3),V$3/12*$AA130,IgnoreMin)))*OFFSET(Setup!$E$81,MATCH(V$5,CompListItem,0),0,1,1)-SUMIFS(OFFSET(V$6,1,0,PayCount,1),PayDate,"&lt;"&amp;$AC130,PayEmp,$C130)))))))</f>
        <v>0</v>
      </c>
      <c r="W130" s="133" cm="1">
        <f t="array" aca="1" ref="W130" ca="1">IF($F130="Terminated",0,IF($AA130=0,0,IF(ISNA(MATCH(W$5,CompListItem,0)),0,IF(COUNTIFS(OverEmp,$C130,OverComp,W$5,OverDate,"&lt;"&amp;DATE(YEAR($AC130),MONTH($AC130)+1,1),OverEnd,"&gt;="&amp;DATE(YEAR($AC130),MONTH($AC130),1))&gt;0,SUMIFS(OverValue,OverEmp,$C130,OverComp,W$5,OverDate,"&lt;"&amp;DATE(YEAR($AC130),MONTH($AC130)+1,1),OverEnd,"&gt;="&amp;DATE(YEAR($AC130),MONTH($AC130),1)),IF(OR(W$2="Fixed",W$2="Not Used"),(OFFSET(Setup!$E$81,MATCH(W$5,CompListItem,0),0,1,1)*$AA130)-SUMIFS(OFFSET(W$6,1,0,PayCount,1),PayDate,"&lt;"&amp;$AC130,PayEmp,$C130),IF(ISNA(MATCH(W$2,DedListItem,0))=FALSE,(SUMPRODUCT((PayEmp=$C130)*(PayDate&lt;=$AC130)*(PayDedList=W$2)*(PayDedValues))*OFFSET(Setup!$E$81,MATCH(W$5,CompListItem,0),0,1,1))-SUMIFS(OFFSET(W$6,1,0,PayCount,1),PayDate,"&lt;"&amp;$AC130,PayEmp,$C130),(MIN(IF(OFFSET(Setup!$G$81,MATCH(W$5,CompListItem,0),0,1,1)="Taxable",SUMPRODUCT((PayEmp=$C130)*(PayDate&lt;=$AC130)*(ISERROR(SEARCH(PayEarnCode,W$4)))*(PayEarnTax)*(PayEarnValues)),SUMPRODUCT((PayEmp=$C130)*(PayDate&lt;=$AC130)*(ISERROR(SEARCH(PayEarnCode,W$4)))*(PayEarnValues))),IF(ISNUMBER(W$3),W$3/12*$AA130,IgnoreMin)))*OFFSET(Setup!$E$81,MATCH(W$5,CompListItem,0),0,1,1)-SUMIFS(OFFSET(W$6,1,0,PayCount,1),PayDate,"&lt;"&amp;$AC130,PayEmp,$C130)))))))</f>
        <v>0</v>
      </c>
      <c r="X130" s="185">
        <f t="shared" ca="1" si="48"/>
        <v>300</v>
      </c>
      <c r="Y130" s="139">
        <f t="shared" ca="1" si="57"/>
        <v>15300</v>
      </c>
      <c r="Z130" s="139">
        <f t="shared" ca="1" si="49"/>
        <v>1849.75</v>
      </c>
      <c r="AA130" s="146">
        <f ca="1">IF(OR($B130&lt;=Setup!$E$12,$B130&gt;=Setup!$D$12+1),0,IF($F130&lt;&gt;"Active",0,IF($AE130="Yes",$AB130,((YEAR($AC130)*12)+MONTH($AC130))-((YEAR($AD130)*12)+MONTH($AD130)-1))))</f>
        <v>9</v>
      </c>
      <c r="AB130" s="146">
        <f ca="1">IF(OR($B130&lt;=Setup!$E$12,$B130&gt;=Setup!$D$12+1),0,((YEAR($AC130)*12)+MONTH($AC130))-((YEAR(Setup!$E$12)*12)+MONTH(Setup!$E$12)))</f>
        <v>9</v>
      </c>
      <c r="AC130" s="186">
        <f t="shared" ca="1" si="50"/>
        <v>45255</v>
      </c>
      <c r="AD130" s="144">
        <f ca="1">IF(ISNA(VLOOKUP($C130,EmpAll,COLUMN(Emp!$E$4),0)),$AC130,IF(VLOOKUP($C130,EmpAll,COLUMN(Emp!$E$4),0)&lt;=Setup!$E$12,DATE(YEAR(Setup!$E$12),MONTH(Setup!$E$12)+1,1),VLOOKUP($C130,EmpAll,COLUMN(Emp!$E$4),0)))</f>
        <v>44986</v>
      </c>
      <c r="AE130" s="144" t="str">
        <f ca="1">IF(ISNA(VLOOKUP($C130,EmpAll,COLUMN(Emp!$G$1),0)),"-",IF(VLOOKUP($C130,EmpAll,COLUMN(Emp!$G$1),0)=0,"-",VLOOKUP($C130,EmpAll,COLUMN(Emp!$G$1),0)))</f>
        <v>-</v>
      </c>
      <c r="AF130" s="145">
        <f ca="1">IF(A130=PaySlip!$G$3,1,0)</f>
        <v>0</v>
      </c>
      <c r="AG130" s="130" cm="1">
        <f t="array" aca="1" ref="AG130" ca="1">IF(COUNTIFS(OverEmp,$C130,OverMed,"MED",OverDate,"&lt;"&amp;DATE(YEAR($AC130),MONTH($AC130)+1,1),OverEnd,"&gt;="&amp;DATE(YEAR($AC130),MONTH($AC130),1))&gt;0,SUMIFS(OverValue,OverEmp,$C130,OverMed,"MED",OverDate,"&lt;"&amp;DATE(YEAR($AC130),MONTH($AC130)+1,1),OverEnd,"&gt;="&amp;DATE(YEAR($AC130),MONTH($AC130),1)),IF(ISNA(VLOOKUP($C130,EmpAll,COLUMN(Emp!$N$4),0)),0,VLOOKUP($C130,EmpAll,COLUMN(Emp!$N$4),0)))</f>
        <v>1</v>
      </c>
      <c r="AH130" s="146">
        <f ca="1">VLOOKUP($AG130,MedList,COLUMN(Setup!$C$49),1)</f>
        <v>364</v>
      </c>
      <c r="AI130" s="146">
        <f t="shared" ca="1" si="40"/>
        <v>4368</v>
      </c>
      <c r="AJ130" s="101" t="str">
        <f ca="1">IF(ISNA(VLOOKUP($C130,EmpAll,COLUMN(Emp!$L$4),0)),"None!",VLOOKUP($C130,EmpAll,COLUMN(Emp!$L$4),0))</f>
        <v>A</v>
      </c>
      <c r="AK130" s="147">
        <f t="shared" ca="1" si="51"/>
        <v>17235</v>
      </c>
      <c r="AL130" s="101" t="str">
        <f ca="1">IF(ISNA(VLOOKUP($C130,Employees[],COLUMN(Emp!$M$4),0))=TRUE,"Error!",IF(VLOOKUP($C130,Employees[],COLUMN(Emp!$M$4),0)=0,"Yes",VLOOKUP($C130,Employees[],COLUMN(Emp!$M$4),0)))</f>
        <v>A</v>
      </c>
      <c r="AM130" s="148">
        <f t="shared" ca="1" si="41"/>
        <v>183600</v>
      </c>
      <c r="AN130" s="148" cm="1">
        <f t="array" aca="1" ref="AN130" ca="1">-IF($F130="Terminated",0,IF($AA130=0,0,IF(ISNA(MATCH(AN$5,PayDedList,0)),0,MIN(IF(COUNTIFS(OverEmp,$C130,OverDeduct,AN$5,OverDate,"&lt;"&amp;DATE(YEAR($AC130),MONTH($AC130)+1,1),OverEnd,"&gt;="&amp;DATE(YEAR($AC130),MONTH($AC130),1))&gt;0,SUMPRODUCT((PayEmp=$C130)*(PayDate&lt;=$AC130)*(OFFSET($N$6,1,MATCH(AN$5,PayDedList,0)-1,PayCount,1)))/$AA130*12*AN$3,IF(OR(AN$1="Fixed",AN$1="Not Used"),SUMPRODUCT((PayEmp=$C130)*(PayDate&lt;=$AC130)*(OFFSET($N$6,1,MATCH(AN$5,PayDedList,0)-1,PayCount,1)))/$AA130*12*AN$3,IF(ISNA(MATCH(AN$1,EarnListItem,0))=FALSE,SUMPRODUCT((PayEmp=$C130)*(PayDate&lt;=$AC130)*(OFFSET($N$6,1,MATCH(AN$5,PayDedList,0)-1,PayCount,1)))/$AA130*12*AN$3,(MIN(((SUMPRODUCT((PayEmp=$C130)*(PayDate&lt;=$AC130)*(ISERROR(SEARCH(PayEarnCode,AN$2)))*(PayEarnType="Monthly")*(PayEarnValues))/$AA130*12)+(SUMPRODUCT((PayEmp=$C130)*(PayDate&lt;=$AC130)*(ISERROR(SEARCH(PayEarnCode,AN$2)))*(PayEarnType="Quarterly")*(PayEarnValues))/MAX(1,ROUNDDOWN($AB130/3,0))*4)+(SUMPRODUCT((PayEmp=$C130)*(PayDate&lt;=$AC130)*(ISERROR(SEARCH(PayEarnCode,AN$2)))*(PayEarnType="Bi-Annual")*(PayEarnValues))/MAX(1,ROUNDDOWN($AB130/6,0))*2)+(SUMPRODUCT((PayEmp=$C130)*(PayDate&lt;=$AC130)*(ISERROR(SEARCH(PayEarnCode,AN$2)))*(PayEarnType="Annual")*(PayEarnValues)))),IF(ISNUMBER(OFFSET($N$3,0,MATCH(AN$5,PayDedList,0)-1,1,1)),OFFSET($N$3,0,MATCH(AN$5,PayDedList,0)-1,1,1),IgnoreMin)))*IF(COUNTIFS(EmpNo,$C130,OFFSET(Emp!$R$4,1,MATCH(AN$5,DedListItem,0)-1,EmpCount,1),"&lt;&gt;")&gt;0,VLOOKUP($C130,EmpAll,COLUMN(Emp!$R$4)+MATCH(AN$5,DedListItem,0)-1,0),OFFSET(Setup!$E$73,MATCH(AN$5,DedListItem,0),0,1,1))*AN$3))),IF(ISNUMBER(AN$4),AN$4,IgnoreMin)))))</f>
        <v>0</v>
      </c>
      <c r="AO130" s="148" cm="1">
        <f t="array" aca="1" ref="AO130" ca="1">-IF($F130="Terminated",0,IF($AA130=0,0,IF(ISNA(MATCH(AO$5,PayDedList,0)),0,MIN(IF(COUNTIFS(OverEmp,$C130,OverDeduct,AO$5,OverDate,"&lt;"&amp;DATE(YEAR($AC130),MONTH($AC130)+1,1),OverEnd,"&gt;="&amp;DATE(YEAR($AC130),MONTH($AC130),1))&gt;0,SUMPRODUCT((PayEmp=$C130)*(PayDate&lt;=$AC130)*(OFFSET($N$6,1,MATCH(AO$5,PayDedList,0)-1,PayCount,1)))/$AA130*12*AO$3,IF(OR(AO$1="Fixed",AO$1="Not Used"),SUMPRODUCT((PayEmp=$C130)*(PayDate&lt;=$AC130)*(OFFSET($N$6,1,MATCH(AO$5,PayDedList,0)-1,PayCount,1)))/$AA130*12*AO$3,IF(ISNA(MATCH(AO$1,EarnListItem,0))=FALSE,SUMPRODUCT((PayEmp=$C130)*(PayDate&lt;=$AC130)*(OFFSET($N$6,1,MATCH(AO$5,PayDedList,0)-1,PayCount,1)))/$AA130*12*AO$3,(MIN(((SUMPRODUCT((PayEmp=$C130)*(PayDate&lt;=$AC130)*(ISERROR(SEARCH(PayEarnCode,AO$2)))*(PayEarnType="Monthly")*(PayEarnValues))/$AA130*12)+(SUMPRODUCT((PayEmp=$C130)*(PayDate&lt;=$AC130)*(ISERROR(SEARCH(PayEarnCode,AO$2)))*(PayEarnType="Quarterly")*(PayEarnValues))/MAX(1,ROUNDDOWN($AB130/3,0))*4)+(SUMPRODUCT((PayEmp=$C130)*(PayDate&lt;=$AC130)*(ISERROR(SEARCH(PayEarnCode,AO$2)))*(PayEarnType="Bi-Annual")*(PayEarnValues))/MAX(1,ROUNDDOWN($AB130/6,0))*2)+(SUMPRODUCT((PayEmp=$C130)*(PayDate&lt;=$AC130)*(ISERROR(SEARCH(PayEarnCode,AO$2)))*(PayEarnType="Annual")*(PayEarnValues)))),IF(ISNUMBER(OFFSET($N$3,0,MATCH(AO$5,PayDedList,0)-1,1,1)),OFFSET($N$3,0,MATCH(AO$5,PayDedList,0)-1,1,1),IgnoreMin)))*IF(COUNTIFS(EmpNo,$C130,OFFSET(Emp!$R$4,1,MATCH(AO$5,DedListItem,0)-1,EmpCount,1),"&lt;&gt;")&gt;0,VLOOKUP($C130,EmpAll,COLUMN(Emp!$R$4)+MATCH(AO$5,DedListItem,0)-1,0),OFFSET(Setup!$E$73,MATCH(AO$5,DedListItem,0),0,1,1))*AO$3))),IF(ISNUMBER(AO$4),AO$4,IgnoreMin)))))</f>
        <v>0</v>
      </c>
      <c r="AP130" s="148" cm="1">
        <f t="array" aca="1" ref="AP130" ca="1">-IF($F130="Terminated",0,IF($AA130=0,0,IF(ISNA(MATCH(AP$5,PayDedList,0)),0,MIN(IF(COUNTIFS(OverEmp,$C130,OverDeduct,AP$5,OverDate,"&lt;"&amp;DATE(YEAR($AC130),MONTH($AC130)+1,1),OverEnd,"&gt;="&amp;DATE(YEAR($AC130),MONTH($AC130),1))&gt;0,SUMPRODUCT((PayEmp=$C130)*(PayDate&lt;=$AC130)*(OFFSET($N$6,1,MATCH(AP$5,PayDedList,0)-1,PayCount,1)))/$AA130*12*AP$3,IF(OR(AP$1="Fixed",AP$1="Not Used"),SUMPRODUCT((PayEmp=$C130)*(PayDate&lt;=$AC130)*(OFFSET($N$6,1,MATCH(AP$5,PayDedList,0)-1,PayCount,1)))/$AA130*12*AP$3,IF(ISNA(MATCH(AP$1,EarnListItem,0))=FALSE,SUMPRODUCT((PayEmp=$C130)*(PayDate&lt;=$AC130)*(OFFSET($N$6,1,MATCH(AP$5,PayDedList,0)-1,PayCount,1)))/$AA130*12*AP$3,(MIN(((SUMPRODUCT((PayEmp=$C130)*(PayDate&lt;=$AC130)*(ISERROR(SEARCH(PayEarnCode,AP$2)))*(PayEarnType="Monthly")*(PayEarnValues))/$AA130*12)+(SUMPRODUCT((PayEmp=$C130)*(PayDate&lt;=$AC130)*(ISERROR(SEARCH(PayEarnCode,AP$2)))*(PayEarnType="Quarterly")*(PayEarnValues))/MAX(1,ROUNDDOWN($AB130/3,0))*4)+(SUMPRODUCT((PayEmp=$C130)*(PayDate&lt;=$AC130)*(ISERROR(SEARCH(PayEarnCode,AP$2)))*(PayEarnType="Bi-Annual")*(PayEarnValues))/MAX(1,ROUNDDOWN($AB130/6,0))*2)+(SUMPRODUCT((PayEmp=$C130)*(PayDate&lt;=$AC130)*(ISERROR(SEARCH(PayEarnCode,AP$2)))*(PayEarnType="Annual")*(PayEarnValues)))),IF(ISNUMBER(OFFSET($N$3,0,MATCH(AP$5,PayDedList,0)-1,1,1)),OFFSET($N$3,0,MATCH(AP$5,PayDedList,0)-1,1,1),IgnoreMin)))*IF(COUNTIFS(EmpNo,$C130,OFFSET(Emp!$R$4,1,MATCH(AP$5,DedListItem,0)-1,EmpCount,1),"&lt;&gt;")&gt;0,VLOOKUP($C130,EmpAll,COLUMN(Emp!$R$4)+MATCH(AP$5,DedListItem,0)-1,0),OFFSET(Setup!$E$73,MATCH(AP$5,DedListItem,0),0,1,1))*AP$3))),IF(ISNUMBER(AP$4),AP$4,IgnoreMin)))))</f>
        <v>0</v>
      </c>
      <c r="AQ130" s="148" cm="1">
        <f t="array" aca="1" ref="AQ130" ca="1">-IF($F130="Terminated",0,IF($AA130=0,0,IF(ISNA(MATCH(AQ$5,PayDedList,0)),0,MIN(IF(COUNTIFS(OverEmp,$C130,OverDeduct,AQ$5,OverDate,"&lt;"&amp;DATE(YEAR($AC130),MONTH($AC130)+1,1),OverEnd,"&gt;="&amp;DATE(YEAR($AC130),MONTH($AC130),1))&gt;0,SUMPRODUCT((PayEmp=$C130)*(PayDate&lt;=$AC130)*(OFFSET($N$6,1,MATCH(AQ$5,PayDedList,0)-1,PayCount,1)))/$AA130*12*AQ$3,IF(OR(AQ$1="Fixed",AQ$1="Not Used"),SUMPRODUCT((PayEmp=$C130)*(PayDate&lt;=$AC130)*(OFFSET($N$6,1,MATCH(AQ$5,PayDedList,0)-1,PayCount,1)))/$AA130*12*AQ$3,IF(ISNA(MATCH(AQ$1,EarnListItem,0))=FALSE,SUMPRODUCT((PayEmp=$C130)*(PayDate&lt;=$AC130)*(OFFSET($N$6,1,MATCH(AQ$5,PayDedList,0)-1,PayCount,1)))/$AA130*12*AQ$3,(MIN(((SUMPRODUCT((PayEmp=$C130)*(PayDate&lt;=$AC130)*(ISERROR(SEARCH(PayEarnCode,AQ$2)))*(PayEarnType="Monthly")*(PayEarnValues))/$AA130*12)+(SUMPRODUCT((PayEmp=$C130)*(PayDate&lt;=$AC130)*(ISERROR(SEARCH(PayEarnCode,AQ$2)))*(PayEarnType="Quarterly")*(PayEarnValues))/MAX(1,ROUNDDOWN($AB130/3,0))*4)+(SUMPRODUCT((PayEmp=$C130)*(PayDate&lt;=$AC130)*(ISERROR(SEARCH(PayEarnCode,AQ$2)))*(PayEarnType="Bi-Annual")*(PayEarnValues))/MAX(1,ROUNDDOWN($AB130/6,0))*2)+(SUMPRODUCT((PayEmp=$C130)*(PayDate&lt;=$AC130)*(ISERROR(SEARCH(PayEarnCode,AQ$2)))*(PayEarnType="Annual")*(PayEarnValues)))),IF(ISNUMBER(OFFSET($N$3,0,MATCH(AQ$5,PayDedList,0)-1,1,1)),OFFSET($N$3,0,MATCH(AQ$5,PayDedList,0)-1,1,1),IgnoreMin)))*IF(COUNTIFS(EmpNo,$C130,OFFSET(Emp!$R$4,1,MATCH(AQ$5,DedListItem,0)-1,EmpCount,1),"&lt;&gt;")&gt;0,VLOOKUP($C130,EmpAll,COLUMN(Emp!$R$4)+MATCH(AQ$5,DedListItem,0)-1,0),OFFSET(Setup!$E$73,MATCH(AQ$5,DedListItem,0),0,1,1))*AQ$3))),IF(ISNUMBER(AQ$4),AQ$4,IgnoreMin)))))</f>
        <v>0</v>
      </c>
      <c r="AR130" s="148">
        <f t="shared" ca="1" si="52"/>
        <v>183600</v>
      </c>
      <c r="AS130" s="148">
        <f t="shared" ca="1" si="42"/>
        <v>180000</v>
      </c>
      <c r="AT130" s="148" cm="1">
        <f t="array" aca="1" ref="AT130" ca="1">-IF($F130="Terminated",0,IF($AA130=0,0,IF(ISNA(MATCH(AT$5,PayDedList,0)),0,MIN(IF(COUNTIFS(OverEmp,$C130,OverDeduct,AT$5,OverDate,"&lt;"&amp;DATE(YEAR($AC130),MONTH($AC130)+1,1),OverEnd,"&gt;="&amp;DATE(YEAR($AC130),MONTH($AC130),1))&gt;0,SUMPRODUCT((PayEmp=$C130)*(PayDate&lt;=$AC130)*(OFFSET($N$6,1,MATCH(AT$5,PayDedList,0)-1,PayCount,1)))/$AA130*12*AT$3,IF(OR(AT$1="Fixed",AT$1="Not Used"),SUMPRODUCT((PayEmp=$C130)*(PayDate&lt;=$AC130)*(OFFSET($N$6,1,MATCH(AT$5,PayDedList,0)-1,PayCount,1)))/$AA130*12*AT$3,IF(ISNA(MATCH(OFFSET($N$2,0,MATCH(AT$5,PayDedList,0)-1,1,1),EarnListItem,0))=FALSE,SUMPRODUCT((PayEmp=$C130)*(PayDate&lt;=$AC130)*(OFFSET($N$6,1,MATCH(AT$5,PayDedList,0)-1,PayCount,1)))/$AA130*12*AT$3,(MIN(SUMPRODUCT((PayEmp=$C130)*(PayDate&lt;=$AC130)*(ISERROR(SEARCH(PayEarnCode,AT$2)))*(PayEarnType="Monthly")*(PayEarnValues))/$AA130*12,IF(ISNUMBER(OFFSET($N$3,0,MATCH(AT$5,PayDedList,0)-1,1,1)),OFFSET($N$3,0,MATCH(AT$5,PayDedList,0)-1,1,1),IgnoreMin)))*IF(COUNTIFS(EmpNo,$C130,OFFSET(Emp!$R$4,1,MATCH(AT$5,DedListItem,0)-1,EmpCount,1),"&lt;&gt;")&gt;0,VLOOKUP($C130,EmpAll,COLUMN(Emp!$R$4)+MATCH(AT$5,DedListItem,0)-1,0),OFFSET(Setup!$E$73,MATCH(AT$5,DedListItem,0),0,1,1))*AT$3))),IF(ISNUMBER(AT$4),AT$4,IgnoreMin)))))</f>
        <v>0</v>
      </c>
      <c r="AU130" s="148" cm="1">
        <f t="array" aca="1" ref="AU130" ca="1">-IF($F130="Terminated",0,IF($AA130=0,0,IF(ISNA(MATCH(AU$5,PayDedList,0)),0,MIN(IF(COUNTIFS(OverEmp,$C130,OverDeduct,AU$5,OverDate,"&lt;"&amp;DATE(YEAR($AC130),MONTH($AC130)+1,1),OverEnd,"&gt;="&amp;DATE(YEAR($AC130),MONTH($AC130),1))&gt;0,SUMPRODUCT((PayEmp=$C130)*(PayDate&lt;=$AC130)*(OFFSET($N$6,1,MATCH(AU$5,PayDedList,0)-1,PayCount,1)))/$AA130*12*AU$3,IF(OR(AU$1="Fixed",AU$1="Not Used"),SUMPRODUCT((PayEmp=$C130)*(PayDate&lt;=$AC130)*(OFFSET($N$6,1,MATCH(AU$5,PayDedList,0)-1,PayCount,1)))/$AA130*12*AU$3,IF(ISNA(MATCH(OFFSET($N$2,0,MATCH(AU$5,PayDedList,0)-1,1,1),EarnListItem,0))=FALSE,SUMPRODUCT((PayEmp=$C130)*(PayDate&lt;=$AC130)*(OFFSET($N$6,1,MATCH(AU$5,PayDedList,0)-1,PayCount,1)))/$AA130*12*AU$3,(MIN(SUMPRODUCT((PayEmp=$C130)*(PayDate&lt;=$AC130)*(ISERROR(SEARCH(PayEarnCode,AU$2)))*(PayEarnType="Monthly")*(PayEarnValues))/$AA130*12,IF(ISNUMBER(OFFSET($N$3,0,MATCH(AU$5,PayDedList,0)-1,1,1)),OFFSET($N$3,0,MATCH(AU$5,PayDedList,0)-1,1,1),IgnoreMin)))*IF(COUNTIFS(EmpNo,$C130,OFFSET(Emp!$R$4,1,MATCH(AU$5,DedListItem,0)-1,EmpCount,1),"&lt;&gt;")&gt;0,VLOOKUP($C130,EmpAll,COLUMN(Emp!$R$4)+MATCH(AU$5,DedListItem,0)-1,0),OFFSET(Setup!$E$73,MATCH(AU$5,DedListItem,0),0,1,1))*AU$3))),IF(ISNUMBER(AU$4),AU$4,IgnoreMin)))))</f>
        <v>0</v>
      </c>
      <c r="AV130" s="148" cm="1">
        <f t="array" aca="1" ref="AV130" ca="1">-IF($F130="Terminated",0,IF($AA130=0,0,IF(ISNA(MATCH(AV$5,PayDedList,0)),0,MIN(IF(COUNTIFS(OverEmp,$C130,OverDeduct,AV$5,OverDate,"&lt;"&amp;DATE(YEAR($AC130),MONTH($AC130)+1,1),OverEnd,"&gt;="&amp;DATE(YEAR($AC130),MONTH($AC130),1))&gt;0,SUMPRODUCT((PayEmp=$C130)*(PayDate&lt;=$AC130)*(OFFSET($N$6,1,MATCH(AV$5,PayDedList,0)-1,PayCount,1)))/$AA130*12*AV$3,IF(OR(AV$1="Fixed",AV$1="Not Used"),SUMPRODUCT((PayEmp=$C130)*(PayDate&lt;=$AC130)*(OFFSET($N$6,1,MATCH(AV$5,PayDedList,0)-1,PayCount,1)))/$AA130*12*AV$3,IF(ISNA(MATCH(OFFSET($N$2,0,MATCH(AV$5,PayDedList,0)-1,1,1),EarnListItem,0))=FALSE,SUMPRODUCT((PayEmp=$C130)*(PayDate&lt;=$AC130)*(OFFSET($N$6,1,MATCH(AV$5,PayDedList,0)-1,PayCount,1)))/$AA130*12*AV$3,(MIN(SUMPRODUCT((PayEmp=$C130)*(PayDate&lt;=$AC130)*(ISERROR(SEARCH(PayEarnCode,AV$2)))*(PayEarnType="Monthly")*(PayEarnValues))/$AA130*12,IF(ISNUMBER(OFFSET($N$3,0,MATCH(AV$5,PayDedList,0)-1,1,1)),OFFSET($N$3,0,MATCH(AV$5,PayDedList,0)-1,1,1),IgnoreMin)))*IF(COUNTIFS(EmpNo,$C130,OFFSET(Emp!$R$4,1,MATCH(AV$5,DedListItem,0)-1,EmpCount,1),"&lt;&gt;")&gt;0,VLOOKUP($C130,EmpAll,COLUMN(Emp!$R$4)+MATCH(AV$5,DedListItem,0)-1,0),OFFSET(Setup!$E$73,MATCH(AV$5,DedListItem,0),0,1,1))*AV$3))),IF(ISNUMBER(AV$4),AV$4,IgnoreMin)))))</f>
        <v>0</v>
      </c>
      <c r="AW130" s="148" cm="1">
        <f t="array" aca="1" ref="AW130" ca="1">-IF($F130="Terminated",0,IF($AA130=0,0,IF(ISNA(MATCH(AW$5,PayDedList,0)),0,MIN(IF(COUNTIFS(OverEmp,$C130,OverDeduct,AW$5,OverDate,"&lt;"&amp;DATE(YEAR($AC130),MONTH($AC130)+1,1),OverEnd,"&gt;="&amp;DATE(YEAR($AC130),MONTH($AC130),1))&gt;0,SUMPRODUCT((PayEmp=$C130)*(PayDate&lt;=$AC130)*(OFFSET($N$6,1,MATCH(AW$5,PayDedList,0)-1,PayCount,1)))/$AA130*12*AW$3,IF(OR(AW$1="Fixed",AW$1="Not Used"),SUMPRODUCT((PayEmp=$C130)*(PayDate&lt;=$AC130)*(OFFSET($N$6,1,MATCH(AW$5,PayDedList,0)-1,PayCount,1)))/$AA130*12*AW$3,IF(ISNA(MATCH(OFFSET($N$2,0,MATCH(AW$5,PayDedList,0)-1,1,1),EarnListItem,0))=FALSE,SUMPRODUCT((PayEmp=$C130)*(PayDate&lt;=$AC130)*(OFFSET($N$6,1,MATCH(AW$5,PayDedList,0)-1,PayCount,1)))/$AA130*12*AW$3,(MIN(SUMPRODUCT((PayEmp=$C130)*(PayDate&lt;=$AC130)*(ISERROR(SEARCH(PayEarnCode,AW$2)))*(PayEarnType="Monthly")*(PayEarnValues))/$AA130*12,IF(ISNUMBER(OFFSET($N$3,0,MATCH(AW$5,PayDedList,0)-1,1,1)),OFFSET($N$3,0,MATCH(AW$5,PayDedList,0)-1,1,1),IgnoreMin)))*IF(COUNTIFS(EmpNo,$C130,OFFSET(Emp!$R$4,1,MATCH(AW$5,DedListItem,0)-1,EmpCount,1),"&lt;&gt;")&gt;0,VLOOKUP($C130,EmpAll,COLUMN(Emp!$R$4)+MATCH(AW$5,DedListItem,0)-1,0),OFFSET(Setup!$E$73,MATCH(AW$5,DedListItem,0),0,1,1))*AW$3))),IF(ISNUMBER(AW$4),AW$4,IgnoreMin)))))</f>
        <v>0</v>
      </c>
      <c r="AX130" s="148">
        <f t="shared" ca="1" si="58"/>
        <v>180000</v>
      </c>
      <c r="AY130" s="148">
        <f t="shared" ca="1" si="59"/>
        <v>3600</v>
      </c>
      <c r="AZ130" s="148">
        <f ca="1">IF(ISNUMBER($AL130),($AR130*$AL130)-$AI130-$AK130,MAX(0,IF($AL130="B",IF($AR130&lt;Setup!$C$32,($AR130*Setup!$D$32)-$AI130-$AK130,(($AR130-VLOOKUP($AR130,TaxAll2,1,1))*OFFSET(Setup!$D$32,MATCH($AR130,TaxBracket2,1),0,1,1))+OFFSET(Setup!$E$31,MATCH($AR130,TaxBracket2,1),0,1,1)-$AI130-$AK130),IF($AR130&lt;Setup!$C$21,($AR130*Setup!$D$21)-$AI130-$AK130,(($AR130-VLOOKUP($AR130,TaxAll1,1,1))*OFFSET(Setup!$D$21,MATCH($AR130,TaxBracket1,1),0,1,1))+OFFSET(Setup!$E$20,MATCH($AR130,TaxBracket1,1),0,1,1)-$AI130-$AK130))))</f>
        <v>11445</v>
      </c>
      <c r="BA130" s="148">
        <f ca="1">IF(ISNUMBER($AL130),($AX130*$AL130)-$AI130-$AK130,MAX(0,IF($AL130="B",IF($AX130&lt;Setup!$C$32,($AX130*Setup!$D$32)-$AI130-$AK130,(($AX130-VLOOKUP($AX130,TaxAll2,1,1))*OFFSET(Setup!$D$32,MATCH($AX130,TaxBracket2,1),0,1,1))+OFFSET(Setup!$E$31,MATCH($AX130,TaxBracket2,1),0,1,1)-$AI130-$AK130),IF($AX130&lt;Setup!$C$21,($AX130*Setup!$D$21)-$AI130-$AK130,(($AX130-VLOOKUP($AX130,TaxAll1,1,1))*OFFSET(Setup!$D$21,MATCH($AX130,TaxBracket1,1),0,1,1))+OFFSET(Setup!$E$20,MATCH($AX130,TaxBracket1,1),0,1,1)-$AI130-$AK130))))</f>
        <v>10797</v>
      </c>
      <c r="BB130" s="148">
        <f t="shared" ca="1" si="53"/>
        <v>648</v>
      </c>
      <c r="BC130" s="150">
        <f t="shared" ca="1" si="45"/>
        <v>0.98039215686274506</v>
      </c>
      <c r="BD130" s="150">
        <f t="shared" ca="1" si="46"/>
        <v>1.9607843137254902E-2</v>
      </c>
      <c r="BE130" s="148">
        <f t="shared" ca="1" si="47"/>
        <v>183600</v>
      </c>
    </row>
    <row r="131" spans="1:57" ht="16.149999999999999" customHeight="1" x14ac:dyDescent="0.25">
      <c r="A131" s="10" t="str" cm="1">
        <f t="array" aca="1" ref="A131" ca="1">IF(ROW($A131)-ROW($A$6)&gt;EmpCount*12,"-",TEXT($B131,"yyyy")&amp;TEXT($B131,"mm")&amp;"-"&amp;$C131)</f>
        <v>202311-EXS005</v>
      </c>
      <c r="B131" s="137" cm="1">
        <f t="array" aca="1" ref="B131" ca="1">IF(ROW($A131)-ROW($A$6)&gt;EmpCount*12,Setup!$D$12,DATE(YEAR(Setup!$F$12),MONTH(Setup!$F$12)+ROUNDDOWN((ROW($A131)-ROW($A$6)-1)/EmpCount,0),IF(Setup!$C$14&gt;DAY(DATE(YEAR(Setup!$F$12),MONTH(Setup!$F$12)+ROUNDDOWN((ROW($A131)-ROW($A$6)-1)/EmpCount,0)+1,0)),DAY(DATE(YEAR(Setup!$F$12),MONTH(Setup!$F$12)+ROUNDDOWN((ROW($A131)-ROW($A$6)-1)/EmpCount,0)+1,0)),Setup!$C$14)))</f>
        <v>45255</v>
      </c>
      <c r="C131" s="101" t="str" cm="1">
        <f t="array" aca="1" ref="C131" ca="1">IF(ROW($A131)-ROW($A$6)&gt;EmpCount*12,"-",OFFSET(Emp!$A$4,ROW($A131)-ROW($A$6)-IF(ROW($A131)-ROW($A$6)&gt;EmpCount,ROUNDDOWN((ROW($A131)-ROW($A$6)-1)/EmpCount,0)*EmpCount,0),0,1,1))</f>
        <v>EXS005</v>
      </c>
      <c r="D131" s="10" t="str">
        <f ca="1">IF(ISNA(VLOOKUP($C131,EmpAll,COLUMN(Emp!$B$4),0)),"-",VLOOKUP($C131,EmpAll,COLUMN(Emp!$B$4),0))</f>
        <v>Miller R</v>
      </c>
      <c r="E131" s="145" t="str">
        <f ca="1">IF(ISNA(VLOOKUP($C131,EmpAll,COLUMN(Emp!$C$4),0)),"-",VLOOKUP($C131,EmpAll,COLUMN(Emp!$C$4),0))</f>
        <v>S</v>
      </c>
      <c r="F131" s="101" t="str">
        <f ca="1">IF(ISNA(VLOOKUP($C131,EmpAll,COLUMN(Emp!$A$4),0)),"-",IF(AND(VLOOKUP($C131,EmpAll,COLUMN(Emp!$E$4),0)&lt;&gt;0,VLOOKUP($C131,EmpAll,COLUMN(Emp!$E$4),0)&gt;=DATE(YEAR($AC131),MONTH($AC131)+1,0)),"Inactive",IF(AND(VLOOKUP($C131,EmpAll,COLUMN(Emp!$F$4),0)&lt;&gt;0,VLOOKUP($C131,EmpAll,COLUMN(Emp!$F$4),0)&lt;=DATE(YEAR($AC131),MONTH($AC131),0)),"Terminated","Active")))</f>
        <v>Active</v>
      </c>
      <c r="G131" s="133" cm="1">
        <f t="array" aca="1" ref="G131" ca="1">IF($F131&lt;&gt;"Active",0,IF(COUNTIFS(OverEmp,$C131,OverEarn,G$2,OverDate,"&lt;"&amp;DATE(YEAR($AC131),MONTH($AC131)+1,1),OverEnd,"&gt;="&amp;DATE(YEAR($AC131),MONTH($AC131),1))&gt;0,SUMIFS(OverValue,OverEmp,$C131,OverEarn,G$2,OverDate,"&lt;"&amp;DATE(YEAR($AC131),MONTH($AC131)+1,1),OverEnd,"&gt;="&amp;DATE(YEAR($AC131),MONTH($AC131),1)),IF(AND($AC131&gt;=Setup!$E$10,SUMIFS(EmpIncrease,EmpCode,$C131)&gt;0),SUMIFS(EmpIncrease,EmpCode,$C131),SUMIFS(EmpSalary,EmpCode,$C131))))</f>
        <v>10000</v>
      </c>
      <c r="H131" s="133" cm="1">
        <f t="array" aca="1" ref="H131" ca="1">IF($F131&lt;&gt;"Active",0,IF(COUNTIFS(OverEmp,$C131,OverEarn,H$2,OverDate,"&lt;"&amp;DATE(YEAR($AC131),MONTH($AC131)+1,1),OverEnd,"&gt;="&amp;DATE(YEAR($AC131),MONTH($AC131),1))&gt;0,SUMIFS(OverValue,OverEmp,$C131,OverEarn,H$2,OverDate,"&lt;"&amp;DATE(YEAR($AC131),MONTH($AC131)+1,1),OverEnd,"&gt;="&amp;DATE(YEAR($AC131),MONTH($AC131),1)),0))</f>
        <v>0</v>
      </c>
      <c r="I131" s="133" cm="1">
        <f t="array" aca="1" ref="I131" ca="1">IF($F131&lt;&gt;"Active",0,IF(COUNTIFS(OverEmp,$C131,OverEarn,I$2,OverDate,"&lt;"&amp;DATE(YEAR($AC131),MONTH($AC131)+1,1),OverEnd,"&gt;="&amp;DATE(YEAR($AC131),MONTH($AC131),1))&gt;0,SUMIFS(OverValue,OverEmp,$C131,OverEarn,I$2,OverDate,"&lt;"&amp;DATE(YEAR($AC131),MONTH($AC131)+1,1),OverEnd,"&gt;="&amp;DATE(YEAR($AC131),MONTH($AC131),1)),IF(MONTH(B131)=Setup!$C$15,SUMIFS(EmpBonus,EmpCode,$C131),0)))</f>
        <v>0</v>
      </c>
      <c r="J131" s="133" cm="1">
        <f t="array" aca="1" ref="J131" ca="1">IF($F131&lt;&gt;"Active",0,IF(COUNTIFS(OverEmp,$C131,OverEarn,J$2,OverDate,"&lt;"&amp;DATE(YEAR($AC131),MONTH($AC131)+1,1),OverEnd,"&gt;="&amp;DATE(YEAR($AC131),MONTH($AC131),1))&gt;0,SUMIFS(OverValue,OverEmp,$C131,OverEarn,J$2,OverDate,"&lt;"&amp;DATE(YEAR($AC131),MONTH($AC131)+1,1),OverEnd,"&gt;="&amp;DATE(YEAR($AC131),MONTH($AC131),1)),0))</f>
        <v>0</v>
      </c>
      <c r="K131" s="133" cm="1">
        <f t="array" aca="1" ref="K131" ca="1">IF($F131&lt;&gt;"Active",0,IF(COUNTIFS(OverEmp,$C131,OverEarn,K$2,OverDate,"&lt;"&amp;DATE(YEAR($AC131),MONTH($AC131)+1,1),OverEnd,"&gt;="&amp;DATE(YEAR($AC131),MONTH($AC131),1))&gt;0,SUMIFS(OverValue,OverEmp,$C131,OverEarn,K$2,OverDate,"&lt;"&amp;DATE(YEAR($AC131),MONTH($AC131)+1,1),OverEnd,"&gt;="&amp;DATE(YEAR($AC131),MONTH($AC131),1)),0))</f>
        <v>0</v>
      </c>
      <c r="L131" s="185">
        <f t="shared" ca="1" si="54"/>
        <v>10000</v>
      </c>
      <c r="M131" s="182" cm="1">
        <f t="array" aca="1" ref="M131" ca="1">IF(COUNTIFS(OverEmp,$C131,OverTax,M$5,OverDate,"&lt;"&amp;DATE(YEAR($AC131),MONTH($AC131)+1,1),OverEnd,"&gt;="&amp;DATE(YEAR($AC131),MONTH($AC131),1))&gt;0,SUMIFS(OverValue,OverEmp,$C131,OverTax,M$5,OverDate,"&lt;"&amp;DATE(YEAR($AC131),MONTH($AC131)+1,1),OverEnd,"&gt;="&amp;DATE(YEAR($AC131),MONTH($AC131),1)),(($BA131/12*$AA131)+(BB131*IF(1-$BC131=0,0,BD131/(1-$BC131))))-IF($F131="Terminated",0,SUMIFS(PayTaxDeduct,PayDate,"&lt;"&amp;$AC131,PayEmp,$C131)))</f>
        <v>0</v>
      </c>
      <c r="N131" s="133" cm="1">
        <f t="array" aca="1" ref="N131" ca="1">IF($F131="Terminated",0,IF($AA131=0,0,IF(ISNA(MATCH(N$5,DedListItem,0)),0,IF(COUNTIFS(OverEmp,$C131,OverDeduct,N$5,OverDate,"&lt;"&amp;DATE(YEAR($AC131),MONTH($AC131)+1,1),OverEnd,"&gt;="&amp;DATE(YEAR($AC131),MONTH($AC131),1))&gt;0,SUMIFS(OverValue,OverEmp,$C131,OverDeduct,N$5,OverDate,"&lt;"&amp;DATE(YEAR($AC131),MONTH($AC131)+1,1),OverEnd,"&gt;="&amp;DATE(YEAR($AC131),MONTH($AC131),1)),IF(OR(N$2="Fixed",N$2="Not Used"),(IF(COUNTIFS(EmpNo,$C131,OFFSET(Emp!$R$4,1,MATCH(N$5,DedListItem,0)-1,EmpCount,1),"&lt;&gt;")&gt;0,VLOOKUP($C131,EmpAll,COLUMN(Emp!$R$4)+MATCH(N$5,DedListItem,0)-1,0),OFFSET(Setup!$E$73,MATCH(N$5,DedListItem,0),0,1,1))*$AA131)-SUMIFS(OFFSET(N$6,1,0,PayCount,1),PayDate,"&lt;"&amp;$AC131,PayEmp,$C131),IF(ISNA(MATCH(N$2,EarnListItem,0))=FALSE,IF(OFFSET(Setup!$G$73,MATCH(N$5,DedListItem,0),0,1,1)="Taxable",SUMPRODUCT((PayEmp=$C131)*(PayDate&lt;=$AC131)*(PayEarnCode=N$2)*(PayEarnTax)*(PayEarnValues)),SUMPRODUCT((PayEmp=$C131)*(PayDate&lt;=$AC131)*(PayEarnCode=N$2)*(PayEarnValues)))*IF(COUNTIFS(EmpNo,$C131,OFFSET(Emp!$R$4,1,MATCH(N$5,DedListItem,0)-1,EmpCount,1),"&lt;&gt;")&gt;0,VLOOKUP($C131,EmpAll,COLUMN(Emp!$R$4)+MATCH(N$5,DedListItem,0)-1,0),OFFSET(Setup!$E$73,MATCH(N$5,DedListItem,0),0,1,1)),(MIN(IF(OFFSET(Setup!$G$73,MATCH(N$5,DedListItem,0),0,1,1)="Taxable",SUMPRODUCT((PayEmp=$C131)*(PayDate&lt;=$AC131)*(ISERROR(SEARCH(PayEarnCode,N$4)))*(PayEarnTax)*(PayEarnValues)),SUMPRODUCT((PayEmp=$C131)*(PayDate&lt;=$AC131)*(ISERROR(SEARCH(PayEarnCode,N$4)))*(PayEarnValues))),IF(ISNUMBER(N$3),N$3/12*$AA131,IgnoreMin)))*IF(COUNTIFS(EmpNo,$C131,OFFSET(Emp!$R$4,1,MATCH(N$5,DedListItem,0)-1,EmpCount,1),"&lt;&gt;")&gt;0,VLOOKUP($C131,EmpAll,COLUMN(Emp!$R$4)+MATCH(N$5,DedListItem,0)-1,0),OFFSET(Setup!$E$73,MATCH(N$5,DedListItem,0),0,1,1)))-SUMIFS(OFFSET(N$6,1,0,PayCount,1),PayDate,"&lt;"&amp;$AC131,PayEmp,$C131))))))</f>
        <v>100</v>
      </c>
      <c r="O131" s="133" cm="1">
        <f t="array" aca="1" ref="O131" ca="1">IF($F131="Terminated",0,IF($AA131=0,0,IF(ISNA(MATCH(O$5,DedListItem,0)),0,IF(COUNTIFS(OverEmp,$C131,OverDeduct,O$5,OverDate,"&lt;"&amp;DATE(YEAR($AC131),MONTH($AC131)+1,1),OverEnd,"&gt;="&amp;DATE(YEAR($AC131),MONTH($AC131),1))&gt;0,SUMIFS(OverValue,OverEmp,$C131,OverDeduct,O$5,OverDate,"&lt;"&amp;DATE(YEAR($AC131),MONTH($AC131)+1,1),OverEnd,"&gt;="&amp;DATE(YEAR($AC131),MONTH($AC131),1)),IF(OR(O$2="Fixed",O$2="Not Used"),(IF(COUNTIFS(EmpNo,$C131,OFFSET(Emp!$R$4,1,MATCH(O$5,DedListItem,0)-1,EmpCount,1),"&lt;&gt;")&gt;0,VLOOKUP($C131,EmpAll,COLUMN(Emp!$R$4)+MATCH(O$5,DedListItem,0)-1,0),OFFSET(Setup!$E$73,MATCH(O$5,DedListItem,0),0,1,1))*$AA131)-SUMIFS(OFFSET(O$6,1,0,PayCount,1),PayDate,"&lt;"&amp;$AC131,PayEmp,$C131),IF(ISNA(MATCH(O$2,EarnListItem,0))=FALSE,IF(OFFSET(Setup!$G$73,MATCH(O$5,DedListItem,0),0,1,1)="Taxable",SUMPRODUCT((PayEmp=$C131)*(PayDate&lt;=$AC131)*(PayEarnCode=O$2)*(PayEarnTax)*(PayEarnValues)),SUMPRODUCT((PayEmp=$C131)*(PayDate&lt;=$AC131)*(PayEarnCode=O$2)*(PayEarnValues)))*IF(COUNTIFS(EmpNo,$C131,OFFSET(Emp!$R$4,1,MATCH(O$5,DedListItem,0)-1,EmpCount,1),"&lt;&gt;")&gt;0,VLOOKUP($C131,EmpAll,COLUMN(Emp!$R$4)+MATCH(O$5,DedListItem,0)-1,0),OFFSET(Setup!$E$73,MATCH(O$5,DedListItem,0),0,1,1)),(MIN(IF(OFFSET(Setup!$G$73,MATCH(O$5,DedListItem,0),0,1,1)="Taxable",SUMPRODUCT((PayEmp=$C131)*(PayDate&lt;=$AC131)*(ISERROR(SEARCH(PayEarnCode,O$4)))*(PayEarnTax)*(PayEarnValues)),SUMPRODUCT((PayEmp=$C131)*(PayDate&lt;=$AC131)*(ISERROR(SEARCH(PayEarnCode,O$4)))*(PayEarnValues))),IF(ISNUMBER(O$3),O$3/12*$AA131,IgnoreMin)))*IF(COUNTIFS(EmpNo,$C131,OFFSET(Emp!$R$4,1,MATCH(O$5,DedListItem,0)-1,EmpCount,1),"&lt;&gt;")&gt;0,VLOOKUP($C131,EmpAll,COLUMN(Emp!$R$4)+MATCH(O$5,DedListItem,0)-1,0),OFFSET(Setup!$E$73,MATCH(O$5,DedListItem,0),0,1,1)))-SUMIFS(OFFSET(O$6,1,0,PayCount,1),PayDate,"&lt;"&amp;$AC131,PayEmp,$C131))))))</f>
        <v>0</v>
      </c>
      <c r="P131" s="133" cm="1">
        <f t="array" aca="1" ref="P131" ca="1">IF($F131="Terminated",0,IF($AA131=0,0,IF(ISNA(MATCH(P$5,DedListItem,0)),0,IF(COUNTIFS(OverEmp,$C131,OverDeduct,P$5,OverDate,"&lt;"&amp;DATE(YEAR($AC131),MONTH($AC131)+1,1),OverEnd,"&gt;="&amp;DATE(YEAR($AC131),MONTH($AC131),1))&gt;0,SUMIFS(OverValue,OverEmp,$C131,OverDeduct,P$5,OverDate,"&lt;"&amp;DATE(YEAR($AC131),MONTH($AC131)+1,1),OverEnd,"&gt;="&amp;DATE(YEAR($AC131),MONTH($AC131),1)),IF(OR(P$2="Fixed",P$2="Not Used"),(IF(COUNTIFS(EmpNo,$C131,OFFSET(Emp!$R$4,1,MATCH(P$5,DedListItem,0)-1,EmpCount,1),"&lt;&gt;")&gt;0,VLOOKUP($C131,EmpAll,COLUMN(Emp!$R$4)+MATCH(P$5,DedListItem,0)-1,0),OFFSET(Setup!$E$73,MATCH(P$5,DedListItem,0),0,1,1))*$AA131)-SUMIFS(OFFSET(P$6,1,0,PayCount,1),PayDate,"&lt;"&amp;$AC131,PayEmp,$C131),IF(ISNA(MATCH(P$2,EarnListItem,0))=FALSE,IF(OFFSET(Setup!$G$73,MATCH(P$5,DedListItem,0),0,1,1)="Taxable",SUMPRODUCT((PayEmp=$C131)*(PayDate&lt;=$AC131)*(PayEarnCode=P$2)*(PayEarnTax)*(PayEarnValues)),SUMPRODUCT((PayEmp=$C131)*(PayDate&lt;=$AC131)*(PayEarnCode=P$2)*(PayEarnValues)))*IF(COUNTIFS(EmpNo,$C131,OFFSET(Emp!$R$4,1,MATCH(P$5,DedListItem,0)-1,EmpCount,1),"&lt;&gt;")&gt;0,VLOOKUP($C131,EmpAll,COLUMN(Emp!$R$4)+MATCH(P$5,DedListItem,0)-1,0),OFFSET(Setup!$E$73,MATCH(P$5,DedListItem,0),0,1,1)),(MIN(IF(OFFSET(Setup!$G$73,MATCH(P$5,DedListItem,0),0,1,1)="Taxable",SUMPRODUCT((PayEmp=$C131)*(PayDate&lt;=$AC131)*(ISERROR(SEARCH(PayEarnCode,P$4)))*(PayEarnTax)*(PayEarnValues)),SUMPRODUCT((PayEmp=$C131)*(PayDate&lt;=$AC131)*(ISERROR(SEARCH(PayEarnCode,P$4)))*(PayEarnValues))),IF(ISNUMBER(P$3),P$3/12*$AA131,IgnoreMin)))*IF(COUNTIFS(EmpNo,$C131,OFFSET(Emp!$R$4,1,MATCH(P$5,DedListItem,0)-1,EmpCount,1),"&lt;&gt;")&gt;0,VLOOKUP($C131,EmpAll,COLUMN(Emp!$R$4)+MATCH(P$5,DedListItem,0)-1,0),OFFSET(Setup!$E$73,MATCH(P$5,DedListItem,0),0,1,1)))-SUMIFS(OFFSET(P$6,1,0,PayCount,1),PayDate,"&lt;"&amp;$AC131,PayEmp,$C131))))))</f>
        <v>0</v>
      </c>
      <c r="Q131" s="133" cm="1">
        <f t="array" aca="1" ref="Q131" ca="1">IF($F131="Terminated",0,IF($AA131=0,0,IF(ISNA(MATCH(Q$5,DedListItem,0)),0,IF(COUNTIFS(OverEmp,$C131,OverDeduct,Q$5,OverDate,"&lt;"&amp;DATE(YEAR($AC131),MONTH($AC131)+1,1),OverEnd,"&gt;="&amp;DATE(YEAR($AC131),MONTH($AC131),1))&gt;0,SUMIFS(OverValue,OverEmp,$C131,OverDeduct,Q$5,OverDate,"&lt;"&amp;DATE(YEAR($AC131),MONTH($AC131)+1,1),OverEnd,"&gt;="&amp;DATE(YEAR($AC131),MONTH($AC131),1)),IF(OR(Q$2="Fixed",Q$2="Not Used"),(IF(COUNTIFS(EmpNo,$C131,OFFSET(Emp!$R$4,1,MATCH(Q$5,DedListItem,0)-1,EmpCount,1),"&lt;&gt;")&gt;0,VLOOKUP($C131,EmpAll,COLUMN(Emp!$R$4)+MATCH(Q$5,DedListItem,0)-1,0),OFFSET(Setup!$E$73,MATCH(Q$5,DedListItem,0),0,1,1))*$AA131)-SUMIFS(OFFSET(Q$6,1,0,PayCount,1),PayDate,"&lt;"&amp;$AC131,PayEmp,$C131),IF(ISNA(MATCH(Q$2,EarnListItem,0))=FALSE,IF(OFFSET(Setup!$G$73,MATCH(Q$5,DedListItem,0),0,1,1)="Taxable",SUMPRODUCT((PayEmp=$C131)*(PayDate&lt;=$AC131)*(PayEarnCode=Q$2)*(PayEarnTax)*(PayEarnValues)),SUMPRODUCT((PayEmp=$C131)*(PayDate&lt;=$AC131)*(PayEarnCode=Q$2)*(PayEarnValues)))*IF(COUNTIFS(EmpNo,$C131,OFFSET(Emp!$R$4,1,MATCH(Q$5,DedListItem,0)-1,EmpCount,1),"&lt;&gt;")&gt;0,VLOOKUP($C131,EmpAll,COLUMN(Emp!$R$4)+MATCH(Q$5,DedListItem,0)-1,0),OFFSET(Setup!$E$73,MATCH(Q$5,DedListItem,0),0,1,1)),(MIN(IF(OFFSET(Setup!$G$73,MATCH(Q$5,DedListItem,0),0,1,1)="Taxable",SUMPRODUCT((PayEmp=$C131)*(PayDate&lt;=$AC131)*(ISERROR(SEARCH(PayEarnCode,Q$4)))*(PayEarnTax)*(PayEarnValues)),SUMPRODUCT((PayEmp=$C131)*(PayDate&lt;=$AC131)*(ISERROR(SEARCH(PayEarnCode,Q$4)))*(PayEarnValues))),IF(ISNUMBER(Q$3),Q$3/12*$AA131,IgnoreMin)))*IF(COUNTIFS(EmpNo,$C131,OFFSET(Emp!$R$4,1,MATCH(Q$5,DedListItem,0)-1,EmpCount,1),"&lt;&gt;")&gt;0,VLOOKUP($C131,EmpAll,COLUMN(Emp!$R$4)+MATCH(Q$5,DedListItem,0)-1,0),OFFSET(Setup!$E$73,MATCH(Q$5,DedListItem,0),0,1,1)))-SUMIFS(OFFSET(Q$6,1,0,PayCount,1),PayDate,"&lt;"&amp;$AC131,PayEmp,$C131))))))</f>
        <v>0</v>
      </c>
      <c r="R131" s="185">
        <f t="shared" ca="1" si="55"/>
        <v>100</v>
      </c>
      <c r="S131" s="139">
        <f t="shared" ca="1" si="56"/>
        <v>9900</v>
      </c>
      <c r="T131" s="133" cm="1">
        <f t="array" aca="1" ref="T131" ca="1">IF($F131="Terminated",0,IF($AA131=0,0,IF(ISNA(MATCH(T$5,CompListItem,0)),0,IF(COUNTIFS(OverEmp,$C131,OverComp,T$5,OverDate,"&lt;"&amp;DATE(YEAR($AC131),MONTH($AC131)+1,1),OverEnd,"&gt;="&amp;DATE(YEAR($AC131),MONTH($AC131),1))&gt;0,SUMIFS(OverValue,OverEmp,$C131,OverComp,T$5,OverDate,"&lt;"&amp;DATE(YEAR($AC131),MONTH($AC131)+1,1),OverEnd,"&gt;="&amp;DATE(YEAR($AC131),MONTH($AC131),1)),IF(OR(T$2="Fixed",T$2="Not Used"),(OFFSET(Setup!$E$81,MATCH(T$5,CompListItem,0),0,1,1)*$AA131)-SUMIFS(OFFSET(T$6,1,0,PayCount,1),PayDate,"&lt;"&amp;$AC131,PayEmp,$C131),IF(ISNA(MATCH(T$2,DedListItem,0))=FALSE,(SUMPRODUCT((PayEmp=$C131)*(PayDate&lt;=$AC131)*(PayDedList=T$2)*(PayDedValues))*OFFSET(Setup!$E$81,MATCH(T$5,CompListItem,0),0,1,1))-SUMIFS(OFFSET(T$6,1,0,PayCount,1),PayDate,"&lt;"&amp;$AC131,PayEmp,$C131),(MIN(IF(OFFSET(Setup!$G$81,MATCH(T$5,CompListItem,0),0,1,1)="Taxable",SUMPRODUCT((PayEmp=$C131)*(PayDate&lt;=$AC131)*(ISERROR(SEARCH(PayEarnCode,T$4)))*(PayEarnTax)*(PayEarnValues)),SUMPRODUCT((PayEmp=$C131)*(PayDate&lt;=$AC131)*(ISERROR(SEARCH(PayEarnCode,T$4)))*(PayEarnValues))),IF(ISNUMBER(T$3),T$3/12*$AA131,IgnoreMin)))*OFFSET(Setup!$E$81,MATCH(T$5,CompListItem,0),0,1,1)-SUMIFS(OFFSET(T$6,1,0,PayCount,1),PayDate,"&lt;"&amp;$AC131,PayEmp,$C131)))))))</f>
        <v>100</v>
      </c>
      <c r="U131" s="133" cm="1">
        <f t="array" aca="1" ref="U131" ca="1">IF($F131="Terminated",0,IF($AA131=0,0,IF(ISNA(MATCH(U$5,CompListItem,0)),0,IF(COUNTIFS(OverEmp,$C131,OverComp,U$5,OverDate,"&lt;"&amp;DATE(YEAR($AC131),MONTH($AC131)+1,1),OverEnd,"&gt;="&amp;DATE(YEAR($AC131),MONTH($AC131),1))&gt;0,SUMIFS(OverValue,OverEmp,$C131,OverComp,U$5,OverDate,"&lt;"&amp;DATE(YEAR($AC131),MONTH($AC131)+1,1),OverEnd,"&gt;="&amp;DATE(YEAR($AC131),MONTH($AC131),1)),IF(OR(U$2="Fixed",U$2="Not Used"),(OFFSET(Setup!$E$81,MATCH(U$5,CompListItem,0),0,1,1)*$AA131)-SUMIFS(OFFSET(U$6,1,0,PayCount,1),PayDate,"&lt;"&amp;$AC131,PayEmp,$C131),IF(ISNA(MATCH(U$2,DedListItem,0))=FALSE,(SUMPRODUCT((PayEmp=$C131)*(PayDate&lt;=$AC131)*(PayDedList=U$2)*(PayDedValues))*OFFSET(Setup!$E$81,MATCH(U$5,CompListItem,0),0,1,1))-SUMIFS(OFFSET(U$6,1,0,PayCount,1),PayDate,"&lt;"&amp;$AC131,PayEmp,$C131),(MIN(IF(OFFSET(Setup!$G$81,MATCH(U$5,CompListItem,0),0,1,1)="Taxable",SUMPRODUCT((PayEmp=$C131)*(PayDate&lt;=$AC131)*(ISERROR(SEARCH(PayEarnCode,U$4)))*(PayEarnTax)*(PayEarnValues)),SUMPRODUCT((PayEmp=$C131)*(PayDate&lt;=$AC131)*(ISERROR(SEARCH(PayEarnCode,U$4)))*(PayEarnValues))),IF(ISNUMBER(U$3),U$3/12*$AA131,IgnoreMin)))*OFFSET(Setup!$E$81,MATCH(U$5,CompListItem,0),0,1,1)-SUMIFS(OFFSET(U$6,1,0,PayCount,1),PayDate,"&lt;"&amp;$AC131,PayEmp,$C131)))))))</f>
        <v>100</v>
      </c>
      <c r="V131" s="133" cm="1">
        <f t="array" aca="1" ref="V131" ca="1">IF($F131="Terminated",0,IF($AA131=0,0,IF(ISNA(MATCH(V$5,CompListItem,0)),0,IF(COUNTIFS(OverEmp,$C131,OverComp,V$5,OverDate,"&lt;"&amp;DATE(YEAR($AC131),MONTH($AC131)+1,1),OverEnd,"&gt;="&amp;DATE(YEAR($AC131),MONTH($AC131),1))&gt;0,SUMIFS(OverValue,OverEmp,$C131,OverComp,V$5,OverDate,"&lt;"&amp;DATE(YEAR($AC131),MONTH($AC131)+1,1),OverEnd,"&gt;="&amp;DATE(YEAR($AC131),MONTH($AC131),1)),IF(OR(V$2="Fixed",V$2="Not Used"),(OFFSET(Setup!$E$81,MATCH(V$5,CompListItem,0),0,1,1)*$AA131)-SUMIFS(OFFSET(V$6,1,0,PayCount,1),PayDate,"&lt;"&amp;$AC131,PayEmp,$C131),IF(ISNA(MATCH(V$2,DedListItem,0))=FALSE,(SUMPRODUCT((PayEmp=$C131)*(PayDate&lt;=$AC131)*(PayDedList=V$2)*(PayDedValues))*OFFSET(Setup!$E$81,MATCH(V$5,CompListItem,0),0,1,1))-SUMIFS(OFFSET(V$6,1,0,PayCount,1),PayDate,"&lt;"&amp;$AC131,PayEmp,$C131),(MIN(IF(OFFSET(Setup!$G$81,MATCH(V$5,CompListItem,0),0,1,1)="Taxable",SUMPRODUCT((PayEmp=$C131)*(PayDate&lt;=$AC131)*(ISERROR(SEARCH(PayEarnCode,V$4)))*(PayEarnTax)*(PayEarnValues)),SUMPRODUCT((PayEmp=$C131)*(PayDate&lt;=$AC131)*(ISERROR(SEARCH(PayEarnCode,V$4)))*(PayEarnValues))),IF(ISNUMBER(V$3),V$3/12*$AA131,IgnoreMin)))*OFFSET(Setup!$E$81,MATCH(V$5,CompListItem,0),0,1,1)-SUMIFS(OFFSET(V$6,1,0,PayCount,1),PayDate,"&lt;"&amp;$AC131,PayEmp,$C131)))))))</f>
        <v>0</v>
      </c>
      <c r="W131" s="133" cm="1">
        <f t="array" aca="1" ref="W131" ca="1">IF($F131="Terminated",0,IF($AA131=0,0,IF(ISNA(MATCH(W$5,CompListItem,0)),0,IF(COUNTIFS(OverEmp,$C131,OverComp,W$5,OverDate,"&lt;"&amp;DATE(YEAR($AC131),MONTH($AC131)+1,1),OverEnd,"&gt;="&amp;DATE(YEAR($AC131),MONTH($AC131),1))&gt;0,SUMIFS(OverValue,OverEmp,$C131,OverComp,W$5,OverDate,"&lt;"&amp;DATE(YEAR($AC131),MONTH($AC131)+1,1),OverEnd,"&gt;="&amp;DATE(YEAR($AC131),MONTH($AC131),1)),IF(OR(W$2="Fixed",W$2="Not Used"),(OFFSET(Setup!$E$81,MATCH(W$5,CompListItem,0),0,1,1)*$AA131)-SUMIFS(OFFSET(W$6,1,0,PayCount,1),PayDate,"&lt;"&amp;$AC131,PayEmp,$C131),IF(ISNA(MATCH(W$2,DedListItem,0))=FALSE,(SUMPRODUCT((PayEmp=$C131)*(PayDate&lt;=$AC131)*(PayDedList=W$2)*(PayDedValues))*OFFSET(Setup!$E$81,MATCH(W$5,CompListItem,0),0,1,1))-SUMIFS(OFFSET(W$6,1,0,PayCount,1),PayDate,"&lt;"&amp;$AC131,PayEmp,$C131),(MIN(IF(OFFSET(Setup!$G$81,MATCH(W$5,CompListItem,0),0,1,1)="Taxable",SUMPRODUCT((PayEmp=$C131)*(PayDate&lt;=$AC131)*(ISERROR(SEARCH(PayEarnCode,W$4)))*(PayEarnTax)*(PayEarnValues)),SUMPRODUCT((PayEmp=$C131)*(PayDate&lt;=$AC131)*(ISERROR(SEARCH(PayEarnCode,W$4)))*(PayEarnValues))),IF(ISNUMBER(W$3),W$3/12*$AA131,IgnoreMin)))*OFFSET(Setup!$E$81,MATCH(W$5,CompListItem,0),0,1,1)-SUMIFS(OFFSET(W$6,1,0,PayCount,1),PayDate,"&lt;"&amp;$AC131,PayEmp,$C131)))))))</f>
        <v>0</v>
      </c>
      <c r="X131" s="185">
        <f t="shared" ca="1" si="48"/>
        <v>200</v>
      </c>
      <c r="Y131" s="139">
        <f t="shared" ca="1" si="57"/>
        <v>10200</v>
      </c>
      <c r="Z131" s="139">
        <f t="shared" ca="1" si="49"/>
        <v>300</v>
      </c>
      <c r="AA131" s="146">
        <f ca="1">IF(OR($B131&lt;=Setup!$E$12,$B131&gt;=Setup!$D$12+1),0,IF($F131&lt;&gt;"Active",0,IF($AE131="Yes",$AB131,((YEAR($AC131)*12)+MONTH($AC131))-((YEAR($AD131)*12)+MONTH($AD131)-1))))</f>
        <v>9</v>
      </c>
      <c r="AB131" s="146">
        <f ca="1">IF(OR($B131&lt;=Setup!$E$12,$B131&gt;=Setup!$D$12+1),0,((YEAR($AC131)*12)+MONTH($AC131))-((YEAR(Setup!$E$12)*12)+MONTH(Setup!$E$12)))</f>
        <v>9</v>
      </c>
      <c r="AC131" s="186">
        <f t="shared" ca="1" si="50"/>
        <v>45255</v>
      </c>
      <c r="AD131" s="144">
        <f ca="1">IF(ISNA(VLOOKUP($C131,EmpAll,COLUMN(Emp!$E$4),0)),$AC131,IF(VLOOKUP($C131,EmpAll,COLUMN(Emp!$E$4),0)&lt;=Setup!$E$12,DATE(YEAR(Setup!$E$12),MONTH(Setup!$E$12)+1,1),VLOOKUP($C131,EmpAll,COLUMN(Emp!$E$4),0)))</f>
        <v>44986</v>
      </c>
      <c r="AE131" s="144" t="str">
        <f ca="1">IF(ISNA(VLOOKUP($C131,EmpAll,COLUMN(Emp!$G$1),0)),"-",IF(VLOOKUP($C131,EmpAll,COLUMN(Emp!$G$1),0)=0,"-",VLOOKUP($C131,EmpAll,COLUMN(Emp!$G$1),0)))</f>
        <v>-</v>
      </c>
      <c r="AF131" s="145">
        <f ca="1">IF(A131=PaySlip!$G$3,1,0)</f>
        <v>0</v>
      </c>
      <c r="AG131" s="130" cm="1">
        <f t="array" aca="1" ref="AG131" ca="1">IF(COUNTIFS(OverEmp,$C131,OverMed,"MED",OverDate,"&lt;"&amp;DATE(YEAR($AC131),MONTH($AC131)+1,1),OverEnd,"&gt;="&amp;DATE(YEAR($AC131),MONTH($AC131),1))&gt;0,SUMIFS(OverValue,OverEmp,$C131,OverMed,"MED",OverDate,"&lt;"&amp;DATE(YEAR($AC131),MONTH($AC131)+1,1),OverEnd,"&gt;="&amp;DATE(YEAR($AC131),MONTH($AC131),1)),IF(ISNA(VLOOKUP($C131,EmpAll,COLUMN(Emp!$N$4),0)),0,VLOOKUP($C131,EmpAll,COLUMN(Emp!$N$4),0)))</f>
        <v>1</v>
      </c>
      <c r="AH131" s="146">
        <f ca="1">VLOOKUP($AG131,MedList,COLUMN(Setup!$C$49),1)</f>
        <v>364</v>
      </c>
      <c r="AI131" s="146">
        <f t="shared" ca="1" si="40"/>
        <v>4368</v>
      </c>
      <c r="AJ131" s="101" t="str">
        <f ca="1">IF(ISNA(VLOOKUP($C131,EmpAll,COLUMN(Emp!$L$4),0)),"None!",VLOOKUP($C131,EmpAll,COLUMN(Emp!$L$4),0))</f>
        <v>A</v>
      </c>
      <c r="AK131" s="147">
        <f t="shared" ca="1" si="51"/>
        <v>17235</v>
      </c>
      <c r="AL131" s="101" t="str">
        <f ca="1">IF(ISNA(VLOOKUP($C131,Employees[],COLUMN(Emp!$M$4),0))=TRUE,"Error!",IF(VLOOKUP($C131,Employees[],COLUMN(Emp!$M$4),0)=0,"Yes",VLOOKUP($C131,Employees[],COLUMN(Emp!$M$4),0)))</f>
        <v>A</v>
      </c>
      <c r="AM131" s="148">
        <f t="shared" ca="1" si="41"/>
        <v>120000</v>
      </c>
      <c r="AN131" s="148" cm="1">
        <f t="array" aca="1" ref="AN131" ca="1">-IF($F131="Terminated",0,IF($AA131=0,0,IF(ISNA(MATCH(AN$5,PayDedList,0)),0,MIN(IF(COUNTIFS(OverEmp,$C131,OverDeduct,AN$5,OverDate,"&lt;"&amp;DATE(YEAR($AC131),MONTH($AC131)+1,1),OverEnd,"&gt;="&amp;DATE(YEAR($AC131),MONTH($AC131),1))&gt;0,SUMPRODUCT((PayEmp=$C131)*(PayDate&lt;=$AC131)*(OFFSET($N$6,1,MATCH(AN$5,PayDedList,0)-1,PayCount,1)))/$AA131*12*AN$3,IF(OR(AN$1="Fixed",AN$1="Not Used"),SUMPRODUCT((PayEmp=$C131)*(PayDate&lt;=$AC131)*(OFFSET($N$6,1,MATCH(AN$5,PayDedList,0)-1,PayCount,1)))/$AA131*12*AN$3,IF(ISNA(MATCH(AN$1,EarnListItem,0))=FALSE,SUMPRODUCT((PayEmp=$C131)*(PayDate&lt;=$AC131)*(OFFSET($N$6,1,MATCH(AN$5,PayDedList,0)-1,PayCount,1)))/$AA131*12*AN$3,(MIN(((SUMPRODUCT((PayEmp=$C131)*(PayDate&lt;=$AC131)*(ISERROR(SEARCH(PayEarnCode,AN$2)))*(PayEarnType="Monthly")*(PayEarnValues))/$AA131*12)+(SUMPRODUCT((PayEmp=$C131)*(PayDate&lt;=$AC131)*(ISERROR(SEARCH(PayEarnCode,AN$2)))*(PayEarnType="Quarterly")*(PayEarnValues))/MAX(1,ROUNDDOWN($AB131/3,0))*4)+(SUMPRODUCT((PayEmp=$C131)*(PayDate&lt;=$AC131)*(ISERROR(SEARCH(PayEarnCode,AN$2)))*(PayEarnType="Bi-Annual")*(PayEarnValues))/MAX(1,ROUNDDOWN($AB131/6,0))*2)+(SUMPRODUCT((PayEmp=$C131)*(PayDate&lt;=$AC131)*(ISERROR(SEARCH(PayEarnCode,AN$2)))*(PayEarnType="Annual")*(PayEarnValues)))),IF(ISNUMBER(OFFSET($N$3,0,MATCH(AN$5,PayDedList,0)-1,1,1)),OFFSET($N$3,0,MATCH(AN$5,PayDedList,0)-1,1,1),IgnoreMin)))*IF(COUNTIFS(EmpNo,$C131,OFFSET(Emp!$R$4,1,MATCH(AN$5,DedListItem,0)-1,EmpCount,1),"&lt;&gt;")&gt;0,VLOOKUP($C131,EmpAll,COLUMN(Emp!$R$4)+MATCH(AN$5,DedListItem,0)-1,0),OFFSET(Setup!$E$73,MATCH(AN$5,DedListItem,0),0,1,1))*AN$3))),IF(ISNUMBER(AN$4),AN$4,IgnoreMin)))))</f>
        <v>0</v>
      </c>
      <c r="AO131" s="148" cm="1">
        <f t="array" aca="1" ref="AO131" ca="1">-IF($F131="Terminated",0,IF($AA131=0,0,IF(ISNA(MATCH(AO$5,PayDedList,0)),0,MIN(IF(COUNTIFS(OverEmp,$C131,OverDeduct,AO$5,OverDate,"&lt;"&amp;DATE(YEAR($AC131),MONTH($AC131)+1,1),OverEnd,"&gt;="&amp;DATE(YEAR($AC131),MONTH($AC131),1))&gt;0,SUMPRODUCT((PayEmp=$C131)*(PayDate&lt;=$AC131)*(OFFSET($N$6,1,MATCH(AO$5,PayDedList,0)-1,PayCount,1)))/$AA131*12*AO$3,IF(OR(AO$1="Fixed",AO$1="Not Used"),SUMPRODUCT((PayEmp=$C131)*(PayDate&lt;=$AC131)*(OFFSET($N$6,1,MATCH(AO$5,PayDedList,0)-1,PayCount,1)))/$AA131*12*AO$3,IF(ISNA(MATCH(AO$1,EarnListItem,0))=FALSE,SUMPRODUCT((PayEmp=$C131)*(PayDate&lt;=$AC131)*(OFFSET($N$6,1,MATCH(AO$5,PayDedList,0)-1,PayCount,1)))/$AA131*12*AO$3,(MIN(((SUMPRODUCT((PayEmp=$C131)*(PayDate&lt;=$AC131)*(ISERROR(SEARCH(PayEarnCode,AO$2)))*(PayEarnType="Monthly")*(PayEarnValues))/$AA131*12)+(SUMPRODUCT((PayEmp=$C131)*(PayDate&lt;=$AC131)*(ISERROR(SEARCH(PayEarnCode,AO$2)))*(PayEarnType="Quarterly")*(PayEarnValues))/MAX(1,ROUNDDOWN($AB131/3,0))*4)+(SUMPRODUCT((PayEmp=$C131)*(PayDate&lt;=$AC131)*(ISERROR(SEARCH(PayEarnCode,AO$2)))*(PayEarnType="Bi-Annual")*(PayEarnValues))/MAX(1,ROUNDDOWN($AB131/6,0))*2)+(SUMPRODUCT((PayEmp=$C131)*(PayDate&lt;=$AC131)*(ISERROR(SEARCH(PayEarnCode,AO$2)))*(PayEarnType="Annual")*(PayEarnValues)))),IF(ISNUMBER(OFFSET($N$3,0,MATCH(AO$5,PayDedList,0)-1,1,1)),OFFSET($N$3,0,MATCH(AO$5,PayDedList,0)-1,1,1),IgnoreMin)))*IF(COUNTIFS(EmpNo,$C131,OFFSET(Emp!$R$4,1,MATCH(AO$5,DedListItem,0)-1,EmpCount,1),"&lt;&gt;")&gt;0,VLOOKUP($C131,EmpAll,COLUMN(Emp!$R$4)+MATCH(AO$5,DedListItem,0)-1,0),OFFSET(Setup!$E$73,MATCH(AO$5,DedListItem,0),0,1,1))*AO$3))),IF(ISNUMBER(AO$4),AO$4,IgnoreMin)))))</f>
        <v>0</v>
      </c>
      <c r="AP131" s="148" cm="1">
        <f t="array" aca="1" ref="AP131" ca="1">-IF($F131="Terminated",0,IF($AA131=0,0,IF(ISNA(MATCH(AP$5,PayDedList,0)),0,MIN(IF(COUNTIFS(OverEmp,$C131,OverDeduct,AP$5,OverDate,"&lt;"&amp;DATE(YEAR($AC131),MONTH($AC131)+1,1),OverEnd,"&gt;="&amp;DATE(YEAR($AC131),MONTH($AC131),1))&gt;0,SUMPRODUCT((PayEmp=$C131)*(PayDate&lt;=$AC131)*(OFFSET($N$6,1,MATCH(AP$5,PayDedList,0)-1,PayCount,1)))/$AA131*12*AP$3,IF(OR(AP$1="Fixed",AP$1="Not Used"),SUMPRODUCT((PayEmp=$C131)*(PayDate&lt;=$AC131)*(OFFSET($N$6,1,MATCH(AP$5,PayDedList,0)-1,PayCount,1)))/$AA131*12*AP$3,IF(ISNA(MATCH(AP$1,EarnListItem,0))=FALSE,SUMPRODUCT((PayEmp=$C131)*(PayDate&lt;=$AC131)*(OFFSET($N$6,1,MATCH(AP$5,PayDedList,0)-1,PayCount,1)))/$AA131*12*AP$3,(MIN(((SUMPRODUCT((PayEmp=$C131)*(PayDate&lt;=$AC131)*(ISERROR(SEARCH(PayEarnCode,AP$2)))*(PayEarnType="Monthly")*(PayEarnValues))/$AA131*12)+(SUMPRODUCT((PayEmp=$C131)*(PayDate&lt;=$AC131)*(ISERROR(SEARCH(PayEarnCode,AP$2)))*(PayEarnType="Quarterly")*(PayEarnValues))/MAX(1,ROUNDDOWN($AB131/3,0))*4)+(SUMPRODUCT((PayEmp=$C131)*(PayDate&lt;=$AC131)*(ISERROR(SEARCH(PayEarnCode,AP$2)))*(PayEarnType="Bi-Annual")*(PayEarnValues))/MAX(1,ROUNDDOWN($AB131/6,0))*2)+(SUMPRODUCT((PayEmp=$C131)*(PayDate&lt;=$AC131)*(ISERROR(SEARCH(PayEarnCode,AP$2)))*(PayEarnType="Annual")*(PayEarnValues)))),IF(ISNUMBER(OFFSET($N$3,0,MATCH(AP$5,PayDedList,0)-1,1,1)),OFFSET($N$3,0,MATCH(AP$5,PayDedList,0)-1,1,1),IgnoreMin)))*IF(COUNTIFS(EmpNo,$C131,OFFSET(Emp!$R$4,1,MATCH(AP$5,DedListItem,0)-1,EmpCount,1),"&lt;&gt;")&gt;0,VLOOKUP($C131,EmpAll,COLUMN(Emp!$R$4)+MATCH(AP$5,DedListItem,0)-1,0),OFFSET(Setup!$E$73,MATCH(AP$5,DedListItem,0),0,1,1))*AP$3))),IF(ISNUMBER(AP$4),AP$4,IgnoreMin)))))</f>
        <v>0</v>
      </c>
      <c r="AQ131" s="148" cm="1">
        <f t="array" aca="1" ref="AQ131" ca="1">-IF($F131="Terminated",0,IF($AA131=0,0,IF(ISNA(MATCH(AQ$5,PayDedList,0)),0,MIN(IF(COUNTIFS(OverEmp,$C131,OverDeduct,AQ$5,OverDate,"&lt;"&amp;DATE(YEAR($AC131),MONTH($AC131)+1,1),OverEnd,"&gt;="&amp;DATE(YEAR($AC131),MONTH($AC131),1))&gt;0,SUMPRODUCT((PayEmp=$C131)*(PayDate&lt;=$AC131)*(OFFSET($N$6,1,MATCH(AQ$5,PayDedList,0)-1,PayCount,1)))/$AA131*12*AQ$3,IF(OR(AQ$1="Fixed",AQ$1="Not Used"),SUMPRODUCT((PayEmp=$C131)*(PayDate&lt;=$AC131)*(OFFSET($N$6,1,MATCH(AQ$5,PayDedList,0)-1,PayCount,1)))/$AA131*12*AQ$3,IF(ISNA(MATCH(AQ$1,EarnListItem,0))=FALSE,SUMPRODUCT((PayEmp=$C131)*(PayDate&lt;=$AC131)*(OFFSET($N$6,1,MATCH(AQ$5,PayDedList,0)-1,PayCount,1)))/$AA131*12*AQ$3,(MIN(((SUMPRODUCT((PayEmp=$C131)*(PayDate&lt;=$AC131)*(ISERROR(SEARCH(PayEarnCode,AQ$2)))*(PayEarnType="Monthly")*(PayEarnValues))/$AA131*12)+(SUMPRODUCT((PayEmp=$C131)*(PayDate&lt;=$AC131)*(ISERROR(SEARCH(PayEarnCode,AQ$2)))*(PayEarnType="Quarterly")*(PayEarnValues))/MAX(1,ROUNDDOWN($AB131/3,0))*4)+(SUMPRODUCT((PayEmp=$C131)*(PayDate&lt;=$AC131)*(ISERROR(SEARCH(PayEarnCode,AQ$2)))*(PayEarnType="Bi-Annual")*(PayEarnValues))/MAX(1,ROUNDDOWN($AB131/6,0))*2)+(SUMPRODUCT((PayEmp=$C131)*(PayDate&lt;=$AC131)*(ISERROR(SEARCH(PayEarnCode,AQ$2)))*(PayEarnType="Annual")*(PayEarnValues)))),IF(ISNUMBER(OFFSET($N$3,0,MATCH(AQ$5,PayDedList,0)-1,1,1)),OFFSET($N$3,0,MATCH(AQ$5,PayDedList,0)-1,1,1),IgnoreMin)))*IF(COUNTIFS(EmpNo,$C131,OFFSET(Emp!$R$4,1,MATCH(AQ$5,DedListItem,0)-1,EmpCount,1),"&lt;&gt;")&gt;0,VLOOKUP($C131,EmpAll,COLUMN(Emp!$R$4)+MATCH(AQ$5,DedListItem,0)-1,0),OFFSET(Setup!$E$73,MATCH(AQ$5,DedListItem,0),0,1,1))*AQ$3))),IF(ISNUMBER(AQ$4),AQ$4,IgnoreMin)))))</f>
        <v>0</v>
      </c>
      <c r="AR131" s="148">
        <f t="shared" ca="1" si="52"/>
        <v>120000</v>
      </c>
      <c r="AS131" s="148">
        <f t="shared" ca="1" si="42"/>
        <v>120000</v>
      </c>
      <c r="AT131" s="148" cm="1">
        <f t="array" aca="1" ref="AT131" ca="1">-IF($F131="Terminated",0,IF($AA131=0,0,IF(ISNA(MATCH(AT$5,PayDedList,0)),0,MIN(IF(COUNTIFS(OverEmp,$C131,OverDeduct,AT$5,OverDate,"&lt;"&amp;DATE(YEAR($AC131),MONTH($AC131)+1,1),OverEnd,"&gt;="&amp;DATE(YEAR($AC131),MONTH($AC131),1))&gt;0,SUMPRODUCT((PayEmp=$C131)*(PayDate&lt;=$AC131)*(OFFSET($N$6,1,MATCH(AT$5,PayDedList,0)-1,PayCount,1)))/$AA131*12*AT$3,IF(OR(AT$1="Fixed",AT$1="Not Used"),SUMPRODUCT((PayEmp=$C131)*(PayDate&lt;=$AC131)*(OFFSET($N$6,1,MATCH(AT$5,PayDedList,0)-1,PayCount,1)))/$AA131*12*AT$3,IF(ISNA(MATCH(OFFSET($N$2,0,MATCH(AT$5,PayDedList,0)-1,1,1),EarnListItem,0))=FALSE,SUMPRODUCT((PayEmp=$C131)*(PayDate&lt;=$AC131)*(OFFSET($N$6,1,MATCH(AT$5,PayDedList,0)-1,PayCount,1)))/$AA131*12*AT$3,(MIN(SUMPRODUCT((PayEmp=$C131)*(PayDate&lt;=$AC131)*(ISERROR(SEARCH(PayEarnCode,AT$2)))*(PayEarnType="Monthly")*(PayEarnValues))/$AA131*12,IF(ISNUMBER(OFFSET($N$3,0,MATCH(AT$5,PayDedList,0)-1,1,1)),OFFSET($N$3,0,MATCH(AT$5,PayDedList,0)-1,1,1),IgnoreMin)))*IF(COUNTIFS(EmpNo,$C131,OFFSET(Emp!$R$4,1,MATCH(AT$5,DedListItem,0)-1,EmpCount,1),"&lt;&gt;")&gt;0,VLOOKUP($C131,EmpAll,COLUMN(Emp!$R$4)+MATCH(AT$5,DedListItem,0)-1,0),OFFSET(Setup!$E$73,MATCH(AT$5,DedListItem,0),0,1,1))*AT$3))),IF(ISNUMBER(AT$4),AT$4,IgnoreMin)))))</f>
        <v>0</v>
      </c>
      <c r="AU131" s="148" cm="1">
        <f t="array" aca="1" ref="AU131" ca="1">-IF($F131="Terminated",0,IF($AA131=0,0,IF(ISNA(MATCH(AU$5,PayDedList,0)),0,MIN(IF(COUNTIFS(OverEmp,$C131,OverDeduct,AU$5,OverDate,"&lt;"&amp;DATE(YEAR($AC131),MONTH($AC131)+1,1),OverEnd,"&gt;="&amp;DATE(YEAR($AC131),MONTH($AC131),1))&gt;0,SUMPRODUCT((PayEmp=$C131)*(PayDate&lt;=$AC131)*(OFFSET($N$6,1,MATCH(AU$5,PayDedList,0)-1,PayCount,1)))/$AA131*12*AU$3,IF(OR(AU$1="Fixed",AU$1="Not Used"),SUMPRODUCT((PayEmp=$C131)*(PayDate&lt;=$AC131)*(OFFSET($N$6,1,MATCH(AU$5,PayDedList,0)-1,PayCount,1)))/$AA131*12*AU$3,IF(ISNA(MATCH(OFFSET($N$2,0,MATCH(AU$5,PayDedList,0)-1,1,1),EarnListItem,0))=FALSE,SUMPRODUCT((PayEmp=$C131)*(PayDate&lt;=$AC131)*(OFFSET($N$6,1,MATCH(AU$5,PayDedList,0)-1,PayCount,1)))/$AA131*12*AU$3,(MIN(SUMPRODUCT((PayEmp=$C131)*(PayDate&lt;=$AC131)*(ISERROR(SEARCH(PayEarnCode,AU$2)))*(PayEarnType="Monthly")*(PayEarnValues))/$AA131*12,IF(ISNUMBER(OFFSET($N$3,0,MATCH(AU$5,PayDedList,0)-1,1,1)),OFFSET($N$3,0,MATCH(AU$5,PayDedList,0)-1,1,1),IgnoreMin)))*IF(COUNTIFS(EmpNo,$C131,OFFSET(Emp!$R$4,1,MATCH(AU$5,DedListItem,0)-1,EmpCount,1),"&lt;&gt;")&gt;0,VLOOKUP($C131,EmpAll,COLUMN(Emp!$R$4)+MATCH(AU$5,DedListItem,0)-1,0),OFFSET(Setup!$E$73,MATCH(AU$5,DedListItem,0),0,1,1))*AU$3))),IF(ISNUMBER(AU$4),AU$4,IgnoreMin)))))</f>
        <v>0</v>
      </c>
      <c r="AV131" s="148" cm="1">
        <f t="array" aca="1" ref="AV131" ca="1">-IF($F131="Terminated",0,IF($AA131=0,0,IF(ISNA(MATCH(AV$5,PayDedList,0)),0,MIN(IF(COUNTIFS(OverEmp,$C131,OverDeduct,AV$5,OverDate,"&lt;"&amp;DATE(YEAR($AC131),MONTH($AC131)+1,1),OverEnd,"&gt;="&amp;DATE(YEAR($AC131),MONTH($AC131),1))&gt;0,SUMPRODUCT((PayEmp=$C131)*(PayDate&lt;=$AC131)*(OFFSET($N$6,1,MATCH(AV$5,PayDedList,0)-1,PayCount,1)))/$AA131*12*AV$3,IF(OR(AV$1="Fixed",AV$1="Not Used"),SUMPRODUCT((PayEmp=$C131)*(PayDate&lt;=$AC131)*(OFFSET($N$6,1,MATCH(AV$5,PayDedList,0)-1,PayCount,1)))/$AA131*12*AV$3,IF(ISNA(MATCH(OFFSET($N$2,0,MATCH(AV$5,PayDedList,0)-1,1,1),EarnListItem,0))=FALSE,SUMPRODUCT((PayEmp=$C131)*(PayDate&lt;=$AC131)*(OFFSET($N$6,1,MATCH(AV$5,PayDedList,0)-1,PayCount,1)))/$AA131*12*AV$3,(MIN(SUMPRODUCT((PayEmp=$C131)*(PayDate&lt;=$AC131)*(ISERROR(SEARCH(PayEarnCode,AV$2)))*(PayEarnType="Monthly")*(PayEarnValues))/$AA131*12,IF(ISNUMBER(OFFSET($N$3,0,MATCH(AV$5,PayDedList,0)-1,1,1)),OFFSET($N$3,0,MATCH(AV$5,PayDedList,0)-1,1,1),IgnoreMin)))*IF(COUNTIFS(EmpNo,$C131,OFFSET(Emp!$R$4,1,MATCH(AV$5,DedListItem,0)-1,EmpCount,1),"&lt;&gt;")&gt;0,VLOOKUP($C131,EmpAll,COLUMN(Emp!$R$4)+MATCH(AV$5,DedListItem,0)-1,0),OFFSET(Setup!$E$73,MATCH(AV$5,DedListItem,0),0,1,1))*AV$3))),IF(ISNUMBER(AV$4),AV$4,IgnoreMin)))))</f>
        <v>0</v>
      </c>
      <c r="AW131" s="148" cm="1">
        <f t="array" aca="1" ref="AW131" ca="1">-IF($F131="Terminated",0,IF($AA131=0,0,IF(ISNA(MATCH(AW$5,PayDedList,0)),0,MIN(IF(COUNTIFS(OverEmp,$C131,OverDeduct,AW$5,OverDate,"&lt;"&amp;DATE(YEAR($AC131),MONTH($AC131)+1,1),OverEnd,"&gt;="&amp;DATE(YEAR($AC131),MONTH($AC131),1))&gt;0,SUMPRODUCT((PayEmp=$C131)*(PayDate&lt;=$AC131)*(OFFSET($N$6,1,MATCH(AW$5,PayDedList,0)-1,PayCount,1)))/$AA131*12*AW$3,IF(OR(AW$1="Fixed",AW$1="Not Used"),SUMPRODUCT((PayEmp=$C131)*(PayDate&lt;=$AC131)*(OFFSET($N$6,1,MATCH(AW$5,PayDedList,0)-1,PayCount,1)))/$AA131*12*AW$3,IF(ISNA(MATCH(OFFSET($N$2,0,MATCH(AW$5,PayDedList,0)-1,1,1),EarnListItem,0))=FALSE,SUMPRODUCT((PayEmp=$C131)*(PayDate&lt;=$AC131)*(OFFSET($N$6,1,MATCH(AW$5,PayDedList,0)-1,PayCount,1)))/$AA131*12*AW$3,(MIN(SUMPRODUCT((PayEmp=$C131)*(PayDate&lt;=$AC131)*(ISERROR(SEARCH(PayEarnCode,AW$2)))*(PayEarnType="Monthly")*(PayEarnValues))/$AA131*12,IF(ISNUMBER(OFFSET($N$3,0,MATCH(AW$5,PayDedList,0)-1,1,1)),OFFSET($N$3,0,MATCH(AW$5,PayDedList,0)-1,1,1),IgnoreMin)))*IF(COUNTIFS(EmpNo,$C131,OFFSET(Emp!$R$4,1,MATCH(AW$5,DedListItem,0)-1,EmpCount,1),"&lt;&gt;")&gt;0,VLOOKUP($C131,EmpAll,COLUMN(Emp!$R$4)+MATCH(AW$5,DedListItem,0)-1,0),OFFSET(Setup!$E$73,MATCH(AW$5,DedListItem,0),0,1,1))*AW$3))),IF(ISNUMBER(AW$4),AW$4,IgnoreMin)))))</f>
        <v>0</v>
      </c>
      <c r="AX131" s="148">
        <f t="shared" ca="1" si="58"/>
        <v>120000</v>
      </c>
      <c r="AY131" s="148">
        <f t="shared" ca="1" si="59"/>
        <v>0</v>
      </c>
      <c r="AZ131" s="148">
        <f ca="1">IF(ISNUMBER($AL131),($AR131*$AL131)-$AI131-$AK131,MAX(0,IF($AL131="B",IF($AR131&lt;Setup!$C$32,($AR131*Setup!$D$32)-$AI131-$AK131,(($AR131-VLOOKUP($AR131,TaxAll2,1,1))*OFFSET(Setup!$D$32,MATCH($AR131,TaxBracket2,1),0,1,1))+OFFSET(Setup!$E$31,MATCH($AR131,TaxBracket2,1),0,1,1)-$AI131-$AK131),IF($AR131&lt;Setup!$C$21,($AR131*Setup!$D$21)-$AI131-$AK131,(($AR131-VLOOKUP($AR131,TaxAll1,1,1))*OFFSET(Setup!$D$21,MATCH($AR131,TaxBracket1,1),0,1,1))+OFFSET(Setup!$E$20,MATCH($AR131,TaxBracket1,1),0,1,1)-$AI131-$AK131))))</f>
        <v>0</v>
      </c>
      <c r="BA131" s="148">
        <f ca="1">IF(ISNUMBER($AL131),($AX131*$AL131)-$AI131-$AK131,MAX(0,IF($AL131="B",IF($AX131&lt;Setup!$C$32,($AX131*Setup!$D$32)-$AI131-$AK131,(($AX131-VLOOKUP($AX131,TaxAll2,1,1))*OFFSET(Setup!$D$32,MATCH($AX131,TaxBracket2,1),0,1,1))+OFFSET(Setup!$E$31,MATCH($AX131,TaxBracket2,1),0,1,1)-$AI131-$AK131),IF($AX131&lt;Setup!$C$21,($AX131*Setup!$D$21)-$AI131-$AK131,(($AX131-VLOOKUP($AX131,TaxAll1,1,1))*OFFSET(Setup!$D$21,MATCH($AX131,TaxBracket1,1),0,1,1))+OFFSET(Setup!$E$20,MATCH($AX131,TaxBracket1,1),0,1,1)-$AI131-$AK131))))</f>
        <v>0</v>
      </c>
      <c r="BB131" s="148">
        <f t="shared" ca="1" si="53"/>
        <v>0</v>
      </c>
      <c r="BC131" s="150">
        <f t="shared" ca="1" si="45"/>
        <v>1</v>
      </c>
      <c r="BD131" s="150">
        <f t="shared" ca="1" si="46"/>
        <v>0</v>
      </c>
      <c r="BE131" s="148">
        <f t="shared" ca="1" si="47"/>
        <v>120000</v>
      </c>
    </row>
    <row r="132" spans="1:57" ht="16.149999999999999" customHeight="1" x14ac:dyDescent="0.25">
      <c r="A132" s="10" t="str" cm="1">
        <f t="array" aca="1" ref="A132" ca="1">IF(ROW($A132)-ROW($A$6)&gt;EmpCount*12,"-",TEXT($B132,"yyyy")&amp;TEXT($B132,"mm")&amp;"-"&amp;$C132)</f>
        <v>202311-EXS006</v>
      </c>
      <c r="B132" s="137" cm="1">
        <f t="array" aca="1" ref="B132" ca="1">IF(ROW($A132)-ROW($A$6)&gt;EmpCount*12,Setup!$D$12,DATE(YEAR(Setup!$F$12),MONTH(Setup!$F$12)+ROUNDDOWN((ROW($A132)-ROW($A$6)-1)/EmpCount,0),IF(Setup!$C$14&gt;DAY(DATE(YEAR(Setup!$F$12),MONTH(Setup!$F$12)+ROUNDDOWN((ROW($A132)-ROW($A$6)-1)/EmpCount,0)+1,0)),DAY(DATE(YEAR(Setup!$F$12),MONTH(Setup!$F$12)+ROUNDDOWN((ROW($A132)-ROW($A$6)-1)/EmpCount,0)+1,0)),Setup!$C$14)))</f>
        <v>45255</v>
      </c>
      <c r="C132" s="101" t="str" cm="1">
        <f t="array" aca="1" ref="C132" ca="1">IF(ROW($A132)-ROW($A$6)&gt;EmpCount*12,"-",OFFSET(Emp!$A$4,ROW($A132)-ROW($A$6)-IF(ROW($A132)-ROW($A$6)&gt;EmpCount,ROUNDDOWN((ROW($A132)-ROW($A$6)-1)/EmpCount,0)*EmpCount,0),0,1,1))</f>
        <v>EXS006</v>
      </c>
      <c r="D132" s="10" t="str">
        <f ca="1">IF(ISNA(VLOOKUP($C132,EmpAll,COLUMN(Emp!$B$4),0)),"-",VLOOKUP($C132,EmpAll,COLUMN(Emp!$B$4),0))</f>
        <v>Andrews MS</v>
      </c>
      <c r="E132" s="145" t="str">
        <f ca="1">IF(ISNA(VLOOKUP($C132,EmpAll,COLUMN(Emp!$C$4),0)),"-",VLOOKUP($C132,EmpAll,COLUMN(Emp!$C$4),0))</f>
        <v>S</v>
      </c>
      <c r="F132" s="101" t="str">
        <f ca="1">IF(ISNA(VLOOKUP($C132,EmpAll,COLUMN(Emp!$A$4),0)),"-",IF(AND(VLOOKUP($C132,EmpAll,COLUMN(Emp!$E$4),0)&lt;&gt;0,VLOOKUP($C132,EmpAll,COLUMN(Emp!$E$4),0)&gt;=DATE(YEAR($AC132),MONTH($AC132)+1,0)),"Inactive",IF(AND(VLOOKUP($C132,EmpAll,COLUMN(Emp!$F$4),0)&lt;&gt;0,VLOOKUP($C132,EmpAll,COLUMN(Emp!$F$4),0)&lt;=DATE(YEAR($AC132),MONTH($AC132),0)),"Terminated","Active")))</f>
        <v>Active</v>
      </c>
      <c r="G132" s="133" cm="1">
        <f t="array" aca="1" ref="G132" ca="1">IF($F132&lt;&gt;"Active",0,IF(COUNTIFS(OverEmp,$C132,OverEarn,G$2,OverDate,"&lt;"&amp;DATE(YEAR($AC132),MONTH($AC132)+1,1),OverEnd,"&gt;="&amp;DATE(YEAR($AC132),MONTH($AC132),1))&gt;0,SUMIFS(OverValue,OverEmp,$C132,OverEarn,G$2,OverDate,"&lt;"&amp;DATE(YEAR($AC132),MONTH($AC132)+1,1),OverEnd,"&gt;="&amp;DATE(YEAR($AC132),MONTH($AC132),1)),IF(AND($AC132&gt;=Setup!$E$10,SUMIFS(EmpIncrease,EmpCode,$C132)&gt;0),SUMIFS(EmpIncrease,EmpCode,$C132),SUMIFS(EmpSalary,EmpCode,$C132))))</f>
        <v>10000</v>
      </c>
      <c r="H132" s="133" cm="1">
        <f t="array" aca="1" ref="H132" ca="1">IF($F132&lt;&gt;"Active",0,IF(COUNTIFS(OverEmp,$C132,OverEarn,H$2,OverDate,"&lt;"&amp;DATE(YEAR($AC132),MONTH($AC132)+1,1),OverEnd,"&gt;="&amp;DATE(YEAR($AC132),MONTH($AC132),1))&gt;0,SUMIFS(OverValue,OverEmp,$C132,OverEarn,H$2,OverDate,"&lt;"&amp;DATE(YEAR($AC132),MONTH($AC132)+1,1),OverEnd,"&gt;="&amp;DATE(YEAR($AC132),MONTH($AC132),1)),0))</f>
        <v>0</v>
      </c>
      <c r="I132" s="133" cm="1">
        <f t="array" aca="1" ref="I132" ca="1">IF($F132&lt;&gt;"Active",0,IF(COUNTIFS(OverEmp,$C132,OverEarn,I$2,OverDate,"&lt;"&amp;DATE(YEAR($AC132),MONTH($AC132)+1,1),OverEnd,"&gt;="&amp;DATE(YEAR($AC132),MONTH($AC132),1))&gt;0,SUMIFS(OverValue,OverEmp,$C132,OverEarn,I$2,OverDate,"&lt;"&amp;DATE(YEAR($AC132),MONTH($AC132)+1,1),OverEnd,"&gt;="&amp;DATE(YEAR($AC132),MONTH($AC132),1)),IF(MONTH(B132)=Setup!$C$15,SUMIFS(EmpBonus,EmpCode,$C132),0)))</f>
        <v>0</v>
      </c>
      <c r="J132" s="133" cm="1">
        <f t="array" aca="1" ref="J132" ca="1">IF($F132&lt;&gt;"Active",0,IF(COUNTIFS(OverEmp,$C132,OverEarn,J$2,OverDate,"&lt;"&amp;DATE(YEAR($AC132),MONTH($AC132)+1,1),OverEnd,"&gt;="&amp;DATE(YEAR($AC132),MONTH($AC132),1))&gt;0,SUMIFS(OverValue,OverEmp,$C132,OverEarn,J$2,OverDate,"&lt;"&amp;DATE(YEAR($AC132),MONTH($AC132)+1,1),OverEnd,"&gt;="&amp;DATE(YEAR($AC132),MONTH($AC132),1)),0))</f>
        <v>0</v>
      </c>
      <c r="K132" s="133" cm="1">
        <f t="array" aca="1" ref="K132" ca="1">IF($F132&lt;&gt;"Active",0,IF(COUNTIFS(OverEmp,$C132,OverEarn,K$2,OverDate,"&lt;"&amp;DATE(YEAR($AC132),MONTH($AC132)+1,1),OverEnd,"&gt;="&amp;DATE(YEAR($AC132),MONTH($AC132),1))&gt;0,SUMIFS(OverValue,OverEmp,$C132,OverEarn,K$2,OverDate,"&lt;"&amp;DATE(YEAR($AC132),MONTH($AC132)+1,1),OverEnd,"&gt;="&amp;DATE(YEAR($AC132),MONTH($AC132),1)),0))</f>
        <v>0</v>
      </c>
      <c r="L132" s="185">
        <f t="shared" ca="1" si="54"/>
        <v>10000</v>
      </c>
      <c r="M132" s="182" cm="1">
        <f t="array" aca="1" ref="M132" ca="1">IF(COUNTIFS(OverEmp,$C132,OverTax,M$5,OverDate,"&lt;"&amp;DATE(YEAR($AC132),MONTH($AC132)+1,1),OverEnd,"&gt;="&amp;DATE(YEAR($AC132),MONTH($AC132),1))&gt;0,SUMIFS(OverValue,OverEmp,$C132,OverTax,M$5,OverDate,"&lt;"&amp;DATE(YEAR($AC132),MONTH($AC132)+1,1),OverEnd,"&gt;="&amp;DATE(YEAR($AC132),MONTH($AC132),1)),(($BA132/12*$AA132)+(BB132*IF(1-$BC132=0,0,BD132/(1-$BC132))))-IF($F132="Terminated",0,SUMIFS(PayTaxDeduct,PayDate,"&lt;"&amp;$AC132,PayEmp,$C132)))</f>
        <v>0</v>
      </c>
      <c r="N132" s="133" cm="1">
        <f t="array" aca="1" ref="N132" ca="1">IF($F132="Terminated",0,IF($AA132=0,0,IF(ISNA(MATCH(N$5,DedListItem,0)),0,IF(COUNTIFS(OverEmp,$C132,OverDeduct,N$5,OverDate,"&lt;"&amp;DATE(YEAR($AC132),MONTH($AC132)+1,1),OverEnd,"&gt;="&amp;DATE(YEAR($AC132),MONTH($AC132),1))&gt;0,SUMIFS(OverValue,OverEmp,$C132,OverDeduct,N$5,OverDate,"&lt;"&amp;DATE(YEAR($AC132),MONTH($AC132)+1,1),OverEnd,"&gt;="&amp;DATE(YEAR($AC132),MONTH($AC132),1)),IF(OR(N$2="Fixed",N$2="Not Used"),(IF(COUNTIFS(EmpNo,$C132,OFFSET(Emp!$R$4,1,MATCH(N$5,DedListItem,0)-1,EmpCount,1),"&lt;&gt;")&gt;0,VLOOKUP($C132,EmpAll,COLUMN(Emp!$R$4)+MATCH(N$5,DedListItem,0)-1,0),OFFSET(Setup!$E$73,MATCH(N$5,DedListItem,0),0,1,1))*$AA132)-SUMIFS(OFFSET(N$6,1,0,PayCount,1),PayDate,"&lt;"&amp;$AC132,PayEmp,$C132),IF(ISNA(MATCH(N$2,EarnListItem,0))=FALSE,IF(OFFSET(Setup!$G$73,MATCH(N$5,DedListItem,0),0,1,1)="Taxable",SUMPRODUCT((PayEmp=$C132)*(PayDate&lt;=$AC132)*(PayEarnCode=N$2)*(PayEarnTax)*(PayEarnValues)),SUMPRODUCT((PayEmp=$C132)*(PayDate&lt;=$AC132)*(PayEarnCode=N$2)*(PayEarnValues)))*IF(COUNTIFS(EmpNo,$C132,OFFSET(Emp!$R$4,1,MATCH(N$5,DedListItem,0)-1,EmpCount,1),"&lt;&gt;")&gt;0,VLOOKUP($C132,EmpAll,COLUMN(Emp!$R$4)+MATCH(N$5,DedListItem,0)-1,0),OFFSET(Setup!$E$73,MATCH(N$5,DedListItem,0),0,1,1)),(MIN(IF(OFFSET(Setup!$G$73,MATCH(N$5,DedListItem,0),0,1,1)="Taxable",SUMPRODUCT((PayEmp=$C132)*(PayDate&lt;=$AC132)*(ISERROR(SEARCH(PayEarnCode,N$4)))*(PayEarnTax)*(PayEarnValues)),SUMPRODUCT((PayEmp=$C132)*(PayDate&lt;=$AC132)*(ISERROR(SEARCH(PayEarnCode,N$4)))*(PayEarnValues))),IF(ISNUMBER(N$3),N$3/12*$AA132,IgnoreMin)))*IF(COUNTIFS(EmpNo,$C132,OFFSET(Emp!$R$4,1,MATCH(N$5,DedListItem,0)-1,EmpCount,1),"&lt;&gt;")&gt;0,VLOOKUP($C132,EmpAll,COLUMN(Emp!$R$4)+MATCH(N$5,DedListItem,0)-1,0),OFFSET(Setup!$E$73,MATCH(N$5,DedListItem,0),0,1,1)))-SUMIFS(OFFSET(N$6,1,0,PayCount,1),PayDate,"&lt;"&amp;$AC132,PayEmp,$C132))))))</f>
        <v>100</v>
      </c>
      <c r="O132" s="133" cm="1">
        <f t="array" aca="1" ref="O132" ca="1">IF($F132="Terminated",0,IF($AA132=0,0,IF(ISNA(MATCH(O$5,DedListItem,0)),0,IF(COUNTIFS(OverEmp,$C132,OverDeduct,O$5,OverDate,"&lt;"&amp;DATE(YEAR($AC132),MONTH($AC132)+1,1),OverEnd,"&gt;="&amp;DATE(YEAR($AC132),MONTH($AC132),1))&gt;0,SUMIFS(OverValue,OverEmp,$C132,OverDeduct,O$5,OverDate,"&lt;"&amp;DATE(YEAR($AC132),MONTH($AC132)+1,1),OverEnd,"&gt;="&amp;DATE(YEAR($AC132),MONTH($AC132),1)),IF(OR(O$2="Fixed",O$2="Not Used"),(IF(COUNTIFS(EmpNo,$C132,OFFSET(Emp!$R$4,1,MATCH(O$5,DedListItem,0)-1,EmpCount,1),"&lt;&gt;")&gt;0,VLOOKUP($C132,EmpAll,COLUMN(Emp!$R$4)+MATCH(O$5,DedListItem,0)-1,0),OFFSET(Setup!$E$73,MATCH(O$5,DedListItem,0),0,1,1))*$AA132)-SUMIFS(OFFSET(O$6,1,0,PayCount,1),PayDate,"&lt;"&amp;$AC132,PayEmp,$C132),IF(ISNA(MATCH(O$2,EarnListItem,0))=FALSE,IF(OFFSET(Setup!$G$73,MATCH(O$5,DedListItem,0),0,1,1)="Taxable",SUMPRODUCT((PayEmp=$C132)*(PayDate&lt;=$AC132)*(PayEarnCode=O$2)*(PayEarnTax)*(PayEarnValues)),SUMPRODUCT((PayEmp=$C132)*(PayDate&lt;=$AC132)*(PayEarnCode=O$2)*(PayEarnValues)))*IF(COUNTIFS(EmpNo,$C132,OFFSET(Emp!$R$4,1,MATCH(O$5,DedListItem,0)-1,EmpCount,1),"&lt;&gt;")&gt;0,VLOOKUP($C132,EmpAll,COLUMN(Emp!$R$4)+MATCH(O$5,DedListItem,0)-1,0),OFFSET(Setup!$E$73,MATCH(O$5,DedListItem,0),0,1,1)),(MIN(IF(OFFSET(Setup!$G$73,MATCH(O$5,DedListItem,0),0,1,1)="Taxable",SUMPRODUCT((PayEmp=$C132)*(PayDate&lt;=$AC132)*(ISERROR(SEARCH(PayEarnCode,O$4)))*(PayEarnTax)*(PayEarnValues)),SUMPRODUCT((PayEmp=$C132)*(PayDate&lt;=$AC132)*(ISERROR(SEARCH(PayEarnCode,O$4)))*(PayEarnValues))),IF(ISNUMBER(O$3),O$3/12*$AA132,IgnoreMin)))*IF(COUNTIFS(EmpNo,$C132,OFFSET(Emp!$R$4,1,MATCH(O$5,DedListItem,0)-1,EmpCount,1),"&lt;&gt;")&gt;0,VLOOKUP($C132,EmpAll,COLUMN(Emp!$R$4)+MATCH(O$5,DedListItem,0)-1,0),OFFSET(Setup!$E$73,MATCH(O$5,DedListItem,0),0,1,1)))-SUMIFS(OFFSET(O$6,1,0,PayCount,1),PayDate,"&lt;"&amp;$AC132,PayEmp,$C132))))))</f>
        <v>0</v>
      </c>
      <c r="P132" s="133" cm="1">
        <f t="array" aca="1" ref="P132" ca="1">IF($F132="Terminated",0,IF($AA132=0,0,IF(ISNA(MATCH(P$5,DedListItem,0)),0,IF(COUNTIFS(OverEmp,$C132,OverDeduct,P$5,OverDate,"&lt;"&amp;DATE(YEAR($AC132),MONTH($AC132)+1,1),OverEnd,"&gt;="&amp;DATE(YEAR($AC132),MONTH($AC132),1))&gt;0,SUMIFS(OverValue,OverEmp,$C132,OverDeduct,P$5,OverDate,"&lt;"&amp;DATE(YEAR($AC132),MONTH($AC132)+1,1),OverEnd,"&gt;="&amp;DATE(YEAR($AC132),MONTH($AC132),1)),IF(OR(P$2="Fixed",P$2="Not Used"),(IF(COUNTIFS(EmpNo,$C132,OFFSET(Emp!$R$4,1,MATCH(P$5,DedListItem,0)-1,EmpCount,1),"&lt;&gt;")&gt;0,VLOOKUP($C132,EmpAll,COLUMN(Emp!$R$4)+MATCH(P$5,DedListItem,0)-1,0),OFFSET(Setup!$E$73,MATCH(P$5,DedListItem,0),0,1,1))*$AA132)-SUMIFS(OFFSET(P$6,1,0,PayCount,1),PayDate,"&lt;"&amp;$AC132,PayEmp,$C132),IF(ISNA(MATCH(P$2,EarnListItem,0))=FALSE,IF(OFFSET(Setup!$G$73,MATCH(P$5,DedListItem,0),0,1,1)="Taxable",SUMPRODUCT((PayEmp=$C132)*(PayDate&lt;=$AC132)*(PayEarnCode=P$2)*(PayEarnTax)*(PayEarnValues)),SUMPRODUCT((PayEmp=$C132)*(PayDate&lt;=$AC132)*(PayEarnCode=P$2)*(PayEarnValues)))*IF(COUNTIFS(EmpNo,$C132,OFFSET(Emp!$R$4,1,MATCH(P$5,DedListItem,0)-1,EmpCount,1),"&lt;&gt;")&gt;0,VLOOKUP($C132,EmpAll,COLUMN(Emp!$R$4)+MATCH(P$5,DedListItem,0)-1,0),OFFSET(Setup!$E$73,MATCH(P$5,DedListItem,0),0,1,1)),(MIN(IF(OFFSET(Setup!$G$73,MATCH(P$5,DedListItem,0),0,1,1)="Taxable",SUMPRODUCT((PayEmp=$C132)*(PayDate&lt;=$AC132)*(ISERROR(SEARCH(PayEarnCode,P$4)))*(PayEarnTax)*(PayEarnValues)),SUMPRODUCT((PayEmp=$C132)*(PayDate&lt;=$AC132)*(ISERROR(SEARCH(PayEarnCode,P$4)))*(PayEarnValues))),IF(ISNUMBER(P$3),P$3/12*$AA132,IgnoreMin)))*IF(COUNTIFS(EmpNo,$C132,OFFSET(Emp!$R$4,1,MATCH(P$5,DedListItem,0)-1,EmpCount,1),"&lt;&gt;")&gt;0,VLOOKUP($C132,EmpAll,COLUMN(Emp!$R$4)+MATCH(P$5,DedListItem,0)-1,0),OFFSET(Setup!$E$73,MATCH(P$5,DedListItem,0),0,1,1)))-SUMIFS(OFFSET(P$6,1,0,PayCount,1),PayDate,"&lt;"&amp;$AC132,PayEmp,$C132))))))</f>
        <v>0</v>
      </c>
      <c r="Q132" s="133" cm="1">
        <f t="array" aca="1" ref="Q132" ca="1">IF($F132="Terminated",0,IF($AA132=0,0,IF(ISNA(MATCH(Q$5,DedListItem,0)),0,IF(COUNTIFS(OverEmp,$C132,OverDeduct,Q$5,OverDate,"&lt;"&amp;DATE(YEAR($AC132),MONTH($AC132)+1,1),OverEnd,"&gt;="&amp;DATE(YEAR($AC132),MONTH($AC132),1))&gt;0,SUMIFS(OverValue,OverEmp,$C132,OverDeduct,Q$5,OverDate,"&lt;"&amp;DATE(YEAR($AC132),MONTH($AC132)+1,1),OverEnd,"&gt;="&amp;DATE(YEAR($AC132),MONTH($AC132),1)),IF(OR(Q$2="Fixed",Q$2="Not Used"),(IF(COUNTIFS(EmpNo,$C132,OFFSET(Emp!$R$4,1,MATCH(Q$5,DedListItem,0)-1,EmpCount,1),"&lt;&gt;")&gt;0,VLOOKUP($C132,EmpAll,COLUMN(Emp!$R$4)+MATCH(Q$5,DedListItem,0)-1,0),OFFSET(Setup!$E$73,MATCH(Q$5,DedListItem,0),0,1,1))*$AA132)-SUMIFS(OFFSET(Q$6,1,0,PayCount,1),PayDate,"&lt;"&amp;$AC132,PayEmp,$C132),IF(ISNA(MATCH(Q$2,EarnListItem,0))=FALSE,IF(OFFSET(Setup!$G$73,MATCH(Q$5,DedListItem,0),0,1,1)="Taxable",SUMPRODUCT((PayEmp=$C132)*(PayDate&lt;=$AC132)*(PayEarnCode=Q$2)*(PayEarnTax)*(PayEarnValues)),SUMPRODUCT((PayEmp=$C132)*(PayDate&lt;=$AC132)*(PayEarnCode=Q$2)*(PayEarnValues)))*IF(COUNTIFS(EmpNo,$C132,OFFSET(Emp!$R$4,1,MATCH(Q$5,DedListItem,0)-1,EmpCount,1),"&lt;&gt;")&gt;0,VLOOKUP($C132,EmpAll,COLUMN(Emp!$R$4)+MATCH(Q$5,DedListItem,0)-1,0),OFFSET(Setup!$E$73,MATCH(Q$5,DedListItem,0),0,1,1)),(MIN(IF(OFFSET(Setup!$G$73,MATCH(Q$5,DedListItem,0),0,1,1)="Taxable",SUMPRODUCT((PayEmp=$C132)*(PayDate&lt;=$AC132)*(ISERROR(SEARCH(PayEarnCode,Q$4)))*(PayEarnTax)*(PayEarnValues)),SUMPRODUCT((PayEmp=$C132)*(PayDate&lt;=$AC132)*(ISERROR(SEARCH(PayEarnCode,Q$4)))*(PayEarnValues))),IF(ISNUMBER(Q$3),Q$3/12*$AA132,IgnoreMin)))*IF(COUNTIFS(EmpNo,$C132,OFFSET(Emp!$R$4,1,MATCH(Q$5,DedListItem,0)-1,EmpCount,1),"&lt;&gt;")&gt;0,VLOOKUP($C132,EmpAll,COLUMN(Emp!$R$4)+MATCH(Q$5,DedListItem,0)-1,0),OFFSET(Setup!$E$73,MATCH(Q$5,DedListItem,0),0,1,1)))-SUMIFS(OFFSET(Q$6,1,0,PayCount,1),PayDate,"&lt;"&amp;$AC132,PayEmp,$C132))))))</f>
        <v>0</v>
      </c>
      <c r="R132" s="185">
        <f t="shared" ca="1" si="55"/>
        <v>100</v>
      </c>
      <c r="S132" s="139">
        <f t="shared" ca="1" si="56"/>
        <v>9900</v>
      </c>
      <c r="T132" s="133" cm="1">
        <f t="array" aca="1" ref="T132" ca="1">IF($F132="Terminated",0,IF($AA132=0,0,IF(ISNA(MATCH(T$5,CompListItem,0)),0,IF(COUNTIFS(OverEmp,$C132,OverComp,T$5,OverDate,"&lt;"&amp;DATE(YEAR($AC132),MONTH($AC132)+1,1),OverEnd,"&gt;="&amp;DATE(YEAR($AC132),MONTH($AC132),1))&gt;0,SUMIFS(OverValue,OverEmp,$C132,OverComp,T$5,OverDate,"&lt;"&amp;DATE(YEAR($AC132),MONTH($AC132)+1,1),OverEnd,"&gt;="&amp;DATE(YEAR($AC132),MONTH($AC132),1)),IF(OR(T$2="Fixed",T$2="Not Used"),(OFFSET(Setup!$E$81,MATCH(T$5,CompListItem,0),0,1,1)*$AA132)-SUMIFS(OFFSET(T$6,1,0,PayCount,1),PayDate,"&lt;"&amp;$AC132,PayEmp,$C132),IF(ISNA(MATCH(T$2,DedListItem,0))=FALSE,(SUMPRODUCT((PayEmp=$C132)*(PayDate&lt;=$AC132)*(PayDedList=T$2)*(PayDedValues))*OFFSET(Setup!$E$81,MATCH(T$5,CompListItem,0),0,1,1))-SUMIFS(OFFSET(T$6,1,0,PayCount,1),PayDate,"&lt;"&amp;$AC132,PayEmp,$C132),(MIN(IF(OFFSET(Setup!$G$81,MATCH(T$5,CompListItem,0),0,1,1)="Taxable",SUMPRODUCT((PayEmp=$C132)*(PayDate&lt;=$AC132)*(ISERROR(SEARCH(PayEarnCode,T$4)))*(PayEarnTax)*(PayEarnValues)),SUMPRODUCT((PayEmp=$C132)*(PayDate&lt;=$AC132)*(ISERROR(SEARCH(PayEarnCode,T$4)))*(PayEarnValues))),IF(ISNUMBER(T$3),T$3/12*$AA132,IgnoreMin)))*OFFSET(Setup!$E$81,MATCH(T$5,CompListItem,0),0,1,1)-SUMIFS(OFFSET(T$6,1,0,PayCount,1),PayDate,"&lt;"&amp;$AC132,PayEmp,$C132)))))))</f>
        <v>100</v>
      </c>
      <c r="U132" s="133" cm="1">
        <f t="array" aca="1" ref="U132" ca="1">IF($F132="Terminated",0,IF($AA132=0,0,IF(ISNA(MATCH(U$5,CompListItem,0)),0,IF(COUNTIFS(OverEmp,$C132,OverComp,U$5,OverDate,"&lt;"&amp;DATE(YEAR($AC132),MONTH($AC132)+1,1),OverEnd,"&gt;="&amp;DATE(YEAR($AC132),MONTH($AC132),1))&gt;0,SUMIFS(OverValue,OverEmp,$C132,OverComp,U$5,OverDate,"&lt;"&amp;DATE(YEAR($AC132),MONTH($AC132)+1,1),OverEnd,"&gt;="&amp;DATE(YEAR($AC132),MONTH($AC132),1)),IF(OR(U$2="Fixed",U$2="Not Used"),(OFFSET(Setup!$E$81,MATCH(U$5,CompListItem,0),0,1,1)*$AA132)-SUMIFS(OFFSET(U$6,1,0,PayCount,1),PayDate,"&lt;"&amp;$AC132,PayEmp,$C132),IF(ISNA(MATCH(U$2,DedListItem,0))=FALSE,(SUMPRODUCT((PayEmp=$C132)*(PayDate&lt;=$AC132)*(PayDedList=U$2)*(PayDedValues))*OFFSET(Setup!$E$81,MATCH(U$5,CompListItem,0),0,1,1))-SUMIFS(OFFSET(U$6,1,0,PayCount,1),PayDate,"&lt;"&amp;$AC132,PayEmp,$C132),(MIN(IF(OFFSET(Setup!$G$81,MATCH(U$5,CompListItem,0),0,1,1)="Taxable",SUMPRODUCT((PayEmp=$C132)*(PayDate&lt;=$AC132)*(ISERROR(SEARCH(PayEarnCode,U$4)))*(PayEarnTax)*(PayEarnValues)),SUMPRODUCT((PayEmp=$C132)*(PayDate&lt;=$AC132)*(ISERROR(SEARCH(PayEarnCode,U$4)))*(PayEarnValues))),IF(ISNUMBER(U$3),U$3/12*$AA132,IgnoreMin)))*OFFSET(Setup!$E$81,MATCH(U$5,CompListItem,0),0,1,1)-SUMIFS(OFFSET(U$6,1,0,PayCount,1),PayDate,"&lt;"&amp;$AC132,PayEmp,$C132)))))))</f>
        <v>100</v>
      </c>
      <c r="V132" s="133" cm="1">
        <f t="array" aca="1" ref="V132" ca="1">IF($F132="Terminated",0,IF($AA132=0,0,IF(ISNA(MATCH(V$5,CompListItem,0)),0,IF(COUNTIFS(OverEmp,$C132,OverComp,V$5,OverDate,"&lt;"&amp;DATE(YEAR($AC132),MONTH($AC132)+1,1),OverEnd,"&gt;="&amp;DATE(YEAR($AC132),MONTH($AC132),1))&gt;0,SUMIFS(OverValue,OverEmp,$C132,OverComp,V$5,OverDate,"&lt;"&amp;DATE(YEAR($AC132),MONTH($AC132)+1,1),OverEnd,"&gt;="&amp;DATE(YEAR($AC132),MONTH($AC132),1)),IF(OR(V$2="Fixed",V$2="Not Used"),(OFFSET(Setup!$E$81,MATCH(V$5,CompListItem,0),0,1,1)*$AA132)-SUMIFS(OFFSET(V$6,1,0,PayCount,1),PayDate,"&lt;"&amp;$AC132,PayEmp,$C132),IF(ISNA(MATCH(V$2,DedListItem,0))=FALSE,(SUMPRODUCT((PayEmp=$C132)*(PayDate&lt;=$AC132)*(PayDedList=V$2)*(PayDedValues))*OFFSET(Setup!$E$81,MATCH(V$5,CompListItem,0),0,1,1))-SUMIFS(OFFSET(V$6,1,0,PayCount,1),PayDate,"&lt;"&amp;$AC132,PayEmp,$C132),(MIN(IF(OFFSET(Setup!$G$81,MATCH(V$5,CompListItem,0),0,1,1)="Taxable",SUMPRODUCT((PayEmp=$C132)*(PayDate&lt;=$AC132)*(ISERROR(SEARCH(PayEarnCode,V$4)))*(PayEarnTax)*(PayEarnValues)),SUMPRODUCT((PayEmp=$C132)*(PayDate&lt;=$AC132)*(ISERROR(SEARCH(PayEarnCode,V$4)))*(PayEarnValues))),IF(ISNUMBER(V$3),V$3/12*$AA132,IgnoreMin)))*OFFSET(Setup!$E$81,MATCH(V$5,CompListItem,0),0,1,1)-SUMIFS(OFFSET(V$6,1,0,PayCount,1),PayDate,"&lt;"&amp;$AC132,PayEmp,$C132)))))))</f>
        <v>0</v>
      </c>
      <c r="W132" s="133" cm="1">
        <f t="array" aca="1" ref="W132" ca="1">IF($F132="Terminated",0,IF($AA132=0,0,IF(ISNA(MATCH(W$5,CompListItem,0)),0,IF(COUNTIFS(OverEmp,$C132,OverComp,W$5,OverDate,"&lt;"&amp;DATE(YEAR($AC132),MONTH($AC132)+1,1),OverEnd,"&gt;="&amp;DATE(YEAR($AC132),MONTH($AC132),1))&gt;0,SUMIFS(OverValue,OverEmp,$C132,OverComp,W$5,OverDate,"&lt;"&amp;DATE(YEAR($AC132),MONTH($AC132)+1,1),OverEnd,"&gt;="&amp;DATE(YEAR($AC132),MONTH($AC132),1)),IF(OR(W$2="Fixed",W$2="Not Used"),(OFFSET(Setup!$E$81,MATCH(W$5,CompListItem,0),0,1,1)*$AA132)-SUMIFS(OFFSET(W$6,1,0,PayCount,1),PayDate,"&lt;"&amp;$AC132,PayEmp,$C132),IF(ISNA(MATCH(W$2,DedListItem,0))=FALSE,(SUMPRODUCT((PayEmp=$C132)*(PayDate&lt;=$AC132)*(PayDedList=W$2)*(PayDedValues))*OFFSET(Setup!$E$81,MATCH(W$5,CompListItem,0),0,1,1))-SUMIFS(OFFSET(W$6,1,0,PayCount,1),PayDate,"&lt;"&amp;$AC132,PayEmp,$C132),(MIN(IF(OFFSET(Setup!$G$81,MATCH(W$5,CompListItem,0),0,1,1)="Taxable",SUMPRODUCT((PayEmp=$C132)*(PayDate&lt;=$AC132)*(ISERROR(SEARCH(PayEarnCode,W$4)))*(PayEarnTax)*(PayEarnValues)),SUMPRODUCT((PayEmp=$C132)*(PayDate&lt;=$AC132)*(ISERROR(SEARCH(PayEarnCode,W$4)))*(PayEarnValues))),IF(ISNUMBER(W$3),W$3/12*$AA132,IgnoreMin)))*OFFSET(Setup!$E$81,MATCH(W$5,CompListItem,0),0,1,1)-SUMIFS(OFFSET(W$6,1,0,PayCount,1),PayDate,"&lt;"&amp;$AC132,PayEmp,$C132)))))))</f>
        <v>0</v>
      </c>
      <c r="X132" s="185">
        <f t="shared" ca="1" si="48"/>
        <v>200</v>
      </c>
      <c r="Y132" s="139">
        <f t="shared" ca="1" si="57"/>
        <v>10200</v>
      </c>
      <c r="Z132" s="139">
        <f t="shared" ca="1" si="49"/>
        <v>300</v>
      </c>
      <c r="AA132" s="146">
        <f ca="1">IF(OR($B132&lt;=Setup!$E$12,$B132&gt;=Setup!$D$12+1),0,IF($F132&lt;&gt;"Active",0,IF($AE132="Yes",$AB132,((YEAR($AC132)*12)+MONTH($AC132))-((YEAR($AD132)*12)+MONTH($AD132)-1))))</f>
        <v>9</v>
      </c>
      <c r="AB132" s="146">
        <f ca="1">IF(OR($B132&lt;=Setup!$E$12,$B132&gt;=Setup!$D$12+1),0,((YEAR($AC132)*12)+MONTH($AC132))-((YEAR(Setup!$E$12)*12)+MONTH(Setup!$E$12)))</f>
        <v>9</v>
      </c>
      <c r="AC132" s="186">
        <f t="shared" ca="1" si="50"/>
        <v>45255</v>
      </c>
      <c r="AD132" s="144">
        <f ca="1">IF(ISNA(VLOOKUP($C132,EmpAll,COLUMN(Emp!$E$4),0)),$AC132,IF(VLOOKUP($C132,EmpAll,COLUMN(Emp!$E$4),0)&lt;=Setup!$E$12,DATE(YEAR(Setup!$E$12),MONTH(Setup!$E$12)+1,1),VLOOKUP($C132,EmpAll,COLUMN(Emp!$E$4),0)))</f>
        <v>44986</v>
      </c>
      <c r="AE132" s="144" t="str">
        <f ca="1">IF(ISNA(VLOOKUP($C132,EmpAll,COLUMN(Emp!$G$1),0)),"-",IF(VLOOKUP($C132,EmpAll,COLUMN(Emp!$G$1),0)=0,"-",VLOOKUP($C132,EmpAll,COLUMN(Emp!$G$1),0)))</f>
        <v>-</v>
      </c>
      <c r="AF132" s="145">
        <f ca="1">IF(A132=PaySlip!$G$3,1,0)</f>
        <v>0</v>
      </c>
      <c r="AG132" s="130" cm="1">
        <f t="array" aca="1" ref="AG132" ca="1">IF(COUNTIFS(OverEmp,$C132,OverMed,"MED",OverDate,"&lt;"&amp;DATE(YEAR($AC132),MONTH($AC132)+1,1),OverEnd,"&gt;="&amp;DATE(YEAR($AC132),MONTH($AC132),1))&gt;0,SUMIFS(OverValue,OverEmp,$C132,OverMed,"MED",OverDate,"&lt;"&amp;DATE(YEAR($AC132),MONTH($AC132)+1,1),OverEnd,"&gt;="&amp;DATE(YEAR($AC132),MONTH($AC132),1)),IF(ISNA(VLOOKUP($C132,EmpAll,COLUMN(Emp!$N$4),0)),0,VLOOKUP($C132,EmpAll,COLUMN(Emp!$N$4),0)))</f>
        <v>1</v>
      </c>
      <c r="AH132" s="146">
        <f ca="1">VLOOKUP($AG132,MedList,COLUMN(Setup!$C$49),1)</f>
        <v>364</v>
      </c>
      <c r="AI132" s="146">
        <f t="shared" ca="1" si="40"/>
        <v>4368</v>
      </c>
      <c r="AJ132" s="101" t="str">
        <f ca="1">IF(ISNA(VLOOKUP($C132,EmpAll,COLUMN(Emp!$L$4),0)),"None!",VLOOKUP($C132,EmpAll,COLUMN(Emp!$L$4),0))</f>
        <v>A</v>
      </c>
      <c r="AK132" s="147">
        <f t="shared" ca="1" si="51"/>
        <v>17235</v>
      </c>
      <c r="AL132" s="101" t="str">
        <f ca="1">IF(ISNA(VLOOKUP($C132,Employees[],COLUMN(Emp!$M$4),0))=TRUE,"Error!",IF(VLOOKUP($C132,Employees[],COLUMN(Emp!$M$4),0)=0,"Yes",VLOOKUP($C132,Employees[],COLUMN(Emp!$M$4),0)))</f>
        <v>A</v>
      </c>
      <c r="AM132" s="148">
        <f t="shared" ca="1" si="41"/>
        <v>120000</v>
      </c>
      <c r="AN132" s="148" cm="1">
        <f t="array" aca="1" ref="AN132" ca="1">-IF($F132="Terminated",0,IF($AA132=0,0,IF(ISNA(MATCH(AN$5,PayDedList,0)),0,MIN(IF(COUNTIFS(OverEmp,$C132,OverDeduct,AN$5,OverDate,"&lt;"&amp;DATE(YEAR($AC132),MONTH($AC132)+1,1),OverEnd,"&gt;="&amp;DATE(YEAR($AC132),MONTH($AC132),1))&gt;0,SUMPRODUCT((PayEmp=$C132)*(PayDate&lt;=$AC132)*(OFFSET($N$6,1,MATCH(AN$5,PayDedList,0)-1,PayCount,1)))/$AA132*12*AN$3,IF(OR(AN$1="Fixed",AN$1="Not Used"),SUMPRODUCT((PayEmp=$C132)*(PayDate&lt;=$AC132)*(OFFSET($N$6,1,MATCH(AN$5,PayDedList,0)-1,PayCount,1)))/$AA132*12*AN$3,IF(ISNA(MATCH(AN$1,EarnListItem,0))=FALSE,SUMPRODUCT((PayEmp=$C132)*(PayDate&lt;=$AC132)*(OFFSET($N$6,1,MATCH(AN$5,PayDedList,0)-1,PayCount,1)))/$AA132*12*AN$3,(MIN(((SUMPRODUCT((PayEmp=$C132)*(PayDate&lt;=$AC132)*(ISERROR(SEARCH(PayEarnCode,AN$2)))*(PayEarnType="Monthly")*(PayEarnValues))/$AA132*12)+(SUMPRODUCT((PayEmp=$C132)*(PayDate&lt;=$AC132)*(ISERROR(SEARCH(PayEarnCode,AN$2)))*(PayEarnType="Quarterly")*(PayEarnValues))/MAX(1,ROUNDDOWN($AB132/3,0))*4)+(SUMPRODUCT((PayEmp=$C132)*(PayDate&lt;=$AC132)*(ISERROR(SEARCH(PayEarnCode,AN$2)))*(PayEarnType="Bi-Annual")*(PayEarnValues))/MAX(1,ROUNDDOWN($AB132/6,0))*2)+(SUMPRODUCT((PayEmp=$C132)*(PayDate&lt;=$AC132)*(ISERROR(SEARCH(PayEarnCode,AN$2)))*(PayEarnType="Annual")*(PayEarnValues)))),IF(ISNUMBER(OFFSET($N$3,0,MATCH(AN$5,PayDedList,0)-1,1,1)),OFFSET($N$3,0,MATCH(AN$5,PayDedList,0)-1,1,1),IgnoreMin)))*IF(COUNTIFS(EmpNo,$C132,OFFSET(Emp!$R$4,1,MATCH(AN$5,DedListItem,0)-1,EmpCount,1),"&lt;&gt;")&gt;0,VLOOKUP($C132,EmpAll,COLUMN(Emp!$R$4)+MATCH(AN$5,DedListItem,0)-1,0),OFFSET(Setup!$E$73,MATCH(AN$5,DedListItem,0),0,1,1))*AN$3))),IF(ISNUMBER(AN$4),AN$4,IgnoreMin)))))</f>
        <v>0</v>
      </c>
      <c r="AO132" s="148" cm="1">
        <f t="array" aca="1" ref="AO132" ca="1">-IF($F132="Terminated",0,IF($AA132=0,0,IF(ISNA(MATCH(AO$5,PayDedList,0)),0,MIN(IF(COUNTIFS(OverEmp,$C132,OverDeduct,AO$5,OverDate,"&lt;"&amp;DATE(YEAR($AC132),MONTH($AC132)+1,1),OverEnd,"&gt;="&amp;DATE(YEAR($AC132),MONTH($AC132),1))&gt;0,SUMPRODUCT((PayEmp=$C132)*(PayDate&lt;=$AC132)*(OFFSET($N$6,1,MATCH(AO$5,PayDedList,0)-1,PayCount,1)))/$AA132*12*AO$3,IF(OR(AO$1="Fixed",AO$1="Not Used"),SUMPRODUCT((PayEmp=$C132)*(PayDate&lt;=$AC132)*(OFFSET($N$6,1,MATCH(AO$5,PayDedList,0)-1,PayCount,1)))/$AA132*12*AO$3,IF(ISNA(MATCH(AO$1,EarnListItem,0))=FALSE,SUMPRODUCT((PayEmp=$C132)*(PayDate&lt;=$AC132)*(OFFSET($N$6,1,MATCH(AO$5,PayDedList,0)-1,PayCount,1)))/$AA132*12*AO$3,(MIN(((SUMPRODUCT((PayEmp=$C132)*(PayDate&lt;=$AC132)*(ISERROR(SEARCH(PayEarnCode,AO$2)))*(PayEarnType="Monthly")*(PayEarnValues))/$AA132*12)+(SUMPRODUCT((PayEmp=$C132)*(PayDate&lt;=$AC132)*(ISERROR(SEARCH(PayEarnCode,AO$2)))*(PayEarnType="Quarterly")*(PayEarnValues))/MAX(1,ROUNDDOWN($AB132/3,0))*4)+(SUMPRODUCT((PayEmp=$C132)*(PayDate&lt;=$AC132)*(ISERROR(SEARCH(PayEarnCode,AO$2)))*(PayEarnType="Bi-Annual")*(PayEarnValues))/MAX(1,ROUNDDOWN($AB132/6,0))*2)+(SUMPRODUCT((PayEmp=$C132)*(PayDate&lt;=$AC132)*(ISERROR(SEARCH(PayEarnCode,AO$2)))*(PayEarnType="Annual")*(PayEarnValues)))),IF(ISNUMBER(OFFSET($N$3,0,MATCH(AO$5,PayDedList,0)-1,1,1)),OFFSET($N$3,0,MATCH(AO$5,PayDedList,0)-1,1,1),IgnoreMin)))*IF(COUNTIFS(EmpNo,$C132,OFFSET(Emp!$R$4,1,MATCH(AO$5,DedListItem,0)-1,EmpCount,1),"&lt;&gt;")&gt;0,VLOOKUP($C132,EmpAll,COLUMN(Emp!$R$4)+MATCH(AO$5,DedListItem,0)-1,0),OFFSET(Setup!$E$73,MATCH(AO$5,DedListItem,0),0,1,1))*AO$3))),IF(ISNUMBER(AO$4),AO$4,IgnoreMin)))))</f>
        <v>0</v>
      </c>
      <c r="AP132" s="148" cm="1">
        <f t="array" aca="1" ref="AP132" ca="1">-IF($F132="Terminated",0,IF($AA132=0,0,IF(ISNA(MATCH(AP$5,PayDedList,0)),0,MIN(IF(COUNTIFS(OverEmp,$C132,OverDeduct,AP$5,OverDate,"&lt;"&amp;DATE(YEAR($AC132),MONTH($AC132)+1,1),OverEnd,"&gt;="&amp;DATE(YEAR($AC132),MONTH($AC132),1))&gt;0,SUMPRODUCT((PayEmp=$C132)*(PayDate&lt;=$AC132)*(OFFSET($N$6,1,MATCH(AP$5,PayDedList,0)-1,PayCount,1)))/$AA132*12*AP$3,IF(OR(AP$1="Fixed",AP$1="Not Used"),SUMPRODUCT((PayEmp=$C132)*(PayDate&lt;=$AC132)*(OFFSET($N$6,1,MATCH(AP$5,PayDedList,0)-1,PayCount,1)))/$AA132*12*AP$3,IF(ISNA(MATCH(AP$1,EarnListItem,0))=FALSE,SUMPRODUCT((PayEmp=$C132)*(PayDate&lt;=$AC132)*(OFFSET($N$6,1,MATCH(AP$5,PayDedList,0)-1,PayCount,1)))/$AA132*12*AP$3,(MIN(((SUMPRODUCT((PayEmp=$C132)*(PayDate&lt;=$AC132)*(ISERROR(SEARCH(PayEarnCode,AP$2)))*(PayEarnType="Monthly")*(PayEarnValues))/$AA132*12)+(SUMPRODUCT((PayEmp=$C132)*(PayDate&lt;=$AC132)*(ISERROR(SEARCH(PayEarnCode,AP$2)))*(PayEarnType="Quarterly")*(PayEarnValues))/MAX(1,ROUNDDOWN($AB132/3,0))*4)+(SUMPRODUCT((PayEmp=$C132)*(PayDate&lt;=$AC132)*(ISERROR(SEARCH(PayEarnCode,AP$2)))*(PayEarnType="Bi-Annual")*(PayEarnValues))/MAX(1,ROUNDDOWN($AB132/6,0))*2)+(SUMPRODUCT((PayEmp=$C132)*(PayDate&lt;=$AC132)*(ISERROR(SEARCH(PayEarnCode,AP$2)))*(PayEarnType="Annual")*(PayEarnValues)))),IF(ISNUMBER(OFFSET($N$3,0,MATCH(AP$5,PayDedList,0)-1,1,1)),OFFSET($N$3,0,MATCH(AP$5,PayDedList,0)-1,1,1),IgnoreMin)))*IF(COUNTIFS(EmpNo,$C132,OFFSET(Emp!$R$4,1,MATCH(AP$5,DedListItem,0)-1,EmpCount,1),"&lt;&gt;")&gt;0,VLOOKUP($C132,EmpAll,COLUMN(Emp!$R$4)+MATCH(AP$5,DedListItem,0)-1,0),OFFSET(Setup!$E$73,MATCH(AP$5,DedListItem,0),0,1,1))*AP$3))),IF(ISNUMBER(AP$4),AP$4,IgnoreMin)))))</f>
        <v>0</v>
      </c>
      <c r="AQ132" s="148" cm="1">
        <f t="array" aca="1" ref="AQ132" ca="1">-IF($F132="Terminated",0,IF($AA132=0,0,IF(ISNA(MATCH(AQ$5,PayDedList,0)),0,MIN(IF(COUNTIFS(OverEmp,$C132,OverDeduct,AQ$5,OverDate,"&lt;"&amp;DATE(YEAR($AC132),MONTH($AC132)+1,1),OverEnd,"&gt;="&amp;DATE(YEAR($AC132),MONTH($AC132),1))&gt;0,SUMPRODUCT((PayEmp=$C132)*(PayDate&lt;=$AC132)*(OFFSET($N$6,1,MATCH(AQ$5,PayDedList,0)-1,PayCount,1)))/$AA132*12*AQ$3,IF(OR(AQ$1="Fixed",AQ$1="Not Used"),SUMPRODUCT((PayEmp=$C132)*(PayDate&lt;=$AC132)*(OFFSET($N$6,1,MATCH(AQ$5,PayDedList,0)-1,PayCount,1)))/$AA132*12*AQ$3,IF(ISNA(MATCH(AQ$1,EarnListItem,0))=FALSE,SUMPRODUCT((PayEmp=$C132)*(PayDate&lt;=$AC132)*(OFFSET($N$6,1,MATCH(AQ$5,PayDedList,0)-1,PayCount,1)))/$AA132*12*AQ$3,(MIN(((SUMPRODUCT((PayEmp=$C132)*(PayDate&lt;=$AC132)*(ISERROR(SEARCH(PayEarnCode,AQ$2)))*(PayEarnType="Monthly")*(PayEarnValues))/$AA132*12)+(SUMPRODUCT((PayEmp=$C132)*(PayDate&lt;=$AC132)*(ISERROR(SEARCH(PayEarnCode,AQ$2)))*(PayEarnType="Quarterly")*(PayEarnValues))/MAX(1,ROUNDDOWN($AB132/3,0))*4)+(SUMPRODUCT((PayEmp=$C132)*(PayDate&lt;=$AC132)*(ISERROR(SEARCH(PayEarnCode,AQ$2)))*(PayEarnType="Bi-Annual")*(PayEarnValues))/MAX(1,ROUNDDOWN($AB132/6,0))*2)+(SUMPRODUCT((PayEmp=$C132)*(PayDate&lt;=$AC132)*(ISERROR(SEARCH(PayEarnCode,AQ$2)))*(PayEarnType="Annual")*(PayEarnValues)))),IF(ISNUMBER(OFFSET($N$3,0,MATCH(AQ$5,PayDedList,0)-1,1,1)),OFFSET($N$3,0,MATCH(AQ$5,PayDedList,0)-1,1,1),IgnoreMin)))*IF(COUNTIFS(EmpNo,$C132,OFFSET(Emp!$R$4,1,MATCH(AQ$5,DedListItem,0)-1,EmpCount,1),"&lt;&gt;")&gt;0,VLOOKUP($C132,EmpAll,COLUMN(Emp!$R$4)+MATCH(AQ$5,DedListItem,0)-1,0),OFFSET(Setup!$E$73,MATCH(AQ$5,DedListItem,0),0,1,1))*AQ$3))),IF(ISNUMBER(AQ$4),AQ$4,IgnoreMin)))))</f>
        <v>0</v>
      </c>
      <c r="AR132" s="148">
        <f t="shared" ca="1" si="52"/>
        <v>120000</v>
      </c>
      <c r="AS132" s="148">
        <f t="shared" ca="1" si="42"/>
        <v>120000</v>
      </c>
      <c r="AT132" s="148" cm="1">
        <f t="array" aca="1" ref="AT132" ca="1">-IF($F132="Terminated",0,IF($AA132=0,0,IF(ISNA(MATCH(AT$5,PayDedList,0)),0,MIN(IF(COUNTIFS(OverEmp,$C132,OverDeduct,AT$5,OverDate,"&lt;"&amp;DATE(YEAR($AC132),MONTH($AC132)+1,1),OverEnd,"&gt;="&amp;DATE(YEAR($AC132),MONTH($AC132),1))&gt;0,SUMPRODUCT((PayEmp=$C132)*(PayDate&lt;=$AC132)*(OFFSET($N$6,1,MATCH(AT$5,PayDedList,0)-1,PayCount,1)))/$AA132*12*AT$3,IF(OR(AT$1="Fixed",AT$1="Not Used"),SUMPRODUCT((PayEmp=$C132)*(PayDate&lt;=$AC132)*(OFFSET($N$6,1,MATCH(AT$5,PayDedList,0)-1,PayCount,1)))/$AA132*12*AT$3,IF(ISNA(MATCH(OFFSET($N$2,0,MATCH(AT$5,PayDedList,0)-1,1,1),EarnListItem,0))=FALSE,SUMPRODUCT((PayEmp=$C132)*(PayDate&lt;=$AC132)*(OFFSET($N$6,1,MATCH(AT$5,PayDedList,0)-1,PayCount,1)))/$AA132*12*AT$3,(MIN(SUMPRODUCT((PayEmp=$C132)*(PayDate&lt;=$AC132)*(ISERROR(SEARCH(PayEarnCode,AT$2)))*(PayEarnType="Monthly")*(PayEarnValues))/$AA132*12,IF(ISNUMBER(OFFSET($N$3,0,MATCH(AT$5,PayDedList,0)-1,1,1)),OFFSET($N$3,0,MATCH(AT$5,PayDedList,0)-1,1,1),IgnoreMin)))*IF(COUNTIFS(EmpNo,$C132,OFFSET(Emp!$R$4,1,MATCH(AT$5,DedListItem,0)-1,EmpCount,1),"&lt;&gt;")&gt;0,VLOOKUP($C132,EmpAll,COLUMN(Emp!$R$4)+MATCH(AT$5,DedListItem,0)-1,0),OFFSET(Setup!$E$73,MATCH(AT$5,DedListItem,0),0,1,1))*AT$3))),IF(ISNUMBER(AT$4),AT$4,IgnoreMin)))))</f>
        <v>0</v>
      </c>
      <c r="AU132" s="148" cm="1">
        <f t="array" aca="1" ref="AU132" ca="1">-IF($F132="Terminated",0,IF($AA132=0,0,IF(ISNA(MATCH(AU$5,PayDedList,0)),0,MIN(IF(COUNTIFS(OverEmp,$C132,OverDeduct,AU$5,OverDate,"&lt;"&amp;DATE(YEAR($AC132),MONTH($AC132)+1,1),OverEnd,"&gt;="&amp;DATE(YEAR($AC132),MONTH($AC132),1))&gt;0,SUMPRODUCT((PayEmp=$C132)*(PayDate&lt;=$AC132)*(OFFSET($N$6,1,MATCH(AU$5,PayDedList,0)-1,PayCount,1)))/$AA132*12*AU$3,IF(OR(AU$1="Fixed",AU$1="Not Used"),SUMPRODUCT((PayEmp=$C132)*(PayDate&lt;=$AC132)*(OFFSET($N$6,1,MATCH(AU$5,PayDedList,0)-1,PayCount,1)))/$AA132*12*AU$3,IF(ISNA(MATCH(OFFSET($N$2,0,MATCH(AU$5,PayDedList,0)-1,1,1),EarnListItem,0))=FALSE,SUMPRODUCT((PayEmp=$C132)*(PayDate&lt;=$AC132)*(OFFSET($N$6,1,MATCH(AU$5,PayDedList,0)-1,PayCount,1)))/$AA132*12*AU$3,(MIN(SUMPRODUCT((PayEmp=$C132)*(PayDate&lt;=$AC132)*(ISERROR(SEARCH(PayEarnCode,AU$2)))*(PayEarnType="Monthly")*(PayEarnValues))/$AA132*12,IF(ISNUMBER(OFFSET($N$3,0,MATCH(AU$5,PayDedList,0)-1,1,1)),OFFSET($N$3,0,MATCH(AU$5,PayDedList,0)-1,1,1),IgnoreMin)))*IF(COUNTIFS(EmpNo,$C132,OFFSET(Emp!$R$4,1,MATCH(AU$5,DedListItem,0)-1,EmpCount,1),"&lt;&gt;")&gt;0,VLOOKUP($C132,EmpAll,COLUMN(Emp!$R$4)+MATCH(AU$5,DedListItem,0)-1,0),OFFSET(Setup!$E$73,MATCH(AU$5,DedListItem,0),0,1,1))*AU$3))),IF(ISNUMBER(AU$4),AU$4,IgnoreMin)))))</f>
        <v>0</v>
      </c>
      <c r="AV132" s="148" cm="1">
        <f t="array" aca="1" ref="AV132" ca="1">-IF($F132="Terminated",0,IF($AA132=0,0,IF(ISNA(MATCH(AV$5,PayDedList,0)),0,MIN(IF(COUNTIFS(OverEmp,$C132,OverDeduct,AV$5,OverDate,"&lt;"&amp;DATE(YEAR($AC132),MONTH($AC132)+1,1),OverEnd,"&gt;="&amp;DATE(YEAR($AC132),MONTH($AC132),1))&gt;0,SUMPRODUCT((PayEmp=$C132)*(PayDate&lt;=$AC132)*(OFFSET($N$6,1,MATCH(AV$5,PayDedList,0)-1,PayCount,1)))/$AA132*12*AV$3,IF(OR(AV$1="Fixed",AV$1="Not Used"),SUMPRODUCT((PayEmp=$C132)*(PayDate&lt;=$AC132)*(OFFSET($N$6,1,MATCH(AV$5,PayDedList,0)-1,PayCount,1)))/$AA132*12*AV$3,IF(ISNA(MATCH(OFFSET($N$2,0,MATCH(AV$5,PayDedList,0)-1,1,1),EarnListItem,0))=FALSE,SUMPRODUCT((PayEmp=$C132)*(PayDate&lt;=$AC132)*(OFFSET($N$6,1,MATCH(AV$5,PayDedList,0)-1,PayCount,1)))/$AA132*12*AV$3,(MIN(SUMPRODUCT((PayEmp=$C132)*(PayDate&lt;=$AC132)*(ISERROR(SEARCH(PayEarnCode,AV$2)))*(PayEarnType="Monthly")*(PayEarnValues))/$AA132*12,IF(ISNUMBER(OFFSET($N$3,0,MATCH(AV$5,PayDedList,0)-1,1,1)),OFFSET($N$3,0,MATCH(AV$5,PayDedList,0)-1,1,1),IgnoreMin)))*IF(COUNTIFS(EmpNo,$C132,OFFSET(Emp!$R$4,1,MATCH(AV$5,DedListItem,0)-1,EmpCount,1),"&lt;&gt;")&gt;0,VLOOKUP($C132,EmpAll,COLUMN(Emp!$R$4)+MATCH(AV$5,DedListItem,0)-1,0),OFFSET(Setup!$E$73,MATCH(AV$5,DedListItem,0),0,1,1))*AV$3))),IF(ISNUMBER(AV$4),AV$4,IgnoreMin)))))</f>
        <v>0</v>
      </c>
      <c r="AW132" s="148" cm="1">
        <f t="array" aca="1" ref="AW132" ca="1">-IF($F132="Terminated",0,IF($AA132=0,0,IF(ISNA(MATCH(AW$5,PayDedList,0)),0,MIN(IF(COUNTIFS(OverEmp,$C132,OverDeduct,AW$5,OverDate,"&lt;"&amp;DATE(YEAR($AC132),MONTH($AC132)+1,1),OverEnd,"&gt;="&amp;DATE(YEAR($AC132),MONTH($AC132),1))&gt;0,SUMPRODUCT((PayEmp=$C132)*(PayDate&lt;=$AC132)*(OFFSET($N$6,1,MATCH(AW$5,PayDedList,0)-1,PayCount,1)))/$AA132*12*AW$3,IF(OR(AW$1="Fixed",AW$1="Not Used"),SUMPRODUCT((PayEmp=$C132)*(PayDate&lt;=$AC132)*(OFFSET($N$6,1,MATCH(AW$5,PayDedList,0)-1,PayCount,1)))/$AA132*12*AW$3,IF(ISNA(MATCH(OFFSET($N$2,0,MATCH(AW$5,PayDedList,0)-1,1,1),EarnListItem,0))=FALSE,SUMPRODUCT((PayEmp=$C132)*(PayDate&lt;=$AC132)*(OFFSET($N$6,1,MATCH(AW$5,PayDedList,0)-1,PayCount,1)))/$AA132*12*AW$3,(MIN(SUMPRODUCT((PayEmp=$C132)*(PayDate&lt;=$AC132)*(ISERROR(SEARCH(PayEarnCode,AW$2)))*(PayEarnType="Monthly")*(PayEarnValues))/$AA132*12,IF(ISNUMBER(OFFSET($N$3,0,MATCH(AW$5,PayDedList,0)-1,1,1)),OFFSET($N$3,0,MATCH(AW$5,PayDedList,0)-1,1,1),IgnoreMin)))*IF(COUNTIFS(EmpNo,$C132,OFFSET(Emp!$R$4,1,MATCH(AW$5,DedListItem,0)-1,EmpCount,1),"&lt;&gt;")&gt;0,VLOOKUP($C132,EmpAll,COLUMN(Emp!$R$4)+MATCH(AW$5,DedListItem,0)-1,0),OFFSET(Setup!$E$73,MATCH(AW$5,DedListItem,0),0,1,1))*AW$3))),IF(ISNUMBER(AW$4),AW$4,IgnoreMin)))))</f>
        <v>0</v>
      </c>
      <c r="AX132" s="148">
        <f t="shared" ca="1" si="58"/>
        <v>120000</v>
      </c>
      <c r="AY132" s="148">
        <f t="shared" ca="1" si="59"/>
        <v>0</v>
      </c>
      <c r="AZ132" s="148">
        <f ca="1">IF(ISNUMBER($AL132),($AR132*$AL132)-$AI132-$AK132,MAX(0,IF($AL132="B",IF($AR132&lt;Setup!$C$32,($AR132*Setup!$D$32)-$AI132-$AK132,(($AR132-VLOOKUP($AR132,TaxAll2,1,1))*OFFSET(Setup!$D$32,MATCH($AR132,TaxBracket2,1),0,1,1))+OFFSET(Setup!$E$31,MATCH($AR132,TaxBracket2,1),0,1,1)-$AI132-$AK132),IF($AR132&lt;Setup!$C$21,($AR132*Setup!$D$21)-$AI132-$AK132,(($AR132-VLOOKUP($AR132,TaxAll1,1,1))*OFFSET(Setup!$D$21,MATCH($AR132,TaxBracket1,1),0,1,1))+OFFSET(Setup!$E$20,MATCH($AR132,TaxBracket1,1),0,1,1)-$AI132-$AK132))))</f>
        <v>0</v>
      </c>
      <c r="BA132" s="148">
        <f ca="1">IF(ISNUMBER($AL132),($AX132*$AL132)-$AI132-$AK132,MAX(0,IF($AL132="B",IF($AX132&lt;Setup!$C$32,($AX132*Setup!$D$32)-$AI132-$AK132,(($AX132-VLOOKUP($AX132,TaxAll2,1,1))*OFFSET(Setup!$D$32,MATCH($AX132,TaxBracket2,1),0,1,1))+OFFSET(Setup!$E$31,MATCH($AX132,TaxBracket2,1),0,1,1)-$AI132-$AK132),IF($AX132&lt;Setup!$C$21,($AX132*Setup!$D$21)-$AI132-$AK132,(($AX132-VLOOKUP($AX132,TaxAll1,1,1))*OFFSET(Setup!$D$21,MATCH($AX132,TaxBracket1,1),0,1,1))+OFFSET(Setup!$E$20,MATCH($AX132,TaxBracket1,1),0,1,1)-$AI132-$AK132))))</f>
        <v>0</v>
      </c>
      <c r="BB132" s="148">
        <f t="shared" ca="1" si="53"/>
        <v>0</v>
      </c>
      <c r="BC132" s="150">
        <f t="shared" ca="1" si="45"/>
        <v>1</v>
      </c>
      <c r="BD132" s="150">
        <f t="shared" ca="1" si="46"/>
        <v>0</v>
      </c>
      <c r="BE132" s="148">
        <f t="shared" ca="1" si="47"/>
        <v>120000</v>
      </c>
    </row>
    <row r="133" spans="1:57" ht="16.149999999999999" customHeight="1" x14ac:dyDescent="0.25">
      <c r="A133" s="10" t="str" cm="1">
        <f t="array" aca="1" ref="A133" ca="1">IF(ROW($A133)-ROW($A$6)&gt;EmpCount*12,"-",TEXT($B133,"yyyy")&amp;TEXT($B133,"mm")&amp;"-"&amp;$C133)</f>
        <v>202311-EXS007</v>
      </c>
      <c r="B133" s="137" cm="1">
        <f t="array" aca="1" ref="B133" ca="1">IF(ROW($A133)-ROW($A$6)&gt;EmpCount*12,Setup!$D$12,DATE(YEAR(Setup!$F$12),MONTH(Setup!$F$12)+ROUNDDOWN((ROW($A133)-ROW($A$6)-1)/EmpCount,0),IF(Setup!$C$14&gt;DAY(DATE(YEAR(Setup!$F$12),MONTH(Setup!$F$12)+ROUNDDOWN((ROW($A133)-ROW($A$6)-1)/EmpCount,0)+1,0)),DAY(DATE(YEAR(Setup!$F$12),MONTH(Setup!$F$12)+ROUNDDOWN((ROW($A133)-ROW($A$6)-1)/EmpCount,0)+1,0)),Setup!$C$14)))</f>
        <v>45255</v>
      </c>
      <c r="C133" s="101" t="str" cm="1">
        <f t="array" aca="1" ref="C133" ca="1">IF(ROW($A133)-ROW($A$6)&gt;EmpCount*12,"-",OFFSET(Emp!$A$4,ROW($A133)-ROW($A$6)-IF(ROW($A133)-ROW($A$6)&gt;EmpCount,ROUNDDOWN((ROW($A133)-ROW($A$6)-1)/EmpCount,0)*EmpCount,0),0,1,1))</f>
        <v>EXS007</v>
      </c>
      <c r="D133" s="10" t="str">
        <f ca="1">IF(ISNA(VLOOKUP($C133,EmpAll,COLUMN(Emp!$B$4),0)),"-",VLOOKUP($C133,EmpAll,COLUMN(Emp!$B$4),0))</f>
        <v>Phillips KE</v>
      </c>
      <c r="E133" s="145" t="str">
        <f ca="1">IF(ISNA(VLOOKUP($C133,EmpAll,COLUMN(Emp!$C$4),0)),"-",VLOOKUP($C133,EmpAll,COLUMN(Emp!$C$4),0))</f>
        <v>A</v>
      </c>
      <c r="F133" s="101" t="str">
        <f ca="1">IF(ISNA(VLOOKUP($C133,EmpAll,COLUMN(Emp!$A$4),0)),"-",IF(AND(VLOOKUP($C133,EmpAll,COLUMN(Emp!$E$4),0)&lt;&gt;0,VLOOKUP($C133,EmpAll,COLUMN(Emp!$E$4),0)&gt;=DATE(YEAR($AC133),MONTH($AC133)+1,0)),"Inactive",IF(AND(VLOOKUP($C133,EmpAll,COLUMN(Emp!$F$4),0)&lt;&gt;0,VLOOKUP($C133,EmpAll,COLUMN(Emp!$F$4),0)&lt;=DATE(YEAR($AC133),MONTH($AC133),0)),"Terminated","Active")))</f>
        <v>Terminated</v>
      </c>
      <c r="G133" s="133" cm="1">
        <f t="array" aca="1" ref="G133" ca="1">IF($F133&lt;&gt;"Active",0,IF(COUNTIFS(OverEmp,$C133,OverEarn,G$2,OverDate,"&lt;"&amp;DATE(YEAR($AC133),MONTH($AC133)+1,1),OverEnd,"&gt;="&amp;DATE(YEAR($AC133),MONTH($AC133),1))&gt;0,SUMIFS(OverValue,OverEmp,$C133,OverEarn,G$2,OverDate,"&lt;"&amp;DATE(YEAR($AC133),MONTH($AC133)+1,1),OverEnd,"&gt;="&amp;DATE(YEAR($AC133),MONTH($AC133),1)),IF(AND($AC133&gt;=Setup!$E$10,SUMIFS(EmpIncrease,EmpCode,$C133)&gt;0),SUMIFS(EmpIncrease,EmpCode,$C133),SUMIFS(EmpSalary,EmpCode,$C133))))</f>
        <v>0</v>
      </c>
      <c r="H133" s="133" cm="1">
        <f t="array" aca="1" ref="H133" ca="1">IF($F133&lt;&gt;"Active",0,IF(COUNTIFS(OverEmp,$C133,OverEarn,H$2,OverDate,"&lt;"&amp;DATE(YEAR($AC133),MONTH($AC133)+1,1),OverEnd,"&gt;="&amp;DATE(YEAR($AC133),MONTH($AC133),1))&gt;0,SUMIFS(OverValue,OverEmp,$C133,OverEarn,H$2,OverDate,"&lt;"&amp;DATE(YEAR($AC133),MONTH($AC133)+1,1),OverEnd,"&gt;="&amp;DATE(YEAR($AC133),MONTH($AC133),1)),0))</f>
        <v>0</v>
      </c>
      <c r="I133" s="133" cm="1">
        <f t="array" aca="1" ref="I133" ca="1">IF($F133&lt;&gt;"Active",0,IF(COUNTIFS(OverEmp,$C133,OverEarn,I$2,OverDate,"&lt;"&amp;DATE(YEAR($AC133),MONTH($AC133)+1,1),OverEnd,"&gt;="&amp;DATE(YEAR($AC133),MONTH($AC133),1))&gt;0,SUMIFS(OverValue,OverEmp,$C133,OverEarn,I$2,OverDate,"&lt;"&amp;DATE(YEAR($AC133),MONTH($AC133)+1,1),OverEnd,"&gt;="&amp;DATE(YEAR($AC133),MONTH($AC133),1)),IF(MONTH(B133)=Setup!$C$15,SUMIFS(EmpBonus,EmpCode,$C133),0)))</f>
        <v>0</v>
      </c>
      <c r="J133" s="133" cm="1">
        <f t="array" aca="1" ref="J133" ca="1">IF($F133&lt;&gt;"Active",0,IF(COUNTIFS(OverEmp,$C133,OverEarn,J$2,OverDate,"&lt;"&amp;DATE(YEAR($AC133),MONTH($AC133)+1,1),OverEnd,"&gt;="&amp;DATE(YEAR($AC133),MONTH($AC133),1))&gt;0,SUMIFS(OverValue,OverEmp,$C133,OverEarn,J$2,OverDate,"&lt;"&amp;DATE(YEAR($AC133),MONTH($AC133)+1,1),OverEnd,"&gt;="&amp;DATE(YEAR($AC133),MONTH($AC133),1)),0))</f>
        <v>0</v>
      </c>
      <c r="K133" s="133" cm="1">
        <f t="array" aca="1" ref="K133" ca="1">IF($F133&lt;&gt;"Active",0,IF(COUNTIFS(OverEmp,$C133,OverEarn,K$2,OverDate,"&lt;"&amp;DATE(YEAR($AC133),MONTH($AC133)+1,1),OverEnd,"&gt;="&amp;DATE(YEAR($AC133),MONTH($AC133),1))&gt;0,SUMIFS(OverValue,OverEmp,$C133,OverEarn,K$2,OverDate,"&lt;"&amp;DATE(YEAR($AC133),MONTH($AC133)+1,1),OverEnd,"&gt;="&amp;DATE(YEAR($AC133),MONTH($AC133),1)),0))</f>
        <v>0</v>
      </c>
      <c r="L133" s="185">
        <f t="shared" ca="1" si="54"/>
        <v>0</v>
      </c>
      <c r="M133" s="182" cm="1">
        <f t="array" aca="1" ref="M133" ca="1">IF(COUNTIFS(OverEmp,$C133,OverTax,M$5,OverDate,"&lt;"&amp;DATE(YEAR($AC133),MONTH($AC133)+1,1),OverEnd,"&gt;="&amp;DATE(YEAR($AC133),MONTH($AC133),1))&gt;0,SUMIFS(OverValue,OverEmp,$C133,OverTax,M$5,OverDate,"&lt;"&amp;DATE(YEAR($AC133),MONTH($AC133)+1,1),OverEnd,"&gt;="&amp;DATE(YEAR($AC133),MONTH($AC133),1)),(($BA133/12*$AA133)+(BB133*IF(1-$BC133=0,0,BD133/(1-$BC133))))-IF($F133="Terminated",0,SUMIFS(PayTaxDeduct,PayDate,"&lt;"&amp;$AC133,PayEmp,$C133)))</f>
        <v>0</v>
      </c>
      <c r="N133" s="133" cm="1">
        <f t="array" aca="1" ref="N133" ca="1">IF($F133="Terminated",0,IF($AA133=0,0,IF(ISNA(MATCH(N$5,DedListItem,0)),0,IF(COUNTIFS(OverEmp,$C133,OverDeduct,N$5,OverDate,"&lt;"&amp;DATE(YEAR($AC133),MONTH($AC133)+1,1),OverEnd,"&gt;="&amp;DATE(YEAR($AC133),MONTH($AC133),1))&gt;0,SUMIFS(OverValue,OverEmp,$C133,OverDeduct,N$5,OverDate,"&lt;"&amp;DATE(YEAR($AC133),MONTH($AC133)+1,1),OverEnd,"&gt;="&amp;DATE(YEAR($AC133),MONTH($AC133),1)),IF(OR(N$2="Fixed",N$2="Not Used"),(IF(COUNTIFS(EmpNo,$C133,OFFSET(Emp!$R$4,1,MATCH(N$5,DedListItem,0)-1,EmpCount,1),"&lt;&gt;")&gt;0,VLOOKUP($C133,EmpAll,COLUMN(Emp!$R$4)+MATCH(N$5,DedListItem,0)-1,0),OFFSET(Setup!$E$73,MATCH(N$5,DedListItem,0),0,1,1))*$AA133)-SUMIFS(OFFSET(N$6,1,0,PayCount,1),PayDate,"&lt;"&amp;$AC133,PayEmp,$C133),IF(ISNA(MATCH(N$2,EarnListItem,0))=FALSE,IF(OFFSET(Setup!$G$73,MATCH(N$5,DedListItem,0),0,1,1)="Taxable",SUMPRODUCT((PayEmp=$C133)*(PayDate&lt;=$AC133)*(PayEarnCode=N$2)*(PayEarnTax)*(PayEarnValues)),SUMPRODUCT((PayEmp=$C133)*(PayDate&lt;=$AC133)*(PayEarnCode=N$2)*(PayEarnValues)))*IF(COUNTIFS(EmpNo,$C133,OFFSET(Emp!$R$4,1,MATCH(N$5,DedListItem,0)-1,EmpCount,1),"&lt;&gt;")&gt;0,VLOOKUP($C133,EmpAll,COLUMN(Emp!$R$4)+MATCH(N$5,DedListItem,0)-1,0),OFFSET(Setup!$E$73,MATCH(N$5,DedListItem,0),0,1,1)),(MIN(IF(OFFSET(Setup!$G$73,MATCH(N$5,DedListItem,0),0,1,1)="Taxable",SUMPRODUCT((PayEmp=$C133)*(PayDate&lt;=$AC133)*(ISERROR(SEARCH(PayEarnCode,N$4)))*(PayEarnTax)*(PayEarnValues)),SUMPRODUCT((PayEmp=$C133)*(PayDate&lt;=$AC133)*(ISERROR(SEARCH(PayEarnCode,N$4)))*(PayEarnValues))),IF(ISNUMBER(N$3),N$3/12*$AA133,IgnoreMin)))*IF(COUNTIFS(EmpNo,$C133,OFFSET(Emp!$R$4,1,MATCH(N$5,DedListItem,0)-1,EmpCount,1),"&lt;&gt;")&gt;0,VLOOKUP($C133,EmpAll,COLUMN(Emp!$R$4)+MATCH(N$5,DedListItem,0)-1,0),OFFSET(Setup!$E$73,MATCH(N$5,DedListItem,0),0,1,1)))-SUMIFS(OFFSET(N$6,1,0,PayCount,1),PayDate,"&lt;"&amp;$AC133,PayEmp,$C133))))))</f>
        <v>0</v>
      </c>
      <c r="O133" s="133" cm="1">
        <f t="array" aca="1" ref="O133" ca="1">IF($F133="Terminated",0,IF($AA133=0,0,IF(ISNA(MATCH(O$5,DedListItem,0)),0,IF(COUNTIFS(OverEmp,$C133,OverDeduct,O$5,OverDate,"&lt;"&amp;DATE(YEAR($AC133),MONTH($AC133)+1,1),OverEnd,"&gt;="&amp;DATE(YEAR($AC133),MONTH($AC133),1))&gt;0,SUMIFS(OverValue,OverEmp,$C133,OverDeduct,O$5,OverDate,"&lt;"&amp;DATE(YEAR($AC133),MONTH($AC133)+1,1),OverEnd,"&gt;="&amp;DATE(YEAR($AC133),MONTH($AC133),1)),IF(OR(O$2="Fixed",O$2="Not Used"),(IF(COUNTIFS(EmpNo,$C133,OFFSET(Emp!$R$4,1,MATCH(O$5,DedListItem,0)-1,EmpCount,1),"&lt;&gt;")&gt;0,VLOOKUP($C133,EmpAll,COLUMN(Emp!$R$4)+MATCH(O$5,DedListItem,0)-1,0),OFFSET(Setup!$E$73,MATCH(O$5,DedListItem,0),0,1,1))*$AA133)-SUMIFS(OFFSET(O$6,1,0,PayCount,1),PayDate,"&lt;"&amp;$AC133,PayEmp,$C133),IF(ISNA(MATCH(O$2,EarnListItem,0))=FALSE,IF(OFFSET(Setup!$G$73,MATCH(O$5,DedListItem,0),0,1,1)="Taxable",SUMPRODUCT((PayEmp=$C133)*(PayDate&lt;=$AC133)*(PayEarnCode=O$2)*(PayEarnTax)*(PayEarnValues)),SUMPRODUCT((PayEmp=$C133)*(PayDate&lt;=$AC133)*(PayEarnCode=O$2)*(PayEarnValues)))*IF(COUNTIFS(EmpNo,$C133,OFFSET(Emp!$R$4,1,MATCH(O$5,DedListItem,0)-1,EmpCount,1),"&lt;&gt;")&gt;0,VLOOKUP($C133,EmpAll,COLUMN(Emp!$R$4)+MATCH(O$5,DedListItem,0)-1,0),OFFSET(Setup!$E$73,MATCH(O$5,DedListItem,0),0,1,1)),(MIN(IF(OFFSET(Setup!$G$73,MATCH(O$5,DedListItem,0),0,1,1)="Taxable",SUMPRODUCT((PayEmp=$C133)*(PayDate&lt;=$AC133)*(ISERROR(SEARCH(PayEarnCode,O$4)))*(PayEarnTax)*(PayEarnValues)),SUMPRODUCT((PayEmp=$C133)*(PayDate&lt;=$AC133)*(ISERROR(SEARCH(PayEarnCode,O$4)))*(PayEarnValues))),IF(ISNUMBER(O$3),O$3/12*$AA133,IgnoreMin)))*IF(COUNTIFS(EmpNo,$C133,OFFSET(Emp!$R$4,1,MATCH(O$5,DedListItem,0)-1,EmpCount,1),"&lt;&gt;")&gt;0,VLOOKUP($C133,EmpAll,COLUMN(Emp!$R$4)+MATCH(O$5,DedListItem,0)-1,0),OFFSET(Setup!$E$73,MATCH(O$5,DedListItem,0),0,1,1)))-SUMIFS(OFFSET(O$6,1,0,PayCount,1),PayDate,"&lt;"&amp;$AC133,PayEmp,$C133))))))</f>
        <v>0</v>
      </c>
      <c r="P133" s="133" cm="1">
        <f t="array" aca="1" ref="P133" ca="1">IF($F133="Terminated",0,IF($AA133=0,0,IF(ISNA(MATCH(P$5,DedListItem,0)),0,IF(COUNTIFS(OverEmp,$C133,OverDeduct,P$5,OverDate,"&lt;"&amp;DATE(YEAR($AC133),MONTH($AC133)+1,1),OverEnd,"&gt;="&amp;DATE(YEAR($AC133),MONTH($AC133),1))&gt;0,SUMIFS(OverValue,OverEmp,$C133,OverDeduct,P$5,OverDate,"&lt;"&amp;DATE(YEAR($AC133),MONTH($AC133)+1,1),OverEnd,"&gt;="&amp;DATE(YEAR($AC133),MONTH($AC133),1)),IF(OR(P$2="Fixed",P$2="Not Used"),(IF(COUNTIFS(EmpNo,$C133,OFFSET(Emp!$R$4,1,MATCH(P$5,DedListItem,0)-1,EmpCount,1),"&lt;&gt;")&gt;0,VLOOKUP($C133,EmpAll,COLUMN(Emp!$R$4)+MATCH(P$5,DedListItem,0)-1,0),OFFSET(Setup!$E$73,MATCH(P$5,DedListItem,0),0,1,1))*$AA133)-SUMIFS(OFFSET(P$6,1,0,PayCount,1),PayDate,"&lt;"&amp;$AC133,PayEmp,$C133),IF(ISNA(MATCH(P$2,EarnListItem,0))=FALSE,IF(OFFSET(Setup!$G$73,MATCH(P$5,DedListItem,0),0,1,1)="Taxable",SUMPRODUCT((PayEmp=$C133)*(PayDate&lt;=$AC133)*(PayEarnCode=P$2)*(PayEarnTax)*(PayEarnValues)),SUMPRODUCT((PayEmp=$C133)*(PayDate&lt;=$AC133)*(PayEarnCode=P$2)*(PayEarnValues)))*IF(COUNTIFS(EmpNo,$C133,OFFSET(Emp!$R$4,1,MATCH(P$5,DedListItem,0)-1,EmpCount,1),"&lt;&gt;")&gt;0,VLOOKUP($C133,EmpAll,COLUMN(Emp!$R$4)+MATCH(P$5,DedListItem,0)-1,0),OFFSET(Setup!$E$73,MATCH(P$5,DedListItem,0),0,1,1)),(MIN(IF(OFFSET(Setup!$G$73,MATCH(P$5,DedListItem,0),0,1,1)="Taxable",SUMPRODUCT((PayEmp=$C133)*(PayDate&lt;=$AC133)*(ISERROR(SEARCH(PayEarnCode,P$4)))*(PayEarnTax)*(PayEarnValues)),SUMPRODUCT((PayEmp=$C133)*(PayDate&lt;=$AC133)*(ISERROR(SEARCH(PayEarnCode,P$4)))*(PayEarnValues))),IF(ISNUMBER(P$3),P$3/12*$AA133,IgnoreMin)))*IF(COUNTIFS(EmpNo,$C133,OFFSET(Emp!$R$4,1,MATCH(P$5,DedListItem,0)-1,EmpCount,1),"&lt;&gt;")&gt;0,VLOOKUP($C133,EmpAll,COLUMN(Emp!$R$4)+MATCH(P$5,DedListItem,0)-1,0),OFFSET(Setup!$E$73,MATCH(P$5,DedListItem,0),0,1,1)))-SUMIFS(OFFSET(P$6,1,0,PayCount,1),PayDate,"&lt;"&amp;$AC133,PayEmp,$C133))))))</f>
        <v>0</v>
      </c>
      <c r="Q133" s="133" cm="1">
        <f t="array" aca="1" ref="Q133" ca="1">IF($F133="Terminated",0,IF($AA133=0,0,IF(ISNA(MATCH(Q$5,DedListItem,0)),0,IF(COUNTIFS(OverEmp,$C133,OverDeduct,Q$5,OverDate,"&lt;"&amp;DATE(YEAR($AC133),MONTH($AC133)+1,1),OverEnd,"&gt;="&amp;DATE(YEAR($AC133),MONTH($AC133),1))&gt;0,SUMIFS(OverValue,OverEmp,$C133,OverDeduct,Q$5,OverDate,"&lt;"&amp;DATE(YEAR($AC133),MONTH($AC133)+1,1),OverEnd,"&gt;="&amp;DATE(YEAR($AC133),MONTH($AC133),1)),IF(OR(Q$2="Fixed",Q$2="Not Used"),(IF(COUNTIFS(EmpNo,$C133,OFFSET(Emp!$R$4,1,MATCH(Q$5,DedListItem,0)-1,EmpCount,1),"&lt;&gt;")&gt;0,VLOOKUP($C133,EmpAll,COLUMN(Emp!$R$4)+MATCH(Q$5,DedListItem,0)-1,0),OFFSET(Setup!$E$73,MATCH(Q$5,DedListItem,0),0,1,1))*$AA133)-SUMIFS(OFFSET(Q$6,1,0,PayCount,1),PayDate,"&lt;"&amp;$AC133,PayEmp,$C133),IF(ISNA(MATCH(Q$2,EarnListItem,0))=FALSE,IF(OFFSET(Setup!$G$73,MATCH(Q$5,DedListItem,0),0,1,1)="Taxable",SUMPRODUCT((PayEmp=$C133)*(PayDate&lt;=$AC133)*(PayEarnCode=Q$2)*(PayEarnTax)*(PayEarnValues)),SUMPRODUCT((PayEmp=$C133)*(PayDate&lt;=$AC133)*(PayEarnCode=Q$2)*(PayEarnValues)))*IF(COUNTIFS(EmpNo,$C133,OFFSET(Emp!$R$4,1,MATCH(Q$5,DedListItem,0)-1,EmpCount,1),"&lt;&gt;")&gt;0,VLOOKUP($C133,EmpAll,COLUMN(Emp!$R$4)+MATCH(Q$5,DedListItem,0)-1,0),OFFSET(Setup!$E$73,MATCH(Q$5,DedListItem,0),0,1,1)),(MIN(IF(OFFSET(Setup!$G$73,MATCH(Q$5,DedListItem,0),0,1,1)="Taxable",SUMPRODUCT((PayEmp=$C133)*(PayDate&lt;=$AC133)*(ISERROR(SEARCH(PayEarnCode,Q$4)))*(PayEarnTax)*(PayEarnValues)),SUMPRODUCT((PayEmp=$C133)*(PayDate&lt;=$AC133)*(ISERROR(SEARCH(PayEarnCode,Q$4)))*(PayEarnValues))),IF(ISNUMBER(Q$3),Q$3/12*$AA133,IgnoreMin)))*IF(COUNTIFS(EmpNo,$C133,OFFSET(Emp!$R$4,1,MATCH(Q$5,DedListItem,0)-1,EmpCount,1),"&lt;&gt;")&gt;0,VLOOKUP($C133,EmpAll,COLUMN(Emp!$R$4)+MATCH(Q$5,DedListItem,0)-1,0),OFFSET(Setup!$E$73,MATCH(Q$5,DedListItem,0),0,1,1)))-SUMIFS(OFFSET(Q$6,1,0,PayCount,1),PayDate,"&lt;"&amp;$AC133,PayEmp,$C133))))))</f>
        <v>0</v>
      </c>
      <c r="R133" s="185">
        <f t="shared" ca="1" si="55"/>
        <v>0</v>
      </c>
      <c r="S133" s="139">
        <f t="shared" ca="1" si="56"/>
        <v>0</v>
      </c>
      <c r="T133" s="133" cm="1">
        <f t="array" aca="1" ref="T133" ca="1">IF($F133="Terminated",0,IF($AA133=0,0,IF(ISNA(MATCH(T$5,CompListItem,0)),0,IF(COUNTIFS(OverEmp,$C133,OverComp,T$5,OverDate,"&lt;"&amp;DATE(YEAR($AC133),MONTH($AC133)+1,1),OverEnd,"&gt;="&amp;DATE(YEAR($AC133),MONTH($AC133),1))&gt;0,SUMIFS(OverValue,OverEmp,$C133,OverComp,T$5,OverDate,"&lt;"&amp;DATE(YEAR($AC133),MONTH($AC133)+1,1),OverEnd,"&gt;="&amp;DATE(YEAR($AC133),MONTH($AC133),1)),IF(OR(T$2="Fixed",T$2="Not Used"),(OFFSET(Setup!$E$81,MATCH(T$5,CompListItem,0),0,1,1)*$AA133)-SUMIFS(OFFSET(T$6,1,0,PayCount,1),PayDate,"&lt;"&amp;$AC133,PayEmp,$C133),IF(ISNA(MATCH(T$2,DedListItem,0))=FALSE,(SUMPRODUCT((PayEmp=$C133)*(PayDate&lt;=$AC133)*(PayDedList=T$2)*(PayDedValues))*OFFSET(Setup!$E$81,MATCH(T$5,CompListItem,0),0,1,1))-SUMIFS(OFFSET(T$6,1,0,PayCount,1),PayDate,"&lt;"&amp;$AC133,PayEmp,$C133),(MIN(IF(OFFSET(Setup!$G$81,MATCH(T$5,CompListItem,0),0,1,1)="Taxable",SUMPRODUCT((PayEmp=$C133)*(PayDate&lt;=$AC133)*(ISERROR(SEARCH(PayEarnCode,T$4)))*(PayEarnTax)*(PayEarnValues)),SUMPRODUCT((PayEmp=$C133)*(PayDate&lt;=$AC133)*(ISERROR(SEARCH(PayEarnCode,T$4)))*(PayEarnValues))),IF(ISNUMBER(T$3),T$3/12*$AA133,IgnoreMin)))*OFFSET(Setup!$E$81,MATCH(T$5,CompListItem,0),0,1,1)-SUMIFS(OFFSET(T$6,1,0,PayCount,1),PayDate,"&lt;"&amp;$AC133,PayEmp,$C133)))))))</f>
        <v>0</v>
      </c>
      <c r="U133" s="133" cm="1">
        <f t="array" aca="1" ref="U133" ca="1">IF($F133="Terminated",0,IF($AA133=0,0,IF(ISNA(MATCH(U$5,CompListItem,0)),0,IF(COUNTIFS(OverEmp,$C133,OverComp,U$5,OverDate,"&lt;"&amp;DATE(YEAR($AC133),MONTH($AC133)+1,1),OverEnd,"&gt;="&amp;DATE(YEAR($AC133),MONTH($AC133),1))&gt;0,SUMIFS(OverValue,OverEmp,$C133,OverComp,U$5,OverDate,"&lt;"&amp;DATE(YEAR($AC133),MONTH($AC133)+1,1),OverEnd,"&gt;="&amp;DATE(YEAR($AC133),MONTH($AC133),1)),IF(OR(U$2="Fixed",U$2="Not Used"),(OFFSET(Setup!$E$81,MATCH(U$5,CompListItem,0),0,1,1)*$AA133)-SUMIFS(OFFSET(U$6,1,0,PayCount,1),PayDate,"&lt;"&amp;$AC133,PayEmp,$C133),IF(ISNA(MATCH(U$2,DedListItem,0))=FALSE,(SUMPRODUCT((PayEmp=$C133)*(PayDate&lt;=$AC133)*(PayDedList=U$2)*(PayDedValues))*OFFSET(Setup!$E$81,MATCH(U$5,CompListItem,0),0,1,1))-SUMIFS(OFFSET(U$6,1,0,PayCount,1),PayDate,"&lt;"&amp;$AC133,PayEmp,$C133),(MIN(IF(OFFSET(Setup!$G$81,MATCH(U$5,CompListItem,0),0,1,1)="Taxable",SUMPRODUCT((PayEmp=$C133)*(PayDate&lt;=$AC133)*(ISERROR(SEARCH(PayEarnCode,U$4)))*(PayEarnTax)*(PayEarnValues)),SUMPRODUCT((PayEmp=$C133)*(PayDate&lt;=$AC133)*(ISERROR(SEARCH(PayEarnCode,U$4)))*(PayEarnValues))),IF(ISNUMBER(U$3),U$3/12*$AA133,IgnoreMin)))*OFFSET(Setup!$E$81,MATCH(U$5,CompListItem,0),0,1,1)-SUMIFS(OFFSET(U$6,1,0,PayCount,1),PayDate,"&lt;"&amp;$AC133,PayEmp,$C133)))))))</f>
        <v>0</v>
      </c>
      <c r="V133" s="133" cm="1">
        <f t="array" aca="1" ref="V133" ca="1">IF($F133="Terminated",0,IF($AA133=0,0,IF(ISNA(MATCH(V$5,CompListItem,0)),0,IF(COUNTIFS(OverEmp,$C133,OverComp,V$5,OverDate,"&lt;"&amp;DATE(YEAR($AC133),MONTH($AC133)+1,1),OverEnd,"&gt;="&amp;DATE(YEAR($AC133),MONTH($AC133),1))&gt;0,SUMIFS(OverValue,OverEmp,$C133,OverComp,V$5,OverDate,"&lt;"&amp;DATE(YEAR($AC133),MONTH($AC133)+1,1),OverEnd,"&gt;="&amp;DATE(YEAR($AC133),MONTH($AC133),1)),IF(OR(V$2="Fixed",V$2="Not Used"),(OFFSET(Setup!$E$81,MATCH(V$5,CompListItem,0),0,1,1)*$AA133)-SUMIFS(OFFSET(V$6,1,0,PayCount,1),PayDate,"&lt;"&amp;$AC133,PayEmp,$C133),IF(ISNA(MATCH(V$2,DedListItem,0))=FALSE,(SUMPRODUCT((PayEmp=$C133)*(PayDate&lt;=$AC133)*(PayDedList=V$2)*(PayDedValues))*OFFSET(Setup!$E$81,MATCH(V$5,CompListItem,0),0,1,1))-SUMIFS(OFFSET(V$6,1,0,PayCount,1),PayDate,"&lt;"&amp;$AC133,PayEmp,$C133),(MIN(IF(OFFSET(Setup!$G$81,MATCH(V$5,CompListItem,0),0,1,1)="Taxable",SUMPRODUCT((PayEmp=$C133)*(PayDate&lt;=$AC133)*(ISERROR(SEARCH(PayEarnCode,V$4)))*(PayEarnTax)*(PayEarnValues)),SUMPRODUCT((PayEmp=$C133)*(PayDate&lt;=$AC133)*(ISERROR(SEARCH(PayEarnCode,V$4)))*(PayEarnValues))),IF(ISNUMBER(V$3),V$3/12*$AA133,IgnoreMin)))*OFFSET(Setup!$E$81,MATCH(V$5,CompListItem,0),0,1,1)-SUMIFS(OFFSET(V$6,1,0,PayCount,1),PayDate,"&lt;"&amp;$AC133,PayEmp,$C133)))))))</f>
        <v>0</v>
      </c>
      <c r="W133" s="133" cm="1">
        <f t="array" aca="1" ref="W133" ca="1">IF($F133="Terminated",0,IF($AA133=0,0,IF(ISNA(MATCH(W$5,CompListItem,0)),0,IF(COUNTIFS(OverEmp,$C133,OverComp,W$5,OverDate,"&lt;"&amp;DATE(YEAR($AC133),MONTH($AC133)+1,1),OverEnd,"&gt;="&amp;DATE(YEAR($AC133),MONTH($AC133),1))&gt;0,SUMIFS(OverValue,OverEmp,$C133,OverComp,W$5,OverDate,"&lt;"&amp;DATE(YEAR($AC133),MONTH($AC133)+1,1),OverEnd,"&gt;="&amp;DATE(YEAR($AC133),MONTH($AC133),1)),IF(OR(W$2="Fixed",W$2="Not Used"),(OFFSET(Setup!$E$81,MATCH(W$5,CompListItem,0),0,1,1)*$AA133)-SUMIFS(OFFSET(W$6,1,0,PayCount,1),PayDate,"&lt;"&amp;$AC133,PayEmp,$C133),IF(ISNA(MATCH(W$2,DedListItem,0))=FALSE,(SUMPRODUCT((PayEmp=$C133)*(PayDate&lt;=$AC133)*(PayDedList=W$2)*(PayDedValues))*OFFSET(Setup!$E$81,MATCH(W$5,CompListItem,0),0,1,1))-SUMIFS(OFFSET(W$6,1,0,PayCount,1),PayDate,"&lt;"&amp;$AC133,PayEmp,$C133),(MIN(IF(OFFSET(Setup!$G$81,MATCH(W$5,CompListItem,0),0,1,1)="Taxable",SUMPRODUCT((PayEmp=$C133)*(PayDate&lt;=$AC133)*(ISERROR(SEARCH(PayEarnCode,W$4)))*(PayEarnTax)*(PayEarnValues)),SUMPRODUCT((PayEmp=$C133)*(PayDate&lt;=$AC133)*(ISERROR(SEARCH(PayEarnCode,W$4)))*(PayEarnValues))),IF(ISNUMBER(W$3),W$3/12*$AA133,IgnoreMin)))*OFFSET(Setup!$E$81,MATCH(W$5,CompListItem,0),0,1,1)-SUMIFS(OFFSET(W$6,1,0,PayCount,1),PayDate,"&lt;"&amp;$AC133,PayEmp,$C133)))))))</f>
        <v>0</v>
      </c>
      <c r="X133" s="185">
        <f t="shared" ref="X133:X160" ca="1" si="60">SUM(OFFSET($T133,0,0,1,COLUMN($X$6)-COLUMN($T$7)))</f>
        <v>0</v>
      </c>
      <c r="Y133" s="139">
        <f t="shared" ca="1" si="57"/>
        <v>0</v>
      </c>
      <c r="Z133" s="139">
        <f t="shared" ref="Z133:Z160" ca="1" si="61">ROUND(SUM(R133,X133),2)</f>
        <v>0</v>
      </c>
      <c r="AA133" s="146">
        <f ca="1">IF(OR($B133&lt;=Setup!$E$12,$B133&gt;=Setup!$D$12+1),0,IF($F133&lt;&gt;"Active",0,IF($AE133="Yes",$AB133,((YEAR($AC133)*12)+MONTH($AC133))-((YEAR($AD133)*12)+MONTH($AD133)-1))))</f>
        <v>0</v>
      </c>
      <c r="AB133" s="146">
        <f ca="1">IF(OR($B133&lt;=Setup!$E$12,$B133&gt;=Setup!$D$12+1),0,((YEAR($AC133)*12)+MONTH($AC133))-((YEAR(Setup!$E$12)*12)+MONTH(Setup!$E$12)))</f>
        <v>9</v>
      </c>
      <c r="AC133" s="186">
        <f t="shared" ref="AC133:AC164" ca="1" si="62">DATE(YEAR($B133),MONTH($B133),DAY($B133))</f>
        <v>45255</v>
      </c>
      <c r="AD133" s="144">
        <f ca="1">IF(ISNA(VLOOKUP($C133,EmpAll,COLUMN(Emp!$E$4),0)),$AC133,IF(VLOOKUP($C133,EmpAll,COLUMN(Emp!$E$4),0)&lt;=Setup!$E$12,DATE(YEAR(Setup!$E$12),MONTH(Setup!$E$12)+1,1),VLOOKUP($C133,EmpAll,COLUMN(Emp!$E$4),0)))</f>
        <v>44986</v>
      </c>
      <c r="AE133" s="144" t="str">
        <f ca="1">IF(ISNA(VLOOKUP($C133,EmpAll,COLUMN(Emp!$G$1),0)),"-",IF(VLOOKUP($C133,EmpAll,COLUMN(Emp!$G$1),0)=0,"-",VLOOKUP($C133,EmpAll,COLUMN(Emp!$G$1),0)))</f>
        <v>-</v>
      </c>
      <c r="AF133" s="145">
        <f ca="1">IF(A133=PaySlip!$G$3,1,0)</f>
        <v>0</v>
      </c>
      <c r="AG133" s="130" cm="1">
        <f t="array" aca="1" ref="AG133" ca="1">IF(COUNTIFS(OverEmp,$C133,OverMed,"MED",OverDate,"&lt;"&amp;DATE(YEAR($AC133),MONTH($AC133)+1,1),OverEnd,"&gt;="&amp;DATE(YEAR($AC133),MONTH($AC133),1))&gt;0,SUMIFS(OverValue,OverEmp,$C133,OverMed,"MED",OverDate,"&lt;"&amp;DATE(YEAR($AC133),MONTH($AC133)+1,1),OverEnd,"&gt;="&amp;DATE(YEAR($AC133),MONTH($AC133),1)),IF(ISNA(VLOOKUP($C133,EmpAll,COLUMN(Emp!$N$4),0)),0,VLOOKUP($C133,EmpAll,COLUMN(Emp!$N$4),0)))</f>
        <v>0</v>
      </c>
      <c r="AH133" s="146">
        <f ca="1">VLOOKUP($AG133,MedList,COLUMN(Setup!$C$49),1)</f>
        <v>0</v>
      </c>
      <c r="AI133" s="146">
        <f t="shared" ca="1" si="40"/>
        <v>0</v>
      </c>
      <c r="AJ133" s="101" t="str">
        <f ca="1">IF(ISNA(VLOOKUP($C133,EmpAll,COLUMN(Emp!$L$4),0)),"None!",VLOOKUP($C133,EmpAll,COLUMN(Emp!$L$4),0))</f>
        <v>A</v>
      </c>
      <c r="AK133" s="147">
        <f t="shared" ref="AK133:AK160" ca="1" si="63">IF(ISNA(VLOOKUP($AJ133,RebateList,4,0)),VLOOKUP("A",RebateList,3,0),VLOOKUP($AJ133,RebateList,4,0))</f>
        <v>17235</v>
      </c>
      <c r="AL133" s="101" t="str">
        <f ca="1">IF(ISNA(VLOOKUP($C133,Employees[],COLUMN(Emp!$M$4),0))=TRUE,"Error!",IF(VLOOKUP($C133,Employees[],COLUMN(Emp!$M$4),0)=0,"Yes",VLOOKUP($C133,Employees[],COLUMN(Emp!$M$4),0)))</f>
        <v>A</v>
      </c>
      <c r="AM133" s="148">
        <f t="shared" ca="1" si="41"/>
        <v>0</v>
      </c>
      <c r="AN133" s="148" cm="1">
        <f t="array" aca="1" ref="AN133" ca="1">-IF($F133="Terminated",0,IF($AA133=0,0,IF(ISNA(MATCH(AN$5,PayDedList,0)),0,MIN(IF(COUNTIFS(OverEmp,$C133,OverDeduct,AN$5,OverDate,"&lt;"&amp;DATE(YEAR($AC133),MONTH($AC133)+1,1),OverEnd,"&gt;="&amp;DATE(YEAR($AC133),MONTH($AC133),1))&gt;0,SUMPRODUCT((PayEmp=$C133)*(PayDate&lt;=$AC133)*(OFFSET($N$6,1,MATCH(AN$5,PayDedList,0)-1,PayCount,1)))/$AA133*12*AN$3,IF(OR(AN$1="Fixed",AN$1="Not Used"),SUMPRODUCT((PayEmp=$C133)*(PayDate&lt;=$AC133)*(OFFSET($N$6,1,MATCH(AN$5,PayDedList,0)-1,PayCount,1)))/$AA133*12*AN$3,IF(ISNA(MATCH(AN$1,EarnListItem,0))=FALSE,SUMPRODUCT((PayEmp=$C133)*(PayDate&lt;=$AC133)*(OFFSET($N$6,1,MATCH(AN$5,PayDedList,0)-1,PayCount,1)))/$AA133*12*AN$3,(MIN(((SUMPRODUCT((PayEmp=$C133)*(PayDate&lt;=$AC133)*(ISERROR(SEARCH(PayEarnCode,AN$2)))*(PayEarnType="Monthly")*(PayEarnValues))/$AA133*12)+(SUMPRODUCT((PayEmp=$C133)*(PayDate&lt;=$AC133)*(ISERROR(SEARCH(PayEarnCode,AN$2)))*(PayEarnType="Quarterly")*(PayEarnValues))/MAX(1,ROUNDDOWN($AB133/3,0))*4)+(SUMPRODUCT((PayEmp=$C133)*(PayDate&lt;=$AC133)*(ISERROR(SEARCH(PayEarnCode,AN$2)))*(PayEarnType="Bi-Annual")*(PayEarnValues))/MAX(1,ROUNDDOWN($AB133/6,0))*2)+(SUMPRODUCT((PayEmp=$C133)*(PayDate&lt;=$AC133)*(ISERROR(SEARCH(PayEarnCode,AN$2)))*(PayEarnType="Annual")*(PayEarnValues)))),IF(ISNUMBER(OFFSET($N$3,0,MATCH(AN$5,PayDedList,0)-1,1,1)),OFFSET($N$3,0,MATCH(AN$5,PayDedList,0)-1,1,1),IgnoreMin)))*IF(COUNTIFS(EmpNo,$C133,OFFSET(Emp!$R$4,1,MATCH(AN$5,DedListItem,0)-1,EmpCount,1),"&lt;&gt;")&gt;0,VLOOKUP($C133,EmpAll,COLUMN(Emp!$R$4)+MATCH(AN$5,DedListItem,0)-1,0),OFFSET(Setup!$E$73,MATCH(AN$5,DedListItem,0),0,1,1))*AN$3))),IF(ISNUMBER(AN$4),AN$4,IgnoreMin)))))</f>
        <v>0</v>
      </c>
      <c r="AO133" s="148" cm="1">
        <f t="array" aca="1" ref="AO133" ca="1">-IF($F133="Terminated",0,IF($AA133=0,0,IF(ISNA(MATCH(AO$5,PayDedList,0)),0,MIN(IF(COUNTIFS(OverEmp,$C133,OverDeduct,AO$5,OverDate,"&lt;"&amp;DATE(YEAR($AC133),MONTH($AC133)+1,1),OverEnd,"&gt;="&amp;DATE(YEAR($AC133),MONTH($AC133),1))&gt;0,SUMPRODUCT((PayEmp=$C133)*(PayDate&lt;=$AC133)*(OFFSET($N$6,1,MATCH(AO$5,PayDedList,0)-1,PayCount,1)))/$AA133*12*AO$3,IF(OR(AO$1="Fixed",AO$1="Not Used"),SUMPRODUCT((PayEmp=$C133)*(PayDate&lt;=$AC133)*(OFFSET($N$6,1,MATCH(AO$5,PayDedList,0)-1,PayCount,1)))/$AA133*12*AO$3,IF(ISNA(MATCH(AO$1,EarnListItem,0))=FALSE,SUMPRODUCT((PayEmp=$C133)*(PayDate&lt;=$AC133)*(OFFSET($N$6,1,MATCH(AO$5,PayDedList,0)-1,PayCount,1)))/$AA133*12*AO$3,(MIN(((SUMPRODUCT((PayEmp=$C133)*(PayDate&lt;=$AC133)*(ISERROR(SEARCH(PayEarnCode,AO$2)))*(PayEarnType="Monthly")*(PayEarnValues))/$AA133*12)+(SUMPRODUCT((PayEmp=$C133)*(PayDate&lt;=$AC133)*(ISERROR(SEARCH(PayEarnCode,AO$2)))*(PayEarnType="Quarterly")*(PayEarnValues))/MAX(1,ROUNDDOWN($AB133/3,0))*4)+(SUMPRODUCT((PayEmp=$C133)*(PayDate&lt;=$AC133)*(ISERROR(SEARCH(PayEarnCode,AO$2)))*(PayEarnType="Bi-Annual")*(PayEarnValues))/MAX(1,ROUNDDOWN($AB133/6,0))*2)+(SUMPRODUCT((PayEmp=$C133)*(PayDate&lt;=$AC133)*(ISERROR(SEARCH(PayEarnCode,AO$2)))*(PayEarnType="Annual")*(PayEarnValues)))),IF(ISNUMBER(OFFSET($N$3,0,MATCH(AO$5,PayDedList,0)-1,1,1)),OFFSET($N$3,0,MATCH(AO$5,PayDedList,0)-1,1,1),IgnoreMin)))*IF(COUNTIFS(EmpNo,$C133,OFFSET(Emp!$R$4,1,MATCH(AO$5,DedListItem,0)-1,EmpCount,1),"&lt;&gt;")&gt;0,VLOOKUP($C133,EmpAll,COLUMN(Emp!$R$4)+MATCH(AO$5,DedListItem,0)-1,0),OFFSET(Setup!$E$73,MATCH(AO$5,DedListItem,0),0,1,1))*AO$3))),IF(ISNUMBER(AO$4),AO$4,IgnoreMin)))))</f>
        <v>0</v>
      </c>
      <c r="AP133" s="148" cm="1">
        <f t="array" aca="1" ref="AP133" ca="1">-IF($F133="Terminated",0,IF($AA133=0,0,IF(ISNA(MATCH(AP$5,PayDedList,0)),0,MIN(IF(COUNTIFS(OverEmp,$C133,OverDeduct,AP$5,OverDate,"&lt;"&amp;DATE(YEAR($AC133),MONTH($AC133)+1,1),OverEnd,"&gt;="&amp;DATE(YEAR($AC133),MONTH($AC133),1))&gt;0,SUMPRODUCT((PayEmp=$C133)*(PayDate&lt;=$AC133)*(OFFSET($N$6,1,MATCH(AP$5,PayDedList,0)-1,PayCount,1)))/$AA133*12*AP$3,IF(OR(AP$1="Fixed",AP$1="Not Used"),SUMPRODUCT((PayEmp=$C133)*(PayDate&lt;=$AC133)*(OFFSET($N$6,1,MATCH(AP$5,PayDedList,0)-1,PayCount,1)))/$AA133*12*AP$3,IF(ISNA(MATCH(AP$1,EarnListItem,0))=FALSE,SUMPRODUCT((PayEmp=$C133)*(PayDate&lt;=$AC133)*(OFFSET($N$6,1,MATCH(AP$5,PayDedList,0)-1,PayCount,1)))/$AA133*12*AP$3,(MIN(((SUMPRODUCT((PayEmp=$C133)*(PayDate&lt;=$AC133)*(ISERROR(SEARCH(PayEarnCode,AP$2)))*(PayEarnType="Monthly")*(PayEarnValues))/$AA133*12)+(SUMPRODUCT((PayEmp=$C133)*(PayDate&lt;=$AC133)*(ISERROR(SEARCH(PayEarnCode,AP$2)))*(PayEarnType="Quarterly")*(PayEarnValues))/MAX(1,ROUNDDOWN($AB133/3,0))*4)+(SUMPRODUCT((PayEmp=$C133)*(PayDate&lt;=$AC133)*(ISERROR(SEARCH(PayEarnCode,AP$2)))*(PayEarnType="Bi-Annual")*(PayEarnValues))/MAX(1,ROUNDDOWN($AB133/6,0))*2)+(SUMPRODUCT((PayEmp=$C133)*(PayDate&lt;=$AC133)*(ISERROR(SEARCH(PayEarnCode,AP$2)))*(PayEarnType="Annual")*(PayEarnValues)))),IF(ISNUMBER(OFFSET($N$3,0,MATCH(AP$5,PayDedList,0)-1,1,1)),OFFSET($N$3,0,MATCH(AP$5,PayDedList,0)-1,1,1),IgnoreMin)))*IF(COUNTIFS(EmpNo,$C133,OFFSET(Emp!$R$4,1,MATCH(AP$5,DedListItem,0)-1,EmpCount,1),"&lt;&gt;")&gt;0,VLOOKUP($C133,EmpAll,COLUMN(Emp!$R$4)+MATCH(AP$5,DedListItem,0)-1,0),OFFSET(Setup!$E$73,MATCH(AP$5,DedListItem,0),0,1,1))*AP$3))),IF(ISNUMBER(AP$4),AP$4,IgnoreMin)))))</f>
        <v>0</v>
      </c>
      <c r="AQ133" s="148" cm="1">
        <f t="array" aca="1" ref="AQ133" ca="1">-IF($F133="Terminated",0,IF($AA133=0,0,IF(ISNA(MATCH(AQ$5,PayDedList,0)),0,MIN(IF(COUNTIFS(OverEmp,$C133,OverDeduct,AQ$5,OverDate,"&lt;"&amp;DATE(YEAR($AC133),MONTH($AC133)+1,1),OverEnd,"&gt;="&amp;DATE(YEAR($AC133),MONTH($AC133),1))&gt;0,SUMPRODUCT((PayEmp=$C133)*(PayDate&lt;=$AC133)*(OFFSET($N$6,1,MATCH(AQ$5,PayDedList,0)-1,PayCount,1)))/$AA133*12*AQ$3,IF(OR(AQ$1="Fixed",AQ$1="Not Used"),SUMPRODUCT((PayEmp=$C133)*(PayDate&lt;=$AC133)*(OFFSET($N$6,1,MATCH(AQ$5,PayDedList,0)-1,PayCount,1)))/$AA133*12*AQ$3,IF(ISNA(MATCH(AQ$1,EarnListItem,0))=FALSE,SUMPRODUCT((PayEmp=$C133)*(PayDate&lt;=$AC133)*(OFFSET($N$6,1,MATCH(AQ$5,PayDedList,0)-1,PayCount,1)))/$AA133*12*AQ$3,(MIN(((SUMPRODUCT((PayEmp=$C133)*(PayDate&lt;=$AC133)*(ISERROR(SEARCH(PayEarnCode,AQ$2)))*(PayEarnType="Monthly")*(PayEarnValues))/$AA133*12)+(SUMPRODUCT((PayEmp=$C133)*(PayDate&lt;=$AC133)*(ISERROR(SEARCH(PayEarnCode,AQ$2)))*(PayEarnType="Quarterly")*(PayEarnValues))/MAX(1,ROUNDDOWN($AB133/3,0))*4)+(SUMPRODUCT((PayEmp=$C133)*(PayDate&lt;=$AC133)*(ISERROR(SEARCH(PayEarnCode,AQ$2)))*(PayEarnType="Bi-Annual")*(PayEarnValues))/MAX(1,ROUNDDOWN($AB133/6,0))*2)+(SUMPRODUCT((PayEmp=$C133)*(PayDate&lt;=$AC133)*(ISERROR(SEARCH(PayEarnCode,AQ$2)))*(PayEarnType="Annual")*(PayEarnValues)))),IF(ISNUMBER(OFFSET($N$3,0,MATCH(AQ$5,PayDedList,0)-1,1,1)),OFFSET($N$3,0,MATCH(AQ$5,PayDedList,0)-1,1,1),IgnoreMin)))*IF(COUNTIFS(EmpNo,$C133,OFFSET(Emp!$R$4,1,MATCH(AQ$5,DedListItem,0)-1,EmpCount,1),"&lt;&gt;")&gt;0,VLOOKUP($C133,EmpAll,COLUMN(Emp!$R$4)+MATCH(AQ$5,DedListItem,0)-1,0),OFFSET(Setup!$E$73,MATCH(AQ$5,DedListItem,0),0,1,1))*AQ$3))),IF(ISNUMBER(AQ$4),AQ$4,IgnoreMin)))))</f>
        <v>0</v>
      </c>
      <c r="AR133" s="148">
        <f t="shared" ref="AR133:AR160" ca="1" si="64">$AM133+SUM(OFFSET($AM133,0,1,1,COLUMN($AR$2)-COLUMN($AM$2)-1))</f>
        <v>0</v>
      </c>
      <c r="AS133" s="148">
        <f t="shared" ca="1" si="42"/>
        <v>0</v>
      </c>
      <c r="AT133" s="148" cm="1">
        <f t="array" aca="1" ref="AT133" ca="1">-IF($F133="Terminated",0,IF($AA133=0,0,IF(ISNA(MATCH(AT$5,PayDedList,0)),0,MIN(IF(COUNTIFS(OverEmp,$C133,OverDeduct,AT$5,OverDate,"&lt;"&amp;DATE(YEAR($AC133),MONTH($AC133)+1,1),OverEnd,"&gt;="&amp;DATE(YEAR($AC133),MONTH($AC133),1))&gt;0,SUMPRODUCT((PayEmp=$C133)*(PayDate&lt;=$AC133)*(OFFSET($N$6,1,MATCH(AT$5,PayDedList,0)-1,PayCount,1)))/$AA133*12*AT$3,IF(OR(AT$1="Fixed",AT$1="Not Used"),SUMPRODUCT((PayEmp=$C133)*(PayDate&lt;=$AC133)*(OFFSET($N$6,1,MATCH(AT$5,PayDedList,0)-1,PayCount,1)))/$AA133*12*AT$3,IF(ISNA(MATCH(OFFSET($N$2,0,MATCH(AT$5,PayDedList,0)-1,1,1),EarnListItem,0))=FALSE,SUMPRODUCT((PayEmp=$C133)*(PayDate&lt;=$AC133)*(OFFSET($N$6,1,MATCH(AT$5,PayDedList,0)-1,PayCount,1)))/$AA133*12*AT$3,(MIN(SUMPRODUCT((PayEmp=$C133)*(PayDate&lt;=$AC133)*(ISERROR(SEARCH(PayEarnCode,AT$2)))*(PayEarnType="Monthly")*(PayEarnValues))/$AA133*12,IF(ISNUMBER(OFFSET($N$3,0,MATCH(AT$5,PayDedList,0)-1,1,1)),OFFSET($N$3,0,MATCH(AT$5,PayDedList,0)-1,1,1),IgnoreMin)))*IF(COUNTIFS(EmpNo,$C133,OFFSET(Emp!$R$4,1,MATCH(AT$5,DedListItem,0)-1,EmpCount,1),"&lt;&gt;")&gt;0,VLOOKUP($C133,EmpAll,COLUMN(Emp!$R$4)+MATCH(AT$5,DedListItem,0)-1,0),OFFSET(Setup!$E$73,MATCH(AT$5,DedListItem,0),0,1,1))*AT$3))),IF(ISNUMBER(AT$4),AT$4,IgnoreMin)))))</f>
        <v>0</v>
      </c>
      <c r="AU133" s="148" cm="1">
        <f t="array" aca="1" ref="AU133" ca="1">-IF($F133="Terminated",0,IF($AA133=0,0,IF(ISNA(MATCH(AU$5,PayDedList,0)),0,MIN(IF(COUNTIFS(OverEmp,$C133,OverDeduct,AU$5,OverDate,"&lt;"&amp;DATE(YEAR($AC133),MONTH($AC133)+1,1),OverEnd,"&gt;="&amp;DATE(YEAR($AC133),MONTH($AC133),1))&gt;0,SUMPRODUCT((PayEmp=$C133)*(PayDate&lt;=$AC133)*(OFFSET($N$6,1,MATCH(AU$5,PayDedList,0)-1,PayCount,1)))/$AA133*12*AU$3,IF(OR(AU$1="Fixed",AU$1="Not Used"),SUMPRODUCT((PayEmp=$C133)*(PayDate&lt;=$AC133)*(OFFSET($N$6,1,MATCH(AU$5,PayDedList,0)-1,PayCount,1)))/$AA133*12*AU$3,IF(ISNA(MATCH(OFFSET($N$2,0,MATCH(AU$5,PayDedList,0)-1,1,1),EarnListItem,0))=FALSE,SUMPRODUCT((PayEmp=$C133)*(PayDate&lt;=$AC133)*(OFFSET($N$6,1,MATCH(AU$5,PayDedList,0)-1,PayCount,1)))/$AA133*12*AU$3,(MIN(SUMPRODUCT((PayEmp=$C133)*(PayDate&lt;=$AC133)*(ISERROR(SEARCH(PayEarnCode,AU$2)))*(PayEarnType="Monthly")*(PayEarnValues))/$AA133*12,IF(ISNUMBER(OFFSET($N$3,0,MATCH(AU$5,PayDedList,0)-1,1,1)),OFFSET($N$3,0,MATCH(AU$5,PayDedList,0)-1,1,1),IgnoreMin)))*IF(COUNTIFS(EmpNo,$C133,OFFSET(Emp!$R$4,1,MATCH(AU$5,DedListItem,0)-1,EmpCount,1),"&lt;&gt;")&gt;0,VLOOKUP($C133,EmpAll,COLUMN(Emp!$R$4)+MATCH(AU$5,DedListItem,0)-1,0),OFFSET(Setup!$E$73,MATCH(AU$5,DedListItem,0),0,1,1))*AU$3))),IF(ISNUMBER(AU$4),AU$4,IgnoreMin)))))</f>
        <v>0</v>
      </c>
      <c r="AV133" s="148" cm="1">
        <f t="array" aca="1" ref="AV133" ca="1">-IF($F133="Terminated",0,IF($AA133=0,0,IF(ISNA(MATCH(AV$5,PayDedList,0)),0,MIN(IF(COUNTIFS(OverEmp,$C133,OverDeduct,AV$5,OverDate,"&lt;"&amp;DATE(YEAR($AC133),MONTH($AC133)+1,1),OverEnd,"&gt;="&amp;DATE(YEAR($AC133),MONTH($AC133),1))&gt;0,SUMPRODUCT((PayEmp=$C133)*(PayDate&lt;=$AC133)*(OFFSET($N$6,1,MATCH(AV$5,PayDedList,0)-1,PayCount,1)))/$AA133*12*AV$3,IF(OR(AV$1="Fixed",AV$1="Not Used"),SUMPRODUCT((PayEmp=$C133)*(PayDate&lt;=$AC133)*(OFFSET($N$6,1,MATCH(AV$5,PayDedList,0)-1,PayCount,1)))/$AA133*12*AV$3,IF(ISNA(MATCH(OFFSET($N$2,0,MATCH(AV$5,PayDedList,0)-1,1,1),EarnListItem,0))=FALSE,SUMPRODUCT((PayEmp=$C133)*(PayDate&lt;=$AC133)*(OFFSET($N$6,1,MATCH(AV$5,PayDedList,0)-1,PayCount,1)))/$AA133*12*AV$3,(MIN(SUMPRODUCT((PayEmp=$C133)*(PayDate&lt;=$AC133)*(ISERROR(SEARCH(PayEarnCode,AV$2)))*(PayEarnType="Monthly")*(PayEarnValues))/$AA133*12,IF(ISNUMBER(OFFSET($N$3,0,MATCH(AV$5,PayDedList,0)-1,1,1)),OFFSET($N$3,0,MATCH(AV$5,PayDedList,0)-1,1,1),IgnoreMin)))*IF(COUNTIFS(EmpNo,$C133,OFFSET(Emp!$R$4,1,MATCH(AV$5,DedListItem,0)-1,EmpCount,1),"&lt;&gt;")&gt;0,VLOOKUP($C133,EmpAll,COLUMN(Emp!$R$4)+MATCH(AV$5,DedListItem,0)-1,0),OFFSET(Setup!$E$73,MATCH(AV$5,DedListItem,0),0,1,1))*AV$3))),IF(ISNUMBER(AV$4),AV$4,IgnoreMin)))))</f>
        <v>0</v>
      </c>
      <c r="AW133" s="148" cm="1">
        <f t="array" aca="1" ref="AW133" ca="1">-IF($F133="Terminated",0,IF($AA133=0,0,IF(ISNA(MATCH(AW$5,PayDedList,0)),0,MIN(IF(COUNTIFS(OverEmp,$C133,OverDeduct,AW$5,OverDate,"&lt;"&amp;DATE(YEAR($AC133),MONTH($AC133)+1,1),OverEnd,"&gt;="&amp;DATE(YEAR($AC133),MONTH($AC133),1))&gt;0,SUMPRODUCT((PayEmp=$C133)*(PayDate&lt;=$AC133)*(OFFSET($N$6,1,MATCH(AW$5,PayDedList,0)-1,PayCount,1)))/$AA133*12*AW$3,IF(OR(AW$1="Fixed",AW$1="Not Used"),SUMPRODUCT((PayEmp=$C133)*(PayDate&lt;=$AC133)*(OFFSET($N$6,1,MATCH(AW$5,PayDedList,0)-1,PayCount,1)))/$AA133*12*AW$3,IF(ISNA(MATCH(OFFSET($N$2,0,MATCH(AW$5,PayDedList,0)-1,1,1),EarnListItem,0))=FALSE,SUMPRODUCT((PayEmp=$C133)*(PayDate&lt;=$AC133)*(OFFSET($N$6,1,MATCH(AW$5,PayDedList,0)-1,PayCount,1)))/$AA133*12*AW$3,(MIN(SUMPRODUCT((PayEmp=$C133)*(PayDate&lt;=$AC133)*(ISERROR(SEARCH(PayEarnCode,AW$2)))*(PayEarnType="Monthly")*(PayEarnValues))/$AA133*12,IF(ISNUMBER(OFFSET($N$3,0,MATCH(AW$5,PayDedList,0)-1,1,1)),OFFSET($N$3,0,MATCH(AW$5,PayDedList,0)-1,1,1),IgnoreMin)))*IF(COUNTIFS(EmpNo,$C133,OFFSET(Emp!$R$4,1,MATCH(AW$5,DedListItem,0)-1,EmpCount,1),"&lt;&gt;")&gt;0,VLOOKUP($C133,EmpAll,COLUMN(Emp!$R$4)+MATCH(AW$5,DedListItem,0)-1,0),OFFSET(Setup!$E$73,MATCH(AW$5,DedListItem,0),0,1,1))*AW$3))),IF(ISNUMBER(AW$4),AW$4,IgnoreMin)))))</f>
        <v>0</v>
      </c>
      <c r="AX133" s="148">
        <f t="shared" ca="1" si="58"/>
        <v>0</v>
      </c>
      <c r="AY133" s="148">
        <f t="shared" ca="1" si="59"/>
        <v>0</v>
      </c>
      <c r="AZ133" s="148">
        <f ca="1">IF(ISNUMBER($AL133),($AR133*$AL133)-$AI133-$AK133,MAX(0,IF($AL133="B",IF($AR133&lt;Setup!$C$32,($AR133*Setup!$D$32)-$AI133-$AK133,(($AR133-VLOOKUP($AR133,TaxAll2,1,1))*OFFSET(Setup!$D$32,MATCH($AR133,TaxBracket2,1),0,1,1))+OFFSET(Setup!$E$31,MATCH($AR133,TaxBracket2,1),0,1,1)-$AI133-$AK133),IF($AR133&lt;Setup!$C$21,($AR133*Setup!$D$21)-$AI133-$AK133,(($AR133-VLOOKUP($AR133,TaxAll1,1,1))*OFFSET(Setup!$D$21,MATCH($AR133,TaxBracket1,1),0,1,1))+OFFSET(Setup!$E$20,MATCH($AR133,TaxBracket1,1),0,1,1)-$AI133-$AK133))))</f>
        <v>0</v>
      </c>
      <c r="BA133" s="148">
        <f ca="1">IF(ISNUMBER($AL133),($AX133*$AL133)-$AI133-$AK133,MAX(0,IF($AL133="B",IF($AX133&lt;Setup!$C$32,($AX133*Setup!$D$32)-$AI133-$AK133,(($AX133-VLOOKUP($AX133,TaxAll2,1,1))*OFFSET(Setup!$D$32,MATCH($AX133,TaxBracket2,1),0,1,1))+OFFSET(Setup!$E$31,MATCH($AX133,TaxBracket2,1),0,1,1)-$AI133-$AK133),IF($AX133&lt;Setup!$C$21,($AX133*Setup!$D$21)-$AI133-$AK133,(($AX133-VLOOKUP($AX133,TaxAll1,1,1))*OFFSET(Setup!$D$21,MATCH($AX133,TaxBracket1,1),0,1,1))+OFFSET(Setup!$E$20,MATCH($AX133,TaxBracket1,1),0,1,1)-$AI133-$AK133))))</f>
        <v>0</v>
      </c>
      <c r="BB133" s="148">
        <f t="shared" ref="BB133:BB160" ca="1" si="65">AZ133-BA133</f>
        <v>0</v>
      </c>
      <c r="BC133" s="150">
        <f t="shared" ca="1" si="45"/>
        <v>0</v>
      </c>
      <c r="BD133" s="150">
        <f t="shared" ca="1" si="46"/>
        <v>0</v>
      </c>
      <c r="BE133" s="148">
        <f t="shared" ca="1" si="47"/>
        <v>0</v>
      </c>
    </row>
    <row r="134" spans="1:57" ht="16.149999999999999" customHeight="1" x14ac:dyDescent="0.25">
      <c r="A134" s="10" t="str" cm="1">
        <f t="array" aca="1" ref="A134" ca="1">IF(ROW($A134)-ROW($A$6)&gt;EmpCount*12,"-",TEXT($B134,"yyyy")&amp;TEXT($B134,"mm")&amp;"-"&amp;$C134)</f>
        <v>202311-EXS008</v>
      </c>
      <c r="B134" s="137" cm="1">
        <f t="array" aca="1" ref="B134" ca="1">IF(ROW($A134)-ROW($A$6)&gt;EmpCount*12,Setup!$D$12,DATE(YEAR(Setup!$F$12),MONTH(Setup!$F$12)+ROUNDDOWN((ROW($A134)-ROW($A$6)-1)/EmpCount,0),IF(Setup!$C$14&gt;DAY(DATE(YEAR(Setup!$F$12),MONTH(Setup!$F$12)+ROUNDDOWN((ROW($A134)-ROW($A$6)-1)/EmpCount,0)+1,0)),DAY(DATE(YEAR(Setup!$F$12),MONTH(Setup!$F$12)+ROUNDDOWN((ROW($A134)-ROW($A$6)-1)/EmpCount,0)+1,0)),Setup!$C$14)))</f>
        <v>45255</v>
      </c>
      <c r="C134" s="101" t="str" cm="1">
        <f t="array" aca="1" ref="C134" ca="1">IF(ROW($A134)-ROW($A$6)&gt;EmpCount*12,"-",OFFSET(Emp!$A$4,ROW($A134)-ROW($A$6)-IF(ROW($A134)-ROW($A$6)&gt;EmpCount,ROUNDDOWN((ROW($A134)-ROW($A$6)-1)/EmpCount,0)*EmpCount,0),0,1,1))</f>
        <v>EXS008</v>
      </c>
      <c r="D134" s="10" t="str">
        <f ca="1">IF(ISNA(VLOOKUP($C134,EmpAll,COLUMN(Emp!$B$4),0)),"-",VLOOKUP($C134,EmpAll,COLUMN(Emp!$B$4),0))</f>
        <v>Matthews B</v>
      </c>
      <c r="E134" s="145" t="str">
        <f ca="1">IF(ISNA(VLOOKUP($C134,EmpAll,COLUMN(Emp!$C$4),0)),"-",VLOOKUP($C134,EmpAll,COLUMN(Emp!$C$4),0))</f>
        <v>A</v>
      </c>
      <c r="F134" s="101" t="str">
        <f ca="1">IF(ISNA(VLOOKUP($C134,EmpAll,COLUMN(Emp!$A$4),0)),"-",IF(AND(VLOOKUP($C134,EmpAll,COLUMN(Emp!$E$4),0)&lt;&gt;0,VLOOKUP($C134,EmpAll,COLUMN(Emp!$E$4),0)&gt;=DATE(YEAR($AC134),MONTH($AC134)+1,0)),"Inactive",IF(AND(VLOOKUP($C134,EmpAll,COLUMN(Emp!$F$4),0)&lt;&gt;0,VLOOKUP($C134,EmpAll,COLUMN(Emp!$F$4),0)&lt;=DATE(YEAR($AC134),MONTH($AC134),0)),"Terminated","Active")))</f>
        <v>Active</v>
      </c>
      <c r="G134" s="133" cm="1">
        <f t="array" aca="1" ref="G134" ca="1">IF($F134&lt;&gt;"Active",0,IF(COUNTIFS(OverEmp,$C134,OverEarn,G$2,OverDate,"&lt;"&amp;DATE(YEAR($AC134),MONTH($AC134)+1,1),OverEnd,"&gt;="&amp;DATE(YEAR($AC134),MONTH($AC134),1))&gt;0,SUMIFS(OverValue,OverEmp,$C134,OverEarn,G$2,OverDate,"&lt;"&amp;DATE(YEAR($AC134),MONTH($AC134)+1,1),OverEnd,"&gt;="&amp;DATE(YEAR($AC134),MONTH($AC134),1)),IF(AND($AC134&gt;=Setup!$E$10,SUMIFS(EmpIncrease,EmpCode,$C134)&gt;0),SUMIFS(EmpIncrease,EmpCode,$C134),SUMIFS(EmpSalary,EmpCode,$C134))))</f>
        <v>9000</v>
      </c>
      <c r="H134" s="133" cm="1">
        <f t="array" aca="1" ref="H134" ca="1">IF($F134&lt;&gt;"Active",0,IF(COUNTIFS(OverEmp,$C134,OverEarn,H$2,OverDate,"&lt;"&amp;DATE(YEAR($AC134),MONTH($AC134)+1,1),OverEnd,"&gt;="&amp;DATE(YEAR($AC134),MONTH($AC134),1))&gt;0,SUMIFS(OverValue,OverEmp,$C134,OverEarn,H$2,OverDate,"&lt;"&amp;DATE(YEAR($AC134),MONTH($AC134)+1,1),OverEnd,"&gt;="&amp;DATE(YEAR($AC134),MONTH($AC134),1)),0))</f>
        <v>0</v>
      </c>
      <c r="I134" s="133" cm="1">
        <f t="array" aca="1" ref="I134" ca="1">IF($F134&lt;&gt;"Active",0,IF(COUNTIFS(OverEmp,$C134,OverEarn,I$2,OverDate,"&lt;"&amp;DATE(YEAR($AC134),MONTH($AC134)+1,1),OverEnd,"&gt;="&amp;DATE(YEAR($AC134),MONTH($AC134),1))&gt;0,SUMIFS(OverValue,OverEmp,$C134,OverEarn,I$2,OverDate,"&lt;"&amp;DATE(YEAR($AC134),MONTH($AC134)+1,1),OverEnd,"&gt;="&amp;DATE(YEAR($AC134),MONTH($AC134),1)),IF(MONTH(B134)=Setup!$C$15,SUMIFS(EmpBonus,EmpCode,$C134),0)))</f>
        <v>0</v>
      </c>
      <c r="J134" s="133" cm="1">
        <f t="array" aca="1" ref="J134" ca="1">IF($F134&lt;&gt;"Active",0,IF(COUNTIFS(OverEmp,$C134,OverEarn,J$2,OverDate,"&lt;"&amp;DATE(YEAR($AC134),MONTH($AC134)+1,1),OverEnd,"&gt;="&amp;DATE(YEAR($AC134),MONTH($AC134),1))&gt;0,SUMIFS(OverValue,OverEmp,$C134,OverEarn,J$2,OverDate,"&lt;"&amp;DATE(YEAR($AC134),MONTH($AC134)+1,1),OverEnd,"&gt;="&amp;DATE(YEAR($AC134),MONTH($AC134),1)),0))</f>
        <v>0</v>
      </c>
      <c r="K134" s="133" cm="1">
        <f t="array" aca="1" ref="K134" ca="1">IF($F134&lt;&gt;"Active",0,IF(COUNTIFS(OverEmp,$C134,OverEarn,K$2,OverDate,"&lt;"&amp;DATE(YEAR($AC134),MONTH($AC134)+1,1),OverEnd,"&gt;="&amp;DATE(YEAR($AC134),MONTH($AC134),1))&gt;0,SUMIFS(OverValue,OverEmp,$C134,OverEarn,K$2,OverDate,"&lt;"&amp;DATE(YEAR($AC134),MONTH($AC134)+1,1),OverEnd,"&gt;="&amp;DATE(YEAR($AC134),MONTH($AC134),1)),0))</f>
        <v>0</v>
      </c>
      <c r="L134" s="185">
        <f t="shared" ca="1" si="54"/>
        <v>9000</v>
      </c>
      <c r="M134" s="182" cm="1">
        <f t="array" aca="1" ref="M134" ca="1">IF(COUNTIFS(OverEmp,$C134,OverTax,M$5,OverDate,"&lt;"&amp;DATE(YEAR($AC134),MONTH($AC134)+1,1),OverEnd,"&gt;="&amp;DATE(YEAR($AC134),MONTH($AC134),1))&gt;0,SUMIFS(OverValue,OverEmp,$C134,OverTax,M$5,OverDate,"&lt;"&amp;DATE(YEAR($AC134),MONTH($AC134)+1,1),OverEnd,"&gt;="&amp;DATE(YEAR($AC134),MONTH($AC134),1)),(($BA134/12*$AA134)+(BB134*IF(1-$BC134=0,0,BD134/(1-$BC134))))-IF($F134="Terminated",0,SUMIFS(PayTaxDeduct,PayDate,"&lt;"&amp;$AC134,PayEmp,$C134)))</f>
        <v>183.75</v>
      </c>
      <c r="N134" s="133" cm="1">
        <f t="array" aca="1" ref="N134" ca="1">IF($F134="Terminated",0,IF($AA134=0,0,IF(ISNA(MATCH(N$5,DedListItem,0)),0,IF(COUNTIFS(OverEmp,$C134,OverDeduct,N$5,OverDate,"&lt;"&amp;DATE(YEAR($AC134),MONTH($AC134)+1,1),OverEnd,"&gt;="&amp;DATE(YEAR($AC134),MONTH($AC134),1))&gt;0,SUMIFS(OverValue,OverEmp,$C134,OverDeduct,N$5,OverDate,"&lt;"&amp;DATE(YEAR($AC134),MONTH($AC134)+1,1),OverEnd,"&gt;="&amp;DATE(YEAR($AC134),MONTH($AC134),1)),IF(OR(N$2="Fixed",N$2="Not Used"),(IF(COUNTIFS(EmpNo,$C134,OFFSET(Emp!$R$4,1,MATCH(N$5,DedListItem,0)-1,EmpCount,1),"&lt;&gt;")&gt;0,VLOOKUP($C134,EmpAll,COLUMN(Emp!$R$4)+MATCH(N$5,DedListItem,0)-1,0),OFFSET(Setup!$E$73,MATCH(N$5,DedListItem,0),0,1,1))*$AA134)-SUMIFS(OFFSET(N$6,1,0,PayCount,1),PayDate,"&lt;"&amp;$AC134,PayEmp,$C134),IF(ISNA(MATCH(N$2,EarnListItem,0))=FALSE,IF(OFFSET(Setup!$G$73,MATCH(N$5,DedListItem,0),0,1,1)="Taxable",SUMPRODUCT((PayEmp=$C134)*(PayDate&lt;=$AC134)*(PayEarnCode=N$2)*(PayEarnTax)*(PayEarnValues)),SUMPRODUCT((PayEmp=$C134)*(PayDate&lt;=$AC134)*(PayEarnCode=N$2)*(PayEarnValues)))*IF(COUNTIFS(EmpNo,$C134,OFFSET(Emp!$R$4,1,MATCH(N$5,DedListItem,0)-1,EmpCount,1),"&lt;&gt;")&gt;0,VLOOKUP($C134,EmpAll,COLUMN(Emp!$R$4)+MATCH(N$5,DedListItem,0)-1,0),OFFSET(Setup!$E$73,MATCH(N$5,DedListItem,0),0,1,1)),(MIN(IF(OFFSET(Setup!$G$73,MATCH(N$5,DedListItem,0),0,1,1)="Taxable",SUMPRODUCT((PayEmp=$C134)*(PayDate&lt;=$AC134)*(ISERROR(SEARCH(PayEarnCode,N$4)))*(PayEarnTax)*(PayEarnValues)),SUMPRODUCT((PayEmp=$C134)*(PayDate&lt;=$AC134)*(ISERROR(SEARCH(PayEarnCode,N$4)))*(PayEarnValues))),IF(ISNUMBER(N$3),N$3/12*$AA134,IgnoreMin)))*IF(COUNTIFS(EmpNo,$C134,OFFSET(Emp!$R$4,1,MATCH(N$5,DedListItem,0)-1,EmpCount,1),"&lt;&gt;")&gt;0,VLOOKUP($C134,EmpAll,COLUMN(Emp!$R$4)+MATCH(N$5,DedListItem,0)-1,0),OFFSET(Setup!$E$73,MATCH(N$5,DedListItem,0),0,1,1)))-SUMIFS(OFFSET(N$6,1,0,PayCount,1),PayDate,"&lt;"&amp;$AC134,PayEmp,$C134))))))</f>
        <v>90</v>
      </c>
      <c r="O134" s="133" cm="1">
        <f t="array" aca="1" ref="O134" ca="1">IF($F134="Terminated",0,IF($AA134=0,0,IF(ISNA(MATCH(O$5,DedListItem,0)),0,IF(COUNTIFS(OverEmp,$C134,OverDeduct,O$5,OverDate,"&lt;"&amp;DATE(YEAR($AC134),MONTH($AC134)+1,1),OverEnd,"&gt;="&amp;DATE(YEAR($AC134),MONTH($AC134),1))&gt;0,SUMIFS(OverValue,OverEmp,$C134,OverDeduct,O$5,OverDate,"&lt;"&amp;DATE(YEAR($AC134),MONTH($AC134)+1,1),OverEnd,"&gt;="&amp;DATE(YEAR($AC134),MONTH($AC134),1)),IF(OR(O$2="Fixed",O$2="Not Used"),(IF(COUNTIFS(EmpNo,$C134,OFFSET(Emp!$R$4,1,MATCH(O$5,DedListItem,0)-1,EmpCount,1),"&lt;&gt;")&gt;0,VLOOKUP($C134,EmpAll,COLUMN(Emp!$R$4)+MATCH(O$5,DedListItem,0)-1,0),OFFSET(Setup!$E$73,MATCH(O$5,DedListItem,0),0,1,1))*$AA134)-SUMIFS(OFFSET(O$6,1,0,PayCount,1),PayDate,"&lt;"&amp;$AC134,PayEmp,$C134),IF(ISNA(MATCH(O$2,EarnListItem,0))=FALSE,IF(OFFSET(Setup!$G$73,MATCH(O$5,DedListItem,0),0,1,1)="Taxable",SUMPRODUCT((PayEmp=$C134)*(PayDate&lt;=$AC134)*(PayEarnCode=O$2)*(PayEarnTax)*(PayEarnValues)),SUMPRODUCT((PayEmp=$C134)*(PayDate&lt;=$AC134)*(PayEarnCode=O$2)*(PayEarnValues)))*IF(COUNTIFS(EmpNo,$C134,OFFSET(Emp!$R$4,1,MATCH(O$5,DedListItem,0)-1,EmpCount,1),"&lt;&gt;")&gt;0,VLOOKUP($C134,EmpAll,COLUMN(Emp!$R$4)+MATCH(O$5,DedListItem,0)-1,0),OFFSET(Setup!$E$73,MATCH(O$5,DedListItem,0),0,1,1)),(MIN(IF(OFFSET(Setup!$G$73,MATCH(O$5,DedListItem,0),0,1,1)="Taxable",SUMPRODUCT((PayEmp=$C134)*(PayDate&lt;=$AC134)*(ISERROR(SEARCH(PayEarnCode,O$4)))*(PayEarnTax)*(PayEarnValues)),SUMPRODUCT((PayEmp=$C134)*(PayDate&lt;=$AC134)*(ISERROR(SEARCH(PayEarnCode,O$4)))*(PayEarnValues))),IF(ISNUMBER(O$3),O$3/12*$AA134,IgnoreMin)))*IF(COUNTIFS(EmpNo,$C134,OFFSET(Emp!$R$4,1,MATCH(O$5,DedListItem,0)-1,EmpCount,1),"&lt;&gt;")&gt;0,VLOOKUP($C134,EmpAll,COLUMN(Emp!$R$4)+MATCH(O$5,DedListItem,0)-1,0),OFFSET(Setup!$E$73,MATCH(O$5,DedListItem,0),0,1,1)))-SUMIFS(OFFSET(O$6,1,0,PayCount,1),PayDate,"&lt;"&amp;$AC134,PayEmp,$C134))))))</f>
        <v>0</v>
      </c>
      <c r="P134" s="133" cm="1">
        <f t="array" aca="1" ref="P134" ca="1">IF($F134="Terminated",0,IF($AA134=0,0,IF(ISNA(MATCH(P$5,DedListItem,0)),0,IF(COUNTIFS(OverEmp,$C134,OverDeduct,P$5,OverDate,"&lt;"&amp;DATE(YEAR($AC134),MONTH($AC134)+1,1),OverEnd,"&gt;="&amp;DATE(YEAR($AC134),MONTH($AC134),1))&gt;0,SUMIFS(OverValue,OverEmp,$C134,OverDeduct,P$5,OverDate,"&lt;"&amp;DATE(YEAR($AC134),MONTH($AC134)+1,1),OverEnd,"&gt;="&amp;DATE(YEAR($AC134),MONTH($AC134),1)),IF(OR(P$2="Fixed",P$2="Not Used"),(IF(COUNTIFS(EmpNo,$C134,OFFSET(Emp!$R$4,1,MATCH(P$5,DedListItem,0)-1,EmpCount,1),"&lt;&gt;")&gt;0,VLOOKUP($C134,EmpAll,COLUMN(Emp!$R$4)+MATCH(P$5,DedListItem,0)-1,0),OFFSET(Setup!$E$73,MATCH(P$5,DedListItem,0),0,1,1))*$AA134)-SUMIFS(OFFSET(P$6,1,0,PayCount,1),PayDate,"&lt;"&amp;$AC134,PayEmp,$C134),IF(ISNA(MATCH(P$2,EarnListItem,0))=FALSE,IF(OFFSET(Setup!$G$73,MATCH(P$5,DedListItem,0),0,1,1)="Taxable",SUMPRODUCT((PayEmp=$C134)*(PayDate&lt;=$AC134)*(PayEarnCode=P$2)*(PayEarnTax)*(PayEarnValues)),SUMPRODUCT((PayEmp=$C134)*(PayDate&lt;=$AC134)*(PayEarnCode=P$2)*(PayEarnValues)))*IF(COUNTIFS(EmpNo,$C134,OFFSET(Emp!$R$4,1,MATCH(P$5,DedListItem,0)-1,EmpCount,1),"&lt;&gt;")&gt;0,VLOOKUP($C134,EmpAll,COLUMN(Emp!$R$4)+MATCH(P$5,DedListItem,0)-1,0),OFFSET(Setup!$E$73,MATCH(P$5,DedListItem,0),0,1,1)),(MIN(IF(OFFSET(Setup!$G$73,MATCH(P$5,DedListItem,0),0,1,1)="Taxable",SUMPRODUCT((PayEmp=$C134)*(PayDate&lt;=$AC134)*(ISERROR(SEARCH(PayEarnCode,P$4)))*(PayEarnTax)*(PayEarnValues)),SUMPRODUCT((PayEmp=$C134)*(PayDate&lt;=$AC134)*(ISERROR(SEARCH(PayEarnCode,P$4)))*(PayEarnValues))),IF(ISNUMBER(P$3),P$3/12*$AA134,IgnoreMin)))*IF(COUNTIFS(EmpNo,$C134,OFFSET(Emp!$R$4,1,MATCH(P$5,DedListItem,0)-1,EmpCount,1),"&lt;&gt;")&gt;0,VLOOKUP($C134,EmpAll,COLUMN(Emp!$R$4)+MATCH(P$5,DedListItem,0)-1,0),OFFSET(Setup!$E$73,MATCH(P$5,DedListItem,0),0,1,1)))-SUMIFS(OFFSET(P$6,1,0,PayCount,1),PayDate,"&lt;"&amp;$AC134,PayEmp,$C134))))))</f>
        <v>0</v>
      </c>
      <c r="Q134" s="133" cm="1">
        <f t="array" aca="1" ref="Q134" ca="1">IF($F134="Terminated",0,IF($AA134=0,0,IF(ISNA(MATCH(Q$5,DedListItem,0)),0,IF(COUNTIFS(OverEmp,$C134,OverDeduct,Q$5,OverDate,"&lt;"&amp;DATE(YEAR($AC134),MONTH($AC134)+1,1),OverEnd,"&gt;="&amp;DATE(YEAR($AC134),MONTH($AC134),1))&gt;0,SUMIFS(OverValue,OverEmp,$C134,OverDeduct,Q$5,OverDate,"&lt;"&amp;DATE(YEAR($AC134),MONTH($AC134)+1,1),OverEnd,"&gt;="&amp;DATE(YEAR($AC134),MONTH($AC134),1)),IF(OR(Q$2="Fixed",Q$2="Not Used"),(IF(COUNTIFS(EmpNo,$C134,OFFSET(Emp!$R$4,1,MATCH(Q$5,DedListItem,0)-1,EmpCount,1),"&lt;&gt;")&gt;0,VLOOKUP($C134,EmpAll,COLUMN(Emp!$R$4)+MATCH(Q$5,DedListItem,0)-1,0),OFFSET(Setup!$E$73,MATCH(Q$5,DedListItem,0),0,1,1))*$AA134)-SUMIFS(OFFSET(Q$6,1,0,PayCount,1),PayDate,"&lt;"&amp;$AC134,PayEmp,$C134),IF(ISNA(MATCH(Q$2,EarnListItem,0))=FALSE,IF(OFFSET(Setup!$G$73,MATCH(Q$5,DedListItem,0),0,1,1)="Taxable",SUMPRODUCT((PayEmp=$C134)*(PayDate&lt;=$AC134)*(PayEarnCode=Q$2)*(PayEarnTax)*(PayEarnValues)),SUMPRODUCT((PayEmp=$C134)*(PayDate&lt;=$AC134)*(PayEarnCode=Q$2)*(PayEarnValues)))*IF(COUNTIFS(EmpNo,$C134,OFFSET(Emp!$R$4,1,MATCH(Q$5,DedListItem,0)-1,EmpCount,1),"&lt;&gt;")&gt;0,VLOOKUP($C134,EmpAll,COLUMN(Emp!$R$4)+MATCH(Q$5,DedListItem,0)-1,0),OFFSET(Setup!$E$73,MATCH(Q$5,DedListItem,0),0,1,1)),(MIN(IF(OFFSET(Setup!$G$73,MATCH(Q$5,DedListItem,0),0,1,1)="Taxable",SUMPRODUCT((PayEmp=$C134)*(PayDate&lt;=$AC134)*(ISERROR(SEARCH(PayEarnCode,Q$4)))*(PayEarnTax)*(PayEarnValues)),SUMPRODUCT((PayEmp=$C134)*(PayDate&lt;=$AC134)*(ISERROR(SEARCH(PayEarnCode,Q$4)))*(PayEarnValues))),IF(ISNUMBER(Q$3),Q$3/12*$AA134,IgnoreMin)))*IF(COUNTIFS(EmpNo,$C134,OFFSET(Emp!$R$4,1,MATCH(Q$5,DedListItem,0)-1,EmpCount,1),"&lt;&gt;")&gt;0,VLOOKUP($C134,EmpAll,COLUMN(Emp!$R$4)+MATCH(Q$5,DedListItem,0)-1,0),OFFSET(Setup!$E$73,MATCH(Q$5,DedListItem,0),0,1,1)))-SUMIFS(OFFSET(Q$6,1,0,PayCount,1),PayDate,"&lt;"&amp;$AC134,PayEmp,$C134))))))</f>
        <v>0</v>
      </c>
      <c r="R134" s="185">
        <f t="shared" ca="1" si="55"/>
        <v>273.75</v>
      </c>
      <c r="S134" s="139">
        <f t="shared" ca="1" si="56"/>
        <v>8726.25</v>
      </c>
      <c r="T134" s="133" cm="1">
        <f t="array" aca="1" ref="T134" ca="1">IF($F134="Terminated",0,IF($AA134=0,0,IF(ISNA(MATCH(T$5,CompListItem,0)),0,IF(COUNTIFS(OverEmp,$C134,OverComp,T$5,OverDate,"&lt;"&amp;DATE(YEAR($AC134),MONTH($AC134)+1,1),OverEnd,"&gt;="&amp;DATE(YEAR($AC134),MONTH($AC134),1))&gt;0,SUMIFS(OverValue,OverEmp,$C134,OverComp,T$5,OverDate,"&lt;"&amp;DATE(YEAR($AC134),MONTH($AC134)+1,1),OverEnd,"&gt;="&amp;DATE(YEAR($AC134),MONTH($AC134),1)),IF(OR(T$2="Fixed",T$2="Not Used"),(OFFSET(Setup!$E$81,MATCH(T$5,CompListItem,0),0,1,1)*$AA134)-SUMIFS(OFFSET(T$6,1,0,PayCount,1),PayDate,"&lt;"&amp;$AC134,PayEmp,$C134),IF(ISNA(MATCH(T$2,DedListItem,0))=FALSE,(SUMPRODUCT((PayEmp=$C134)*(PayDate&lt;=$AC134)*(PayDedList=T$2)*(PayDedValues))*OFFSET(Setup!$E$81,MATCH(T$5,CompListItem,0),0,1,1))-SUMIFS(OFFSET(T$6,1,0,PayCount,1),PayDate,"&lt;"&amp;$AC134,PayEmp,$C134),(MIN(IF(OFFSET(Setup!$G$81,MATCH(T$5,CompListItem,0),0,1,1)="Taxable",SUMPRODUCT((PayEmp=$C134)*(PayDate&lt;=$AC134)*(ISERROR(SEARCH(PayEarnCode,T$4)))*(PayEarnTax)*(PayEarnValues)),SUMPRODUCT((PayEmp=$C134)*(PayDate&lt;=$AC134)*(ISERROR(SEARCH(PayEarnCode,T$4)))*(PayEarnValues))),IF(ISNUMBER(T$3),T$3/12*$AA134,IgnoreMin)))*OFFSET(Setup!$E$81,MATCH(T$5,CompListItem,0),0,1,1)-SUMIFS(OFFSET(T$6,1,0,PayCount,1),PayDate,"&lt;"&amp;$AC134,PayEmp,$C134)))))))</f>
        <v>90</v>
      </c>
      <c r="U134" s="133" cm="1">
        <f t="array" aca="1" ref="U134" ca="1">IF($F134="Terminated",0,IF($AA134=0,0,IF(ISNA(MATCH(U$5,CompListItem,0)),0,IF(COUNTIFS(OverEmp,$C134,OverComp,U$5,OverDate,"&lt;"&amp;DATE(YEAR($AC134),MONTH($AC134)+1,1),OverEnd,"&gt;="&amp;DATE(YEAR($AC134),MONTH($AC134),1))&gt;0,SUMIFS(OverValue,OverEmp,$C134,OverComp,U$5,OverDate,"&lt;"&amp;DATE(YEAR($AC134),MONTH($AC134)+1,1),OverEnd,"&gt;="&amp;DATE(YEAR($AC134),MONTH($AC134),1)),IF(OR(U$2="Fixed",U$2="Not Used"),(OFFSET(Setup!$E$81,MATCH(U$5,CompListItem,0),0,1,1)*$AA134)-SUMIFS(OFFSET(U$6,1,0,PayCount,1),PayDate,"&lt;"&amp;$AC134,PayEmp,$C134),IF(ISNA(MATCH(U$2,DedListItem,0))=FALSE,(SUMPRODUCT((PayEmp=$C134)*(PayDate&lt;=$AC134)*(PayDedList=U$2)*(PayDedValues))*OFFSET(Setup!$E$81,MATCH(U$5,CompListItem,0),0,1,1))-SUMIFS(OFFSET(U$6,1,0,PayCount,1),PayDate,"&lt;"&amp;$AC134,PayEmp,$C134),(MIN(IF(OFFSET(Setup!$G$81,MATCH(U$5,CompListItem,0),0,1,1)="Taxable",SUMPRODUCT((PayEmp=$C134)*(PayDate&lt;=$AC134)*(ISERROR(SEARCH(PayEarnCode,U$4)))*(PayEarnTax)*(PayEarnValues)),SUMPRODUCT((PayEmp=$C134)*(PayDate&lt;=$AC134)*(ISERROR(SEARCH(PayEarnCode,U$4)))*(PayEarnValues))),IF(ISNUMBER(U$3),U$3/12*$AA134,IgnoreMin)))*OFFSET(Setup!$E$81,MATCH(U$5,CompListItem,0),0,1,1)-SUMIFS(OFFSET(U$6,1,0,PayCount,1),PayDate,"&lt;"&amp;$AC134,PayEmp,$C134)))))))</f>
        <v>90</v>
      </c>
      <c r="V134" s="133" cm="1">
        <f t="array" aca="1" ref="V134" ca="1">IF($F134="Terminated",0,IF($AA134=0,0,IF(ISNA(MATCH(V$5,CompListItem,0)),0,IF(COUNTIFS(OverEmp,$C134,OverComp,V$5,OverDate,"&lt;"&amp;DATE(YEAR($AC134),MONTH($AC134)+1,1),OverEnd,"&gt;="&amp;DATE(YEAR($AC134),MONTH($AC134),1))&gt;0,SUMIFS(OverValue,OverEmp,$C134,OverComp,V$5,OverDate,"&lt;"&amp;DATE(YEAR($AC134),MONTH($AC134)+1,1),OverEnd,"&gt;="&amp;DATE(YEAR($AC134),MONTH($AC134),1)),IF(OR(V$2="Fixed",V$2="Not Used"),(OFFSET(Setup!$E$81,MATCH(V$5,CompListItem,0),0,1,1)*$AA134)-SUMIFS(OFFSET(V$6,1,0,PayCount,1),PayDate,"&lt;"&amp;$AC134,PayEmp,$C134),IF(ISNA(MATCH(V$2,DedListItem,0))=FALSE,(SUMPRODUCT((PayEmp=$C134)*(PayDate&lt;=$AC134)*(PayDedList=V$2)*(PayDedValues))*OFFSET(Setup!$E$81,MATCH(V$5,CompListItem,0),0,1,1))-SUMIFS(OFFSET(V$6,1,0,PayCount,1),PayDate,"&lt;"&amp;$AC134,PayEmp,$C134),(MIN(IF(OFFSET(Setup!$G$81,MATCH(V$5,CompListItem,0),0,1,1)="Taxable",SUMPRODUCT((PayEmp=$C134)*(PayDate&lt;=$AC134)*(ISERROR(SEARCH(PayEarnCode,V$4)))*(PayEarnTax)*(PayEarnValues)),SUMPRODUCT((PayEmp=$C134)*(PayDate&lt;=$AC134)*(ISERROR(SEARCH(PayEarnCode,V$4)))*(PayEarnValues))),IF(ISNUMBER(V$3),V$3/12*$AA134,IgnoreMin)))*OFFSET(Setup!$E$81,MATCH(V$5,CompListItem,0),0,1,1)-SUMIFS(OFFSET(V$6,1,0,PayCount,1),PayDate,"&lt;"&amp;$AC134,PayEmp,$C134)))))))</f>
        <v>0</v>
      </c>
      <c r="W134" s="133" cm="1">
        <f t="array" aca="1" ref="W134" ca="1">IF($F134="Terminated",0,IF($AA134=0,0,IF(ISNA(MATCH(W$5,CompListItem,0)),0,IF(COUNTIFS(OverEmp,$C134,OverComp,W$5,OverDate,"&lt;"&amp;DATE(YEAR($AC134),MONTH($AC134)+1,1),OverEnd,"&gt;="&amp;DATE(YEAR($AC134),MONTH($AC134),1))&gt;0,SUMIFS(OverValue,OverEmp,$C134,OverComp,W$5,OverDate,"&lt;"&amp;DATE(YEAR($AC134),MONTH($AC134)+1,1),OverEnd,"&gt;="&amp;DATE(YEAR($AC134),MONTH($AC134),1)),IF(OR(W$2="Fixed",W$2="Not Used"),(OFFSET(Setup!$E$81,MATCH(W$5,CompListItem,0),0,1,1)*$AA134)-SUMIFS(OFFSET(W$6,1,0,PayCount,1),PayDate,"&lt;"&amp;$AC134,PayEmp,$C134),IF(ISNA(MATCH(W$2,DedListItem,0))=FALSE,(SUMPRODUCT((PayEmp=$C134)*(PayDate&lt;=$AC134)*(PayDedList=W$2)*(PayDedValues))*OFFSET(Setup!$E$81,MATCH(W$5,CompListItem,0),0,1,1))-SUMIFS(OFFSET(W$6,1,0,PayCount,1),PayDate,"&lt;"&amp;$AC134,PayEmp,$C134),(MIN(IF(OFFSET(Setup!$G$81,MATCH(W$5,CompListItem,0),0,1,1)="Taxable",SUMPRODUCT((PayEmp=$C134)*(PayDate&lt;=$AC134)*(ISERROR(SEARCH(PayEarnCode,W$4)))*(PayEarnTax)*(PayEarnValues)),SUMPRODUCT((PayEmp=$C134)*(PayDate&lt;=$AC134)*(ISERROR(SEARCH(PayEarnCode,W$4)))*(PayEarnValues))),IF(ISNUMBER(W$3),W$3/12*$AA134,IgnoreMin)))*OFFSET(Setup!$E$81,MATCH(W$5,CompListItem,0),0,1,1)-SUMIFS(OFFSET(W$6,1,0,PayCount,1),PayDate,"&lt;"&amp;$AC134,PayEmp,$C134)))))))</f>
        <v>0</v>
      </c>
      <c r="X134" s="185">
        <f t="shared" ca="1" si="60"/>
        <v>180</v>
      </c>
      <c r="Y134" s="139">
        <f t="shared" ca="1" si="57"/>
        <v>9180</v>
      </c>
      <c r="Z134" s="139">
        <f t="shared" ca="1" si="61"/>
        <v>453.75</v>
      </c>
      <c r="AA134" s="146">
        <f ca="1">IF(OR($B134&lt;=Setup!$E$12,$B134&gt;=Setup!$D$12+1),0,IF($F134&lt;&gt;"Active",0,IF($AE134="Yes",$AB134,((YEAR($AC134)*12)+MONTH($AC134))-((YEAR($AD134)*12)+MONTH($AD134)-1))))</f>
        <v>9</v>
      </c>
      <c r="AB134" s="146">
        <f ca="1">IF(OR($B134&lt;=Setup!$E$12,$B134&gt;=Setup!$D$12+1),0,((YEAR($AC134)*12)+MONTH($AC134))-((YEAR(Setup!$E$12)*12)+MONTH(Setup!$E$12)))</f>
        <v>9</v>
      </c>
      <c r="AC134" s="186">
        <f t="shared" ca="1" si="62"/>
        <v>45255</v>
      </c>
      <c r="AD134" s="144">
        <f ca="1">IF(ISNA(VLOOKUP($C134,EmpAll,COLUMN(Emp!$E$4),0)),$AC134,IF(VLOOKUP($C134,EmpAll,COLUMN(Emp!$E$4),0)&lt;=Setup!$E$12,DATE(YEAR(Setup!$E$12),MONTH(Setup!$E$12)+1,1),VLOOKUP($C134,EmpAll,COLUMN(Emp!$E$4),0)))</f>
        <v>44986</v>
      </c>
      <c r="AE134" s="144" t="str">
        <f ca="1">IF(ISNA(VLOOKUP($C134,EmpAll,COLUMN(Emp!$G$1),0)),"-",IF(VLOOKUP($C134,EmpAll,COLUMN(Emp!$G$1),0)=0,"-",VLOOKUP($C134,EmpAll,COLUMN(Emp!$G$1),0)))</f>
        <v>-</v>
      </c>
      <c r="AF134" s="145">
        <f ca="1">IF(A134=PaySlip!$G$3,1,0)</f>
        <v>0</v>
      </c>
      <c r="AG134" s="130" cm="1">
        <f t="array" aca="1" ref="AG134" ca="1">IF(COUNTIFS(OverEmp,$C134,OverMed,"MED",OverDate,"&lt;"&amp;DATE(YEAR($AC134),MONTH($AC134)+1,1),OverEnd,"&gt;="&amp;DATE(YEAR($AC134),MONTH($AC134),1))&gt;0,SUMIFS(OverValue,OverEmp,$C134,OverMed,"MED",OverDate,"&lt;"&amp;DATE(YEAR($AC134),MONTH($AC134)+1,1),OverEnd,"&gt;="&amp;DATE(YEAR($AC134),MONTH($AC134),1)),IF(ISNA(VLOOKUP($C134,EmpAll,COLUMN(Emp!$N$4),0)),0,VLOOKUP($C134,EmpAll,COLUMN(Emp!$N$4),0)))</f>
        <v>0</v>
      </c>
      <c r="AH134" s="146">
        <f ca="1">VLOOKUP($AG134,MedList,COLUMN(Setup!$C$49),1)</f>
        <v>0</v>
      </c>
      <c r="AI134" s="146">
        <f t="shared" ca="1" si="40"/>
        <v>0</v>
      </c>
      <c r="AJ134" s="101" t="str">
        <f ca="1">IF(ISNA(VLOOKUP($C134,EmpAll,COLUMN(Emp!$L$4),0)),"None!",VLOOKUP($C134,EmpAll,COLUMN(Emp!$L$4),0))</f>
        <v>A</v>
      </c>
      <c r="AK134" s="147">
        <f t="shared" ca="1" si="63"/>
        <v>17235</v>
      </c>
      <c r="AL134" s="101" t="str">
        <f ca="1">IF(ISNA(VLOOKUP($C134,Employees[],COLUMN(Emp!$M$4),0))=TRUE,"Error!",IF(VLOOKUP($C134,Employees[],COLUMN(Emp!$M$4),0)=0,"Yes",VLOOKUP($C134,Employees[],COLUMN(Emp!$M$4),0)))</f>
        <v>A</v>
      </c>
      <c r="AM134" s="148">
        <f t="shared" ca="1" si="41"/>
        <v>108000</v>
      </c>
      <c r="AN134" s="148" cm="1">
        <f t="array" aca="1" ref="AN134" ca="1">-IF($F134="Terminated",0,IF($AA134=0,0,IF(ISNA(MATCH(AN$5,PayDedList,0)),0,MIN(IF(COUNTIFS(OverEmp,$C134,OverDeduct,AN$5,OverDate,"&lt;"&amp;DATE(YEAR($AC134),MONTH($AC134)+1,1),OverEnd,"&gt;="&amp;DATE(YEAR($AC134),MONTH($AC134),1))&gt;0,SUMPRODUCT((PayEmp=$C134)*(PayDate&lt;=$AC134)*(OFFSET($N$6,1,MATCH(AN$5,PayDedList,0)-1,PayCount,1)))/$AA134*12*AN$3,IF(OR(AN$1="Fixed",AN$1="Not Used"),SUMPRODUCT((PayEmp=$C134)*(PayDate&lt;=$AC134)*(OFFSET($N$6,1,MATCH(AN$5,PayDedList,0)-1,PayCount,1)))/$AA134*12*AN$3,IF(ISNA(MATCH(AN$1,EarnListItem,0))=FALSE,SUMPRODUCT((PayEmp=$C134)*(PayDate&lt;=$AC134)*(OFFSET($N$6,1,MATCH(AN$5,PayDedList,0)-1,PayCount,1)))/$AA134*12*AN$3,(MIN(((SUMPRODUCT((PayEmp=$C134)*(PayDate&lt;=$AC134)*(ISERROR(SEARCH(PayEarnCode,AN$2)))*(PayEarnType="Monthly")*(PayEarnValues))/$AA134*12)+(SUMPRODUCT((PayEmp=$C134)*(PayDate&lt;=$AC134)*(ISERROR(SEARCH(PayEarnCode,AN$2)))*(PayEarnType="Quarterly")*(PayEarnValues))/MAX(1,ROUNDDOWN($AB134/3,0))*4)+(SUMPRODUCT((PayEmp=$C134)*(PayDate&lt;=$AC134)*(ISERROR(SEARCH(PayEarnCode,AN$2)))*(PayEarnType="Bi-Annual")*(PayEarnValues))/MAX(1,ROUNDDOWN($AB134/6,0))*2)+(SUMPRODUCT((PayEmp=$C134)*(PayDate&lt;=$AC134)*(ISERROR(SEARCH(PayEarnCode,AN$2)))*(PayEarnType="Annual")*(PayEarnValues)))),IF(ISNUMBER(OFFSET($N$3,0,MATCH(AN$5,PayDedList,0)-1,1,1)),OFFSET($N$3,0,MATCH(AN$5,PayDedList,0)-1,1,1),IgnoreMin)))*IF(COUNTIFS(EmpNo,$C134,OFFSET(Emp!$R$4,1,MATCH(AN$5,DedListItem,0)-1,EmpCount,1),"&lt;&gt;")&gt;0,VLOOKUP($C134,EmpAll,COLUMN(Emp!$R$4)+MATCH(AN$5,DedListItem,0)-1,0),OFFSET(Setup!$E$73,MATCH(AN$5,DedListItem,0),0,1,1))*AN$3))),IF(ISNUMBER(AN$4),AN$4,IgnoreMin)))))</f>
        <v>0</v>
      </c>
      <c r="AO134" s="148" cm="1">
        <f t="array" aca="1" ref="AO134" ca="1">-IF($F134="Terminated",0,IF($AA134=0,0,IF(ISNA(MATCH(AO$5,PayDedList,0)),0,MIN(IF(COUNTIFS(OverEmp,$C134,OverDeduct,AO$5,OverDate,"&lt;"&amp;DATE(YEAR($AC134),MONTH($AC134)+1,1),OverEnd,"&gt;="&amp;DATE(YEAR($AC134),MONTH($AC134),1))&gt;0,SUMPRODUCT((PayEmp=$C134)*(PayDate&lt;=$AC134)*(OFFSET($N$6,1,MATCH(AO$5,PayDedList,0)-1,PayCount,1)))/$AA134*12*AO$3,IF(OR(AO$1="Fixed",AO$1="Not Used"),SUMPRODUCT((PayEmp=$C134)*(PayDate&lt;=$AC134)*(OFFSET($N$6,1,MATCH(AO$5,PayDedList,0)-1,PayCount,1)))/$AA134*12*AO$3,IF(ISNA(MATCH(AO$1,EarnListItem,0))=FALSE,SUMPRODUCT((PayEmp=$C134)*(PayDate&lt;=$AC134)*(OFFSET($N$6,1,MATCH(AO$5,PayDedList,0)-1,PayCount,1)))/$AA134*12*AO$3,(MIN(((SUMPRODUCT((PayEmp=$C134)*(PayDate&lt;=$AC134)*(ISERROR(SEARCH(PayEarnCode,AO$2)))*(PayEarnType="Monthly")*(PayEarnValues))/$AA134*12)+(SUMPRODUCT((PayEmp=$C134)*(PayDate&lt;=$AC134)*(ISERROR(SEARCH(PayEarnCode,AO$2)))*(PayEarnType="Quarterly")*(PayEarnValues))/MAX(1,ROUNDDOWN($AB134/3,0))*4)+(SUMPRODUCT((PayEmp=$C134)*(PayDate&lt;=$AC134)*(ISERROR(SEARCH(PayEarnCode,AO$2)))*(PayEarnType="Bi-Annual")*(PayEarnValues))/MAX(1,ROUNDDOWN($AB134/6,0))*2)+(SUMPRODUCT((PayEmp=$C134)*(PayDate&lt;=$AC134)*(ISERROR(SEARCH(PayEarnCode,AO$2)))*(PayEarnType="Annual")*(PayEarnValues)))),IF(ISNUMBER(OFFSET($N$3,0,MATCH(AO$5,PayDedList,0)-1,1,1)),OFFSET($N$3,0,MATCH(AO$5,PayDedList,0)-1,1,1),IgnoreMin)))*IF(COUNTIFS(EmpNo,$C134,OFFSET(Emp!$R$4,1,MATCH(AO$5,DedListItem,0)-1,EmpCount,1),"&lt;&gt;")&gt;0,VLOOKUP($C134,EmpAll,COLUMN(Emp!$R$4)+MATCH(AO$5,DedListItem,0)-1,0),OFFSET(Setup!$E$73,MATCH(AO$5,DedListItem,0),0,1,1))*AO$3))),IF(ISNUMBER(AO$4),AO$4,IgnoreMin)))))</f>
        <v>0</v>
      </c>
      <c r="AP134" s="148" cm="1">
        <f t="array" aca="1" ref="AP134" ca="1">-IF($F134="Terminated",0,IF($AA134=0,0,IF(ISNA(MATCH(AP$5,PayDedList,0)),0,MIN(IF(COUNTIFS(OverEmp,$C134,OverDeduct,AP$5,OverDate,"&lt;"&amp;DATE(YEAR($AC134),MONTH($AC134)+1,1),OverEnd,"&gt;="&amp;DATE(YEAR($AC134),MONTH($AC134),1))&gt;0,SUMPRODUCT((PayEmp=$C134)*(PayDate&lt;=$AC134)*(OFFSET($N$6,1,MATCH(AP$5,PayDedList,0)-1,PayCount,1)))/$AA134*12*AP$3,IF(OR(AP$1="Fixed",AP$1="Not Used"),SUMPRODUCT((PayEmp=$C134)*(PayDate&lt;=$AC134)*(OFFSET($N$6,1,MATCH(AP$5,PayDedList,0)-1,PayCount,1)))/$AA134*12*AP$3,IF(ISNA(MATCH(AP$1,EarnListItem,0))=FALSE,SUMPRODUCT((PayEmp=$C134)*(PayDate&lt;=$AC134)*(OFFSET($N$6,1,MATCH(AP$5,PayDedList,0)-1,PayCount,1)))/$AA134*12*AP$3,(MIN(((SUMPRODUCT((PayEmp=$C134)*(PayDate&lt;=$AC134)*(ISERROR(SEARCH(PayEarnCode,AP$2)))*(PayEarnType="Monthly")*(PayEarnValues))/$AA134*12)+(SUMPRODUCT((PayEmp=$C134)*(PayDate&lt;=$AC134)*(ISERROR(SEARCH(PayEarnCode,AP$2)))*(PayEarnType="Quarterly")*(PayEarnValues))/MAX(1,ROUNDDOWN($AB134/3,0))*4)+(SUMPRODUCT((PayEmp=$C134)*(PayDate&lt;=$AC134)*(ISERROR(SEARCH(PayEarnCode,AP$2)))*(PayEarnType="Bi-Annual")*(PayEarnValues))/MAX(1,ROUNDDOWN($AB134/6,0))*2)+(SUMPRODUCT((PayEmp=$C134)*(PayDate&lt;=$AC134)*(ISERROR(SEARCH(PayEarnCode,AP$2)))*(PayEarnType="Annual")*(PayEarnValues)))),IF(ISNUMBER(OFFSET($N$3,0,MATCH(AP$5,PayDedList,0)-1,1,1)),OFFSET($N$3,0,MATCH(AP$5,PayDedList,0)-1,1,1),IgnoreMin)))*IF(COUNTIFS(EmpNo,$C134,OFFSET(Emp!$R$4,1,MATCH(AP$5,DedListItem,0)-1,EmpCount,1),"&lt;&gt;")&gt;0,VLOOKUP($C134,EmpAll,COLUMN(Emp!$R$4)+MATCH(AP$5,DedListItem,0)-1,0),OFFSET(Setup!$E$73,MATCH(AP$5,DedListItem,0),0,1,1))*AP$3))),IF(ISNUMBER(AP$4),AP$4,IgnoreMin)))))</f>
        <v>0</v>
      </c>
      <c r="AQ134" s="148" cm="1">
        <f t="array" aca="1" ref="AQ134" ca="1">-IF($F134="Terminated",0,IF($AA134=0,0,IF(ISNA(MATCH(AQ$5,PayDedList,0)),0,MIN(IF(COUNTIFS(OverEmp,$C134,OverDeduct,AQ$5,OverDate,"&lt;"&amp;DATE(YEAR($AC134),MONTH($AC134)+1,1),OverEnd,"&gt;="&amp;DATE(YEAR($AC134),MONTH($AC134),1))&gt;0,SUMPRODUCT((PayEmp=$C134)*(PayDate&lt;=$AC134)*(OFFSET($N$6,1,MATCH(AQ$5,PayDedList,0)-1,PayCount,1)))/$AA134*12*AQ$3,IF(OR(AQ$1="Fixed",AQ$1="Not Used"),SUMPRODUCT((PayEmp=$C134)*(PayDate&lt;=$AC134)*(OFFSET($N$6,1,MATCH(AQ$5,PayDedList,0)-1,PayCount,1)))/$AA134*12*AQ$3,IF(ISNA(MATCH(AQ$1,EarnListItem,0))=FALSE,SUMPRODUCT((PayEmp=$C134)*(PayDate&lt;=$AC134)*(OFFSET($N$6,1,MATCH(AQ$5,PayDedList,0)-1,PayCount,1)))/$AA134*12*AQ$3,(MIN(((SUMPRODUCT((PayEmp=$C134)*(PayDate&lt;=$AC134)*(ISERROR(SEARCH(PayEarnCode,AQ$2)))*(PayEarnType="Monthly")*(PayEarnValues))/$AA134*12)+(SUMPRODUCT((PayEmp=$C134)*(PayDate&lt;=$AC134)*(ISERROR(SEARCH(PayEarnCode,AQ$2)))*(PayEarnType="Quarterly")*(PayEarnValues))/MAX(1,ROUNDDOWN($AB134/3,0))*4)+(SUMPRODUCT((PayEmp=$C134)*(PayDate&lt;=$AC134)*(ISERROR(SEARCH(PayEarnCode,AQ$2)))*(PayEarnType="Bi-Annual")*(PayEarnValues))/MAX(1,ROUNDDOWN($AB134/6,0))*2)+(SUMPRODUCT((PayEmp=$C134)*(PayDate&lt;=$AC134)*(ISERROR(SEARCH(PayEarnCode,AQ$2)))*(PayEarnType="Annual")*(PayEarnValues)))),IF(ISNUMBER(OFFSET($N$3,0,MATCH(AQ$5,PayDedList,0)-1,1,1)),OFFSET($N$3,0,MATCH(AQ$5,PayDedList,0)-1,1,1),IgnoreMin)))*IF(COUNTIFS(EmpNo,$C134,OFFSET(Emp!$R$4,1,MATCH(AQ$5,DedListItem,0)-1,EmpCount,1),"&lt;&gt;")&gt;0,VLOOKUP($C134,EmpAll,COLUMN(Emp!$R$4)+MATCH(AQ$5,DedListItem,0)-1,0),OFFSET(Setup!$E$73,MATCH(AQ$5,DedListItem,0),0,1,1))*AQ$3))),IF(ISNUMBER(AQ$4),AQ$4,IgnoreMin)))))</f>
        <v>0</v>
      </c>
      <c r="AR134" s="148">
        <f t="shared" ca="1" si="64"/>
        <v>108000</v>
      </c>
      <c r="AS134" s="148">
        <f t="shared" ca="1" si="42"/>
        <v>108000</v>
      </c>
      <c r="AT134" s="148" cm="1">
        <f t="array" aca="1" ref="AT134" ca="1">-IF($F134="Terminated",0,IF($AA134=0,0,IF(ISNA(MATCH(AT$5,PayDedList,0)),0,MIN(IF(COUNTIFS(OverEmp,$C134,OverDeduct,AT$5,OverDate,"&lt;"&amp;DATE(YEAR($AC134),MONTH($AC134)+1,1),OverEnd,"&gt;="&amp;DATE(YEAR($AC134),MONTH($AC134),1))&gt;0,SUMPRODUCT((PayEmp=$C134)*(PayDate&lt;=$AC134)*(OFFSET($N$6,1,MATCH(AT$5,PayDedList,0)-1,PayCount,1)))/$AA134*12*AT$3,IF(OR(AT$1="Fixed",AT$1="Not Used"),SUMPRODUCT((PayEmp=$C134)*(PayDate&lt;=$AC134)*(OFFSET($N$6,1,MATCH(AT$5,PayDedList,0)-1,PayCount,1)))/$AA134*12*AT$3,IF(ISNA(MATCH(OFFSET($N$2,0,MATCH(AT$5,PayDedList,0)-1,1,1),EarnListItem,0))=FALSE,SUMPRODUCT((PayEmp=$C134)*(PayDate&lt;=$AC134)*(OFFSET($N$6,1,MATCH(AT$5,PayDedList,0)-1,PayCount,1)))/$AA134*12*AT$3,(MIN(SUMPRODUCT((PayEmp=$C134)*(PayDate&lt;=$AC134)*(ISERROR(SEARCH(PayEarnCode,AT$2)))*(PayEarnType="Monthly")*(PayEarnValues))/$AA134*12,IF(ISNUMBER(OFFSET($N$3,0,MATCH(AT$5,PayDedList,0)-1,1,1)),OFFSET($N$3,0,MATCH(AT$5,PayDedList,0)-1,1,1),IgnoreMin)))*IF(COUNTIFS(EmpNo,$C134,OFFSET(Emp!$R$4,1,MATCH(AT$5,DedListItem,0)-1,EmpCount,1),"&lt;&gt;")&gt;0,VLOOKUP($C134,EmpAll,COLUMN(Emp!$R$4)+MATCH(AT$5,DedListItem,0)-1,0),OFFSET(Setup!$E$73,MATCH(AT$5,DedListItem,0),0,1,1))*AT$3))),IF(ISNUMBER(AT$4),AT$4,IgnoreMin)))))</f>
        <v>0</v>
      </c>
      <c r="AU134" s="148" cm="1">
        <f t="array" aca="1" ref="AU134" ca="1">-IF($F134="Terminated",0,IF($AA134=0,0,IF(ISNA(MATCH(AU$5,PayDedList,0)),0,MIN(IF(COUNTIFS(OverEmp,$C134,OverDeduct,AU$5,OverDate,"&lt;"&amp;DATE(YEAR($AC134),MONTH($AC134)+1,1),OverEnd,"&gt;="&amp;DATE(YEAR($AC134),MONTH($AC134),1))&gt;0,SUMPRODUCT((PayEmp=$C134)*(PayDate&lt;=$AC134)*(OFFSET($N$6,1,MATCH(AU$5,PayDedList,0)-1,PayCount,1)))/$AA134*12*AU$3,IF(OR(AU$1="Fixed",AU$1="Not Used"),SUMPRODUCT((PayEmp=$C134)*(PayDate&lt;=$AC134)*(OFFSET($N$6,1,MATCH(AU$5,PayDedList,0)-1,PayCount,1)))/$AA134*12*AU$3,IF(ISNA(MATCH(OFFSET($N$2,0,MATCH(AU$5,PayDedList,0)-1,1,1),EarnListItem,0))=FALSE,SUMPRODUCT((PayEmp=$C134)*(PayDate&lt;=$AC134)*(OFFSET($N$6,1,MATCH(AU$5,PayDedList,0)-1,PayCount,1)))/$AA134*12*AU$3,(MIN(SUMPRODUCT((PayEmp=$C134)*(PayDate&lt;=$AC134)*(ISERROR(SEARCH(PayEarnCode,AU$2)))*(PayEarnType="Monthly")*(PayEarnValues))/$AA134*12,IF(ISNUMBER(OFFSET($N$3,0,MATCH(AU$5,PayDedList,0)-1,1,1)),OFFSET($N$3,0,MATCH(AU$5,PayDedList,0)-1,1,1),IgnoreMin)))*IF(COUNTIFS(EmpNo,$C134,OFFSET(Emp!$R$4,1,MATCH(AU$5,DedListItem,0)-1,EmpCount,1),"&lt;&gt;")&gt;0,VLOOKUP($C134,EmpAll,COLUMN(Emp!$R$4)+MATCH(AU$5,DedListItem,0)-1,0),OFFSET(Setup!$E$73,MATCH(AU$5,DedListItem,0),0,1,1))*AU$3))),IF(ISNUMBER(AU$4),AU$4,IgnoreMin)))))</f>
        <v>0</v>
      </c>
      <c r="AV134" s="148" cm="1">
        <f t="array" aca="1" ref="AV134" ca="1">-IF($F134="Terminated",0,IF($AA134=0,0,IF(ISNA(MATCH(AV$5,PayDedList,0)),0,MIN(IF(COUNTIFS(OverEmp,$C134,OverDeduct,AV$5,OverDate,"&lt;"&amp;DATE(YEAR($AC134),MONTH($AC134)+1,1),OverEnd,"&gt;="&amp;DATE(YEAR($AC134),MONTH($AC134),1))&gt;0,SUMPRODUCT((PayEmp=$C134)*(PayDate&lt;=$AC134)*(OFFSET($N$6,1,MATCH(AV$5,PayDedList,0)-1,PayCount,1)))/$AA134*12*AV$3,IF(OR(AV$1="Fixed",AV$1="Not Used"),SUMPRODUCT((PayEmp=$C134)*(PayDate&lt;=$AC134)*(OFFSET($N$6,1,MATCH(AV$5,PayDedList,0)-1,PayCount,1)))/$AA134*12*AV$3,IF(ISNA(MATCH(OFFSET($N$2,0,MATCH(AV$5,PayDedList,0)-1,1,1),EarnListItem,0))=FALSE,SUMPRODUCT((PayEmp=$C134)*(PayDate&lt;=$AC134)*(OFFSET($N$6,1,MATCH(AV$5,PayDedList,0)-1,PayCount,1)))/$AA134*12*AV$3,(MIN(SUMPRODUCT((PayEmp=$C134)*(PayDate&lt;=$AC134)*(ISERROR(SEARCH(PayEarnCode,AV$2)))*(PayEarnType="Monthly")*(PayEarnValues))/$AA134*12,IF(ISNUMBER(OFFSET($N$3,0,MATCH(AV$5,PayDedList,0)-1,1,1)),OFFSET($N$3,0,MATCH(AV$5,PayDedList,0)-1,1,1),IgnoreMin)))*IF(COUNTIFS(EmpNo,$C134,OFFSET(Emp!$R$4,1,MATCH(AV$5,DedListItem,0)-1,EmpCount,1),"&lt;&gt;")&gt;0,VLOOKUP($C134,EmpAll,COLUMN(Emp!$R$4)+MATCH(AV$5,DedListItem,0)-1,0),OFFSET(Setup!$E$73,MATCH(AV$5,DedListItem,0),0,1,1))*AV$3))),IF(ISNUMBER(AV$4),AV$4,IgnoreMin)))))</f>
        <v>0</v>
      </c>
      <c r="AW134" s="148" cm="1">
        <f t="array" aca="1" ref="AW134" ca="1">-IF($F134="Terminated",0,IF($AA134=0,0,IF(ISNA(MATCH(AW$5,PayDedList,0)),0,MIN(IF(COUNTIFS(OverEmp,$C134,OverDeduct,AW$5,OverDate,"&lt;"&amp;DATE(YEAR($AC134),MONTH($AC134)+1,1),OverEnd,"&gt;="&amp;DATE(YEAR($AC134),MONTH($AC134),1))&gt;0,SUMPRODUCT((PayEmp=$C134)*(PayDate&lt;=$AC134)*(OFFSET($N$6,1,MATCH(AW$5,PayDedList,0)-1,PayCount,1)))/$AA134*12*AW$3,IF(OR(AW$1="Fixed",AW$1="Not Used"),SUMPRODUCT((PayEmp=$C134)*(PayDate&lt;=$AC134)*(OFFSET($N$6,1,MATCH(AW$5,PayDedList,0)-1,PayCount,1)))/$AA134*12*AW$3,IF(ISNA(MATCH(OFFSET($N$2,0,MATCH(AW$5,PayDedList,0)-1,1,1),EarnListItem,0))=FALSE,SUMPRODUCT((PayEmp=$C134)*(PayDate&lt;=$AC134)*(OFFSET($N$6,1,MATCH(AW$5,PayDedList,0)-1,PayCount,1)))/$AA134*12*AW$3,(MIN(SUMPRODUCT((PayEmp=$C134)*(PayDate&lt;=$AC134)*(ISERROR(SEARCH(PayEarnCode,AW$2)))*(PayEarnType="Monthly")*(PayEarnValues))/$AA134*12,IF(ISNUMBER(OFFSET($N$3,0,MATCH(AW$5,PayDedList,0)-1,1,1)),OFFSET($N$3,0,MATCH(AW$5,PayDedList,0)-1,1,1),IgnoreMin)))*IF(COUNTIFS(EmpNo,$C134,OFFSET(Emp!$R$4,1,MATCH(AW$5,DedListItem,0)-1,EmpCount,1),"&lt;&gt;")&gt;0,VLOOKUP($C134,EmpAll,COLUMN(Emp!$R$4)+MATCH(AW$5,DedListItem,0)-1,0),OFFSET(Setup!$E$73,MATCH(AW$5,DedListItem,0),0,1,1))*AW$3))),IF(ISNUMBER(AW$4),AW$4,IgnoreMin)))))</f>
        <v>0</v>
      </c>
      <c r="AX134" s="148">
        <f t="shared" ca="1" si="58"/>
        <v>108000</v>
      </c>
      <c r="AY134" s="148">
        <f t="shared" ca="1" si="59"/>
        <v>0</v>
      </c>
      <c r="AZ134" s="148">
        <f ca="1">IF(ISNUMBER($AL134),($AR134*$AL134)-$AI134-$AK134,MAX(0,IF($AL134="B",IF($AR134&lt;Setup!$C$32,($AR134*Setup!$D$32)-$AI134-$AK134,(($AR134-VLOOKUP($AR134,TaxAll2,1,1))*OFFSET(Setup!$D$32,MATCH($AR134,TaxBracket2,1),0,1,1))+OFFSET(Setup!$E$31,MATCH($AR134,TaxBracket2,1),0,1,1)-$AI134-$AK134),IF($AR134&lt;Setup!$C$21,($AR134*Setup!$D$21)-$AI134-$AK134,(($AR134-VLOOKUP($AR134,TaxAll1,1,1))*OFFSET(Setup!$D$21,MATCH($AR134,TaxBracket1,1),0,1,1))+OFFSET(Setup!$E$20,MATCH($AR134,TaxBracket1,1),0,1,1)-$AI134-$AK134))))</f>
        <v>2205</v>
      </c>
      <c r="BA134" s="148">
        <f ca="1">IF(ISNUMBER($AL134),($AX134*$AL134)-$AI134-$AK134,MAX(0,IF($AL134="B",IF($AX134&lt;Setup!$C$32,($AX134*Setup!$D$32)-$AI134-$AK134,(($AX134-VLOOKUP($AX134,TaxAll2,1,1))*OFFSET(Setup!$D$32,MATCH($AX134,TaxBracket2,1),0,1,1))+OFFSET(Setup!$E$31,MATCH($AX134,TaxBracket2,1),0,1,1)-$AI134-$AK134),IF($AX134&lt;Setup!$C$21,($AX134*Setup!$D$21)-$AI134-$AK134,(($AX134-VLOOKUP($AX134,TaxAll1,1,1))*OFFSET(Setup!$D$21,MATCH($AX134,TaxBracket1,1),0,1,1))+OFFSET(Setup!$E$20,MATCH($AX134,TaxBracket1,1),0,1,1)-$AI134-$AK134))))</f>
        <v>2205</v>
      </c>
      <c r="BB134" s="148">
        <f t="shared" ca="1" si="65"/>
        <v>0</v>
      </c>
      <c r="BC134" s="150">
        <f t="shared" ca="1" si="45"/>
        <v>1</v>
      </c>
      <c r="BD134" s="150">
        <f t="shared" ca="1" si="46"/>
        <v>0</v>
      </c>
      <c r="BE134" s="148">
        <f t="shared" ca="1" si="47"/>
        <v>108000</v>
      </c>
    </row>
    <row r="135" spans="1:57" ht="16.149999999999999" customHeight="1" x14ac:dyDescent="0.25">
      <c r="A135" s="10" t="str" cm="1">
        <f t="array" aca="1" ref="A135" ca="1">IF(ROW($A135)-ROW($A$6)&gt;EmpCount*12,"-",TEXT($B135,"yyyy")&amp;TEXT($B135,"mm")&amp;"-"&amp;$C135)</f>
        <v>202311-EXS009</v>
      </c>
      <c r="B135" s="137" cm="1">
        <f t="array" aca="1" ref="B135" ca="1">IF(ROW($A135)-ROW($A$6)&gt;EmpCount*12,Setup!$D$12,DATE(YEAR(Setup!$F$12),MONTH(Setup!$F$12)+ROUNDDOWN((ROW($A135)-ROW($A$6)-1)/EmpCount,0),IF(Setup!$C$14&gt;DAY(DATE(YEAR(Setup!$F$12),MONTH(Setup!$F$12)+ROUNDDOWN((ROW($A135)-ROW($A$6)-1)/EmpCount,0)+1,0)),DAY(DATE(YEAR(Setup!$F$12),MONTH(Setup!$F$12)+ROUNDDOWN((ROW($A135)-ROW($A$6)-1)/EmpCount,0)+1,0)),Setup!$C$14)))</f>
        <v>45255</v>
      </c>
      <c r="C135" s="101" t="str" cm="1">
        <f t="array" aca="1" ref="C135" ca="1">IF(ROW($A135)-ROW($A$6)&gt;EmpCount*12,"-",OFFSET(Emp!$A$4,ROW($A135)-ROW($A$6)-IF(ROW($A135)-ROW($A$6)&gt;EmpCount,ROUNDDOWN((ROW($A135)-ROW($A$6)-1)/EmpCount,0)*EmpCount,0),0,1,1))</f>
        <v>EXS009</v>
      </c>
      <c r="D135" s="10" t="str">
        <f ca="1">IF(ISNA(VLOOKUP($C135,EmpAll,COLUMN(Emp!$B$4),0)),"-",VLOOKUP($C135,EmpAll,COLUMN(Emp!$B$4),0))</f>
        <v>Brown JT</v>
      </c>
      <c r="E135" s="145" t="str">
        <f ca="1">IF(ISNA(VLOOKUP($C135,EmpAll,COLUMN(Emp!$C$4),0)),"-",VLOOKUP($C135,EmpAll,COLUMN(Emp!$C$4),0))</f>
        <v>A</v>
      </c>
      <c r="F135" s="101" t="str">
        <f ca="1">IF(ISNA(VLOOKUP($C135,EmpAll,COLUMN(Emp!$A$4),0)),"-",IF(AND(VLOOKUP($C135,EmpAll,COLUMN(Emp!$E$4),0)&lt;&gt;0,VLOOKUP($C135,EmpAll,COLUMN(Emp!$E$4),0)&gt;=DATE(YEAR($AC135),MONTH($AC135)+1,0)),"Inactive",IF(AND(VLOOKUP($C135,EmpAll,COLUMN(Emp!$F$4),0)&lt;&gt;0,VLOOKUP($C135,EmpAll,COLUMN(Emp!$F$4),0)&lt;=DATE(YEAR($AC135),MONTH($AC135),0)),"Terminated","Active")))</f>
        <v>Active</v>
      </c>
      <c r="G135" s="133" cm="1">
        <f t="array" aca="1" ref="G135" ca="1">IF($F135&lt;&gt;"Active",0,IF(COUNTIFS(OverEmp,$C135,OverEarn,G$2,OverDate,"&lt;"&amp;DATE(YEAR($AC135),MONTH($AC135)+1,1),OverEnd,"&gt;="&amp;DATE(YEAR($AC135),MONTH($AC135),1))&gt;0,SUMIFS(OverValue,OverEmp,$C135,OverEarn,G$2,OverDate,"&lt;"&amp;DATE(YEAR($AC135),MONTH($AC135)+1,1),OverEnd,"&gt;="&amp;DATE(YEAR($AC135),MONTH($AC135),1)),IF(AND($AC135&gt;=Setup!$E$10,SUMIFS(EmpIncrease,EmpCode,$C135)&gt;0),SUMIFS(EmpIncrease,EmpCode,$C135),SUMIFS(EmpSalary,EmpCode,$C135))))</f>
        <v>9000</v>
      </c>
      <c r="H135" s="133" cm="1">
        <f t="array" aca="1" ref="H135" ca="1">IF($F135&lt;&gt;"Active",0,IF(COUNTIFS(OverEmp,$C135,OverEarn,H$2,OverDate,"&lt;"&amp;DATE(YEAR($AC135),MONTH($AC135)+1,1),OverEnd,"&gt;="&amp;DATE(YEAR($AC135),MONTH($AC135),1))&gt;0,SUMIFS(OverValue,OverEmp,$C135,OverEarn,H$2,OverDate,"&lt;"&amp;DATE(YEAR($AC135),MONTH($AC135)+1,1),OverEnd,"&gt;="&amp;DATE(YEAR($AC135),MONTH($AC135),1)),0))</f>
        <v>0</v>
      </c>
      <c r="I135" s="133" cm="1">
        <f t="array" aca="1" ref="I135" ca="1">IF($F135&lt;&gt;"Active",0,IF(COUNTIFS(OverEmp,$C135,OverEarn,I$2,OverDate,"&lt;"&amp;DATE(YEAR($AC135),MONTH($AC135)+1,1),OverEnd,"&gt;="&amp;DATE(YEAR($AC135),MONTH($AC135),1))&gt;0,SUMIFS(OverValue,OverEmp,$C135,OverEarn,I$2,OverDate,"&lt;"&amp;DATE(YEAR($AC135),MONTH($AC135)+1,1),OverEnd,"&gt;="&amp;DATE(YEAR($AC135),MONTH($AC135),1)),IF(MONTH(B135)=Setup!$C$15,SUMIFS(EmpBonus,EmpCode,$C135),0)))</f>
        <v>0</v>
      </c>
      <c r="J135" s="133" cm="1">
        <f t="array" aca="1" ref="J135" ca="1">IF($F135&lt;&gt;"Active",0,IF(COUNTIFS(OverEmp,$C135,OverEarn,J$2,OverDate,"&lt;"&amp;DATE(YEAR($AC135),MONTH($AC135)+1,1),OverEnd,"&gt;="&amp;DATE(YEAR($AC135),MONTH($AC135),1))&gt;0,SUMIFS(OverValue,OverEmp,$C135,OverEarn,J$2,OverDate,"&lt;"&amp;DATE(YEAR($AC135),MONTH($AC135)+1,1),OverEnd,"&gt;="&amp;DATE(YEAR($AC135),MONTH($AC135),1)),0))</f>
        <v>0</v>
      </c>
      <c r="K135" s="133" cm="1">
        <f t="array" aca="1" ref="K135" ca="1">IF($F135&lt;&gt;"Active",0,IF(COUNTIFS(OverEmp,$C135,OverEarn,K$2,OverDate,"&lt;"&amp;DATE(YEAR($AC135),MONTH($AC135)+1,1),OverEnd,"&gt;="&amp;DATE(YEAR($AC135),MONTH($AC135),1))&gt;0,SUMIFS(OverValue,OverEmp,$C135,OverEarn,K$2,OverDate,"&lt;"&amp;DATE(YEAR($AC135),MONTH($AC135)+1,1),OverEnd,"&gt;="&amp;DATE(YEAR($AC135),MONTH($AC135),1)),0))</f>
        <v>0</v>
      </c>
      <c r="L135" s="185">
        <f t="shared" ref="L135:L166" ca="1" si="66">IF($AA135=0,0,SUM(OFFSET($G135,0,0,1,COLUMN($L$6)-COLUMN($G$6))))</f>
        <v>9000</v>
      </c>
      <c r="M135" s="182" cm="1">
        <f t="array" aca="1" ref="M135" ca="1">IF(COUNTIFS(OverEmp,$C135,OverTax,M$5,OverDate,"&lt;"&amp;DATE(YEAR($AC135),MONTH($AC135)+1,1),OverEnd,"&gt;="&amp;DATE(YEAR($AC135),MONTH($AC135),1))&gt;0,SUMIFS(OverValue,OverEmp,$C135,OverTax,M$5,OverDate,"&lt;"&amp;DATE(YEAR($AC135),MONTH($AC135)+1,1),OverEnd,"&gt;="&amp;DATE(YEAR($AC135),MONTH($AC135),1)),(($BA135/12*$AA135)+(BB135*IF(1-$BC135=0,0,BD135/(1-$BC135))))-IF($F135="Terminated",0,SUMIFS(PayTaxDeduct,PayDate,"&lt;"&amp;$AC135,PayEmp,$C135)))</f>
        <v>183.75</v>
      </c>
      <c r="N135" s="133" cm="1">
        <f t="array" aca="1" ref="N135" ca="1">IF($F135="Terminated",0,IF($AA135=0,0,IF(ISNA(MATCH(N$5,DedListItem,0)),0,IF(COUNTIFS(OverEmp,$C135,OverDeduct,N$5,OverDate,"&lt;"&amp;DATE(YEAR($AC135),MONTH($AC135)+1,1),OverEnd,"&gt;="&amp;DATE(YEAR($AC135),MONTH($AC135),1))&gt;0,SUMIFS(OverValue,OverEmp,$C135,OverDeduct,N$5,OverDate,"&lt;"&amp;DATE(YEAR($AC135),MONTH($AC135)+1,1),OverEnd,"&gt;="&amp;DATE(YEAR($AC135),MONTH($AC135),1)),IF(OR(N$2="Fixed",N$2="Not Used"),(IF(COUNTIFS(EmpNo,$C135,OFFSET(Emp!$R$4,1,MATCH(N$5,DedListItem,0)-1,EmpCount,1),"&lt;&gt;")&gt;0,VLOOKUP($C135,EmpAll,COLUMN(Emp!$R$4)+MATCH(N$5,DedListItem,0)-1,0),OFFSET(Setup!$E$73,MATCH(N$5,DedListItem,0),0,1,1))*$AA135)-SUMIFS(OFFSET(N$6,1,0,PayCount,1),PayDate,"&lt;"&amp;$AC135,PayEmp,$C135),IF(ISNA(MATCH(N$2,EarnListItem,0))=FALSE,IF(OFFSET(Setup!$G$73,MATCH(N$5,DedListItem,0),0,1,1)="Taxable",SUMPRODUCT((PayEmp=$C135)*(PayDate&lt;=$AC135)*(PayEarnCode=N$2)*(PayEarnTax)*(PayEarnValues)),SUMPRODUCT((PayEmp=$C135)*(PayDate&lt;=$AC135)*(PayEarnCode=N$2)*(PayEarnValues)))*IF(COUNTIFS(EmpNo,$C135,OFFSET(Emp!$R$4,1,MATCH(N$5,DedListItem,0)-1,EmpCount,1),"&lt;&gt;")&gt;0,VLOOKUP($C135,EmpAll,COLUMN(Emp!$R$4)+MATCH(N$5,DedListItem,0)-1,0),OFFSET(Setup!$E$73,MATCH(N$5,DedListItem,0),0,1,1)),(MIN(IF(OFFSET(Setup!$G$73,MATCH(N$5,DedListItem,0),0,1,1)="Taxable",SUMPRODUCT((PayEmp=$C135)*(PayDate&lt;=$AC135)*(ISERROR(SEARCH(PayEarnCode,N$4)))*(PayEarnTax)*(PayEarnValues)),SUMPRODUCT((PayEmp=$C135)*(PayDate&lt;=$AC135)*(ISERROR(SEARCH(PayEarnCode,N$4)))*(PayEarnValues))),IF(ISNUMBER(N$3),N$3/12*$AA135,IgnoreMin)))*IF(COUNTIFS(EmpNo,$C135,OFFSET(Emp!$R$4,1,MATCH(N$5,DedListItem,0)-1,EmpCount,1),"&lt;&gt;")&gt;0,VLOOKUP($C135,EmpAll,COLUMN(Emp!$R$4)+MATCH(N$5,DedListItem,0)-1,0),OFFSET(Setup!$E$73,MATCH(N$5,DedListItem,0),0,1,1)))-SUMIFS(OFFSET(N$6,1,0,PayCount,1),PayDate,"&lt;"&amp;$AC135,PayEmp,$C135))))))</f>
        <v>90</v>
      </c>
      <c r="O135" s="133" cm="1">
        <f t="array" aca="1" ref="O135" ca="1">IF($F135="Terminated",0,IF($AA135=0,0,IF(ISNA(MATCH(O$5,DedListItem,0)),0,IF(COUNTIFS(OverEmp,$C135,OverDeduct,O$5,OverDate,"&lt;"&amp;DATE(YEAR($AC135),MONTH($AC135)+1,1),OverEnd,"&gt;="&amp;DATE(YEAR($AC135),MONTH($AC135),1))&gt;0,SUMIFS(OverValue,OverEmp,$C135,OverDeduct,O$5,OverDate,"&lt;"&amp;DATE(YEAR($AC135),MONTH($AC135)+1,1),OverEnd,"&gt;="&amp;DATE(YEAR($AC135),MONTH($AC135),1)),IF(OR(O$2="Fixed",O$2="Not Used"),(IF(COUNTIFS(EmpNo,$C135,OFFSET(Emp!$R$4,1,MATCH(O$5,DedListItem,0)-1,EmpCount,1),"&lt;&gt;")&gt;0,VLOOKUP($C135,EmpAll,COLUMN(Emp!$R$4)+MATCH(O$5,DedListItem,0)-1,0),OFFSET(Setup!$E$73,MATCH(O$5,DedListItem,0),0,1,1))*$AA135)-SUMIFS(OFFSET(O$6,1,0,PayCount,1),PayDate,"&lt;"&amp;$AC135,PayEmp,$C135),IF(ISNA(MATCH(O$2,EarnListItem,0))=FALSE,IF(OFFSET(Setup!$G$73,MATCH(O$5,DedListItem,0),0,1,1)="Taxable",SUMPRODUCT((PayEmp=$C135)*(PayDate&lt;=$AC135)*(PayEarnCode=O$2)*(PayEarnTax)*(PayEarnValues)),SUMPRODUCT((PayEmp=$C135)*(PayDate&lt;=$AC135)*(PayEarnCode=O$2)*(PayEarnValues)))*IF(COUNTIFS(EmpNo,$C135,OFFSET(Emp!$R$4,1,MATCH(O$5,DedListItem,0)-1,EmpCount,1),"&lt;&gt;")&gt;0,VLOOKUP($C135,EmpAll,COLUMN(Emp!$R$4)+MATCH(O$5,DedListItem,0)-1,0),OFFSET(Setup!$E$73,MATCH(O$5,DedListItem,0),0,1,1)),(MIN(IF(OFFSET(Setup!$G$73,MATCH(O$5,DedListItem,0),0,1,1)="Taxable",SUMPRODUCT((PayEmp=$C135)*(PayDate&lt;=$AC135)*(ISERROR(SEARCH(PayEarnCode,O$4)))*(PayEarnTax)*(PayEarnValues)),SUMPRODUCT((PayEmp=$C135)*(PayDate&lt;=$AC135)*(ISERROR(SEARCH(PayEarnCode,O$4)))*(PayEarnValues))),IF(ISNUMBER(O$3),O$3/12*$AA135,IgnoreMin)))*IF(COUNTIFS(EmpNo,$C135,OFFSET(Emp!$R$4,1,MATCH(O$5,DedListItem,0)-1,EmpCount,1),"&lt;&gt;")&gt;0,VLOOKUP($C135,EmpAll,COLUMN(Emp!$R$4)+MATCH(O$5,DedListItem,0)-1,0),OFFSET(Setup!$E$73,MATCH(O$5,DedListItem,0),0,1,1)))-SUMIFS(OFFSET(O$6,1,0,PayCount,1),PayDate,"&lt;"&amp;$AC135,PayEmp,$C135))))))</f>
        <v>0</v>
      </c>
      <c r="P135" s="133" cm="1">
        <f t="array" aca="1" ref="P135" ca="1">IF($F135="Terminated",0,IF($AA135=0,0,IF(ISNA(MATCH(P$5,DedListItem,0)),0,IF(COUNTIFS(OverEmp,$C135,OverDeduct,P$5,OverDate,"&lt;"&amp;DATE(YEAR($AC135),MONTH($AC135)+1,1),OverEnd,"&gt;="&amp;DATE(YEAR($AC135),MONTH($AC135),1))&gt;0,SUMIFS(OverValue,OverEmp,$C135,OverDeduct,P$5,OverDate,"&lt;"&amp;DATE(YEAR($AC135),MONTH($AC135)+1,1),OverEnd,"&gt;="&amp;DATE(YEAR($AC135),MONTH($AC135),1)),IF(OR(P$2="Fixed",P$2="Not Used"),(IF(COUNTIFS(EmpNo,$C135,OFFSET(Emp!$R$4,1,MATCH(P$5,DedListItem,0)-1,EmpCount,1),"&lt;&gt;")&gt;0,VLOOKUP($C135,EmpAll,COLUMN(Emp!$R$4)+MATCH(P$5,DedListItem,0)-1,0),OFFSET(Setup!$E$73,MATCH(P$5,DedListItem,0),0,1,1))*$AA135)-SUMIFS(OFFSET(P$6,1,0,PayCount,1),PayDate,"&lt;"&amp;$AC135,PayEmp,$C135),IF(ISNA(MATCH(P$2,EarnListItem,0))=FALSE,IF(OFFSET(Setup!$G$73,MATCH(P$5,DedListItem,0),0,1,1)="Taxable",SUMPRODUCT((PayEmp=$C135)*(PayDate&lt;=$AC135)*(PayEarnCode=P$2)*(PayEarnTax)*(PayEarnValues)),SUMPRODUCT((PayEmp=$C135)*(PayDate&lt;=$AC135)*(PayEarnCode=P$2)*(PayEarnValues)))*IF(COUNTIFS(EmpNo,$C135,OFFSET(Emp!$R$4,1,MATCH(P$5,DedListItem,0)-1,EmpCount,1),"&lt;&gt;")&gt;0,VLOOKUP($C135,EmpAll,COLUMN(Emp!$R$4)+MATCH(P$5,DedListItem,0)-1,0),OFFSET(Setup!$E$73,MATCH(P$5,DedListItem,0),0,1,1)),(MIN(IF(OFFSET(Setup!$G$73,MATCH(P$5,DedListItem,0),0,1,1)="Taxable",SUMPRODUCT((PayEmp=$C135)*(PayDate&lt;=$AC135)*(ISERROR(SEARCH(PayEarnCode,P$4)))*(PayEarnTax)*(PayEarnValues)),SUMPRODUCT((PayEmp=$C135)*(PayDate&lt;=$AC135)*(ISERROR(SEARCH(PayEarnCode,P$4)))*(PayEarnValues))),IF(ISNUMBER(P$3),P$3/12*$AA135,IgnoreMin)))*IF(COUNTIFS(EmpNo,$C135,OFFSET(Emp!$R$4,1,MATCH(P$5,DedListItem,0)-1,EmpCount,1),"&lt;&gt;")&gt;0,VLOOKUP($C135,EmpAll,COLUMN(Emp!$R$4)+MATCH(P$5,DedListItem,0)-1,0),OFFSET(Setup!$E$73,MATCH(P$5,DedListItem,0),0,1,1)))-SUMIFS(OFFSET(P$6,1,0,PayCount,1),PayDate,"&lt;"&amp;$AC135,PayEmp,$C135))))))</f>
        <v>0</v>
      </c>
      <c r="Q135" s="133" cm="1">
        <f t="array" aca="1" ref="Q135" ca="1">IF($F135="Terminated",0,IF($AA135=0,0,IF(ISNA(MATCH(Q$5,DedListItem,0)),0,IF(COUNTIFS(OverEmp,$C135,OverDeduct,Q$5,OverDate,"&lt;"&amp;DATE(YEAR($AC135),MONTH($AC135)+1,1),OverEnd,"&gt;="&amp;DATE(YEAR($AC135),MONTH($AC135),1))&gt;0,SUMIFS(OverValue,OverEmp,$C135,OverDeduct,Q$5,OverDate,"&lt;"&amp;DATE(YEAR($AC135),MONTH($AC135)+1,1),OverEnd,"&gt;="&amp;DATE(YEAR($AC135),MONTH($AC135),1)),IF(OR(Q$2="Fixed",Q$2="Not Used"),(IF(COUNTIFS(EmpNo,$C135,OFFSET(Emp!$R$4,1,MATCH(Q$5,DedListItem,0)-1,EmpCount,1),"&lt;&gt;")&gt;0,VLOOKUP($C135,EmpAll,COLUMN(Emp!$R$4)+MATCH(Q$5,DedListItem,0)-1,0),OFFSET(Setup!$E$73,MATCH(Q$5,DedListItem,0),0,1,1))*$AA135)-SUMIFS(OFFSET(Q$6,1,0,PayCount,1),PayDate,"&lt;"&amp;$AC135,PayEmp,$C135),IF(ISNA(MATCH(Q$2,EarnListItem,0))=FALSE,IF(OFFSET(Setup!$G$73,MATCH(Q$5,DedListItem,0),0,1,1)="Taxable",SUMPRODUCT((PayEmp=$C135)*(PayDate&lt;=$AC135)*(PayEarnCode=Q$2)*(PayEarnTax)*(PayEarnValues)),SUMPRODUCT((PayEmp=$C135)*(PayDate&lt;=$AC135)*(PayEarnCode=Q$2)*(PayEarnValues)))*IF(COUNTIFS(EmpNo,$C135,OFFSET(Emp!$R$4,1,MATCH(Q$5,DedListItem,0)-1,EmpCount,1),"&lt;&gt;")&gt;0,VLOOKUP($C135,EmpAll,COLUMN(Emp!$R$4)+MATCH(Q$5,DedListItem,0)-1,0),OFFSET(Setup!$E$73,MATCH(Q$5,DedListItem,0),0,1,1)),(MIN(IF(OFFSET(Setup!$G$73,MATCH(Q$5,DedListItem,0),0,1,1)="Taxable",SUMPRODUCT((PayEmp=$C135)*(PayDate&lt;=$AC135)*(ISERROR(SEARCH(PayEarnCode,Q$4)))*(PayEarnTax)*(PayEarnValues)),SUMPRODUCT((PayEmp=$C135)*(PayDate&lt;=$AC135)*(ISERROR(SEARCH(PayEarnCode,Q$4)))*(PayEarnValues))),IF(ISNUMBER(Q$3),Q$3/12*$AA135,IgnoreMin)))*IF(COUNTIFS(EmpNo,$C135,OFFSET(Emp!$R$4,1,MATCH(Q$5,DedListItem,0)-1,EmpCount,1),"&lt;&gt;")&gt;0,VLOOKUP($C135,EmpAll,COLUMN(Emp!$R$4)+MATCH(Q$5,DedListItem,0)-1,0),OFFSET(Setup!$E$73,MATCH(Q$5,DedListItem,0),0,1,1)))-SUMIFS(OFFSET(Q$6,1,0,PayCount,1),PayDate,"&lt;"&amp;$AC135,PayEmp,$C135))))))</f>
        <v>0</v>
      </c>
      <c r="R135" s="185">
        <f t="shared" ref="R135:R166" ca="1" si="67">SUM(OFFSET(M135,0,0,1,COLUMN($R$6)-COLUMN($M$6)))</f>
        <v>273.75</v>
      </c>
      <c r="S135" s="139">
        <f t="shared" ref="S135:S166" ca="1" si="68">ROUND(SUM(L135,-R135),2)</f>
        <v>8726.25</v>
      </c>
      <c r="T135" s="133" cm="1">
        <f t="array" aca="1" ref="T135" ca="1">IF($F135="Terminated",0,IF($AA135=0,0,IF(ISNA(MATCH(T$5,CompListItem,0)),0,IF(COUNTIFS(OverEmp,$C135,OverComp,T$5,OverDate,"&lt;"&amp;DATE(YEAR($AC135),MONTH($AC135)+1,1),OverEnd,"&gt;="&amp;DATE(YEAR($AC135),MONTH($AC135),1))&gt;0,SUMIFS(OverValue,OverEmp,$C135,OverComp,T$5,OverDate,"&lt;"&amp;DATE(YEAR($AC135),MONTH($AC135)+1,1),OverEnd,"&gt;="&amp;DATE(YEAR($AC135),MONTH($AC135),1)),IF(OR(T$2="Fixed",T$2="Not Used"),(OFFSET(Setup!$E$81,MATCH(T$5,CompListItem,0),0,1,1)*$AA135)-SUMIFS(OFFSET(T$6,1,0,PayCount,1),PayDate,"&lt;"&amp;$AC135,PayEmp,$C135),IF(ISNA(MATCH(T$2,DedListItem,0))=FALSE,(SUMPRODUCT((PayEmp=$C135)*(PayDate&lt;=$AC135)*(PayDedList=T$2)*(PayDedValues))*OFFSET(Setup!$E$81,MATCH(T$5,CompListItem,0),0,1,1))-SUMIFS(OFFSET(T$6,1,0,PayCount,1),PayDate,"&lt;"&amp;$AC135,PayEmp,$C135),(MIN(IF(OFFSET(Setup!$G$81,MATCH(T$5,CompListItem,0),0,1,1)="Taxable",SUMPRODUCT((PayEmp=$C135)*(PayDate&lt;=$AC135)*(ISERROR(SEARCH(PayEarnCode,T$4)))*(PayEarnTax)*(PayEarnValues)),SUMPRODUCT((PayEmp=$C135)*(PayDate&lt;=$AC135)*(ISERROR(SEARCH(PayEarnCode,T$4)))*(PayEarnValues))),IF(ISNUMBER(T$3),T$3/12*$AA135,IgnoreMin)))*OFFSET(Setup!$E$81,MATCH(T$5,CompListItem,0),0,1,1)-SUMIFS(OFFSET(T$6,1,0,PayCount,1),PayDate,"&lt;"&amp;$AC135,PayEmp,$C135)))))))</f>
        <v>90</v>
      </c>
      <c r="U135" s="133" cm="1">
        <f t="array" aca="1" ref="U135" ca="1">IF($F135="Terminated",0,IF($AA135=0,0,IF(ISNA(MATCH(U$5,CompListItem,0)),0,IF(COUNTIFS(OverEmp,$C135,OverComp,U$5,OverDate,"&lt;"&amp;DATE(YEAR($AC135),MONTH($AC135)+1,1),OverEnd,"&gt;="&amp;DATE(YEAR($AC135),MONTH($AC135),1))&gt;0,SUMIFS(OverValue,OverEmp,$C135,OverComp,U$5,OverDate,"&lt;"&amp;DATE(YEAR($AC135),MONTH($AC135)+1,1),OverEnd,"&gt;="&amp;DATE(YEAR($AC135),MONTH($AC135),1)),IF(OR(U$2="Fixed",U$2="Not Used"),(OFFSET(Setup!$E$81,MATCH(U$5,CompListItem,0),0,1,1)*$AA135)-SUMIFS(OFFSET(U$6,1,0,PayCount,1),PayDate,"&lt;"&amp;$AC135,PayEmp,$C135),IF(ISNA(MATCH(U$2,DedListItem,0))=FALSE,(SUMPRODUCT((PayEmp=$C135)*(PayDate&lt;=$AC135)*(PayDedList=U$2)*(PayDedValues))*OFFSET(Setup!$E$81,MATCH(U$5,CompListItem,0),0,1,1))-SUMIFS(OFFSET(U$6,1,0,PayCount,1),PayDate,"&lt;"&amp;$AC135,PayEmp,$C135),(MIN(IF(OFFSET(Setup!$G$81,MATCH(U$5,CompListItem,0),0,1,1)="Taxable",SUMPRODUCT((PayEmp=$C135)*(PayDate&lt;=$AC135)*(ISERROR(SEARCH(PayEarnCode,U$4)))*(PayEarnTax)*(PayEarnValues)),SUMPRODUCT((PayEmp=$C135)*(PayDate&lt;=$AC135)*(ISERROR(SEARCH(PayEarnCode,U$4)))*(PayEarnValues))),IF(ISNUMBER(U$3),U$3/12*$AA135,IgnoreMin)))*OFFSET(Setup!$E$81,MATCH(U$5,CompListItem,0),0,1,1)-SUMIFS(OFFSET(U$6,1,0,PayCount,1),PayDate,"&lt;"&amp;$AC135,PayEmp,$C135)))))))</f>
        <v>90</v>
      </c>
      <c r="V135" s="133" cm="1">
        <f t="array" aca="1" ref="V135" ca="1">IF($F135="Terminated",0,IF($AA135=0,0,IF(ISNA(MATCH(V$5,CompListItem,0)),0,IF(COUNTIFS(OverEmp,$C135,OverComp,V$5,OverDate,"&lt;"&amp;DATE(YEAR($AC135),MONTH($AC135)+1,1),OverEnd,"&gt;="&amp;DATE(YEAR($AC135),MONTH($AC135),1))&gt;0,SUMIFS(OverValue,OverEmp,$C135,OverComp,V$5,OverDate,"&lt;"&amp;DATE(YEAR($AC135),MONTH($AC135)+1,1),OverEnd,"&gt;="&amp;DATE(YEAR($AC135),MONTH($AC135),1)),IF(OR(V$2="Fixed",V$2="Not Used"),(OFFSET(Setup!$E$81,MATCH(V$5,CompListItem,0),0,1,1)*$AA135)-SUMIFS(OFFSET(V$6,1,0,PayCount,1),PayDate,"&lt;"&amp;$AC135,PayEmp,$C135),IF(ISNA(MATCH(V$2,DedListItem,0))=FALSE,(SUMPRODUCT((PayEmp=$C135)*(PayDate&lt;=$AC135)*(PayDedList=V$2)*(PayDedValues))*OFFSET(Setup!$E$81,MATCH(V$5,CompListItem,0),0,1,1))-SUMIFS(OFFSET(V$6,1,0,PayCount,1),PayDate,"&lt;"&amp;$AC135,PayEmp,$C135),(MIN(IF(OFFSET(Setup!$G$81,MATCH(V$5,CompListItem,0),0,1,1)="Taxable",SUMPRODUCT((PayEmp=$C135)*(PayDate&lt;=$AC135)*(ISERROR(SEARCH(PayEarnCode,V$4)))*(PayEarnTax)*(PayEarnValues)),SUMPRODUCT((PayEmp=$C135)*(PayDate&lt;=$AC135)*(ISERROR(SEARCH(PayEarnCode,V$4)))*(PayEarnValues))),IF(ISNUMBER(V$3),V$3/12*$AA135,IgnoreMin)))*OFFSET(Setup!$E$81,MATCH(V$5,CompListItem,0),0,1,1)-SUMIFS(OFFSET(V$6,1,0,PayCount,1),PayDate,"&lt;"&amp;$AC135,PayEmp,$C135)))))))</f>
        <v>0</v>
      </c>
      <c r="W135" s="133" cm="1">
        <f t="array" aca="1" ref="W135" ca="1">IF($F135="Terminated",0,IF($AA135=0,0,IF(ISNA(MATCH(W$5,CompListItem,0)),0,IF(COUNTIFS(OverEmp,$C135,OverComp,W$5,OverDate,"&lt;"&amp;DATE(YEAR($AC135),MONTH($AC135)+1,1),OverEnd,"&gt;="&amp;DATE(YEAR($AC135),MONTH($AC135),1))&gt;0,SUMIFS(OverValue,OverEmp,$C135,OverComp,W$5,OverDate,"&lt;"&amp;DATE(YEAR($AC135),MONTH($AC135)+1,1),OverEnd,"&gt;="&amp;DATE(YEAR($AC135),MONTH($AC135),1)),IF(OR(W$2="Fixed",W$2="Not Used"),(OFFSET(Setup!$E$81,MATCH(W$5,CompListItem,0),0,1,1)*$AA135)-SUMIFS(OFFSET(W$6,1,0,PayCount,1),PayDate,"&lt;"&amp;$AC135,PayEmp,$C135),IF(ISNA(MATCH(W$2,DedListItem,0))=FALSE,(SUMPRODUCT((PayEmp=$C135)*(PayDate&lt;=$AC135)*(PayDedList=W$2)*(PayDedValues))*OFFSET(Setup!$E$81,MATCH(W$5,CompListItem,0),0,1,1))-SUMIFS(OFFSET(W$6,1,0,PayCount,1),PayDate,"&lt;"&amp;$AC135,PayEmp,$C135),(MIN(IF(OFFSET(Setup!$G$81,MATCH(W$5,CompListItem,0),0,1,1)="Taxable",SUMPRODUCT((PayEmp=$C135)*(PayDate&lt;=$AC135)*(ISERROR(SEARCH(PayEarnCode,W$4)))*(PayEarnTax)*(PayEarnValues)),SUMPRODUCT((PayEmp=$C135)*(PayDate&lt;=$AC135)*(ISERROR(SEARCH(PayEarnCode,W$4)))*(PayEarnValues))),IF(ISNUMBER(W$3),W$3/12*$AA135,IgnoreMin)))*OFFSET(Setup!$E$81,MATCH(W$5,CompListItem,0),0,1,1)-SUMIFS(OFFSET(W$6,1,0,PayCount,1),PayDate,"&lt;"&amp;$AC135,PayEmp,$C135)))))))</f>
        <v>0</v>
      </c>
      <c r="X135" s="185">
        <f t="shared" ca="1" si="60"/>
        <v>180</v>
      </c>
      <c r="Y135" s="139">
        <f t="shared" ref="Y135:Y166" ca="1" si="69">L135+X135</f>
        <v>9180</v>
      </c>
      <c r="Z135" s="139">
        <f t="shared" ca="1" si="61"/>
        <v>453.75</v>
      </c>
      <c r="AA135" s="146">
        <f ca="1">IF(OR($B135&lt;=Setup!$E$12,$B135&gt;=Setup!$D$12+1),0,IF($F135&lt;&gt;"Active",0,IF($AE135="Yes",$AB135,((YEAR($AC135)*12)+MONTH($AC135))-((YEAR($AD135)*12)+MONTH($AD135)-1))))</f>
        <v>9</v>
      </c>
      <c r="AB135" s="146">
        <f ca="1">IF(OR($B135&lt;=Setup!$E$12,$B135&gt;=Setup!$D$12+1),0,((YEAR($AC135)*12)+MONTH($AC135))-((YEAR(Setup!$E$12)*12)+MONTH(Setup!$E$12)))</f>
        <v>9</v>
      </c>
      <c r="AC135" s="186">
        <f t="shared" ca="1" si="62"/>
        <v>45255</v>
      </c>
      <c r="AD135" s="144">
        <f ca="1">IF(ISNA(VLOOKUP($C135,EmpAll,COLUMN(Emp!$E$4),0)),$AC135,IF(VLOOKUP($C135,EmpAll,COLUMN(Emp!$E$4),0)&lt;=Setup!$E$12,DATE(YEAR(Setup!$E$12),MONTH(Setup!$E$12)+1,1),VLOOKUP($C135,EmpAll,COLUMN(Emp!$E$4),0)))</f>
        <v>44986</v>
      </c>
      <c r="AE135" s="144" t="str">
        <f ca="1">IF(ISNA(VLOOKUP($C135,EmpAll,COLUMN(Emp!$G$1),0)),"-",IF(VLOOKUP($C135,EmpAll,COLUMN(Emp!$G$1),0)=0,"-",VLOOKUP($C135,EmpAll,COLUMN(Emp!$G$1),0)))</f>
        <v>-</v>
      </c>
      <c r="AF135" s="145">
        <f ca="1">IF(A135=PaySlip!$G$3,1,0)</f>
        <v>0</v>
      </c>
      <c r="AG135" s="130" cm="1">
        <f t="array" aca="1" ref="AG135" ca="1">IF(COUNTIFS(OverEmp,$C135,OverMed,"MED",OverDate,"&lt;"&amp;DATE(YEAR($AC135),MONTH($AC135)+1,1),OverEnd,"&gt;="&amp;DATE(YEAR($AC135),MONTH($AC135),1))&gt;0,SUMIFS(OverValue,OverEmp,$C135,OverMed,"MED",OverDate,"&lt;"&amp;DATE(YEAR($AC135),MONTH($AC135)+1,1),OverEnd,"&gt;="&amp;DATE(YEAR($AC135),MONTH($AC135),1)),IF(ISNA(VLOOKUP($C135,EmpAll,COLUMN(Emp!$N$4),0)),0,VLOOKUP($C135,EmpAll,COLUMN(Emp!$N$4),0)))</f>
        <v>0</v>
      </c>
      <c r="AH135" s="146">
        <f ca="1">VLOOKUP($AG135,MedList,COLUMN(Setup!$C$49),1)</f>
        <v>0</v>
      </c>
      <c r="AI135" s="146">
        <f t="shared" ref="AI135:AI198" ca="1" si="70">SUMIFS(PayMedDeduct,PayDate,"&lt;"&amp;$AC135,PayEmp,$C135)+$AH135+($AH135*(12-$AA135))</f>
        <v>0</v>
      </c>
      <c r="AJ135" s="101" t="str">
        <f ca="1">IF(ISNA(VLOOKUP($C135,EmpAll,COLUMN(Emp!$L$4),0)),"None!",VLOOKUP($C135,EmpAll,COLUMN(Emp!$L$4),0))</f>
        <v>A</v>
      </c>
      <c r="AK135" s="147">
        <f t="shared" ca="1" si="63"/>
        <v>17235</v>
      </c>
      <c r="AL135" s="101" t="str">
        <f ca="1">IF(ISNA(VLOOKUP($C135,Employees[],COLUMN(Emp!$M$4),0))=TRUE,"Error!",IF(VLOOKUP($C135,Employees[],COLUMN(Emp!$M$4),0)=0,"Yes",VLOOKUP($C135,Employees[],COLUMN(Emp!$M$4),0)))</f>
        <v>A</v>
      </c>
      <c r="AM135" s="148">
        <f t="shared" ref="AM135:AM198" ca="1" si="71">IF($AA135=0,0,((SUMPRODUCT((PayEmp=$C135)*(PayDate&lt;=$AC135)*(PayEarnType="Monthly")*(PayEarnTax)*(PayEarnValues))/$AA135*12)+(SUMPRODUCT((PayEmp=$C135)*(PayDate&lt;=$AC135)*(PayEarnType="Quarterly")*(PayEarnTax)*(PayEarnValues))/MAX(1,ROUNDDOWN($AB135/3,0))*4)+(SUMPRODUCT((PayEmp=$C135)*(PayDate&lt;=$AC135)*(PayEarnType="Bi-Annual")*(PayEarnTax)*(PayEarnValues))/MAX(1,ROUNDDOWN($AB135/6,0))*2)+(SUMPRODUCT((PayEmp=$C135)*(PayDate&lt;=$AC135)*(PayEarnType="Annual")*(PayEarnTax)*(PayEarnValues)))))</f>
        <v>108000</v>
      </c>
      <c r="AN135" s="148" cm="1">
        <f t="array" aca="1" ref="AN135" ca="1">-IF($F135="Terminated",0,IF($AA135=0,0,IF(ISNA(MATCH(AN$5,PayDedList,0)),0,MIN(IF(COUNTIFS(OverEmp,$C135,OverDeduct,AN$5,OverDate,"&lt;"&amp;DATE(YEAR($AC135),MONTH($AC135)+1,1),OverEnd,"&gt;="&amp;DATE(YEAR($AC135),MONTH($AC135),1))&gt;0,SUMPRODUCT((PayEmp=$C135)*(PayDate&lt;=$AC135)*(OFFSET($N$6,1,MATCH(AN$5,PayDedList,0)-1,PayCount,1)))/$AA135*12*AN$3,IF(OR(AN$1="Fixed",AN$1="Not Used"),SUMPRODUCT((PayEmp=$C135)*(PayDate&lt;=$AC135)*(OFFSET($N$6,1,MATCH(AN$5,PayDedList,0)-1,PayCount,1)))/$AA135*12*AN$3,IF(ISNA(MATCH(AN$1,EarnListItem,0))=FALSE,SUMPRODUCT((PayEmp=$C135)*(PayDate&lt;=$AC135)*(OFFSET($N$6,1,MATCH(AN$5,PayDedList,0)-1,PayCount,1)))/$AA135*12*AN$3,(MIN(((SUMPRODUCT((PayEmp=$C135)*(PayDate&lt;=$AC135)*(ISERROR(SEARCH(PayEarnCode,AN$2)))*(PayEarnType="Monthly")*(PayEarnValues))/$AA135*12)+(SUMPRODUCT((PayEmp=$C135)*(PayDate&lt;=$AC135)*(ISERROR(SEARCH(PayEarnCode,AN$2)))*(PayEarnType="Quarterly")*(PayEarnValues))/MAX(1,ROUNDDOWN($AB135/3,0))*4)+(SUMPRODUCT((PayEmp=$C135)*(PayDate&lt;=$AC135)*(ISERROR(SEARCH(PayEarnCode,AN$2)))*(PayEarnType="Bi-Annual")*(PayEarnValues))/MAX(1,ROUNDDOWN($AB135/6,0))*2)+(SUMPRODUCT((PayEmp=$C135)*(PayDate&lt;=$AC135)*(ISERROR(SEARCH(PayEarnCode,AN$2)))*(PayEarnType="Annual")*(PayEarnValues)))),IF(ISNUMBER(OFFSET($N$3,0,MATCH(AN$5,PayDedList,0)-1,1,1)),OFFSET($N$3,0,MATCH(AN$5,PayDedList,0)-1,1,1),IgnoreMin)))*IF(COUNTIFS(EmpNo,$C135,OFFSET(Emp!$R$4,1,MATCH(AN$5,DedListItem,0)-1,EmpCount,1),"&lt;&gt;")&gt;0,VLOOKUP($C135,EmpAll,COLUMN(Emp!$R$4)+MATCH(AN$5,DedListItem,0)-1,0),OFFSET(Setup!$E$73,MATCH(AN$5,DedListItem,0),0,1,1))*AN$3))),IF(ISNUMBER(AN$4),AN$4,IgnoreMin)))))</f>
        <v>0</v>
      </c>
      <c r="AO135" s="148" cm="1">
        <f t="array" aca="1" ref="AO135" ca="1">-IF($F135="Terminated",0,IF($AA135=0,0,IF(ISNA(MATCH(AO$5,PayDedList,0)),0,MIN(IF(COUNTIFS(OverEmp,$C135,OverDeduct,AO$5,OverDate,"&lt;"&amp;DATE(YEAR($AC135),MONTH($AC135)+1,1),OverEnd,"&gt;="&amp;DATE(YEAR($AC135),MONTH($AC135),1))&gt;0,SUMPRODUCT((PayEmp=$C135)*(PayDate&lt;=$AC135)*(OFFSET($N$6,1,MATCH(AO$5,PayDedList,0)-1,PayCount,1)))/$AA135*12*AO$3,IF(OR(AO$1="Fixed",AO$1="Not Used"),SUMPRODUCT((PayEmp=$C135)*(PayDate&lt;=$AC135)*(OFFSET($N$6,1,MATCH(AO$5,PayDedList,0)-1,PayCount,1)))/$AA135*12*AO$3,IF(ISNA(MATCH(AO$1,EarnListItem,0))=FALSE,SUMPRODUCT((PayEmp=$C135)*(PayDate&lt;=$AC135)*(OFFSET($N$6,1,MATCH(AO$5,PayDedList,0)-1,PayCount,1)))/$AA135*12*AO$3,(MIN(((SUMPRODUCT((PayEmp=$C135)*(PayDate&lt;=$AC135)*(ISERROR(SEARCH(PayEarnCode,AO$2)))*(PayEarnType="Monthly")*(PayEarnValues))/$AA135*12)+(SUMPRODUCT((PayEmp=$C135)*(PayDate&lt;=$AC135)*(ISERROR(SEARCH(PayEarnCode,AO$2)))*(PayEarnType="Quarterly")*(PayEarnValues))/MAX(1,ROUNDDOWN($AB135/3,0))*4)+(SUMPRODUCT((PayEmp=$C135)*(PayDate&lt;=$AC135)*(ISERROR(SEARCH(PayEarnCode,AO$2)))*(PayEarnType="Bi-Annual")*(PayEarnValues))/MAX(1,ROUNDDOWN($AB135/6,0))*2)+(SUMPRODUCT((PayEmp=$C135)*(PayDate&lt;=$AC135)*(ISERROR(SEARCH(PayEarnCode,AO$2)))*(PayEarnType="Annual")*(PayEarnValues)))),IF(ISNUMBER(OFFSET($N$3,0,MATCH(AO$5,PayDedList,0)-1,1,1)),OFFSET($N$3,0,MATCH(AO$5,PayDedList,0)-1,1,1),IgnoreMin)))*IF(COUNTIFS(EmpNo,$C135,OFFSET(Emp!$R$4,1,MATCH(AO$5,DedListItem,0)-1,EmpCount,1),"&lt;&gt;")&gt;0,VLOOKUP($C135,EmpAll,COLUMN(Emp!$R$4)+MATCH(AO$5,DedListItem,0)-1,0),OFFSET(Setup!$E$73,MATCH(AO$5,DedListItem,0),0,1,1))*AO$3))),IF(ISNUMBER(AO$4),AO$4,IgnoreMin)))))</f>
        <v>0</v>
      </c>
      <c r="AP135" s="148" cm="1">
        <f t="array" aca="1" ref="AP135" ca="1">-IF($F135="Terminated",0,IF($AA135=0,0,IF(ISNA(MATCH(AP$5,PayDedList,0)),0,MIN(IF(COUNTIFS(OverEmp,$C135,OverDeduct,AP$5,OverDate,"&lt;"&amp;DATE(YEAR($AC135),MONTH($AC135)+1,1),OverEnd,"&gt;="&amp;DATE(YEAR($AC135),MONTH($AC135),1))&gt;0,SUMPRODUCT((PayEmp=$C135)*(PayDate&lt;=$AC135)*(OFFSET($N$6,1,MATCH(AP$5,PayDedList,0)-1,PayCount,1)))/$AA135*12*AP$3,IF(OR(AP$1="Fixed",AP$1="Not Used"),SUMPRODUCT((PayEmp=$C135)*(PayDate&lt;=$AC135)*(OFFSET($N$6,1,MATCH(AP$5,PayDedList,0)-1,PayCount,1)))/$AA135*12*AP$3,IF(ISNA(MATCH(AP$1,EarnListItem,0))=FALSE,SUMPRODUCT((PayEmp=$C135)*(PayDate&lt;=$AC135)*(OFFSET($N$6,1,MATCH(AP$5,PayDedList,0)-1,PayCount,1)))/$AA135*12*AP$3,(MIN(((SUMPRODUCT((PayEmp=$C135)*(PayDate&lt;=$AC135)*(ISERROR(SEARCH(PayEarnCode,AP$2)))*(PayEarnType="Monthly")*(PayEarnValues))/$AA135*12)+(SUMPRODUCT((PayEmp=$C135)*(PayDate&lt;=$AC135)*(ISERROR(SEARCH(PayEarnCode,AP$2)))*(PayEarnType="Quarterly")*(PayEarnValues))/MAX(1,ROUNDDOWN($AB135/3,0))*4)+(SUMPRODUCT((PayEmp=$C135)*(PayDate&lt;=$AC135)*(ISERROR(SEARCH(PayEarnCode,AP$2)))*(PayEarnType="Bi-Annual")*(PayEarnValues))/MAX(1,ROUNDDOWN($AB135/6,0))*2)+(SUMPRODUCT((PayEmp=$C135)*(PayDate&lt;=$AC135)*(ISERROR(SEARCH(PayEarnCode,AP$2)))*(PayEarnType="Annual")*(PayEarnValues)))),IF(ISNUMBER(OFFSET($N$3,0,MATCH(AP$5,PayDedList,0)-1,1,1)),OFFSET($N$3,0,MATCH(AP$5,PayDedList,0)-1,1,1),IgnoreMin)))*IF(COUNTIFS(EmpNo,$C135,OFFSET(Emp!$R$4,1,MATCH(AP$5,DedListItem,0)-1,EmpCount,1),"&lt;&gt;")&gt;0,VLOOKUP($C135,EmpAll,COLUMN(Emp!$R$4)+MATCH(AP$5,DedListItem,0)-1,0),OFFSET(Setup!$E$73,MATCH(AP$5,DedListItem,0),0,1,1))*AP$3))),IF(ISNUMBER(AP$4),AP$4,IgnoreMin)))))</f>
        <v>0</v>
      </c>
      <c r="AQ135" s="148" cm="1">
        <f t="array" aca="1" ref="AQ135" ca="1">-IF($F135="Terminated",0,IF($AA135=0,0,IF(ISNA(MATCH(AQ$5,PayDedList,0)),0,MIN(IF(COUNTIFS(OverEmp,$C135,OverDeduct,AQ$5,OverDate,"&lt;"&amp;DATE(YEAR($AC135),MONTH($AC135)+1,1),OverEnd,"&gt;="&amp;DATE(YEAR($AC135),MONTH($AC135),1))&gt;0,SUMPRODUCT((PayEmp=$C135)*(PayDate&lt;=$AC135)*(OFFSET($N$6,1,MATCH(AQ$5,PayDedList,0)-1,PayCount,1)))/$AA135*12*AQ$3,IF(OR(AQ$1="Fixed",AQ$1="Not Used"),SUMPRODUCT((PayEmp=$C135)*(PayDate&lt;=$AC135)*(OFFSET($N$6,1,MATCH(AQ$5,PayDedList,0)-1,PayCount,1)))/$AA135*12*AQ$3,IF(ISNA(MATCH(AQ$1,EarnListItem,0))=FALSE,SUMPRODUCT((PayEmp=$C135)*(PayDate&lt;=$AC135)*(OFFSET($N$6,1,MATCH(AQ$5,PayDedList,0)-1,PayCount,1)))/$AA135*12*AQ$3,(MIN(((SUMPRODUCT((PayEmp=$C135)*(PayDate&lt;=$AC135)*(ISERROR(SEARCH(PayEarnCode,AQ$2)))*(PayEarnType="Monthly")*(PayEarnValues))/$AA135*12)+(SUMPRODUCT((PayEmp=$C135)*(PayDate&lt;=$AC135)*(ISERROR(SEARCH(PayEarnCode,AQ$2)))*(PayEarnType="Quarterly")*(PayEarnValues))/MAX(1,ROUNDDOWN($AB135/3,0))*4)+(SUMPRODUCT((PayEmp=$C135)*(PayDate&lt;=$AC135)*(ISERROR(SEARCH(PayEarnCode,AQ$2)))*(PayEarnType="Bi-Annual")*(PayEarnValues))/MAX(1,ROUNDDOWN($AB135/6,0))*2)+(SUMPRODUCT((PayEmp=$C135)*(PayDate&lt;=$AC135)*(ISERROR(SEARCH(PayEarnCode,AQ$2)))*(PayEarnType="Annual")*(PayEarnValues)))),IF(ISNUMBER(OFFSET($N$3,0,MATCH(AQ$5,PayDedList,0)-1,1,1)),OFFSET($N$3,0,MATCH(AQ$5,PayDedList,0)-1,1,1),IgnoreMin)))*IF(COUNTIFS(EmpNo,$C135,OFFSET(Emp!$R$4,1,MATCH(AQ$5,DedListItem,0)-1,EmpCount,1),"&lt;&gt;")&gt;0,VLOOKUP($C135,EmpAll,COLUMN(Emp!$R$4)+MATCH(AQ$5,DedListItem,0)-1,0),OFFSET(Setup!$E$73,MATCH(AQ$5,DedListItem,0),0,1,1))*AQ$3))),IF(ISNUMBER(AQ$4),AQ$4,IgnoreMin)))))</f>
        <v>0</v>
      </c>
      <c r="AR135" s="148">
        <f t="shared" ca="1" si="64"/>
        <v>108000</v>
      </c>
      <c r="AS135" s="148">
        <f t="shared" ref="AS135:AS198" ca="1" si="72">IF($AA135=0,0,(SUMPRODUCT((PayEmp=$C135)*(PayDate&lt;=$AC135)*(PayEarnType="Monthly")*(PayEarnTax)*(PayEarnValues))/$AA135*12))</f>
        <v>108000</v>
      </c>
      <c r="AT135" s="148" cm="1">
        <f t="array" aca="1" ref="AT135" ca="1">-IF($F135="Terminated",0,IF($AA135=0,0,IF(ISNA(MATCH(AT$5,PayDedList,0)),0,MIN(IF(COUNTIFS(OverEmp,$C135,OverDeduct,AT$5,OverDate,"&lt;"&amp;DATE(YEAR($AC135),MONTH($AC135)+1,1),OverEnd,"&gt;="&amp;DATE(YEAR($AC135),MONTH($AC135),1))&gt;0,SUMPRODUCT((PayEmp=$C135)*(PayDate&lt;=$AC135)*(OFFSET($N$6,1,MATCH(AT$5,PayDedList,0)-1,PayCount,1)))/$AA135*12*AT$3,IF(OR(AT$1="Fixed",AT$1="Not Used"),SUMPRODUCT((PayEmp=$C135)*(PayDate&lt;=$AC135)*(OFFSET($N$6,1,MATCH(AT$5,PayDedList,0)-1,PayCount,1)))/$AA135*12*AT$3,IF(ISNA(MATCH(OFFSET($N$2,0,MATCH(AT$5,PayDedList,0)-1,1,1),EarnListItem,0))=FALSE,SUMPRODUCT((PayEmp=$C135)*(PayDate&lt;=$AC135)*(OFFSET($N$6,1,MATCH(AT$5,PayDedList,0)-1,PayCount,1)))/$AA135*12*AT$3,(MIN(SUMPRODUCT((PayEmp=$C135)*(PayDate&lt;=$AC135)*(ISERROR(SEARCH(PayEarnCode,AT$2)))*(PayEarnType="Monthly")*(PayEarnValues))/$AA135*12,IF(ISNUMBER(OFFSET($N$3,0,MATCH(AT$5,PayDedList,0)-1,1,1)),OFFSET($N$3,0,MATCH(AT$5,PayDedList,0)-1,1,1),IgnoreMin)))*IF(COUNTIFS(EmpNo,$C135,OFFSET(Emp!$R$4,1,MATCH(AT$5,DedListItem,0)-1,EmpCount,1),"&lt;&gt;")&gt;0,VLOOKUP($C135,EmpAll,COLUMN(Emp!$R$4)+MATCH(AT$5,DedListItem,0)-1,0),OFFSET(Setup!$E$73,MATCH(AT$5,DedListItem,0),0,1,1))*AT$3))),IF(ISNUMBER(AT$4),AT$4,IgnoreMin)))))</f>
        <v>0</v>
      </c>
      <c r="AU135" s="148" cm="1">
        <f t="array" aca="1" ref="AU135" ca="1">-IF($F135="Terminated",0,IF($AA135=0,0,IF(ISNA(MATCH(AU$5,PayDedList,0)),0,MIN(IF(COUNTIFS(OverEmp,$C135,OverDeduct,AU$5,OverDate,"&lt;"&amp;DATE(YEAR($AC135),MONTH($AC135)+1,1),OverEnd,"&gt;="&amp;DATE(YEAR($AC135),MONTH($AC135),1))&gt;0,SUMPRODUCT((PayEmp=$C135)*(PayDate&lt;=$AC135)*(OFFSET($N$6,1,MATCH(AU$5,PayDedList,0)-1,PayCount,1)))/$AA135*12*AU$3,IF(OR(AU$1="Fixed",AU$1="Not Used"),SUMPRODUCT((PayEmp=$C135)*(PayDate&lt;=$AC135)*(OFFSET($N$6,1,MATCH(AU$5,PayDedList,0)-1,PayCount,1)))/$AA135*12*AU$3,IF(ISNA(MATCH(OFFSET($N$2,0,MATCH(AU$5,PayDedList,0)-1,1,1),EarnListItem,0))=FALSE,SUMPRODUCT((PayEmp=$C135)*(PayDate&lt;=$AC135)*(OFFSET($N$6,1,MATCH(AU$5,PayDedList,0)-1,PayCount,1)))/$AA135*12*AU$3,(MIN(SUMPRODUCT((PayEmp=$C135)*(PayDate&lt;=$AC135)*(ISERROR(SEARCH(PayEarnCode,AU$2)))*(PayEarnType="Monthly")*(PayEarnValues))/$AA135*12,IF(ISNUMBER(OFFSET($N$3,0,MATCH(AU$5,PayDedList,0)-1,1,1)),OFFSET($N$3,0,MATCH(AU$5,PayDedList,0)-1,1,1),IgnoreMin)))*IF(COUNTIFS(EmpNo,$C135,OFFSET(Emp!$R$4,1,MATCH(AU$5,DedListItem,0)-1,EmpCount,1),"&lt;&gt;")&gt;0,VLOOKUP($C135,EmpAll,COLUMN(Emp!$R$4)+MATCH(AU$5,DedListItem,0)-1,0),OFFSET(Setup!$E$73,MATCH(AU$5,DedListItem,0),0,1,1))*AU$3))),IF(ISNUMBER(AU$4),AU$4,IgnoreMin)))))</f>
        <v>0</v>
      </c>
      <c r="AV135" s="148" cm="1">
        <f t="array" aca="1" ref="AV135" ca="1">-IF($F135="Terminated",0,IF($AA135=0,0,IF(ISNA(MATCH(AV$5,PayDedList,0)),0,MIN(IF(COUNTIFS(OverEmp,$C135,OverDeduct,AV$5,OverDate,"&lt;"&amp;DATE(YEAR($AC135),MONTH($AC135)+1,1),OverEnd,"&gt;="&amp;DATE(YEAR($AC135),MONTH($AC135),1))&gt;0,SUMPRODUCT((PayEmp=$C135)*(PayDate&lt;=$AC135)*(OFFSET($N$6,1,MATCH(AV$5,PayDedList,0)-1,PayCount,1)))/$AA135*12*AV$3,IF(OR(AV$1="Fixed",AV$1="Not Used"),SUMPRODUCT((PayEmp=$C135)*(PayDate&lt;=$AC135)*(OFFSET($N$6,1,MATCH(AV$5,PayDedList,0)-1,PayCount,1)))/$AA135*12*AV$3,IF(ISNA(MATCH(OFFSET($N$2,0,MATCH(AV$5,PayDedList,0)-1,1,1),EarnListItem,0))=FALSE,SUMPRODUCT((PayEmp=$C135)*(PayDate&lt;=$AC135)*(OFFSET($N$6,1,MATCH(AV$5,PayDedList,0)-1,PayCount,1)))/$AA135*12*AV$3,(MIN(SUMPRODUCT((PayEmp=$C135)*(PayDate&lt;=$AC135)*(ISERROR(SEARCH(PayEarnCode,AV$2)))*(PayEarnType="Monthly")*(PayEarnValues))/$AA135*12,IF(ISNUMBER(OFFSET($N$3,0,MATCH(AV$5,PayDedList,0)-1,1,1)),OFFSET($N$3,0,MATCH(AV$5,PayDedList,0)-1,1,1),IgnoreMin)))*IF(COUNTIFS(EmpNo,$C135,OFFSET(Emp!$R$4,1,MATCH(AV$5,DedListItem,0)-1,EmpCount,1),"&lt;&gt;")&gt;0,VLOOKUP($C135,EmpAll,COLUMN(Emp!$R$4)+MATCH(AV$5,DedListItem,0)-1,0),OFFSET(Setup!$E$73,MATCH(AV$5,DedListItem,0),0,1,1))*AV$3))),IF(ISNUMBER(AV$4),AV$4,IgnoreMin)))))</f>
        <v>0</v>
      </c>
      <c r="AW135" s="148" cm="1">
        <f t="array" aca="1" ref="AW135" ca="1">-IF($F135="Terminated",0,IF($AA135=0,0,IF(ISNA(MATCH(AW$5,PayDedList,0)),0,MIN(IF(COUNTIFS(OverEmp,$C135,OverDeduct,AW$5,OverDate,"&lt;"&amp;DATE(YEAR($AC135),MONTH($AC135)+1,1),OverEnd,"&gt;="&amp;DATE(YEAR($AC135),MONTH($AC135),1))&gt;0,SUMPRODUCT((PayEmp=$C135)*(PayDate&lt;=$AC135)*(OFFSET($N$6,1,MATCH(AW$5,PayDedList,0)-1,PayCount,1)))/$AA135*12*AW$3,IF(OR(AW$1="Fixed",AW$1="Not Used"),SUMPRODUCT((PayEmp=$C135)*(PayDate&lt;=$AC135)*(OFFSET($N$6,1,MATCH(AW$5,PayDedList,0)-1,PayCount,1)))/$AA135*12*AW$3,IF(ISNA(MATCH(OFFSET($N$2,0,MATCH(AW$5,PayDedList,0)-1,1,1),EarnListItem,0))=FALSE,SUMPRODUCT((PayEmp=$C135)*(PayDate&lt;=$AC135)*(OFFSET($N$6,1,MATCH(AW$5,PayDedList,0)-1,PayCount,1)))/$AA135*12*AW$3,(MIN(SUMPRODUCT((PayEmp=$C135)*(PayDate&lt;=$AC135)*(ISERROR(SEARCH(PayEarnCode,AW$2)))*(PayEarnType="Monthly")*(PayEarnValues))/$AA135*12,IF(ISNUMBER(OFFSET($N$3,0,MATCH(AW$5,PayDedList,0)-1,1,1)),OFFSET($N$3,0,MATCH(AW$5,PayDedList,0)-1,1,1),IgnoreMin)))*IF(COUNTIFS(EmpNo,$C135,OFFSET(Emp!$R$4,1,MATCH(AW$5,DedListItem,0)-1,EmpCount,1),"&lt;&gt;")&gt;0,VLOOKUP($C135,EmpAll,COLUMN(Emp!$R$4)+MATCH(AW$5,DedListItem,0)-1,0),OFFSET(Setup!$E$73,MATCH(AW$5,DedListItem,0),0,1,1))*AW$3))),IF(ISNUMBER(AW$4),AW$4,IgnoreMin)))))</f>
        <v>0</v>
      </c>
      <c r="AX135" s="148">
        <f t="shared" ref="AX135:AX166" ca="1" si="73">$AS135+SUM(OFFSET($AT135,0,0,1,COLUMN($AX$2)-COLUMN($AT$2)))</f>
        <v>108000</v>
      </c>
      <c r="AY135" s="148">
        <f t="shared" ref="AY135:AY166" ca="1" si="74">AR135-AX135</f>
        <v>0</v>
      </c>
      <c r="AZ135" s="148">
        <f ca="1">IF(ISNUMBER($AL135),($AR135*$AL135)-$AI135-$AK135,MAX(0,IF($AL135="B",IF($AR135&lt;Setup!$C$32,($AR135*Setup!$D$32)-$AI135-$AK135,(($AR135-VLOOKUP($AR135,TaxAll2,1,1))*OFFSET(Setup!$D$32,MATCH($AR135,TaxBracket2,1),0,1,1))+OFFSET(Setup!$E$31,MATCH($AR135,TaxBracket2,1),0,1,1)-$AI135-$AK135),IF($AR135&lt;Setup!$C$21,($AR135*Setup!$D$21)-$AI135-$AK135,(($AR135-VLOOKUP($AR135,TaxAll1,1,1))*OFFSET(Setup!$D$21,MATCH($AR135,TaxBracket1,1),0,1,1))+OFFSET(Setup!$E$20,MATCH($AR135,TaxBracket1,1),0,1,1)-$AI135-$AK135))))</f>
        <v>2205</v>
      </c>
      <c r="BA135" s="148">
        <f ca="1">IF(ISNUMBER($AL135),($AX135*$AL135)-$AI135-$AK135,MAX(0,IF($AL135="B",IF($AX135&lt;Setup!$C$32,($AX135*Setup!$D$32)-$AI135-$AK135,(($AX135-VLOOKUP($AX135,TaxAll2,1,1))*OFFSET(Setup!$D$32,MATCH($AX135,TaxBracket2,1),0,1,1))+OFFSET(Setup!$E$31,MATCH($AX135,TaxBracket2,1),0,1,1)-$AI135-$AK135),IF($AX135&lt;Setup!$C$21,($AX135*Setup!$D$21)-$AI135-$AK135,(($AX135-VLOOKUP($AX135,TaxAll1,1,1))*OFFSET(Setup!$D$21,MATCH($AX135,TaxBracket1,1),0,1,1))+OFFSET(Setup!$E$20,MATCH($AX135,TaxBracket1,1),0,1,1)-$AI135-$AK135))))</f>
        <v>2205</v>
      </c>
      <c r="BB135" s="148">
        <f t="shared" ca="1" si="65"/>
        <v>0</v>
      </c>
      <c r="BC135" s="150">
        <f t="shared" ref="BC135:BC198" ca="1" si="75">IF($AA135=0,0,IF($BE135=0,0,(SUMPRODUCT((PayEmp=$C135)*(PayDate&lt;=$AC135)*(ISERROR(SEARCH(PayEarnCode,O$4)))*(PayEarnType="Monthly")*(PayEarnValues))/$AA135*12)/$BE135))</f>
        <v>1</v>
      </c>
      <c r="BD135" s="150">
        <f t="shared" ref="BD135:BD198" ca="1" si="76">IF($BE135=0,0,(SUMPRODUCT((PayEmp=$C135)*(PayDate&lt;=$AC135)*(ISERROR(SEARCH(PayEarnCode,N$4)))*(PayEarnType="Annual")*(PayEarnValues)))/$BE135)</f>
        <v>0</v>
      </c>
      <c r="BE135" s="148">
        <f t="shared" ref="BE135:BE198" ca="1" si="77">IF($AA135=0,0,((SUMPRODUCT((PayEmp=$C135)*(PayDate&lt;=$AC135)*(ISERROR(SEARCH(PayEarnCode,O$4)))*(PayEarnType="Monthly")*(PayEarnValues))/$AA135*12)+(SUMPRODUCT((PayEmp=$C135)*(PayDate&lt;=$AC135)*(ISERROR(SEARCH(PayEarnCode,N$4)))*(PayEarnType="Annual")*(PayEarnValues)))))</f>
        <v>108000</v>
      </c>
    </row>
    <row r="136" spans="1:57" ht="16.149999999999999" customHeight="1" x14ac:dyDescent="0.25">
      <c r="A136" s="10" t="str" cm="1">
        <f t="array" aca="1" ref="A136" ca="1">IF(ROW($A136)-ROW($A$6)&gt;EmpCount*12,"-",TEXT($B136,"yyyy")&amp;TEXT($B136,"mm")&amp;"-"&amp;$C136)</f>
        <v>202311-EXS010</v>
      </c>
      <c r="B136" s="137" cm="1">
        <f t="array" aca="1" ref="B136" ca="1">IF(ROW($A136)-ROW($A$6)&gt;EmpCount*12,Setup!$D$12,DATE(YEAR(Setup!$F$12),MONTH(Setup!$F$12)+ROUNDDOWN((ROW($A136)-ROW($A$6)-1)/EmpCount,0),IF(Setup!$C$14&gt;DAY(DATE(YEAR(Setup!$F$12),MONTH(Setup!$F$12)+ROUNDDOWN((ROW($A136)-ROW($A$6)-1)/EmpCount,0)+1,0)),DAY(DATE(YEAR(Setup!$F$12),MONTH(Setup!$F$12)+ROUNDDOWN((ROW($A136)-ROW($A$6)-1)/EmpCount,0)+1,0)),Setup!$C$14)))</f>
        <v>45255</v>
      </c>
      <c r="C136" s="101" t="str" cm="1">
        <f t="array" aca="1" ref="C136" ca="1">IF(ROW($A136)-ROW($A$6)&gt;EmpCount*12,"-",OFFSET(Emp!$A$4,ROW($A136)-ROW($A$6)-IF(ROW($A136)-ROW($A$6)&gt;EmpCount,ROUNDDOWN((ROW($A136)-ROW($A$6)-1)/EmpCount,0)*EmpCount,0),0,1,1))</f>
        <v>EXS010</v>
      </c>
      <c r="D136" s="10" t="str">
        <f ca="1">IF(ISNA(VLOOKUP($C136,EmpAll,COLUMN(Emp!$B$4),0)),"-",VLOOKUP($C136,EmpAll,COLUMN(Emp!$B$4),0))</f>
        <v>Lewis I</v>
      </c>
      <c r="E136" s="145" t="str">
        <f ca="1">IF(ISNA(VLOOKUP($C136,EmpAll,COLUMN(Emp!$C$4),0)),"-",VLOOKUP($C136,EmpAll,COLUMN(Emp!$C$4),0))</f>
        <v>A</v>
      </c>
      <c r="F136" s="101" t="str">
        <f ca="1">IF(ISNA(VLOOKUP($C136,EmpAll,COLUMN(Emp!$A$4),0)),"-",IF(AND(VLOOKUP($C136,EmpAll,COLUMN(Emp!$E$4),0)&lt;&gt;0,VLOOKUP($C136,EmpAll,COLUMN(Emp!$E$4),0)&gt;=DATE(YEAR($AC136),MONTH($AC136)+1,0)),"Inactive",IF(AND(VLOOKUP($C136,EmpAll,COLUMN(Emp!$F$4),0)&lt;&gt;0,VLOOKUP($C136,EmpAll,COLUMN(Emp!$F$4),0)&lt;=DATE(YEAR($AC136),MONTH($AC136),0)),"Terminated","Active")))</f>
        <v>Active</v>
      </c>
      <c r="G136" s="133" cm="1">
        <f t="array" aca="1" ref="G136" ca="1">IF($F136&lt;&gt;"Active",0,IF(COUNTIFS(OverEmp,$C136,OverEarn,G$2,OverDate,"&lt;"&amp;DATE(YEAR($AC136),MONTH($AC136)+1,1),OverEnd,"&gt;="&amp;DATE(YEAR($AC136),MONTH($AC136),1))&gt;0,SUMIFS(OverValue,OverEmp,$C136,OverEarn,G$2,OverDate,"&lt;"&amp;DATE(YEAR($AC136),MONTH($AC136)+1,1),OverEnd,"&gt;="&amp;DATE(YEAR($AC136),MONTH($AC136),1)),IF(AND($AC136&gt;=Setup!$E$10,SUMIFS(EmpIncrease,EmpCode,$C136)&gt;0),SUMIFS(EmpIncrease,EmpCode,$C136),SUMIFS(EmpSalary,EmpCode,$C136))))</f>
        <v>9000</v>
      </c>
      <c r="H136" s="133" cm="1">
        <f t="array" aca="1" ref="H136" ca="1">IF($F136&lt;&gt;"Active",0,IF(COUNTIFS(OverEmp,$C136,OverEarn,H$2,OverDate,"&lt;"&amp;DATE(YEAR($AC136),MONTH($AC136)+1,1),OverEnd,"&gt;="&amp;DATE(YEAR($AC136),MONTH($AC136),1))&gt;0,SUMIFS(OverValue,OverEmp,$C136,OverEarn,H$2,OverDate,"&lt;"&amp;DATE(YEAR($AC136),MONTH($AC136)+1,1),OverEnd,"&gt;="&amp;DATE(YEAR($AC136),MONTH($AC136),1)),0))</f>
        <v>0</v>
      </c>
      <c r="I136" s="133" cm="1">
        <f t="array" aca="1" ref="I136" ca="1">IF($F136&lt;&gt;"Active",0,IF(COUNTIFS(OverEmp,$C136,OverEarn,I$2,OverDate,"&lt;"&amp;DATE(YEAR($AC136),MONTH($AC136)+1,1),OverEnd,"&gt;="&amp;DATE(YEAR($AC136),MONTH($AC136),1))&gt;0,SUMIFS(OverValue,OverEmp,$C136,OverEarn,I$2,OverDate,"&lt;"&amp;DATE(YEAR($AC136),MONTH($AC136)+1,1),OverEnd,"&gt;="&amp;DATE(YEAR($AC136),MONTH($AC136),1)),IF(MONTH(B136)=Setup!$C$15,SUMIFS(EmpBonus,EmpCode,$C136),0)))</f>
        <v>0</v>
      </c>
      <c r="J136" s="133" cm="1">
        <f t="array" aca="1" ref="J136" ca="1">IF($F136&lt;&gt;"Active",0,IF(COUNTIFS(OverEmp,$C136,OverEarn,J$2,OverDate,"&lt;"&amp;DATE(YEAR($AC136),MONTH($AC136)+1,1),OverEnd,"&gt;="&amp;DATE(YEAR($AC136),MONTH($AC136),1))&gt;0,SUMIFS(OverValue,OverEmp,$C136,OverEarn,J$2,OverDate,"&lt;"&amp;DATE(YEAR($AC136),MONTH($AC136)+1,1),OverEnd,"&gt;="&amp;DATE(YEAR($AC136),MONTH($AC136),1)),0))</f>
        <v>0</v>
      </c>
      <c r="K136" s="133" cm="1">
        <f t="array" aca="1" ref="K136" ca="1">IF($F136&lt;&gt;"Active",0,IF(COUNTIFS(OverEmp,$C136,OverEarn,K$2,OverDate,"&lt;"&amp;DATE(YEAR($AC136),MONTH($AC136)+1,1),OverEnd,"&gt;="&amp;DATE(YEAR($AC136),MONTH($AC136),1))&gt;0,SUMIFS(OverValue,OverEmp,$C136,OverEarn,K$2,OverDate,"&lt;"&amp;DATE(YEAR($AC136),MONTH($AC136)+1,1),OverEnd,"&gt;="&amp;DATE(YEAR($AC136),MONTH($AC136),1)),0))</f>
        <v>0</v>
      </c>
      <c r="L136" s="185">
        <f t="shared" ca="1" si="66"/>
        <v>9000</v>
      </c>
      <c r="M136" s="182" cm="1">
        <f t="array" aca="1" ref="M136" ca="1">IF(COUNTIFS(OverEmp,$C136,OverTax,M$5,OverDate,"&lt;"&amp;DATE(YEAR($AC136),MONTH($AC136)+1,1),OverEnd,"&gt;="&amp;DATE(YEAR($AC136),MONTH($AC136),1))&gt;0,SUMIFS(OverValue,OverEmp,$C136,OverTax,M$5,OverDate,"&lt;"&amp;DATE(YEAR($AC136),MONTH($AC136)+1,1),OverEnd,"&gt;="&amp;DATE(YEAR($AC136),MONTH($AC136),1)),(($BA136/12*$AA136)+(BB136*IF(1-$BC136=0,0,BD136/(1-$BC136))))-IF($F136="Terminated",0,SUMIFS(PayTaxDeduct,PayDate,"&lt;"&amp;$AC136,PayEmp,$C136)))</f>
        <v>183.75</v>
      </c>
      <c r="N136" s="133" cm="1">
        <f t="array" aca="1" ref="N136" ca="1">IF($F136="Terminated",0,IF($AA136=0,0,IF(ISNA(MATCH(N$5,DedListItem,0)),0,IF(COUNTIFS(OverEmp,$C136,OverDeduct,N$5,OverDate,"&lt;"&amp;DATE(YEAR($AC136),MONTH($AC136)+1,1),OverEnd,"&gt;="&amp;DATE(YEAR($AC136),MONTH($AC136),1))&gt;0,SUMIFS(OverValue,OverEmp,$C136,OverDeduct,N$5,OverDate,"&lt;"&amp;DATE(YEAR($AC136),MONTH($AC136)+1,1),OverEnd,"&gt;="&amp;DATE(YEAR($AC136),MONTH($AC136),1)),IF(OR(N$2="Fixed",N$2="Not Used"),(IF(COUNTIFS(EmpNo,$C136,OFFSET(Emp!$R$4,1,MATCH(N$5,DedListItem,0)-1,EmpCount,1),"&lt;&gt;")&gt;0,VLOOKUP($C136,EmpAll,COLUMN(Emp!$R$4)+MATCH(N$5,DedListItem,0)-1,0),OFFSET(Setup!$E$73,MATCH(N$5,DedListItem,0),0,1,1))*$AA136)-SUMIFS(OFFSET(N$6,1,0,PayCount,1),PayDate,"&lt;"&amp;$AC136,PayEmp,$C136),IF(ISNA(MATCH(N$2,EarnListItem,0))=FALSE,IF(OFFSET(Setup!$G$73,MATCH(N$5,DedListItem,0),0,1,1)="Taxable",SUMPRODUCT((PayEmp=$C136)*(PayDate&lt;=$AC136)*(PayEarnCode=N$2)*(PayEarnTax)*(PayEarnValues)),SUMPRODUCT((PayEmp=$C136)*(PayDate&lt;=$AC136)*(PayEarnCode=N$2)*(PayEarnValues)))*IF(COUNTIFS(EmpNo,$C136,OFFSET(Emp!$R$4,1,MATCH(N$5,DedListItem,0)-1,EmpCount,1),"&lt;&gt;")&gt;0,VLOOKUP($C136,EmpAll,COLUMN(Emp!$R$4)+MATCH(N$5,DedListItem,0)-1,0),OFFSET(Setup!$E$73,MATCH(N$5,DedListItem,0),0,1,1)),(MIN(IF(OFFSET(Setup!$G$73,MATCH(N$5,DedListItem,0),0,1,1)="Taxable",SUMPRODUCT((PayEmp=$C136)*(PayDate&lt;=$AC136)*(ISERROR(SEARCH(PayEarnCode,N$4)))*(PayEarnTax)*(PayEarnValues)),SUMPRODUCT((PayEmp=$C136)*(PayDate&lt;=$AC136)*(ISERROR(SEARCH(PayEarnCode,N$4)))*(PayEarnValues))),IF(ISNUMBER(N$3),N$3/12*$AA136,IgnoreMin)))*IF(COUNTIFS(EmpNo,$C136,OFFSET(Emp!$R$4,1,MATCH(N$5,DedListItem,0)-1,EmpCount,1),"&lt;&gt;")&gt;0,VLOOKUP($C136,EmpAll,COLUMN(Emp!$R$4)+MATCH(N$5,DedListItem,0)-1,0),OFFSET(Setup!$E$73,MATCH(N$5,DedListItem,0),0,1,1)))-SUMIFS(OFFSET(N$6,1,0,PayCount,1),PayDate,"&lt;"&amp;$AC136,PayEmp,$C136))))))</f>
        <v>90</v>
      </c>
      <c r="O136" s="133" cm="1">
        <f t="array" aca="1" ref="O136" ca="1">IF($F136="Terminated",0,IF($AA136=0,0,IF(ISNA(MATCH(O$5,DedListItem,0)),0,IF(COUNTIFS(OverEmp,$C136,OverDeduct,O$5,OverDate,"&lt;"&amp;DATE(YEAR($AC136),MONTH($AC136)+1,1),OverEnd,"&gt;="&amp;DATE(YEAR($AC136),MONTH($AC136),1))&gt;0,SUMIFS(OverValue,OverEmp,$C136,OverDeduct,O$5,OverDate,"&lt;"&amp;DATE(YEAR($AC136),MONTH($AC136)+1,1),OverEnd,"&gt;="&amp;DATE(YEAR($AC136),MONTH($AC136),1)),IF(OR(O$2="Fixed",O$2="Not Used"),(IF(COUNTIFS(EmpNo,$C136,OFFSET(Emp!$R$4,1,MATCH(O$5,DedListItem,0)-1,EmpCount,1),"&lt;&gt;")&gt;0,VLOOKUP($C136,EmpAll,COLUMN(Emp!$R$4)+MATCH(O$5,DedListItem,0)-1,0),OFFSET(Setup!$E$73,MATCH(O$5,DedListItem,0),0,1,1))*$AA136)-SUMIFS(OFFSET(O$6,1,0,PayCount,1),PayDate,"&lt;"&amp;$AC136,PayEmp,$C136),IF(ISNA(MATCH(O$2,EarnListItem,0))=FALSE,IF(OFFSET(Setup!$G$73,MATCH(O$5,DedListItem,0),0,1,1)="Taxable",SUMPRODUCT((PayEmp=$C136)*(PayDate&lt;=$AC136)*(PayEarnCode=O$2)*(PayEarnTax)*(PayEarnValues)),SUMPRODUCT((PayEmp=$C136)*(PayDate&lt;=$AC136)*(PayEarnCode=O$2)*(PayEarnValues)))*IF(COUNTIFS(EmpNo,$C136,OFFSET(Emp!$R$4,1,MATCH(O$5,DedListItem,0)-1,EmpCount,1),"&lt;&gt;")&gt;0,VLOOKUP($C136,EmpAll,COLUMN(Emp!$R$4)+MATCH(O$5,DedListItem,0)-1,0),OFFSET(Setup!$E$73,MATCH(O$5,DedListItem,0),0,1,1)),(MIN(IF(OFFSET(Setup!$G$73,MATCH(O$5,DedListItem,0),0,1,1)="Taxable",SUMPRODUCT((PayEmp=$C136)*(PayDate&lt;=$AC136)*(ISERROR(SEARCH(PayEarnCode,O$4)))*(PayEarnTax)*(PayEarnValues)),SUMPRODUCT((PayEmp=$C136)*(PayDate&lt;=$AC136)*(ISERROR(SEARCH(PayEarnCode,O$4)))*(PayEarnValues))),IF(ISNUMBER(O$3),O$3/12*$AA136,IgnoreMin)))*IF(COUNTIFS(EmpNo,$C136,OFFSET(Emp!$R$4,1,MATCH(O$5,DedListItem,0)-1,EmpCount,1),"&lt;&gt;")&gt;0,VLOOKUP($C136,EmpAll,COLUMN(Emp!$R$4)+MATCH(O$5,DedListItem,0)-1,0),OFFSET(Setup!$E$73,MATCH(O$5,DedListItem,0),0,1,1)))-SUMIFS(OFFSET(O$6,1,0,PayCount,1),PayDate,"&lt;"&amp;$AC136,PayEmp,$C136))))))</f>
        <v>0</v>
      </c>
      <c r="P136" s="133" cm="1">
        <f t="array" aca="1" ref="P136" ca="1">IF($F136="Terminated",0,IF($AA136=0,0,IF(ISNA(MATCH(P$5,DedListItem,0)),0,IF(COUNTIFS(OverEmp,$C136,OverDeduct,P$5,OverDate,"&lt;"&amp;DATE(YEAR($AC136),MONTH($AC136)+1,1),OverEnd,"&gt;="&amp;DATE(YEAR($AC136),MONTH($AC136),1))&gt;0,SUMIFS(OverValue,OverEmp,$C136,OverDeduct,P$5,OverDate,"&lt;"&amp;DATE(YEAR($AC136),MONTH($AC136)+1,1),OverEnd,"&gt;="&amp;DATE(YEAR($AC136),MONTH($AC136),1)),IF(OR(P$2="Fixed",P$2="Not Used"),(IF(COUNTIFS(EmpNo,$C136,OFFSET(Emp!$R$4,1,MATCH(P$5,DedListItem,0)-1,EmpCount,1),"&lt;&gt;")&gt;0,VLOOKUP($C136,EmpAll,COLUMN(Emp!$R$4)+MATCH(P$5,DedListItem,0)-1,0),OFFSET(Setup!$E$73,MATCH(P$5,DedListItem,0),0,1,1))*$AA136)-SUMIFS(OFFSET(P$6,1,0,PayCount,1),PayDate,"&lt;"&amp;$AC136,PayEmp,$C136),IF(ISNA(MATCH(P$2,EarnListItem,0))=FALSE,IF(OFFSET(Setup!$G$73,MATCH(P$5,DedListItem,0),0,1,1)="Taxable",SUMPRODUCT((PayEmp=$C136)*(PayDate&lt;=$AC136)*(PayEarnCode=P$2)*(PayEarnTax)*(PayEarnValues)),SUMPRODUCT((PayEmp=$C136)*(PayDate&lt;=$AC136)*(PayEarnCode=P$2)*(PayEarnValues)))*IF(COUNTIFS(EmpNo,$C136,OFFSET(Emp!$R$4,1,MATCH(P$5,DedListItem,0)-1,EmpCount,1),"&lt;&gt;")&gt;0,VLOOKUP($C136,EmpAll,COLUMN(Emp!$R$4)+MATCH(P$5,DedListItem,0)-1,0),OFFSET(Setup!$E$73,MATCH(P$5,DedListItem,0),0,1,1)),(MIN(IF(OFFSET(Setup!$G$73,MATCH(P$5,DedListItem,0),0,1,1)="Taxable",SUMPRODUCT((PayEmp=$C136)*(PayDate&lt;=$AC136)*(ISERROR(SEARCH(PayEarnCode,P$4)))*(PayEarnTax)*(PayEarnValues)),SUMPRODUCT((PayEmp=$C136)*(PayDate&lt;=$AC136)*(ISERROR(SEARCH(PayEarnCode,P$4)))*(PayEarnValues))),IF(ISNUMBER(P$3),P$3/12*$AA136,IgnoreMin)))*IF(COUNTIFS(EmpNo,$C136,OFFSET(Emp!$R$4,1,MATCH(P$5,DedListItem,0)-1,EmpCount,1),"&lt;&gt;")&gt;0,VLOOKUP($C136,EmpAll,COLUMN(Emp!$R$4)+MATCH(P$5,DedListItem,0)-1,0),OFFSET(Setup!$E$73,MATCH(P$5,DedListItem,0),0,1,1)))-SUMIFS(OFFSET(P$6,1,0,PayCount,1),PayDate,"&lt;"&amp;$AC136,PayEmp,$C136))))))</f>
        <v>0</v>
      </c>
      <c r="Q136" s="133" cm="1">
        <f t="array" aca="1" ref="Q136" ca="1">IF($F136="Terminated",0,IF($AA136=0,0,IF(ISNA(MATCH(Q$5,DedListItem,0)),0,IF(COUNTIFS(OverEmp,$C136,OverDeduct,Q$5,OverDate,"&lt;"&amp;DATE(YEAR($AC136),MONTH($AC136)+1,1),OverEnd,"&gt;="&amp;DATE(YEAR($AC136),MONTH($AC136),1))&gt;0,SUMIFS(OverValue,OverEmp,$C136,OverDeduct,Q$5,OverDate,"&lt;"&amp;DATE(YEAR($AC136),MONTH($AC136)+1,1),OverEnd,"&gt;="&amp;DATE(YEAR($AC136),MONTH($AC136),1)),IF(OR(Q$2="Fixed",Q$2="Not Used"),(IF(COUNTIFS(EmpNo,$C136,OFFSET(Emp!$R$4,1,MATCH(Q$5,DedListItem,0)-1,EmpCount,1),"&lt;&gt;")&gt;0,VLOOKUP($C136,EmpAll,COLUMN(Emp!$R$4)+MATCH(Q$5,DedListItem,0)-1,0),OFFSET(Setup!$E$73,MATCH(Q$5,DedListItem,0),0,1,1))*$AA136)-SUMIFS(OFFSET(Q$6,1,0,PayCount,1),PayDate,"&lt;"&amp;$AC136,PayEmp,$C136),IF(ISNA(MATCH(Q$2,EarnListItem,0))=FALSE,IF(OFFSET(Setup!$G$73,MATCH(Q$5,DedListItem,0),0,1,1)="Taxable",SUMPRODUCT((PayEmp=$C136)*(PayDate&lt;=$AC136)*(PayEarnCode=Q$2)*(PayEarnTax)*(PayEarnValues)),SUMPRODUCT((PayEmp=$C136)*(PayDate&lt;=$AC136)*(PayEarnCode=Q$2)*(PayEarnValues)))*IF(COUNTIFS(EmpNo,$C136,OFFSET(Emp!$R$4,1,MATCH(Q$5,DedListItem,0)-1,EmpCount,1),"&lt;&gt;")&gt;0,VLOOKUP($C136,EmpAll,COLUMN(Emp!$R$4)+MATCH(Q$5,DedListItem,0)-1,0),OFFSET(Setup!$E$73,MATCH(Q$5,DedListItem,0),0,1,1)),(MIN(IF(OFFSET(Setup!$G$73,MATCH(Q$5,DedListItem,0),0,1,1)="Taxable",SUMPRODUCT((PayEmp=$C136)*(PayDate&lt;=$AC136)*(ISERROR(SEARCH(PayEarnCode,Q$4)))*(PayEarnTax)*(PayEarnValues)),SUMPRODUCT((PayEmp=$C136)*(PayDate&lt;=$AC136)*(ISERROR(SEARCH(PayEarnCode,Q$4)))*(PayEarnValues))),IF(ISNUMBER(Q$3),Q$3/12*$AA136,IgnoreMin)))*IF(COUNTIFS(EmpNo,$C136,OFFSET(Emp!$R$4,1,MATCH(Q$5,DedListItem,0)-1,EmpCount,1),"&lt;&gt;")&gt;0,VLOOKUP($C136,EmpAll,COLUMN(Emp!$R$4)+MATCH(Q$5,DedListItem,0)-1,0),OFFSET(Setup!$E$73,MATCH(Q$5,DedListItem,0),0,1,1)))-SUMIFS(OFFSET(Q$6,1,0,PayCount,1),PayDate,"&lt;"&amp;$AC136,PayEmp,$C136))))))</f>
        <v>0</v>
      </c>
      <c r="R136" s="185">
        <f t="shared" ca="1" si="67"/>
        <v>273.75</v>
      </c>
      <c r="S136" s="139">
        <f t="shared" ca="1" si="68"/>
        <v>8726.25</v>
      </c>
      <c r="T136" s="133" cm="1">
        <f t="array" aca="1" ref="T136" ca="1">IF($F136="Terminated",0,IF($AA136=0,0,IF(ISNA(MATCH(T$5,CompListItem,0)),0,IF(COUNTIFS(OverEmp,$C136,OverComp,T$5,OverDate,"&lt;"&amp;DATE(YEAR($AC136),MONTH($AC136)+1,1),OverEnd,"&gt;="&amp;DATE(YEAR($AC136),MONTH($AC136),1))&gt;0,SUMIFS(OverValue,OverEmp,$C136,OverComp,T$5,OverDate,"&lt;"&amp;DATE(YEAR($AC136),MONTH($AC136)+1,1),OverEnd,"&gt;="&amp;DATE(YEAR($AC136),MONTH($AC136),1)),IF(OR(T$2="Fixed",T$2="Not Used"),(OFFSET(Setup!$E$81,MATCH(T$5,CompListItem,0),0,1,1)*$AA136)-SUMIFS(OFFSET(T$6,1,0,PayCount,1),PayDate,"&lt;"&amp;$AC136,PayEmp,$C136),IF(ISNA(MATCH(T$2,DedListItem,0))=FALSE,(SUMPRODUCT((PayEmp=$C136)*(PayDate&lt;=$AC136)*(PayDedList=T$2)*(PayDedValues))*OFFSET(Setup!$E$81,MATCH(T$5,CompListItem,0),0,1,1))-SUMIFS(OFFSET(T$6,1,0,PayCount,1),PayDate,"&lt;"&amp;$AC136,PayEmp,$C136),(MIN(IF(OFFSET(Setup!$G$81,MATCH(T$5,CompListItem,0),0,1,1)="Taxable",SUMPRODUCT((PayEmp=$C136)*(PayDate&lt;=$AC136)*(ISERROR(SEARCH(PayEarnCode,T$4)))*(PayEarnTax)*(PayEarnValues)),SUMPRODUCT((PayEmp=$C136)*(PayDate&lt;=$AC136)*(ISERROR(SEARCH(PayEarnCode,T$4)))*(PayEarnValues))),IF(ISNUMBER(T$3),T$3/12*$AA136,IgnoreMin)))*OFFSET(Setup!$E$81,MATCH(T$5,CompListItem,0),0,1,1)-SUMIFS(OFFSET(T$6,1,0,PayCount,1),PayDate,"&lt;"&amp;$AC136,PayEmp,$C136)))))))</f>
        <v>90</v>
      </c>
      <c r="U136" s="133" cm="1">
        <f t="array" aca="1" ref="U136" ca="1">IF($F136="Terminated",0,IF($AA136=0,0,IF(ISNA(MATCH(U$5,CompListItem,0)),0,IF(COUNTIFS(OverEmp,$C136,OverComp,U$5,OverDate,"&lt;"&amp;DATE(YEAR($AC136),MONTH($AC136)+1,1),OverEnd,"&gt;="&amp;DATE(YEAR($AC136),MONTH($AC136),1))&gt;0,SUMIFS(OverValue,OverEmp,$C136,OverComp,U$5,OverDate,"&lt;"&amp;DATE(YEAR($AC136),MONTH($AC136)+1,1),OverEnd,"&gt;="&amp;DATE(YEAR($AC136),MONTH($AC136),1)),IF(OR(U$2="Fixed",U$2="Not Used"),(OFFSET(Setup!$E$81,MATCH(U$5,CompListItem,0),0,1,1)*$AA136)-SUMIFS(OFFSET(U$6,1,0,PayCount,1),PayDate,"&lt;"&amp;$AC136,PayEmp,$C136),IF(ISNA(MATCH(U$2,DedListItem,0))=FALSE,(SUMPRODUCT((PayEmp=$C136)*(PayDate&lt;=$AC136)*(PayDedList=U$2)*(PayDedValues))*OFFSET(Setup!$E$81,MATCH(U$5,CompListItem,0),0,1,1))-SUMIFS(OFFSET(U$6,1,0,PayCount,1),PayDate,"&lt;"&amp;$AC136,PayEmp,$C136),(MIN(IF(OFFSET(Setup!$G$81,MATCH(U$5,CompListItem,0),0,1,1)="Taxable",SUMPRODUCT((PayEmp=$C136)*(PayDate&lt;=$AC136)*(ISERROR(SEARCH(PayEarnCode,U$4)))*(PayEarnTax)*(PayEarnValues)),SUMPRODUCT((PayEmp=$C136)*(PayDate&lt;=$AC136)*(ISERROR(SEARCH(PayEarnCode,U$4)))*(PayEarnValues))),IF(ISNUMBER(U$3),U$3/12*$AA136,IgnoreMin)))*OFFSET(Setup!$E$81,MATCH(U$5,CompListItem,0),0,1,1)-SUMIFS(OFFSET(U$6,1,0,PayCount,1),PayDate,"&lt;"&amp;$AC136,PayEmp,$C136)))))))</f>
        <v>90</v>
      </c>
      <c r="V136" s="133" cm="1">
        <f t="array" aca="1" ref="V136" ca="1">IF($F136="Terminated",0,IF($AA136=0,0,IF(ISNA(MATCH(V$5,CompListItem,0)),0,IF(COUNTIFS(OverEmp,$C136,OverComp,V$5,OverDate,"&lt;"&amp;DATE(YEAR($AC136),MONTH($AC136)+1,1),OverEnd,"&gt;="&amp;DATE(YEAR($AC136),MONTH($AC136),1))&gt;0,SUMIFS(OverValue,OverEmp,$C136,OverComp,V$5,OverDate,"&lt;"&amp;DATE(YEAR($AC136),MONTH($AC136)+1,1),OverEnd,"&gt;="&amp;DATE(YEAR($AC136),MONTH($AC136),1)),IF(OR(V$2="Fixed",V$2="Not Used"),(OFFSET(Setup!$E$81,MATCH(V$5,CompListItem,0),0,1,1)*$AA136)-SUMIFS(OFFSET(V$6,1,0,PayCount,1),PayDate,"&lt;"&amp;$AC136,PayEmp,$C136),IF(ISNA(MATCH(V$2,DedListItem,0))=FALSE,(SUMPRODUCT((PayEmp=$C136)*(PayDate&lt;=$AC136)*(PayDedList=V$2)*(PayDedValues))*OFFSET(Setup!$E$81,MATCH(V$5,CompListItem,0),0,1,1))-SUMIFS(OFFSET(V$6,1,0,PayCount,1),PayDate,"&lt;"&amp;$AC136,PayEmp,$C136),(MIN(IF(OFFSET(Setup!$G$81,MATCH(V$5,CompListItem,0),0,1,1)="Taxable",SUMPRODUCT((PayEmp=$C136)*(PayDate&lt;=$AC136)*(ISERROR(SEARCH(PayEarnCode,V$4)))*(PayEarnTax)*(PayEarnValues)),SUMPRODUCT((PayEmp=$C136)*(PayDate&lt;=$AC136)*(ISERROR(SEARCH(PayEarnCode,V$4)))*(PayEarnValues))),IF(ISNUMBER(V$3),V$3/12*$AA136,IgnoreMin)))*OFFSET(Setup!$E$81,MATCH(V$5,CompListItem,0),0,1,1)-SUMIFS(OFFSET(V$6,1,0,PayCount,1),PayDate,"&lt;"&amp;$AC136,PayEmp,$C136)))))))</f>
        <v>0</v>
      </c>
      <c r="W136" s="133" cm="1">
        <f t="array" aca="1" ref="W136" ca="1">IF($F136="Terminated",0,IF($AA136=0,0,IF(ISNA(MATCH(W$5,CompListItem,0)),0,IF(COUNTIFS(OverEmp,$C136,OverComp,W$5,OverDate,"&lt;"&amp;DATE(YEAR($AC136),MONTH($AC136)+1,1),OverEnd,"&gt;="&amp;DATE(YEAR($AC136),MONTH($AC136),1))&gt;0,SUMIFS(OverValue,OverEmp,$C136,OverComp,W$5,OverDate,"&lt;"&amp;DATE(YEAR($AC136),MONTH($AC136)+1,1),OverEnd,"&gt;="&amp;DATE(YEAR($AC136),MONTH($AC136),1)),IF(OR(W$2="Fixed",W$2="Not Used"),(OFFSET(Setup!$E$81,MATCH(W$5,CompListItem,0),0,1,1)*$AA136)-SUMIFS(OFFSET(W$6,1,0,PayCount,1),PayDate,"&lt;"&amp;$AC136,PayEmp,$C136),IF(ISNA(MATCH(W$2,DedListItem,0))=FALSE,(SUMPRODUCT((PayEmp=$C136)*(PayDate&lt;=$AC136)*(PayDedList=W$2)*(PayDedValues))*OFFSET(Setup!$E$81,MATCH(W$5,CompListItem,0),0,1,1))-SUMIFS(OFFSET(W$6,1,0,PayCount,1),PayDate,"&lt;"&amp;$AC136,PayEmp,$C136),(MIN(IF(OFFSET(Setup!$G$81,MATCH(W$5,CompListItem,0),0,1,1)="Taxable",SUMPRODUCT((PayEmp=$C136)*(PayDate&lt;=$AC136)*(ISERROR(SEARCH(PayEarnCode,W$4)))*(PayEarnTax)*(PayEarnValues)),SUMPRODUCT((PayEmp=$C136)*(PayDate&lt;=$AC136)*(ISERROR(SEARCH(PayEarnCode,W$4)))*(PayEarnValues))),IF(ISNUMBER(W$3),W$3/12*$AA136,IgnoreMin)))*OFFSET(Setup!$E$81,MATCH(W$5,CompListItem,0),0,1,1)-SUMIFS(OFFSET(W$6,1,0,PayCount,1),PayDate,"&lt;"&amp;$AC136,PayEmp,$C136)))))))</f>
        <v>0</v>
      </c>
      <c r="X136" s="185">
        <f t="shared" ca="1" si="60"/>
        <v>180</v>
      </c>
      <c r="Y136" s="139">
        <f t="shared" ca="1" si="69"/>
        <v>9180</v>
      </c>
      <c r="Z136" s="139">
        <f t="shared" ca="1" si="61"/>
        <v>453.75</v>
      </c>
      <c r="AA136" s="146">
        <f ca="1">IF(OR($B136&lt;=Setup!$E$12,$B136&gt;=Setup!$D$12+1),0,IF($F136&lt;&gt;"Active",0,IF($AE136="Yes",$AB136,((YEAR($AC136)*12)+MONTH($AC136))-((YEAR($AD136)*12)+MONTH($AD136)-1))))</f>
        <v>9</v>
      </c>
      <c r="AB136" s="146">
        <f ca="1">IF(OR($B136&lt;=Setup!$E$12,$B136&gt;=Setup!$D$12+1),0,((YEAR($AC136)*12)+MONTH($AC136))-((YEAR(Setup!$E$12)*12)+MONTH(Setup!$E$12)))</f>
        <v>9</v>
      </c>
      <c r="AC136" s="186">
        <f t="shared" ca="1" si="62"/>
        <v>45255</v>
      </c>
      <c r="AD136" s="144">
        <f ca="1">IF(ISNA(VLOOKUP($C136,EmpAll,COLUMN(Emp!$E$4),0)),$AC136,IF(VLOOKUP($C136,EmpAll,COLUMN(Emp!$E$4),0)&lt;=Setup!$E$12,DATE(YEAR(Setup!$E$12),MONTH(Setup!$E$12)+1,1),VLOOKUP($C136,EmpAll,COLUMN(Emp!$E$4),0)))</f>
        <v>44986</v>
      </c>
      <c r="AE136" s="144" t="str">
        <f ca="1">IF(ISNA(VLOOKUP($C136,EmpAll,COLUMN(Emp!$G$1),0)),"-",IF(VLOOKUP($C136,EmpAll,COLUMN(Emp!$G$1),0)=0,"-",VLOOKUP($C136,EmpAll,COLUMN(Emp!$G$1),0)))</f>
        <v>-</v>
      </c>
      <c r="AF136" s="145">
        <f ca="1">IF(A136=PaySlip!$G$3,1,0)</f>
        <v>0</v>
      </c>
      <c r="AG136" s="130" cm="1">
        <f t="array" aca="1" ref="AG136" ca="1">IF(COUNTIFS(OverEmp,$C136,OverMed,"MED",OverDate,"&lt;"&amp;DATE(YEAR($AC136),MONTH($AC136)+1,1),OverEnd,"&gt;="&amp;DATE(YEAR($AC136),MONTH($AC136),1))&gt;0,SUMIFS(OverValue,OverEmp,$C136,OverMed,"MED",OverDate,"&lt;"&amp;DATE(YEAR($AC136),MONTH($AC136)+1,1),OverEnd,"&gt;="&amp;DATE(YEAR($AC136),MONTH($AC136),1)),IF(ISNA(VLOOKUP($C136,EmpAll,COLUMN(Emp!$N$4),0)),0,VLOOKUP($C136,EmpAll,COLUMN(Emp!$N$4),0)))</f>
        <v>0</v>
      </c>
      <c r="AH136" s="146">
        <f ca="1">VLOOKUP($AG136,MedList,COLUMN(Setup!$C$49),1)</f>
        <v>0</v>
      </c>
      <c r="AI136" s="146">
        <f t="shared" ca="1" si="70"/>
        <v>0</v>
      </c>
      <c r="AJ136" s="101" t="str">
        <f ca="1">IF(ISNA(VLOOKUP($C136,EmpAll,COLUMN(Emp!$L$4),0)),"None!",VLOOKUP($C136,EmpAll,COLUMN(Emp!$L$4),0))</f>
        <v>A</v>
      </c>
      <c r="AK136" s="147">
        <f t="shared" ca="1" si="63"/>
        <v>17235</v>
      </c>
      <c r="AL136" s="101" t="str">
        <f ca="1">IF(ISNA(VLOOKUP($C136,Employees[],COLUMN(Emp!$M$4),0))=TRUE,"Error!",IF(VLOOKUP($C136,Employees[],COLUMN(Emp!$M$4),0)=0,"Yes",VLOOKUP($C136,Employees[],COLUMN(Emp!$M$4),0)))</f>
        <v>A</v>
      </c>
      <c r="AM136" s="148">
        <f t="shared" ca="1" si="71"/>
        <v>108000</v>
      </c>
      <c r="AN136" s="148" cm="1">
        <f t="array" aca="1" ref="AN136" ca="1">-IF($F136="Terminated",0,IF($AA136=0,0,IF(ISNA(MATCH(AN$5,PayDedList,0)),0,MIN(IF(COUNTIFS(OverEmp,$C136,OverDeduct,AN$5,OverDate,"&lt;"&amp;DATE(YEAR($AC136),MONTH($AC136)+1,1),OverEnd,"&gt;="&amp;DATE(YEAR($AC136),MONTH($AC136),1))&gt;0,SUMPRODUCT((PayEmp=$C136)*(PayDate&lt;=$AC136)*(OFFSET($N$6,1,MATCH(AN$5,PayDedList,0)-1,PayCount,1)))/$AA136*12*AN$3,IF(OR(AN$1="Fixed",AN$1="Not Used"),SUMPRODUCT((PayEmp=$C136)*(PayDate&lt;=$AC136)*(OFFSET($N$6,1,MATCH(AN$5,PayDedList,0)-1,PayCount,1)))/$AA136*12*AN$3,IF(ISNA(MATCH(AN$1,EarnListItem,0))=FALSE,SUMPRODUCT((PayEmp=$C136)*(PayDate&lt;=$AC136)*(OFFSET($N$6,1,MATCH(AN$5,PayDedList,0)-1,PayCount,1)))/$AA136*12*AN$3,(MIN(((SUMPRODUCT((PayEmp=$C136)*(PayDate&lt;=$AC136)*(ISERROR(SEARCH(PayEarnCode,AN$2)))*(PayEarnType="Monthly")*(PayEarnValues))/$AA136*12)+(SUMPRODUCT((PayEmp=$C136)*(PayDate&lt;=$AC136)*(ISERROR(SEARCH(PayEarnCode,AN$2)))*(PayEarnType="Quarterly")*(PayEarnValues))/MAX(1,ROUNDDOWN($AB136/3,0))*4)+(SUMPRODUCT((PayEmp=$C136)*(PayDate&lt;=$AC136)*(ISERROR(SEARCH(PayEarnCode,AN$2)))*(PayEarnType="Bi-Annual")*(PayEarnValues))/MAX(1,ROUNDDOWN($AB136/6,0))*2)+(SUMPRODUCT((PayEmp=$C136)*(PayDate&lt;=$AC136)*(ISERROR(SEARCH(PayEarnCode,AN$2)))*(PayEarnType="Annual")*(PayEarnValues)))),IF(ISNUMBER(OFFSET($N$3,0,MATCH(AN$5,PayDedList,0)-1,1,1)),OFFSET($N$3,0,MATCH(AN$5,PayDedList,0)-1,1,1),IgnoreMin)))*IF(COUNTIFS(EmpNo,$C136,OFFSET(Emp!$R$4,1,MATCH(AN$5,DedListItem,0)-1,EmpCount,1),"&lt;&gt;")&gt;0,VLOOKUP($C136,EmpAll,COLUMN(Emp!$R$4)+MATCH(AN$5,DedListItem,0)-1,0),OFFSET(Setup!$E$73,MATCH(AN$5,DedListItem,0),0,1,1))*AN$3))),IF(ISNUMBER(AN$4),AN$4,IgnoreMin)))))</f>
        <v>0</v>
      </c>
      <c r="AO136" s="148" cm="1">
        <f t="array" aca="1" ref="AO136" ca="1">-IF($F136="Terminated",0,IF($AA136=0,0,IF(ISNA(MATCH(AO$5,PayDedList,0)),0,MIN(IF(COUNTIFS(OverEmp,$C136,OverDeduct,AO$5,OverDate,"&lt;"&amp;DATE(YEAR($AC136),MONTH($AC136)+1,1),OverEnd,"&gt;="&amp;DATE(YEAR($AC136),MONTH($AC136),1))&gt;0,SUMPRODUCT((PayEmp=$C136)*(PayDate&lt;=$AC136)*(OFFSET($N$6,1,MATCH(AO$5,PayDedList,0)-1,PayCount,1)))/$AA136*12*AO$3,IF(OR(AO$1="Fixed",AO$1="Not Used"),SUMPRODUCT((PayEmp=$C136)*(PayDate&lt;=$AC136)*(OFFSET($N$6,1,MATCH(AO$5,PayDedList,0)-1,PayCount,1)))/$AA136*12*AO$3,IF(ISNA(MATCH(AO$1,EarnListItem,0))=FALSE,SUMPRODUCT((PayEmp=$C136)*(PayDate&lt;=$AC136)*(OFFSET($N$6,1,MATCH(AO$5,PayDedList,0)-1,PayCount,1)))/$AA136*12*AO$3,(MIN(((SUMPRODUCT((PayEmp=$C136)*(PayDate&lt;=$AC136)*(ISERROR(SEARCH(PayEarnCode,AO$2)))*(PayEarnType="Monthly")*(PayEarnValues))/$AA136*12)+(SUMPRODUCT((PayEmp=$C136)*(PayDate&lt;=$AC136)*(ISERROR(SEARCH(PayEarnCode,AO$2)))*(PayEarnType="Quarterly")*(PayEarnValues))/MAX(1,ROUNDDOWN($AB136/3,0))*4)+(SUMPRODUCT((PayEmp=$C136)*(PayDate&lt;=$AC136)*(ISERROR(SEARCH(PayEarnCode,AO$2)))*(PayEarnType="Bi-Annual")*(PayEarnValues))/MAX(1,ROUNDDOWN($AB136/6,0))*2)+(SUMPRODUCT((PayEmp=$C136)*(PayDate&lt;=$AC136)*(ISERROR(SEARCH(PayEarnCode,AO$2)))*(PayEarnType="Annual")*(PayEarnValues)))),IF(ISNUMBER(OFFSET($N$3,0,MATCH(AO$5,PayDedList,0)-1,1,1)),OFFSET($N$3,0,MATCH(AO$5,PayDedList,0)-1,1,1),IgnoreMin)))*IF(COUNTIFS(EmpNo,$C136,OFFSET(Emp!$R$4,1,MATCH(AO$5,DedListItem,0)-1,EmpCount,1),"&lt;&gt;")&gt;0,VLOOKUP($C136,EmpAll,COLUMN(Emp!$R$4)+MATCH(AO$5,DedListItem,0)-1,0),OFFSET(Setup!$E$73,MATCH(AO$5,DedListItem,0),0,1,1))*AO$3))),IF(ISNUMBER(AO$4),AO$4,IgnoreMin)))))</f>
        <v>0</v>
      </c>
      <c r="AP136" s="148" cm="1">
        <f t="array" aca="1" ref="AP136" ca="1">-IF($F136="Terminated",0,IF($AA136=0,0,IF(ISNA(MATCH(AP$5,PayDedList,0)),0,MIN(IF(COUNTIFS(OverEmp,$C136,OverDeduct,AP$5,OverDate,"&lt;"&amp;DATE(YEAR($AC136),MONTH($AC136)+1,1),OverEnd,"&gt;="&amp;DATE(YEAR($AC136),MONTH($AC136),1))&gt;0,SUMPRODUCT((PayEmp=$C136)*(PayDate&lt;=$AC136)*(OFFSET($N$6,1,MATCH(AP$5,PayDedList,0)-1,PayCount,1)))/$AA136*12*AP$3,IF(OR(AP$1="Fixed",AP$1="Not Used"),SUMPRODUCT((PayEmp=$C136)*(PayDate&lt;=$AC136)*(OFFSET($N$6,1,MATCH(AP$5,PayDedList,0)-1,PayCount,1)))/$AA136*12*AP$3,IF(ISNA(MATCH(AP$1,EarnListItem,0))=FALSE,SUMPRODUCT((PayEmp=$C136)*(PayDate&lt;=$AC136)*(OFFSET($N$6,1,MATCH(AP$5,PayDedList,0)-1,PayCount,1)))/$AA136*12*AP$3,(MIN(((SUMPRODUCT((PayEmp=$C136)*(PayDate&lt;=$AC136)*(ISERROR(SEARCH(PayEarnCode,AP$2)))*(PayEarnType="Monthly")*(PayEarnValues))/$AA136*12)+(SUMPRODUCT((PayEmp=$C136)*(PayDate&lt;=$AC136)*(ISERROR(SEARCH(PayEarnCode,AP$2)))*(PayEarnType="Quarterly")*(PayEarnValues))/MAX(1,ROUNDDOWN($AB136/3,0))*4)+(SUMPRODUCT((PayEmp=$C136)*(PayDate&lt;=$AC136)*(ISERROR(SEARCH(PayEarnCode,AP$2)))*(PayEarnType="Bi-Annual")*(PayEarnValues))/MAX(1,ROUNDDOWN($AB136/6,0))*2)+(SUMPRODUCT((PayEmp=$C136)*(PayDate&lt;=$AC136)*(ISERROR(SEARCH(PayEarnCode,AP$2)))*(PayEarnType="Annual")*(PayEarnValues)))),IF(ISNUMBER(OFFSET($N$3,0,MATCH(AP$5,PayDedList,0)-1,1,1)),OFFSET($N$3,0,MATCH(AP$5,PayDedList,0)-1,1,1),IgnoreMin)))*IF(COUNTIFS(EmpNo,$C136,OFFSET(Emp!$R$4,1,MATCH(AP$5,DedListItem,0)-1,EmpCount,1),"&lt;&gt;")&gt;0,VLOOKUP($C136,EmpAll,COLUMN(Emp!$R$4)+MATCH(AP$5,DedListItem,0)-1,0),OFFSET(Setup!$E$73,MATCH(AP$5,DedListItem,0),0,1,1))*AP$3))),IF(ISNUMBER(AP$4),AP$4,IgnoreMin)))))</f>
        <v>0</v>
      </c>
      <c r="AQ136" s="148" cm="1">
        <f t="array" aca="1" ref="AQ136" ca="1">-IF($F136="Terminated",0,IF($AA136=0,0,IF(ISNA(MATCH(AQ$5,PayDedList,0)),0,MIN(IF(COUNTIFS(OverEmp,$C136,OverDeduct,AQ$5,OverDate,"&lt;"&amp;DATE(YEAR($AC136),MONTH($AC136)+1,1),OverEnd,"&gt;="&amp;DATE(YEAR($AC136),MONTH($AC136),1))&gt;0,SUMPRODUCT((PayEmp=$C136)*(PayDate&lt;=$AC136)*(OFFSET($N$6,1,MATCH(AQ$5,PayDedList,0)-1,PayCount,1)))/$AA136*12*AQ$3,IF(OR(AQ$1="Fixed",AQ$1="Not Used"),SUMPRODUCT((PayEmp=$C136)*(PayDate&lt;=$AC136)*(OFFSET($N$6,1,MATCH(AQ$5,PayDedList,0)-1,PayCount,1)))/$AA136*12*AQ$3,IF(ISNA(MATCH(AQ$1,EarnListItem,0))=FALSE,SUMPRODUCT((PayEmp=$C136)*(PayDate&lt;=$AC136)*(OFFSET($N$6,1,MATCH(AQ$5,PayDedList,0)-1,PayCount,1)))/$AA136*12*AQ$3,(MIN(((SUMPRODUCT((PayEmp=$C136)*(PayDate&lt;=$AC136)*(ISERROR(SEARCH(PayEarnCode,AQ$2)))*(PayEarnType="Monthly")*(PayEarnValues))/$AA136*12)+(SUMPRODUCT((PayEmp=$C136)*(PayDate&lt;=$AC136)*(ISERROR(SEARCH(PayEarnCode,AQ$2)))*(PayEarnType="Quarterly")*(PayEarnValues))/MAX(1,ROUNDDOWN($AB136/3,0))*4)+(SUMPRODUCT((PayEmp=$C136)*(PayDate&lt;=$AC136)*(ISERROR(SEARCH(PayEarnCode,AQ$2)))*(PayEarnType="Bi-Annual")*(PayEarnValues))/MAX(1,ROUNDDOWN($AB136/6,0))*2)+(SUMPRODUCT((PayEmp=$C136)*(PayDate&lt;=$AC136)*(ISERROR(SEARCH(PayEarnCode,AQ$2)))*(PayEarnType="Annual")*(PayEarnValues)))),IF(ISNUMBER(OFFSET($N$3,0,MATCH(AQ$5,PayDedList,0)-1,1,1)),OFFSET($N$3,0,MATCH(AQ$5,PayDedList,0)-1,1,1),IgnoreMin)))*IF(COUNTIFS(EmpNo,$C136,OFFSET(Emp!$R$4,1,MATCH(AQ$5,DedListItem,0)-1,EmpCount,1),"&lt;&gt;")&gt;0,VLOOKUP($C136,EmpAll,COLUMN(Emp!$R$4)+MATCH(AQ$5,DedListItem,0)-1,0),OFFSET(Setup!$E$73,MATCH(AQ$5,DedListItem,0),0,1,1))*AQ$3))),IF(ISNUMBER(AQ$4),AQ$4,IgnoreMin)))))</f>
        <v>0</v>
      </c>
      <c r="AR136" s="148">
        <f t="shared" ca="1" si="64"/>
        <v>108000</v>
      </c>
      <c r="AS136" s="148">
        <f t="shared" ca="1" si="72"/>
        <v>108000</v>
      </c>
      <c r="AT136" s="148" cm="1">
        <f t="array" aca="1" ref="AT136" ca="1">-IF($F136="Terminated",0,IF($AA136=0,0,IF(ISNA(MATCH(AT$5,PayDedList,0)),0,MIN(IF(COUNTIFS(OverEmp,$C136,OverDeduct,AT$5,OverDate,"&lt;"&amp;DATE(YEAR($AC136),MONTH($AC136)+1,1),OverEnd,"&gt;="&amp;DATE(YEAR($AC136),MONTH($AC136),1))&gt;0,SUMPRODUCT((PayEmp=$C136)*(PayDate&lt;=$AC136)*(OFFSET($N$6,1,MATCH(AT$5,PayDedList,0)-1,PayCount,1)))/$AA136*12*AT$3,IF(OR(AT$1="Fixed",AT$1="Not Used"),SUMPRODUCT((PayEmp=$C136)*(PayDate&lt;=$AC136)*(OFFSET($N$6,1,MATCH(AT$5,PayDedList,0)-1,PayCount,1)))/$AA136*12*AT$3,IF(ISNA(MATCH(OFFSET($N$2,0,MATCH(AT$5,PayDedList,0)-1,1,1),EarnListItem,0))=FALSE,SUMPRODUCT((PayEmp=$C136)*(PayDate&lt;=$AC136)*(OFFSET($N$6,1,MATCH(AT$5,PayDedList,0)-1,PayCount,1)))/$AA136*12*AT$3,(MIN(SUMPRODUCT((PayEmp=$C136)*(PayDate&lt;=$AC136)*(ISERROR(SEARCH(PayEarnCode,AT$2)))*(PayEarnType="Monthly")*(PayEarnValues))/$AA136*12,IF(ISNUMBER(OFFSET($N$3,0,MATCH(AT$5,PayDedList,0)-1,1,1)),OFFSET($N$3,0,MATCH(AT$5,PayDedList,0)-1,1,1),IgnoreMin)))*IF(COUNTIFS(EmpNo,$C136,OFFSET(Emp!$R$4,1,MATCH(AT$5,DedListItem,0)-1,EmpCount,1),"&lt;&gt;")&gt;0,VLOOKUP($C136,EmpAll,COLUMN(Emp!$R$4)+MATCH(AT$5,DedListItem,0)-1,0),OFFSET(Setup!$E$73,MATCH(AT$5,DedListItem,0),0,1,1))*AT$3))),IF(ISNUMBER(AT$4),AT$4,IgnoreMin)))))</f>
        <v>0</v>
      </c>
      <c r="AU136" s="148" cm="1">
        <f t="array" aca="1" ref="AU136" ca="1">-IF($F136="Terminated",0,IF($AA136=0,0,IF(ISNA(MATCH(AU$5,PayDedList,0)),0,MIN(IF(COUNTIFS(OverEmp,$C136,OverDeduct,AU$5,OverDate,"&lt;"&amp;DATE(YEAR($AC136),MONTH($AC136)+1,1),OverEnd,"&gt;="&amp;DATE(YEAR($AC136),MONTH($AC136),1))&gt;0,SUMPRODUCT((PayEmp=$C136)*(PayDate&lt;=$AC136)*(OFFSET($N$6,1,MATCH(AU$5,PayDedList,0)-1,PayCount,1)))/$AA136*12*AU$3,IF(OR(AU$1="Fixed",AU$1="Not Used"),SUMPRODUCT((PayEmp=$C136)*(PayDate&lt;=$AC136)*(OFFSET($N$6,1,MATCH(AU$5,PayDedList,0)-1,PayCount,1)))/$AA136*12*AU$3,IF(ISNA(MATCH(OFFSET($N$2,0,MATCH(AU$5,PayDedList,0)-1,1,1),EarnListItem,0))=FALSE,SUMPRODUCT((PayEmp=$C136)*(PayDate&lt;=$AC136)*(OFFSET($N$6,1,MATCH(AU$5,PayDedList,0)-1,PayCount,1)))/$AA136*12*AU$3,(MIN(SUMPRODUCT((PayEmp=$C136)*(PayDate&lt;=$AC136)*(ISERROR(SEARCH(PayEarnCode,AU$2)))*(PayEarnType="Monthly")*(PayEarnValues))/$AA136*12,IF(ISNUMBER(OFFSET($N$3,0,MATCH(AU$5,PayDedList,0)-1,1,1)),OFFSET($N$3,0,MATCH(AU$5,PayDedList,0)-1,1,1),IgnoreMin)))*IF(COUNTIFS(EmpNo,$C136,OFFSET(Emp!$R$4,1,MATCH(AU$5,DedListItem,0)-1,EmpCount,1),"&lt;&gt;")&gt;0,VLOOKUP($C136,EmpAll,COLUMN(Emp!$R$4)+MATCH(AU$5,DedListItem,0)-1,0),OFFSET(Setup!$E$73,MATCH(AU$5,DedListItem,0),0,1,1))*AU$3))),IF(ISNUMBER(AU$4),AU$4,IgnoreMin)))))</f>
        <v>0</v>
      </c>
      <c r="AV136" s="148" cm="1">
        <f t="array" aca="1" ref="AV136" ca="1">-IF($F136="Terminated",0,IF($AA136=0,0,IF(ISNA(MATCH(AV$5,PayDedList,0)),0,MIN(IF(COUNTIFS(OverEmp,$C136,OverDeduct,AV$5,OverDate,"&lt;"&amp;DATE(YEAR($AC136),MONTH($AC136)+1,1),OverEnd,"&gt;="&amp;DATE(YEAR($AC136),MONTH($AC136),1))&gt;0,SUMPRODUCT((PayEmp=$C136)*(PayDate&lt;=$AC136)*(OFFSET($N$6,1,MATCH(AV$5,PayDedList,0)-1,PayCount,1)))/$AA136*12*AV$3,IF(OR(AV$1="Fixed",AV$1="Not Used"),SUMPRODUCT((PayEmp=$C136)*(PayDate&lt;=$AC136)*(OFFSET($N$6,1,MATCH(AV$5,PayDedList,0)-1,PayCount,1)))/$AA136*12*AV$3,IF(ISNA(MATCH(OFFSET($N$2,0,MATCH(AV$5,PayDedList,0)-1,1,1),EarnListItem,0))=FALSE,SUMPRODUCT((PayEmp=$C136)*(PayDate&lt;=$AC136)*(OFFSET($N$6,1,MATCH(AV$5,PayDedList,0)-1,PayCount,1)))/$AA136*12*AV$3,(MIN(SUMPRODUCT((PayEmp=$C136)*(PayDate&lt;=$AC136)*(ISERROR(SEARCH(PayEarnCode,AV$2)))*(PayEarnType="Monthly")*(PayEarnValues))/$AA136*12,IF(ISNUMBER(OFFSET($N$3,0,MATCH(AV$5,PayDedList,0)-1,1,1)),OFFSET($N$3,0,MATCH(AV$5,PayDedList,0)-1,1,1),IgnoreMin)))*IF(COUNTIFS(EmpNo,$C136,OFFSET(Emp!$R$4,1,MATCH(AV$5,DedListItem,0)-1,EmpCount,1),"&lt;&gt;")&gt;0,VLOOKUP($C136,EmpAll,COLUMN(Emp!$R$4)+MATCH(AV$5,DedListItem,0)-1,0),OFFSET(Setup!$E$73,MATCH(AV$5,DedListItem,0),0,1,1))*AV$3))),IF(ISNUMBER(AV$4),AV$4,IgnoreMin)))))</f>
        <v>0</v>
      </c>
      <c r="AW136" s="148" cm="1">
        <f t="array" aca="1" ref="AW136" ca="1">-IF($F136="Terminated",0,IF($AA136=0,0,IF(ISNA(MATCH(AW$5,PayDedList,0)),0,MIN(IF(COUNTIFS(OverEmp,$C136,OverDeduct,AW$5,OverDate,"&lt;"&amp;DATE(YEAR($AC136),MONTH($AC136)+1,1),OverEnd,"&gt;="&amp;DATE(YEAR($AC136),MONTH($AC136),1))&gt;0,SUMPRODUCT((PayEmp=$C136)*(PayDate&lt;=$AC136)*(OFFSET($N$6,1,MATCH(AW$5,PayDedList,0)-1,PayCount,1)))/$AA136*12*AW$3,IF(OR(AW$1="Fixed",AW$1="Not Used"),SUMPRODUCT((PayEmp=$C136)*(PayDate&lt;=$AC136)*(OFFSET($N$6,1,MATCH(AW$5,PayDedList,0)-1,PayCount,1)))/$AA136*12*AW$3,IF(ISNA(MATCH(OFFSET($N$2,0,MATCH(AW$5,PayDedList,0)-1,1,1),EarnListItem,0))=FALSE,SUMPRODUCT((PayEmp=$C136)*(PayDate&lt;=$AC136)*(OFFSET($N$6,1,MATCH(AW$5,PayDedList,0)-1,PayCount,1)))/$AA136*12*AW$3,(MIN(SUMPRODUCT((PayEmp=$C136)*(PayDate&lt;=$AC136)*(ISERROR(SEARCH(PayEarnCode,AW$2)))*(PayEarnType="Monthly")*(PayEarnValues))/$AA136*12,IF(ISNUMBER(OFFSET($N$3,0,MATCH(AW$5,PayDedList,0)-1,1,1)),OFFSET($N$3,0,MATCH(AW$5,PayDedList,0)-1,1,1),IgnoreMin)))*IF(COUNTIFS(EmpNo,$C136,OFFSET(Emp!$R$4,1,MATCH(AW$5,DedListItem,0)-1,EmpCount,1),"&lt;&gt;")&gt;0,VLOOKUP($C136,EmpAll,COLUMN(Emp!$R$4)+MATCH(AW$5,DedListItem,0)-1,0),OFFSET(Setup!$E$73,MATCH(AW$5,DedListItem,0),0,1,1))*AW$3))),IF(ISNUMBER(AW$4),AW$4,IgnoreMin)))))</f>
        <v>0</v>
      </c>
      <c r="AX136" s="148">
        <f t="shared" ca="1" si="73"/>
        <v>108000</v>
      </c>
      <c r="AY136" s="148">
        <f t="shared" ca="1" si="74"/>
        <v>0</v>
      </c>
      <c r="AZ136" s="148">
        <f ca="1">IF(ISNUMBER($AL136),($AR136*$AL136)-$AI136-$AK136,MAX(0,IF($AL136="B",IF($AR136&lt;Setup!$C$32,($AR136*Setup!$D$32)-$AI136-$AK136,(($AR136-VLOOKUP($AR136,TaxAll2,1,1))*OFFSET(Setup!$D$32,MATCH($AR136,TaxBracket2,1),0,1,1))+OFFSET(Setup!$E$31,MATCH($AR136,TaxBracket2,1),0,1,1)-$AI136-$AK136),IF($AR136&lt;Setup!$C$21,($AR136*Setup!$D$21)-$AI136-$AK136,(($AR136-VLOOKUP($AR136,TaxAll1,1,1))*OFFSET(Setup!$D$21,MATCH($AR136,TaxBracket1,1),0,1,1))+OFFSET(Setup!$E$20,MATCH($AR136,TaxBracket1,1),0,1,1)-$AI136-$AK136))))</f>
        <v>2205</v>
      </c>
      <c r="BA136" s="148">
        <f ca="1">IF(ISNUMBER($AL136),($AX136*$AL136)-$AI136-$AK136,MAX(0,IF($AL136="B",IF($AX136&lt;Setup!$C$32,($AX136*Setup!$D$32)-$AI136-$AK136,(($AX136-VLOOKUP($AX136,TaxAll2,1,1))*OFFSET(Setup!$D$32,MATCH($AX136,TaxBracket2,1),0,1,1))+OFFSET(Setup!$E$31,MATCH($AX136,TaxBracket2,1),0,1,1)-$AI136-$AK136),IF($AX136&lt;Setup!$C$21,($AX136*Setup!$D$21)-$AI136-$AK136,(($AX136-VLOOKUP($AX136,TaxAll1,1,1))*OFFSET(Setup!$D$21,MATCH($AX136,TaxBracket1,1),0,1,1))+OFFSET(Setup!$E$20,MATCH($AX136,TaxBracket1,1),0,1,1)-$AI136-$AK136))))</f>
        <v>2205</v>
      </c>
      <c r="BB136" s="148">
        <f t="shared" ca="1" si="65"/>
        <v>0</v>
      </c>
      <c r="BC136" s="150">
        <f t="shared" ca="1" si="75"/>
        <v>1</v>
      </c>
      <c r="BD136" s="150">
        <f t="shared" ca="1" si="76"/>
        <v>0</v>
      </c>
      <c r="BE136" s="148">
        <f t="shared" ca="1" si="77"/>
        <v>108000</v>
      </c>
    </row>
    <row r="137" spans="1:57" ht="16.149999999999999" customHeight="1" x14ac:dyDescent="0.25">
      <c r="A137" s="10" t="str" cm="1">
        <f t="array" aca="1" ref="A137" ca="1">IF(ROW($A137)-ROW($A$6)&gt;EmpCount*12,"-",TEXT($B137,"yyyy")&amp;TEXT($B137,"mm")&amp;"-"&amp;$C137)</f>
        <v>202311-EXS011</v>
      </c>
      <c r="B137" s="137" cm="1">
        <f t="array" aca="1" ref="B137" ca="1">IF(ROW($A137)-ROW($A$6)&gt;EmpCount*12,Setup!$D$12,DATE(YEAR(Setup!$F$12),MONTH(Setup!$F$12)+ROUNDDOWN((ROW($A137)-ROW($A$6)-1)/EmpCount,0),IF(Setup!$C$14&gt;DAY(DATE(YEAR(Setup!$F$12),MONTH(Setup!$F$12)+ROUNDDOWN((ROW($A137)-ROW($A$6)-1)/EmpCount,0)+1,0)),DAY(DATE(YEAR(Setup!$F$12),MONTH(Setup!$F$12)+ROUNDDOWN((ROW($A137)-ROW($A$6)-1)/EmpCount,0)+1,0)),Setup!$C$14)))</f>
        <v>45255</v>
      </c>
      <c r="C137" s="101" t="str" cm="1">
        <f t="array" aca="1" ref="C137" ca="1">IF(ROW($A137)-ROW($A$6)&gt;EmpCount*12,"-",OFFSET(Emp!$A$4,ROW($A137)-ROW($A$6)-IF(ROW($A137)-ROW($A$6)&gt;EmpCount,ROUNDDOWN((ROW($A137)-ROW($A$6)-1)/EmpCount,0)*EmpCount,0),0,1,1))</f>
        <v>EXS011</v>
      </c>
      <c r="D137" s="10" t="str">
        <f ca="1">IF(ISNA(VLOOKUP($C137,EmpAll,COLUMN(Emp!$B$4),0)),"-",VLOOKUP($C137,EmpAll,COLUMN(Emp!$B$4),0))</f>
        <v>Newport GD</v>
      </c>
      <c r="E137" s="145" t="str">
        <f ca="1">IF(ISNA(VLOOKUP($C137,EmpAll,COLUMN(Emp!$C$4),0)),"-",VLOOKUP($C137,EmpAll,COLUMN(Emp!$C$4),0))</f>
        <v>A</v>
      </c>
      <c r="F137" s="101" t="str">
        <f ca="1">IF(ISNA(VLOOKUP($C137,EmpAll,COLUMN(Emp!$A$4),0)),"-",IF(AND(VLOOKUP($C137,EmpAll,COLUMN(Emp!$E$4),0)&lt;&gt;0,VLOOKUP($C137,EmpAll,COLUMN(Emp!$E$4),0)&gt;=DATE(YEAR($AC137),MONTH($AC137)+1,0)),"Inactive",IF(AND(VLOOKUP($C137,EmpAll,COLUMN(Emp!$F$4),0)&lt;&gt;0,VLOOKUP($C137,EmpAll,COLUMN(Emp!$F$4),0)&lt;=DATE(YEAR($AC137),MONTH($AC137),0)),"Terminated","Active")))</f>
        <v>Active</v>
      </c>
      <c r="G137" s="133" cm="1">
        <f t="array" aca="1" ref="G137" ca="1">IF($F137&lt;&gt;"Active",0,IF(COUNTIFS(OverEmp,$C137,OverEarn,G$2,OverDate,"&lt;"&amp;DATE(YEAR($AC137),MONTH($AC137)+1,1),OverEnd,"&gt;="&amp;DATE(YEAR($AC137),MONTH($AC137),1))&gt;0,SUMIFS(OverValue,OverEmp,$C137,OverEarn,G$2,OverDate,"&lt;"&amp;DATE(YEAR($AC137),MONTH($AC137)+1,1),OverEnd,"&gt;="&amp;DATE(YEAR($AC137),MONTH($AC137),1)),IF(AND($AC137&gt;=Setup!$E$10,SUMIFS(EmpIncrease,EmpCode,$C137)&gt;0),SUMIFS(EmpIncrease,EmpCode,$C137),SUMIFS(EmpSalary,EmpCode,$C137))))</f>
        <v>5000</v>
      </c>
      <c r="H137" s="133" cm="1">
        <f t="array" aca="1" ref="H137" ca="1">IF($F137&lt;&gt;"Active",0,IF(COUNTIFS(OverEmp,$C137,OverEarn,H$2,OverDate,"&lt;"&amp;DATE(YEAR($AC137),MONTH($AC137)+1,1),OverEnd,"&gt;="&amp;DATE(YEAR($AC137),MONTH($AC137),1))&gt;0,SUMIFS(OverValue,OverEmp,$C137,OverEarn,H$2,OverDate,"&lt;"&amp;DATE(YEAR($AC137),MONTH($AC137)+1,1),OverEnd,"&gt;="&amp;DATE(YEAR($AC137),MONTH($AC137),1)),0))</f>
        <v>0</v>
      </c>
      <c r="I137" s="133" cm="1">
        <f t="array" aca="1" ref="I137" ca="1">IF($F137&lt;&gt;"Active",0,IF(COUNTIFS(OverEmp,$C137,OverEarn,I$2,OverDate,"&lt;"&amp;DATE(YEAR($AC137),MONTH($AC137)+1,1),OverEnd,"&gt;="&amp;DATE(YEAR($AC137),MONTH($AC137),1))&gt;0,SUMIFS(OverValue,OverEmp,$C137,OverEarn,I$2,OverDate,"&lt;"&amp;DATE(YEAR($AC137),MONTH($AC137)+1,1),OverEnd,"&gt;="&amp;DATE(YEAR($AC137),MONTH($AC137),1)),IF(MONTH(B137)=Setup!$C$15,SUMIFS(EmpBonus,EmpCode,$C137),0)))</f>
        <v>0</v>
      </c>
      <c r="J137" s="133" cm="1">
        <f t="array" aca="1" ref="J137" ca="1">IF($F137&lt;&gt;"Active",0,IF(COUNTIFS(OverEmp,$C137,OverEarn,J$2,OverDate,"&lt;"&amp;DATE(YEAR($AC137),MONTH($AC137)+1,1),OverEnd,"&gt;="&amp;DATE(YEAR($AC137),MONTH($AC137),1))&gt;0,SUMIFS(OverValue,OverEmp,$C137,OverEarn,J$2,OverDate,"&lt;"&amp;DATE(YEAR($AC137),MONTH($AC137)+1,1),OverEnd,"&gt;="&amp;DATE(YEAR($AC137),MONTH($AC137),1)),0))</f>
        <v>0</v>
      </c>
      <c r="K137" s="133" cm="1">
        <f t="array" aca="1" ref="K137" ca="1">IF($F137&lt;&gt;"Active",0,IF(COUNTIFS(OverEmp,$C137,OverEarn,K$2,OverDate,"&lt;"&amp;DATE(YEAR($AC137),MONTH($AC137)+1,1),OverEnd,"&gt;="&amp;DATE(YEAR($AC137),MONTH($AC137),1))&gt;0,SUMIFS(OverValue,OverEmp,$C137,OverEarn,K$2,OverDate,"&lt;"&amp;DATE(YEAR($AC137),MONTH($AC137)+1,1),OverEnd,"&gt;="&amp;DATE(YEAR($AC137),MONTH($AC137),1)),0))</f>
        <v>0</v>
      </c>
      <c r="L137" s="185">
        <f t="shared" ca="1" si="66"/>
        <v>5000</v>
      </c>
      <c r="M137" s="182" cm="1">
        <f t="array" aca="1" ref="M137" ca="1">IF(COUNTIFS(OverEmp,$C137,OverTax,M$5,OverDate,"&lt;"&amp;DATE(YEAR($AC137),MONTH($AC137)+1,1),OverEnd,"&gt;="&amp;DATE(YEAR($AC137),MONTH($AC137),1))&gt;0,SUMIFS(OverValue,OverEmp,$C137,OverTax,M$5,OverDate,"&lt;"&amp;DATE(YEAR($AC137),MONTH($AC137)+1,1),OverEnd,"&gt;="&amp;DATE(YEAR($AC137),MONTH($AC137),1)),(($BA137/12*$AA137)+(BB137*IF(1-$BC137=0,0,BD137/(1-$BC137))))-IF($F137="Terminated",0,SUMIFS(PayTaxDeduct,PayDate,"&lt;"&amp;$AC137,PayEmp,$C137)))</f>
        <v>0</v>
      </c>
      <c r="N137" s="133" cm="1">
        <f t="array" aca="1" ref="N137" ca="1">IF($F137="Terminated",0,IF($AA137=0,0,IF(ISNA(MATCH(N$5,DedListItem,0)),0,IF(COUNTIFS(OverEmp,$C137,OverDeduct,N$5,OverDate,"&lt;"&amp;DATE(YEAR($AC137),MONTH($AC137)+1,1),OverEnd,"&gt;="&amp;DATE(YEAR($AC137),MONTH($AC137),1))&gt;0,SUMIFS(OverValue,OverEmp,$C137,OverDeduct,N$5,OverDate,"&lt;"&amp;DATE(YEAR($AC137),MONTH($AC137)+1,1),OverEnd,"&gt;="&amp;DATE(YEAR($AC137),MONTH($AC137),1)),IF(OR(N$2="Fixed",N$2="Not Used"),(IF(COUNTIFS(EmpNo,$C137,OFFSET(Emp!$R$4,1,MATCH(N$5,DedListItem,0)-1,EmpCount,1),"&lt;&gt;")&gt;0,VLOOKUP($C137,EmpAll,COLUMN(Emp!$R$4)+MATCH(N$5,DedListItem,0)-1,0),OFFSET(Setup!$E$73,MATCH(N$5,DedListItem,0),0,1,1))*$AA137)-SUMIFS(OFFSET(N$6,1,0,PayCount,1),PayDate,"&lt;"&amp;$AC137,PayEmp,$C137),IF(ISNA(MATCH(N$2,EarnListItem,0))=FALSE,IF(OFFSET(Setup!$G$73,MATCH(N$5,DedListItem,0),0,1,1)="Taxable",SUMPRODUCT((PayEmp=$C137)*(PayDate&lt;=$AC137)*(PayEarnCode=N$2)*(PayEarnTax)*(PayEarnValues)),SUMPRODUCT((PayEmp=$C137)*(PayDate&lt;=$AC137)*(PayEarnCode=N$2)*(PayEarnValues)))*IF(COUNTIFS(EmpNo,$C137,OFFSET(Emp!$R$4,1,MATCH(N$5,DedListItem,0)-1,EmpCount,1),"&lt;&gt;")&gt;0,VLOOKUP($C137,EmpAll,COLUMN(Emp!$R$4)+MATCH(N$5,DedListItem,0)-1,0),OFFSET(Setup!$E$73,MATCH(N$5,DedListItem,0),0,1,1)),(MIN(IF(OFFSET(Setup!$G$73,MATCH(N$5,DedListItem,0),0,1,1)="Taxable",SUMPRODUCT((PayEmp=$C137)*(PayDate&lt;=$AC137)*(ISERROR(SEARCH(PayEarnCode,N$4)))*(PayEarnTax)*(PayEarnValues)),SUMPRODUCT((PayEmp=$C137)*(PayDate&lt;=$AC137)*(ISERROR(SEARCH(PayEarnCode,N$4)))*(PayEarnValues))),IF(ISNUMBER(N$3),N$3/12*$AA137,IgnoreMin)))*IF(COUNTIFS(EmpNo,$C137,OFFSET(Emp!$R$4,1,MATCH(N$5,DedListItem,0)-1,EmpCount,1),"&lt;&gt;")&gt;0,VLOOKUP($C137,EmpAll,COLUMN(Emp!$R$4)+MATCH(N$5,DedListItem,0)-1,0),OFFSET(Setup!$E$73,MATCH(N$5,DedListItem,0),0,1,1)))-SUMIFS(OFFSET(N$6,1,0,PayCount,1),PayDate,"&lt;"&amp;$AC137,PayEmp,$C137))))))</f>
        <v>50</v>
      </c>
      <c r="O137" s="133" cm="1">
        <f t="array" aca="1" ref="O137" ca="1">IF($F137="Terminated",0,IF($AA137=0,0,IF(ISNA(MATCH(O$5,DedListItem,0)),0,IF(COUNTIFS(OverEmp,$C137,OverDeduct,O$5,OverDate,"&lt;"&amp;DATE(YEAR($AC137),MONTH($AC137)+1,1),OverEnd,"&gt;="&amp;DATE(YEAR($AC137),MONTH($AC137),1))&gt;0,SUMIFS(OverValue,OverEmp,$C137,OverDeduct,O$5,OverDate,"&lt;"&amp;DATE(YEAR($AC137),MONTH($AC137)+1,1),OverEnd,"&gt;="&amp;DATE(YEAR($AC137),MONTH($AC137),1)),IF(OR(O$2="Fixed",O$2="Not Used"),(IF(COUNTIFS(EmpNo,$C137,OFFSET(Emp!$R$4,1,MATCH(O$5,DedListItem,0)-1,EmpCount,1),"&lt;&gt;")&gt;0,VLOOKUP($C137,EmpAll,COLUMN(Emp!$R$4)+MATCH(O$5,DedListItem,0)-1,0),OFFSET(Setup!$E$73,MATCH(O$5,DedListItem,0),0,1,1))*$AA137)-SUMIFS(OFFSET(O$6,1,0,PayCount,1),PayDate,"&lt;"&amp;$AC137,PayEmp,$C137),IF(ISNA(MATCH(O$2,EarnListItem,0))=FALSE,IF(OFFSET(Setup!$G$73,MATCH(O$5,DedListItem,0),0,1,1)="Taxable",SUMPRODUCT((PayEmp=$C137)*(PayDate&lt;=$AC137)*(PayEarnCode=O$2)*(PayEarnTax)*(PayEarnValues)),SUMPRODUCT((PayEmp=$C137)*(PayDate&lt;=$AC137)*(PayEarnCode=O$2)*(PayEarnValues)))*IF(COUNTIFS(EmpNo,$C137,OFFSET(Emp!$R$4,1,MATCH(O$5,DedListItem,0)-1,EmpCount,1),"&lt;&gt;")&gt;0,VLOOKUP($C137,EmpAll,COLUMN(Emp!$R$4)+MATCH(O$5,DedListItem,0)-1,0),OFFSET(Setup!$E$73,MATCH(O$5,DedListItem,0),0,1,1)),(MIN(IF(OFFSET(Setup!$G$73,MATCH(O$5,DedListItem,0),0,1,1)="Taxable",SUMPRODUCT((PayEmp=$C137)*(PayDate&lt;=$AC137)*(ISERROR(SEARCH(PayEarnCode,O$4)))*(PayEarnTax)*(PayEarnValues)),SUMPRODUCT((PayEmp=$C137)*(PayDate&lt;=$AC137)*(ISERROR(SEARCH(PayEarnCode,O$4)))*(PayEarnValues))),IF(ISNUMBER(O$3),O$3/12*$AA137,IgnoreMin)))*IF(COUNTIFS(EmpNo,$C137,OFFSET(Emp!$R$4,1,MATCH(O$5,DedListItem,0)-1,EmpCount,1),"&lt;&gt;")&gt;0,VLOOKUP($C137,EmpAll,COLUMN(Emp!$R$4)+MATCH(O$5,DedListItem,0)-1,0),OFFSET(Setup!$E$73,MATCH(O$5,DedListItem,0),0,1,1)))-SUMIFS(OFFSET(O$6,1,0,PayCount,1),PayDate,"&lt;"&amp;$AC137,PayEmp,$C137))))))</f>
        <v>0</v>
      </c>
      <c r="P137" s="133" cm="1">
        <f t="array" aca="1" ref="P137" ca="1">IF($F137="Terminated",0,IF($AA137=0,0,IF(ISNA(MATCH(P$5,DedListItem,0)),0,IF(COUNTIFS(OverEmp,$C137,OverDeduct,P$5,OverDate,"&lt;"&amp;DATE(YEAR($AC137),MONTH($AC137)+1,1),OverEnd,"&gt;="&amp;DATE(YEAR($AC137),MONTH($AC137),1))&gt;0,SUMIFS(OverValue,OverEmp,$C137,OverDeduct,P$5,OverDate,"&lt;"&amp;DATE(YEAR($AC137),MONTH($AC137)+1,1),OverEnd,"&gt;="&amp;DATE(YEAR($AC137),MONTH($AC137),1)),IF(OR(P$2="Fixed",P$2="Not Used"),(IF(COUNTIFS(EmpNo,$C137,OFFSET(Emp!$R$4,1,MATCH(P$5,DedListItem,0)-1,EmpCount,1),"&lt;&gt;")&gt;0,VLOOKUP($C137,EmpAll,COLUMN(Emp!$R$4)+MATCH(P$5,DedListItem,0)-1,0),OFFSET(Setup!$E$73,MATCH(P$5,DedListItem,0),0,1,1))*$AA137)-SUMIFS(OFFSET(P$6,1,0,PayCount,1),PayDate,"&lt;"&amp;$AC137,PayEmp,$C137),IF(ISNA(MATCH(P$2,EarnListItem,0))=FALSE,IF(OFFSET(Setup!$G$73,MATCH(P$5,DedListItem,0),0,1,1)="Taxable",SUMPRODUCT((PayEmp=$C137)*(PayDate&lt;=$AC137)*(PayEarnCode=P$2)*(PayEarnTax)*(PayEarnValues)),SUMPRODUCT((PayEmp=$C137)*(PayDate&lt;=$AC137)*(PayEarnCode=P$2)*(PayEarnValues)))*IF(COUNTIFS(EmpNo,$C137,OFFSET(Emp!$R$4,1,MATCH(P$5,DedListItem,0)-1,EmpCount,1),"&lt;&gt;")&gt;0,VLOOKUP($C137,EmpAll,COLUMN(Emp!$R$4)+MATCH(P$5,DedListItem,0)-1,0),OFFSET(Setup!$E$73,MATCH(P$5,DedListItem,0),0,1,1)),(MIN(IF(OFFSET(Setup!$G$73,MATCH(P$5,DedListItem,0),0,1,1)="Taxable",SUMPRODUCT((PayEmp=$C137)*(PayDate&lt;=$AC137)*(ISERROR(SEARCH(PayEarnCode,P$4)))*(PayEarnTax)*(PayEarnValues)),SUMPRODUCT((PayEmp=$C137)*(PayDate&lt;=$AC137)*(ISERROR(SEARCH(PayEarnCode,P$4)))*(PayEarnValues))),IF(ISNUMBER(P$3),P$3/12*$AA137,IgnoreMin)))*IF(COUNTIFS(EmpNo,$C137,OFFSET(Emp!$R$4,1,MATCH(P$5,DedListItem,0)-1,EmpCount,1),"&lt;&gt;")&gt;0,VLOOKUP($C137,EmpAll,COLUMN(Emp!$R$4)+MATCH(P$5,DedListItem,0)-1,0),OFFSET(Setup!$E$73,MATCH(P$5,DedListItem,0),0,1,1)))-SUMIFS(OFFSET(P$6,1,0,PayCount,1),PayDate,"&lt;"&amp;$AC137,PayEmp,$C137))))))</f>
        <v>0</v>
      </c>
      <c r="Q137" s="133" cm="1">
        <f t="array" aca="1" ref="Q137" ca="1">IF($F137="Terminated",0,IF($AA137=0,0,IF(ISNA(MATCH(Q$5,DedListItem,0)),0,IF(COUNTIFS(OverEmp,$C137,OverDeduct,Q$5,OverDate,"&lt;"&amp;DATE(YEAR($AC137),MONTH($AC137)+1,1),OverEnd,"&gt;="&amp;DATE(YEAR($AC137),MONTH($AC137),1))&gt;0,SUMIFS(OverValue,OverEmp,$C137,OverDeduct,Q$5,OverDate,"&lt;"&amp;DATE(YEAR($AC137),MONTH($AC137)+1,1),OverEnd,"&gt;="&amp;DATE(YEAR($AC137),MONTH($AC137),1)),IF(OR(Q$2="Fixed",Q$2="Not Used"),(IF(COUNTIFS(EmpNo,$C137,OFFSET(Emp!$R$4,1,MATCH(Q$5,DedListItem,0)-1,EmpCount,1),"&lt;&gt;")&gt;0,VLOOKUP($C137,EmpAll,COLUMN(Emp!$R$4)+MATCH(Q$5,DedListItem,0)-1,0),OFFSET(Setup!$E$73,MATCH(Q$5,DedListItem,0),0,1,1))*$AA137)-SUMIFS(OFFSET(Q$6,1,0,PayCount,1),PayDate,"&lt;"&amp;$AC137,PayEmp,$C137),IF(ISNA(MATCH(Q$2,EarnListItem,0))=FALSE,IF(OFFSET(Setup!$G$73,MATCH(Q$5,DedListItem,0),0,1,1)="Taxable",SUMPRODUCT((PayEmp=$C137)*(PayDate&lt;=$AC137)*(PayEarnCode=Q$2)*(PayEarnTax)*(PayEarnValues)),SUMPRODUCT((PayEmp=$C137)*(PayDate&lt;=$AC137)*(PayEarnCode=Q$2)*(PayEarnValues)))*IF(COUNTIFS(EmpNo,$C137,OFFSET(Emp!$R$4,1,MATCH(Q$5,DedListItem,0)-1,EmpCount,1),"&lt;&gt;")&gt;0,VLOOKUP($C137,EmpAll,COLUMN(Emp!$R$4)+MATCH(Q$5,DedListItem,0)-1,0),OFFSET(Setup!$E$73,MATCH(Q$5,DedListItem,0),0,1,1)),(MIN(IF(OFFSET(Setup!$G$73,MATCH(Q$5,DedListItem,0),0,1,1)="Taxable",SUMPRODUCT((PayEmp=$C137)*(PayDate&lt;=$AC137)*(ISERROR(SEARCH(PayEarnCode,Q$4)))*(PayEarnTax)*(PayEarnValues)),SUMPRODUCT((PayEmp=$C137)*(PayDate&lt;=$AC137)*(ISERROR(SEARCH(PayEarnCode,Q$4)))*(PayEarnValues))),IF(ISNUMBER(Q$3),Q$3/12*$AA137,IgnoreMin)))*IF(COUNTIFS(EmpNo,$C137,OFFSET(Emp!$R$4,1,MATCH(Q$5,DedListItem,0)-1,EmpCount,1),"&lt;&gt;")&gt;0,VLOOKUP($C137,EmpAll,COLUMN(Emp!$R$4)+MATCH(Q$5,DedListItem,0)-1,0),OFFSET(Setup!$E$73,MATCH(Q$5,DedListItem,0),0,1,1)))-SUMIFS(OFFSET(Q$6,1,0,PayCount,1),PayDate,"&lt;"&amp;$AC137,PayEmp,$C137))))))</f>
        <v>0</v>
      </c>
      <c r="R137" s="185">
        <f t="shared" ca="1" si="67"/>
        <v>50</v>
      </c>
      <c r="S137" s="139">
        <f t="shared" ca="1" si="68"/>
        <v>4950</v>
      </c>
      <c r="T137" s="133" cm="1">
        <f t="array" aca="1" ref="T137" ca="1">IF($F137="Terminated",0,IF($AA137=0,0,IF(ISNA(MATCH(T$5,CompListItem,0)),0,IF(COUNTIFS(OverEmp,$C137,OverComp,T$5,OverDate,"&lt;"&amp;DATE(YEAR($AC137),MONTH($AC137)+1,1),OverEnd,"&gt;="&amp;DATE(YEAR($AC137),MONTH($AC137),1))&gt;0,SUMIFS(OverValue,OverEmp,$C137,OverComp,T$5,OverDate,"&lt;"&amp;DATE(YEAR($AC137),MONTH($AC137)+1,1),OverEnd,"&gt;="&amp;DATE(YEAR($AC137),MONTH($AC137),1)),IF(OR(T$2="Fixed",T$2="Not Used"),(OFFSET(Setup!$E$81,MATCH(T$5,CompListItem,0),0,1,1)*$AA137)-SUMIFS(OFFSET(T$6,1,0,PayCount,1),PayDate,"&lt;"&amp;$AC137,PayEmp,$C137),IF(ISNA(MATCH(T$2,DedListItem,0))=FALSE,(SUMPRODUCT((PayEmp=$C137)*(PayDate&lt;=$AC137)*(PayDedList=T$2)*(PayDedValues))*OFFSET(Setup!$E$81,MATCH(T$5,CompListItem,0),0,1,1))-SUMIFS(OFFSET(T$6,1,0,PayCount,1),PayDate,"&lt;"&amp;$AC137,PayEmp,$C137),(MIN(IF(OFFSET(Setup!$G$81,MATCH(T$5,CompListItem,0),0,1,1)="Taxable",SUMPRODUCT((PayEmp=$C137)*(PayDate&lt;=$AC137)*(ISERROR(SEARCH(PayEarnCode,T$4)))*(PayEarnTax)*(PayEarnValues)),SUMPRODUCT((PayEmp=$C137)*(PayDate&lt;=$AC137)*(ISERROR(SEARCH(PayEarnCode,T$4)))*(PayEarnValues))),IF(ISNUMBER(T$3),T$3/12*$AA137,IgnoreMin)))*OFFSET(Setup!$E$81,MATCH(T$5,CompListItem,0),0,1,1)-SUMIFS(OFFSET(T$6,1,0,PayCount,1),PayDate,"&lt;"&amp;$AC137,PayEmp,$C137)))))))</f>
        <v>50</v>
      </c>
      <c r="U137" s="133" cm="1">
        <f t="array" aca="1" ref="U137" ca="1">IF($F137="Terminated",0,IF($AA137=0,0,IF(ISNA(MATCH(U$5,CompListItem,0)),0,IF(COUNTIFS(OverEmp,$C137,OverComp,U$5,OverDate,"&lt;"&amp;DATE(YEAR($AC137),MONTH($AC137)+1,1),OverEnd,"&gt;="&amp;DATE(YEAR($AC137),MONTH($AC137),1))&gt;0,SUMIFS(OverValue,OverEmp,$C137,OverComp,U$5,OverDate,"&lt;"&amp;DATE(YEAR($AC137),MONTH($AC137)+1,1),OverEnd,"&gt;="&amp;DATE(YEAR($AC137),MONTH($AC137),1)),IF(OR(U$2="Fixed",U$2="Not Used"),(OFFSET(Setup!$E$81,MATCH(U$5,CompListItem,0),0,1,1)*$AA137)-SUMIFS(OFFSET(U$6,1,0,PayCount,1),PayDate,"&lt;"&amp;$AC137,PayEmp,$C137),IF(ISNA(MATCH(U$2,DedListItem,0))=FALSE,(SUMPRODUCT((PayEmp=$C137)*(PayDate&lt;=$AC137)*(PayDedList=U$2)*(PayDedValues))*OFFSET(Setup!$E$81,MATCH(U$5,CompListItem,0),0,1,1))-SUMIFS(OFFSET(U$6,1,0,PayCount,1),PayDate,"&lt;"&amp;$AC137,PayEmp,$C137),(MIN(IF(OFFSET(Setup!$G$81,MATCH(U$5,CompListItem,0),0,1,1)="Taxable",SUMPRODUCT((PayEmp=$C137)*(PayDate&lt;=$AC137)*(ISERROR(SEARCH(PayEarnCode,U$4)))*(PayEarnTax)*(PayEarnValues)),SUMPRODUCT((PayEmp=$C137)*(PayDate&lt;=$AC137)*(ISERROR(SEARCH(PayEarnCode,U$4)))*(PayEarnValues))),IF(ISNUMBER(U$3),U$3/12*$AA137,IgnoreMin)))*OFFSET(Setup!$E$81,MATCH(U$5,CompListItem,0),0,1,1)-SUMIFS(OFFSET(U$6,1,0,PayCount,1),PayDate,"&lt;"&amp;$AC137,PayEmp,$C137)))))))</f>
        <v>50</v>
      </c>
      <c r="V137" s="133" cm="1">
        <f t="array" aca="1" ref="V137" ca="1">IF($F137="Terminated",0,IF($AA137=0,0,IF(ISNA(MATCH(V$5,CompListItem,0)),0,IF(COUNTIFS(OverEmp,$C137,OverComp,V$5,OverDate,"&lt;"&amp;DATE(YEAR($AC137),MONTH($AC137)+1,1),OverEnd,"&gt;="&amp;DATE(YEAR($AC137),MONTH($AC137),1))&gt;0,SUMIFS(OverValue,OverEmp,$C137,OverComp,V$5,OverDate,"&lt;"&amp;DATE(YEAR($AC137),MONTH($AC137)+1,1),OverEnd,"&gt;="&amp;DATE(YEAR($AC137),MONTH($AC137),1)),IF(OR(V$2="Fixed",V$2="Not Used"),(OFFSET(Setup!$E$81,MATCH(V$5,CompListItem,0),0,1,1)*$AA137)-SUMIFS(OFFSET(V$6,1,0,PayCount,1),PayDate,"&lt;"&amp;$AC137,PayEmp,$C137),IF(ISNA(MATCH(V$2,DedListItem,0))=FALSE,(SUMPRODUCT((PayEmp=$C137)*(PayDate&lt;=$AC137)*(PayDedList=V$2)*(PayDedValues))*OFFSET(Setup!$E$81,MATCH(V$5,CompListItem,0),0,1,1))-SUMIFS(OFFSET(V$6,1,0,PayCount,1),PayDate,"&lt;"&amp;$AC137,PayEmp,$C137),(MIN(IF(OFFSET(Setup!$G$81,MATCH(V$5,CompListItem,0),0,1,1)="Taxable",SUMPRODUCT((PayEmp=$C137)*(PayDate&lt;=$AC137)*(ISERROR(SEARCH(PayEarnCode,V$4)))*(PayEarnTax)*(PayEarnValues)),SUMPRODUCT((PayEmp=$C137)*(PayDate&lt;=$AC137)*(ISERROR(SEARCH(PayEarnCode,V$4)))*(PayEarnValues))),IF(ISNUMBER(V$3),V$3/12*$AA137,IgnoreMin)))*OFFSET(Setup!$E$81,MATCH(V$5,CompListItem,0),0,1,1)-SUMIFS(OFFSET(V$6,1,0,PayCount,1),PayDate,"&lt;"&amp;$AC137,PayEmp,$C137)))))))</f>
        <v>0</v>
      </c>
      <c r="W137" s="133" cm="1">
        <f t="array" aca="1" ref="W137" ca="1">IF($F137="Terminated",0,IF($AA137=0,0,IF(ISNA(MATCH(W$5,CompListItem,0)),0,IF(COUNTIFS(OverEmp,$C137,OverComp,W$5,OverDate,"&lt;"&amp;DATE(YEAR($AC137),MONTH($AC137)+1,1),OverEnd,"&gt;="&amp;DATE(YEAR($AC137),MONTH($AC137),1))&gt;0,SUMIFS(OverValue,OverEmp,$C137,OverComp,W$5,OverDate,"&lt;"&amp;DATE(YEAR($AC137),MONTH($AC137)+1,1),OverEnd,"&gt;="&amp;DATE(YEAR($AC137),MONTH($AC137),1)),IF(OR(W$2="Fixed",W$2="Not Used"),(OFFSET(Setup!$E$81,MATCH(W$5,CompListItem,0),0,1,1)*$AA137)-SUMIFS(OFFSET(W$6,1,0,PayCount,1),PayDate,"&lt;"&amp;$AC137,PayEmp,$C137),IF(ISNA(MATCH(W$2,DedListItem,0))=FALSE,(SUMPRODUCT((PayEmp=$C137)*(PayDate&lt;=$AC137)*(PayDedList=W$2)*(PayDedValues))*OFFSET(Setup!$E$81,MATCH(W$5,CompListItem,0),0,1,1))-SUMIFS(OFFSET(W$6,1,0,PayCount,1),PayDate,"&lt;"&amp;$AC137,PayEmp,$C137),(MIN(IF(OFFSET(Setup!$G$81,MATCH(W$5,CompListItem,0),0,1,1)="Taxable",SUMPRODUCT((PayEmp=$C137)*(PayDate&lt;=$AC137)*(ISERROR(SEARCH(PayEarnCode,W$4)))*(PayEarnTax)*(PayEarnValues)),SUMPRODUCT((PayEmp=$C137)*(PayDate&lt;=$AC137)*(ISERROR(SEARCH(PayEarnCode,W$4)))*(PayEarnValues))),IF(ISNUMBER(W$3),W$3/12*$AA137,IgnoreMin)))*OFFSET(Setup!$E$81,MATCH(W$5,CompListItem,0),0,1,1)-SUMIFS(OFFSET(W$6,1,0,PayCount,1),PayDate,"&lt;"&amp;$AC137,PayEmp,$C137)))))))</f>
        <v>0</v>
      </c>
      <c r="X137" s="185">
        <f t="shared" ca="1" si="60"/>
        <v>100</v>
      </c>
      <c r="Y137" s="139">
        <f t="shared" ca="1" si="69"/>
        <v>5100</v>
      </c>
      <c r="Z137" s="139">
        <f t="shared" ca="1" si="61"/>
        <v>150</v>
      </c>
      <c r="AA137" s="146">
        <f ca="1">IF(OR($B137&lt;=Setup!$E$12,$B137&gt;=Setup!$D$12+1),0,IF($F137&lt;&gt;"Active",0,IF($AE137="Yes",$AB137,((YEAR($AC137)*12)+MONTH($AC137))-((YEAR($AD137)*12)+MONTH($AD137)-1))))</f>
        <v>9</v>
      </c>
      <c r="AB137" s="146">
        <f ca="1">IF(OR($B137&lt;=Setup!$E$12,$B137&gt;=Setup!$D$12+1),0,((YEAR($AC137)*12)+MONTH($AC137))-((YEAR(Setup!$E$12)*12)+MONTH(Setup!$E$12)))</f>
        <v>9</v>
      </c>
      <c r="AC137" s="186">
        <f t="shared" ca="1" si="62"/>
        <v>45255</v>
      </c>
      <c r="AD137" s="144">
        <f ca="1">IF(ISNA(VLOOKUP($C137,EmpAll,COLUMN(Emp!$E$4),0)),$AC137,IF(VLOOKUP($C137,EmpAll,COLUMN(Emp!$E$4),0)&lt;=Setup!$E$12,DATE(YEAR(Setup!$E$12),MONTH(Setup!$E$12)+1,1),VLOOKUP($C137,EmpAll,COLUMN(Emp!$E$4),0)))</f>
        <v>44986</v>
      </c>
      <c r="AE137" s="144" t="str">
        <f ca="1">IF(ISNA(VLOOKUP($C137,EmpAll,COLUMN(Emp!$G$1),0)),"-",IF(VLOOKUP($C137,EmpAll,COLUMN(Emp!$G$1),0)=0,"-",VLOOKUP($C137,EmpAll,COLUMN(Emp!$G$1),0)))</f>
        <v>-</v>
      </c>
      <c r="AF137" s="145">
        <f ca="1">IF(A137=PaySlip!$G$3,1,0)</f>
        <v>0</v>
      </c>
      <c r="AG137" s="130" cm="1">
        <f t="array" aca="1" ref="AG137" ca="1">IF(COUNTIFS(OverEmp,$C137,OverMed,"MED",OverDate,"&lt;"&amp;DATE(YEAR($AC137),MONTH($AC137)+1,1),OverEnd,"&gt;="&amp;DATE(YEAR($AC137),MONTH($AC137),1))&gt;0,SUMIFS(OverValue,OverEmp,$C137,OverMed,"MED",OverDate,"&lt;"&amp;DATE(YEAR($AC137),MONTH($AC137)+1,1),OverEnd,"&gt;="&amp;DATE(YEAR($AC137),MONTH($AC137),1)),IF(ISNA(VLOOKUP($C137,EmpAll,COLUMN(Emp!$N$4),0)),0,VLOOKUP($C137,EmpAll,COLUMN(Emp!$N$4),0)))</f>
        <v>0</v>
      </c>
      <c r="AH137" s="146">
        <f ca="1">VLOOKUP($AG137,MedList,COLUMN(Setup!$C$49),1)</f>
        <v>0</v>
      </c>
      <c r="AI137" s="146">
        <f t="shared" ca="1" si="70"/>
        <v>0</v>
      </c>
      <c r="AJ137" s="101" t="str">
        <f ca="1">IF(ISNA(VLOOKUP($C137,EmpAll,COLUMN(Emp!$L$4),0)),"None!",VLOOKUP($C137,EmpAll,COLUMN(Emp!$L$4),0))</f>
        <v>A</v>
      </c>
      <c r="AK137" s="147">
        <f t="shared" ca="1" si="63"/>
        <v>17235</v>
      </c>
      <c r="AL137" s="101" t="str">
        <f ca="1">IF(ISNA(VLOOKUP($C137,Employees[],COLUMN(Emp!$M$4),0))=TRUE,"Error!",IF(VLOOKUP($C137,Employees[],COLUMN(Emp!$M$4),0)=0,"Yes",VLOOKUP($C137,Employees[],COLUMN(Emp!$M$4),0)))</f>
        <v>A</v>
      </c>
      <c r="AM137" s="148">
        <f t="shared" ca="1" si="71"/>
        <v>60000</v>
      </c>
      <c r="AN137" s="148" cm="1">
        <f t="array" aca="1" ref="AN137" ca="1">-IF($F137="Terminated",0,IF($AA137=0,0,IF(ISNA(MATCH(AN$5,PayDedList,0)),0,MIN(IF(COUNTIFS(OverEmp,$C137,OverDeduct,AN$5,OverDate,"&lt;"&amp;DATE(YEAR($AC137),MONTH($AC137)+1,1),OverEnd,"&gt;="&amp;DATE(YEAR($AC137),MONTH($AC137),1))&gt;0,SUMPRODUCT((PayEmp=$C137)*(PayDate&lt;=$AC137)*(OFFSET($N$6,1,MATCH(AN$5,PayDedList,0)-1,PayCount,1)))/$AA137*12*AN$3,IF(OR(AN$1="Fixed",AN$1="Not Used"),SUMPRODUCT((PayEmp=$C137)*(PayDate&lt;=$AC137)*(OFFSET($N$6,1,MATCH(AN$5,PayDedList,0)-1,PayCount,1)))/$AA137*12*AN$3,IF(ISNA(MATCH(AN$1,EarnListItem,0))=FALSE,SUMPRODUCT((PayEmp=$C137)*(PayDate&lt;=$AC137)*(OFFSET($N$6,1,MATCH(AN$5,PayDedList,0)-1,PayCount,1)))/$AA137*12*AN$3,(MIN(((SUMPRODUCT((PayEmp=$C137)*(PayDate&lt;=$AC137)*(ISERROR(SEARCH(PayEarnCode,AN$2)))*(PayEarnType="Monthly")*(PayEarnValues))/$AA137*12)+(SUMPRODUCT((PayEmp=$C137)*(PayDate&lt;=$AC137)*(ISERROR(SEARCH(PayEarnCode,AN$2)))*(PayEarnType="Quarterly")*(PayEarnValues))/MAX(1,ROUNDDOWN($AB137/3,0))*4)+(SUMPRODUCT((PayEmp=$C137)*(PayDate&lt;=$AC137)*(ISERROR(SEARCH(PayEarnCode,AN$2)))*(PayEarnType="Bi-Annual")*(PayEarnValues))/MAX(1,ROUNDDOWN($AB137/6,0))*2)+(SUMPRODUCT((PayEmp=$C137)*(PayDate&lt;=$AC137)*(ISERROR(SEARCH(PayEarnCode,AN$2)))*(PayEarnType="Annual")*(PayEarnValues)))),IF(ISNUMBER(OFFSET($N$3,0,MATCH(AN$5,PayDedList,0)-1,1,1)),OFFSET($N$3,0,MATCH(AN$5,PayDedList,0)-1,1,1),IgnoreMin)))*IF(COUNTIFS(EmpNo,$C137,OFFSET(Emp!$R$4,1,MATCH(AN$5,DedListItem,0)-1,EmpCount,1),"&lt;&gt;")&gt;0,VLOOKUP($C137,EmpAll,COLUMN(Emp!$R$4)+MATCH(AN$5,DedListItem,0)-1,0),OFFSET(Setup!$E$73,MATCH(AN$5,DedListItem,0),0,1,1))*AN$3))),IF(ISNUMBER(AN$4),AN$4,IgnoreMin)))))</f>
        <v>0</v>
      </c>
      <c r="AO137" s="148" cm="1">
        <f t="array" aca="1" ref="AO137" ca="1">-IF($F137="Terminated",0,IF($AA137=0,0,IF(ISNA(MATCH(AO$5,PayDedList,0)),0,MIN(IF(COUNTIFS(OverEmp,$C137,OverDeduct,AO$5,OverDate,"&lt;"&amp;DATE(YEAR($AC137),MONTH($AC137)+1,1),OverEnd,"&gt;="&amp;DATE(YEAR($AC137),MONTH($AC137),1))&gt;0,SUMPRODUCT((PayEmp=$C137)*(PayDate&lt;=$AC137)*(OFFSET($N$6,1,MATCH(AO$5,PayDedList,0)-1,PayCount,1)))/$AA137*12*AO$3,IF(OR(AO$1="Fixed",AO$1="Not Used"),SUMPRODUCT((PayEmp=$C137)*(PayDate&lt;=$AC137)*(OFFSET($N$6,1,MATCH(AO$5,PayDedList,0)-1,PayCount,1)))/$AA137*12*AO$3,IF(ISNA(MATCH(AO$1,EarnListItem,0))=FALSE,SUMPRODUCT((PayEmp=$C137)*(PayDate&lt;=$AC137)*(OFFSET($N$6,1,MATCH(AO$5,PayDedList,0)-1,PayCount,1)))/$AA137*12*AO$3,(MIN(((SUMPRODUCT((PayEmp=$C137)*(PayDate&lt;=$AC137)*(ISERROR(SEARCH(PayEarnCode,AO$2)))*(PayEarnType="Monthly")*(PayEarnValues))/$AA137*12)+(SUMPRODUCT((PayEmp=$C137)*(PayDate&lt;=$AC137)*(ISERROR(SEARCH(PayEarnCode,AO$2)))*(PayEarnType="Quarterly")*(PayEarnValues))/MAX(1,ROUNDDOWN($AB137/3,0))*4)+(SUMPRODUCT((PayEmp=$C137)*(PayDate&lt;=$AC137)*(ISERROR(SEARCH(PayEarnCode,AO$2)))*(PayEarnType="Bi-Annual")*(PayEarnValues))/MAX(1,ROUNDDOWN($AB137/6,0))*2)+(SUMPRODUCT((PayEmp=$C137)*(PayDate&lt;=$AC137)*(ISERROR(SEARCH(PayEarnCode,AO$2)))*(PayEarnType="Annual")*(PayEarnValues)))),IF(ISNUMBER(OFFSET($N$3,0,MATCH(AO$5,PayDedList,0)-1,1,1)),OFFSET($N$3,0,MATCH(AO$5,PayDedList,0)-1,1,1),IgnoreMin)))*IF(COUNTIFS(EmpNo,$C137,OFFSET(Emp!$R$4,1,MATCH(AO$5,DedListItem,0)-1,EmpCount,1),"&lt;&gt;")&gt;0,VLOOKUP($C137,EmpAll,COLUMN(Emp!$R$4)+MATCH(AO$5,DedListItem,0)-1,0),OFFSET(Setup!$E$73,MATCH(AO$5,DedListItem,0),0,1,1))*AO$3))),IF(ISNUMBER(AO$4),AO$4,IgnoreMin)))))</f>
        <v>0</v>
      </c>
      <c r="AP137" s="148" cm="1">
        <f t="array" aca="1" ref="AP137" ca="1">-IF($F137="Terminated",0,IF($AA137=0,0,IF(ISNA(MATCH(AP$5,PayDedList,0)),0,MIN(IF(COUNTIFS(OverEmp,$C137,OverDeduct,AP$5,OverDate,"&lt;"&amp;DATE(YEAR($AC137),MONTH($AC137)+1,1),OverEnd,"&gt;="&amp;DATE(YEAR($AC137),MONTH($AC137),1))&gt;0,SUMPRODUCT((PayEmp=$C137)*(PayDate&lt;=$AC137)*(OFFSET($N$6,1,MATCH(AP$5,PayDedList,0)-1,PayCount,1)))/$AA137*12*AP$3,IF(OR(AP$1="Fixed",AP$1="Not Used"),SUMPRODUCT((PayEmp=$C137)*(PayDate&lt;=$AC137)*(OFFSET($N$6,1,MATCH(AP$5,PayDedList,0)-1,PayCount,1)))/$AA137*12*AP$3,IF(ISNA(MATCH(AP$1,EarnListItem,0))=FALSE,SUMPRODUCT((PayEmp=$C137)*(PayDate&lt;=$AC137)*(OFFSET($N$6,1,MATCH(AP$5,PayDedList,0)-1,PayCount,1)))/$AA137*12*AP$3,(MIN(((SUMPRODUCT((PayEmp=$C137)*(PayDate&lt;=$AC137)*(ISERROR(SEARCH(PayEarnCode,AP$2)))*(PayEarnType="Monthly")*(PayEarnValues))/$AA137*12)+(SUMPRODUCT((PayEmp=$C137)*(PayDate&lt;=$AC137)*(ISERROR(SEARCH(PayEarnCode,AP$2)))*(PayEarnType="Quarterly")*(PayEarnValues))/MAX(1,ROUNDDOWN($AB137/3,0))*4)+(SUMPRODUCT((PayEmp=$C137)*(PayDate&lt;=$AC137)*(ISERROR(SEARCH(PayEarnCode,AP$2)))*(PayEarnType="Bi-Annual")*(PayEarnValues))/MAX(1,ROUNDDOWN($AB137/6,0))*2)+(SUMPRODUCT((PayEmp=$C137)*(PayDate&lt;=$AC137)*(ISERROR(SEARCH(PayEarnCode,AP$2)))*(PayEarnType="Annual")*(PayEarnValues)))),IF(ISNUMBER(OFFSET($N$3,0,MATCH(AP$5,PayDedList,0)-1,1,1)),OFFSET($N$3,0,MATCH(AP$5,PayDedList,0)-1,1,1),IgnoreMin)))*IF(COUNTIFS(EmpNo,$C137,OFFSET(Emp!$R$4,1,MATCH(AP$5,DedListItem,0)-1,EmpCount,1),"&lt;&gt;")&gt;0,VLOOKUP($C137,EmpAll,COLUMN(Emp!$R$4)+MATCH(AP$5,DedListItem,0)-1,0),OFFSET(Setup!$E$73,MATCH(AP$5,DedListItem,0),0,1,1))*AP$3))),IF(ISNUMBER(AP$4),AP$4,IgnoreMin)))))</f>
        <v>0</v>
      </c>
      <c r="AQ137" s="148" cm="1">
        <f t="array" aca="1" ref="AQ137" ca="1">-IF($F137="Terminated",0,IF($AA137=0,0,IF(ISNA(MATCH(AQ$5,PayDedList,0)),0,MIN(IF(COUNTIFS(OverEmp,$C137,OverDeduct,AQ$5,OverDate,"&lt;"&amp;DATE(YEAR($AC137),MONTH($AC137)+1,1),OverEnd,"&gt;="&amp;DATE(YEAR($AC137),MONTH($AC137),1))&gt;0,SUMPRODUCT((PayEmp=$C137)*(PayDate&lt;=$AC137)*(OFFSET($N$6,1,MATCH(AQ$5,PayDedList,0)-1,PayCount,1)))/$AA137*12*AQ$3,IF(OR(AQ$1="Fixed",AQ$1="Not Used"),SUMPRODUCT((PayEmp=$C137)*(PayDate&lt;=$AC137)*(OFFSET($N$6,1,MATCH(AQ$5,PayDedList,0)-1,PayCount,1)))/$AA137*12*AQ$3,IF(ISNA(MATCH(AQ$1,EarnListItem,0))=FALSE,SUMPRODUCT((PayEmp=$C137)*(PayDate&lt;=$AC137)*(OFFSET($N$6,1,MATCH(AQ$5,PayDedList,0)-1,PayCount,1)))/$AA137*12*AQ$3,(MIN(((SUMPRODUCT((PayEmp=$C137)*(PayDate&lt;=$AC137)*(ISERROR(SEARCH(PayEarnCode,AQ$2)))*(PayEarnType="Monthly")*(PayEarnValues))/$AA137*12)+(SUMPRODUCT((PayEmp=$C137)*(PayDate&lt;=$AC137)*(ISERROR(SEARCH(PayEarnCode,AQ$2)))*(PayEarnType="Quarterly")*(PayEarnValues))/MAX(1,ROUNDDOWN($AB137/3,0))*4)+(SUMPRODUCT((PayEmp=$C137)*(PayDate&lt;=$AC137)*(ISERROR(SEARCH(PayEarnCode,AQ$2)))*(PayEarnType="Bi-Annual")*(PayEarnValues))/MAX(1,ROUNDDOWN($AB137/6,0))*2)+(SUMPRODUCT((PayEmp=$C137)*(PayDate&lt;=$AC137)*(ISERROR(SEARCH(PayEarnCode,AQ$2)))*(PayEarnType="Annual")*(PayEarnValues)))),IF(ISNUMBER(OFFSET($N$3,0,MATCH(AQ$5,PayDedList,0)-1,1,1)),OFFSET($N$3,0,MATCH(AQ$5,PayDedList,0)-1,1,1),IgnoreMin)))*IF(COUNTIFS(EmpNo,$C137,OFFSET(Emp!$R$4,1,MATCH(AQ$5,DedListItem,0)-1,EmpCount,1),"&lt;&gt;")&gt;0,VLOOKUP($C137,EmpAll,COLUMN(Emp!$R$4)+MATCH(AQ$5,DedListItem,0)-1,0),OFFSET(Setup!$E$73,MATCH(AQ$5,DedListItem,0),0,1,1))*AQ$3))),IF(ISNUMBER(AQ$4),AQ$4,IgnoreMin)))))</f>
        <v>0</v>
      </c>
      <c r="AR137" s="148">
        <f t="shared" ca="1" si="64"/>
        <v>60000</v>
      </c>
      <c r="AS137" s="148">
        <f t="shared" ca="1" si="72"/>
        <v>60000</v>
      </c>
      <c r="AT137" s="148" cm="1">
        <f t="array" aca="1" ref="AT137" ca="1">-IF($F137="Terminated",0,IF($AA137=0,0,IF(ISNA(MATCH(AT$5,PayDedList,0)),0,MIN(IF(COUNTIFS(OverEmp,$C137,OverDeduct,AT$5,OverDate,"&lt;"&amp;DATE(YEAR($AC137),MONTH($AC137)+1,1),OverEnd,"&gt;="&amp;DATE(YEAR($AC137),MONTH($AC137),1))&gt;0,SUMPRODUCT((PayEmp=$C137)*(PayDate&lt;=$AC137)*(OFFSET($N$6,1,MATCH(AT$5,PayDedList,0)-1,PayCount,1)))/$AA137*12*AT$3,IF(OR(AT$1="Fixed",AT$1="Not Used"),SUMPRODUCT((PayEmp=$C137)*(PayDate&lt;=$AC137)*(OFFSET($N$6,1,MATCH(AT$5,PayDedList,0)-1,PayCount,1)))/$AA137*12*AT$3,IF(ISNA(MATCH(OFFSET($N$2,0,MATCH(AT$5,PayDedList,0)-1,1,1),EarnListItem,0))=FALSE,SUMPRODUCT((PayEmp=$C137)*(PayDate&lt;=$AC137)*(OFFSET($N$6,1,MATCH(AT$5,PayDedList,0)-1,PayCount,1)))/$AA137*12*AT$3,(MIN(SUMPRODUCT((PayEmp=$C137)*(PayDate&lt;=$AC137)*(ISERROR(SEARCH(PayEarnCode,AT$2)))*(PayEarnType="Monthly")*(PayEarnValues))/$AA137*12,IF(ISNUMBER(OFFSET($N$3,0,MATCH(AT$5,PayDedList,0)-1,1,1)),OFFSET($N$3,0,MATCH(AT$5,PayDedList,0)-1,1,1),IgnoreMin)))*IF(COUNTIFS(EmpNo,$C137,OFFSET(Emp!$R$4,1,MATCH(AT$5,DedListItem,0)-1,EmpCount,1),"&lt;&gt;")&gt;0,VLOOKUP($C137,EmpAll,COLUMN(Emp!$R$4)+MATCH(AT$5,DedListItem,0)-1,0),OFFSET(Setup!$E$73,MATCH(AT$5,DedListItem,0),0,1,1))*AT$3))),IF(ISNUMBER(AT$4),AT$4,IgnoreMin)))))</f>
        <v>0</v>
      </c>
      <c r="AU137" s="148" cm="1">
        <f t="array" aca="1" ref="AU137" ca="1">-IF($F137="Terminated",0,IF($AA137=0,0,IF(ISNA(MATCH(AU$5,PayDedList,0)),0,MIN(IF(COUNTIFS(OverEmp,$C137,OverDeduct,AU$5,OverDate,"&lt;"&amp;DATE(YEAR($AC137),MONTH($AC137)+1,1),OverEnd,"&gt;="&amp;DATE(YEAR($AC137),MONTH($AC137),1))&gt;0,SUMPRODUCT((PayEmp=$C137)*(PayDate&lt;=$AC137)*(OFFSET($N$6,1,MATCH(AU$5,PayDedList,0)-1,PayCount,1)))/$AA137*12*AU$3,IF(OR(AU$1="Fixed",AU$1="Not Used"),SUMPRODUCT((PayEmp=$C137)*(PayDate&lt;=$AC137)*(OFFSET($N$6,1,MATCH(AU$5,PayDedList,0)-1,PayCount,1)))/$AA137*12*AU$3,IF(ISNA(MATCH(OFFSET($N$2,0,MATCH(AU$5,PayDedList,0)-1,1,1),EarnListItem,0))=FALSE,SUMPRODUCT((PayEmp=$C137)*(PayDate&lt;=$AC137)*(OFFSET($N$6,1,MATCH(AU$5,PayDedList,0)-1,PayCount,1)))/$AA137*12*AU$3,(MIN(SUMPRODUCT((PayEmp=$C137)*(PayDate&lt;=$AC137)*(ISERROR(SEARCH(PayEarnCode,AU$2)))*(PayEarnType="Monthly")*(PayEarnValues))/$AA137*12,IF(ISNUMBER(OFFSET($N$3,0,MATCH(AU$5,PayDedList,0)-1,1,1)),OFFSET($N$3,0,MATCH(AU$5,PayDedList,0)-1,1,1),IgnoreMin)))*IF(COUNTIFS(EmpNo,$C137,OFFSET(Emp!$R$4,1,MATCH(AU$5,DedListItem,0)-1,EmpCount,1),"&lt;&gt;")&gt;0,VLOOKUP($C137,EmpAll,COLUMN(Emp!$R$4)+MATCH(AU$5,DedListItem,0)-1,0),OFFSET(Setup!$E$73,MATCH(AU$5,DedListItem,0),0,1,1))*AU$3))),IF(ISNUMBER(AU$4),AU$4,IgnoreMin)))))</f>
        <v>0</v>
      </c>
      <c r="AV137" s="148" cm="1">
        <f t="array" aca="1" ref="AV137" ca="1">-IF($F137="Terminated",0,IF($AA137=0,0,IF(ISNA(MATCH(AV$5,PayDedList,0)),0,MIN(IF(COUNTIFS(OverEmp,$C137,OverDeduct,AV$5,OverDate,"&lt;"&amp;DATE(YEAR($AC137),MONTH($AC137)+1,1),OverEnd,"&gt;="&amp;DATE(YEAR($AC137),MONTH($AC137),1))&gt;0,SUMPRODUCT((PayEmp=$C137)*(PayDate&lt;=$AC137)*(OFFSET($N$6,1,MATCH(AV$5,PayDedList,0)-1,PayCount,1)))/$AA137*12*AV$3,IF(OR(AV$1="Fixed",AV$1="Not Used"),SUMPRODUCT((PayEmp=$C137)*(PayDate&lt;=$AC137)*(OFFSET($N$6,1,MATCH(AV$5,PayDedList,0)-1,PayCount,1)))/$AA137*12*AV$3,IF(ISNA(MATCH(OFFSET($N$2,0,MATCH(AV$5,PayDedList,0)-1,1,1),EarnListItem,0))=FALSE,SUMPRODUCT((PayEmp=$C137)*(PayDate&lt;=$AC137)*(OFFSET($N$6,1,MATCH(AV$5,PayDedList,0)-1,PayCount,1)))/$AA137*12*AV$3,(MIN(SUMPRODUCT((PayEmp=$C137)*(PayDate&lt;=$AC137)*(ISERROR(SEARCH(PayEarnCode,AV$2)))*(PayEarnType="Monthly")*(PayEarnValues))/$AA137*12,IF(ISNUMBER(OFFSET($N$3,0,MATCH(AV$5,PayDedList,0)-1,1,1)),OFFSET($N$3,0,MATCH(AV$5,PayDedList,0)-1,1,1),IgnoreMin)))*IF(COUNTIFS(EmpNo,$C137,OFFSET(Emp!$R$4,1,MATCH(AV$5,DedListItem,0)-1,EmpCount,1),"&lt;&gt;")&gt;0,VLOOKUP($C137,EmpAll,COLUMN(Emp!$R$4)+MATCH(AV$5,DedListItem,0)-1,0),OFFSET(Setup!$E$73,MATCH(AV$5,DedListItem,0),0,1,1))*AV$3))),IF(ISNUMBER(AV$4),AV$4,IgnoreMin)))))</f>
        <v>0</v>
      </c>
      <c r="AW137" s="148" cm="1">
        <f t="array" aca="1" ref="AW137" ca="1">-IF($F137="Terminated",0,IF($AA137=0,0,IF(ISNA(MATCH(AW$5,PayDedList,0)),0,MIN(IF(COUNTIFS(OverEmp,$C137,OverDeduct,AW$5,OverDate,"&lt;"&amp;DATE(YEAR($AC137),MONTH($AC137)+1,1),OverEnd,"&gt;="&amp;DATE(YEAR($AC137),MONTH($AC137),1))&gt;0,SUMPRODUCT((PayEmp=$C137)*(PayDate&lt;=$AC137)*(OFFSET($N$6,1,MATCH(AW$5,PayDedList,0)-1,PayCount,1)))/$AA137*12*AW$3,IF(OR(AW$1="Fixed",AW$1="Not Used"),SUMPRODUCT((PayEmp=$C137)*(PayDate&lt;=$AC137)*(OFFSET($N$6,1,MATCH(AW$5,PayDedList,0)-1,PayCount,1)))/$AA137*12*AW$3,IF(ISNA(MATCH(OFFSET($N$2,0,MATCH(AW$5,PayDedList,0)-1,1,1),EarnListItem,0))=FALSE,SUMPRODUCT((PayEmp=$C137)*(PayDate&lt;=$AC137)*(OFFSET($N$6,1,MATCH(AW$5,PayDedList,0)-1,PayCount,1)))/$AA137*12*AW$3,(MIN(SUMPRODUCT((PayEmp=$C137)*(PayDate&lt;=$AC137)*(ISERROR(SEARCH(PayEarnCode,AW$2)))*(PayEarnType="Monthly")*(PayEarnValues))/$AA137*12,IF(ISNUMBER(OFFSET($N$3,0,MATCH(AW$5,PayDedList,0)-1,1,1)),OFFSET($N$3,0,MATCH(AW$5,PayDedList,0)-1,1,1),IgnoreMin)))*IF(COUNTIFS(EmpNo,$C137,OFFSET(Emp!$R$4,1,MATCH(AW$5,DedListItem,0)-1,EmpCount,1),"&lt;&gt;")&gt;0,VLOOKUP($C137,EmpAll,COLUMN(Emp!$R$4)+MATCH(AW$5,DedListItem,0)-1,0),OFFSET(Setup!$E$73,MATCH(AW$5,DedListItem,0),0,1,1))*AW$3))),IF(ISNUMBER(AW$4),AW$4,IgnoreMin)))))</f>
        <v>0</v>
      </c>
      <c r="AX137" s="148">
        <f t="shared" ca="1" si="73"/>
        <v>60000</v>
      </c>
      <c r="AY137" s="148">
        <f t="shared" ca="1" si="74"/>
        <v>0</v>
      </c>
      <c r="AZ137" s="148">
        <f ca="1">IF(ISNUMBER($AL137),($AR137*$AL137)-$AI137-$AK137,MAX(0,IF($AL137="B",IF($AR137&lt;Setup!$C$32,($AR137*Setup!$D$32)-$AI137-$AK137,(($AR137-VLOOKUP($AR137,TaxAll2,1,1))*OFFSET(Setup!$D$32,MATCH($AR137,TaxBracket2,1),0,1,1))+OFFSET(Setup!$E$31,MATCH($AR137,TaxBracket2,1),0,1,1)-$AI137-$AK137),IF($AR137&lt;Setup!$C$21,($AR137*Setup!$D$21)-$AI137-$AK137,(($AR137-VLOOKUP($AR137,TaxAll1,1,1))*OFFSET(Setup!$D$21,MATCH($AR137,TaxBracket1,1),0,1,1))+OFFSET(Setup!$E$20,MATCH($AR137,TaxBracket1,1),0,1,1)-$AI137-$AK137))))</f>
        <v>0</v>
      </c>
      <c r="BA137" s="148">
        <f ca="1">IF(ISNUMBER($AL137),($AX137*$AL137)-$AI137-$AK137,MAX(0,IF($AL137="B",IF($AX137&lt;Setup!$C$32,($AX137*Setup!$D$32)-$AI137-$AK137,(($AX137-VLOOKUP($AX137,TaxAll2,1,1))*OFFSET(Setup!$D$32,MATCH($AX137,TaxBracket2,1),0,1,1))+OFFSET(Setup!$E$31,MATCH($AX137,TaxBracket2,1),0,1,1)-$AI137-$AK137),IF($AX137&lt;Setup!$C$21,($AX137*Setup!$D$21)-$AI137-$AK137,(($AX137-VLOOKUP($AX137,TaxAll1,1,1))*OFFSET(Setup!$D$21,MATCH($AX137,TaxBracket1,1),0,1,1))+OFFSET(Setup!$E$20,MATCH($AX137,TaxBracket1,1),0,1,1)-$AI137-$AK137))))</f>
        <v>0</v>
      </c>
      <c r="BB137" s="148">
        <f t="shared" ca="1" si="65"/>
        <v>0</v>
      </c>
      <c r="BC137" s="150">
        <f t="shared" ca="1" si="75"/>
        <v>1</v>
      </c>
      <c r="BD137" s="150">
        <f t="shared" ca="1" si="76"/>
        <v>0</v>
      </c>
      <c r="BE137" s="148">
        <f t="shared" ca="1" si="77"/>
        <v>60000</v>
      </c>
    </row>
    <row r="138" spans="1:57" ht="16.149999999999999" customHeight="1" x14ac:dyDescent="0.25">
      <c r="A138" s="10" t="str" cm="1">
        <f t="array" aca="1" ref="A138" ca="1">IF(ROW($A138)-ROW($A$6)&gt;EmpCount*12,"-",TEXT($B138,"yyyy")&amp;TEXT($B138,"mm")&amp;"-"&amp;$C138)</f>
        <v>202311-EXS012</v>
      </c>
      <c r="B138" s="137" cm="1">
        <f t="array" aca="1" ref="B138" ca="1">IF(ROW($A138)-ROW($A$6)&gt;EmpCount*12,Setup!$D$12,DATE(YEAR(Setup!$F$12),MONTH(Setup!$F$12)+ROUNDDOWN((ROW($A138)-ROW($A$6)-1)/EmpCount,0),IF(Setup!$C$14&gt;DAY(DATE(YEAR(Setup!$F$12),MONTH(Setup!$F$12)+ROUNDDOWN((ROW($A138)-ROW($A$6)-1)/EmpCount,0)+1,0)),DAY(DATE(YEAR(Setup!$F$12),MONTH(Setup!$F$12)+ROUNDDOWN((ROW($A138)-ROW($A$6)-1)/EmpCount,0)+1,0)),Setup!$C$14)))</f>
        <v>45255</v>
      </c>
      <c r="C138" s="101" t="str" cm="1">
        <f t="array" aca="1" ref="C138" ca="1">IF(ROW($A138)-ROW($A$6)&gt;EmpCount*12,"-",OFFSET(Emp!$A$4,ROW($A138)-ROW($A$6)-IF(ROW($A138)-ROW($A$6)&gt;EmpCount,ROUNDDOWN((ROW($A138)-ROW($A$6)-1)/EmpCount,0)*EmpCount,0),0,1,1))</f>
        <v>EXS012</v>
      </c>
      <c r="D138" s="10" t="str">
        <f ca="1">IF(ISNA(VLOOKUP($C138,EmpAll,COLUMN(Emp!$B$4),0)),"-",VLOOKUP($C138,EmpAll,COLUMN(Emp!$B$4),0))</f>
        <v>Williams VS</v>
      </c>
      <c r="E138" s="145" t="str">
        <f ca="1">IF(ISNA(VLOOKUP($C138,EmpAll,COLUMN(Emp!$C$4),0)),"-",VLOOKUP($C138,EmpAll,COLUMN(Emp!$C$4),0))</f>
        <v>A</v>
      </c>
      <c r="F138" s="101" t="str">
        <f ca="1">IF(ISNA(VLOOKUP($C138,EmpAll,COLUMN(Emp!$A$4),0)),"-",IF(AND(VLOOKUP($C138,EmpAll,COLUMN(Emp!$E$4),0)&lt;&gt;0,VLOOKUP($C138,EmpAll,COLUMN(Emp!$E$4),0)&gt;=DATE(YEAR($AC138),MONTH($AC138)+1,0)),"Inactive",IF(AND(VLOOKUP($C138,EmpAll,COLUMN(Emp!$F$4),0)&lt;&gt;0,VLOOKUP($C138,EmpAll,COLUMN(Emp!$F$4),0)&lt;=DATE(YEAR($AC138),MONTH($AC138),0)),"Terminated","Active")))</f>
        <v>Active</v>
      </c>
      <c r="G138" s="133" cm="1">
        <f t="array" aca="1" ref="G138" ca="1">IF($F138&lt;&gt;"Active",0,IF(COUNTIFS(OverEmp,$C138,OverEarn,G$2,OverDate,"&lt;"&amp;DATE(YEAR($AC138),MONTH($AC138)+1,1),OverEnd,"&gt;="&amp;DATE(YEAR($AC138),MONTH($AC138),1))&gt;0,SUMIFS(OverValue,OverEmp,$C138,OverEarn,G$2,OverDate,"&lt;"&amp;DATE(YEAR($AC138),MONTH($AC138)+1,1),OverEnd,"&gt;="&amp;DATE(YEAR($AC138),MONTH($AC138),1)),IF(AND($AC138&gt;=Setup!$E$10,SUMIFS(EmpIncrease,EmpCode,$C138)&gt;0),SUMIFS(EmpIncrease,EmpCode,$C138),SUMIFS(EmpSalary,EmpCode,$C138))))</f>
        <v>5000</v>
      </c>
      <c r="H138" s="133" cm="1">
        <f t="array" aca="1" ref="H138" ca="1">IF($F138&lt;&gt;"Active",0,IF(COUNTIFS(OverEmp,$C138,OverEarn,H$2,OverDate,"&lt;"&amp;DATE(YEAR($AC138),MONTH($AC138)+1,1),OverEnd,"&gt;="&amp;DATE(YEAR($AC138),MONTH($AC138),1))&gt;0,SUMIFS(OverValue,OverEmp,$C138,OverEarn,H$2,OverDate,"&lt;"&amp;DATE(YEAR($AC138),MONTH($AC138)+1,1),OverEnd,"&gt;="&amp;DATE(YEAR($AC138),MONTH($AC138),1)),0))</f>
        <v>0</v>
      </c>
      <c r="I138" s="133" cm="1">
        <f t="array" aca="1" ref="I138" ca="1">IF($F138&lt;&gt;"Active",0,IF(COUNTIFS(OverEmp,$C138,OverEarn,I$2,OverDate,"&lt;"&amp;DATE(YEAR($AC138),MONTH($AC138)+1,1),OverEnd,"&gt;="&amp;DATE(YEAR($AC138),MONTH($AC138),1))&gt;0,SUMIFS(OverValue,OverEmp,$C138,OverEarn,I$2,OverDate,"&lt;"&amp;DATE(YEAR($AC138),MONTH($AC138)+1,1),OverEnd,"&gt;="&amp;DATE(YEAR($AC138),MONTH($AC138),1)),IF(MONTH(B138)=Setup!$C$15,SUMIFS(EmpBonus,EmpCode,$C138),0)))</f>
        <v>0</v>
      </c>
      <c r="J138" s="133" cm="1">
        <f t="array" aca="1" ref="J138" ca="1">IF($F138&lt;&gt;"Active",0,IF(COUNTIFS(OverEmp,$C138,OverEarn,J$2,OverDate,"&lt;"&amp;DATE(YEAR($AC138),MONTH($AC138)+1,1),OverEnd,"&gt;="&amp;DATE(YEAR($AC138),MONTH($AC138),1))&gt;0,SUMIFS(OverValue,OverEmp,$C138,OverEarn,J$2,OverDate,"&lt;"&amp;DATE(YEAR($AC138),MONTH($AC138)+1,1),OverEnd,"&gt;="&amp;DATE(YEAR($AC138),MONTH($AC138),1)),0))</f>
        <v>0</v>
      </c>
      <c r="K138" s="133" cm="1">
        <f t="array" aca="1" ref="K138" ca="1">IF($F138&lt;&gt;"Active",0,IF(COUNTIFS(OverEmp,$C138,OverEarn,K$2,OverDate,"&lt;"&amp;DATE(YEAR($AC138),MONTH($AC138)+1,1),OverEnd,"&gt;="&amp;DATE(YEAR($AC138),MONTH($AC138),1))&gt;0,SUMIFS(OverValue,OverEmp,$C138,OverEarn,K$2,OverDate,"&lt;"&amp;DATE(YEAR($AC138),MONTH($AC138)+1,1),OverEnd,"&gt;="&amp;DATE(YEAR($AC138),MONTH($AC138),1)),0))</f>
        <v>0</v>
      </c>
      <c r="L138" s="185">
        <f t="shared" ca="1" si="66"/>
        <v>5000</v>
      </c>
      <c r="M138" s="182" cm="1">
        <f t="array" aca="1" ref="M138" ca="1">IF(COUNTIFS(OverEmp,$C138,OverTax,M$5,OverDate,"&lt;"&amp;DATE(YEAR($AC138),MONTH($AC138)+1,1),OverEnd,"&gt;="&amp;DATE(YEAR($AC138),MONTH($AC138),1))&gt;0,SUMIFS(OverValue,OverEmp,$C138,OverTax,M$5,OverDate,"&lt;"&amp;DATE(YEAR($AC138),MONTH($AC138)+1,1),OverEnd,"&gt;="&amp;DATE(YEAR($AC138),MONTH($AC138),1)),(($BA138/12*$AA138)+(BB138*IF(1-$BC138=0,0,BD138/(1-$BC138))))-IF($F138="Terminated",0,SUMIFS(PayTaxDeduct,PayDate,"&lt;"&amp;$AC138,PayEmp,$C138)))</f>
        <v>0</v>
      </c>
      <c r="N138" s="133" cm="1">
        <f t="array" aca="1" ref="N138" ca="1">IF($F138="Terminated",0,IF($AA138=0,0,IF(ISNA(MATCH(N$5,DedListItem,0)),0,IF(COUNTIFS(OverEmp,$C138,OverDeduct,N$5,OverDate,"&lt;"&amp;DATE(YEAR($AC138),MONTH($AC138)+1,1),OverEnd,"&gt;="&amp;DATE(YEAR($AC138),MONTH($AC138),1))&gt;0,SUMIFS(OverValue,OverEmp,$C138,OverDeduct,N$5,OverDate,"&lt;"&amp;DATE(YEAR($AC138),MONTH($AC138)+1,1),OverEnd,"&gt;="&amp;DATE(YEAR($AC138),MONTH($AC138),1)),IF(OR(N$2="Fixed",N$2="Not Used"),(IF(COUNTIFS(EmpNo,$C138,OFFSET(Emp!$R$4,1,MATCH(N$5,DedListItem,0)-1,EmpCount,1),"&lt;&gt;")&gt;0,VLOOKUP($C138,EmpAll,COLUMN(Emp!$R$4)+MATCH(N$5,DedListItem,0)-1,0),OFFSET(Setup!$E$73,MATCH(N$5,DedListItem,0),0,1,1))*$AA138)-SUMIFS(OFFSET(N$6,1,0,PayCount,1),PayDate,"&lt;"&amp;$AC138,PayEmp,$C138),IF(ISNA(MATCH(N$2,EarnListItem,0))=FALSE,IF(OFFSET(Setup!$G$73,MATCH(N$5,DedListItem,0),0,1,1)="Taxable",SUMPRODUCT((PayEmp=$C138)*(PayDate&lt;=$AC138)*(PayEarnCode=N$2)*(PayEarnTax)*(PayEarnValues)),SUMPRODUCT((PayEmp=$C138)*(PayDate&lt;=$AC138)*(PayEarnCode=N$2)*(PayEarnValues)))*IF(COUNTIFS(EmpNo,$C138,OFFSET(Emp!$R$4,1,MATCH(N$5,DedListItem,0)-1,EmpCount,1),"&lt;&gt;")&gt;0,VLOOKUP($C138,EmpAll,COLUMN(Emp!$R$4)+MATCH(N$5,DedListItem,0)-1,0),OFFSET(Setup!$E$73,MATCH(N$5,DedListItem,0),0,1,1)),(MIN(IF(OFFSET(Setup!$G$73,MATCH(N$5,DedListItem,0),0,1,1)="Taxable",SUMPRODUCT((PayEmp=$C138)*(PayDate&lt;=$AC138)*(ISERROR(SEARCH(PayEarnCode,N$4)))*(PayEarnTax)*(PayEarnValues)),SUMPRODUCT((PayEmp=$C138)*(PayDate&lt;=$AC138)*(ISERROR(SEARCH(PayEarnCode,N$4)))*(PayEarnValues))),IF(ISNUMBER(N$3),N$3/12*$AA138,IgnoreMin)))*IF(COUNTIFS(EmpNo,$C138,OFFSET(Emp!$R$4,1,MATCH(N$5,DedListItem,0)-1,EmpCount,1),"&lt;&gt;")&gt;0,VLOOKUP($C138,EmpAll,COLUMN(Emp!$R$4)+MATCH(N$5,DedListItem,0)-1,0),OFFSET(Setup!$E$73,MATCH(N$5,DedListItem,0),0,1,1)))-SUMIFS(OFFSET(N$6,1,0,PayCount,1),PayDate,"&lt;"&amp;$AC138,PayEmp,$C138))))))</f>
        <v>50</v>
      </c>
      <c r="O138" s="133" cm="1">
        <f t="array" aca="1" ref="O138" ca="1">IF($F138="Terminated",0,IF($AA138=0,0,IF(ISNA(MATCH(O$5,DedListItem,0)),0,IF(COUNTIFS(OverEmp,$C138,OverDeduct,O$5,OverDate,"&lt;"&amp;DATE(YEAR($AC138),MONTH($AC138)+1,1),OverEnd,"&gt;="&amp;DATE(YEAR($AC138),MONTH($AC138),1))&gt;0,SUMIFS(OverValue,OverEmp,$C138,OverDeduct,O$5,OverDate,"&lt;"&amp;DATE(YEAR($AC138),MONTH($AC138)+1,1),OverEnd,"&gt;="&amp;DATE(YEAR($AC138),MONTH($AC138),1)),IF(OR(O$2="Fixed",O$2="Not Used"),(IF(COUNTIFS(EmpNo,$C138,OFFSET(Emp!$R$4,1,MATCH(O$5,DedListItem,0)-1,EmpCount,1),"&lt;&gt;")&gt;0,VLOOKUP($C138,EmpAll,COLUMN(Emp!$R$4)+MATCH(O$5,DedListItem,0)-1,0),OFFSET(Setup!$E$73,MATCH(O$5,DedListItem,0),0,1,1))*$AA138)-SUMIFS(OFFSET(O$6,1,0,PayCount,1),PayDate,"&lt;"&amp;$AC138,PayEmp,$C138),IF(ISNA(MATCH(O$2,EarnListItem,0))=FALSE,IF(OFFSET(Setup!$G$73,MATCH(O$5,DedListItem,0),0,1,1)="Taxable",SUMPRODUCT((PayEmp=$C138)*(PayDate&lt;=$AC138)*(PayEarnCode=O$2)*(PayEarnTax)*(PayEarnValues)),SUMPRODUCT((PayEmp=$C138)*(PayDate&lt;=$AC138)*(PayEarnCode=O$2)*(PayEarnValues)))*IF(COUNTIFS(EmpNo,$C138,OFFSET(Emp!$R$4,1,MATCH(O$5,DedListItem,0)-1,EmpCount,1),"&lt;&gt;")&gt;0,VLOOKUP($C138,EmpAll,COLUMN(Emp!$R$4)+MATCH(O$5,DedListItem,0)-1,0),OFFSET(Setup!$E$73,MATCH(O$5,DedListItem,0),0,1,1)),(MIN(IF(OFFSET(Setup!$G$73,MATCH(O$5,DedListItem,0),0,1,1)="Taxable",SUMPRODUCT((PayEmp=$C138)*(PayDate&lt;=$AC138)*(ISERROR(SEARCH(PayEarnCode,O$4)))*(PayEarnTax)*(PayEarnValues)),SUMPRODUCT((PayEmp=$C138)*(PayDate&lt;=$AC138)*(ISERROR(SEARCH(PayEarnCode,O$4)))*(PayEarnValues))),IF(ISNUMBER(O$3),O$3/12*$AA138,IgnoreMin)))*IF(COUNTIFS(EmpNo,$C138,OFFSET(Emp!$R$4,1,MATCH(O$5,DedListItem,0)-1,EmpCount,1),"&lt;&gt;")&gt;0,VLOOKUP($C138,EmpAll,COLUMN(Emp!$R$4)+MATCH(O$5,DedListItem,0)-1,0),OFFSET(Setup!$E$73,MATCH(O$5,DedListItem,0),0,1,1)))-SUMIFS(OFFSET(O$6,1,0,PayCount,1),PayDate,"&lt;"&amp;$AC138,PayEmp,$C138))))))</f>
        <v>0</v>
      </c>
      <c r="P138" s="133" cm="1">
        <f t="array" aca="1" ref="P138" ca="1">IF($F138="Terminated",0,IF($AA138=0,0,IF(ISNA(MATCH(P$5,DedListItem,0)),0,IF(COUNTIFS(OverEmp,$C138,OverDeduct,P$5,OverDate,"&lt;"&amp;DATE(YEAR($AC138),MONTH($AC138)+1,1),OverEnd,"&gt;="&amp;DATE(YEAR($AC138),MONTH($AC138),1))&gt;0,SUMIFS(OverValue,OverEmp,$C138,OverDeduct,P$5,OverDate,"&lt;"&amp;DATE(YEAR($AC138),MONTH($AC138)+1,1),OverEnd,"&gt;="&amp;DATE(YEAR($AC138),MONTH($AC138),1)),IF(OR(P$2="Fixed",P$2="Not Used"),(IF(COUNTIFS(EmpNo,$C138,OFFSET(Emp!$R$4,1,MATCH(P$5,DedListItem,0)-1,EmpCount,1),"&lt;&gt;")&gt;0,VLOOKUP($C138,EmpAll,COLUMN(Emp!$R$4)+MATCH(P$5,DedListItem,0)-1,0),OFFSET(Setup!$E$73,MATCH(P$5,DedListItem,0),0,1,1))*$AA138)-SUMIFS(OFFSET(P$6,1,0,PayCount,1),PayDate,"&lt;"&amp;$AC138,PayEmp,$C138),IF(ISNA(MATCH(P$2,EarnListItem,0))=FALSE,IF(OFFSET(Setup!$G$73,MATCH(P$5,DedListItem,0),0,1,1)="Taxable",SUMPRODUCT((PayEmp=$C138)*(PayDate&lt;=$AC138)*(PayEarnCode=P$2)*(PayEarnTax)*(PayEarnValues)),SUMPRODUCT((PayEmp=$C138)*(PayDate&lt;=$AC138)*(PayEarnCode=P$2)*(PayEarnValues)))*IF(COUNTIFS(EmpNo,$C138,OFFSET(Emp!$R$4,1,MATCH(P$5,DedListItem,0)-1,EmpCount,1),"&lt;&gt;")&gt;0,VLOOKUP($C138,EmpAll,COLUMN(Emp!$R$4)+MATCH(P$5,DedListItem,0)-1,0),OFFSET(Setup!$E$73,MATCH(P$5,DedListItem,0),0,1,1)),(MIN(IF(OFFSET(Setup!$G$73,MATCH(P$5,DedListItem,0),0,1,1)="Taxable",SUMPRODUCT((PayEmp=$C138)*(PayDate&lt;=$AC138)*(ISERROR(SEARCH(PayEarnCode,P$4)))*(PayEarnTax)*(PayEarnValues)),SUMPRODUCT((PayEmp=$C138)*(PayDate&lt;=$AC138)*(ISERROR(SEARCH(PayEarnCode,P$4)))*(PayEarnValues))),IF(ISNUMBER(P$3),P$3/12*$AA138,IgnoreMin)))*IF(COUNTIFS(EmpNo,$C138,OFFSET(Emp!$R$4,1,MATCH(P$5,DedListItem,0)-1,EmpCount,1),"&lt;&gt;")&gt;0,VLOOKUP($C138,EmpAll,COLUMN(Emp!$R$4)+MATCH(P$5,DedListItem,0)-1,0),OFFSET(Setup!$E$73,MATCH(P$5,DedListItem,0),0,1,1)))-SUMIFS(OFFSET(P$6,1,0,PayCount,1),PayDate,"&lt;"&amp;$AC138,PayEmp,$C138))))))</f>
        <v>0</v>
      </c>
      <c r="Q138" s="133" cm="1">
        <f t="array" aca="1" ref="Q138" ca="1">IF($F138="Terminated",0,IF($AA138=0,0,IF(ISNA(MATCH(Q$5,DedListItem,0)),0,IF(COUNTIFS(OverEmp,$C138,OverDeduct,Q$5,OverDate,"&lt;"&amp;DATE(YEAR($AC138),MONTH($AC138)+1,1),OverEnd,"&gt;="&amp;DATE(YEAR($AC138),MONTH($AC138),1))&gt;0,SUMIFS(OverValue,OverEmp,$C138,OverDeduct,Q$5,OverDate,"&lt;"&amp;DATE(YEAR($AC138),MONTH($AC138)+1,1),OverEnd,"&gt;="&amp;DATE(YEAR($AC138),MONTH($AC138),1)),IF(OR(Q$2="Fixed",Q$2="Not Used"),(IF(COUNTIFS(EmpNo,$C138,OFFSET(Emp!$R$4,1,MATCH(Q$5,DedListItem,0)-1,EmpCount,1),"&lt;&gt;")&gt;0,VLOOKUP($C138,EmpAll,COLUMN(Emp!$R$4)+MATCH(Q$5,DedListItem,0)-1,0),OFFSET(Setup!$E$73,MATCH(Q$5,DedListItem,0),0,1,1))*$AA138)-SUMIFS(OFFSET(Q$6,1,0,PayCount,1),PayDate,"&lt;"&amp;$AC138,PayEmp,$C138),IF(ISNA(MATCH(Q$2,EarnListItem,0))=FALSE,IF(OFFSET(Setup!$G$73,MATCH(Q$5,DedListItem,0),0,1,1)="Taxable",SUMPRODUCT((PayEmp=$C138)*(PayDate&lt;=$AC138)*(PayEarnCode=Q$2)*(PayEarnTax)*(PayEarnValues)),SUMPRODUCT((PayEmp=$C138)*(PayDate&lt;=$AC138)*(PayEarnCode=Q$2)*(PayEarnValues)))*IF(COUNTIFS(EmpNo,$C138,OFFSET(Emp!$R$4,1,MATCH(Q$5,DedListItem,0)-1,EmpCount,1),"&lt;&gt;")&gt;0,VLOOKUP($C138,EmpAll,COLUMN(Emp!$R$4)+MATCH(Q$5,DedListItem,0)-1,0),OFFSET(Setup!$E$73,MATCH(Q$5,DedListItem,0),0,1,1)),(MIN(IF(OFFSET(Setup!$G$73,MATCH(Q$5,DedListItem,0),0,1,1)="Taxable",SUMPRODUCT((PayEmp=$C138)*(PayDate&lt;=$AC138)*(ISERROR(SEARCH(PayEarnCode,Q$4)))*(PayEarnTax)*(PayEarnValues)),SUMPRODUCT((PayEmp=$C138)*(PayDate&lt;=$AC138)*(ISERROR(SEARCH(PayEarnCode,Q$4)))*(PayEarnValues))),IF(ISNUMBER(Q$3),Q$3/12*$AA138,IgnoreMin)))*IF(COUNTIFS(EmpNo,$C138,OFFSET(Emp!$R$4,1,MATCH(Q$5,DedListItem,0)-1,EmpCount,1),"&lt;&gt;")&gt;0,VLOOKUP($C138,EmpAll,COLUMN(Emp!$R$4)+MATCH(Q$5,DedListItem,0)-1,0),OFFSET(Setup!$E$73,MATCH(Q$5,DedListItem,0),0,1,1)))-SUMIFS(OFFSET(Q$6,1,0,PayCount,1),PayDate,"&lt;"&amp;$AC138,PayEmp,$C138))))))</f>
        <v>0</v>
      </c>
      <c r="R138" s="185">
        <f t="shared" ca="1" si="67"/>
        <v>50</v>
      </c>
      <c r="S138" s="139">
        <f t="shared" ca="1" si="68"/>
        <v>4950</v>
      </c>
      <c r="T138" s="133" cm="1">
        <f t="array" aca="1" ref="T138" ca="1">IF($F138="Terminated",0,IF($AA138=0,0,IF(ISNA(MATCH(T$5,CompListItem,0)),0,IF(COUNTIFS(OverEmp,$C138,OverComp,T$5,OverDate,"&lt;"&amp;DATE(YEAR($AC138),MONTH($AC138)+1,1),OverEnd,"&gt;="&amp;DATE(YEAR($AC138),MONTH($AC138),1))&gt;0,SUMIFS(OverValue,OverEmp,$C138,OverComp,T$5,OverDate,"&lt;"&amp;DATE(YEAR($AC138),MONTH($AC138)+1,1),OverEnd,"&gt;="&amp;DATE(YEAR($AC138),MONTH($AC138),1)),IF(OR(T$2="Fixed",T$2="Not Used"),(OFFSET(Setup!$E$81,MATCH(T$5,CompListItem,0),0,1,1)*$AA138)-SUMIFS(OFFSET(T$6,1,0,PayCount,1),PayDate,"&lt;"&amp;$AC138,PayEmp,$C138),IF(ISNA(MATCH(T$2,DedListItem,0))=FALSE,(SUMPRODUCT((PayEmp=$C138)*(PayDate&lt;=$AC138)*(PayDedList=T$2)*(PayDedValues))*OFFSET(Setup!$E$81,MATCH(T$5,CompListItem,0),0,1,1))-SUMIFS(OFFSET(T$6,1,0,PayCount,1),PayDate,"&lt;"&amp;$AC138,PayEmp,$C138),(MIN(IF(OFFSET(Setup!$G$81,MATCH(T$5,CompListItem,0),0,1,1)="Taxable",SUMPRODUCT((PayEmp=$C138)*(PayDate&lt;=$AC138)*(ISERROR(SEARCH(PayEarnCode,T$4)))*(PayEarnTax)*(PayEarnValues)),SUMPRODUCT((PayEmp=$C138)*(PayDate&lt;=$AC138)*(ISERROR(SEARCH(PayEarnCode,T$4)))*(PayEarnValues))),IF(ISNUMBER(T$3),T$3/12*$AA138,IgnoreMin)))*OFFSET(Setup!$E$81,MATCH(T$5,CompListItem,0),0,1,1)-SUMIFS(OFFSET(T$6,1,0,PayCount,1),PayDate,"&lt;"&amp;$AC138,PayEmp,$C138)))))))</f>
        <v>50</v>
      </c>
      <c r="U138" s="133" cm="1">
        <f t="array" aca="1" ref="U138" ca="1">IF($F138="Terminated",0,IF($AA138=0,0,IF(ISNA(MATCH(U$5,CompListItem,0)),0,IF(COUNTIFS(OverEmp,$C138,OverComp,U$5,OverDate,"&lt;"&amp;DATE(YEAR($AC138),MONTH($AC138)+1,1),OverEnd,"&gt;="&amp;DATE(YEAR($AC138),MONTH($AC138),1))&gt;0,SUMIFS(OverValue,OverEmp,$C138,OverComp,U$5,OverDate,"&lt;"&amp;DATE(YEAR($AC138),MONTH($AC138)+1,1),OverEnd,"&gt;="&amp;DATE(YEAR($AC138),MONTH($AC138),1)),IF(OR(U$2="Fixed",U$2="Not Used"),(OFFSET(Setup!$E$81,MATCH(U$5,CompListItem,0),0,1,1)*$AA138)-SUMIFS(OFFSET(U$6,1,0,PayCount,1),PayDate,"&lt;"&amp;$AC138,PayEmp,$C138),IF(ISNA(MATCH(U$2,DedListItem,0))=FALSE,(SUMPRODUCT((PayEmp=$C138)*(PayDate&lt;=$AC138)*(PayDedList=U$2)*(PayDedValues))*OFFSET(Setup!$E$81,MATCH(U$5,CompListItem,0),0,1,1))-SUMIFS(OFFSET(U$6,1,0,PayCount,1),PayDate,"&lt;"&amp;$AC138,PayEmp,$C138),(MIN(IF(OFFSET(Setup!$G$81,MATCH(U$5,CompListItem,0),0,1,1)="Taxable",SUMPRODUCT((PayEmp=$C138)*(PayDate&lt;=$AC138)*(ISERROR(SEARCH(PayEarnCode,U$4)))*(PayEarnTax)*(PayEarnValues)),SUMPRODUCT((PayEmp=$C138)*(PayDate&lt;=$AC138)*(ISERROR(SEARCH(PayEarnCode,U$4)))*(PayEarnValues))),IF(ISNUMBER(U$3),U$3/12*$AA138,IgnoreMin)))*OFFSET(Setup!$E$81,MATCH(U$5,CompListItem,0),0,1,1)-SUMIFS(OFFSET(U$6,1,0,PayCount,1),PayDate,"&lt;"&amp;$AC138,PayEmp,$C138)))))))</f>
        <v>50</v>
      </c>
      <c r="V138" s="133" cm="1">
        <f t="array" aca="1" ref="V138" ca="1">IF($F138="Terminated",0,IF($AA138=0,0,IF(ISNA(MATCH(V$5,CompListItem,0)),0,IF(COUNTIFS(OverEmp,$C138,OverComp,V$5,OverDate,"&lt;"&amp;DATE(YEAR($AC138),MONTH($AC138)+1,1),OverEnd,"&gt;="&amp;DATE(YEAR($AC138),MONTH($AC138),1))&gt;0,SUMIFS(OverValue,OverEmp,$C138,OverComp,V$5,OverDate,"&lt;"&amp;DATE(YEAR($AC138),MONTH($AC138)+1,1),OverEnd,"&gt;="&amp;DATE(YEAR($AC138),MONTH($AC138),1)),IF(OR(V$2="Fixed",V$2="Not Used"),(OFFSET(Setup!$E$81,MATCH(V$5,CompListItem,0),0,1,1)*$AA138)-SUMIFS(OFFSET(V$6,1,0,PayCount,1),PayDate,"&lt;"&amp;$AC138,PayEmp,$C138),IF(ISNA(MATCH(V$2,DedListItem,0))=FALSE,(SUMPRODUCT((PayEmp=$C138)*(PayDate&lt;=$AC138)*(PayDedList=V$2)*(PayDedValues))*OFFSET(Setup!$E$81,MATCH(V$5,CompListItem,0),0,1,1))-SUMIFS(OFFSET(V$6,1,0,PayCount,1),PayDate,"&lt;"&amp;$AC138,PayEmp,$C138),(MIN(IF(OFFSET(Setup!$G$81,MATCH(V$5,CompListItem,0),0,1,1)="Taxable",SUMPRODUCT((PayEmp=$C138)*(PayDate&lt;=$AC138)*(ISERROR(SEARCH(PayEarnCode,V$4)))*(PayEarnTax)*(PayEarnValues)),SUMPRODUCT((PayEmp=$C138)*(PayDate&lt;=$AC138)*(ISERROR(SEARCH(PayEarnCode,V$4)))*(PayEarnValues))),IF(ISNUMBER(V$3),V$3/12*$AA138,IgnoreMin)))*OFFSET(Setup!$E$81,MATCH(V$5,CompListItem,0),0,1,1)-SUMIFS(OFFSET(V$6,1,0,PayCount,1),PayDate,"&lt;"&amp;$AC138,PayEmp,$C138)))))))</f>
        <v>0</v>
      </c>
      <c r="W138" s="133" cm="1">
        <f t="array" aca="1" ref="W138" ca="1">IF($F138="Terminated",0,IF($AA138=0,0,IF(ISNA(MATCH(W$5,CompListItem,0)),0,IF(COUNTIFS(OverEmp,$C138,OverComp,W$5,OverDate,"&lt;"&amp;DATE(YEAR($AC138),MONTH($AC138)+1,1),OverEnd,"&gt;="&amp;DATE(YEAR($AC138),MONTH($AC138),1))&gt;0,SUMIFS(OverValue,OverEmp,$C138,OverComp,W$5,OverDate,"&lt;"&amp;DATE(YEAR($AC138),MONTH($AC138)+1,1),OverEnd,"&gt;="&amp;DATE(YEAR($AC138),MONTH($AC138),1)),IF(OR(W$2="Fixed",W$2="Not Used"),(OFFSET(Setup!$E$81,MATCH(W$5,CompListItem,0),0,1,1)*$AA138)-SUMIFS(OFFSET(W$6,1,0,PayCount,1),PayDate,"&lt;"&amp;$AC138,PayEmp,$C138),IF(ISNA(MATCH(W$2,DedListItem,0))=FALSE,(SUMPRODUCT((PayEmp=$C138)*(PayDate&lt;=$AC138)*(PayDedList=W$2)*(PayDedValues))*OFFSET(Setup!$E$81,MATCH(W$5,CompListItem,0),0,1,1))-SUMIFS(OFFSET(W$6,1,0,PayCount,1),PayDate,"&lt;"&amp;$AC138,PayEmp,$C138),(MIN(IF(OFFSET(Setup!$G$81,MATCH(W$5,CompListItem,0),0,1,1)="Taxable",SUMPRODUCT((PayEmp=$C138)*(PayDate&lt;=$AC138)*(ISERROR(SEARCH(PayEarnCode,W$4)))*(PayEarnTax)*(PayEarnValues)),SUMPRODUCT((PayEmp=$C138)*(PayDate&lt;=$AC138)*(ISERROR(SEARCH(PayEarnCode,W$4)))*(PayEarnValues))),IF(ISNUMBER(W$3),W$3/12*$AA138,IgnoreMin)))*OFFSET(Setup!$E$81,MATCH(W$5,CompListItem,0),0,1,1)-SUMIFS(OFFSET(W$6,1,0,PayCount,1),PayDate,"&lt;"&amp;$AC138,PayEmp,$C138)))))))</f>
        <v>0</v>
      </c>
      <c r="X138" s="185">
        <f t="shared" ca="1" si="60"/>
        <v>100</v>
      </c>
      <c r="Y138" s="139">
        <f t="shared" ca="1" si="69"/>
        <v>5100</v>
      </c>
      <c r="Z138" s="139">
        <f t="shared" ca="1" si="61"/>
        <v>150</v>
      </c>
      <c r="AA138" s="146">
        <f ca="1">IF(OR($B138&lt;=Setup!$E$12,$B138&gt;=Setup!$D$12+1),0,IF($F138&lt;&gt;"Active",0,IF($AE138="Yes",$AB138,((YEAR($AC138)*12)+MONTH($AC138))-((YEAR($AD138)*12)+MONTH($AD138)-1))))</f>
        <v>9</v>
      </c>
      <c r="AB138" s="146">
        <f ca="1">IF(OR($B138&lt;=Setup!$E$12,$B138&gt;=Setup!$D$12+1),0,((YEAR($AC138)*12)+MONTH($AC138))-((YEAR(Setup!$E$12)*12)+MONTH(Setup!$E$12)))</f>
        <v>9</v>
      </c>
      <c r="AC138" s="186">
        <f t="shared" ca="1" si="62"/>
        <v>45255</v>
      </c>
      <c r="AD138" s="144">
        <f ca="1">IF(ISNA(VLOOKUP($C138,EmpAll,COLUMN(Emp!$E$4),0)),$AC138,IF(VLOOKUP($C138,EmpAll,COLUMN(Emp!$E$4),0)&lt;=Setup!$E$12,DATE(YEAR(Setup!$E$12),MONTH(Setup!$E$12)+1,1),VLOOKUP($C138,EmpAll,COLUMN(Emp!$E$4),0)))</f>
        <v>44986</v>
      </c>
      <c r="AE138" s="144" t="str">
        <f ca="1">IF(ISNA(VLOOKUP($C138,EmpAll,COLUMN(Emp!$G$1),0)),"-",IF(VLOOKUP($C138,EmpAll,COLUMN(Emp!$G$1),0)=0,"-",VLOOKUP($C138,EmpAll,COLUMN(Emp!$G$1),0)))</f>
        <v>-</v>
      </c>
      <c r="AF138" s="145">
        <f ca="1">IF(A138=PaySlip!$G$3,1,0)</f>
        <v>0</v>
      </c>
      <c r="AG138" s="130" cm="1">
        <f t="array" aca="1" ref="AG138" ca="1">IF(COUNTIFS(OverEmp,$C138,OverMed,"MED",OverDate,"&lt;"&amp;DATE(YEAR($AC138),MONTH($AC138)+1,1),OverEnd,"&gt;="&amp;DATE(YEAR($AC138),MONTH($AC138),1))&gt;0,SUMIFS(OverValue,OverEmp,$C138,OverMed,"MED",OverDate,"&lt;"&amp;DATE(YEAR($AC138),MONTH($AC138)+1,1),OverEnd,"&gt;="&amp;DATE(YEAR($AC138),MONTH($AC138),1)),IF(ISNA(VLOOKUP($C138,EmpAll,COLUMN(Emp!$N$4),0)),0,VLOOKUP($C138,EmpAll,COLUMN(Emp!$N$4),0)))</f>
        <v>0</v>
      </c>
      <c r="AH138" s="146">
        <f ca="1">VLOOKUP($AG138,MedList,COLUMN(Setup!$C$49),1)</f>
        <v>0</v>
      </c>
      <c r="AI138" s="146">
        <f t="shared" ca="1" si="70"/>
        <v>0</v>
      </c>
      <c r="AJ138" s="101" t="str">
        <f ca="1">IF(ISNA(VLOOKUP($C138,EmpAll,COLUMN(Emp!$L$4),0)),"None!",VLOOKUP($C138,EmpAll,COLUMN(Emp!$L$4),0))</f>
        <v>A</v>
      </c>
      <c r="AK138" s="147">
        <f t="shared" ca="1" si="63"/>
        <v>17235</v>
      </c>
      <c r="AL138" s="101" t="str">
        <f ca="1">IF(ISNA(VLOOKUP($C138,Employees[],COLUMN(Emp!$M$4),0))=TRUE,"Error!",IF(VLOOKUP($C138,Employees[],COLUMN(Emp!$M$4),0)=0,"Yes",VLOOKUP($C138,Employees[],COLUMN(Emp!$M$4),0)))</f>
        <v>A</v>
      </c>
      <c r="AM138" s="148">
        <f t="shared" ca="1" si="71"/>
        <v>60000</v>
      </c>
      <c r="AN138" s="148" cm="1">
        <f t="array" aca="1" ref="AN138" ca="1">-IF($F138="Terminated",0,IF($AA138=0,0,IF(ISNA(MATCH(AN$5,PayDedList,0)),0,MIN(IF(COUNTIFS(OverEmp,$C138,OverDeduct,AN$5,OverDate,"&lt;"&amp;DATE(YEAR($AC138),MONTH($AC138)+1,1),OverEnd,"&gt;="&amp;DATE(YEAR($AC138),MONTH($AC138),1))&gt;0,SUMPRODUCT((PayEmp=$C138)*(PayDate&lt;=$AC138)*(OFFSET($N$6,1,MATCH(AN$5,PayDedList,0)-1,PayCount,1)))/$AA138*12*AN$3,IF(OR(AN$1="Fixed",AN$1="Not Used"),SUMPRODUCT((PayEmp=$C138)*(PayDate&lt;=$AC138)*(OFFSET($N$6,1,MATCH(AN$5,PayDedList,0)-1,PayCount,1)))/$AA138*12*AN$3,IF(ISNA(MATCH(AN$1,EarnListItem,0))=FALSE,SUMPRODUCT((PayEmp=$C138)*(PayDate&lt;=$AC138)*(OFFSET($N$6,1,MATCH(AN$5,PayDedList,0)-1,PayCount,1)))/$AA138*12*AN$3,(MIN(((SUMPRODUCT((PayEmp=$C138)*(PayDate&lt;=$AC138)*(ISERROR(SEARCH(PayEarnCode,AN$2)))*(PayEarnType="Monthly")*(PayEarnValues))/$AA138*12)+(SUMPRODUCT((PayEmp=$C138)*(PayDate&lt;=$AC138)*(ISERROR(SEARCH(PayEarnCode,AN$2)))*(PayEarnType="Quarterly")*(PayEarnValues))/MAX(1,ROUNDDOWN($AB138/3,0))*4)+(SUMPRODUCT((PayEmp=$C138)*(PayDate&lt;=$AC138)*(ISERROR(SEARCH(PayEarnCode,AN$2)))*(PayEarnType="Bi-Annual")*(PayEarnValues))/MAX(1,ROUNDDOWN($AB138/6,0))*2)+(SUMPRODUCT((PayEmp=$C138)*(PayDate&lt;=$AC138)*(ISERROR(SEARCH(PayEarnCode,AN$2)))*(PayEarnType="Annual")*(PayEarnValues)))),IF(ISNUMBER(OFFSET($N$3,0,MATCH(AN$5,PayDedList,0)-1,1,1)),OFFSET($N$3,0,MATCH(AN$5,PayDedList,0)-1,1,1),IgnoreMin)))*IF(COUNTIFS(EmpNo,$C138,OFFSET(Emp!$R$4,1,MATCH(AN$5,DedListItem,0)-1,EmpCount,1),"&lt;&gt;")&gt;0,VLOOKUP($C138,EmpAll,COLUMN(Emp!$R$4)+MATCH(AN$5,DedListItem,0)-1,0),OFFSET(Setup!$E$73,MATCH(AN$5,DedListItem,0),0,1,1))*AN$3))),IF(ISNUMBER(AN$4),AN$4,IgnoreMin)))))</f>
        <v>0</v>
      </c>
      <c r="AO138" s="148" cm="1">
        <f t="array" aca="1" ref="AO138" ca="1">-IF($F138="Terminated",0,IF($AA138=0,0,IF(ISNA(MATCH(AO$5,PayDedList,0)),0,MIN(IF(COUNTIFS(OverEmp,$C138,OverDeduct,AO$5,OverDate,"&lt;"&amp;DATE(YEAR($AC138),MONTH($AC138)+1,1),OverEnd,"&gt;="&amp;DATE(YEAR($AC138),MONTH($AC138),1))&gt;0,SUMPRODUCT((PayEmp=$C138)*(PayDate&lt;=$AC138)*(OFFSET($N$6,1,MATCH(AO$5,PayDedList,0)-1,PayCount,1)))/$AA138*12*AO$3,IF(OR(AO$1="Fixed",AO$1="Not Used"),SUMPRODUCT((PayEmp=$C138)*(PayDate&lt;=$AC138)*(OFFSET($N$6,1,MATCH(AO$5,PayDedList,0)-1,PayCount,1)))/$AA138*12*AO$3,IF(ISNA(MATCH(AO$1,EarnListItem,0))=FALSE,SUMPRODUCT((PayEmp=$C138)*(PayDate&lt;=$AC138)*(OFFSET($N$6,1,MATCH(AO$5,PayDedList,0)-1,PayCount,1)))/$AA138*12*AO$3,(MIN(((SUMPRODUCT((PayEmp=$C138)*(PayDate&lt;=$AC138)*(ISERROR(SEARCH(PayEarnCode,AO$2)))*(PayEarnType="Monthly")*(PayEarnValues))/$AA138*12)+(SUMPRODUCT((PayEmp=$C138)*(PayDate&lt;=$AC138)*(ISERROR(SEARCH(PayEarnCode,AO$2)))*(PayEarnType="Quarterly")*(PayEarnValues))/MAX(1,ROUNDDOWN($AB138/3,0))*4)+(SUMPRODUCT((PayEmp=$C138)*(PayDate&lt;=$AC138)*(ISERROR(SEARCH(PayEarnCode,AO$2)))*(PayEarnType="Bi-Annual")*(PayEarnValues))/MAX(1,ROUNDDOWN($AB138/6,0))*2)+(SUMPRODUCT((PayEmp=$C138)*(PayDate&lt;=$AC138)*(ISERROR(SEARCH(PayEarnCode,AO$2)))*(PayEarnType="Annual")*(PayEarnValues)))),IF(ISNUMBER(OFFSET($N$3,0,MATCH(AO$5,PayDedList,0)-1,1,1)),OFFSET($N$3,0,MATCH(AO$5,PayDedList,0)-1,1,1),IgnoreMin)))*IF(COUNTIFS(EmpNo,$C138,OFFSET(Emp!$R$4,1,MATCH(AO$5,DedListItem,0)-1,EmpCount,1),"&lt;&gt;")&gt;0,VLOOKUP($C138,EmpAll,COLUMN(Emp!$R$4)+MATCH(AO$5,DedListItem,0)-1,0),OFFSET(Setup!$E$73,MATCH(AO$5,DedListItem,0),0,1,1))*AO$3))),IF(ISNUMBER(AO$4),AO$4,IgnoreMin)))))</f>
        <v>0</v>
      </c>
      <c r="AP138" s="148" cm="1">
        <f t="array" aca="1" ref="AP138" ca="1">-IF($F138="Terminated",0,IF($AA138=0,0,IF(ISNA(MATCH(AP$5,PayDedList,0)),0,MIN(IF(COUNTIFS(OverEmp,$C138,OverDeduct,AP$5,OverDate,"&lt;"&amp;DATE(YEAR($AC138),MONTH($AC138)+1,1),OverEnd,"&gt;="&amp;DATE(YEAR($AC138),MONTH($AC138),1))&gt;0,SUMPRODUCT((PayEmp=$C138)*(PayDate&lt;=$AC138)*(OFFSET($N$6,1,MATCH(AP$5,PayDedList,0)-1,PayCount,1)))/$AA138*12*AP$3,IF(OR(AP$1="Fixed",AP$1="Not Used"),SUMPRODUCT((PayEmp=$C138)*(PayDate&lt;=$AC138)*(OFFSET($N$6,1,MATCH(AP$5,PayDedList,0)-1,PayCount,1)))/$AA138*12*AP$3,IF(ISNA(MATCH(AP$1,EarnListItem,0))=FALSE,SUMPRODUCT((PayEmp=$C138)*(PayDate&lt;=$AC138)*(OFFSET($N$6,1,MATCH(AP$5,PayDedList,0)-1,PayCount,1)))/$AA138*12*AP$3,(MIN(((SUMPRODUCT((PayEmp=$C138)*(PayDate&lt;=$AC138)*(ISERROR(SEARCH(PayEarnCode,AP$2)))*(PayEarnType="Monthly")*(PayEarnValues))/$AA138*12)+(SUMPRODUCT((PayEmp=$C138)*(PayDate&lt;=$AC138)*(ISERROR(SEARCH(PayEarnCode,AP$2)))*(PayEarnType="Quarterly")*(PayEarnValues))/MAX(1,ROUNDDOWN($AB138/3,0))*4)+(SUMPRODUCT((PayEmp=$C138)*(PayDate&lt;=$AC138)*(ISERROR(SEARCH(PayEarnCode,AP$2)))*(PayEarnType="Bi-Annual")*(PayEarnValues))/MAX(1,ROUNDDOWN($AB138/6,0))*2)+(SUMPRODUCT((PayEmp=$C138)*(PayDate&lt;=$AC138)*(ISERROR(SEARCH(PayEarnCode,AP$2)))*(PayEarnType="Annual")*(PayEarnValues)))),IF(ISNUMBER(OFFSET($N$3,0,MATCH(AP$5,PayDedList,0)-1,1,1)),OFFSET($N$3,0,MATCH(AP$5,PayDedList,0)-1,1,1),IgnoreMin)))*IF(COUNTIFS(EmpNo,$C138,OFFSET(Emp!$R$4,1,MATCH(AP$5,DedListItem,0)-1,EmpCount,1),"&lt;&gt;")&gt;0,VLOOKUP($C138,EmpAll,COLUMN(Emp!$R$4)+MATCH(AP$5,DedListItem,0)-1,0),OFFSET(Setup!$E$73,MATCH(AP$5,DedListItem,0),0,1,1))*AP$3))),IF(ISNUMBER(AP$4),AP$4,IgnoreMin)))))</f>
        <v>0</v>
      </c>
      <c r="AQ138" s="148" cm="1">
        <f t="array" aca="1" ref="AQ138" ca="1">-IF($F138="Terminated",0,IF($AA138=0,0,IF(ISNA(MATCH(AQ$5,PayDedList,0)),0,MIN(IF(COUNTIFS(OverEmp,$C138,OverDeduct,AQ$5,OverDate,"&lt;"&amp;DATE(YEAR($AC138),MONTH($AC138)+1,1),OverEnd,"&gt;="&amp;DATE(YEAR($AC138),MONTH($AC138),1))&gt;0,SUMPRODUCT((PayEmp=$C138)*(PayDate&lt;=$AC138)*(OFFSET($N$6,1,MATCH(AQ$5,PayDedList,0)-1,PayCount,1)))/$AA138*12*AQ$3,IF(OR(AQ$1="Fixed",AQ$1="Not Used"),SUMPRODUCT((PayEmp=$C138)*(PayDate&lt;=$AC138)*(OFFSET($N$6,1,MATCH(AQ$5,PayDedList,0)-1,PayCount,1)))/$AA138*12*AQ$3,IF(ISNA(MATCH(AQ$1,EarnListItem,0))=FALSE,SUMPRODUCT((PayEmp=$C138)*(PayDate&lt;=$AC138)*(OFFSET($N$6,1,MATCH(AQ$5,PayDedList,0)-1,PayCount,1)))/$AA138*12*AQ$3,(MIN(((SUMPRODUCT((PayEmp=$C138)*(PayDate&lt;=$AC138)*(ISERROR(SEARCH(PayEarnCode,AQ$2)))*(PayEarnType="Monthly")*(PayEarnValues))/$AA138*12)+(SUMPRODUCT((PayEmp=$C138)*(PayDate&lt;=$AC138)*(ISERROR(SEARCH(PayEarnCode,AQ$2)))*(PayEarnType="Quarterly")*(PayEarnValues))/MAX(1,ROUNDDOWN($AB138/3,0))*4)+(SUMPRODUCT((PayEmp=$C138)*(PayDate&lt;=$AC138)*(ISERROR(SEARCH(PayEarnCode,AQ$2)))*(PayEarnType="Bi-Annual")*(PayEarnValues))/MAX(1,ROUNDDOWN($AB138/6,0))*2)+(SUMPRODUCT((PayEmp=$C138)*(PayDate&lt;=$AC138)*(ISERROR(SEARCH(PayEarnCode,AQ$2)))*(PayEarnType="Annual")*(PayEarnValues)))),IF(ISNUMBER(OFFSET($N$3,0,MATCH(AQ$5,PayDedList,0)-1,1,1)),OFFSET($N$3,0,MATCH(AQ$5,PayDedList,0)-1,1,1),IgnoreMin)))*IF(COUNTIFS(EmpNo,$C138,OFFSET(Emp!$R$4,1,MATCH(AQ$5,DedListItem,0)-1,EmpCount,1),"&lt;&gt;")&gt;0,VLOOKUP($C138,EmpAll,COLUMN(Emp!$R$4)+MATCH(AQ$5,DedListItem,0)-1,0),OFFSET(Setup!$E$73,MATCH(AQ$5,DedListItem,0),0,1,1))*AQ$3))),IF(ISNUMBER(AQ$4),AQ$4,IgnoreMin)))))</f>
        <v>0</v>
      </c>
      <c r="AR138" s="148">
        <f t="shared" ca="1" si="64"/>
        <v>60000</v>
      </c>
      <c r="AS138" s="148">
        <f t="shared" ca="1" si="72"/>
        <v>60000</v>
      </c>
      <c r="AT138" s="148" cm="1">
        <f t="array" aca="1" ref="AT138" ca="1">-IF($F138="Terminated",0,IF($AA138=0,0,IF(ISNA(MATCH(AT$5,PayDedList,0)),0,MIN(IF(COUNTIFS(OverEmp,$C138,OverDeduct,AT$5,OverDate,"&lt;"&amp;DATE(YEAR($AC138),MONTH($AC138)+1,1),OverEnd,"&gt;="&amp;DATE(YEAR($AC138),MONTH($AC138),1))&gt;0,SUMPRODUCT((PayEmp=$C138)*(PayDate&lt;=$AC138)*(OFFSET($N$6,1,MATCH(AT$5,PayDedList,0)-1,PayCount,1)))/$AA138*12*AT$3,IF(OR(AT$1="Fixed",AT$1="Not Used"),SUMPRODUCT((PayEmp=$C138)*(PayDate&lt;=$AC138)*(OFFSET($N$6,1,MATCH(AT$5,PayDedList,0)-1,PayCount,1)))/$AA138*12*AT$3,IF(ISNA(MATCH(OFFSET($N$2,0,MATCH(AT$5,PayDedList,0)-1,1,1),EarnListItem,0))=FALSE,SUMPRODUCT((PayEmp=$C138)*(PayDate&lt;=$AC138)*(OFFSET($N$6,1,MATCH(AT$5,PayDedList,0)-1,PayCount,1)))/$AA138*12*AT$3,(MIN(SUMPRODUCT((PayEmp=$C138)*(PayDate&lt;=$AC138)*(ISERROR(SEARCH(PayEarnCode,AT$2)))*(PayEarnType="Monthly")*(PayEarnValues))/$AA138*12,IF(ISNUMBER(OFFSET($N$3,0,MATCH(AT$5,PayDedList,0)-1,1,1)),OFFSET($N$3,0,MATCH(AT$5,PayDedList,0)-1,1,1),IgnoreMin)))*IF(COUNTIFS(EmpNo,$C138,OFFSET(Emp!$R$4,1,MATCH(AT$5,DedListItem,0)-1,EmpCount,1),"&lt;&gt;")&gt;0,VLOOKUP($C138,EmpAll,COLUMN(Emp!$R$4)+MATCH(AT$5,DedListItem,0)-1,0),OFFSET(Setup!$E$73,MATCH(AT$5,DedListItem,0),0,1,1))*AT$3))),IF(ISNUMBER(AT$4),AT$4,IgnoreMin)))))</f>
        <v>0</v>
      </c>
      <c r="AU138" s="148" cm="1">
        <f t="array" aca="1" ref="AU138" ca="1">-IF($F138="Terminated",0,IF($AA138=0,0,IF(ISNA(MATCH(AU$5,PayDedList,0)),0,MIN(IF(COUNTIFS(OverEmp,$C138,OverDeduct,AU$5,OverDate,"&lt;"&amp;DATE(YEAR($AC138),MONTH($AC138)+1,1),OverEnd,"&gt;="&amp;DATE(YEAR($AC138),MONTH($AC138),1))&gt;0,SUMPRODUCT((PayEmp=$C138)*(PayDate&lt;=$AC138)*(OFFSET($N$6,1,MATCH(AU$5,PayDedList,0)-1,PayCount,1)))/$AA138*12*AU$3,IF(OR(AU$1="Fixed",AU$1="Not Used"),SUMPRODUCT((PayEmp=$C138)*(PayDate&lt;=$AC138)*(OFFSET($N$6,1,MATCH(AU$5,PayDedList,0)-1,PayCount,1)))/$AA138*12*AU$3,IF(ISNA(MATCH(OFFSET($N$2,0,MATCH(AU$5,PayDedList,0)-1,1,1),EarnListItem,0))=FALSE,SUMPRODUCT((PayEmp=$C138)*(PayDate&lt;=$AC138)*(OFFSET($N$6,1,MATCH(AU$5,PayDedList,0)-1,PayCount,1)))/$AA138*12*AU$3,(MIN(SUMPRODUCT((PayEmp=$C138)*(PayDate&lt;=$AC138)*(ISERROR(SEARCH(PayEarnCode,AU$2)))*(PayEarnType="Monthly")*(PayEarnValues))/$AA138*12,IF(ISNUMBER(OFFSET($N$3,0,MATCH(AU$5,PayDedList,0)-1,1,1)),OFFSET($N$3,0,MATCH(AU$5,PayDedList,0)-1,1,1),IgnoreMin)))*IF(COUNTIFS(EmpNo,$C138,OFFSET(Emp!$R$4,1,MATCH(AU$5,DedListItem,0)-1,EmpCount,1),"&lt;&gt;")&gt;0,VLOOKUP($C138,EmpAll,COLUMN(Emp!$R$4)+MATCH(AU$5,DedListItem,0)-1,0),OFFSET(Setup!$E$73,MATCH(AU$5,DedListItem,0),0,1,1))*AU$3))),IF(ISNUMBER(AU$4),AU$4,IgnoreMin)))))</f>
        <v>0</v>
      </c>
      <c r="AV138" s="148" cm="1">
        <f t="array" aca="1" ref="AV138" ca="1">-IF($F138="Terminated",0,IF($AA138=0,0,IF(ISNA(MATCH(AV$5,PayDedList,0)),0,MIN(IF(COUNTIFS(OverEmp,$C138,OverDeduct,AV$5,OverDate,"&lt;"&amp;DATE(YEAR($AC138),MONTH($AC138)+1,1),OverEnd,"&gt;="&amp;DATE(YEAR($AC138),MONTH($AC138),1))&gt;0,SUMPRODUCT((PayEmp=$C138)*(PayDate&lt;=$AC138)*(OFFSET($N$6,1,MATCH(AV$5,PayDedList,0)-1,PayCount,1)))/$AA138*12*AV$3,IF(OR(AV$1="Fixed",AV$1="Not Used"),SUMPRODUCT((PayEmp=$C138)*(PayDate&lt;=$AC138)*(OFFSET($N$6,1,MATCH(AV$5,PayDedList,0)-1,PayCount,1)))/$AA138*12*AV$3,IF(ISNA(MATCH(OFFSET($N$2,0,MATCH(AV$5,PayDedList,0)-1,1,1),EarnListItem,0))=FALSE,SUMPRODUCT((PayEmp=$C138)*(PayDate&lt;=$AC138)*(OFFSET($N$6,1,MATCH(AV$5,PayDedList,0)-1,PayCount,1)))/$AA138*12*AV$3,(MIN(SUMPRODUCT((PayEmp=$C138)*(PayDate&lt;=$AC138)*(ISERROR(SEARCH(PayEarnCode,AV$2)))*(PayEarnType="Monthly")*(PayEarnValues))/$AA138*12,IF(ISNUMBER(OFFSET($N$3,0,MATCH(AV$5,PayDedList,0)-1,1,1)),OFFSET($N$3,0,MATCH(AV$5,PayDedList,0)-1,1,1),IgnoreMin)))*IF(COUNTIFS(EmpNo,$C138,OFFSET(Emp!$R$4,1,MATCH(AV$5,DedListItem,0)-1,EmpCount,1),"&lt;&gt;")&gt;0,VLOOKUP($C138,EmpAll,COLUMN(Emp!$R$4)+MATCH(AV$5,DedListItem,0)-1,0),OFFSET(Setup!$E$73,MATCH(AV$5,DedListItem,0),0,1,1))*AV$3))),IF(ISNUMBER(AV$4),AV$4,IgnoreMin)))))</f>
        <v>0</v>
      </c>
      <c r="AW138" s="148" cm="1">
        <f t="array" aca="1" ref="AW138" ca="1">-IF($F138="Terminated",0,IF($AA138=0,0,IF(ISNA(MATCH(AW$5,PayDedList,0)),0,MIN(IF(COUNTIFS(OverEmp,$C138,OverDeduct,AW$5,OverDate,"&lt;"&amp;DATE(YEAR($AC138),MONTH($AC138)+1,1),OverEnd,"&gt;="&amp;DATE(YEAR($AC138),MONTH($AC138),1))&gt;0,SUMPRODUCT((PayEmp=$C138)*(PayDate&lt;=$AC138)*(OFFSET($N$6,1,MATCH(AW$5,PayDedList,0)-1,PayCount,1)))/$AA138*12*AW$3,IF(OR(AW$1="Fixed",AW$1="Not Used"),SUMPRODUCT((PayEmp=$C138)*(PayDate&lt;=$AC138)*(OFFSET($N$6,1,MATCH(AW$5,PayDedList,0)-1,PayCount,1)))/$AA138*12*AW$3,IF(ISNA(MATCH(OFFSET($N$2,0,MATCH(AW$5,PayDedList,0)-1,1,1),EarnListItem,0))=FALSE,SUMPRODUCT((PayEmp=$C138)*(PayDate&lt;=$AC138)*(OFFSET($N$6,1,MATCH(AW$5,PayDedList,0)-1,PayCount,1)))/$AA138*12*AW$3,(MIN(SUMPRODUCT((PayEmp=$C138)*(PayDate&lt;=$AC138)*(ISERROR(SEARCH(PayEarnCode,AW$2)))*(PayEarnType="Monthly")*(PayEarnValues))/$AA138*12,IF(ISNUMBER(OFFSET($N$3,0,MATCH(AW$5,PayDedList,0)-1,1,1)),OFFSET($N$3,0,MATCH(AW$5,PayDedList,0)-1,1,1),IgnoreMin)))*IF(COUNTIFS(EmpNo,$C138,OFFSET(Emp!$R$4,1,MATCH(AW$5,DedListItem,0)-1,EmpCount,1),"&lt;&gt;")&gt;0,VLOOKUP($C138,EmpAll,COLUMN(Emp!$R$4)+MATCH(AW$5,DedListItem,0)-1,0),OFFSET(Setup!$E$73,MATCH(AW$5,DedListItem,0),0,1,1))*AW$3))),IF(ISNUMBER(AW$4),AW$4,IgnoreMin)))))</f>
        <v>0</v>
      </c>
      <c r="AX138" s="148">
        <f t="shared" ca="1" si="73"/>
        <v>60000</v>
      </c>
      <c r="AY138" s="148">
        <f t="shared" ca="1" si="74"/>
        <v>0</v>
      </c>
      <c r="AZ138" s="148">
        <f ca="1">IF(ISNUMBER($AL138),($AR138*$AL138)-$AI138-$AK138,MAX(0,IF($AL138="B",IF($AR138&lt;Setup!$C$32,($AR138*Setup!$D$32)-$AI138-$AK138,(($AR138-VLOOKUP($AR138,TaxAll2,1,1))*OFFSET(Setup!$D$32,MATCH($AR138,TaxBracket2,1),0,1,1))+OFFSET(Setup!$E$31,MATCH($AR138,TaxBracket2,1),0,1,1)-$AI138-$AK138),IF($AR138&lt;Setup!$C$21,($AR138*Setup!$D$21)-$AI138-$AK138,(($AR138-VLOOKUP($AR138,TaxAll1,1,1))*OFFSET(Setup!$D$21,MATCH($AR138,TaxBracket1,1),0,1,1))+OFFSET(Setup!$E$20,MATCH($AR138,TaxBracket1,1),0,1,1)-$AI138-$AK138))))</f>
        <v>0</v>
      </c>
      <c r="BA138" s="148">
        <f ca="1">IF(ISNUMBER($AL138),($AX138*$AL138)-$AI138-$AK138,MAX(0,IF($AL138="B",IF($AX138&lt;Setup!$C$32,($AX138*Setup!$D$32)-$AI138-$AK138,(($AX138-VLOOKUP($AX138,TaxAll2,1,1))*OFFSET(Setup!$D$32,MATCH($AX138,TaxBracket2,1),0,1,1))+OFFSET(Setup!$E$31,MATCH($AX138,TaxBracket2,1),0,1,1)-$AI138-$AK138),IF($AX138&lt;Setup!$C$21,($AX138*Setup!$D$21)-$AI138-$AK138,(($AX138-VLOOKUP($AX138,TaxAll1,1,1))*OFFSET(Setup!$D$21,MATCH($AX138,TaxBracket1,1),0,1,1))+OFFSET(Setup!$E$20,MATCH($AX138,TaxBracket1,1),0,1,1)-$AI138-$AK138))))</f>
        <v>0</v>
      </c>
      <c r="BB138" s="148">
        <f t="shared" ca="1" si="65"/>
        <v>0</v>
      </c>
      <c r="BC138" s="150">
        <f t="shared" ca="1" si="75"/>
        <v>1</v>
      </c>
      <c r="BD138" s="150">
        <f t="shared" ca="1" si="76"/>
        <v>0</v>
      </c>
      <c r="BE138" s="148">
        <f t="shared" ca="1" si="77"/>
        <v>60000</v>
      </c>
    </row>
    <row r="139" spans="1:57" ht="16.149999999999999" customHeight="1" x14ac:dyDescent="0.25">
      <c r="A139" s="10" t="str" cm="1">
        <f t="array" aca="1" ref="A139" ca="1">IF(ROW($A139)-ROW($A$6)&gt;EmpCount*12,"-",TEXT($B139,"yyyy")&amp;TEXT($B139,"mm")&amp;"-"&amp;$C139)</f>
        <v>202311-EXS013</v>
      </c>
      <c r="B139" s="137" cm="1">
        <f t="array" aca="1" ref="B139" ca="1">IF(ROW($A139)-ROW($A$6)&gt;EmpCount*12,Setup!$D$12,DATE(YEAR(Setup!$F$12),MONTH(Setup!$F$12)+ROUNDDOWN((ROW($A139)-ROW($A$6)-1)/EmpCount,0),IF(Setup!$C$14&gt;DAY(DATE(YEAR(Setup!$F$12),MONTH(Setup!$F$12)+ROUNDDOWN((ROW($A139)-ROW($A$6)-1)/EmpCount,0)+1,0)),DAY(DATE(YEAR(Setup!$F$12),MONTH(Setup!$F$12)+ROUNDDOWN((ROW($A139)-ROW($A$6)-1)/EmpCount,0)+1,0)),Setup!$C$14)))</f>
        <v>45255</v>
      </c>
      <c r="C139" s="101" t="str" cm="1">
        <f t="array" aca="1" ref="C139" ca="1">IF(ROW($A139)-ROW($A$6)&gt;EmpCount*12,"-",OFFSET(Emp!$A$4,ROW($A139)-ROW($A$6)-IF(ROW($A139)-ROW($A$6)&gt;EmpCount,ROUNDDOWN((ROW($A139)-ROW($A$6)-1)/EmpCount,0)*EmpCount,0),0,1,1))</f>
        <v>EXS013</v>
      </c>
      <c r="D139" s="10" t="str">
        <f ca="1">IF(ISNA(VLOOKUP($C139,EmpAll,COLUMN(Emp!$B$4),0)),"-",VLOOKUP($C139,EmpAll,COLUMN(Emp!$B$4),0))</f>
        <v>East WD</v>
      </c>
      <c r="E139" s="145" t="str">
        <f ca="1">IF(ISNA(VLOOKUP($C139,EmpAll,COLUMN(Emp!$C$4),0)),"-",VLOOKUP($C139,EmpAll,COLUMN(Emp!$C$4),0))</f>
        <v>A</v>
      </c>
      <c r="F139" s="101" t="str">
        <f ca="1">IF(ISNA(VLOOKUP($C139,EmpAll,COLUMN(Emp!$A$4),0)),"-",IF(AND(VLOOKUP($C139,EmpAll,COLUMN(Emp!$E$4),0)&lt;&gt;0,VLOOKUP($C139,EmpAll,COLUMN(Emp!$E$4),0)&gt;=DATE(YEAR($AC139),MONTH($AC139)+1,0)),"Inactive",IF(AND(VLOOKUP($C139,EmpAll,COLUMN(Emp!$F$4),0)&lt;&gt;0,VLOOKUP($C139,EmpAll,COLUMN(Emp!$F$4),0)&lt;=DATE(YEAR($AC139),MONTH($AC139),0)),"Terminated","Active")))</f>
        <v>Active</v>
      </c>
      <c r="G139" s="133" cm="1">
        <f t="array" aca="1" ref="G139" ca="1">IF($F139&lt;&gt;"Active",0,IF(COUNTIFS(OverEmp,$C139,OverEarn,G$2,OverDate,"&lt;"&amp;DATE(YEAR($AC139),MONTH($AC139)+1,1),OverEnd,"&gt;="&amp;DATE(YEAR($AC139),MONTH($AC139),1))&gt;0,SUMIFS(OverValue,OverEmp,$C139,OverEarn,G$2,OverDate,"&lt;"&amp;DATE(YEAR($AC139),MONTH($AC139)+1,1),OverEnd,"&gt;="&amp;DATE(YEAR($AC139),MONTH($AC139),1)),IF(AND($AC139&gt;=Setup!$E$10,SUMIFS(EmpIncrease,EmpCode,$C139)&gt;0),SUMIFS(EmpIncrease,EmpCode,$C139),SUMIFS(EmpSalary,EmpCode,$C139))))</f>
        <v>5000</v>
      </c>
      <c r="H139" s="133" cm="1">
        <f t="array" aca="1" ref="H139" ca="1">IF($F139&lt;&gt;"Active",0,IF(COUNTIFS(OverEmp,$C139,OverEarn,H$2,OverDate,"&lt;"&amp;DATE(YEAR($AC139),MONTH($AC139)+1,1),OverEnd,"&gt;="&amp;DATE(YEAR($AC139),MONTH($AC139),1))&gt;0,SUMIFS(OverValue,OverEmp,$C139,OverEarn,H$2,OverDate,"&lt;"&amp;DATE(YEAR($AC139),MONTH($AC139)+1,1),OverEnd,"&gt;="&amp;DATE(YEAR($AC139),MONTH($AC139),1)),0))</f>
        <v>0</v>
      </c>
      <c r="I139" s="133" cm="1">
        <f t="array" aca="1" ref="I139" ca="1">IF($F139&lt;&gt;"Active",0,IF(COUNTIFS(OverEmp,$C139,OverEarn,I$2,OverDate,"&lt;"&amp;DATE(YEAR($AC139),MONTH($AC139)+1,1),OverEnd,"&gt;="&amp;DATE(YEAR($AC139),MONTH($AC139),1))&gt;0,SUMIFS(OverValue,OverEmp,$C139,OverEarn,I$2,OverDate,"&lt;"&amp;DATE(YEAR($AC139),MONTH($AC139)+1,1),OverEnd,"&gt;="&amp;DATE(YEAR($AC139),MONTH($AC139),1)),IF(MONTH(B139)=Setup!$C$15,SUMIFS(EmpBonus,EmpCode,$C139),0)))</f>
        <v>0</v>
      </c>
      <c r="J139" s="133" cm="1">
        <f t="array" aca="1" ref="J139" ca="1">IF($F139&lt;&gt;"Active",0,IF(COUNTIFS(OverEmp,$C139,OverEarn,J$2,OverDate,"&lt;"&amp;DATE(YEAR($AC139),MONTH($AC139)+1,1),OverEnd,"&gt;="&amp;DATE(YEAR($AC139),MONTH($AC139),1))&gt;0,SUMIFS(OverValue,OverEmp,$C139,OverEarn,J$2,OverDate,"&lt;"&amp;DATE(YEAR($AC139),MONTH($AC139)+1,1),OverEnd,"&gt;="&amp;DATE(YEAR($AC139),MONTH($AC139),1)),0))</f>
        <v>0</v>
      </c>
      <c r="K139" s="133" cm="1">
        <f t="array" aca="1" ref="K139" ca="1">IF($F139&lt;&gt;"Active",0,IF(COUNTIFS(OverEmp,$C139,OverEarn,K$2,OverDate,"&lt;"&amp;DATE(YEAR($AC139),MONTH($AC139)+1,1),OverEnd,"&gt;="&amp;DATE(YEAR($AC139),MONTH($AC139),1))&gt;0,SUMIFS(OverValue,OverEmp,$C139,OverEarn,K$2,OverDate,"&lt;"&amp;DATE(YEAR($AC139),MONTH($AC139)+1,1),OverEnd,"&gt;="&amp;DATE(YEAR($AC139),MONTH($AC139),1)),0))</f>
        <v>0</v>
      </c>
      <c r="L139" s="185">
        <f t="shared" ca="1" si="66"/>
        <v>5000</v>
      </c>
      <c r="M139" s="182" cm="1">
        <f t="array" aca="1" ref="M139" ca="1">IF(COUNTIFS(OverEmp,$C139,OverTax,M$5,OverDate,"&lt;"&amp;DATE(YEAR($AC139),MONTH($AC139)+1,1),OverEnd,"&gt;="&amp;DATE(YEAR($AC139),MONTH($AC139),1))&gt;0,SUMIFS(OverValue,OverEmp,$C139,OverTax,M$5,OverDate,"&lt;"&amp;DATE(YEAR($AC139),MONTH($AC139)+1,1),OverEnd,"&gt;="&amp;DATE(YEAR($AC139),MONTH($AC139),1)),(($BA139/12*$AA139)+(BB139*IF(1-$BC139=0,0,BD139/(1-$BC139))))-IF($F139="Terminated",0,SUMIFS(PayTaxDeduct,PayDate,"&lt;"&amp;$AC139,PayEmp,$C139)))</f>
        <v>0</v>
      </c>
      <c r="N139" s="133" cm="1">
        <f t="array" aca="1" ref="N139" ca="1">IF($F139="Terminated",0,IF($AA139=0,0,IF(ISNA(MATCH(N$5,DedListItem,0)),0,IF(COUNTIFS(OverEmp,$C139,OverDeduct,N$5,OverDate,"&lt;"&amp;DATE(YEAR($AC139),MONTH($AC139)+1,1),OverEnd,"&gt;="&amp;DATE(YEAR($AC139),MONTH($AC139),1))&gt;0,SUMIFS(OverValue,OverEmp,$C139,OverDeduct,N$5,OverDate,"&lt;"&amp;DATE(YEAR($AC139),MONTH($AC139)+1,1),OverEnd,"&gt;="&amp;DATE(YEAR($AC139),MONTH($AC139),1)),IF(OR(N$2="Fixed",N$2="Not Used"),(IF(COUNTIFS(EmpNo,$C139,OFFSET(Emp!$R$4,1,MATCH(N$5,DedListItem,0)-1,EmpCount,1),"&lt;&gt;")&gt;0,VLOOKUP($C139,EmpAll,COLUMN(Emp!$R$4)+MATCH(N$5,DedListItem,0)-1,0),OFFSET(Setup!$E$73,MATCH(N$5,DedListItem,0),0,1,1))*$AA139)-SUMIFS(OFFSET(N$6,1,0,PayCount,1),PayDate,"&lt;"&amp;$AC139,PayEmp,$C139),IF(ISNA(MATCH(N$2,EarnListItem,0))=FALSE,IF(OFFSET(Setup!$G$73,MATCH(N$5,DedListItem,0),0,1,1)="Taxable",SUMPRODUCT((PayEmp=$C139)*(PayDate&lt;=$AC139)*(PayEarnCode=N$2)*(PayEarnTax)*(PayEarnValues)),SUMPRODUCT((PayEmp=$C139)*(PayDate&lt;=$AC139)*(PayEarnCode=N$2)*(PayEarnValues)))*IF(COUNTIFS(EmpNo,$C139,OFFSET(Emp!$R$4,1,MATCH(N$5,DedListItem,0)-1,EmpCount,1),"&lt;&gt;")&gt;0,VLOOKUP($C139,EmpAll,COLUMN(Emp!$R$4)+MATCH(N$5,DedListItem,0)-1,0),OFFSET(Setup!$E$73,MATCH(N$5,DedListItem,0),0,1,1)),(MIN(IF(OFFSET(Setup!$G$73,MATCH(N$5,DedListItem,0),0,1,1)="Taxable",SUMPRODUCT((PayEmp=$C139)*(PayDate&lt;=$AC139)*(ISERROR(SEARCH(PayEarnCode,N$4)))*(PayEarnTax)*(PayEarnValues)),SUMPRODUCT((PayEmp=$C139)*(PayDate&lt;=$AC139)*(ISERROR(SEARCH(PayEarnCode,N$4)))*(PayEarnValues))),IF(ISNUMBER(N$3),N$3/12*$AA139,IgnoreMin)))*IF(COUNTIFS(EmpNo,$C139,OFFSET(Emp!$R$4,1,MATCH(N$5,DedListItem,0)-1,EmpCount,1),"&lt;&gt;")&gt;0,VLOOKUP($C139,EmpAll,COLUMN(Emp!$R$4)+MATCH(N$5,DedListItem,0)-1,0),OFFSET(Setup!$E$73,MATCH(N$5,DedListItem,0),0,1,1)))-SUMIFS(OFFSET(N$6,1,0,PayCount,1),PayDate,"&lt;"&amp;$AC139,PayEmp,$C139))))))</f>
        <v>50</v>
      </c>
      <c r="O139" s="133" cm="1">
        <f t="array" aca="1" ref="O139" ca="1">IF($F139="Terminated",0,IF($AA139=0,0,IF(ISNA(MATCH(O$5,DedListItem,0)),0,IF(COUNTIFS(OverEmp,$C139,OverDeduct,O$5,OverDate,"&lt;"&amp;DATE(YEAR($AC139),MONTH($AC139)+1,1),OverEnd,"&gt;="&amp;DATE(YEAR($AC139),MONTH($AC139),1))&gt;0,SUMIFS(OverValue,OverEmp,$C139,OverDeduct,O$5,OverDate,"&lt;"&amp;DATE(YEAR($AC139),MONTH($AC139)+1,1),OverEnd,"&gt;="&amp;DATE(YEAR($AC139),MONTH($AC139),1)),IF(OR(O$2="Fixed",O$2="Not Used"),(IF(COUNTIFS(EmpNo,$C139,OFFSET(Emp!$R$4,1,MATCH(O$5,DedListItem,0)-1,EmpCount,1),"&lt;&gt;")&gt;0,VLOOKUP($C139,EmpAll,COLUMN(Emp!$R$4)+MATCH(O$5,DedListItem,0)-1,0),OFFSET(Setup!$E$73,MATCH(O$5,DedListItem,0),0,1,1))*$AA139)-SUMIFS(OFFSET(O$6,1,0,PayCount,1),PayDate,"&lt;"&amp;$AC139,PayEmp,$C139),IF(ISNA(MATCH(O$2,EarnListItem,0))=FALSE,IF(OFFSET(Setup!$G$73,MATCH(O$5,DedListItem,0),0,1,1)="Taxable",SUMPRODUCT((PayEmp=$C139)*(PayDate&lt;=$AC139)*(PayEarnCode=O$2)*(PayEarnTax)*(PayEarnValues)),SUMPRODUCT((PayEmp=$C139)*(PayDate&lt;=$AC139)*(PayEarnCode=O$2)*(PayEarnValues)))*IF(COUNTIFS(EmpNo,$C139,OFFSET(Emp!$R$4,1,MATCH(O$5,DedListItem,0)-1,EmpCount,1),"&lt;&gt;")&gt;0,VLOOKUP($C139,EmpAll,COLUMN(Emp!$R$4)+MATCH(O$5,DedListItem,0)-1,0),OFFSET(Setup!$E$73,MATCH(O$5,DedListItem,0),0,1,1)),(MIN(IF(OFFSET(Setup!$G$73,MATCH(O$5,DedListItem,0),0,1,1)="Taxable",SUMPRODUCT((PayEmp=$C139)*(PayDate&lt;=$AC139)*(ISERROR(SEARCH(PayEarnCode,O$4)))*(PayEarnTax)*(PayEarnValues)),SUMPRODUCT((PayEmp=$C139)*(PayDate&lt;=$AC139)*(ISERROR(SEARCH(PayEarnCode,O$4)))*(PayEarnValues))),IF(ISNUMBER(O$3),O$3/12*$AA139,IgnoreMin)))*IF(COUNTIFS(EmpNo,$C139,OFFSET(Emp!$R$4,1,MATCH(O$5,DedListItem,0)-1,EmpCount,1),"&lt;&gt;")&gt;0,VLOOKUP($C139,EmpAll,COLUMN(Emp!$R$4)+MATCH(O$5,DedListItem,0)-1,0),OFFSET(Setup!$E$73,MATCH(O$5,DedListItem,0),0,1,1)))-SUMIFS(OFFSET(O$6,1,0,PayCount,1),PayDate,"&lt;"&amp;$AC139,PayEmp,$C139))))))</f>
        <v>0</v>
      </c>
      <c r="P139" s="133" cm="1">
        <f t="array" aca="1" ref="P139" ca="1">IF($F139="Terminated",0,IF($AA139=0,0,IF(ISNA(MATCH(P$5,DedListItem,0)),0,IF(COUNTIFS(OverEmp,$C139,OverDeduct,P$5,OverDate,"&lt;"&amp;DATE(YEAR($AC139),MONTH($AC139)+1,1),OverEnd,"&gt;="&amp;DATE(YEAR($AC139),MONTH($AC139),1))&gt;0,SUMIFS(OverValue,OverEmp,$C139,OverDeduct,P$5,OverDate,"&lt;"&amp;DATE(YEAR($AC139),MONTH($AC139)+1,1),OverEnd,"&gt;="&amp;DATE(YEAR($AC139),MONTH($AC139),1)),IF(OR(P$2="Fixed",P$2="Not Used"),(IF(COUNTIFS(EmpNo,$C139,OFFSET(Emp!$R$4,1,MATCH(P$5,DedListItem,0)-1,EmpCount,1),"&lt;&gt;")&gt;0,VLOOKUP($C139,EmpAll,COLUMN(Emp!$R$4)+MATCH(P$5,DedListItem,0)-1,0),OFFSET(Setup!$E$73,MATCH(P$5,DedListItem,0),0,1,1))*$AA139)-SUMIFS(OFFSET(P$6,1,0,PayCount,1),PayDate,"&lt;"&amp;$AC139,PayEmp,$C139),IF(ISNA(MATCH(P$2,EarnListItem,0))=FALSE,IF(OFFSET(Setup!$G$73,MATCH(P$5,DedListItem,0),0,1,1)="Taxable",SUMPRODUCT((PayEmp=$C139)*(PayDate&lt;=$AC139)*(PayEarnCode=P$2)*(PayEarnTax)*(PayEarnValues)),SUMPRODUCT((PayEmp=$C139)*(PayDate&lt;=$AC139)*(PayEarnCode=P$2)*(PayEarnValues)))*IF(COUNTIFS(EmpNo,$C139,OFFSET(Emp!$R$4,1,MATCH(P$5,DedListItem,0)-1,EmpCount,1),"&lt;&gt;")&gt;0,VLOOKUP($C139,EmpAll,COLUMN(Emp!$R$4)+MATCH(P$5,DedListItem,0)-1,0),OFFSET(Setup!$E$73,MATCH(P$5,DedListItem,0),0,1,1)),(MIN(IF(OFFSET(Setup!$G$73,MATCH(P$5,DedListItem,0),0,1,1)="Taxable",SUMPRODUCT((PayEmp=$C139)*(PayDate&lt;=$AC139)*(ISERROR(SEARCH(PayEarnCode,P$4)))*(PayEarnTax)*(PayEarnValues)),SUMPRODUCT((PayEmp=$C139)*(PayDate&lt;=$AC139)*(ISERROR(SEARCH(PayEarnCode,P$4)))*(PayEarnValues))),IF(ISNUMBER(P$3),P$3/12*$AA139,IgnoreMin)))*IF(COUNTIFS(EmpNo,$C139,OFFSET(Emp!$R$4,1,MATCH(P$5,DedListItem,0)-1,EmpCount,1),"&lt;&gt;")&gt;0,VLOOKUP($C139,EmpAll,COLUMN(Emp!$R$4)+MATCH(P$5,DedListItem,0)-1,0),OFFSET(Setup!$E$73,MATCH(P$5,DedListItem,0),0,1,1)))-SUMIFS(OFFSET(P$6,1,0,PayCount,1),PayDate,"&lt;"&amp;$AC139,PayEmp,$C139))))))</f>
        <v>0</v>
      </c>
      <c r="Q139" s="133" cm="1">
        <f t="array" aca="1" ref="Q139" ca="1">IF($F139="Terminated",0,IF($AA139=0,0,IF(ISNA(MATCH(Q$5,DedListItem,0)),0,IF(COUNTIFS(OverEmp,$C139,OverDeduct,Q$5,OverDate,"&lt;"&amp;DATE(YEAR($AC139),MONTH($AC139)+1,1),OverEnd,"&gt;="&amp;DATE(YEAR($AC139),MONTH($AC139),1))&gt;0,SUMIFS(OverValue,OverEmp,$C139,OverDeduct,Q$5,OverDate,"&lt;"&amp;DATE(YEAR($AC139),MONTH($AC139)+1,1),OverEnd,"&gt;="&amp;DATE(YEAR($AC139),MONTH($AC139),1)),IF(OR(Q$2="Fixed",Q$2="Not Used"),(IF(COUNTIFS(EmpNo,$C139,OFFSET(Emp!$R$4,1,MATCH(Q$5,DedListItem,0)-1,EmpCount,1),"&lt;&gt;")&gt;0,VLOOKUP($C139,EmpAll,COLUMN(Emp!$R$4)+MATCH(Q$5,DedListItem,0)-1,0),OFFSET(Setup!$E$73,MATCH(Q$5,DedListItem,0),0,1,1))*$AA139)-SUMIFS(OFFSET(Q$6,1,0,PayCount,1),PayDate,"&lt;"&amp;$AC139,PayEmp,$C139),IF(ISNA(MATCH(Q$2,EarnListItem,0))=FALSE,IF(OFFSET(Setup!$G$73,MATCH(Q$5,DedListItem,0),0,1,1)="Taxable",SUMPRODUCT((PayEmp=$C139)*(PayDate&lt;=$AC139)*(PayEarnCode=Q$2)*(PayEarnTax)*(PayEarnValues)),SUMPRODUCT((PayEmp=$C139)*(PayDate&lt;=$AC139)*(PayEarnCode=Q$2)*(PayEarnValues)))*IF(COUNTIFS(EmpNo,$C139,OFFSET(Emp!$R$4,1,MATCH(Q$5,DedListItem,0)-1,EmpCount,1),"&lt;&gt;")&gt;0,VLOOKUP($C139,EmpAll,COLUMN(Emp!$R$4)+MATCH(Q$5,DedListItem,0)-1,0),OFFSET(Setup!$E$73,MATCH(Q$5,DedListItem,0),0,1,1)),(MIN(IF(OFFSET(Setup!$G$73,MATCH(Q$5,DedListItem,0),0,1,1)="Taxable",SUMPRODUCT((PayEmp=$C139)*(PayDate&lt;=$AC139)*(ISERROR(SEARCH(PayEarnCode,Q$4)))*(PayEarnTax)*(PayEarnValues)),SUMPRODUCT((PayEmp=$C139)*(PayDate&lt;=$AC139)*(ISERROR(SEARCH(PayEarnCode,Q$4)))*(PayEarnValues))),IF(ISNUMBER(Q$3),Q$3/12*$AA139,IgnoreMin)))*IF(COUNTIFS(EmpNo,$C139,OFFSET(Emp!$R$4,1,MATCH(Q$5,DedListItem,0)-1,EmpCount,1),"&lt;&gt;")&gt;0,VLOOKUP($C139,EmpAll,COLUMN(Emp!$R$4)+MATCH(Q$5,DedListItem,0)-1,0),OFFSET(Setup!$E$73,MATCH(Q$5,DedListItem,0),0,1,1)))-SUMIFS(OFFSET(Q$6,1,0,PayCount,1),PayDate,"&lt;"&amp;$AC139,PayEmp,$C139))))))</f>
        <v>0</v>
      </c>
      <c r="R139" s="185">
        <f t="shared" ca="1" si="67"/>
        <v>50</v>
      </c>
      <c r="S139" s="139">
        <f t="shared" ca="1" si="68"/>
        <v>4950</v>
      </c>
      <c r="T139" s="133" cm="1">
        <f t="array" aca="1" ref="T139" ca="1">IF($F139="Terminated",0,IF($AA139=0,0,IF(ISNA(MATCH(T$5,CompListItem,0)),0,IF(COUNTIFS(OverEmp,$C139,OverComp,T$5,OverDate,"&lt;"&amp;DATE(YEAR($AC139),MONTH($AC139)+1,1),OverEnd,"&gt;="&amp;DATE(YEAR($AC139),MONTH($AC139),1))&gt;0,SUMIFS(OverValue,OverEmp,$C139,OverComp,T$5,OverDate,"&lt;"&amp;DATE(YEAR($AC139),MONTH($AC139)+1,1),OverEnd,"&gt;="&amp;DATE(YEAR($AC139),MONTH($AC139),1)),IF(OR(T$2="Fixed",T$2="Not Used"),(OFFSET(Setup!$E$81,MATCH(T$5,CompListItem,0),0,1,1)*$AA139)-SUMIFS(OFFSET(T$6,1,0,PayCount,1),PayDate,"&lt;"&amp;$AC139,PayEmp,$C139),IF(ISNA(MATCH(T$2,DedListItem,0))=FALSE,(SUMPRODUCT((PayEmp=$C139)*(PayDate&lt;=$AC139)*(PayDedList=T$2)*(PayDedValues))*OFFSET(Setup!$E$81,MATCH(T$5,CompListItem,0),0,1,1))-SUMIFS(OFFSET(T$6,1,0,PayCount,1),PayDate,"&lt;"&amp;$AC139,PayEmp,$C139),(MIN(IF(OFFSET(Setup!$G$81,MATCH(T$5,CompListItem,0),0,1,1)="Taxable",SUMPRODUCT((PayEmp=$C139)*(PayDate&lt;=$AC139)*(ISERROR(SEARCH(PayEarnCode,T$4)))*(PayEarnTax)*(PayEarnValues)),SUMPRODUCT((PayEmp=$C139)*(PayDate&lt;=$AC139)*(ISERROR(SEARCH(PayEarnCode,T$4)))*(PayEarnValues))),IF(ISNUMBER(T$3),T$3/12*$AA139,IgnoreMin)))*OFFSET(Setup!$E$81,MATCH(T$5,CompListItem,0),0,1,1)-SUMIFS(OFFSET(T$6,1,0,PayCount,1),PayDate,"&lt;"&amp;$AC139,PayEmp,$C139)))))))</f>
        <v>50</v>
      </c>
      <c r="U139" s="133" cm="1">
        <f t="array" aca="1" ref="U139" ca="1">IF($F139="Terminated",0,IF($AA139=0,0,IF(ISNA(MATCH(U$5,CompListItem,0)),0,IF(COUNTIFS(OverEmp,$C139,OverComp,U$5,OverDate,"&lt;"&amp;DATE(YEAR($AC139),MONTH($AC139)+1,1),OverEnd,"&gt;="&amp;DATE(YEAR($AC139),MONTH($AC139),1))&gt;0,SUMIFS(OverValue,OverEmp,$C139,OverComp,U$5,OverDate,"&lt;"&amp;DATE(YEAR($AC139),MONTH($AC139)+1,1),OverEnd,"&gt;="&amp;DATE(YEAR($AC139),MONTH($AC139),1)),IF(OR(U$2="Fixed",U$2="Not Used"),(OFFSET(Setup!$E$81,MATCH(U$5,CompListItem,0),0,1,1)*$AA139)-SUMIFS(OFFSET(U$6,1,0,PayCount,1),PayDate,"&lt;"&amp;$AC139,PayEmp,$C139),IF(ISNA(MATCH(U$2,DedListItem,0))=FALSE,(SUMPRODUCT((PayEmp=$C139)*(PayDate&lt;=$AC139)*(PayDedList=U$2)*(PayDedValues))*OFFSET(Setup!$E$81,MATCH(U$5,CompListItem,0),0,1,1))-SUMIFS(OFFSET(U$6,1,0,PayCount,1),PayDate,"&lt;"&amp;$AC139,PayEmp,$C139),(MIN(IF(OFFSET(Setup!$G$81,MATCH(U$5,CompListItem,0),0,1,1)="Taxable",SUMPRODUCT((PayEmp=$C139)*(PayDate&lt;=$AC139)*(ISERROR(SEARCH(PayEarnCode,U$4)))*(PayEarnTax)*(PayEarnValues)),SUMPRODUCT((PayEmp=$C139)*(PayDate&lt;=$AC139)*(ISERROR(SEARCH(PayEarnCode,U$4)))*(PayEarnValues))),IF(ISNUMBER(U$3),U$3/12*$AA139,IgnoreMin)))*OFFSET(Setup!$E$81,MATCH(U$5,CompListItem,0),0,1,1)-SUMIFS(OFFSET(U$6,1,0,PayCount,1),PayDate,"&lt;"&amp;$AC139,PayEmp,$C139)))))))</f>
        <v>50</v>
      </c>
      <c r="V139" s="133" cm="1">
        <f t="array" aca="1" ref="V139" ca="1">IF($F139="Terminated",0,IF($AA139=0,0,IF(ISNA(MATCH(V$5,CompListItem,0)),0,IF(COUNTIFS(OverEmp,$C139,OverComp,V$5,OverDate,"&lt;"&amp;DATE(YEAR($AC139),MONTH($AC139)+1,1),OverEnd,"&gt;="&amp;DATE(YEAR($AC139),MONTH($AC139),1))&gt;0,SUMIFS(OverValue,OverEmp,$C139,OverComp,V$5,OverDate,"&lt;"&amp;DATE(YEAR($AC139),MONTH($AC139)+1,1),OverEnd,"&gt;="&amp;DATE(YEAR($AC139),MONTH($AC139),1)),IF(OR(V$2="Fixed",V$2="Not Used"),(OFFSET(Setup!$E$81,MATCH(V$5,CompListItem,0),0,1,1)*$AA139)-SUMIFS(OFFSET(V$6,1,0,PayCount,1),PayDate,"&lt;"&amp;$AC139,PayEmp,$C139),IF(ISNA(MATCH(V$2,DedListItem,0))=FALSE,(SUMPRODUCT((PayEmp=$C139)*(PayDate&lt;=$AC139)*(PayDedList=V$2)*(PayDedValues))*OFFSET(Setup!$E$81,MATCH(V$5,CompListItem,0),0,1,1))-SUMIFS(OFFSET(V$6,1,0,PayCount,1),PayDate,"&lt;"&amp;$AC139,PayEmp,$C139),(MIN(IF(OFFSET(Setup!$G$81,MATCH(V$5,CompListItem,0),0,1,1)="Taxable",SUMPRODUCT((PayEmp=$C139)*(PayDate&lt;=$AC139)*(ISERROR(SEARCH(PayEarnCode,V$4)))*(PayEarnTax)*(PayEarnValues)),SUMPRODUCT((PayEmp=$C139)*(PayDate&lt;=$AC139)*(ISERROR(SEARCH(PayEarnCode,V$4)))*(PayEarnValues))),IF(ISNUMBER(V$3),V$3/12*$AA139,IgnoreMin)))*OFFSET(Setup!$E$81,MATCH(V$5,CompListItem,0),0,1,1)-SUMIFS(OFFSET(V$6,1,0,PayCount,1),PayDate,"&lt;"&amp;$AC139,PayEmp,$C139)))))))</f>
        <v>0</v>
      </c>
      <c r="W139" s="133" cm="1">
        <f t="array" aca="1" ref="W139" ca="1">IF($F139="Terminated",0,IF($AA139=0,0,IF(ISNA(MATCH(W$5,CompListItem,0)),0,IF(COUNTIFS(OverEmp,$C139,OverComp,W$5,OverDate,"&lt;"&amp;DATE(YEAR($AC139),MONTH($AC139)+1,1),OverEnd,"&gt;="&amp;DATE(YEAR($AC139),MONTH($AC139),1))&gt;0,SUMIFS(OverValue,OverEmp,$C139,OverComp,W$5,OverDate,"&lt;"&amp;DATE(YEAR($AC139),MONTH($AC139)+1,1),OverEnd,"&gt;="&amp;DATE(YEAR($AC139),MONTH($AC139),1)),IF(OR(W$2="Fixed",W$2="Not Used"),(OFFSET(Setup!$E$81,MATCH(W$5,CompListItem,0),0,1,1)*$AA139)-SUMIFS(OFFSET(W$6,1,0,PayCount,1),PayDate,"&lt;"&amp;$AC139,PayEmp,$C139),IF(ISNA(MATCH(W$2,DedListItem,0))=FALSE,(SUMPRODUCT((PayEmp=$C139)*(PayDate&lt;=$AC139)*(PayDedList=W$2)*(PayDedValues))*OFFSET(Setup!$E$81,MATCH(W$5,CompListItem,0),0,1,1))-SUMIFS(OFFSET(W$6,1,0,PayCount,1),PayDate,"&lt;"&amp;$AC139,PayEmp,$C139),(MIN(IF(OFFSET(Setup!$G$81,MATCH(W$5,CompListItem,0),0,1,1)="Taxable",SUMPRODUCT((PayEmp=$C139)*(PayDate&lt;=$AC139)*(ISERROR(SEARCH(PayEarnCode,W$4)))*(PayEarnTax)*(PayEarnValues)),SUMPRODUCT((PayEmp=$C139)*(PayDate&lt;=$AC139)*(ISERROR(SEARCH(PayEarnCode,W$4)))*(PayEarnValues))),IF(ISNUMBER(W$3),W$3/12*$AA139,IgnoreMin)))*OFFSET(Setup!$E$81,MATCH(W$5,CompListItem,0),0,1,1)-SUMIFS(OFFSET(W$6,1,0,PayCount,1),PayDate,"&lt;"&amp;$AC139,PayEmp,$C139)))))))</f>
        <v>0</v>
      </c>
      <c r="X139" s="185">
        <f t="shared" ca="1" si="60"/>
        <v>100</v>
      </c>
      <c r="Y139" s="139">
        <f t="shared" ca="1" si="69"/>
        <v>5100</v>
      </c>
      <c r="Z139" s="139">
        <f t="shared" ca="1" si="61"/>
        <v>150</v>
      </c>
      <c r="AA139" s="146">
        <f ca="1">IF(OR($B139&lt;=Setup!$E$12,$B139&gt;=Setup!$D$12+1),0,IF($F139&lt;&gt;"Active",0,IF($AE139="Yes",$AB139,((YEAR($AC139)*12)+MONTH($AC139))-((YEAR($AD139)*12)+MONTH($AD139)-1))))</f>
        <v>9</v>
      </c>
      <c r="AB139" s="146">
        <f ca="1">IF(OR($B139&lt;=Setup!$E$12,$B139&gt;=Setup!$D$12+1),0,((YEAR($AC139)*12)+MONTH($AC139))-((YEAR(Setup!$E$12)*12)+MONTH(Setup!$E$12)))</f>
        <v>9</v>
      </c>
      <c r="AC139" s="186">
        <f t="shared" ca="1" si="62"/>
        <v>45255</v>
      </c>
      <c r="AD139" s="144">
        <f ca="1">IF(ISNA(VLOOKUP($C139,EmpAll,COLUMN(Emp!$E$4),0)),$AC139,IF(VLOOKUP($C139,EmpAll,COLUMN(Emp!$E$4),0)&lt;=Setup!$E$12,DATE(YEAR(Setup!$E$12),MONTH(Setup!$E$12)+1,1),VLOOKUP($C139,EmpAll,COLUMN(Emp!$E$4),0)))</f>
        <v>44986</v>
      </c>
      <c r="AE139" s="144" t="str">
        <f ca="1">IF(ISNA(VLOOKUP($C139,EmpAll,COLUMN(Emp!$G$1),0)),"-",IF(VLOOKUP($C139,EmpAll,COLUMN(Emp!$G$1),0)=0,"-",VLOOKUP($C139,EmpAll,COLUMN(Emp!$G$1),0)))</f>
        <v>-</v>
      </c>
      <c r="AF139" s="145">
        <f ca="1">IF(A139=PaySlip!$G$3,1,0)</f>
        <v>0</v>
      </c>
      <c r="AG139" s="130" cm="1">
        <f t="array" aca="1" ref="AG139" ca="1">IF(COUNTIFS(OverEmp,$C139,OverMed,"MED",OverDate,"&lt;"&amp;DATE(YEAR($AC139),MONTH($AC139)+1,1),OverEnd,"&gt;="&amp;DATE(YEAR($AC139),MONTH($AC139),1))&gt;0,SUMIFS(OverValue,OverEmp,$C139,OverMed,"MED",OverDate,"&lt;"&amp;DATE(YEAR($AC139),MONTH($AC139)+1,1),OverEnd,"&gt;="&amp;DATE(YEAR($AC139),MONTH($AC139),1)),IF(ISNA(VLOOKUP($C139,EmpAll,COLUMN(Emp!$N$4),0)),0,VLOOKUP($C139,EmpAll,COLUMN(Emp!$N$4),0)))</f>
        <v>0</v>
      </c>
      <c r="AH139" s="146">
        <f ca="1">VLOOKUP($AG139,MedList,COLUMN(Setup!$C$49),1)</f>
        <v>0</v>
      </c>
      <c r="AI139" s="146">
        <f t="shared" ca="1" si="70"/>
        <v>0</v>
      </c>
      <c r="AJ139" s="101" t="str">
        <f ca="1">IF(ISNA(VLOOKUP($C139,EmpAll,COLUMN(Emp!$L$4),0)),"None!",VLOOKUP($C139,EmpAll,COLUMN(Emp!$L$4),0))</f>
        <v>A</v>
      </c>
      <c r="AK139" s="147">
        <f t="shared" ca="1" si="63"/>
        <v>17235</v>
      </c>
      <c r="AL139" s="101" t="str">
        <f ca="1">IF(ISNA(VLOOKUP($C139,Employees[],COLUMN(Emp!$M$4),0))=TRUE,"Error!",IF(VLOOKUP($C139,Employees[],COLUMN(Emp!$M$4),0)=0,"Yes",VLOOKUP($C139,Employees[],COLUMN(Emp!$M$4),0)))</f>
        <v>A</v>
      </c>
      <c r="AM139" s="148">
        <f t="shared" ca="1" si="71"/>
        <v>60000</v>
      </c>
      <c r="AN139" s="148" cm="1">
        <f t="array" aca="1" ref="AN139" ca="1">-IF($F139="Terminated",0,IF($AA139=0,0,IF(ISNA(MATCH(AN$5,PayDedList,0)),0,MIN(IF(COUNTIFS(OverEmp,$C139,OverDeduct,AN$5,OverDate,"&lt;"&amp;DATE(YEAR($AC139),MONTH($AC139)+1,1),OverEnd,"&gt;="&amp;DATE(YEAR($AC139),MONTH($AC139),1))&gt;0,SUMPRODUCT((PayEmp=$C139)*(PayDate&lt;=$AC139)*(OFFSET($N$6,1,MATCH(AN$5,PayDedList,0)-1,PayCount,1)))/$AA139*12*AN$3,IF(OR(AN$1="Fixed",AN$1="Not Used"),SUMPRODUCT((PayEmp=$C139)*(PayDate&lt;=$AC139)*(OFFSET($N$6,1,MATCH(AN$5,PayDedList,0)-1,PayCount,1)))/$AA139*12*AN$3,IF(ISNA(MATCH(AN$1,EarnListItem,0))=FALSE,SUMPRODUCT((PayEmp=$C139)*(PayDate&lt;=$AC139)*(OFFSET($N$6,1,MATCH(AN$5,PayDedList,0)-1,PayCount,1)))/$AA139*12*AN$3,(MIN(((SUMPRODUCT((PayEmp=$C139)*(PayDate&lt;=$AC139)*(ISERROR(SEARCH(PayEarnCode,AN$2)))*(PayEarnType="Monthly")*(PayEarnValues))/$AA139*12)+(SUMPRODUCT((PayEmp=$C139)*(PayDate&lt;=$AC139)*(ISERROR(SEARCH(PayEarnCode,AN$2)))*(PayEarnType="Quarterly")*(PayEarnValues))/MAX(1,ROUNDDOWN($AB139/3,0))*4)+(SUMPRODUCT((PayEmp=$C139)*(PayDate&lt;=$AC139)*(ISERROR(SEARCH(PayEarnCode,AN$2)))*(PayEarnType="Bi-Annual")*(PayEarnValues))/MAX(1,ROUNDDOWN($AB139/6,0))*2)+(SUMPRODUCT((PayEmp=$C139)*(PayDate&lt;=$AC139)*(ISERROR(SEARCH(PayEarnCode,AN$2)))*(PayEarnType="Annual")*(PayEarnValues)))),IF(ISNUMBER(OFFSET($N$3,0,MATCH(AN$5,PayDedList,0)-1,1,1)),OFFSET($N$3,0,MATCH(AN$5,PayDedList,0)-1,1,1),IgnoreMin)))*IF(COUNTIFS(EmpNo,$C139,OFFSET(Emp!$R$4,1,MATCH(AN$5,DedListItem,0)-1,EmpCount,1),"&lt;&gt;")&gt;0,VLOOKUP($C139,EmpAll,COLUMN(Emp!$R$4)+MATCH(AN$5,DedListItem,0)-1,0),OFFSET(Setup!$E$73,MATCH(AN$5,DedListItem,0),0,1,1))*AN$3))),IF(ISNUMBER(AN$4),AN$4,IgnoreMin)))))</f>
        <v>0</v>
      </c>
      <c r="AO139" s="148" cm="1">
        <f t="array" aca="1" ref="AO139" ca="1">-IF($F139="Terminated",0,IF($AA139=0,0,IF(ISNA(MATCH(AO$5,PayDedList,0)),0,MIN(IF(COUNTIFS(OverEmp,$C139,OverDeduct,AO$5,OverDate,"&lt;"&amp;DATE(YEAR($AC139),MONTH($AC139)+1,1),OverEnd,"&gt;="&amp;DATE(YEAR($AC139),MONTH($AC139),1))&gt;0,SUMPRODUCT((PayEmp=$C139)*(PayDate&lt;=$AC139)*(OFFSET($N$6,1,MATCH(AO$5,PayDedList,0)-1,PayCount,1)))/$AA139*12*AO$3,IF(OR(AO$1="Fixed",AO$1="Not Used"),SUMPRODUCT((PayEmp=$C139)*(PayDate&lt;=$AC139)*(OFFSET($N$6,1,MATCH(AO$5,PayDedList,0)-1,PayCount,1)))/$AA139*12*AO$3,IF(ISNA(MATCH(AO$1,EarnListItem,0))=FALSE,SUMPRODUCT((PayEmp=$C139)*(PayDate&lt;=$AC139)*(OFFSET($N$6,1,MATCH(AO$5,PayDedList,0)-1,PayCount,1)))/$AA139*12*AO$3,(MIN(((SUMPRODUCT((PayEmp=$C139)*(PayDate&lt;=$AC139)*(ISERROR(SEARCH(PayEarnCode,AO$2)))*(PayEarnType="Monthly")*(PayEarnValues))/$AA139*12)+(SUMPRODUCT((PayEmp=$C139)*(PayDate&lt;=$AC139)*(ISERROR(SEARCH(PayEarnCode,AO$2)))*(PayEarnType="Quarterly")*(PayEarnValues))/MAX(1,ROUNDDOWN($AB139/3,0))*4)+(SUMPRODUCT((PayEmp=$C139)*(PayDate&lt;=$AC139)*(ISERROR(SEARCH(PayEarnCode,AO$2)))*(PayEarnType="Bi-Annual")*(PayEarnValues))/MAX(1,ROUNDDOWN($AB139/6,0))*2)+(SUMPRODUCT((PayEmp=$C139)*(PayDate&lt;=$AC139)*(ISERROR(SEARCH(PayEarnCode,AO$2)))*(PayEarnType="Annual")*(PayEarnValues)))),IF(ISNUMBER(OFFSET($N$3,0,MATCH(AO$5,PayDedList,0)-1,1,1)),OFFSET($N$3,0,MATCH(AO$5,PayDedList,0)-1,1,1),IgnoreMin)))*IF(COUNTIFS(EmpNo,$C139,OFFSET(Emp!$R$4,1,MATCH(AO$5,DedListItem,0)-1,EmpCount,1),"&lt;&gt;")&gt;0,VLOOKUP($C139,EmpAll,COLUMN(Emp!$R$4)+MATCH(AO$5,DedListItem,0)-1,0),OFFSET(Setup!$E$73,MATCH(AO$5,DedListItem,0),0,1,1))*AO$3))),IF(ISNUMBER(AO$4),AO$4,IgnoreMin)))))</f>
        <v>0</v>
      </c>
      <c r="AP139" s="148" cm="1">
        <f t="array" aca="1" ref="AP139" ca="1">-IF($F139="Terminated",0,IF($AA139=0,0,IF(ISNA(MATCH(AP$5,PayDedList,0)),0,MIN(IF(COUNTIFS(OverEmp,$C139,OverDeduct,AP$5,OverDate,"&lt;"&amp;DATE(YEAR($AC139),MONTH($AC139)+1,1),OverEnd,"&gt;="&amp;DATE(YEAR($AC139),MONTH($AC139),1))&gt;0,SUMPRODUCT((PayEmp=$C139)*(PayDate&lt;=$AC139)*(OFFSET($N$6,1,MATCH(AP$5,PayDedList,0)-1,PayCount,1)))/$AA139*12*AP$3,IF(OR(AP$1="Fixed",AP$1="Not Used"),SUMPRODUCT((PayEmp=$C139)*(PayDate&lt;=$AC139)*(OFFSET($N$6,1,MATCH(AP$5,PayDedList,0)-1,PayCount,1)))/$AA139*12*AP$3,IF(ISNA(MATCH(AP$1,EarnListItem,0))=FALSE,SUMPRODUCT((PayEmp=$C139)*(PayDate&lt;=$AC139)*(OFFSET($N$6,1,MATCH(AP$5,PayDedList,0)-1,PayCount,1)))/$AA139*12*AP$3,(MIN(((SUMPRODUCT((PayEmp=$C139)*(PayDate&lt;=$AC139)*(ISERROR(SEARCH(PayEarnCode,AP$2)))*(PayEarnType="Monthly")*(PayEarnValues))/$AA139*12)+(SUMPRODUCT((PayEmp=$C139)*(PayDate&lt;=$AC139)*(ISERROR(SEARCH(PayEarnCode,AP$2)))*(PayEarnType="Quarterly")*(PayEarnValues))/MAX(1,ROUNDDOWN($AB139/3,0))*4)+(SUMPRODUCT((PayEmp=$C139)*(PayDate&lt;=$AC139)*(ISERROR(SEARCH(PayEarnCode,AP$2)))*(PayEarnType="Bi-Annual")*(PayEarnValues))/MAX(1,ROUNDDOWN($AB139/6,0))*2)+(SUMPRODUCT((PayEmp=$C139)*(PayDate&lt;=$AC139)*(ISERROR(SEARCH(PayEarnCode,AP$2)))*(PayEarnType="Annual")*(PayEarnValues)))),IF(ISNUMBER(OFFSET($N$3,0,MATCH(AP$5,PayDedList,0)-1,1,1)),OFFSET($N$3,0,MATCH(AP$5,PayDedList,0)-1,1,1),IgnoreMin)))*IF(COUNTIFS(EmpNo,$C139,OFFSET(Emp!$R$4,1,MATCH(AP$5,DedListItem,0)-1,EmpCount,1),"&lt;&gt;")&gt;0,VLOOKUP($C139,EmpAll,COLUMN(Emp!$R$4)+MATCH(AP$5,DedListItem,0)-1,0),OFFSET(Setup!$E$73,MATCH(AP$5,DedListItem,0),0,1,1))*AP$3))),IF(ISNUMBER(AP$4),AP$4,IgnoreMin)))))</f>
        <v>0</v>
      </c>
      <c r="AQ139" s="148" cm="1">
        <f t="array" aca="1" ref="AQ139" ca="1">-IF($F139="Terminated",0,IF($AA139=0,0,IF(ISNA(MATCH(AQ$5,PayDedList,0)),0,MIN(IF(COUNTIFS(OverEmp,$C139,OverDeduct,AQ$5,OverDate,"&lt;"&amp;DATE(YEAR($AC139),MONTH($AC139)+1,1),OverEnd,"&gt;="&amp;DATE(YEAR($AC139),MONTH($AC139),1))&gt;0,SUMPRODUCT((PayEmp=$C139)*(PayDate&lt;=$AC139)*(OFFSET($N$6,1,MATCH(AQ$5,PayDedList,0)-1,PayCount,1)))/$AA139*12*AQ$3,IF(OR(AQ$1="Fixed",AQ$1="Not Used"),SUMPRODUCT((PayEmp=$C139)*(PayDate&lt;=$AC139)*(OFFSET($N$6,1,MATCH(AQ$5,PayDedList,0)-1,PayCount,1)))/$AA139*12*AQ$3,IF(ISNA(MATCH(AQ$1,EarnListItem,0))=FALSE,SUMPRODUCT((PayEmp=$C139)*(PayDate&lt;=$AC139)*(OFFSET($N$6,1,MATCH(AQ$5,PayDedList,0)-1,PayCount,1)))/$AA139*12*AQ$3,(MIN(((SUMPRODUCT((PayEmp=$C139)*(PayDate&lt;=$AC139)*(ISERROR(SEARCH(PayEarnCode,AQ$2)))*(PayEarnType="Monthly")*(PayEarnValues))/$AA139*12)+(SUMPRODUCT((PayEmp=$C139)*(PayDate&lt;=$AC139)*(ISERROR(SEARCH(PayEarnCode,AQ$2)))*(PayEarnType="Quarterly")*(PayEarnValues))/MAX(1,ROUNDDOWN($AB139/3,0))*4)+(SUMPRODUCT((PayEmp=$C139)*(PayDate&lt;=$AC139)*(ISERROR(SEARCH(PayEarnCode,AQ$2)))*(PayEarnType="Bi-Annual")*(PayEarnValues))/MAX(1,ROUNDDOWN($AB139/6,0))*2)+(SUMPRODUCT((PayEmp=$C139)*(PayDate&lt;=$AC139)*(ISERROR(SEARCH(PayEarnCode,AQ$2)))*(PayEarnType="Annual")*(PayEarnValues)))),IF(ISNUMBER(OFFSET($N$3,0,MATCH(AQ$5,PayDedList,0)-1,1,1)),OFFSET($N$3,0,MATCH(AQ$5,PayDedList,0)-1,1,1),IgnoreMin)))*IF(COUNTIFS(EmpNo,$C139,OFFSET(Emp!$R$4,1,MATCH(AQ$5,DedListItem,0)-1,EmpCount,1),"&lt;&gt;")&gt;0,VLOOKUP($C139,EmpAll,COLUMN(Emp!$R$4)+MATCH(AQ$5,DedListItem,0)-1,0),OFFSET(Setup!$E$73,MATCH(AQ$5,DedListItem,0),0,1,1))*AQ$3))),IF(ISNUMBER(AQ$4),AQ$4,IgnoreMin)))))</f>
        <v>0</v>
      </c>
      <c r="AR139" s="148">
        <f t="shared" ca="1" si="64"/>
        <v>60000</v>
      </c>
      <c r="AS139" s="148">
        <f t="shared" ca="1" si="72"/>
        <v>60000</v>
      </c>
      <c r="AT139" s="148" cm="1">
        <f t="array" aca="1" ref="AT139" ca="1">-IF($F139="Terminated",0,IF($AA139=0,0,IF(ISNA(MATCH(AT$5,PayDedList,0)),0,MIN(IF(COUNTIFS(OverEmp,$C139,OverDeduct,AT$5,OverDate,"&lt;"&amp;DATE(YEAR($AC139),MONTH($AC139)+1,1),OverEnd,"&gt;="&amp;DATE(YEAR($AC139),MONTH($AC139),1))&gt;0,SUMPRODUCT((PayEmp=$C139)*(PayDate&lt;=$AC139)*(OFFSET($N$6,1,MATCH(AT$5,PayDedList,0)-1,PayCount,1)))/$AA139*12*AT$3,IF(OR(AT$1="Fixed",AT$1="Not Used"),SUMPRODUCT((PayEmp=$C139)*(PayDate&lt;=$AC139)*(OFFSET($N$6,1,MATCH(AT$5,PayDedList,0)-1,PayCount,1)))/$AA139*12*AT$3,IF(ISNA(MATCH(OFFSET($N$2,0,MATCH(AT$5,PayDedList,0)-1,1,1),EarnListItem,0))=FALSE,SUMPRODUCT((PayEmp=$C139)*(PayDate&lt;=$AC139)*(OFFSET($N$6,1,MATCH(AT$5,PayDedList,0)-1,PayCount,1)))/$AA139*12*AT$3,(MIN(SUMPRODUCT((PayEmp=$C139)*(PayDate&lt;=$AC139)*(ISERROR(SEARCH(PayEarnCode,AT$2)))*(PayEarnType="Monthly")*(PayEarnValues))/$AA139*12,IF(ISNUMBER(OFFSET($N$3,0,MATCH(AT$5,PayDedList,0)-1,1,1)),OFFSET($N$3,0,MATCH(AT$5,PayDedList,0)-1,1,1),IgnoreMin)))*IF(COUNTIFS(EmpNo,$C139,OFFSET(Emp!$R$4,1,MATCH(AT$5,DedListItem,0)-1,EmpCount,1),"&lt;&gt;")&gt;0,VLOOKUP($C139,EmpAll,COLUMN(Emp!$R$4)+MATCH(AT$5,DedListItem,0)-1,0),OFFSET(Setup!$E$73,MATCH(AT$5,DedListItem,0),0,1,1))*AT$3))),IF(ISNUMBER(AT$4),AT$4,IgnoreMin)))))</f>
        <v>0</v>
      </c>
      <c r="AU139" s="148" cm="1">
        <f t="array" aca="1" ref="AU139" ca="1">-IF($F139="Terminated",0,IF($AA139=0,0,IF(ISNA(MATCH(AU$5,PayDedList,0)),0,MIN(IF(COUNTIFS(OverEmp,$C139,OverDeduct,AU$5,OverDate,"&lt;"&amp;DATE(YEAR($AC139),MONTH($AC139)+1,1),OverEnd,"&gt;="&amp;DATE(YEAR($AC139),MONTH($AC139),1))&gt;0,SUMPRODUCT((PayEmp=$C139)*(PayDate&lt;=$AC139)*(OFFSET($N$6,1,MATCH(AU$5,PayDedList,0)-1,PayCount,1)))/$AA139*12*AU$3,IF(OR(AU$1="Fixed",AU$1="Not Used"),SUMPRODUCT((PayEmp=$C139)*(PayDate&lt;=$AC139)*(OFFSET($N$6,1,MATCH(AU$5,PayDedList,0)-1,PayCount,1)))/$AA139*12*AU$3,IF(ISNA(MATCH(OFFSET($N$2,0,MATCH(AU$5,PayDedList,0)-1,1,1),EarnListItem,0))=FALSE,SUMPRODUCT((PayEmp=$C139)*(PayDate&lt;=$AC139)*(OFFSET($N$6,1,MATCH(AU$5,PayDedList,0)-1,PayCount,1)))/$AA139*12*AU$3,(MIN(SUMPRODUCT((PayEmp=$C139)*(PayDate&lt;=$AC139)*(ISERROR(SEARCH(PayEarnCode,AU$2)))*(PayEarnType="Monthly")*(PayEarnValues))/$AA139*12,IF(ISNUMBER(OFFSET($N$3,0,MATCH(AU$5,PayDedList,0)-1,1,1)),OFFSET($N$3,0,MATCH(AU$5,PayDedList,0)-1,1,1),IgnoreMin)))*IF(COUNTIFS(EmpNo,$C139,OFFSET(Emp!$R$4,1,MATCH(AU$5,DedListItem,0)-1,EmpCount,1),"&lt;&gt;")&gt;0,VLOOKUP($C139,EmpAll,COLUMN(Emp!$R$4)+MATCH(AU$5,DedListItem,0)-1,0),OFFSET(Setup!$E$73,MATCH(AU$5,DedListItem,0),0,1,1))*AU$3))),IF(ISNUMBER(AU$4),AU$4,IgnoreMin)))))</f>
        <v>0</v>
      </c>
      <c r="AV139" s="148" cm="1">
        <f t="array" aca="1" ref="AV139" ca="1">-IF($F139="Terminated",0,IF($AA139=0,0,IF(ISNA(MATCH(AV$5,PayDedList,0)),0,MIN(IF(COUNTIFS(OverEmp,$C139,OverDeduct,AV$5,OverDate,"&lt;"&amp;DATE(YEAR($AC139),MONTH($AC139)+1,1),OverEnd,"&gt;="&amp;DATE(YEAR($AC139),MONTH($AC139),1))&gt;0,SUMPRODUCT((PayEmp=$C139)*(PayDate&lt;=$AC139)*(OFFSET($N$6,1,MATCH(AV$5,PayDedList,0)-1,PayCount,1)))/$AA139*12*AV$3,IF(OR(AV$1="Fixed",AV$1="Not Used"),SUMPRODUCT((PayEmp=$C139)*(PayDate&lt;=$AC139)*(OFFSET($N$6,1,MATCH(AV$5,PayDedList,0)-1,PayCount,1)))/$AA139*12*AV$3,IF(ISNA(MATCH(OFFSET($N$2,0,MATCH(AV$5,PayDedList,0)-1,1,1),EarnListItem,0))=FALSE,SUMPRODUCT((PayEmp=$C139)*(PayDate&lt;=$AC139)*(OFFSET($N$6,1,MATCH(AV$5,PayDedList,0)-1,PayCount,1)))/$AA139*12*AV$3,(MIN(SUMPRODUCT((PayEmp=$C139)*(PayDate&lt;=$AC139)*(ISERROR(SEARCH(PayEarnCode,AV$2)))*(PayEarnType="Monthly")*(PayEarnValues))/$AA139*12,IF(ISNUMBER(OFFSET($N$3,0,MATCH(AV$5,PayDedList,0)-1,1,1)),OFFSET($N$3,0,MATCH(AV$5,PayDedList,0)-1,1,1),IgnoreMin)))*IF(COUNTIFS(EmpNo,$C139,OFFSET(Emp!$R$4,1,MATCH(AV$5,DedListItem,0)-1,EmpCount,1),"&lt;&gt;")&gt;0,VLOOKUP($C139,EmpAll,COLUMN(Emp!$R$4)+MATCH(AV$5,DedListItem,0)-1,0),OFFSET(Setup!$E$73,MATCH(AV$5,DedListItem,0),0,1,1))*AV$3))),IF(ISNUMBER(AV$4),AV$4,IgnoreMin)))))</f>
        <v>0</v>
      </c>
      <c r="AW139" s="148" cm="1">
        <f t="array" aca="1" ref="AW139" ca="1">-IF($F139="Terminated",0,IF($AA139=0,0,IF(ISNA(MATCH(AW$5,PayDedList,0)),0,MIN(IF(COUNTIFS(OverEmp,$C139,OverDeduct,AW$5,OverDate,"&lt;"&amp;DATE(YEAR($AC139),MONTH($AC139)+1,1),OverEnd,"&gt;="&amp;DATE(YEAR($AC139),MONTH($AC139),1))&gt;0,SUMPRODUCT((PayEmp=$C139)*(PayDate&lt;=$AC139)*(OFFSET($N$6,1,MATCH(AW$5,PayDedList,0)-1,PayCount,1)))/$AA139*12*AW$3,IF(OR(AW$1="Fixed",AW$1="Not Used"),SUMPRODUCT((PayEmp=$C139)*(PayDate&lt;=$AC139)*(OFFSET($N$6,1,MATCH(AW$5,PayDedList,0)-1,PayCount,1)))/$AA139*12*AW$3,IF(ISNA(MATCH(OFFSET($N$2,0,MATCH(AW$5,PayDedList,0)-1,1,1),EarnListItem,0))=FALSE,SUMPRODUCT((PayEmp=$C139)*(PayDate&lt;=$AC139)*(OFFSET($N$6,1,MATCH(AW$5,PayDedList,0)-1,PayCount,1)))/$AA139*12*AW$3,(MIN(SUMPRODUCT((PayEmp=$C139)*(PayDate&lt;=$AC139)*(ISERROR(SEARCH(PayEarnCode,AW$2)))*(PayEarnType="Monthly")*(PayEarnValues))/$AA139*12,IF(ISNUMBER(OFFSET($N$3,0,MATCH(AW$5,PayDedList,0)-1,1,1)),OFFSET($N$3,0,MATCH(AW$5,PayDedList,0)-1,1,1),IgnoreMin)))*IF(COUNTIFS(EmpNo,$C139,OFFSET(Emp!$R$4,1,MATCH(AW$5,DedListItem,0)-1,EmpCount,1),"&lt;&gt;")&gt;0,VLOOKUP($C139,EmpAll,COLUMN(Emp!$R$4)+MATCH(AW$5,DedListItem,0)-1,0),OFFSET(Setup!$E$73,MATCH(AW$5,DedListItem,0),0,1,1))*AW$3))),IF(ISNUMBER(AW$4),AW$4,IgnoreMin)))))</f>
        <v>0</v>
      </c>
      <c r="AX139" s="148">
        <f t="shared" ca="1" si="73"/>
        <v>60000</v>
      </c>
      <c r="AY139" s="148">
        <f t="shared" ca="1" si="74"/>
        <v>0</v>
      </c>
      <c r="AZ139" s="148">
        <f ca="1">IF(ISNUMBER($AL139),($AR139*$AL139)-$AI139-$AK139,MAX(0,IF($AL139="B",IF($AR139&lt;Setup!$C$32,($AR139*Setup!$D$32)-$AI139-$AK139,(($AR139-VLOOKUP($AR139,TaxAll2,1,1))*OFFSET(Setup!$D$32,MATCH($AR139,TaxBracket2,1),0,1,1))+OFFSET(Setup!$E$31,MATCH($AR139,TaxBracket2,1),0,1,1)-$AI139-$AK139),IF($AR139&lt;Setup!$C$21,($AR139*Setup!$D$21)-$AI139-$AK139,(($AR139-VLOOKUP($AR139,TaxAll1,1,1))*OFFSET(Setup!$D$21,MATCH($AR139,TaxBracket1,1),0,1,1))+OFFSET(Setup!$E$20,MATCH($AR139,TaxBracket1,1),0,1,1)-$AI139-$AK139))))</f>
        <v>0</v>
      </c>
      <c r="BA139" s="148">
        <f ca="1">IF(ISNUMBER($AL139),($AX139*$AL139)-$AI139-$AK139,MAX(0,IF($AL139="B",IF($AX139&lt;Setup!$C$32,($AX139*Setup!$D$32)-$AI139-$AK139,(($AX139-VLOOKUP($AX139,TaxAll2,1,1))*OFFSET(Setup!$D$32,MATCH($AX139,TaxBracket2,1),0,1,1))+OFFSET(Setup!$E$31,MATCH($AX139,TaxBracket2,1),0,1,1)-$AI139-$AK139),IF($AX139&lt;Setup!$C$21,($AX139*Setup!$D$21)-$AI139-$AK139,(($AX139-VLOOKUP($AX139,TaxAll1,1,1))*OFFSET(Setup!$D$21,MATCH($AX139,TaxBracket1,1),0,1,1))+OFFSET(Setup!$E$20,MATCH($AX139,TaxBracket1,1),0,1,1)-$AI139-$AK139))))</f>
        <v>0</v>
      </c>
      <c r="BB139" s="148">
        <f t="shared" ca="1" si="65"/>
        <v>0</v>
      </c>
      <c r="BC139" s="150">
        <f t="shared" ca="1" si="75"/>
        <v>1</v>
      </c>
      <c r="BD139" s="150">
        <f t="shared" ca="1" si="76"/>
        <v>0</v>
      </c>
      <c r="BE139" s="148">
        <f t="shared" ca="1" si="77"/>
        <v>60000</v>
      </c>
    </row>
    <row r="140" spans="1:57" ht="16.149999999999999" customHeight="1" x14ac:dyDescent="0.25">
      <c r="A140" s="10" t="str" cm="1">
        <f t="array" aca="1" ref="A140" ca="1">IF(ROW($A140)-ROW($A$6)&gt;EmpCount*12,"-",TEXT($B140,"yyyy")&amp;TEXT($B140,"mm")&amp;"-"&amp;$C140)</f>
        <v>202311-EXS014</v>
      </c>
      <c r="B140" s="137" cm="1">
        <f t="array" aca="1" ref="B140" ca="1">IF(ROW($A140)-ROW($A$6)&gt;EmpCount*12,Setup!$D$12,DATE(YEAR(Setup!$F$12),MONTH(Setup!$F$12)+ROUNDDOWN((ROW($A140)-ROW($A$6)-1)/EmpCount,0),IF(Setup!$C$14&gt;DAY(DATE(YEAR(Setup!$F$12),MONTH(Setup!$F$12)+ROUNDDOWN((ROW($A140)-ROW($A$6)-1)/EmpCount,0)+1,0)),DAY(DATE(YEAR(Setup!$F$12),MONTH(Setup!$F$12)+ROUNDDOWN((ROW($A140)-ROW($A$6)-1)/EmpCount,0)+1,0)),Setup!$C$14)))</f>
        <v>45255</v>
      </c>
      <c r="C140" s="101" t="str" cm="1">
        <f t="array" aca="1" ref="C140" ca="1">IF(ROW($A140)-ROW($A$6)&gt;EmpCount*12,"-",OFFSET(Emp!$A$4,ROW($A140)-ROW($A$6)-IF(ROW($A140)-ROW($A$6)&gt;EmpCount,ROUNDDOWN((ROW($A140)-ROW($A$6)-1)/EmpCount,0)*EmpCount,0),0,1,1))</f>
        <v>EXS014</v>
      </c>
      <c r="D140" s="10" t="str">
        <f ca="1">IF(ISNA(VLOOKUP($C140,EmpAll,COLUMN(Emp!$B$4),0)),"-",VLOOKUP($C140,EmpAll,COLUMN(Emp!$B$4),0))</f>
        <v>Ross Q</v>
      </c>
      <c r="E140" s="145" t="str">
        <f ca="1">IF(ISNA(VLOOKUP($C140,EmpAll,COLUMN(Emp!$C$4),0)),"-",VLOOKUP($C140,EmpAll,COLUMN(Emp!$C$4),0))</f>
        <v>A</v>
      </c>
      <c r="F140" s="101" t="str">
        <f ca="1">IF(ISNA(VLOOKUP($C140,EmpAll,COLUMN(Emp!$A$4),0)),"-",IF(AND(VLOOKUP($C140,EmpAll,COLUMN(Emp!$E$4),0)&lt;&gt;0,VLOOKUP($C140,EmpAll,COLUMN(Emp!$E$4),0)&gt;=DATE(YEAR($AC140),MONTH($AC140)+1,0)),"Inactive",IF(AND(VLOOKUP($C140,EmpAll,COLUMN(Emp!$F$4),0)&lt;&gt;0,VLOOKUP($C140,EmpAll,COLUMN(Emp!$F$4),0)&lt;=DATE(YEAR($AC140),MONTH($AC140),0)),"Terminated","Active")))</f>
        <v>Active</v>
      </c>
      <c r="G140" s="133" cm="1">
        <f t="array" aca="1" ref="G140" ca="1">IF($F140&lt;&gt;"Active",0,IF(COUNTIFS(OverEmp,$C140,OverEarn,G$2,OverDate,"&lt;"&amp;DATE(YEAR($AC140),MONTH($AC140)+1,1),OverEnd,"&gt;="&amp;DATE(YEAR($AC140),MONTH($AC140),1))&gt;0,SUMIFS(OverValue,OverEmp,$C140,OverEarn,G$2,OverDate,"&lt;"&amp;DATE(YEAR($AC140),MONTH($AC140)+1,1),OverEnd,"&gt;="&amp;DATE(YEAR($AC140),MONTH($AC140),1)),IF(AND($AC140&gt;=Setup!$E$10,SUMIFS(EmpIncrease,EmpCode,$C140)&gt;0),SUMIFS(EmpIncrease,EmpCode,$C140),SUMIFS(EmpSalary,EmpCode,$C140))))</f>
        <v>29150</v>
      </c>
      <c r="H140" s="133" cm="1">
        <f t="array" aca="1" ref="H140" ca="1">IF($F140&lt;&gt;"Active",0,IF(COUNTIFS(OverEmp,$C140,OverEarn,H$2,OverDate,"&lt;"&amp;DATE(YEAR($AC140),MONTH($AC140)+1,1),OverEnd,"&gt;="&amp;DATE(YEAR($AC140),MONTH($AC140),1))&gt;0,SUMIFS(OverValue,OverEmp,$C140,OverEarn,H$2,OverDate,"&lt;"&amp;DATE(YEAR($AC140),MONTH($AC140)+1,1),OverEnd,"&gt;="&amp;DATE(YEAR($AC140),MONTH($AC140),1)),0))</f>
        <v>0</v>
      </c>
      <c r="I140" s="133" cm="1">
        <f t="array" aca="1" ref="I140" ca="1">IF($F140&lt;&gt;"Active",0,IF(COUNTIFS(OverEmp,$C140,OverEarn,I$2,OverDate,"&lt;"&amp;DATE(YEAR($AC140),MONTH($AC140)+1,1),OverEnd,"&gt;="&amp;DATE(YEAR($AC140),MONTH($AC140),1))&gt;0,SUMIFS(OverValue,OverEmp,$C140,OverEarn,I$2,OverDate,"&lt;"&amp;DATE(YEAR($AC140),MONTH($AC140)+1,1),OverEnd,"&gt;="&amp;DATE(YEAR($AC140),MONTH($AC140),1)),IF(MONTH(B140)=Setup!$C$15,SUMIFS(EmpBonus,EmpCode,$C140),0)))</f>
        <v>0</v>
      </c>
      <c r="J140" s="133" cm="1">
        <f t="array" aca="1" ref="J140" ca="1">IF($F140&lt;&gt;"Active",0,IF(COUNTIFS(OverEmp,$C140,OverEarn,J$2,OverDate,"&lt;"&amp;DATE(YEAR($AC140),MONTH($AC140)+1,1),OverEnd,"&gt;="&amp;DATE(YEAR($AC140),MONTH($AC140),1))&gt;0,SUMIFS(OverValue,OverEmp,$C140,OverEarn,J$2,OverDate,"&lt;"&amp;DATE(YEAR($AC140),MONTH($AC140)+1,1),OverEnd,"&gt;="&amp;DATE(YEAR($AC140),MONTH($AC140),1)),0))</f>
        <v>0</v>
      </c>
      <c r="K140" s="133" cm="1">
        <f t="array" aca="1" ref="K140" ca="1">IF($F140&lt;&gt;"Active",0,IF(COUNTIFS(OverEmp,$C140,OverEarn,K$2,OverDate,"&lt;"&amp;DATE(YEAR($AC140),MONTH($AC140)+1,1),OverEnd,"&gt;="&amp;DATE(YEAR($AC140),MONTH($AC140),1))&gt;0,SUMIFS(OverValue,OverEmp,$C140,OverEarn,K$2,OverDate,"&lt;"&amp;DATE(YEAR($AC140),MONTH($AC140)+1,1),OverEnd,"&gt;="&amp;DATE(YEAR($AC140),MONTH($AC140),1)),0))</f>
        <v>0</v>
      </c>
      <c r="L140" s="185">
        <f t="shared" ca="1" si="66"/>
        <v>29150</v>
      </c>
      <c r="M140" s="182" cm="1">
        <f t="array" aca="1" ref="M140" ca="1">IF(COUNTIFS(OverEmp,$C140,OverTax,M$5,OverDate,"&lt;"&amp;DATE(YEAR($AC140),MONTH($AC140)+1,1),OverEnd,"&gt;="&amp;DATE(YEAR($AC140),MONTH($AC140),1))&gt;0,SUMIFS(OverValue,OverEmp,$C140,OverTax,M$5,OverDate,"&lt;"&amp;DATE(YEAR($AC140),MONTH($AC140)+1,1),OverEnd,"&gt;="&amp;DATE(YEAR($AC140),MONTH($AC140),1)),(($BA140/12*$AA140)+(BB140*IF(1-$BC140=0,0,BD140/(1-$BC140))))-IF($F140="Terminated",0,SUMIFS(PayTaxDeduct,PayDate,"&lt;"&amp;$AC140,PayEmp,$C140)))</f>
        <v>4562.0833333333358</v>
      </c>
      <c r="N140" s="133" cm="1">
        <f t="array" aca="1" ref="N140" ca="1">IF($F140="Terminated",0,IF($AA140=0,0,IF(ISNA(MATCH(N$5,DedListItem,0)),0,IF(COUNTIFS(OverEmp,$C140,OverDeduct,N$5,OverDate,"&lt;"&amp;DATE(YEAR($AC140),MONTH($AC140)+1,1),OverEnd,"&gt;="&amp;DATE(YEAR($AC140),MONTH($AC140),1))&gt;0,SUMIFS(OverValue,OverEmp,$C140,OverDeduct,N$5,OverDate,"&lt;"&amp;DATE(YEAR($AC140),MONTH($AC140)+1,1),OverEnd,"&gt;="&amp;DATE(YEAR($AC140),MONTH($AC140),1)),IF(OR(N$2="Fixed",N$2="Not Used"),(IF(COUNTIFS(EmpNo,$C140,OFFSET(Emp!$R$4,1,MATCH(N$5,DedListItem,0)-1,EmpCount,1),"&lt;&gt;")&gt;0,VLOOKUP($C140,EmpAll,COLUMN(Emp!$R$4)+MATCH(N$5,DedListItem,0)-1,0),OFFSET(Setup!$E$73,MATCH(N$5,DedListItem,0),0,1,1))*$AA140)-SUMIFS(OFFSET(N$6,1,0,PayCount,1),PayDate,"&lt;"&amp;$AC140,PayEmp,$C140),IF(ISNA(MATCH(N$2,EarnListItem,0))=FALSE,IF(OFFSET(Setup!$G$73,MATCH(N$5,DedListItem,0),0,1,1)="Taxable",SUMPRODUCT((PayEmp=$C140)*(PayDate&lt;=$AC140)*(PayEarnCode=N$2)*(PayEarnTax)*(PayEarnValues)),SUMPRODUCT((PayEmp=$C140)*(PayDate&lt;=$AC140)*(PayEarnCode=N$2)*(PayEarnValues)))*IF(COUNTIFS(EmpNo,$C140,OFFSET(Emp!$R$4,1,MATCH(N$5,DedListItem,0)-1,EmpCount,1),"&lt;&gt;")&gt;0,VLOOKUP($C140,EmpAll,COLUMN(Emp!$R$4)+MATCH(N$5,DedListItem,0)-1,0),OFFSET(Setup!$E$73,MATCH(N$5,DedListItem,0),0,1,1)),(MIN(IF(OFFSET(Setup!$G$73,MATCH(N$5,DedListItem,0),0,1,1)="Taxable",SUMPRODUCT((PayEmp=$C140)*(PayDate&lt;=$AC140)*(ISERROR(SEARCH(PayEarnCode,N$4)))*(PayEarnTax)*(PayEarnValues)),SUMPRODUCT((PayEmp=$C140)*(PayDate&lt;=$AC140)*(ISERROR(SEARCH(PayEarnCode,N$4)))*(PayEarnValues))),IF(ISNUMBER(N$3),N$3/12*$AA140,IgnoreMin)))*IF(COUNTIFS(EmpNo,$C140,OFFSET(Emp!$R$4,1,MATCH(N$5,DedListItem,0)-1,EmpCount,1),"&lt;&gt;")&gt;0,VLOOKUP($C140,EmpAll,COLUMN(Emp!$R$4)+MATCH(N$5,DedListItem,0)-1,0),OFFSET(Setup!$E$73,MATCH(N$5,DedListItem,0),0,1,1)))-SUMIFS(OFFSET(N$6,1,0,PayCount,1),PayDate,"&lt;"&amp;$AC140,PayEmp,$C140))))))</f>
        <v>177.12</v>
      </c>
      <c r="O140" s="133" cm="1">
        <f t="array" aca="1" ref="O140" ca="1">IF($F140="Terminated",0,IF($AA140=0,0,IF(ISNA(MATCH(O$5,DedListItem,0)),0,IF(COUNTIFS(OverEmp,$C140,OverDeduct,O$5,OverDate,"&lt;"&amp;DATE(YEAR($AC140),MONTH($AC140)+1,1),OverEnd,"&gt;="&amp;DATE(YEAR($AC140),MONTH($AC140),1))&gt;0,SUMIFS(OverValue,OverEmp,$C140,OverDeduct,O$5,OverDate,"&lt;"&amp;DATE(YEAR($AC140),MONTH($AC140)+1,1),OverEnd,"&gt;="&amp;DATE(YEAR($AC140),MONTH($AC140),1)),IF(OR(O$2="Fixed",O$2="Not Used"),(IF(COUNTIFS(EmpNo,$C140,OFFSET(Emp!$R$4,1,MATCH(O$5,DedListItem,0)-1,EmpCount,1),"&lt;&gt;")&gt;0,VLOOKUP($C140,EmpAll,COLUMN(Emp!$R$4)+MATCH(O$5,DedListItem,0)-1,0),OFFSET(Setup!$E$73,MATCH(O$5,DedListItem,0),0,1,1))*$AA140)-SUMIFS(OFFSET(O$6,1,0,PayCount,1),PayDate,"&lt;"&amp;$AC140,PayEmp,$C140),IF(ISNA(MATCH(O$2,EarnListItem,0))=FALSE,IF(OFFSET(Setup!$G$73,MATCH(O$5,DedListItem,0),0,1,1)="Taxable",SUMPRODUCT((PayEmp=$C140)*(PayDate&lt;=$AC140)*(PayEarnCode=O$2)*(PayEarnTax)*(PayEarnValues)),SUMPRODUCT((PayEmp=$C140)*(PayDate&lt;=$AC140)*(PayEarnCode=O$2)*(PayEarnValues)))*IF(COUNTIFS(EmpNo,$C140,OFFSET(Emp!$R$4,1,MATCH(O$5,DedListItem,0)-1,EmpCount,1),"&lt;&gt;")&gt;0,VLOOKUP($C140,EmpAll,COLUMN(Emp!$R$4)+MATCH(O$5,DedListItem,0)-1,0),OFFSET(Setup!$E$73,MATCH(O$5,DedListItem,0),0,1,1)),(MIN(IF(OFFSET(Setup!$G$73,MATCH(O$5,DedListItem,0),0,1,1)="Taxable",SUMPRODUCT((PayEmp=$C140)*(PayDate&lt;=$AC140)*(ISERROR(SEARCH(PayEarnCode,O$4)))*(PayEarnTax)*(PayEarnValues)),SUMPRODUCT((PayEmp=$C140)*(PayDate&lt;=$AC140)*(ISERROR(SEARCH(PayEarnCode,O$4)))*(PayEarnValues))),IF(ISNUMBER(O$3),O$3/12*$AA140,IgnoreMin)))*IF(COUNTIFS(EmpNo,$C140,OFFSET(Emp!$R$4,1,MATCH(O$5,DedListItem,0)-1,EmpCount,1),"&lt;&gt;")&gt;0,VLOOKUP($C140,EmpAll,COLUMN(Emp!$R$4)+MATCH(O$5,DedListItem,0)-1,0),OFFSET(Setup!$E$73,MATCH(O$5,DedListItem,0),0,1,1)))-SUMIFS(OFFSET(O$6,1,0,PayCount,1),PayDate,"&lt;"&amp;$AC140,PayEmp,$C140))))))</f>
        <v>0</v>
      </c>
      <c r="P140" s="133" cm="1">
        <f t="array" aca="1" ref="P140" ca="1">IF($F140="Terminated",0,IF($AA140=0,0,IF(ISNA(MATCH(P$5,DedListItem,0)),0,IF(COUNTIFS(OverEmp,$C140,OverDeduct,P$5,OverDate,"&lt;"&amp;DATE(YEAR($AC140),MONTH($AC140)+1,1),OverEnd,"&gt;="&amp;DATE(YEAR($AC140),MONTH($AC140),1))&gt;0,SUMIFS(OverValue,OverEmp,$C140,OverDeduct,P$5,OverDate,"&lt;"&amp;DATE(YEAR($AC140),MONTH($AC140)+1,1),OverEnd,"&gt;="&amp;DATE(YEAR($AC140),MONTH($AC140),1)),IF(OR(P$2="Fixed",P$2="Not Used"),(IF(COUNTIFS(EmpNo,$C140,OFFSET(Emp!$R$4,1,MATCH(P$5,DedListItem,0)-1,EmpCount,1),"&lt;&gt;")&gt;0,VLOOKUP($C140,EmpAll,COLUMN(Emp!$R$4)+MATCH(P$5,DedListItem,0)-1,0),OFFSET(Setup!$E$73,MATCH(P$5,DedListItem,0),0,1,1))*$AA140)-SUMIFS(OFFSET(P$6,1,0,PayCount,1),PayDate,"&lt;"&amp;$AC140,PayEmp,$C140),IF(ISNA(MATCH(P$2,EarnListItem,0))=FALSE,IF(OFFSET(Setup!$G$73,MATCH(P$5,DedListItem,0),0,1,1)="Taxable",SUMPRODUCT((PayEmp=$C140)*(PayDate&lt;=$AC140)*(PayEarnCode=P$2)*(PayEarnTax)*(PayEarnValues)),SUMPRODUCT((PayEmp=$C140)*(PayDate&lt;=$AC140)*(PayEarnCode=P$2)*(PayEarnValues)))*IF(COUNTIFS(EmpNo,$C140,OFFSET(Emp!$R$4,1,MATCH(P$5,DedListItem,0)-1,EmpCount,1),"&lt;&gt;")&gt;0,VLOOKUP($C140,EmpAll,COLUMN(Emp!$R$4)+MATCH(P$5,DedListItem,0)-1,0),OFFSET(Setup!$E$73,MATCH(P$5,DedListItem,0),0,1,1)),(MIN(IF(OFFSET(Setup!$G$73,MATCH(P$5,DedListItem,0),0,1,1)="Taxable",SUMPRODUCT((PayEmp=$C140)*(PayDate&lt;=$AC140)*(ISERROR(SEARCH(PayEarnCode,P$4)))*(PayEarnTax)*(PayEarnValues)),SUMPRODUCT((PayEmp=$C140)*(PayDate&lt;=$AC140)*(ISERROR(SEARCH(PayEarnCode,P$4)))*(PayEarnValues))),IF(ISNUMBER(P$3),P$3/12*$AA140,IgnoreMin)))*IF(COUNTIFS(EmpNo,$C140,OFFSET(Emp!$R$4,1,MATCH(P$5,DedListItem,0)-1,EmpCount,1),"&lt;&gt;")&gt;0,VLOOKUP($C140,EmpAll,COLUMN(Emp!$R$4)+MATCH(P$5,DedListItem,0)-1,0),OFFSET(Setup!$E$73,MATCH(P$5,DedListItem,0),0,1,1)))-SUMIFS(OFFSET(P$6,1,0,PayCount,1),PayDate,"&lt;"&amp;$AC140,PayEmp,$C140))))))</f>
        <v>0</v>
      </c>
      <c r="Q140" s="133" cm="1">
        <f t="array" aca="1" ref="Q140" ca="1">IF($F140="Terminated",0,IF($AA140=0,0,IF(ISNA(MATCH(Q$5,DedListItem,0)),0,IF(COUNTIFS(OverEmp,$C140,OverDeduct,Q$5,OverDate,"&lt;"&amp;DATE(YEAR($AC140),MONTH($AC140)+1,1),OverEnd,"&gt;="&amp;DATE(YEAR($AC140),MONTH($AC140),1))&gt;0,SUMIFS(OverValue,OverEmp,$C140,OverDeduct,Q$5,OverDate,"&lt;"&amp;DATE(YEAR($AC140),MONTH($AC140)+1,1),OverEnd,"&gt;="&amp;DATE(YEAR($AC140),MONTH($AC140),1)),IF(OR(Q$2="Fixed",Q$2="Not Used"),(IF(COUNTIFS(EmpNo,$C140,OFFSET(Emp!$R$4,1,MATCH(Q$5,DedListItem,0)-1,EmpCount,1),"&lt;&gt;")&gt;0,VLOOKUP($C140,EmpAll,COLUMN(Emp!$R$4)+MATCH(Q$5,DedListItem,0)-1,0),OFFSET(Setup!$E$73,MATCH(Q$5,DedListItem,0),0,1,1))*$AA140)-SUMIFS(OFFSET(Q$6,1,0,PayCount,1),PayDate,"&lt;"&amp;$AC140,PayEmp,$C140),IF(ISNA(MATCH(Q$2,EarnListItem,0))=FALSE,IF(OFFSET(Setup!$G$73,MATCH(Q$5,DedListItem,0),0,1,1)="Taxable",SUMPRODUCT((PayEmp=$C140)*(PayDate&lt;=$AC140)*(PayEarnCode=Q$2)*(PayEarnTax)*(PayEarnValues)),SUMPRODUCT((PayEmp=$C140)*(PayDate&lt;=$AC140)*(PayEarnCode=Q$2)*(PayEarnValues)))*IF(COUNTIFS(EmpNo,$C140,OFFSET(Emp!$R$4,1,MATCH(Q$5,DedListItem,0)-1,EmpCount,1),"&lt;&gt;")&gt;0,VLOOKUP($C140,EmpAll,COLUMN(Emp!$R$4)+MATCH(Q$5,DedListItem,0)-1,0),OFFSET(Setup!$E$73,MATCH(Q$5,DedListItem,0),0,1,1)),(MIN(IF(OFFSET(Setup!$G$73,MATCH(Q$5,DedListItem,0),0,1,1)="Taxable",SUMPRODUCT((PayEmp=$C140)*(PayDate&lt;=$AC140)*(ISERROR(SEARCH(PayEarnCode,Q$4)))*(PayEarnTax)*(PayEarnValues)),SUMPRODUCT((PayEmp=$C140)*(PayDate&lt;=$AC140)*(ISERROR(SEARCH(PayEarnCode,Q$4)))*(PayEarnValues))),IF(ISNUMBER(Q$3),Q$3/12*$AA140,IgnoreMin)))*IF(COUNTIFS(EmpNo,$C140,OFFSET(Emp!$R$4,1,MATCH(Q$5,DedListItem,0)-1,EmpCount,1),"&lt;&gt;")&gt;0,VLOOKUP($C140,EmpAll,COLUMN(Emp!$R$4)+MATCH(Q$5,DedListItem,0)-1,0),OFFSET(Setup!$E$73,MATCH(Q$5,DedListItem,0),0,1,1)))-SUMIFS(OFFSET(Q$6,1,0,PayCount,1),PayDate,"&lt;"&amp;$AC140,PayEmp,$C140))))))</f>
        <v>0</v>
      </c>
      <c r="R140" s="185">
        <f t="shared" ca="1" si="67"/>
        <v>4739.2033333333356</v>
      </c>
      <c r="S140" s="139">
        <f t="shared" ca="1" si="68"/>
        <v>24410.799999999999</v>
      </c>
      <c r="T140" s="133" cm="1">
        <f t="array" aca="1" ref="T140" ca="1">IF($F140="Terminated",0,IF($AA140=0,0,IF(ISNA(MATCH(T$5,CompListItem,0)),0,IF(COUNTIFS(OverEmp,$C140,OverComp,T$5,OverDate,"&lt;"&amp;DATE(YEAR($AC140),MONTH($AC140)+1,1),OverEnd,"&gt;="&amp;DATE(YEAR($AC140),MONTH($AC140),1))&gt;0,SUMIFS(OverValue,OverEmp,$C140,OverComp,T$5,OverDate,"&lt;"&amp;DATE(YEAR($AC140),MONTH($AC140)+1,1),OverEnd,"&gt;="&amp;DATE(YEAR($AC140),MONTH($AC140),1)),IF(OR(T$2="Fixed",T$2="Not Used"),(OFFSET(Setup!$E$81,MATCH(T$5,CompListItem,0),0,1,1)*$AA140)-SUMIFS(OFFSET(T$6,1,0,PayCount,1),PayDate,"&lt;"&amp;$AC140,PayEmp,$C140),IF(ISNA(MATCH(T$2,DedListItem,0))=FALSE,(SUMPRODUCT((PayEmp=$C140)*(PayDate&lt;=$AC140)*(PayDedList=T$2)*(PayDedValues))*OFFSET(Setup!$E$81,MATCH(T$5,CompListItem,0),0,1,1))-SUMIFS(OFFSET(T$6,1,0,PayCount,1),PayDate,"&lt;"&amp;$AC140,PayEmp,$C140),(MIN(IF(OFFSET(Setup!$G$81,MATCH(T$5,CompListItem,0),0,1,1)="Taxable",SUMPRODUCT((PayEmp=$C140)*(PayDate&lt;=$AC140)*(ISERROR(SEARCH(PayEarnCode,T$4)))*(PayEarnTax)*(PayEarnValues)),SUMPRODUCT((PayEmp=$C140)*(PayDate&lt;=$AC140)*(ISERROR(SEARCH(PayEarnCode,T$4)))*(PayEarnValues))),IF(ISNUMBER(T$3),T$3/12*$AA140,IgnoreMin)))*OFFSET(Setup!$E$81,MATCH(T$5,CompListItem,0),0,1,1)-SUMIFS(OFFSET(T$6,1,0,PayCount,1),PayDate,"&lt;"&amp;$AC140,PayEmp,$C140)))))))</f>
        <v>177.12</v>
      </c>
      <c r="U140" s="133" cm="1">
        <f t="array" aca="1" ref="U140" ca="1">IF($F140="Terminated",0,IF($AA140=0,0,IF(ISNA(MATCH(U$5,CompListItem,0)),0,IF(COUNTIFS(OverEmp,$C140,OverComp,U$5,OverDate,"&lt;"&amp;DATE(YEAR($AC140),MONTH($AC140)+1,1),OverEnd,"&gt;="&amp;DATE(YEAR($AC140),MONTH($AC140),1))&gt;0,SUMIFS(OverValue,OverEmp,$C140,OverComp,U$5,OverDate,"&lt;"&amp;DATE(YEAR($AC140),MONTH($AC140)+1,1),OverEnd,"&gt;="&amp;DATE(YEAR($AC140),MONTH($AC140),1)),IF(OR(U$2="Fixed",U$2="Not Used"),(OFFSET(Setup!$E$81,MATCH(U$5,CompListItem,0),0,1,1)*$AA140)-SUMIFS(OFFSET(U$6,1,0,PayCount,1),PayDate,"&lt;"&amp;$AC140,PayEmp,$C140),IF(ISNA(MATCH(U$2,DedListItem,0))=FALSE,(SUMPRODUCT((PayEmp=$C140)*(PayDate&lt;=$AC140)*(PayDedList=U$2)*(PayDedValues))*OFFSET(Setup!$E$81,MATCH(U$5,CompListItem,0),0,1,1))-SUMIFS(OFFSET(U$6,1,0,PayCount,1),PayDate,"&lt;"&amp;$AC140,PayEmp,$C140),(MIN(IF(OFFSET(Setup!$G$81,MATCH(U$5,CompListItem,0),0,1,1)="Taxable",SUMPRODUCT((PayEmp=$C140)*(PayDate&lt;=$AC140)*(ISERROR(SEARCH(PayEarnCode,U$4)))*(PayEarnTax)*(PayEarnValues)),SUMPRODUCT((PayEmp=$C140)*(PayDate&lt;=$AC140)*(ISERROR(SEARCH(PayEarnCode,U$4)))*(PayEarnValues))),IF(ISNUMBER(U$3),U$3/12*$AA140,IgnoreMin)))*OFFSET(Setup!$E$81,MATCH(U$5,CompListItem,0),0,1,1)-SUMIFS(OFFSET(U$6,1,0,PayCount,1),PayDate,"&lt;"&amp;$AC140,PayEmp,$C140)))))))</f>
        <v>291.5</v>
      </c>
      <c r="V140" s="133" cm="1">
        <f t="array" aca="1" ref="V140" ca="1">IF($F140="Terminated",0,IF($AA140=0,0,IF(ISNA(MATCH(V$5,CompListItem,0)),0,IF(COUNTIFS(OverEmp,$C140,OverComp,V$5,OverDate,"&lt;"&amp;DATE(YEAR($AC140),MONTH($AC140)+1,1),OverEnd,"&gt;="&amp;DATE(YEAR($AC140),MONTH($AC140),1))&gt;0,SUMIFS(OverValue,OverEmp,$C140,OverComp,V$5,OverDate,"&lt;"&amp;DATE(YEAR($AC140),MONTH($AC140)+1,1),OverEnd,"&gt;="&amp;DATE(YEAR($AC140),MONTH($AC140),1)),IF(OR(V$2="Fixed",V$2="Not Used"),(OFFSET(Setup!$E$81,MATCH(V$5,CompListItem,0),0,1,1)*$AA140)-SUMIFS(OFFSET(V$6,1,0,PayCount,1),PayDate,"&lt;"&amp;$AC140,PayEmp,$C140),IF(ISNA(MATCH(V$2,DedListItem,0))=FALSE,(SUMPRODUCT((PayEmp=$C140)*(PayDate&lt;=$AC140)*(PayDedList=V$2)*(PayDedValues))*OFFSET(Setup!$E$81,MATCH(V$5,CompListItem,0),0,1,1))-SUMIFS(OFFSET(V$6,1,0,PayCount,1),PayDate,"&lt;"&amp;$AC140,PayEmp,$C140),(MIN(IF(OFFSET(Setup!$G$81,MATCH(V$5,CompListItem,0),0,1,1)="Taxable",SUMPRODUCT((PayEmp=$C140)*(PayDate&lt;=$AC140)*(ISERROR(SEARCH(PayEarnCode,V$4)))*(PayEarnTax)*(PayEarnValues)),SUMPRODUCT((PayEmp=$C140)*(PayDate&lt;=$AC140)*(ISERROR(SEARCH(PayEarnCode,V$4)))*(PayEarnValues))),IF(ISNUMBER(V$3),V$3/12*$AA140,IgnoreMin)))*OFFSET(Setup!$E$81,MATCH(V$5,CompListItem,0),0,1,1)-SUMIFS(OFFSET(V$6,1,0,PayCount,1),PayDate,"&lt;"&amp;$AC140,PayEmp,$C140)))))))</f>
        <v>0</v>
      </c>
      <c r="W140" s="133" cm="1">
        <f t="array" aca="1" ref="W140" ca="1">IF($F140="Terminated",0,IF($AA140=0,0,IF(ISNA(MATCH(W$5,CompListItem,0)),0,IF(COUNTIFS(OverEmp,$C140,OverComp,W$5,OverDate,"&lt;"&amp;DATE(YEAR($AC140),MONTH($AC140)+1,1),OverEnd,"&gt;="&amp;DATE(YEAR($AC140),MONTH($AC140),1))&gt;0,SUMIFS(OverValue,OverEmp,$C140,OverComp,W$5,OverDate,"&lt;"&amp;DATE(YEAR($AC140),MONTH($AC140)+1,1),OverEnd,"&gt;="&amp;DATE(YEAR($AC140),MONTH($AC140),1)),IF(OR(W$2="Fixed",W$2="Not Used"),(OFFSET(Setup!$E$81,MATCH(W$5,CompListItem,0),0,1,1)*$AA140)-SUMIFS(OFFSET(W$6,1,0,PayCount,1),PayDate,"&lt;"&amp;$AC140,PayEmp,$C140),IF(ISNA(MATCH(W$2,DedListItem,0))=FALSE,(SUMPRODUCT((PayEmp=$C140)*(PayDate&lt;=$AC140)*(PayDedList=W$2)*(PayDedValues))*OFFSET(Setup!$E$81,MATCH(W$5,CompListItem,0),0,1,1))-SUMIFS(OFFSET(W$6,1,0,PayCount,1),PayDate,"&lt;"&amp;$AC140,PayEmp,$C140),(MIN(IF(OFFSET(Setup!$G$81,MATCH(W$5,CompListItem,0),0,1,1)="Taxable",SUMPRODUCT((PayEmp=$C140)*(PayDate&lt;=$AC140)*(ISERROR(SEARCH(PayEarnCode,W$4)))*(PayEarnTax)*(PayEarnValues)),SUMPRODUCT((PayEmp=$C140)*(PayDate&lt;=$AC140)*(ISERROR(SEARCH(PayEarnCode,W$4)))*(PayEarnValues))),IF(ISNUMBER(W$3),W$3/12*$AA140,IgnoreMin)))*OFFSET(Setup!$E$81,MATCH(W$5,CompListItem,0),0,1,1)-SUMIFS(OFFSET(W$6,1,0,PayCount,1),PayDate,"&lt;"&amp;$AC140,PayEmp,$C140)))))))</f>
        <v>0</v>
      </c>
      <c r="X140" s="185">
        <f t="shared" ca="1" si="60"/>
        <v>468.62</v>
      </c>
      <c r="Y140" s="139">
        <f t="shared" ca="1" si="69"/>
        <v>29618.62</v>
      </c>
      <c r="Z140" s="139">
        <f t="shared" ca="1" si="61"/>
        <v>5207.82</v>
      </c>
      <c r="AA140" s="146">
        <f ca="1">IF(OR($B140&lt;=Setup!$E$12,$B140&gt;=Setup!$D$12+1),0,IF($F140&lt;&gt;"Active",0,IF($AE140="Yes",$AB140,((YEAR($AC140)*12)+MONTH($AC140))-((YEAR($AD140)*12)+MONTH($AD140)-1))))</f>
        <v>6</v>
      </c>
      <c r="AB140" s="146">
        <f ca="1">IF(OR($B140&lt;=Setup!$E$12,$B140&gt;=Setup!$D$12+1),0,((YEAR($AC140)*12)+MONTH($AC140))-((YEAR(Setup!$E$12)*12)+MONTH(Setup!$E$12)))</f>
        <v>9</v>
      </c>
      <c r="AC140" s="186">
        <f t="shared" ca="1" si="62"/>
        <v>45255</v>
      </c>
      <c r="AD140" s="144">
        <f ca="1">IF(ISNA(VLOOKUP($C140,EmpAll,COLUMN(Emp!$E$4),0)),$AC140,IF(VLOOKUP($C140,EmpAll,COLUMN(Emp!$E$4),0)&lt;=Setup!$E$12,DATE(YEAR(Setup!$E$12),MONTH(Setup!$E$12)+1,1),VLOOKUP($C140,EmpAll,COLUMN(Emp!$E$4),0)))</f>
        <v>45102</v>
      </c>
      <c r="AE140" s="144" t="str">
        <f ca="1">IF(ISNA(VLOOKUP($C140,EmpAll,COLUMN(Emp!$G$1),0)),"-",IF(VLOOKUP($C140,EmpAll,COLUMN(Emp!$G$1),0)=0,"-",VLOOKUP($C140,EmpAll,COLUMN(Emp!$G$1),0)))</f>
        <v>-</v>
      </c>
      <c r="AF140" s="145">
        <f ca="1">IF(A140=PaySlip!$G$3,1,0)</f>
        <v>0</v>
      </c>
      <c r="AG140" s="130" cm="1">
        <f t="array" aca="1" ref="AG140" ca="1">IF(COUNTIFS(OverEmp,$C140,OverMed,"MED",OverDate,"&lt;"&amp;DATE(YEAR($AC140),MONTH($AC140)+1,1),OverEnd,"&gt;="&amp;DATE(YEAR($AC140),MONTH($AC140),1))&gt;0,SUMIFS(OverValue,OverEmp,$C140,OverMed,"MED",OverDate,"&lt;"&amp;DATE(YEAR($AC140),MONTH($AC140)+1,1),OverEnd,"&gt;="&amp;DATE(YEAR($AC140),MONTH($AC140),1)),IF(ISNA(VLOOKUP($C140,EmpAll,COLUMN(Emp!$N$4),0)),0,VLOOKUP($C140,EmpAll,COLUMN(Emp!$N$4),0)))</f>
        <v>0</v>
      </c>
      <c r="AH140" s="146">
        <f ca="1">VLOOKUP($AG140,MedList,COLUMN(Setup!$C$49),1)</f>
        <v>0</v>
      </c>
      <c r="AI140" s="146">
        <f t="shared" ca="1" si="70"/>
        <v>0</v>
      </c>
      <c r="AJ140" s="101" t="str">
        <f ca="1">IF(ISNA(VLOOKUP($C140,EmpAll,COLUMN(Emp!$L$4),0)),"None!",VLOOKUP($C140,EmpAll,COLUMN(Emp!$L$4),0))</f>
        <v>A</v>
      </c>
      <c r="AK140" s="147">
        <f t="shared" ca="1" si="63"/>
        <v>17235</v>
      </c>
      <c r="AL140" s="101" t="str">
        <f ca="1">IF(ISNA(VLOOKUP($C140,Employees[],COLUMN(Emp!$M$4),0))=TRUE,"Error!",IF(VLOOKUP($C140,Employees[],COLUMN(Emp!$M$4),0)=0,"Yes",VLOOKUP($C140,Employees[],COLUMN(Emp!$M$4),0)))</f>
        <v>A</v>
      </c>
      <c r="AM140" s="148">
        <f t="shared" ca="1" si="71"/>
        <v>349800</v>
      </c>
      <c r="AN140" s="148" cm="1">
        <f t="array" aca="1" ref="AN140" ca="1">-IF($F140="Terminated",0,IF($AA140=0,0,IF(ISNA(MATCH(AN$5,PayDedList,0)),0,MIN(IF(COUNTIFS(OverEmp,$C140,OverDeduct,AN$5,OverDate,"&lt;"&amp;DATE(YEAR($AC140),MONTH($AC140)+1,1),OverEnd,"&gt;="&amp;DATE(YEAR($AC140),MONTH($AC140),1))&gt;0,SUMPRODUCT((PayEmp=$C140)*(PayDate&lt;=$AC140)*(OFFSET($N$6,1,MATCH(AN$5,PayDedList,0)-1,PayCount,1)))/$AA140*12*AN$3,IF(OR(AN$1="Fixed",AN$1="Not Used"),SUMPRODUCT((PayEmp=$C140)*(PayDate&lt;=$AC140)*(OFFSET($N$6,1,MATCH(AN$5,PayDedList,0)-1,PayCount,1)))/$AA140*12*AN$3,IF(ISNA(MATCH(AN$1,EarnListItem,0))=FALSE,SUMPRODUCT((PayEmp=$C140)*(PayDate&lt;=$AC140)*(OFFSET($N$6,1,MATCH(AN$5,PayDedList,0)-1,PayCount,1)))/$AA140*12*AN$3,(MIN(((SUMPRODUCT((PayEmp=$C140)*(PayDate&lt;=$AC140)*(ISERROR(SEARCH(PayEarnCode,AN$2)))*(PayEarnType="Monthly")*(PayEarnValues))/$AA140*12)+(SUMPRODUCT((PayEmp=$C140)*(PayDate&lt;=$AC140)*(ISERROR(SEARCH(PayEarnCode,AN$2)))*(PayEarnType="Quarterly")*(PayEarnValues))/MAX(1,ROUNDDOWN($AB140/3,0))*4)+(SUMPRODUCT((PayEmp=$C140)*(PayDate&lt;=$AC140)*(ISERROR(SEARCH(PayEarnCode,AN$2)))*(PayEarnType="Bi-Annual")*(PayEarnValues))/MAX(1,ROUNDDOWN($AB140/6,0))*2)+(SUMPRODUCT((PayEmp=$C140)*(PayDate&lt;=$AC140)*(ISERROR(SEARCH(PayEarnCode,AN$2)))*(PayEarnType="Annual")*(PayEarnValues)))),IF(ISNUMBER(OFFSET($N$3,0,MATCH(AN$5,PayDedList,0)-1,1,1)),OFFSET($N$3,0,MATCH(AN$5,PayDedList,0)-1,1,1),IgnoreMin)))*IF(COUNTIFS(EmpNo,$C140,OFFSET(Emp!$R$4,1,MATCH(AN$5,DedListItem,0)-1,EmpCount,1),"&lt;&gt;")&gt;0,VLOOKUP($C140,EmpAll,COLUMN(Emp!$R$4)+MATCH(AN$5,DedListItem,0)-1,0),OFFSET(Setup!$E$73,MATCH(AN$5,DedListItem,0),0,1,1))*AN$3))),IF(ISNUMBER(AN$4),AN$4,IgnoreMin)))))</f>
        <v>0</v>
      </c>
      <c r="AO140" s="148" cm="1">
        <f t="array" aca="1" ref="AO140" ca="1">-IF($F140="Terminated",0,IF($AA140=0,0,IF(ISNA(MATCH(AO$5,PayDedList,0)),0,MIN(IF(COUNTIFS(OverEmp,$C140,OverDeduct,AO$5,OverDate,"&lt;"&amp;DATE(YEAR($AC140),MONTH($AC140)+1,1),OverEnd,"&gt;="&amp;DATE(YEAR($AC140),MONTH($AC140),1))&gt;0,SUMPRODUCT((PayEmp=$C140)*(PayDate&lt;=$AC140)*(OFFSET($N$6,1,MATCH(AO$5,PayDedList,0)-1,PayCount,1)))/$AA140*12*AO$3,IF(OR(AO$1="Fixed",AO$1="Not Used"),SUMPRODUCT((PayEmp=$C140)*(PayDate&lt;=$AC140)*(OFFSET($N$6,1,MATCH(AO$5,PayDedList,0)-1,PayCount,1)))/$AA140*12*AO$3,IF(ISNA(MATCH(AO$1,EarnListItem,0))=FALSE,SUMPRODUCT((PayEmp=$C140)*(PayDate&lt;=$AC140)*(OFFSET($N$6,1,MATCH(AO$5,PayDedList,0)-1,PayCount,1)))/$AA140*12*AO$3,(MIN(((SUMPRODUCT((PayEmp=$C140)*(PayDate&lt;=$AC140)*(ISERROR(SEARCH(PayEarnCode,AO$2)))*(PayEarnType="Monthly")*(PayEarnValues))/$AA140*12)+(SUMPRODUCT((PayEmp=$C140)*(PayDate&lt;=$AC140)*(ISERROR(SEARCH(PayEarnCode,AO$2)))*(PayEarnType="Quarterly")*(PayEarnValues))/MAX(1,ROUNDDOWN($AB140/3,0))*4)+(SUMPRODUCT((PayEmp=$C140)*(PayDate&lt;=$AC140)*(ISERROR(SEARCH(PayEarnCode,AO$2)))*(PayEarnType="Bi-Annual")*(PayEarnValues))/MAX(1,ROUNDDOWN($AB140/6,0))*2)+(SUMPRODUCT((PayEmp=$C140)*(PayDate&lt;=$AC140)*(ISERROR(SEARCH(PayEarnCode,AO$2)))*(PayEarnType="Annual")*(PayEarnValues)))),IF(ISNUMBER(OFFSET($N$3,0,MATCH(AO$5,PayDedList,0)-1,1,1)),OFFSET($N$3,0,MATCH(AO$5,PayDedList,0)-1,1,1),IgnoreMin)))*IF(COUNTIFS(EmpNo,$C140,OFFSET(Emp!$R$4,1,MATCH(AO$5,DedListItem,0)-1,EmpCount,1),"&lt;&gt;")&gt;0,VLOOKUP($C140,EmpAll,COLUMN(Emp!$R$4)+MATCH(AO$5,DedListItem,0)-1,0),OFFSET(Setup!$E$73,MATCH(AO$5,DedListItem,0),0,1,1))*AO$3))),IF(ISNUMBER(AO$4),AO$4,IgnoreMin)))))</f>
        <v>0</v>
      </c>
      <c r="AP140" s="148" cm="1">
        <f t="array" aca="1" ref="AP140" ca="1">-IF($F140="Terminated",0,IF($AA140=0,0,IF(ISNA(MATCH(AP$5,PayDedList,0)),0,MIN(IF(COUNTIFS(OverEmp,$C140,OverDeduct,AP$5,OverDate,"&lt;"&amp;DATE(YEAR($AC140),MONTH($AC140)+1,1),OverEnd,"&gt;="&amp;DATE(YEAR($AC140),MONTH($AC140),1))&gt;0,SUMPRODUCT((PayEmp=$C140)*(PayDate&lt;=$AC140)*(OFFSET($N$6,1,MATCH(AP$5,PayDedList,0)-1,PayCount,1)))/$AA140*12*AP$3,IF(OR(AP$1="Fixed",AP$1="Not Used"),SUMPRODUCT((PayEmp=$C140)*(PayDate&lt;=$AC140)*(OFFSET($N$6,1,MATCH(AP$5,PayDedList,0)-1,PayCount,1)))/$AA140*12*AP$3,IF(ISNA(MATCH(AP$1,EarnListItem,0))=FALSE,SUMPRODUCT((PayEmp=$C140)*(PayDate&lt;=$AC140)*(OFFSET($N$6,1,MATCH(AP$5,PayDedList,0)-1,PayCount,1)))/$AA140*12*AP$3,(MIN(((SUMPRODUCT((PayEmp=$C140)*(PayDate&lt;=$AC140)*(ISERROR(SEARCH(PayEarnCode,AP$2)))*(PayEarnType="Monthly")*(PayEarnValues))/$AA140*12)+(SUMPRODUCT((PayEmp=$C140)*(PayDate&lt;=$AC140)*(ISERROR(SEARCH(PayEarnCode,AP$2)))*(PayEarnType="Quarterly")*(PayEarnValues))/MAX(1,ROUNDDOWN($AB140/3,0))*4)+(SUMPRODUCT((PayEmp=$C140)*(PayDate&lt;=$AC140)*(ISERROR(SEARCH(PayEarnCode,AP$2)))*(PayEarnType="Bi-Annual")*(PayEarnValues))/MAX(1,ROUNDDOWN($AB140/6,0))*2)+(SUMPRODUCT((PayEmp=$C140)*(PayDate&lt;=$AC140)*(ISERROR(SEARCH(PayEarnCode,AP$2)))*(PayEarnType="Annual")*(PayEarnValues)))),IF(ISNUMBER(OFFSET($N$3,0,MATCH(AP$5,PayDedList,0)-1,1,1)),OFFSET($N$3,0,MATCH(AP$5,PayDedList,0)-1,1,1),IgnoreMin)))*IF(COUNTIFS(EmpNo,$C140,OFFSET(Emp!$R$4,1,MATCH(AP$5,DedListItem,0)-1,EmpCount,1),"&lt;&gt;")&gt;0,VLOOKUP($C140,EmpAll,COLUMN(Emp!$R$4)+MATCH(AP$5,DedListItem,0)-1,0),OFFSET(Setup!$E$73,MATCH(AP$5,DedListItem,0),0,1,1))*AP$3))),IF(ISNUMBER(AP$4),AP$4,IgnoreMin)))))</f>
        <v>0</v>
      </c>
      <c r="AQ140" s="148" cm="1">
        <f t="array" aca="1" ref="AQ140" ca="1">-IF($F140="Terminated",0,IF($AA140=0,0,IF(ISNA(MATCH(AQ$5,PayDedList,0)),0,MIN(IF(COUNTIFS(OverEmp,$C140,OverDeduct,AQ$5,OverDate,"&lt;"&amp;DATE(YEAR($AC140),MONTH($AC140)+1,1),OverEnd,"&gt;="&amp;DATE(YEAR($AC140),MONTH($AC140),1))&gt;0,SUMPRODUCT((PayEmp=$C140)*(PayDate&lt;=$AC140)*(OFFSET($N$6,1,MATCH(AQ$5,PayDedList,0)-1,PayCount,1)))/$AA140*12*AQ$3,IF(OR(AQ$1="Fixed",AQ$1="Not Used"),SUMPRODUCT((PayEmp=$C140)*(PayDate&lt;=$AC140)*(OFFSET($N$6,1,MATCH(AQ$5,PayDedList,0)-1,PayCount,1)))/$AA140*12*AQ$3,IF(ISNA(MATCH(AQ$1,EarnListItem,0))=FALSE,SUMPRODUCT((PayEmp=$C140)*(PayDate&lt;=$AC140)*(OFFSET($N$6,1,MATCH(AQ$5,PayDedList,0)-1,PayCount,1)))/$AA140*12*AQ$3,(MIN(((SUMPRODUCT((PayEmp=$C140)*(PayDate&lt;=$AC140)*(ISERROR(SEARCH(PayEarnCode,AQ$2)))*(PayEarnType="Monthly")*(PayEarnValues))/$AA140*12)+(SUMPRODUCT((PayEmp=$C140)*(PayDate&lt;=$AC140)*(ISERROR(SEARCH(PayEarnCode,AQ$2)))*(PayEarnType="Quarterly")*(PayEarnValues))/MAX(1,ROUNDDOWN($AB140/3,0))*4)+(SUMPRODUCT((PayEmp=$C140)*(PayDate&lt;=$AC140)*(ISERROR(SEARCH(PayEarnCode,AQ$2)))*(PayEarnType="Bi-Annual")*(PayEarnValues))/MAX(1,ROUNDDOWN($AB140/6,0))*2)+(SUMPRODUCT((PayEmp=$C140)*(PayDate&lt;=$AC140)*(ISERROR(SEARCH(PayEarnCode,AQ$2)))*(PayEarnType="Annual")*(PayEarnValues)))),IF(ISNUMBER(OFFSET($N$3,0,MATCH(AQ$5,PayDedList,0)-1,1,1)),OFFSET($N$3,0,MATCH(AQ$5,PayDedList,0)-1,1,1),IgnoreMin)))*IF(COUNTIFS(EmpNo,$C140,OFFSET(Emp!$R$4,1,MATCH(AQ$5,DedListItem,0)-1,EmpCount,1),"&lt;&gt;")&gt;0,VLOOKUP($C140,EmpAll,COLUMN(Emp!$R$4)+MATCH(AQ$5,DedListItem,0)-1,0),OFFSET(Setup!$E$73,MATCH(AQ$5,DedListItem,0),0,1,1))*AQ$3))),IF(ISNUMBER(AQ$4),AQ$4,IgnoreMin)))))</f>
        <v>0</v>
      </c>
      <c r="AR140" s="148">
        <f t="shared" ca="1" si="64"/>
        <v>349800</v>
      </c>
      <c r="AS140" s="148">
        <f t="shared" ca="1" si="72"/>
        <v>349800</v>
      </c>
      <c r="AT140" s="148" cm="1">
        <f t="array" aca="1" ref="AT140" ca="1">-IF($F140="Terminated",0,IF($AA140=0,0,IF(ISNA(MATCH(AT$5,PayDedList,0)),0,MIN(IF(COUNTIFS(OverEmp,$C140,OverDeduct,AT$5,OverDate,"&lt;"&amp;DATE(YEAR($AC140),MONTH($AC140)+1,1),OverEnd,"&gt;="&amp;DATE(YEAR($AC140),MONTH($AC140),1))&gt;0,SUMPRODUCT((PayEmp=$C140)*(PayDate&lt;=$AC140)*(OFFSET($N$6,1,MATCH(AT$5,PayDedList,0)-1,PayCount,1)))/$AA140*12*AT$3,IF(OR(AT$1="Fixed",AT$1="Not Used"),SUMPRODUCT((PayEmp=$C140)*(PayDate&lt;=$AC140)*(OFFSET($N$6,1,MATCH(AT$5,PayDedList,0)-1,PayCount,1)))/$AA140*12*AT$3,IF(ISNA(MATCH(OFFSET($N$2,0,MATCH(AT$5,PayDedList,0)-1,1,1),EarnListItem,0))=FALSE,SUMPRODUCT((PayEmp=$C140)*(PayDate&lt;=$AC140)*(OFFSET($N$6,1,MATCH(AT$5,PayDedList,0)-1,PayCount,1)))/$AA140*12*AT$3,(MIN(SUMPRODUCT((PayEmp=$C140)*(PayDate&lt;=$AC140)*(ISERROR(SEARCH(PayEarnCode,AT$2)))*(PayEarnType="Monthly")*(PayEarnValues))/$AA140*12,IF(ISNUMBER(OFFSET($N$3,0,MATCH(AT$5,PayDedList,0)-1,1,1)),OFFSET($N$3,0,MATCH(AT$5,PayDedList,0)-1,1,1),IgnoreMin)))*IF(COUNTIFS(EmpNo,$C140,OFFSET(Emp!$R$4,1,MATCH(AT$5,DedListItem,0)-1,EmpCount,1),"&lt;&gt;")&gt;0,VLOOKUP($C140,EmpAll,COLUMN(Emp!$R$4)+MATCH(AT$5,DedListItem,0)-1,0),OFFSET(Setup!$E$73,MATCH(AT$5,DedListItem,0),0,1,1))*AT$3))),IF(ISNUMBER(AT$4),AT$4,IgnoreMin)))))</f>
        <v>0</v>
      </c>
      <c r="AU140" s="148" cm="1">
        <f t="array" aca="1" ref="AU140" ca="1">-IF($F140="Terminated",0,IF($AA140=0,0,IF(ISNA(MATCH(AU$5,PayDedList,0)),0,MIN(IF(COUNTIFS(OverEmp,$C140,OverDeduct,AU$5,OverDate,"&lt;"&amp;DATE(YEAR($AC140),MONTH($AC140)+1,1),OverEnd,"&gt;="&amp;DATE(YEAR($AC140),MONTH($AC140),1))&gt;0,SUMPRODUCT((PayEmp=$C140)*(PayDate&lt;=$AC140)*(OFFSET($N$6,1,MATCH(AU$5,PayDedList,0)-1,PayCount,1)))/$AA140*12*AU$3,IF(OR(AU$1="Fixed",AU$1="Not Used"),SUMPRODUCT((PayEmp=$C140)*(PayDate&lt;=$AC140)*(OFFSET($N$6,1,MATCH(AU$5,PayDedList,0)-1,PayCount,1)))/$AA140*12*AU$3,IF(ISNA(MATCH(OFFSET($N$2,0,MATCH(AU$5,PayDedList,0)-1,1,1),EarnListItem,0))=FALSE,SUMPRODUCT((PayEmp=$C140)*(PayDate&lt;=$AC140)*(OFFSET($N$6,1,MATCH(AU$5,PayDedList,0)-1,PayCount,1)))/$AA140*12*AU$3,(MIN(SUMPRODUCT((PayEmp=$C140)*(PayDate&lt;=$AC140)*(ISERROR(SEARCH(PayEarnCode,AU$2)))*(PayEarnType="Monthly")*(PayEarnValues))/$AA140*12,IF(ISNUMBER(OFFSET($N$3,0,MATCH(AU$5,PayDedList,0)-1,1,1)),OFFSET($N$3,0,MATCH(AU$5,PayDedList,0)-1,1,1),IgnoreMin)))*IF(COUNTIFS(EmpNo,$C140,OFFSET(Emp!$R$4,1,MATCH(AU$5,DedListItem,0)-1,EmpCount,1),"&lt;&gt;")&gt;0,VLOOKUP($C140,EmpAll,COLUMN(Emp!$R$4)+MATCH(AU$5,DedListItem,0)-1,0),OFFSET(Setup!$E$73,MATCH(AU$5,DedListItem,0),0,1,1))*AU$3))),IF(ISNUMBER(AU$4),AU$4,IgnoreMin)))))</f>
        <v>0</v>
      </c>
      <c r="AV140" s="148" cm="1">
        <f t="array" aca="1" ref="AV140" ca="1">-IF($F140="Terminated",0,IF($AA140=0,0,IF(ISNA(MATCH(AV$5,PayDedList,0)),0,MIN(IF(COUNTIFS(OverEmp,$C140,OverDeduct,AV$5,OverDate,"&lt;"&amp;DATE(YEAR($AC140),MONTH($AC140)+1,1),OverEnd,"&gt;="&amp;DATE(YEAR($AC140),MONTH($AC140),1))&gt;0,SUMPRODUCT((PayEmp=$C140)*(PayDate&lt;=$AC140)*(OFFSET($N$6,1,MATCH(AV$5,PayDedList,0)-1,PayCount,1)))/$AA140*12*AV$3,IF(OR(AV$1="Fixed",AV$1="Not Used"),SUMPRODUCT((PayEmp=$C140)*(PayDate&lt;=$AC140)*(OFFSET($N$6,1,MATCH(AV$5,PayDedList,0)-1,PayCount,1)))/$AA140*12*AV$3,IF(ISNA(MATCH(OFFSET($N$2,0,MATCH(AV$5,PayDedList,0)-1,1,1),EarnListItem,0))=FALSE,SUMPRODUCT((PayEmp=$C140)*(PayDate&lt;=$AC140)*(OFFSET($N$6,1,MATCH(AV$5,PayDedList,0)-1,PayCount,1)))/$AA140*12*AV$3,(MIN(SUMPRODUCT((PayEmp=$C140)*(PayDate&lt;=$AC140)*(ISERROR(SEARCH(PayEarnCode,AV$2)))*(PayEarnType="Monthly")*(PayEarnValues))/$AA140*12,IF(ISNUMBER(OFFSET($N$3,0,MATCH(AV$5,PayDedList,0)-1,1,1)),OFFSET($N$3,0,MATCH(AV$5,PayDedList,0)-1,1,1),IgnoreMin)))*IF(COUNTIFS(EmpNo,$C140,OFFSET(Emp!$R$4,1,MATCH(AV$5,DedListItem,0)-1,EmpCount,1),"&lt;&gt;")&gt;0,VLOOKUP($C140,EmpAll,COLUMN(Emp!$R$4)+MATCH(AV$5,DedListItem,0)-1,0),OFFSET(Setup!$E$73,MATCH(AV$5,DedListItem,0),0,1,1))*AV$3))),IF(ISNUMBER(AV$4),AV$4,IgnoreMin)))))</f>
        <v>0</v>
      </c>
      <c r="AW140" s="148" cm="1">
        <f t="array" aca="1" ref="AW140" ca="1">-IF($F140="Terminated",0,IF($AA140=0,0,IF(ISNA(MATCH(AW$5,PayDedList,0)),0,MIN(IF(COUNTIFS(OverEmp,$C140,OverDeduct,AW$5,OverDate,"&lt;"&amp;DATE(YEAR($AC140),MONTH($AC140)+1,1),OverEnd,"&gt;="&amp;DATE(YEAR($AC140),MONTH($AC140),1))&gt;0,SUMPRODUCT((PayEmp=$C140)*(PayDate&lt;=$AC140)*(OFFSET($N$6,1,MATCH(AW$5,PayDedList,0)-1,PayCount,1)))/$AA140*12*AW$3,IF(OR(AW$1="Fixed",AW$1="Not Used"),SUMPRODUCT((PayEmp=$C140)*(PayDate&lt;=$AC140)*(OFFSET($N$6,1,MATCH(AW$5,PayDedList,0)-1,PayCount,1)))/$AA140*12*AW$3,IF(ISNA(MATCH(OFFSET($N$2,0,MATCH(AW$5,PayDedList,0)-1,1,1),EarnListItem,0))=FALSE,SUMPRODUCT((PayEmp=$C140)*(PayDate&lt;=$AC140)*(OFFSET($N$6,1,MATCH(AW$5,PayDedList,0)-1,PayCount,1)))/$AA140*12*AW$3,(MIN(SUMPRODUCT((PayEmp=$C140)*(PayDate&lt;=$AC140)*(ISERROR(SEARCH(PayEarnCode,AW$2)))*(PayEarnType="Monthly")*(PayEarnValues))/$AA140*12,IF(ISNUMBER(OFFSET($N$3,0,MATCH(AW$5,PayDedList,0)-1,1,1)),OFFSET($N$3,0,MATCH(AW$5,PayDedList,0)-1,1,1),IgnoreMin)))*IF(COUNTIFS(EmpNo,$C140,OFFSET(Emp!$R$4,1,MATCH(AW$5,DedListItem,0)-1,EmpCount,1),"&lt;&gt;")&gt;0,VLOOKUP($C140,EmpAll,COLUMN(Emp!$R$4)+MATCH(AW$5,DedListItem,0)-1,0),OFFSET(Setup!$E$73,MATCH(AW$5,DedListItem,0),0,1,1))*AW$3))),IF(ISNUMBER(AW$4),AW$4,IgnoreMin)))))</f>
        <v>0</v>
      </c>
      <c r="AX140" s="148">
        <f t="shared" ca="1" si="73"/>
        <v>349800</v>
      </c>
      <c r="AY140" s="148">
        <f t="shared" ca="1" si="74"/>
        <v>0</v>
      </c>
      <c r="AZ140" s="148">
        <f ca="1">IF(ISNUMBER($AL140),($AR140*$AL140)-$AI140-$AK140,MAX(0,IF($AL140="B",IF($AR140&lt;Setup!$C$32,($AR140*Setup!$D$32)-$AI140-$AK140,(($AR140-VLOOKUP($AR140,TaxAll2,1,1))*OFFSET(Setup!$D$32,MATCH($AR140,TaxBracket2,1),0,1,1))+OFFSET(Setup!$E$31,MATCH($AR140,TaxBracket2,1),0,1,1)-$AI140-$AK140),IF($AR140&lt;Setup!$C$21,($AR140*Setup!$D$21)-$AI140-$AK140,(($AR140-VLOOKUP($AR140,TaxAll1,1,1))*OFFSET(Setup!$D$21,MATCH($AR140,TaxBracket1,1),0,1,1))+OFFSET(Setup!$E$20,MATCH($AR140,TaxBracket1,1),0,1,1)-$AI140-$AK140))))</f>
        <v>54745</v>
      </c>
      <c r="BA140" s="148">
        <f ca="1">IF(ISNUMBER($AL140),($AX140*$AL140)-$AI140-$AK140,MAX(0,IF($AL140="B",IF($AX140&lt;Setup!$C$32,($AX140*Setup!$D$32)-$AI140-$AK140,(($AX140-VLOOKUP($AX140,TaxAll2,1,1))*OFFSET(Setup!$D$32,MATCH($AX140,TaxBracket2,1),0,1,1))+OFFSET(Setup!$E$31,MATCH($AX140,TaxBracket2,1),0,1,1)-$AI140-$AK140),IF($AX140&lt;Setup!$C$21,($AX140*Setup!$D$21)-$AI140-$AK140,(($AX140-VLOOKUP($AX140,TaxAll1,1,1))*OFFSET(Setup!$D$21,MATCH($AX140,TaxBracket1,1),0,1,1))+OFFSET(Setup!$E$20,MATCH($AX140,TaxBracket1,1),0,1,1)-$AI140-$AK140))))</f>
        <v>54745</v>
      </c>
      <c r="BB140" s="148">
        <f t="shared" ca="1" si="65"/>
        <v>0</v>
      </c>
      <c r="BC140" s="150">
        <f t="shared" ca="1" si="75"/>
        <v>1</v>
      </c>
      <c r="BD140" s="150">
        <f t="shared" ca="1" si="76"/>
        <v>0</v>
      </c>
      <c r="BE140" s="148">
        <f t="shared" ca="1" si="77"/>
        <v>349800</v>
      </c>
    </row>
    <row r="141" spans="1:57" ht="16.149999999999999" customHeight="1" x14ac:dyDescent="0.25">
      <c r="A141" s="10" t="str" cm="1">
        <f t="array" aca="1" ref="A141" ca="1">IF(ROW($A141)-ROW($A$6)&gt;EmpCount*12,"-",TEXT($B141,"yyyy")&amp;TEXT($B141,"mm")&amp;"-"&amp;$C141)</f>
        <v>202311-EXS015</v>
      </c>
      <c r="B141" s="137" cm="1">
        <f t="array" aca="1" ref="B141" ca="1">IF(ROW($A141)-ROW($A$6)&gt;EmpCount*12,Setup!$D$12,DATE(YEAR(Setup!$F$12),MONTH(Setup!$F$12)+ROUNDDOWN((ROW($A141)-ROW($A$6)-1)/EmpCount,0),IF(Setup!$C$14&gt;DAY(DATE(YEAR(Setup!$F$12),MONTH(Setup!$F$12)+ROUNDDOWN((ROW($A141)-ROW($A$6)-1)/EmpCount,0)+1,0)),DAY(DATE(YEAR(Setup!$F$12),MONTH(Setup!$F$12)+ROUNDDOWN((ROW($A141)-ROW($A$6)-1)/EmpCount,0)+1,0)),Setup!$C$14)))</f>
        <v>45255</v>
      </c>
      <c r="C141" s="101" t="str" cm="1">
        <f t="array" aca="1" ref="C141" ca="1">IF(ROW($A141)-ROW($A$6)&gt;EmpCount*12,"-",OFFSET(Emp!$A$4,ROW($A141)-ROW($A$6)-IF(ROW($A141)-ROW($A$6)&gt;EmpCount,ROUNDDOWN((ROW($A141)-ROW($A$6)-1)/EmpCount,0)*EmpCount,0),0,1,1))</f>
        <v>EXS015</v>
      </c>
      <c r="D141" s="10" t="str">
        <f ca="1">IF(ISNA(VLOOKUP($C141,EmpAll,COLUMN(Emp!$B$4),0)),"-",VLOOKUP($C141,EmpAll,COLUMN(Emp!$B$4),0))</f>
        <v>Graham L</v>
      </c>
      <c r="E141" s="145" t="str">
        <f ca="1">IF(ISNA(VLOOKUP($C141,EmpAll,COLUMN(Emp!$C$4),0)),"-",VLOOKUP($C141,EmpAll,COLUMN(Emp!$C$4),0))</f>
        <v>S</v>
      </c>
      <c r="F141" s="101" t="str">
        <f ca="1">IF(ISNA(VLOOKUP($C141,EmpAll,COLUMN(Emp!$A$4),0)),"-",IF(AND(VLOOKUP($C141,EmpAll,COLUMN(Emp!$E$4),0)&lt;&gt;0,VLOOKUP($C141,EmpAll,COLUMN(Emp!$E$4),0)&gt;=DATE(YEAR($AC141),MONTH($AC141)+1,0)),"Inactive",IF(AND(VLOOKUP($C141,EmpAll,COLUMN(Emp!$F$4),0)&lt;&gt;0,VLOOKUP($C141,EmpAll,COLUMN(Emp!$F$4),0)&lt;=DATE(YEAR($AC141),MONTH($AC141),0)),"Terminated","Active")))</f>
        <v>Inactive</v>
      </c>
      <c r="G141" s="133" cm="1">
        <f t="array" aca="1" ref="G141" ca="1">IF($F141&lt;&gt;"Active",0,IF(COUNTIFS(OverEmp,$C141,OverEarn,G$2,OverDate,"&lt;"&amp;DATE(YEAR($AC141),MONTH($AC141)+1,1),OverEnd,"&gt;="&amp;DATE(YEAR($AC141),MONTH($AC141),1))&gt;0,SUMIFS(OverValue,OverEmp,$C141,OverEarn,G$2,OverDate,"&lt;"&amp;DATE(YEAR($AC141),MONTH($AC141)+1,1),OverEnd,"&gt;="&amp;DATE(YEAR($AC141),MONTH($AC141),1)),IF(AND($AC141&gt;=Setup!$E$10,SUMIFS(EmpIncrease,EmpCode,$C141)&gt;0),SUMIFS(EmpIncrease,EmpCode,$C141),SUMIFS(EmpSalary,EmpCode,$C141))))</f>
        <v>0</v>
      </c>
      <c r="H141" s="133" cm="1">
        <f t="array" aca="1" ref="H141" ca="1">IF($F141&lt;&gt;"Active",0,IF(COUNTIFS(OverEmp,$C141,OverEarn,H$2,OverDate,"&lt;"&amp;DATE(YEAR($AC141),MONTH($AC141)+1,1),OverEnd,"&gt;="&amp;DATE(YEAR($AC141),MONTH($AC141),1))&gt;0,SUMIFS(OverValue,OverEmp,$C141,OverEarn,H$2,OverDate,"&lt;"&amp;DATE(YEAR($AC141),MONTH($AC141)+1,1),OverEnd,"&gt;="&amp;DATE(YEAR($AC141),MONTH($AC141),1)),0))</f>
        <v>0</v>
      </c>
      <c r="I141" s="133" cm="1">
        <f t="array" aca="1" ref="I141" ca="1">IF($F141&lt;&gt;"Active",0,IF(COUNTIFS(OverEmp,$C141,OverEarn,I$2,OverDate,"&lt;"&amp;DATE(YEAR($AC141),MONTH($AC141)+1,1),OverEnd,"&gt;="&amp;DATE(YEAR($AC141),MONTH($AC141),1))&gt;0,SUMIFS(OverValue,OverEmp,$C141,OverEarn,I$2,OverDate,"&lt;"&amp;DATE(YEAR($AC141),MONTH($AC141)+1,1),OverEnd,"&gt;="&amp;DATE(YEAR($AC141),MONTH($AC141),1)),IF(MONTH(B141)=Setup!$C$15,SUMIFS(EmpBonus,EmpCode,$C141),0)))</f>
        <v>0</v>
      </c>
      <c r="J141" s="133" cm="1">
        <f t="array" aca="1" ref="J141" ca="1">IF($F141&lt;&gt;"Active",0,IF(COUNTIFS(OverEmp,$C141,OverEarn,J$2,OverDate,"&lt;"&amp;DATE(YEAR($AC141),MONTH($AC141)+1,1),OverEnd,"&gt;="&amp;DATE(YEAR($AC141),MONTH($AC141),1))&gt;0,SUMIFS(OverValue,OverEmp,$C141,OverEarn,J$2,OverDate,"&lt;"&amp;DATE(YEAR($AC141),MONTH($AC141)+1,1),OverEnd,"&gt;="&amp;DATE(YEAR($AC141),MONTH($AC141),1)),0))</f>
        <v>0</v>
      </c>
      <c r="K141" s="133" cm="1">
        <f t="array" aca="1" ref="K141" ca="1">IF($F141&lt;&gt;"Active",0,IF(COUNTIFS(OverEmp,$C141,OverEarn,K$2,OverDate,"&lt;"&amp;DATE(YEAR($AC141),MONTH($AC141)+1,1),OverEnd,"&gt;="&amp;DATE(YEAR($AC141),MONTH($AC141),1))&gt;0,SUMIFS(OverValue,OverEmp,$C141,OverEarn,K$2,OverDate,"&lt;"&amp;DATE(YEAR($AC141),MONTH($AC141)+1,1),OverEnd,"&gt;="&amp;DATE(YEAR($AC141),MONTH($AC141),1)),0))</f>
        <v>0</v>
      </c>
      <c r="L141" s="185">
        <f t="shared" ca="1" si="66"/>
        <v>0</v>
      </c>
      <c r="M141" s="182" cm="1">
        <f t="array" aca="1" ref="M141" ca="1">IF(COUNTIFS(OverEmp,$C141,OverTax,M$5,OverDate,"&lt;"&amp;DATE(YEAR($AC141),MONTH($AC141)+1,1),OverEnd,"&gt;="&amp;DATE(YEAR($AC141),MONTH($AC141),1))&gt;0,SUMIFS(OverValue,OverEmp,$C141,OverTax,M$5,OverDate,"&lt;"&amp;DATE(YEAR($AC141),MONTH($AC141)+1,1),OverEnd,"&gt;="&amp;DATE(YEAR($AC141),MONTH($AC141),1)),(($BA141/12*$AA141)+(BB141*IF(1-$BC141=0,0,BD141/(1-$BC141))))-IF($F141="Terminated",0,SUMIFS(PayTaxDeduct,PayDate,"&lt;"&amp;$AC141,PayEmp,$C141)))</f>
        <v>0</v>
      </c>
      <c r="N141" s="133" cm="1">
        <f t="array" aca="1" ref="N141" ca="1">IF($F141="Terminated",0,IF($AA141=0,0,IF(ISNA(MATCH(N$5,DedListItem,0)),0,IF(COUNTIFS(OverEmp,$C141,OverDeduct,N$5,OverDate,"&lt;"&amp;DATE(YEAR($AC141),MONTH($AC141)+1,1),OverEnd,"&gt;="&amp;DATE(YEAR($AC141),MONTH($AC141),1))&gt;0,SUMIFS(OverValue,OverEmp,$C141,OverDeduct,N$5,OverDate,"&lt;"&amp;DATE(YEAR($AC141),MONTH($AC141)+1,1),OverEnd,"&gt;="&amp;DATE(YEAR($AC141),MONTH($AC141),1)),IF(OR(N$2="Fixed",N$2="Not Used"),(IF(COUNTIFS(EmpNo,$C141,OFFSET(Emp!$R$4,1,MATCH(N$5,DedListItem,0)-1,EmpCount,1),"&lt;&gt;")&gt;0,VLOOKUP($C141,EmpAll,COLUMN(Emp!$R$4)+MATCH(N$5,DedListItem,0)-1,0),OFFSET(Setup!$E$73,MATCH(N$5,DedListItem,0),0,1,1))*$AA141)-SUMIFS(OFFSET(N$6,1,0,PayCount,1),PayDate,"&lt;"&amp;$AC141,PayEmp,$C141),IF(ISNA(MATCH(N$2,EarnListItem,0))=FALSE,IF(OFFSET(Setup!$G$73,MATCH(N$5,DedListItem,0),0,1,1)="Taxable",SUMPRODUCT((PayEmp=$C141)*(PayDate&lt;=$AC141)*(PayEarnCode=N$2)*(PayEarnTax)*(PayEarnValues)),SUMPRODUCT((PayEmp=$C141)*(PayDate&lt;=$AC141)*(PayEarnCode=N$2)*(PayEarnValues)))*IF(COUNTIFS(EmpNo,$C141,OFFSET(Emp!$R$4,1,MATCH(N$5,DedListItem,0)-1,EmpCount,1),"&lt;&gt;")&gt;0,VLOOKUP($C141,EmpAll,COLUMN(Emp!$R$4)+MATCH(N$5,DedListItem,0)-1,0),OFFSET(Setup!$E$73,MATCH(N$5,DedListItem,0),0,1,1)),(MIN(IF(OFFSET(Setup!$G$73,MATCH(N$5,DedListItem,0),0,1,1)="Taxable",SUMPRODUCT((PayEmp=$C141)*(PayDate&lt;=$AC141)*(ISERROR(SEARCH(PayEarnCode,N$4)))*(PayEarnTax)*(PayEarnValues)),SUMPRODUCT((PayEmp=$C141)*(PayDate&lt;=$AC141)*(ISERROR(SEARCH(PayEarnCode,N$4)))*(PayEarnValues))),IF(ISNUMBER(N$3),N$3/12*$AA141,IgnoreMin)))*IF(COUNTIFS(EmpNo,$C141,OFFSET(Emp!$R$4,1,MATCH(N$5,DedListItem,0)-1,EmpCount,1),"&lt;&gt;")&gt;0,VLOOKUP($C141,EmpAll,COLUMN(Emp!$R$4)+MATCH(N$5,DedListItem,0)-1,0),OFFSET(Setup!$E$73,MATCH(N$5,DedListItem,0),0,1,1)))-SUMIFS(OFFSET(N$6,1,0,PayCount,1),PayDate,"&lt;"&amp;$AC141,PayEmp,$C141))))))</f>
        <v>0</v>
      </c>
      <c r="O141" s="133" cm="1">
        <f t="array" aca="1" ref="O141" ca="1">IF($F141="Terminated",0,IF($AA141=0,0,IF(ISNA(MATCH(O$5,DedListItem,0)),0,IF(COUNTIFS(OverEmp,$C141,OverDeduct,O$5,OverDate,"&lt;"&amp;DATE(YEAR($AC141),MONTH($AC141)+1,1),OverEnd,"&gt;="&amp;DATE(YEAR($AC141),MONTH($AC141),1))&gt;0,SUMIFS(OverValue,OverEmp,$C141,OverDeduct,O$5,OverDate,"&lt;"&amp;DATE(YEAR($AC141),MONTH($AC141)+1,1),OverEnd,"&gt;="&amp;DATE(YEAR($AC141),MONTH($AC141),1)),IF(OR(O$2="Fixed",O$2="Not Used"),(IF(COUNTIFS(EmpNo,$C141,OFFSET(Emp!$R$4,1,MATCH(O$5,DedListItem,0)-1,EmpCount,1),"&lt;&gt;")&gt;0,VLOOKUP($C141,EmpAll,COLUMN(Emp!$R$4)+MATCH(O$5,DedListItem,0)-1,0),OFFSET(Setup!$E$73,MATCH(O$5,DedListItem,0),0,1,1))*$AA141)-SUMIFS(OFFSET(O$6,1,0,PayCount,1),PayDate,"&lt;"&amp;$AC141,PayEmp,$C141),IF(ISNA(MATCH(O$2,EarnListItem,0))=FALSE,IF(OFFSET(Setup!$G$73,MATCH(O$5,DedListItem,0),0,1,1)="Taxable",SUMPRODUCT((PayEmp=$C141)*(PayDate&lt;=$AC141)*(PayEarnCode=O$2)*(PayEarnTax)*(PayEarnValues)),SUMPRODUCT((PayEmp=$C141)*(PayDate&lt;=$AC141)*(PayEarnCode=O$2)*(PayEarnValues)))*IF(COUNTIFS(EmpNo,$C141,OFFSET(Emp!$R$4,1,MATCH(O$5,DedListItem,0)-1,EmpCount,1),"&lt;&gt;")&gt;0,VLOOKUP($C141,EmpAll,COLUMN(Emp!$R$4)+MATCH(O$5,DedListItem,0)-1,0),OFFSET(Setup!$E$73,MATCH(O$5,DedListItem,0),0,1,1)),(MIN(IF(OFFSET(Setup!$G$73,MATCH(O$5,DedListItem,0),0,1,1)="Taxable",SUMPRODUCT((PayEmp=$C141)*(PayDate&lt;=$AC141)*(ISERROR(SEARCH(PayEarnCode,O$4)))*(PayEarnTax)*(PayEarnValues)),SUMPRODUCT((PayEmp=$C141)*(PayDate&lt;=$AC141)*(ISERROR(SEARCH(PayEarnCode,O$4)))*(PayEarnValues))),IF(ISNUMBER(O$3),O$3/12*$AA141,IgnoreMin)))*IF(COUNTIFS(EmpNo,$C141,OFFSET(Emp!$R$4,1,MATCH(O$5,DedListItem,0)-1,EmpCount,1),"&lt;&gt;")&gt;0,VLOOKUP($C141,EmpAll,COLUMN(Emp!$R$4)+MATCH(O$5,DedListItem,0)-1,0),OFFSET(Setup!$E$73,MATCH(O$5,DedListItem,0),0,1,1)))-SUMIFS(OFFSET(O$6,1,0,PayCount,1),PayDate,"&lt;"&amp;$AC141,PayEmp,$C141))))))</f>
        <v>0</v>
      </c>
      <c r="P141" s="133" cm="1">
        <f t="array" aca="1" ref="P141" ca="1">IF($F141="Terminated",0,IF($AA141=0,0,IF(ISNA(MATCH(P$5,DedListItem,0)),0,IF(COUNTIFS(OverEmp,$C141,OverDeduct,P$5,OverDate,"&lt;"&amp;DATE(YEAR($AC141),MONTH($AC141)+1,1),OverEnd,"&gt;="&amp;DATE(YEAR($AC141),MONTH($AC141),1))&gt;0,SUMIFS(OverValue,OverEmp,$C141,OverDeduct,P$5,OverDate,"&lt;"&amp;DATE(YEAR($AC141),MONTH($AC141)+1,1),OverEnd,"&gt;="&amp;DATE(YEAR($AC141),MONTH($AC141),1)),IF(OR(P$2="Fixed",P$2="Not Used"),(IF(COUNTIFS(EmpNo,$C141,OFFSET(Emp!$R$4,1,MATCH(P$5,DedListItem,0)-1,EmpCount,1),"&lt;&gt;")&gt;0,VLOOKUP($C141,EmpAll,COLUMN(Emp!$R$4)+MATCH(P$5,DedListItem,0)-1,0),OFFSET(Setup!$E$73,MATCH(P$5,DedListItem,0),0,1,1))*$AA141)-SUMIFS(OFFSET(P$6,1,0,PayCount,1),PayDate,"&lt;"&amp;$AC141,PayEmp,$C141),IF(ISNA(MATCH(P$2,EarnListItem,0))=FALSE,IF(OFFSET(Setup!$G$73,MATCH(P$5,DedListItem,0),0,1,1)="Taxable",SUMPRODUCT((PayEmp=$C141)*(PayDate&lt;=$AC141)*(PayEarnCode=P$2)*(PayEarnTax)*(PayEarnValues)),SUMPRODUCT((PayEmp=$C141)*(PayDate&lt;=$AC141)*(PayEarnCode=P$2)*(PayEarnValues)))*IF(COUNTIFS(EmpNo,$C141,OFFSET(Emp!$R$4,1,MATCH(P$5,DedListItem,0)-1,EmpCount,1),"&lt;&gt;")&gt;0,VLOOKUP($C141,EmpAll,COLUMN(Emp!$R$4)+MATCH(P$5,DedListItem,0)-1,0),OFFSET(Setup!$E$73,MATCH(P$5,DedListItem,0),0,1,1)),(MIN(IF(OFFSET(Setup!$G$73,MATCH(P$5,DedListItem,0),0,1,1)="Taxable",SUMPRODUCT((PayEmp=$C141)*(PayDate&lt;=$AC141)*(ISERROR(SEARCH(PayEarnCode,P$4)))*(PayEarnTax)*(PayEarnValues)),SUMPRODUCT((PayEmp=$C141)*(PayDate&lt;=$AC141)*(ISERROR(SEARCH(PayEarnCode,P$4)))*(PayEarnValues))),IF(ISNUMBER(P$3),P$3/12*$AA141,IgnoreMin)))*IF(COUNTIFS(EmpNo,$C141,OFFSET(Emp!$R$4,1,MATCH(P$5,DedListItem,0)-1,EmpCount,1),"&lt;&gt;")&gt;0,VLOOKUP($C141,EmpAll,COLUMN(Emp!$R$4)+MATCH(P$5,DedListItem,0)-1,0),OFFSET(Setup!$E$73,MATCH(P$5,DedListItem,0),0,1,1)))-SUMIFS(OFFSET(P$6,1,0,PayCount,1),PayDate,"&lt;"&amp;$AC141,PayEmp,$C141))))))</f>
        <v>0</v>
      </c>
      <c r="Q141" s="133" cm="1">
        <f t="array" aca="1" ref="Q141" ca="1">IF($F141="Terminated",0,IF($AA141=0,0,IF(ISNA(MATCH(Q$5,DedListItem,0)),0,IF(COUNTIFS(OverEmp,$C141,OverDeduct,Q$5,OverDate,"&lt;"&amp;DATE(YEAR($AC141),MONTH($AC141)+1,1),OverEnd,"&gt;="&amp;DATE(YEAR($AC141),MONTH($AC141),1))&gt;0,SUMIFS(OverValue,OverEmp,$C141,OverDeduct,Q$5,OverDate,"&lt;"&amp;DATE(YEAR($AC141),MONTH($AC141)+1,1),OverEnd,"&gt;="&amp;DATE(YEAR($AC141),MONTH($AC141),1)),IF(OR(Q$2="Fixed",Q$2="Not Used"),(IF(COUNTIFS(EmpNo,$C141,OFFSET(Emp!$R$4,1,MATCH(Q$5,DedListItem,0)-1,EmpCount,1),"&lt;&gt;")&gt;0,VLOOKUP($C141,EmpAll,COLUMN(Emp!$R$4)+MATCH(Q$5,DedListItem,0)-1,0),OFFSET(Setup!$E$73,MATCH(Q$5,DedListItem,0),0,1,1))*$AA141)-SUMIFS(OFFSET(Q$6,1,0,PayCount,1),PayDate,"&lt;"&amp;$AC141,PayEmp,$C141),IF(ISNA(MATCH(Q$2,EarnListItem,0))=FALSE,IF(OFFSET(Setup!$G$73,MATCH(Q$5,DedListItem,0),0,1,1)="Taxable",SUMPRODUCT((PayEmp=$C141)*(PayDate&lt;=$AC141)*(PayEarnCode=Q$2)*(PayEarnTax)*(PayEarnValues)),SUMPRODUCT((PayEmp=$C141)*(PayDate&lt;=$AC141)*(PayEarnCode=Q$2)*(PayEarnValues)))*IF(COUNTIFS(EmpNo,$C141,OFFSET(Emp!$R$4,1,MATCH(Q$5,DedListItem,0)-1,EmpCount,1),"&lt;&gt;")&gt;0,VLOOKUP($C141,EmpAll,COLUMN(Emp!$R$4)+MATCH(Q$5,DedListItem,0)-1,0),OFFSET(Setup!$E$73,MATCH(Q$5,DedListItem,0),0,1,1)),(MIN(IF(OFFSET(Setup!$G$73,MATCH(Q$5,DedListItem,0),0,1,1)="Taxable",SUMPRODUCT((PayEmp=$C141)*(PayDate&lt;=$AC141)*(ISERROR(SEARCH(PayEarnCode,Q$4)))*(PayEarnTax)*(PayEarnValues)),SUMPRODUCT((PayEmp=$C141)*(PayDate&lt;=$AC141)*(ISERROR(SEARCH(PayEarnCode,Q$4)))*(PayEarnValues))),IF(ISNUMBER(Q$3),Q$3/12*$AA141,IgnoreMin)))*IF(COUNTIFS(EmpNo,$C141,OFFSET(Emp!$R$4,1,MATCH(Q$5,DedListItem,0)-1,EmpCount,1),"&lt;&gt;")&gt;0,VLOOKUP($C141,EmpAll,COLUMN(Emp!$R$4)+MATCH(Q$5,DedListItem,0)-1,0),OFFSET(Setup!$E$73,MATCH(Q$5,DedListItem,0),0,1,1)))-SUMIFS(OFFSET(Q$6,1,0,PayCount,1),PayDate,"&lt;"&amp;$AC141,PayEmp,$C141))))))</f>
        <v>0</v>
      </c>
      <c r="R141" s="185">
        <f t="shared" ca="1" si="67"/>
        <v>0</v>
      </c>
      <c r="S141" s="139">
        <f t="shared" ca="1" si="68"/>
        <v>0</v>
      </c>
      <c r="T141" s="133" cm="1">
        <f t="array" aca="1" ref="T141" ca="1">IF($F141="Terminated",0,IF($AA141=0,0,IF(ISNA(MATCH(T$5,CompListItem,0)),0,IF(COUNTIFS(OverEmp,$C141,OverComp,T$5,OverDate,"&lt;"&amp;DATE(YEAR($AC141),MONTH($AC141)+1,1),OverEnd,"&gt;="&amp;DATE(YEAR($AC141),MONTH($AC141),1))&gt;0,SUMIFS(OverValue,OverEmp,$C141,OverComp,T$5,OverDate,"&lt;"&amp;DATE(YEAR($AC141),MONTH($AC141)+1,1),OverEnd,"&gt;="&amp;DATE(YEAR($AC141),MONTH($AC141),1)),IF(OR(T$2="Fixed",T$2="Not Used"),(OFFSET(Setup!$E$81,MATCH(T$5,CompListItem,0),0,1,1)*$AA141)-SUMIFS(OFFSET(T$6,1,0,PayCount,1),PayDate,"&lt;"&amp;$AC141,PayEmp,$C141),IF(ISNA(MATCH(T$2,DedListItem,0))=FALSE,(SUMPRODUCT((PayEmp=$C141)*(PayDate&lt;=$AC141)*(PayDedList=T$2)*(PayDedValues))*OFFSET(Setup!$E$81,MATCH(T$5,CompListItem,0),0,1,1))-SUMIFS(OFFSET(T$6,1,0,PayCount,1),PayDate,"&lt;"&amp;$AC141,PayEmp,$C141),(MIN(IF(OFFSET(Setup!$G$81,MATCH(T$5,CompListItem,0),0,1,1)="Taxable",SUMPRODUCT((PayEmp=$C141)*(PayDate&lt;=$AC141)*(ISERROR(SEARCH(PayEarnCode,T$4)))*(PayEarnTax)*(PayEarnValues)),SUMPRODUCT((PayEmp=$C141)*(PayDate&lt;=$AC141)*(ISERROR(SEARCH(PayEarnCode,T$4)))*(PayEarnValues))),IF(ISNUMBER(T$3),T$3/12*$AA141,IgnoreMin)))*OFFSET(Setup!$E$81,MATCH(T$5,CompListItem,0),0,1,1)-SUMIFS(OFFSET(T$6,1,0,PayCount,1),PayDate,"&lt;"&amp;$AC141,PayEmp,$C141)))))))</f>
        <v>0</v>
      </c>
      <c r="U141" s="133" cm="1">
        <f t="array" aca="1" ref="U141" ca="1">IF($F141="Terminated",0,IF($AA141=0,0,IF(ISNA(MATCH(U$5,CompListItem,0)),0,IF(COUNTIFS(OverEmp,$C141,OverComp,U$5,OverDate,"&lt;"&amp;DATE(YEAR($AC141),MONTH($AC141)+1,1),OverEnd,"&gt;="&amp;DATE(YEAR($AC141),MONTH($AC141),1))&gt;0,SUMIFS(OverValue,OverEmp,$C141,OverComp,U$5,OverDate,"&lt;"&amp;DATE(YEAR($AC141),MONTH($AC141)+1,1),OverEnd,"&gt;="&amp;DATE(YEAR($AC141),MONTH($AC141),1)),IF(OR(U$2="Fixed",U$2="Not Used"),(OFFSET(Setup!$E$81,MATCH(U$5,CompListItem,0),0,1,1)*$AA141)-SUMIFS(OFFSET(U$6,1,0,PayCount,1),PayDate,"&lt;"&amp;$AC141,PayEmp,$C141),IF(ISNA(MATCH(U$2,DedListItem,0))=FALSE,(SUMPRODUCT((PayEmp=$C141)*(PayDate&lt;=$AC141)*(PayDedList=U$2)*(PayDedValues))*OFFSET(Setup!$E$81,MATCH(U$5,CompListItem,0),0,1,1))-SUMIFS(OFFSET(U$6,1,0,PayCount,1),PayDate,"&lt;"&amp;$AC141,PayEmp,$C141),(MIN(IF(OFFSET(Setup!$G$81,MATCH(U$5,CompListItem,0),0,1,1)="Taxable",SUMPRODUCT((PayEmp=$C141)*(PayDate&lt;=$AC141)*(ISERROR(SEARCH(PayEarnCode,U$4)))*(PayEarnTax)*(PayEarnValues)),SUMPRODUCT((PayEmp=$C141)*(PayDate&lt;=$AC141)*(ISERROR(SEARCH(PayEarnCode,U$4)))*(PayEarnValues))),IF(ISNUMBER(U$3),U$3/12*$AA141,IgnoreMin)))*OFFSET(Setup!$E$81,MATCH(U$5,CompListItem,0),0,1,1)-SUMIFS(OFFSET(U$6,1,0,PayCount,1),PayDate,"&lt;"&amp;$AC141,PayEmp,$C141)))))))</f>
        <v>0</v>
      </c>
      <c r="V141" s="133" cm="1">
        <f t="array" aca="1" ref="V141" ca="1">IF($F141="Terminated",0,IF($AA141=0,0,IF(ISNA(MATCH(V$5,CompListItem,0)),0,IF(COUNTIFS(OverEmp,$C141,OverComp,V$5,OverDate,"&lt;"&amp;DATE(YEAR($AC141),MONTH($AC141)+1,1),OverEnd,"&gt;="&amp;DATE(YEAR($AC141),MONTH($AC141),1))&gt;0,SUMIFS(OverValue,OverEmp,$C141,OverComp,V$5,OverDate,"&lt;"&amp;DATE(YEAR($AC141),MONTH($AC141)+1,1),OverEnd,"&gt;="&amp;DATE(YEAR($AC141),MONTH($AC141),1)),IF(OR(V$2="Fixed",V$2="Not Used"),(OFFSET(Setup!$E$81,MATCH(V$5,CompListItem,0),0,1,1)*$AA141)-SUMIFS(OFFSET(V$6,1,0,PayCount,1),PayDate,"&lt;"&amp;$AC141,PayEmp,$C141),IF(ISNA(MATCH(V$2,DedListItem,0))=FALSE,(SUMPRODUCT((PayEmp=$C141)*(PayDate&lt;=$AC141)*(PayDedList=V$2)*(PayDedValues))*OFFSET(Setup!$E$81,MATCH(V$5,CompListItem,0),0,1,1))-SUMIFS(OFFSET(V$6,1,0,PayCount,1),PayDate,"&lt;"&amp;$AC141,PayEmp,$C141),(MIN(IF(OFFSET(Setup!$G$81,MATCH(V$5,CompListItem,0),0,1,1)="Taxable",SUMPRODUCT((PayEmp=$C141)*(PayDate&lt;=$AC141)*(ISERROR(SEARCH(PayEarnCode,V$4)))*(PayEarnTax)*(PayEarnValues)),SUMPRODUCT((PayEmp=$C141)*(PayDate&lt;=$AC141)*(ISERROR(SEARCH(PayEarnCode,V$4)))*(PayEarnValues))),IF(ISNUMBER(V$3),V$3/12*$AA141,IgnoreMin)))*OFFSET(Setup!$E$81,MATCH(V$5,CompListItem,0),0,1,1)-SUMIFS(OFFSET(V$6,1,0,PayCount,1),PayDate,"&lt;"&amp;$AC141,PayEmp,$C141)))))))</f>
        <v>0</v>
      </c>
      <c r="W141" s="133" cm="1">
        <f t="array" aca="1" ref="W141" ca="1">IF($F141="Terminated",0,IF($AA141=0,0,IF(ISNA(MATCH(W$5,CompListItem,0)),0,IF(COUNTIFS(OverEmp,$C141,OverComp,W$5,OverDate,"&lt;"&amp;DATE(YEAR($AC141),MONTH($AC141)+1,1),OverEnd,"&gt;="&amp;DATE(YEAR($AC141),MONTH($AC141),1))&gt;0,SUMIFS(OverValue,OverEmp,$C141,OverComp,W$5,OverDate,"&lt;"&amp;DATE(YEAR($AC141),MONTH($AC141)+1,1),OverEnd,"&gt;="&amp;DATE(YEAR($AC141),MONTH($AC141),1)),IF(OR(W$2="Fixed",W$2="Not Used"),(OFFSET(Setup!$E$81,MATCH(W$5,CompListItem,0),0,1,1)*$AA141)-SUMIFS(OFFSET(W$6,1,0,PayCount,1),PayDate,"&lt;"&amp;$AC141,PayEmp,$C141),IF(ISNA(MATCH(W$2,DedListItem,0))=FALSE,(SUMPRODUCT((PayEmp=$C141)*(PayDate&lt;=$AC141)*(PayDedList=W$2)*(PayDedValues))*OFFSET(Setup!$E$81,MATCH(W$5,CompListItem,0),0,1,1))-SUMIFS(OFFSET(W$6,1,0,PayCount,1),PayDate,"&lt;"&amp;$AC141,PayEmp,$C141),(MIN(IF(OFFSET(Setup!$G$81,MATCH(W$5,CompListItem,0),0,1,1)="Taxable",SUMPRODUCT((PayEmp=$C141)*(PayDate&lt;=$AC141)*(ISERROR(SEARCH(PayEarnCode,W$4)))*(PayEarnTax)*(PayEarnValues)),SUMPRODUCT((PayEmp=$C141)*(PayDate&lt;=$AC141)*(ISERROR(SEARCH(PayEarnCode,W$4)))*(PayEarnValues))),IF(ISNUMBER(W$3),W$3/12*$AA141,IgnoreMin)))*OFFSET(Setup!$E$81,MATCH(W$5,CompListItem,0),0,1,1)-SUMIFS(OFFSET(W$6,1,0,PayCount,1),PayDate,"&lt;"&amp;$AC141,PayEmp,$C141)))))))</f>
        <v>0</v>
      </c>
      <c r="X141" s="185">
        <f t="shared" ca="1" si="60"/>
        <v>0</v>
      </c>
      <c r="Y141" s="139">
        <f t="shared" ca="1" si="69"/>
        <v>0</v>
      </c>
      <c r="Z141" s="139">
        <f t="shared" ca="1" si="61"/>
        <v>0</v>
      </c>
      <c r="AA141" s="146">
        <f ca="1">IF(OR($B141&lt;=Setup!$E$12,$B141&gt;=Setup!$D$12+1),0,IF($F141&lt;&gt;"Active",0,IF($AE141="Yes",$AB141,((YEAR($AC141)*12)+MONTH($AC141))-((YEAR($AD141)*12)+MONTH($AD141)-1))))</f>
        <v>0</v>
      </c>
      <c r="AB141" s="146">
        <f ca="1">IF(OR($B141&lt;=Setup!$E$12,$B141&gt;=Setup!$D$12+1),0,((YEAR($AC141)*12)+MONTH($AC141))-((YEAR(Setup!$E$12)*12)+MONTH(Setup!$E$12)))</f>
        <v>9</v>
      </c>
      <c r="AC141" s="186">
        <f t="shared" ca="1" si="62"/>
        <v>45255</v>
      </c>
      <c r="AD141" s="144">
        <f ca="1">IF(ISNA(VLOOKUP($C141,EmpAll,COLUMN(Emp!$E$4),0)),$AC141,IF(VLOOKUP($C141,EmpAll,COLUMN(Emp!$E$4),0)&lt;=Setup!$E$12,DATE(YEAR(Setup!$E$12),MONTH(Setup!$E$12)+1,1),VLOOKUP($C141,EmpAll,COLUMN(Emp!$E$4),0)))</f>
        <v>45316</v>
      </c>
      <c r="AE141" s="144" t="str">
        <f ca="1">IF(ISNA(VLOOKUP($C141,EmpAll,COLUMN(Emp!$G$1),0)),"-",IF(VLOOKUP($C141,EmpAll,COLUMN(Emp!$G$1),0)=0,"-",VLOOKUP($C141,EmpAll,COLUMN(Emp!$G$1),0)))</f>
        <v>-</v>
      </c>
      <c r="AF141" s="145">
        <f ca="1">IF(A141=PaySlip!$G$3,1,0)</f>
        <v>0</v>
      </c>
      <c r="AG141" s="130" cm="1">
        <f t="array" aca="1" ref="AG141" ca="1">IF(COUNTIFS(OverEmp,$C141,OverMed,"MED",OverDate,"&lt;"&amp;DATE(YEAR($AC141),MONTH($AC141)+1,1),OverEnd,"&gt;="&amp;DATE(YEAR($AC141),MONTH($AC141),1))&gt;0,SUMIFS(OverValue,OverEmp,$C141,OverMed,"MED",OverDate,"&lt;"&amp;DATE(YEAR($AC141),MONTH($AC141)+1,1),OverEnd,"&gt;="&amp;DATE(YEAR($AC141),MONTH($AC141),1)),IF(ISNA(VLOOKUP($C141,EmpAll,COLUMN(Emp!$N$4),0)),0,VLOOKUP($C141,EmpAll,COLUMN(Emp!$N$4),0)))</f>
        <v>1</v>
      </c>
      <c r="AH141" s="146">
        <f ca="1">VLOOKUP($AG141,MedList,COLUMN(Setup!$C$49),1)</f>
        <v>364</v>
      </c>
      <c r="AI141" s="146">
        <f t="shared" ca="1" si="70"/>
        <v>7644</v>
      </c>
      <c r="AJ141" s="101" t="str">
        <f ca="1">IF(ISNA(VLOOKUP($C141,EmpAll,COLUMN(Emp!$L$4),0)),"None!",VLOOKUP($C141,EmpAll,COLUMN(Emp!$L$4),0))</f>
        <v>A</v>
      </c>
      <c r="AK141" s="147">
        <f t="shared" ca="1" si="63"/>
        <v>17235</v>
      </c>
      <c r="AL141" s="101" t="str">
        <f ca="1">IF(ISNA(VLOOKUP($C141,Employees[],COLUMN(Emp!$M$4),0))=TRUE,"Error!",IF(VLOOKUP($C141,Employees[],COLUMN(Emp!$M$4),0)=0,"Yes",VLOOKUP($C141,Employees[],COLUMN(Emp!$M$4),0)))</f>
        <v>A</v>
      </c>
      <c r="AM141" s="148">
        <f t="shared" ca="1" si="71"/>
        <v>0</v>
      </c>
      <c r="AN141" s="148" cm="1">
        <f t="array" aca="1" ref="AN141" ca="1">-IF($F141="Terminated",0,IF($AA141=0,0,IF(ISNA(MATCH(AN$5,PayDedList,0)),0,MIN(IF(COUNTIFS(OverEmp,$C141,OverDeduct,AN$5,OverDate,"&lt;"&amp;DATE(YEAR($AC141),MONTH($AC141)+1,1),OverEnd,"&gt;="&amp;DATE(YEAR($AC141),MONTH($AC141),1))&gt;0,SUMPRODUCT((PayEmp=$C141)*(PayDate&lt;=$AC141)*(OFFSET($N$6,1,MATCH(AN$5,PayDedList,0)-1,PayCount,1)))/$AA141*12*AN$3,IF(OR(AN$1="Fixed",AN$1="Not Used"),SUMPRODUCT((PayEmp=$C141)*(PayDate&lt;=$AC141)*(OFFSET($N$6,1,MATCH(AN$5,PayDedList,0)-1,PayCount,1)))/$AA141*12*AN$3,IF(ISNA(MATCH(AN$1,EarnListItem,0))=FALSE,SUMPRODUCT((PayEmp=$C141)*(PayDate&lt;=$AC141)*(OFFSET($N$6,1,MATCH(AN$5,PayDedList,0)-1,PayCount,1)))/$AA141*12*AN$3,(MIN(((SUMPRODUCT((PayEmp=$C141)*(PayDate&lt;=$AC141)*(ISERROR(SEARCH(PayEarnCode,AN$2)))*(PayEarnType="Monthly")*(PayEarnValues))/$AA141*12)+(SUMPRODUCT((PayEmp=$C141)*(PayDate&lt;=$AC141)*(ISERROR(SEARCH(PayEarnCode,AN$2)))*(PayEarnType="Quarterly")*(PayEarnValues))/MAX(1,ROUNDDOWN($AB141/3,0))*4)+(SUMPRODUCT((PayEmp=$C141)*(PayDate&lt;=$AC141)*(ISERROR(SEARCH(PayEarnCode,AN$2)))*(PayEarnType="Bi-Annual")*(PayEarnValues))/MAX(1,ROUNDDOWN($AB141/6,0))*2)+(SUMPRODUCT((PayEmp=$C141)*(PayDate&lt;=$AC141)*(ISERROR(SEARCH(PayEarnCode,AN$2)))*(PayEarnType="Annual")*(PayEarnValues)))),IF(ISNUMBER(OFFSET($N$3,0,MATCH(AN$5,PayDedList,0)-1,1,1)),OFFSET($N$3,0,MATCH(AN$5,PayDedList,0)-1,1,1),IgnoreMin)))*IF(COUNTIFS(EmpNo,$C141,OFFSET(Emp!$R$4,1,MATCH(AN$5,DedListItem,0)-1,EmpCount,1),"&lt;&gt;")&gt;0,VLOOKUP($C141,EmpAll,COLUMN(Emp!$R$4)+MATCH(AN$5,DedListItem,0)-1,0),OFFSET(Setup!$E$73,MATCH(AN$5,DedListItem,0),0,1,1))*AN$3))),IF(ISNUMBER(AN$4),AN$4,IgnoreMin)))))</f>
        <v>0</v>
      </c>
      <c r="AO141" s="148" cm="1">
        <f t="array" aca="1" ref="AO141" ca="1">-IF($F141="Terminated",0,IF($AA141=0,0,IF(ISNA(MATCH(AO$5,PayDedList,0)),0,MIN(IF(COUNTIFS(OverEmp,$C141,OverDeduct,AO$5,OverDate,"&lt;"&amp;DATE(YEAR($AC141),MONTH($AC141)+1,1),OverEnd,"&gt;="&amp;DATE(YEAR($AC141),MONTH($AC141),1))&gt;0,SUMPRODUCT((PayEmp=$C141)*(PayDate&lt;=$AC141)*(OFFSET($N$6,1,MATCH(AO$5,PayDedList,0)-1,PayCount,1)))/$AA141*12*AO$3,IF(OR(AO$1="Fixed",AO$1="Not Used"),SUMPRODUCT((PayEmp=$C141)*(PayDate&lt;=$AC141)*(OFFSET($N$6,1,MATCH(AO$5,PayDedList,0)-1,PayCount,1)))/$AA141*12*AO$3,IF(ISNA(MATCH(AO$1,EarnListItem,0))=FALSE,SUMPRODUCT((PayEmp=$C141)*(PayDate&lt;=$AC141)*(OFFSET($N$6,1,MATCH(AO$5,PayDedList,0)-1,PayCount,1)))/$AA141*12*AO$3,(MIN(((SUMPRODUCT((PayEmp=$C141)*(PayDate&lt;=$AC141)*(ISERROR(SEARCH(PayEarnCode,AO$2)))*(PayEarnType="Monthly")*(PayEarnValues))/$AA141*12)+(SUMPRODUCT((PayEmp=$C141)*(PayDate&lt;=$AC141)*(ISERROR(SEARCH(PayEarnCode,AO$2)))*(PayEarnType="Quarterly")*(PayEarnValues))/MAX(1,ROUNDDOWN($AB141/3,0))*4)+(SUMPRODUCT((PayEmp=$C141)*(PayDate&lt;=$AC141)*(ISERROR(SEARCH(PayEarnCode,AO$2)))*(PayEarnType="Bi-Annual")*(PayEarnValues))/MAX(1,ROUNDDOWN($AB141/6,0))*2)+(SUMPRODUCT((PayEmp=$C141)*(PayDate&lt;=$AC141)*(ISERROR(SEARCH(PayEarnCode,AO$2)))*(PayEarnType="Annual")*(PayEarnValues)))),IF(ISNUMBER(OFFSET($N$3,0,MATCH(AO$5,PayDedList,0)-1,1,1)),OFFSET($N$3,0,MATCH(AO$5,PayDedList,0)-1,1,1),IgnoreMin)))*IF(COUNTIFS(EmpNo,$C141,OFFSET(Emp!$R$4,1,MATCH(AO$5,DedListItem,0)-1,EmpCount,1),"&lt;&gt;")&gt;0,VLOOKUP($C141,EmpAll,COLUMN(Emp!$R$4)+MATCH(AO$5,DedListItem,0)-1,0),OFFSET(Setup!$E$73,MATCH(AO$5,DedListItem,0),0,1,1))*AO$3))),IF(ISNUMBER(AO$4),AO$4,IgnoreMin)))))</f>
        <v>0</v>
      </c>
      <c r="AP141" s="148" cm="1">
        <f t="array" aca="1" ref="AP141" ca="1">-IF($F141="Terminated",0,IF($AA141=0,0,IF(ISNA(MATCH(AP$5,PayDedList,0)),0,MIN(IF(COUNTIFS(OverEmp,$C141,OverDeduct,AP$5,OverDate,"&lt;"&amp;DATE(YEAR($AC141),MONTH($AC141)+1,1),OverEnd,"&gt;="&amp;DATE(YEAR($AC141),MONTH($AC141),1))&gt;0,SUMPRODUCT((PayEmp=$C141)*(PayDate&lt;=$AC141)*(OFFSET($N$6,1,MATCH(AP$5,PayDedList,0)-1,PayCount,1)))/$AA141*12*AP$3,IF(OR(AP$1="Fixed",AP$1="Not Used"),SUMPRODUCT((PayEmp=$C141)*(PayDate&lt;=$AC141)*(OFFSET($N$6,1,MATCH(AP$5,PayDedList,0)-1,PayCount,1)))/$AA141*12*AP$3,IF(ISNA(MATCH(AP$1,EarnListItem,0))=FALSE,SUMPRODUCT((PayEmp=$C141)*(PayDate&lt;=$AC141)*(OFFSET($N$6,1,MATCH(AP$5,PayDedList,0)-1,PayCount,1)))/$AA141*12*AP$3,(MIN(((SUMPRODUCT((PayEmp=$C141)*(PayDate&lt;=$AC141)*(ISERROR(SEARCH(PayEarnCode,AP$2)))*(PayEarnType="Monthly")*(PayEarnValues))/$AA141*12)+(SUMPRODUCT((PayEmp=$C141)*(PayDate&lt;=$AC141)*(ISERROR(SEARCH(PayEarnCode,AP$2)))*(PayEarnType="Quarterly")*(PayEarnValues))/MAX(1,ROUNDDOWN($AB141/3,0))*4)+(SUMPRODUCT((PayEmp=$C141)*(PayDate&lt;=$AC141)*(ISERROR(SEARCH(PayEarnCode,AP$2)))*(PayEarnType="Bi-Annual")*(PayEarnValues))/MAX(1,ROUNDDOWN($AB141/6,0))*2)+(SUMPRODUCT((PayEmp=$C141)*(PayDate&lt;=$AC141)*(ISERROR(SEARCH(PayEarnCode,AP$2)))*(PayEarnType="Annual")*(PayEarnValues)))),IF(ISNUMBER(OFFSET($N$3,0,MATCH(AP$5,PayDedList,0)-1,1,1)),OFFSET($N$3,0,MATCH(AP$5,PayDedList,0)-1,1,1),IgnoreMin)))*IF(COUNTIFS(EmpNo,$C141,OFFSET(Emp!$R$4,1,MATCH(AP$5,DedListItem,0)-1,EmpCount,1),"&lt;&gt;")&gt;0,VLOOKUP($C141,EmpAll,COLUMN(Emp!$R$4)+MATCH(AP$5,DedListItem,0)-1,0),OFFSET(Setup!$E$73,MATCH(AP$5,DedListItem,0),0,1,1))*AP$3))),IF(ISNUMBER(AP$4),AP$4,IgnoreMin)))))</f>
        <v>0</v>
      </c>
      <c r="AQ141" s="148" cm="1">
        <f t="array" aca="1" ref="AQ141" ca="1">-IF($F141="Terminated",0,IF($AA141=0,0,IF(ISNA(MATCH(AQ$5,PayDedList,0)),0,MIN(IF(COUNTIFS(OverEmp,$C141,OverDeduct,AQ$5,OverDate,"&lt;"&amp;DATE(YEAR($AC141),MONTH($AC141)+1,1),OverEnd,"&gt;="&amp;DATE(YEAR($AC141),MONTH($AC141),1))&gt;0,SUMPRODUCT((PayEmp=$C141)*(PayDate&lt;=$AC141)*(OFFSET($N$6,1,MATCH(AQ$5,PayDedList,0)-1,PayCount,1)))/$AA141*12*AQ$3,IF(OR(AQ$1="Fixed",AQ$1="Not Used"),SUMPRODUCT((PayEmp=$C141)*(PayDate&lt;=$AC141)*(OFFSET($N$6,1,MATCH(AQ$5,PayDedList,0)-1,PayCount,1)))/$AA141*12*AQ$3,IF(ISNA(MATCH(AQ$1,EarnListItem,0))=FALSE,SUMPRODUCT((PayEmp=$C141)*(PayDate&lt;=$AC141)*(OFFSET($N$6,1,MATCH(AQ$5,PayDedList,0)-1,PayCount,1)))/$AA141*12*AQ$3,(MIN(((SUMPRODUCT((PayEmp=$C141)*(PayDate&lt;=$AC141)*(ISERROR(SEARCH(PayEarnCode,AQ$2)))*(PayEarnType="Monthly")*(PayEarnValues))/$AA141*12)+(SUMPRODUCT((PayEmp=$C141)*(PayDate&lt;=$AC141)*(ISERROR(SEARCH(PayEarnCode,AQ$2)))*(PayEarnType="Quarterly")*(PayEarnValues))/MAX(1,ROUNDDOWN($AB141/3,0))*4)+(SUMPRODUCT((PayEmp=$C141)*(PayDate&lt;=$AC141)*(ISERROR(SEARCH(PayEarnCode,AQ$2)))*(PayEarnType="Bi-Annual")*(PayEarnValues))/MAX(1,ROUNDDOWN($AB141/6,0))*2)+(SUMPRODUCT((PayEmp=$C141)*(PayDate&lt;=$AC141)*(ISERROR(SEARCH(PayEarnCode,AQ$2)))*(PayEarnType="Annual")*(PayEarnValues)))),IF(ISNUMBER(OFFSET($N$3,0,MATCH(AQ$5,PayDedList,0)-1,1,1)),OFFSET($N$3,0,MATCH(AQ$5,PayDedList,0)-1,1,1),IgnoreMin)))*IF(COUNTIFS(EmpNo,$C141,OFFSET(Emp!$R$4,1,MATCH(AQ$5,DedListItem,0)-1,EmpCount,1),"&lt;&gt;")&gt;0,VLOOKUP($C141,EmpAll,COLUMN(Emp!$R$4)+MATCH(AQ$5,DedListItem,0)-1,0),OFFSET(Setup!$E$73,MATCH(AQ$5,DedListItem,0),0,1,1))*AQ$3))),IF(ISNUMBER(AQ$4),AQ$4,IgnoreMin)))))</f>
        <v>0</v>
      </c>
      <c r="AR141" s="148">
        <f t="shared" ca="1" si="64"/>
        <v>0</v>
      </c>
      <c r="AS141" s="148">
        <f t="shared" ca="1" si="72"/>
        <v>0</v>
      </c>
      <c r="AT141" s="148" cm="1">
        <f t="array" aca="1" ref="AT141" ca="1">-IF($F141="Terminated",0,IF($AA141=0,0,IF(ISNA(MATCH(AT$5,PayDedList,0)),0,MIN(IF(COUNTIFS(OverEmp,$C141,OverDeduct,AT$5,OverDate,"&lt;"&amp;DATE(YEAR($AC141),MONTH($AC141)+1,1),OverEnd,"&gt;="&amp;DATE(YEAR($AC141),MONTH($AC141),1))&gt;0,SUMPRODUCT((PayEmp=$C141)*(PayDate&lt;=$AC141)*(OFFSET($N$6,1,MATCH(AT$5,PayDedList,0)-1,PayCount,1)))/$AA141*12*AT$3,IF(OR(AT$1="Fixed",AT$1="Not Used"),SUMPRODUCT((PayEmp=$C141)*(PayDate&lt;=$AC141)*(OFFSET($N$6,1,MATCH(AT$5,PayDedList,0)-1,PayCount,1)))/$AA141*12*AT$3,IF(ISNA(MATCH(OFFSET($N$2,0,MATCH(AT$5,PayDedList,0)-1,1,1),EarnListItem,0))=FALSE,SUMPRODUCT((PayEmp=$C141)*(PayDate&lt;=$AC141)*(OFFSET($N$6,1,MATCH(AT$5,PayDedList,0)-1,PayCount,1)))/$AA141*12*AT$3,(MIN(SUMPRODUCT((PayEmp=$C141)*(PayDate&lt;=$AC141)*(ISERROR(SEARCH(PayEarnCode,AT$2)))*(PayEarnType="Monthly")*(PayEarnValues))/$AA141*12,IF(ISNUMBER(OFFSET($N$3,0,MATCH(AT$5,PayDedList,0)-1,1,1)),OFFSET($N$3,0,MATCH(AT$5,PayDedList,0)-1,1,1),IgnoreMin)))*IF(COUNTIFS(EmpNo,$C141,OFFSET(Emp!$R$4,1,MATCH(AT$5,DedListItem,0)-1,EmpCount,1),"&lt;&gt;")&gt;0,VLOOKUP($C141,EmpAll,COLUMN(Emp!$R$4)+MATCH(AT$5,DedListItem,0)-1,0),OFFSET(Setup!$E$73,MATCH(AT$5,DedListItem,0),0,1,1))*AT$3))),IF(ISNUMBER(AT$4),AT$4,IgnoreMin)))))</f>
        <v>0</v>
      </c>
      <c r="AU141" s="148" cm="1">
        <f t="array" aca="1" ref="AU141" ca="1">-IF($F141="Terminated",0,IF($AA141=0,0,IF(ISNA(MATCH(AU$5,PayDedList,0)),0,MIN(IF(COUNTIFS(OverEmp,$C141,OverDeduct,AU$5,OverDate,"&lt;"&amp;DATE(YEAR($AC141),MONTH($AC141)+1,1),OverEnd,"&gt;="&amp;DATE(YEAR($AC141),MONTH($AC141),1))&gt;0,SUMPRODUCT((PayEmp=$C141)*(PayDate&lt;=$AC141)*(OFFSET($N$6,1,MATCH(AU$5,PayDedList,0)-1,PayCount,1)))/$AA141*12*AU$3,IF(OR(AU$1="Fixed",AU$1="Not Used"),SUMPRODUCT((PayEmp=$C141)*(PayDate&lt;=$AC141)*(OFFSET($N$6,1,MATCH(AU$5,PayDedList,0)-1,PayCount,1)))/$AA141*12*AU$3,IF(ISNA(MATCH(OFFSET($N$2,0,MATCH(AU$5,PayDedList,0)-1,1,1),EarnListItem,0))=FALSE,SUMPRODUCT((PayEmp=$C141)*(PayDate&lt;=$AC141)*(OFFSET($N$6,1,MATCH(AU$5,PayDedList,0)-1,PayCount,1)))/$AA141*12*AU$3,(MIN(SUMPRODUCT((PayEmp=$C141)*(PayDate&lt;=$AC141)*(ISERROR(SEARCH(PayEarnCode,AU$2)))*(PayEarnType="Monthly")*(PayEarnValues))/$AA141*12,IF(ISNUMBER(OFFSET($N$3,0,MATCH(AU$5,PayDedList,0)-1,1,1)),OFFSET($N$3,0,MATCH(AU$5,PayDedList,0)-1,1,1),IgnoreMin)))*IF(COUNTIFS(EmpNo,$C141,OFFSET(Emp!$R$4,1,MATCH(AU$5,DedListItem,0)-1,EmpCount,1),"&lt;&gt;")&gt;0,VLOOKUP($C141,EmpAll,COLUMN(Emp!$R$4)+MATCH(AU$5,DedListItem,0)-1,0),OFFSET(Setup!$E$73,MATCH(AU$5,DedListItem,0),0,1,1))*AU$3))),IF(ISNUMBER(AU$4),AU$4,IgnoreMin)))))</f>
        <v>0</v>
      </c>
      <c r="AV141" s="148" cm="1">
        <f t="array" aca="1" ref="AV141" ca="1">-IF($F141="Terminated",0,IF($AA141=0,0,IF(ISNA(MATCH(AV$5,PayDedList,0)),0,MIN(IF(COUNTIFS(OverEmp,$C141,OverDeduct,AV$5,OverDate,"&lt;"&amp;DATE(YEAR($AC141),MONTH($AC141)+1,1),OverEnd,"&gt;="&amp;DATE(YEAR($AC141),MONTH($AC141),1))&gt;0,SUMPRODUCT((PayEmp=$C141)*(PayDate&lt;=$AC141)*(OFFSET($N$6,1,MATCH(AV$5,PayDedList,0)-1,PayCount,1)))/$AA141*12*AV$3,IF(OR(AV$1="Fixed",AV$1="Not Used"),SUMPRODUCT((PayEmp=$C141)*(PayDate&lt;=$AC141)*(OFFSET($N$6,1,MATCH(AV$5,PayDedList,0)-1,PayCount,1)))/$AA141*12*AV$3,IF(ISNA(MATCH(OFFSET($N$2,0,MATCH(AV$5,PayDedList,0)-1,1,1),EarnListItem,0))=FALSE,SUMPRODUCT((PayEmp=$C141)*(PayDate&lt;=$AC141)*(OFFSET($N$6,1,MATCH(AV$5,PayDedList,0)-1,PayCount,1)))/$AA141*12*AV$3,(MIN(SUMPRODUCT((PayEmp=$C141)*(PayDate&lt;=$AC141)*(ISERROR(SEARCH(PayEarnCode,AV$2)))*(PayEarnType="Monthly")*(PayEarnValues))/$AA141*12,IF(ISNUMBER(OFFSET($N$3,0,MATCH(AV$5,PayDedList,0)-1,1,1)),OFFSET($N$3,0,MATCH(AV$5,PayDedList,0)-1,1,1),IgnoreMin)))*IF(COUNTIFS(EmpNo,$C141,OFFSET(Emp!$R$4,1,MATCH(AV$5,DedListItem,0)-1,EmpCount,1),"&lt;&gt;")&gt;0,VLOOKUP($C141,EmpAll,COLUMN(Emp!$R$4)+MATCH(AV$5,DedListItem,0)-1,0),OFFSET(Setup!$E$73,MATCH(AV$5,DedListItem,0),0,1,1))*AV$3))),IF(ISNUMBER(AV$4),AV$4,IgnoreMin)))))</f>
        <v>0</v>
      </c>
      <c r="AW141" s="148" cm="1">
        <f t="array" aca="1" ref="AW141" ca="1">-IF($F141="Terminated",0,IF($AA141=0,0,IF(ISNA(MATCH(AW$5,PayDedList,0)),0,MIN(IF(COUNTIFS(OverEmp,$C141,OverDeduct,AW$5,OverDate,"&lt;"&amp;DATE(YEAR($AC141),MONTH($AC141)+1,1),OverEnd,"&gt;="&amp;DATE(YEAR($AC141),MONTH($AC141),1))&gt;0,SUMPRODUCT((PayEmp=$C141)*(PayDate&lt;=$AC141)*(OFFSET($N$6,1,MATCH(AW$5,PayDedList,0)-1,PayCount,1)))/$AA141*12*AW$3,IF(OR(AW$1="Fixed",AW$1="Not Used"),SUMPRODUCT((PayEmp=$C141)*(PayDate&lt;=$AC141)*(OFFSET($N$6,1,MATCH(AW$5,PayDedList,0)-1,PayCount,1)))/$AA141*12*AW$3,IF(ISNA(MATCH(OFFSET($N$2,0,MATCH(AW$5,PayDedList,0)-1,1,1),EarnListItem,0))=FALSE,SUMPRODUCT((PayEmp=$C141)*(PayDate&lt;=$AC141)*(OFFSET($N$6,1,MATCH(AW$5,PayDedList,0)-1,PayCount,1)))/$AA141*12*AW$3,(MIN(SUMPRODUCT((PayEmp=$C141)*(PayDate&lt;=$AC141)*(ISERROR(SEARCH(PayEarnCode,AW$2)))*(PayEarnType="Monthly")*(PayEarnValues))/$AA141*12,IF(ISNUMBER(OFFSET($N$3,0,MATCH(AW$5,PayDedList,0)-1,1,1)),OFFSET($N$3,0,MATCH(AW$5,PayDedList,0)-1,1,1),IgnoreMin)))*IF(COUNTIFS(EmpNo,$C141,OFFSET(Emp!$R$4,1,MATCH(AW$5,DedListItem,0)-1,EmpCount,1),"&lt;&gt;")&gt;0,VLOOKUP($C141,EmpAll,COLUMN(Emp!$R$4)+MATCH(AW$5,DedListItem,0)-1,0),OFFSET(Setup!$E$73,MATCH(AW$5,DedListItem,0),0,1,1))*AW$3))),IF(ISNUMBER(AW$4),AW$4,IgnoreMin)))))</f>
        <v>0</v>
      </c>
      <c r="AX141" s="148">
        <f t="shared" ca="1" si="73"/>
        <v>0</v>
      </c>
      <c r="AY141" s="148">
        <f t="shared" ca="1" si="74"/>
        <v>0</v>
      </c>
      <c r="AZ141" s="148">
        <f ca="1">IF(ISNUMBER($AL141),($AR141*$AL141)-$AI141-$AK141,MAX(0,IF($AL141="B",IF($AR141&lt;Setup!$C$32,($AR141*Setup!$D$32)-$AI141-$AK141,(($AR141-VLOOKUP($AR141,TaxAll2,1,1))*OFFSET(Setup!$D$32,MATCH($AR141,TaxBracket2,1),0,1,1))+OFFSET(Setup!$E$31,MATCH($AR141,TaxBracket2,1),0,1,1)-$AI141-$AK141),IF($AR141&lt;Setup!$C$21,($AR141*Setup!$D$21)-$AI141-$AK141,(($AR141-VLOOKUP($AR141,TaxAll1,1,1))*OFFSET(Setup!$D$21,MATCH($AR141,TaxBracket1,1),0,1,1))+OFFSET(Setup!$E$20,MATCH($AR141,TaxBracket1,1),0,1,1)-$AI141-$AK141))))</f>
        <v>0</v>
      </c>
      <c r="BA141" s="148">
        <f ca="1">IF(ISNUMBER($AL141),($AX141*$AL141)-$AI141-$AK141,MAX(0,IF($AL141="B",IF($AX141&lt;Setup!$C$32,($AX141*Setup!$D$32)-$AI141-$AK141,(($AX141-VLOOKUP($AX141,TaxAll2,1,1))*OFFSET(Setup!$D$32,MATCH($AX141,TaxBracket2,1),0,1,1))+OFFSET(Setup!$E$31,MATCH($AX141,TaxBracket2,1),0,1,1)-$AI141-$AK141),IF($AX141&lt;Setup!$C$21,($AX141*Setup!$D$21)-$AI141-$AK141,(($AX141-VLOOKUP($AX141,TaxAll1,1,1))*OFFSET(Setup!$D$21,MATCH($AX141,TaxBracket1,1),0,1,1))+OFFSET(Setup!$E$20,MATCH($AX141,TaxBracket1,1),0,1,1)-$AI141-$AK141))))</f>
        <v>0</v>
      </c>
      <c r="BB141" s="148">
        <f t="shared" ca="1" si="65"/>
        <v>0</v>
      </c>
      <c r="BC141" s="150">
        <f t="shared" ca="1" si="75"/>
        <v>0</v>
      </c>
      <c r="BD141" s="150">
        <f t="shared" ca="1" si="76"/>
        <v>0</v>
      </c>
      <c r="BE141" s="148">
        <f t="shared" ca="1" si="77"/>
        <v>0</v>
      </c>
    </row>
    <row r="142" spans="1:57" ht="16.149999999999999" customHeight="1" x14ac:dyDescent="0.25">
      <c r="A142" s="10" t="str" cm="1">
        <f t="array" aca="1" ref="A142" ca="1">IF(ROW($A142)-ROW($A$6)&gt;EmpCount*12,"-",TEXT($B142,"yyyy")&amp;TEXT($B142,"mm")&amp;"-"&amp;$C142)</f>
        <v>202312-EXS001</v>
      </c>
      <c r="B142" s="137" cm="1">
        <f t="array" aca="1" ref="B142" ca="1">IF(ROW($A142)-ROW($A$6)&gt;EmpCount*12,Setup!$D$12,DATE(YEAR(Setup!$F$12),MONTH(Setup!$F$12)+ROUNDDOWN((ROW($A142)-ROW($A$6)-1)/EmpCount,0),IF(Setup!$C$14&gt;DAY(DATE(YEAR(Setup!$F$12),MONTH(Setup!$F$12)+ROUNDDOWN((ROW($A142)-ROW($A$6)-1)/EmpCount,0)+1,0)),DAY(DATE(YEAR(Setup!$F$12),MONTH(Setup!$F$12)+ROUNDDOWN((ROW($A142)-ROW($A$6)-1)/EmpCount,0)+1,0)),Setup!$C$14)))</f>
        <v>45285</v>
      </c>
      <c r="C142" s="101" t="str" cm="1">
        <f t="array" aca="1" ref="C142" ca="1">IF(ROW($A142)-ROW($A$6)&gt;EmpCount*12,"-",OFFSET(Emp!$A$4,ROW($A142)-ROW($A$6)-IF(ROW($A142)-ROW($A$6)&gt;EmpCount,ROUNDDOWN((ROW($A142)-ROW($A$6)-1)/EmpCount,0)*EmpCount,0),0,1,1))</f>
        <v>EXS001</v>
      </c>
      <c r="D142" s="10" t="str">
        <f ca="1">IF(ISNA(VLOOKUP($C142,EmpAll,COLUMN(Emp!$B$4),0)),"-",VLOOKUP($C142,EmpAll,COLUMN(Emp!$B$4),0))</f>
        <v>Taylor AE</v>
      </c>
      <c r="E142" s="145" t="str">
        <f ca="1">IF(ISNA(VLOOKUP($C142,EmpAll,COLUMN(Emp!$C$4),0)),"-",VLOOKUP($C142,EmpAll,COLUMN(Emp!$C$4),0))</f>
        <v>M</v>
      </c>
      <c r="F142" s="101" t="str">
        <f ca="1">IF(ISNA(VLOOKUP($C142,EmpAll,COLUMN(Emp!$A$4),0)),"-",IF(AND(VLOOKUP($C142,EmpAll,COLUMN(Emp!$E$4),0)&lt;&gt;0,VLOOKUP($C142,EmpAll,COLUMN(Emp!$E$4),0)&gt;=DATE(YEAR($AC142),MONTH($AC142)+1,0)),"Inactive",IF(AND(VLOOKUP($C142,EmpAll,COLUMN(Emp!$F$4),0)&lt;&gt;0,VLOOKUP($C142,EmpAll,COLUMN(Emp!$F$4),0)&lt;=DATE(YEAR($AC142),MONTH($AC142),0)),"Terminated","Active")))</f>
        <v>Active</v>
      </c>
      <c r="G142" s="133" cm="1">
        <f t="array" aca="1" ref="G142" ca="1">IF($F142&lt;&gt;"Active",0,IF(COUNTIFS(OverEmp,$C142,OverEarn,G$2,OverDate,"&lt;"&amp;DATE(YEAR($AC142),MONTH($AC142)+1,1),OverEnd,"&gt;="&amp;DATE(YEAR($AC142),MONTH($AC142),1))&gt;0,SUMIFS(OverValue,OverEmp,$C142,OverEarn,G$2,OverDate,"&lt;"&amp;DATE(YEAR($AC142),MONTH($AC142)+1,1),OverEnd,"&gt;="&amp;DATE(YEAR($AC142),MONTH($AC142),1)),IF(AND($AC142&gt;=Setup!$E$10,SUMIFS(EmpIncrease,EmpCode,$C142)&gt;0),SUMIFS(EmpIncrease,EmpCode,$C142),SUMIFS(EmpSalary,EmpCode,$C142))))</f>
        <v>150000</v>
      </c>
      <c r="H142" s="133" cm="1">
        <f t="array" aca="1" ref="H142" ca="1">IF($F142&lt;&gt;"Active",0,IF(COUNTIFS(OverEmp,$C142,OverEarn,H$2,OverDate,"&lt;"&amp;DATE(YEAR($AC142),MONTH($AC142)+1,1),OverEnd,"&gt;="&amp;DATE(YEAR($AC142),MONTH($AC142),1))&gt;0,SUMIFS(OverValue,OverEmp,$C142,OverEarn,H$2,OverDate,"&lt;"&amp;DATE(YEAR($AC142),MONTH($AC142)+1,1),OverEnd,"&gt;="&amp;DATE(YEAR($AC142),MONTH($AC142),1)),0))</f>
        <v>0</v>
      </c>
      <c r="I142" s="133" cm="1">
        <f t="array" aca="1" ref="I142" ca="1">IF($F142&lt;&gt;"Active",0,IF(COUNTIFS(OverEmp,$C142,OverEarn,I$2,OverDate,"&lt;"&amp;DATE(YEAR($AC142),MONTH($AC142)+1,1),OverEnd,"&gt;="&amp;DATE(YEAR($AC142),MONTH($AC142),1))&gt;0,SUMIFS(OverValue,OverEmp,$C142,OverEarn,I$2,OverDate,"&lt;"&amp;DATE(YEAR($AC142),MONTH($AC142)+1,1),OverEnd,"&gt;="&amp;DATE(YEAR($AC142),MONTH($AC142),1)),IF(MONTH(B142)=Setup!$C$15,SUMIFS(EmpBonus,EmpCode,$C142),0)))</f>
        <v>150000</v>
      </c>
      <c r="J142" s="133" cm="1">
        <f t="array" aca="1" ref="J142" ca="1">IF($F142&lt;&gt;"Active",0,IF(COUNTIFS(OverEmp,$C142,OverEarn,J$2,OverDate,"&lt;"&amp;DATE(YEAR($AC142),MONTH($AC142)+1,1),OverEnd,"&gt;="&amp;DATE(YEAR($AC142),MONTH($AC142),1))&gt;0,SUMIFS(OverValue,OverEmp,$C142,OverEarn,J$2,OverDate,"&lt;"&amp;DATE(YEAR($AC142),MONTH($AC142)+1,1),OverEnd,"&gt;="&amp;DATE(YEAR($AC142),MONTH($AC142),1)),0))</f>
        <v>0</v>
      </c>
      <c r="K142" s="133" cm="1">
        <f t="array" aca="1" ref="K142" ca="1">IF($F142&lt;&gt;"Active",0,IF(COUNTIFS(OverEmp,$C142,OverEarn,K$2,OverDate,"&lt;"&amp;DATE(YEAR($AC142),MONTH($AC142)+1,1),OverEnd,"&gt;="&amp;DATE(YEAR($AC142),MONTH($AC142),1))&gt;0,SUMIFS(OverValue,OverEmp,$C142,OverEarn,K$2,OverDate,"&lt;"&amp;DATE(YEAR($AC142),MONTH($AC142)+1,1),OverEnd,"&gt;="&amp;DATE(YEAR($AC142),MONTH($AC142),1)),0))</f>
        <v>0</v>
      </c>
      <c r="L142" s="185">
        <f t="shared" ca="1" si="66"/>
        <v>300000</v>
      </c>
      <c r="M142" s="182" cm="1">
        <f t="array" aca="1" ref="M142" ca="1">IF(COUNTIFS(OverEmp,$C142,OverTax,M$5,OverDate,"&lt;"&amp;DATE(YEAR($AC142),MONTH($AC142)+1,1),OverEnd,"&gt;="&amp;DATE(YEAR($AC142),MONTH($AC142),1))&gt;0,SUMIFS(OverValue,OverEmp,$C142,OverTax,M$5,OverDate,"&lt;"&amp;DATE(YEAR($AC142),MONTH($AC142)+1,1),OverEnd,"&gt;="&amp;DATE(YEAR($AC142),MONTH($AC142),1)),(($BA142/12*$AA142)+(BB142*IF(1-$BC142=0,0,BD142/(1-$BC142))))-IF($F142="Terminated",0,SUMIFS(PayTaxDeduct,PayDate,"&lt;"&amp;$AC142,PayEmp,$C142)))</f>
        <v>102499.33333333343</v>
      </c>
      <c r="N142" s="133" cm="1">
        <f t="array" aca="1" ref="N142" ca="1">IF($F142="Terminated",0,IF($AA142=0,0,IF(ISNA(MATCH(N$5,DedListItem,0)),0,IF(COUNTIFS(OverEmp,$C142,OverDeduct,N$5,OverDate,"&lt;"&amp;DATE(YEAR($AC142),MONTH($AC142)+1,1),OverEnd,"&gt;="&amp;DATE(YEAR($AC142),MONTH($AC142),1))&gt;0,SUMIFS(OverValue,OverEmp,$C142,OverDeduct,N$5,OverDate,"&lt;"&amp;DATE(YEAR($AC142),MONTH($AC142)+1,1),OverEnd,"&gt;="&amp;DATE(YEAR($AC142),MONTH($AC142),1)),IF(OR(N$2="Fixed",N$2="Not Used"),(IF(COUNTIFS(EmpNo,$C142,OFFSET(Emp!$R$4,1,MATCH(N$5,DedListItem,0)-1,EmpCount,1),"&lt;&gt;")&gt;0,VLOOKUP($C142,EmpAll,COLUMN(Emp!$R$4)+MATCH(N$5,DedListItem,0)-1,0),OFFSET(Setup!$E$73,MATCH(N$5,DedListItem,0),0,1,1))*$AA142)-SUMIFS(OFFSET(N$6,1,0,PayCount,1),PayDate,"&lt;"&amp;$AC142,PayEmp,$C142),IF(ISNA(MATCH(N$2,EarnListItem,0))=FALSE,IF(OFFSET(Setup!$G$73,MATCH(N$5,DedListItem,0),0,1,1)="Taxable",SUMPRODUCT((PayEmp=$C142)*(PayDate&lt;=$AC142)*(PayEarnCode=N$2)*(PayEarnTax)*(PayEarnValues)),SUMPRODUCT((PayEmp=$C142)*(PayDate&lt;=$AC142)*(PayEarnCode=N$2)*(PayEarnValues)))*IF(COUNTIFS(EmpNo,$C142,OFFSET(Emp!$R$4,1,MATCH(N$5,DedListItem,0)-1,EmpCount,1),"&lt;&gt;")&gt;0,VLOOKUP($C142,EmpAll,COLUMN(Emp!$R$4)+MATCH(N$5,DedListItem,0)-1,0),OFFSET(Setup!$E$73,MATCH(N$5,DedListItem,0),0,1,1)),(MIN(IF(OFFSET(Setup!$G$73,MATCH(N$5,DedListItem,0),0,1,1)="Taxable",SUMPRODUCT((PayEmp=$C142)*(PayDate&lt;=$AC142)*(ISERROR(SEARCH(PayEarnCode,N$4)))*(PayEarnTax)*(PayEarnValues)),SUMPRODUCT((PayEmp=$C142)*(PayDate&lt;=$AC142)*(ISERROR(SEARCH(PayEarnCode,N$4)))*(PayEarnValues))),IF(ISNUMBER(N$3),N$3/12*$AA142,IgnoreMin)))*IF(COUNTIFS(EmpNo,$C142,OFFSET(Emp!$R$4,1,MATCH(N$5,DedListItem,0)-1,EmpCount,1),"&lt;&gt;")&gt;0,VLOOKUP($C142,EmpAll,COLUMN(Emp!$R$4)+MATCH(N$5,DedListItem,0)-1,0),OFFSET(Setup!$E$73,MATCH(N$5,DedListItem,0),0,1,1)))-SUMIFS(OFFSET(N$6,1,0,PayCount,1),PayDate,"&lt;"&amp;$AC142,PayEmp,$C142))))))</f>
        <v>177.12000000000012</v>
      </c>
      <c r="O142" s="133" cm="1">
        <f t="array" aca="1" ref="O142" ca="1">IF($F142="Terminated",0,IF($AA142=0,0,IF(ISNA(MATCH(O$5,DedListItem,0)),0,IF(COUNTIFS(OverEmp,$C142,OverDeduct,O$5,OverDate,"&lt;"&amp;DATE(YEAR($AC142),MONTH($AC142)+1,1),OverEnd,"&gt;="&amp;DATE(YEAR($AC142),MONTH($AC142),1))&gt;0,SUMIFS(OverValue,OverEmp,$C142,OverDeduct,O$5,OverDate,"&lt;"&amp;DATE(YEAR($AC142),MONTH($AC142)+1,1),OverEnd,"&gt;="&amp;DATE(YEAR($AC142),MONTH($AC142),1)),IF(OR(O$2="Fixed",O$2="Not Used"),(IF(COUNTIFS(EmpNo,$C142,OFFSET(Emp!$R$4,1,MATCH(O$5,DedListItem,0)-1,EmpCount,1),"&lt;&gt;")&gt;0,VLOOKUP($C142,EmpAll,COLUMN(Emp!$R$4)+MATCH(O$5,DedListItem,0)-1,0),OFFSET(Setup!$E$73,MATCH(O$5,DedListItem,0),0,1,1))*$AA142)-SUMIFS(OFFSET(O$6,1,0,PayCount,1),PayDate,"&lt;"&amp;$AC142,PayEmp,$C142),IF(ISNA(MATCH(O$2,EarnListItem,0))=FALSE,IF(OFFSET(Setup!$G$73,MATCH(O$5,DedListItem,0),0,1,1)="Taxable",SUMPRODUCT((PayEmp=$C142)*(PayDate&lt;=$AC142)*(PayEarnCode=O$2)*(PayEarnTax)*(PayEarnValues)),SUMPRODUCT((PayEmp=$C142)*(PayDate&lt;=$AC142)*(PayEarnCode=O$2)*(PayEarnValues)))*IF(COUNTIFS(EmpNo,$C142,OFFSET(Emp!$R$4,1,MATCH(O$5,DedListItem,0)-1,EmpCount,1),"&lt;&gt;")&gt;0,VLOOKUP($C142,EmpAll,COLUMN(Emp!$R$4)+MATCH(O$5,DedListItem,0)-1,0),OFFSET(Setup!$E$73,MATCH(O$5,DedListItem,0),0,1,1)),(MIN(IF(OFFSET(Setup!$G$73,MATCH(O$5,DedListItem,0),0,1,1)="Taxable",SUMPRODUCT((PayEmp=$C142)*(PayDate&lt;=$AC142)*(ISERROR(SEARCH(PayEarnCode,O$4)))*(PayEarnTax)*(PayEarnValues)),SUMPRODUCT((PayEmp=$C142)*(PayDate&lt;=$AC142)*(ISERROR(SEARCH(PayEarnCode,O$4)))*(PayEarnValues))),IF(ISNUMBER(O$3),O$3/12*$AA142,IgnoreMin)))*IF(COUNTIFS(EmpNo,$C142,OFFSET(Emp!$R$4,1,MATCH(O$5,DedListItem,0)-1,EmpCount,1),"&lt;&gt;")&gt;0,VLOOKUP($C142,EmpAll,COLUMN(Emp!$R$4)+MATCH(O$5,DedListItem,0)-1,0),OFFSET(Setup!$E$73,MATCH(O$5,DedListItem,0),0,1,1)))-SUMIFS(OFFSET(O$6,1,0,PayCount,1),PayDate,"&lt;"&amp;$AC142,PayEmp,$C142))))))</f>
        <v>22500</v>
      </c>
      <c r="P142" s="133" cm="1">
        <f t="array" aca="1" ref="P142" ca="1">IF($F142="Terminated",0,IF($AA142=0,0,IF(ISNA(MATCH(P$5,DedListItem,0)),0,IF(COUNTIFS(OverEmp,$C142,OverDeduct,P$5,OverDate,"&lt;"&amp;DATE(YEAR($AC142),MONTH($AC142)+1,1),OverEnd,"&gt;="&amp;DATE(YEAR($AC142),MONTH($AC142),1))&gt;0,SUMIFS(OverValue,OverEmp,$C142,OverDeduct,P$5,OverDate,"&lt;"&amp;DATE(YEAR($AC142),MONTH($AC142)+1,1),OverEnd,"&gt;="&amp;DATE(YEAR($AC142),MONTH($AC142),1)),IF(OR(P$2="Fixed",P$2="Not Used"),(IF(COUNTIFS(EmpNo,$C142,OFFSET(Emp!$R$4,1,MATCH(P$5,DedListItem,0)-1,EmpCount,1),"&lt;&gt;")&gt;0,VLOOKUP($C142,EmpAll,COLUMN(Emp!$R$4)+MATCH(P$5,DedListItem,0)-1,0),OFFSET(Setup!$E$73,MATCH(P$5,DedListItem,0),0,1,1))*$AA142)-SUMIFS(OFFSET(P$6,1,0,PayCount,1),PayDate,"&lt;"&amp;$AC142,PayEmp,$C142),IF(ISNA(MATCH(P$2,EarnListItem,0))=FALSE,IF(OFFSET(Setup!$G$73,MATCH(P$5,DedListItem,0),0,1,1)="Taxable",SUMPRODUCT((PayEmp=$C142)*(PayDate&lt;=$AC142)*(PayEarnCode=P$2)*(PayEarnTax)*(PayEarnValues)),SUMPRODUCT((PayEmp=$C142)*(PayDate&lt;=$AC142)*(PayEarnCode=P$2)*(PayEarnValues)))*IF(COUNTIFS(EmpNo,$C142,OFFSET(Emp!$R$4,1,MATCH(P$5,DedListItem,0)-1,EmpCount,1),"&lt;&gt;")&gt;0,VLOOKUP($C142,EmpAll,COLUMN(Emp!$R$4)+MATCH(P$5,DedListItem,0)-1,0),OFFSET(Setup!$E$73,MATCH(P$5,DedListItem,0),0,1,1)),(MIN(IF(OFFSET(Setup!$G$73,MATCH(P$5,DedListItem,0),0,1,1)="Taxable",SUMPRODUCT((PayEmp=$C142)*(PayDate&lt;=$AC142)*(ISERROR(SEARCH(PayEarnCode,P$4)))*(PayEarnTax)*(PayEarnValues)),SUMPRODUCT((PayEmp=$C142)*(PayDate&lt;=$AC142)*(ISERROR(SEARCH(PayEarnCode,P$4)))*(PayEarnValues))),IF(ISNUMBER(P$3),P$3/12*$AA142,IgnoreMin)))*IF(COUNTIFS(EmpNo,$C142,OFFSET(Emp!$R$4,1,MATCH(P$5,DedListItem,0)-1,EmpCount,1),"&lt;&gt;")&gt;0,VLOOKUP($C142,EmpAll,COLUMN(Emp!$R$4)+MATCH(P$5,DedListItem,0)-1,0),OFFSET(Setup!$E$73,MATCH(P$5,DedListItem,0),0,1,1)))-SUMIFS(OFFSET(P$6,1,0,PayCount,1),PayDate,"&lt;"&amp;$AC142,PayEmp,$C142))))))</f>
        <v>0</v>
      </c>
      <c r="Q142" s="133" cm="1">
        <f t="array" aca="1" ref="Q142" ca="1">IF($F142="Terminated",0,IF($AA142=0,0,IF(ISNA(MATCH(Q$5,DedListItem,0)),0,IF(COUNTIFS(OverEmp,$C142,OverDeduct,Q$5,OverDate,"&lt;"&amp;DATE(YEAR($AC142),MONTH($AC142)+1,1),OverEnd,"&gt;="&amp;DATE(YEAR($AC142),MONTH($AC142),1))&gt;0,SUMIFS(OverValue,OverEmp,$C142,OverDeduct,Q$5,OverDate,"&lt;"&amp;DATE(YEAR($AC142),MONTH($AC142)+1,1),OverEnd,"&gt;="&amp;DATE(YEAR($AC142),MONTH($AC142),1)),IF(OR(Q$2="Fixed",Q$2="Not Used"),(IF(COUNTIFS(EmpNo,$C142,OFFSET(Emp!$R$4,1,MATCH(Q$5,DedListItem,0)-1,EmpCount,1),"&lt;&gt;")&gt;0,VLOOKUP($C142,EmpAll,COLUMN(Emp!$R$4)+MATCH(Q$5,DedListItem,0)-1,0),OFFSET(Setup!$E$73,MATCH(Q$5,DedListItem,0),0,1,1))*$AA142)-SUMIFS(OFFSET(Q$6,1,0,PayCount,1),PayDate,"&lt;"&amp;$AC142,PayEmp,$C142),IF(ISNA(MATCH(Q$2,EarnListItem,0))=FALSE,IF(OFFSET(Setup!$G$73,MATCH(Q$5,DedListItem,0),0,1,1)="Taxable",SUMPRODUCT((PayEmp=$C142)*(PayDate&lt;=$AC142)*(PayEarnCode=Q$2)*(PayEarnTax)*(PayEarnValues)),SUMPRODUCT((PayEmp=$C142)*(PayDate&lt;=$AC142)*(PayEarnCode=Q$2)*(PayEarnValues)))*IF(COUNTIFS(EmpNo,$C142,OFFSET(Emp!$R$4,1,MATCH(Q$5,DedListItem,0)-1,EmpCount,1),"&lt;&gt;")&gt;0,VLOOKUP($C142,EmpAll,COLUMN(Emp!$R$4)+MATCH(Q$5,DedListItem,0)-1,0),OFFSET(Setup!$E$73,MATCH(Q$5,DedListItem,0),0,1,1)),(MIN(IF(OFFSET(Setup!$G$73,MATCH(Q$5,DedListItem,0),0,1,1)="Taxable",SUMPRODUCT((PayEmp=$C142)*(PayDate&lt;=$AC142)*(ISERROR(SEARCH(PayEarnCode,Q$4)))*(PayEarnTax)*(PayEarnValues)),SUMPRODUCT((PayEmp=$C142)*(PayDate&lt;=$AC142)*(ISERROR(SEARCH(PayEarnCode,Q$4)))*(PayEarnValues))),IF(ISNUMBER(Q$3),Q$3/12*$AA142,IgnoreMin)))*IF(COUNTIFS(EmpNo,$C142,OFFSET(Emp!$R$4,1,MATCH(Q$5,DedListItem,0)-1,EmpCount,1),"&lt;&gt;")&gt;0,VLOOKUP($C142,EmpAll,COLUMN(Emp!$R$4)+MATCH(Q$5,DedListItem,0)-1,0),OFFSET(Setup!$E$73,MATCH(Q$5,DedListItem,0),0,1,1)))-SUMIFS(OFFSET(Q$6,1,0,PayCount,1),PayDate,"&lt;"&amp;$AC142,PayEmp,$C142))))))</f>
        <v>0</v>
      </c>
      <c r="R142" s="185">
        <f t="shared" ca="1" si="67"/>
        <v>125176.45333333343</v>
      </c>
      <c r="S142" s="139">
        <f t="shared" ca="1" si="68"/>
        <v>174823.55</v>
      </c>
      <c r="T142" s="133" cm="1">
        <f t="array" aca="1" ref="T142" ca="1">IF($F142="Terminated",0,IF($AA142=0,0,IF(ISNA(MATCH(T$5,CompListItem,0)),0,IF(COUNTIFS(OverEmp,$C142,OverComp,T$5,OverDate,"&lt;"&amp;DATE(YEAR($AC142),MONTH($AC142)+1,1),OverEnd,"&gt;="&amp;DATE(YEAR($AC142),MONTH($AC142),1))&gt;0,SUMIFS(OverValue,OverEmp,$C142,OverComp,T$5,OverDate,"&lt;"&amp;DATE(YEAR($AC142),MONTH($AC142)+1,1),OverEnd,"&gt;="&amp;DATE(YEAR($AC142),MONTH($AC142),1)),IF(OR(T$2="Fixed",T$2="Not Used"),(OFFSET(Setup!$E$81,MATCH(T$5,CompListItem,0),0,1,1)*$AA142)-SUMIFS(OFFSET(T$6,1,0,PayCount,1),PayDate,"&lt;"&amp;$AC142,PayEmp,$C142),IF(ISNA(MATCH(T$2,DedListItem,0))=FALSE,(SUMPRODUCT((PayEmp=$C142)*(PayDate&lt;=$AC142)*(PayDedList=T$2)*(PayDedValues))*OFFSET(Setup!$E$81,MATCH(T$5,CompListItem,0),0,1,1))-SUMIFS(OFFSET(T$6,1,0,PayCount,1),PayDate,"&lt;"&amp;$AC142,PayEmp,$C142),(MIN(IF(OFFSET(Setup!$G$81,MATCH(T$5,CompListItem,0),0,1,1)="Taxable",SUMPRODUCT((PayEmp=$C142)*(PayDate&lt;=$AC142)*(ISERROR(SEARCH(PayEarnCode,T$4)))*(PayEarnTax)*(PayEarnValues)),SUMPRODUCT((PayEmp=$C142)*(PayDate&lt;=$AC142)*(ISERROR(SEARCH(PayEarnCode,T$4)))*(PayEarnValues))),IF(ISNUMBER(T$3),T$3/12*$AA142,IgnoreMin)))*OFFSET(Setup!$E$81,MATCH(T$5,CompListItem,0),0,1,1)-SUMIFS(OFFSET(T$6,1,0,PayCount,1),PayDate,"&lt;"&amp;$AC142,PayEmp,$C142)))))))</f>
        <v>177.12000000000012</v>
      </c>
      <c r="U142" s="133" cm="1">
        <f t="array" aca="1" ref="U142" ca="1">IF($F142="Terminated",0,IF($AA142=0,0,IF(ISNA(MATCH(U$5,CompListItem,0)),0,IF(COUNTIFS(OverEmp,$C142,OverComp,U$5,OverDate,"&lt;"&amp;DATE(YEAR($AC142),MONTH($AC142)+1,1),OverEnd,"&gt;="&amp;DATE(YEAR($AC142),MONTH($AC142),1))&gt;0,SUMIFS(OverValue,OverEmp,$C142,OverComp,U$5,OverDate,"&lt;"&amp;DATE(YEAR($AC142),MONTH($AC142)+1,1),OverEnd,"&gt;="&amp;DATE(YEAR($AC142),MONTH($AC142),1)),IF(OR(U$2="Fixed",U$2="Not Used"),(OFFSET(Setup!$E$81,MATCH(U$5,CompListItem,0),0,1,1)*$AA142)-SUMIFS(OFFSET(U$6,1,0,PayCount,1),PayDate,"&lt;"&amp;$AC142,PayEmp,$C142),IF(ISNA(MATCH(U$2,DedListItem,0))=FALSE,(SUMPRODUCT((PayEmp=$C142)*(PayDate&lt;=$AC142)*(PayDedList=U$2)*(PayDedValues))*OFFSET(Setup!$E$81,MATCH(U$5,CompListItem,0),0,1,1))-SUMIFS(OFFSET(U$6,1,0,PayCount,1),PayDate,"&lt;"&amp;$AC142,PayEmp,$C142),(MIN(IF(OFFSET(Setup!$G$81,MATCH(U$5,CompListItem,0),0,1,1)="Taxable",SUMPRODUCT((PayEmp=$C142)*(PayDate&lt;=$AC142)*(ISERROR(SEARCH(PayEarnCode,U$4)))*(PayEarnTax)*(PayEarnValues)),SUMPRODUCT((PayEmp=$C142)*(PayDate&lt;=$AC142)*(ISERROR(SEARCH(PayEarnCode,U$4)))*(PayEarnValues))),IF(ISNUMBER(U$3),U$3/12*$AA142,IgnoreMin)))*OFFSET(Setup!$E$81,MATCH(U$5,CompListItem,0),0,1,1)-SUMIFS(OFFSET(U$6,1,0,PayCount,1),PayDate,"&lt;"&amp;$AC142,PayEmp,$C142)))))))</f>
        <v>3000</v>
      </c>
      <c r="V142" s="133" cm="1">
        <f t="array" aca="1" ref="V142" ca="1">IF($F142="Terminated",0,IF($AA142=0,0,IF(ISNA(MATCH(V$5,CompListItem,0)),0,IF(COUNTIFS(OverEmp,$C142,OverComp,V$5,OverDate,"&lt;"&amp;DATE(YEAR($AC142),MONTH($AC142)+1,1),OverEnd,"&gt;="&amp;DATE(YEAR($AC142),MONTH($AC142),1))&gt;0,SUMIFS(OverValue,OverEmp,$C142,OverComp,V$5,OverDate,"&lt;"&amp;DATE(YEAR($AC142),MONTH($AC142)+1,1),OverEnd,"&gt;="&amp;DATE(YEAR($AC142),MONTH($AC142),1)),IF(OR(V$2="Fixed",V$2="Not Used"),(OFFSET(Setup!$E$81,MATCH(V$5,CompListItem,0),0,1,1)*$AA142)-SUMIFS(OFFSET(V$6,1,0,PayCount,1),PayDate,"&lt;"&amp;$AC142,PayEmp,$C142),IF(ISNA(MATCH(V$2,DedListItem,0))=FALSE,(SUMPRODUCT((PayEmp=$C142)*(PayDate&lt;=$AC142)*(PayDedList=V$2)*(PayDedValues))*OFFSET(Setup!$E$81,MATCH(V$5,CompListItem,0),0,1,1))-SUMIFS(OFFSET(V$6,1,0,PayCount,1),PayDate,"&lt;"&amp;$AC142,PayEmp,$C142),(MIN(IF(OFFSET(Setup!$G$81,MATCH(V$5,CompListItem,0),0,1,1)="Taxable",SUMPRODUCT((PayEmp=$C142)*(PayDate&lt;=$AC142)*(ISERROR(SEARCH(PayEarnCode,V$4)))*(PayEarnTax)*(PayEarnValues)),SUMPRODUCT((PayEmp=$C142)*(PayDate&lt;=$AC142)*(ISERROR(SEARCH(PayEarnCode,V$4)))*(PayEarnValues))),IF(ISNUMBER(V$3),V$3/12*$AA142,IgnoreMin)))*OFFSET(Setup!$E$81,MATCH(V$5,CompListItem,0),0,1,1)-SUMIFS(OFFSET(V$6,1,0,PayCount,1),PayDate,"&lt;"&amp;$AC142,PayEmp,$C142)))))))</f>
        <v>0</v>
      </c>
      <c r="W142" s="133" cm="1">
        <f t="array" aca="1" ref="W142" ca="1">IF($F142="Terminated",0,IF($AA142=0,0,IF(ISNA(MATCH(W$5,CompListItem,0)),0,IF(COUNTIFS(OverEmp,$C142,OverComp,W$5,OverDate,"&lt;"&amp;DATE(YEAR($AC142),MONTH($AC142)+1,1),OverEnd,"&gt;="&amp;DATE(YEAR($AC142),MONTH($AC142),1))&gt;0,SUMIFS(OverValue,OverEmp,$C142,OverComp,W$5,OverDate,"&lt;"&amp;DATE(YEAR($AC142),MONTH($AC142)+1,1),OverEnd,"&gt;="&amp;DATE(YEAR($AC142),MONTH($AC142),1)),IF(OR(W$2="Fixed",W$2="Not Used"),(OFFSET(Setup!$E$81,MATCH(W$5,CompListItem,0),0,1,1)*$AA142)-SUMIFS(OFFSET(W$6,1,0,PayCount,1),PayDate,"&lt;"&amp;$AC142,PayEmp,$C142),IF(ISNA(MATCH(W$2,DedListItem,0))=FALSE,(SUMPRODUCT((PayEmp=$C142)*(PayDate&lt;=$AC142)*(PayDedList=W$2)*(PayDedValues))*OFFSET(Setup!$E$81,MATCH(W$5,CompListItem,0),0,1,1))-SUMIFS(OFFSET(W$6,1,0,PayCount,1),PayDate,"&lt;"&amp;$AC142,PayEmp,$C142),(MIN(IF(OFFSET(Setup!$G$81,MATCH(W$5,CompListItem,0),0,1,1)="Taxable",SUMPRODUCT((PayEmp=$C142)*(PayDate&lt;=$AC142)*(ISERROR(SEARCH(PayEarnCode,W$4)))*(PayEarnTax)*(PayEarnValues)),SUMPRODUCT((PayEmp=$C142)*(PayDate&lt;=$AC142)*(ISERROR(SEARCH(PayEarnCode,W$4)))*(PayEarnValues))),IF(ISNUMBER(W$3),W$3/12*$AA142,IgnoreMin)))*OFFSET(Setup!$E$81,MATCH(W$5,CompListItem,0),0,1,1)-SUMIFS(OFFSET(W$6,1,0,PayCount,1),PayDate,"&lt;"&amp;$AC142,PayEmp,$C142)))))))</f>
        <v>0</v>
      </c>
      <c r="X142" s="185">
        <f t="shared" ca="1" si="60"/>
        <v>3177.12</v>
      </c>
      <c r="Y142" s="139">
        <f t="shared" ca="1" si="69"/>
        <v>303177.12</v>
      </c>
      <c r="Z142" s="139">
        <f t="shared" ca="1" si="61"/>
        <v>128353.57</v>
      </c>
      <c r="AA142" s="146">
        <f ca="1">IF(OR($B142&lt;=Setup!$E$12,$B142&gt;=Setup!$D$12+1),0,IF($F142&lt;&gt;"Active",0,IF($AE142="Yes",$AB142,((YEAR($AC142)*12)+MONTH($AC142))-((YEAR($AD142)*12)+MONTH($AD142)-1))))</f>
        <v>10</v>
      </c>
      <c r="AB142" s="146">
        <f ca="1">IF(OR($B142&lt;=Setup!$E$12,$B142&gt;=Setup!$D$12+1),0,((YEAR($AC142)*12)+MONTH($AC142))-((YEAR(Setup!$E$12)*12)+MONTH(Setup!$E$12)))</f>
        <v>10</v>
      </c>
      <c r="AC142" s="186">
        <f t="shared" ca="1" si="62"/>
        <v>45285</v>
      </c>
      <c r="AD142" s="144">
        <f ca="1">IF(ISNA(VLOOKUP($C142,EmpAll,COLUMN(Emp!$E$4),0)),$AC142,IF(VLOOKUP($C142,EmpAll,COLUMN(Emp!$E$4),0)&lt;=Setup!$E$12,DATE(YEAR(Setup!$E$12),MONTH(Setup!$E$12)+1,1),VLOOKUP($C142,EmpAll,COLUMN(Emp!$E$4),0)))</f>
        <v>44986</v>
      </c>
      <c r="AE142" s="144" t="str">
        <f ca="1">IF(ISNA(VLOOKUP($C142,EmpAll,COLUMN(Emp!$G$1),0)),"-",IF(VLOOKUP($C142,EmpAll,COLUMN(Emp!$G$1),0)=0,"-",VLOOKUP($C142,EmpAll,COLUMN(Emp!$G$1),0)))</f>
        <v>-</v>
      </c>
      <c r="AF142" s="145">
        <f ca="1">IF(A142=PaySlip!$G$3,1,0)</f>
        <v>0</v>
      </c>
      <c r="AG142" s="130" cm="1">
        <f t="array" aca="1" ref="AG142" ca="1">IF(COUNTIFS(OverEmp,$C142,OverMed,"MED",OverDate,"&lt;"&amp;DATE(YEAR($AC142),MONTH($AC142)+1,1),OverEnd,"&gt;="&amp;DATE(YEAR($AC142),MONTH($AC142),1))&gt;0,SUMIFS(OverValue,OverEmp,$C142,OverMed,"MED",OverDate,"&lt;"&amp;DATE(YEAR($AC142),MONTH($AC142)+1,1),OverEnd,"&gt;="&amp;DATE(YEAR($AC142),MONTH($AC142),1)),IF(ISNA(VLOOKUP($C142,EmpAll,COLUMN(Emp!$N$4),0)),0,VLOOKUP($C142,EmpAll,COLUMN(Emp!$N$4),0)))</f>
        <v>5</v>
      </c>
      <c r="AH142" s="146">
        <f ca="1">VLOOKUP($AG142,MedList,COLUMN(Setup!$C$49),1)</f>
        <v>1466</v>
      </c>
      <c r="AI142" s="146">
        <f t="shared" ca="1" si="70"/>
        <v>17592</v>
      </c>
      <c r="AJ142" s="101" t="str">
        <f ca="1">IF(ISNA(VLOOKUP($C142,EmpAll,COLUMN(Emp!$L$4),0)),"None!",VLOOKUP($C142,EmpAll,COLUMN(Emp!$L$4),0))</f>
        <v>A</v>
      </c>
      <c r="AK142" s="147">
        <f t="shared" ca="1" si="63"/>
        <v>17235</v>
      </c>
      <c r="AL142" s="101" t="str">
        <f ca="1">IF(ISNA(VLOOKUP($C142,Employees[],COLUMN(Emp!$M$4),0))=TRUE,"Error!",IF(VLOOKUP($C142,Employees[],COLUMN(Emp!$M$4),0)=0,"Yes",VLOOKUP($C142,Employees[],COLUMN(Emp!$M$4),0)))</f>
        <v>A</v>
      </c>
      <c r="AM142" s="148">
        <f t="shared" ca="1" si="71"/>
        <v>1950000</v>
      </c>
      <c r="AN142" s="148" cm="1">
        <f t="array" aca="1" ref="AN142" ca="1">-IF($F142="Terminated",0,IF($AA142=0,0,IF(ISNA(MATCH(AN$5,PayDedList,0)),0,MIN(IF(COUNTIFS(OverEmp,$C142,OverDeduct,AN$5,OverDate,"&lt;"&amp;DATE(YEAR($AC142),MONTH($AC142)+1,1),OverEnd,"&gt;="&amp;DATE(YEAR($AC142),MONTH($AC142),1))&gt;0,SUMPRODUCT((PayEmp=$C142)*(PayDate&lt;=$AC142)*(OFFSET($N$6,1,MATCH(AN$5,PayDedList,0)-1,PayCount,1)))/$AA142*12*AN$3,IF(OR(AN$1="Fixed",AN$1="Not Used"),SUMPRODUCT((PayEmp=$C142)*(PayDate&lt;=$AC142)*(OFFSET($N$6,1,MATCH(AN$5,PayDedList,0)-1,PayCount,1)))/$AA142*12*AN$3,IF(ISNA(MATCH(AN$1,EarnListItem,0))=FALSE,SUMPRODUCT((PayEmp=$C142)*(PayDate&lt;=$AC142)*(OFFSET($N$6,1,MATCH(AN$5,PayDedList,0)-1,PayCount,1)))/$AA142*12*AN$3,(MIN(((SUMPRODUCT((PayEmp=$C142)*(PayDate&lt;=$AC142)*(ISERROR(SEARCH(PayEarnCode,AN$2)))*(PayEarnType="Monthly")*(PayEarnValues))/$AA142*12)+(SUMPRODUCT((PayEmp=$C142)*(PayDate&lt;=$AC142)*(ISERROR(SEARCH(PayEarnCode,AN$2)))*(PayEarnType="Quarterly")*(PayEarnValues))/MAX(1,ROUNDDOWN($AB142/3,0))*4)+(SUMPRODUCT((PayEmp=$C142)*(PayDate&lt;=$AC142)*(ISERROR(SEARCH(PayEarnCode,AN$2)))*(PayEarnType="Bi-Annual")*(PayEarnValues))/MAX(1,ROUNDDOWN($AB142/6,0))*2)+(SUMPRODUCT((PayEmp=$C142)*(PayDate&lt;=$AC142)*(ISERROR(SEARCH(PayEarnCode,AN$2)))*(PayEarnType="Annual")*(PayEarnValues)))),IF(ISNUMBER(OFFSET($N$3,0,MATCH(AN$5,PayDedList,0)-1,1,1)),OFFSET($N$3,0,MATCH(AN$5,PayDedList,0)-1,1,1),IgnoreMin)))*IF(COUNTIFS(EmpNo,$C142,OFFSET(Emp!$R$4,1,MATCH(AN$5,DedListItem,0)-1,EmpCount,1),"&lt;&gt;")&gt;0,VLOOKUP($C142,EmpAll,COLUMN(Emp!$R$4)+MATCH(AN$5,DedListItem,0)-1,0),OFFSET(Setup!$E$73,MATCH(AN$5,DedListItem,0),0,1,1))*AN$3))),IF(ISNUMBER(AN$4),AN$4,IgnoreMin)))))</f>
        <v>0</v>
      </c>
      <c r="AO142" s="148" cm="1">
        <f t="array" aca="1" ref="AO142" ca="1">-IF($F142="Terminated",0,IF($AA142=0,0,IF(ISNA(MATCH(AO$5,PayDedList,0)),0,MIN(IF(COUNTIFS(OverEmp,$C142,OverDeduct,AO$5,OverDate,"&lt;"&amp;DATE(YEAR($AC142),MONTH($AC142)+1,1),OverEnd,"&gt;="&amp;DATE(YEAR($AC142),MONTH($AC142),1))&gt;0,SUMPRODUCT((PayEmp=$C142)*(PayDate&lt;=$AC142)*(OFFSET($N$6,1,MATCH(AO$5,PayDedList,0)-1,PayCount,1)))/$AA142*12*AO$3,IF(OR(AO$1="Fixed",AO$1="Not Used"),SUMPRODUCT((PayEmp=$C142)*(PayDate&lt;=$AC142)*(OFFSET($N$6,1,MATCH(AO$5,PayDedList,0)-1,PayCount,1)))/$AA142*12*AO$3,IF(ISNA(MATCH(AO$1,EarnListItem,0))=FALSE,SUMPRODUCT((PayEmp=$C142)*(PayDate&lt;=$AC142)*(OFFSET($N$6,1,MATCH(AO$5,PayDedList,0)-1,PayCount,1)))/$AA142*12*AO$3,(MIN(((SUMPRODUCT((PayEmp=$C142)*(PayDate&lt;=$AC142)*(ISERROR(SEARCH(PayEarnCode,AO$2)))*(PayEarnType="Monthly")*(PayEarnValues))/$AA142*12)+(SUMPRODUCT((PayEmp=$C142)*(PayDate&lt;=$AC142)*(ISERROR(SEARCH(PayEarnCode,AO$2)))*(PayEarnType="Quarterly")*(PayEarnValues))/MAX(1,ROUNDDOWN($AB142/3,0))*4)+(SUMPRODUCT((PayEmp=$C142)*(PayDate&lt;=$AC142)*(ISERROR(SEARCH(PayEarnCode,AO$2)))*(PayEarnType="Bi-Annual")*(PayEarnValues))/MAX(1,ROUNDDOWN($AB142/6,0))*2)+(SUMPRODUCT((PayEmp=$C142)*(PayDate&lt;=$AC142)*(ISERROR(SEARCH(PayEarnCode,AO$2)))*(PayEarnType="Annual")*(PayEarnValues)))),IF(ISNUMBER(OFFSET($N$3,0,MATCH(AO$5,PayDedList,0)-1,1,1)),OFFSET($N$3,0,MATCH(AO$5,PayDedList,0)-1,1,1),IgnoreMin)))*IF(COUNTIFS(EmpNo,$C142,OFFSET(Emp!$R$4,1,MATCH(AO$5,DedListItem,0)-1,EmpCount,1),"&lt;&gt;")&gt;0,VLOOKUP($C142,EmpAll,COLUMN(Emp!$R$4)+MATCH(AO$5,DedListItem,0)-1,0),OFFSET(Setup!$E$73,MATCH(AO$5,DedListItem,0),0,1,1))*AO$3))),IF(ISNUMBER(AO$4),AO$4,IgnoreMin)))))</f>
        <v>-146250</v>
      </c>
      <c r="AP142" s="148" cm="1">
        <f t="array" aca="1" ref="AP142" ca="1">-IF($F142="Terminated",0,IF($AA142=0,0,IF(ISNA(MATCH(AP$5,PayDedList,0)),0,MIN(IF(COUNTIFS(OverEmp,$C142,OverDeduct,AP$5,OverDate,"&lt;"&amp;DATE(YEAR($AC142),MONTH($AC142)+1,1),OverEnd,"&gt;="&amp;DATE(YEAR($AC142),MONTH($AC142),1))&gt;0,SUMPRODUCT((PayEmp=$C142)*(PayDate&lt;=$AC142)*(OFFSET($N$6,1,MATCH(AP$5,PayDedList,0)-1,PayCount,1)))/$AA142*12*AP$3,IF(OR(AP$1="Fixed",AP$1="Not Used"),SUMPRODUCT((PayEmp=$C142)*(PayDate&lt;=$AC142)*(OFFSET($N$6,1,MATCH(AP$5,PayDedList,0)-1,PayCount,1)))/$AA142*12*AP$3,IF(ISNA(MATCH(AP$1,EarnListItem,0))=FALSE,SUMPRODUCT((PayEmp=$C142)*(PayDate&lt;=$AC142)*(OFFSET($N$6,1,MATCH(AP$5,PayDedList,0)-1,PayCount,1)))/$AA142*12*AP$3,(MIN(((SUMPRODUCT((PayEmp=$C142)*(PayDate&lt;=$AC142)*(ISERROR(SEARCH(PayEarnCode,AP$2)))*(PayEarnType="Monthly")*(PayEarnValues))/$AA142*12)+(SUMPRODUCT((PayEmp=$C142)*(PayDate&lt;=$AC142)*(ISERROR(SEARCH(PayEarnCode,AP$2)))*(PayEarnType="Quarterly")*(PayEarnValues))/MAX(1,ROUNDDOWN($AB142/3,0))*4)+(SUMPRODUCT((PayEmp=$C142)*(PayDate&lt;=$AC142)*(ISERROR(SEARCH(PayEarnCode,AP$2)))*(PayEarnType="Bi-Annual")*(PayEarnValues))/MAX(1,ROUNDDOWN($AB142/6,0))*2)+(SUMPRODUCT((PayEmp=$C142)*(PayDate&lt;=$AC142)*(ISERROR(SEARCH(PayEarnCode,AP$2)))*(PayEarnType="Annual")*(PayEarnValues)))),IF(ISNUMBER(OFFSET($N$3,0,MATCH(AP$5,PayDedList,0)-1,1,1)),OFFSET($N$3,0,MATCH(AP$5,PayDedList,0)-1,1,1),IgnoreMin)))*IF(COUNTIFS(EmpNo,$C142,OFFSET(Emp!$R$4,1,MATCH(AP$5,DedListItem,0)-1,EmpCount,1),"&lt;&gt;")&gt;0,VLOOKUP($C142,EmpAll,COLUMN(Emp!$R$4)+MATCH(AP$5,DedListItem,0)-1,0),OFFSET(Setup!$E$73,MATCH(AP$5,DedListItem,0),0,1,1))*AP$3))),IF(ISNUMBER(AP$4),AP$4,IgnoreMin)))))</f>
        <v>0</v>
      </c>
      <c r="AQ142" s="148" cm="1">
        <f t="array" aca="1" ref="AQ142" ca="1">-IF($F142="Terminated",0,IF($AA142=0,0,IF(ISNA(MATCH(AQ$5,PayDedList,0)),0,MIN(IF(COUNTIFS(OverEmp,$C142,OverDeduct,AQ$5,OverDate,"&lt;"&amp;DATE(YEAR($AC142),MONTH($AC142)+1,1),OverEnd,"&gt;="&amp;DATE(YEAR($AC142),MONTH($AC142),1))&gt;0,SUMPRODUCT((PayEmp=$C142)*(PayDate&lt;=$AC142)*(OFFSET($N$6,1,MATCH(AQ$5,PayDedList,0)-1,PayCount,1)))/$AA142*12*AQ$3,IF(OR(AQ$1="Fixed",AQ$1="Not Used"),SUMPRODUCT((PayEmp=$C142)*(PayDate&lt;=$AC142)*(OFFSET($N$6,1,MATCH(AQ$5,PayDedList,0)-1,PayCount,1)))/$AA142*12*AQ$3,IF(ISNA(MATCH(AQ$1,EarnListItem,0))=FALSE,SUMPRODUCT((PayEmp=$C142)*(PayDate&lt;=$AC142)*(OFFSET($N$6,1,MATCH(AQ$5,PayDedList,0)-1,PayCount,1)))/$AA142*12*AQ$3,(MIN(((SUMPRODUCT((PayEmp=$C142)*(PayDate&lt;=$AC142)*(ISERROR(SEARCH(PayEarnCode,AQ$2)))*(PayEarnType="Monthly")*(PayEarnValues))/$AA142*12)+(SUMPRODUCT((PayEmp=$C142)*(PayDate&lt;=$AC142)*(ISERROR(SEARCH(PayEarnCode,AQ$2)))*(PayEarnType="Quarterly")*(PayEarnValues))/MAX(1,ROUNDDOWN($AB142/3,0))*4)+(SUMPRODUCT((PayEmp=$C142)*(PayDate&lt;=$AC142)*(ISERROR(SEARCH(PayEarnCode,AQ$2)))*(PayEarnType="Bi-Annual")*(PayEarnValues))/MAX(1,ROUNDDOWN($AB142/6,0))*2)+(SUMPRODUCT((PayEmp=$C142)*(PayDate&lt;=$AC142)*(ISERROR(SEARCH(PayEarnCode,AQ$2)))*(PayEarnType="Annual")*(PayEarnValues)))),IF(ISNUMBER(OFFSET($N$3,0,MATCH(AQ$5,PayDedList,0)-1,1,1)),OFFSET($N$3,0,MATCH(AQ$5,PayDedList,0)-1,1,1),IgnoreMin)))*IF(COUNTIFS(EmpNo,$C142,OFFSET(Emp!$R$4,1,MATCH(AQ$5,DedListItem,0)-1,EmpCount,1),"&lt;&gt;")&gt;0,VLOOKUP($C142,EmpAll,COLUMN(Emp!$R$4)+MATCH(AQ$5,DedListItem,0)-1,0),OFFSET(Setup!$E$73,MATCH(AQ$5,DedListItem,0),0,1,1))*AQ$3))),IF(ISNUMBER(AQ$4),AQ$4,IgnoreMin)))))</f>
        <v>0</v>
      </c>
      <c r="AR142" s="148">
        <f t="shared" ca="1" si="64"/>
        <v>1803750</v>
      </c>
      <c r="AS142" s="148">
        <f t="shared" ca="1" si="72"/>
        <v>1800000</v>
      </c>
      <c r="AT142" s="148" cm="1">
        <f t="array" aca="1" ref="AT142" ca="1">-IF($F142="Terminated",0,IF($AA142=0,0,IF(ISNA(MATCH(AT$5,PayDedList,0)),0,MIN(IF(COUNTIFS(OverEmp,$C142,OverDeduct,AT$5,OverDate,"&lt;"&amp;DATE(YEAR($AC142),MONTH($AC142)+1,1),OverEnd,"&gt;="&amp;DATE(YEAR($AC142),MONTH($AC142),1))&gt;0,SUMPRODUCT((PayEmp=$C142)*(PayDate&lt;=$AC142)*(OFFSET($N$6,1,MATCH(AT$5,PayDedList,0)-1,PayCount,1)))/$AA142*12*AT$3,IF(OR(AT$1="Fixed",AT$1="Not Used"),SUMPRODUCT((PayEmp=$C142)*(PayDate&lt;=$AC142)*(OFFSET($N$6,1,MATCH(AT$5,PayDedList,0)-1,PayCount,1)))/$AA142*12*AT$3,IF(ISNA(MATCH(OFFSET($N$2,0,MATCH(AT$5,PayDedList,0)-1,1,1),EarnListItem,0))=FALSE,SUMPRODUCT((PayEmp=$C142)*(PayDate&lt;=$AC142)*(OFFSET($N$6,1,MATCH(AT$5,PayDedList,0)-1,PayCount,1)))/$AA142*12*AT$3,(MIN(SUMPRODUCT((PayEmp=$C142)*(PayDate&lt;=$AC142)*(ISERROR(SEARCH(PayEarnCode,AT$2)))*(PayEarnType="Monthly")*(PayEarnValues))/$AA142*12,IF(ISNUMBER(OFFSET($N$3,0,MATCH(AT$5,PayDedList,0)-1,1,1)),OFFSET($N$3,0,MATCH(AT$5,PayDedList,0)-1,1,1),IgnoreMin)))*IF(COUNTIFS(EmpNo,$C142,OFFSET(Emp!$R$4,1,MATCH(AT$5,DedListItem,0)-1,EmpCount,1),"&lt;&gt;")&gt;0,VLOOKUP($C142,EmpAll,COLUMN(Emp!$R$4)+MATCH(AT$5,DedListItem,0)-1,0),OFFSET(Setup!$E$73,MATCH(AT$5,DedListItem,0),0,1,1))*AT$3))),IF(ISNUMBER(AT$4),AT$4,IgnoreMin)))))</f>
        <v>0</v>
      </c>
      <c r="AU142" s="148" cm="1">
        <f t="array" aca="1" ref="AU142" ca="1">-IF($F142="Terminated",0,IF($AA142=0,0,IF(ISNA(MATCH(AU$5,PayDedList,0)),0,MIN(IF(COUNTIFS(OverEmp,$C142,OverDeduct,AU$5,OverDate,"&lt;"&amp;DATE(YEAR($AC142),MONTH($AC142)+1,1),OverEnd,"&gt;="&amp;DATE(YEAR($AC142),MONTH($AC142),1))&gt;0,SUMPRODUCT((PayEmp=$C142)*(PayDate&lt;=$AC142)*(OFFSET($N$6,1,MATCH(AU$5,PayDedList,0)-1,PayCount,1)))/$AA142*12*AU$3,IF(OR(AU$1="Fixed",AU$1="Not Used"),SUMPRODUCT((PayEmp=$C142)*(PayDate&lt;=$AC142)*(OFFSET($N$6,1,MATCH(AU$5,PayDedList,0)-1,PayCount,1)))/$AA142*12*AU$3,IF(ISNA(MATCH(OFFSET($N$2,0,MATCH(AU$5,PayDedList,0)-1,1,1),EarnListItem,0))=FALSE,SUMPRODUCT((PayEmp=$C142)*(PayDate&lt;=$AC142)*(OFFSET($N$6,1,MATCH(AU$5,PayDedList,0)-1,PayCount,1)))/$AA142*12*AU$3,(MIN(SUMPRODUCT((PayEmp=$C142)*(PayDate&lt;=$AC142)*(ISERROR(SEARCH(PayEarnCode,AU$2)))*(PayEarnType="Monthly")*(PayEarnValues))/$AA142*12,IF(ISNUMBER(OFFSET($N$3,0,MATCH(AU$5,PayDedList,0)-1,1,1)),OFFSET($N$3,0,MATCH(AU$5,PayDedList,0)-1,1,1),IgnoreMin)))*IF(COUNTIFS(EmpNo,$C142,OFFSET(Emp!$R$4,1,MATCH(AU$5,DedListItem,0)-1,EmpCount,1),"&lt;&gt;")&gt;0,VLOOKUP($C142,EmpAll,COLUMN(Emp!$R$4)+MATCH(AU$5,DedListItem,0)-1,0),OFFSET(Setup!$E$73,MATCH(AU$5,DedListItem,0),0,1,1))*AU$3))),IF(ISNUMBER(AU$4),AU$4,IgnoreMin)))))</f>
        <v>-135000</v>
      </c>
      <c r="AV142" s="148" cm="1">
        <f t="array" aca="1" ref="AV142" ca="1">-IF($F142="Terminated",0,IF($AA142=0,0,IF(ISNA(MATCH(AV$5,PayDedList,0)),0,MIN(IF(COUNTIFS(OverEmp,$C142,OverDeduct,AV$5,OverDate,"&lt;"&amp;DATE(YEAR($AC142),MONTH($AC142)+1,1),OverEnd,"&gt;="&amp;DATE(YEAR($AC142),MONTH($AC142),1))&gt;0,SUMPRODUCT((PayEmp=$C142)*(PayDate&lt;=$AC142)*(OFFSET($N$6,1,MATCH(AV$5,PayDedList,0)-1,PayCount,1)))/$AA142*12*AV$3,IF(OR(AV$1="Fixed",AV$1="Not Used"),SUMPRODUCT((PayEmp=$C142)*(PayDate&lt;=$AC142)*(OFFSET($N$6,1,MATCH(AV$5,PayDedList,0)-1,PayCount,1)))/$AA142*12*AV$3,IF(ISNA(MATCH(OFFSET($N$2,0,MATCH(AV$5,PayDedList,0)-1,1,1),EarnListItem,0))=FALSE,SUMPRODUCT((PayEmp=$C142)*(PayDate&lt;=$AC142)*(OFFSET($N$6,1,MATCH(AV$5,PayDedList,0)-1,PayCount,1)))/$AA142*12*AV$3,(MIN(SUMPRODUCT((PayEmp=$C142)*(PayDate&lt;=$AC142)*(ISERROR(SEARCH(PayEarnCode,AV$2)))*(PayEarnType="Monthly")*(PayEarnValues))/$AA142*12,IF(ISNUMBER(OFFSET($N$3,0,MATCH(AV$5,PayDedList,0)-1,1,1)),OFFSET($N$3,0,MATCH(AV$5,PayDedList,0)-1,1,1),IgnoreMin)))*IF(COUNTIFS(EmpNo,$C142,OFFSET(Emp!$R$4,1,MATCH(AV$5,DedListItem,0)-1,EmpCount,1),"&lt;&gt;")&gt;0,VLOOKUP($C142,EmpAll,COLUMN(Emp!$R$4)+MATCH(AV$5,DedListItem,0)-1,0),OFFSET(Setup!$E$73,MATCH(AV$5,DedListItem,0),0,1,1))*AV$3))),IF(ISNUMBER(AV$4),AV$4,IgnoreMin)))))</f>
        <v>0</v>
      </c>
      <c r="AW142" s="148" cm="1">
        <f t="array" aca="1" ref="AW142" ca="1">-IF($F142="Terminated",0,IF($AA142=0,0,IF(ISNA(MATCH(AW$5,PayDedList,0)),0,MIN(IF(COUNTIFS(OverEmp,$C142,OverDeduct,AW$5,OverDate,"&lt;"&amp;DATE(YEAR($AC142),MONTH($AC142)+1,1),OverEnd,"&gt;="&amp;DATE(YEAR($AC142),MONTH($AC142),1))&gt;0,SUMPRODUCT((PayEmp=$C142)*(PayDate&lt;=$AC142)*(OFFSET($N$6,1,MATCH(AW$5,PayDedList,0)-1,PayCount,1)))/$AA142*12*AW$3,IF(OR(AW$1="Fixed",AW$1="Not Used"),SUMPRODUCT((PayEmp=$C142)*(PayDate&lt;=$AC142)*(OFFSET($N$6,1,MATCH(AW$5,PayDedList,0)-1,PayCount,1)))/$AA142*12*AW$3,IF(ISNA(MATCH(OFFSET($N$2,0,MATCH(AW$5,PayDedList,0)-1,1,1),EarnListItem,0))=FALSE,SUMPRODUCT((PayEmp=$C142)*(PayDate&lt;=$AC142)*(OFFSET($N$6,1,MATCH(AW$5,PayDedList,0)-1,PayCount,1)))/$AA142*12*AW$3,(MIN(SUMPRODUCT((PayEmp=$C142)*(PayDate&lt;=$AC142)*(ISERROR(SEARCH(PayEarnCode,AW$2)))*(PayEarnType="Monthly")*(PayEarnValues))/$AA142*12,IF(ISNUMBER(OFFSET($N$3,0,MATCH(AW$5,PayDedList,0)-1,1,1)),OFFSET($N$3,0,MATCH(AW$5,PayDedList,0)-1,1,1),IgnoreMin)))*IF(COUNTIFS(EmpNo,$C142,OFFSET(Emp!$R$4,1,MATCH(AW$5,DedListItem,0)-1,EmpCount,1),"&lt;&gt;")&gt;0,VLOOKUP($C142,EmpAll,COLUMN(Emp!$R$4)+MATCH(AW$5,DedListItem,0)-1,0),OFFSET(Setup!$E$73,MATCH(AW$5,DedListItem,0),0,1,1))*AW$3))),IF(ISNUMBER(AW$4),AW$4,IgnoreMin)))))</f>
        <v>0</v>
      </c>
      <c r="AX142" s="148">
        <f t="shared" ca="1" si="73"/>
        <v>1665000</v>
      </c>
      <c r="AY142" s="148">
        <f t="shared" ca="1" si="74"/>
        <v>138750</v>
      </c>
      <c r="AZ142" s="148">
        <f ca="1">IF(ISNUMBER($AL142),($AR142*$AL142)-$AI142-$AK142,MAX(0,IF($AL142="B",IF($AR142&lt;Setup!$C$32,($AR142*Setup!$D$32)-$AI142-$AK142,(($AR142-VLOOKUP($AR142,TaxAll2,1,1))*OFFSET(Setup!$D$32,MATCH($AR142,TaxBracket2,1),0,1,1))+OFFSET(Setup!$E$31,MATCH($AR142,TaxBracket2,1),0,1,1)-$AI142-$AK142),IF($AR142&lt;Setup!$C$21,($AR142*Setup!$D$21)-$AI142-$AK142,(($AR142-VLOOKUP($AR142,TaxAll1,1,1))*OFFSET(Setup!$D$21,MATCH($AR142,TaxBracket1,1),0,1,1))+OFFSET(Setup!$E$20,MATCH($AR142,TaxBracket1,1),0,1,1)-$AI142-$AK142))))</f>
        <v>604229.5</v>
      </c>
      <c r="BA142" s="148">
        <f ca="1">IF(ISNUMBER($AL142),($AX142*$AL142)-$AI142-$AK142,MAX(0,IF($AL142="B",IF($AX142&lt;Setup!$C$32,($AX142*Setup!$D$32)-$AI142-$AK142,(($AX142-VLOOKUP($AX142,TaxAll2,1,1))*OFFSET(Setup!$D$32,MATCH($AX142,TaxBracket2,1),0,1,1))+OFFSET(Setup!$E$31,MATCH($AX142,TaxBracket2,1),0,1,1)-$AI142-$AK142),IF($AX142&lt;Setup!$C$21,($AX142*Setup!$D$21)-$AI142-$AK142,(($AX142-VLOOKUP($AX142,TaxAll1,1,1))*OFFSET(Setup!$D$21,MATCH($AX142,TaxBracket1,1),0,1,1))+OFFSET(Setup!$E$20,MATCH($AX142,TaxBracket1,1),0,1,1)-$AI142-$AK142))))</f>
        <v>547342</v>
      </c>
      <c r="BB142" s="148">
        <f t="shared" ca="1" si="65"/>
        <v>56887.5</v>
      </c>
      <c r="BC142" s="150">
        <f t="shared" ca="1" si="75"/>
        <v>0.92307692307692313</v>
      </c>
      <c r="BD142" s="150">
        <f t="shared" ca="1" si="76"/>
        <v>7.6923076923076927E-2</v>
      </c>
      <c r="BE142" s="148">
        <f t="shared" ca="1" si="77"/>
        <v>1950000</v>
      </c>
    </row>
    <row r="143" spans="1:57" ht="16.149999999999999" customHeight="1" x14ac:dyDescent="0.25">
      <c r="A143" s="10" t="str" cm="1">
        <f t="array" aca="1" ref="A143" ca="1">IF(ROW($A143)-ROW($A$6)&gt;EmpCount*12,"-",TEXT($B143,"yyyy")&amp;TEXT($B143,"mm")&amp;"-"&amp;$C143)</f>
        <v>202312-EXS002</v>
      </c>
      <c r="B143" s="137" cm="1">
        <f t="array" aca="1" ref="B143" ca="1">IF(ROW($A143)-ROW($A$6)&gt;EmpCount*12,Setup!$D$12,DATE(YEAR(Setup!$F$12),MONTH(Setup!$F$12)+ROUNDDOWN((ROW($A143)-ROW($A$6)-1)/EmpCount,0),IF(Setup!$C$14&gt;DAY(DATE(YEAR(Setup!$F$12),MONTH(Setup!$F$12)+ROUNDDOWN((ROW($A143)-ROW($A$6)-1)/EmpCount,0)+1,0)),DAY(DATE(YEAR(Setup!$F$12),MONTH(Setup!$F$12)+ROUNDDOWN((ROW($A143)-ROW($A$6)-1)/EmpCount,0)+1,0)),Setup!$C$14)))</f>
        <v>45285</v>
      </c>
      <c r="C143" s="101" t="str" cm="1">
        <f t="array" aca="1" ref="C143" ca="1">IF(ROW($A143)-ROW($A$6)&gt;EmpCount*12,"-",OFFSET(Emp!$A$4,ROW($A143)-ROW($A$6)-IF(ROW($A143)-ROW($A$6)&gt;EmpCount,ROUNDDOWN((ROW($A143)-ROW($A$6)-1)/EmpCount,0)*EmpCount,0),0,1,1))</f>
        <v>EXS002</v>
      </c>
      <c r="D143" s="10" t="str">
        <f ca="1">IF(ISNA(VLOOKUP($C143,EmpAll,COLUMN(Emp!$B$4),0)),"-",VLOOKUP($C143,EmpAll,COLUMN(Emp!$B$4),0))</f>
        <v>Smith F</v>
      </c>
      <c r="E143" s="145" t="str">
        <f ca="1">IF(ISNA(VLOOKUP($C143,EmpAll,COLUMN(Emp!$C$4),0)),"-",VLOOKUP($C143,EmpAll,COLUMN(Emp!$C$4),0))</f>
        <v>M</v>
      </c>
      <c r="F143" s="101" t="str">
        <f ca="1">IF(ISNA(VLOOKUP($C143,EmpAll,COLUMN(Emp!$A$4),0)),"-",IF(AND(VLOOKUP($C143,EmpAll,COLUMN(Emp!$E$4),0)&lt;&gt;0,VLOOKUP($C143,EmpAll,COLUMN(Emp!$E$4),0)&gt;=DATE(YEAR($AC143),MONTH($AC143)+1,0)),"Inactive",IF(AND(VLOOKUP($C143,EmpAll,COLUMN(Emp!$F$4),0)&lt;&gt;0,VLOOKUP($C143,EmpAll,COLUMN(Emp!$F$4),0)&lt;=DATE(YEAR($AC143),MONTH($AC143),0)),"Terminated","Active")))</f>
        <v>Active</v>
      </c>
      <c r="G143" s="133" cm="1">
        <f t="array" aca="1" ref="G143" ca="1">IF($F143&lt;&gt;"Active",0,IF(COUNTIFS(OverEmp,$C143,OverEarn,G$2,OverDate,"&lt;"&amp;DATE(YEAR($AC143),MONTH($AC143)+1,1),OverEnd,"&gt;="&amp;DATE(YEAR($AC143),MONTH($AC143),1))&gt;0,SUMIFS(OverValue,OverEmp,$C143,OverEarn,G$2,OverDate,"&lt;"&amp;DATE(YEAR($AC143),MONTH($AC143)+1,1),OverEnd,"&gt;="&amp;DATE(YEAR($AC143),MONTH($AC143),1)),IF(AND($AC143&gt;=Setup!$E$10,SUMIFS(EmpIncrease,EmpCode,$C143)&gt;0),SUMIFS(EmpIncrease,EmpCode,$C143),SUMIFS(EmpSalary,EmpCode,$C143))))</f>
        <v>120000</v>
      </c>
      <c r="H143" s="133" cm="1">
        <f t="array" aca="1" ref="H143" ca="1">IF($F143&lt;&gt;"Active",0,IF(COUNTIFS(OverEmp,$C143,OverEarn,H$2,OverDate,"&lt;"&amp;DATE(YEAR($AC143),MONTH($AC143)+1,1),OverEnd,"&gt;="&amp;DATE(YEAR($AC143),MONTH($AC143),1))&gt;0,SUMIFS(OverValue,OverEmp,$C143,OverEarn,H$2,OverDate,"&lt;"&amp;DATE(YEAR($AC143),MONTH($AC143)+1,1),OverEnd,"&gt;="&amp;DATE(YEAR($AC143),MONTH($AC143),1)),0))</f>
        <v>0</v>
      </c>
      <c r="I143" s="133" cm="1">
        <f t="array" aca="1" ref="I143" ca="1">IF($F143&lt;&gt;"Active",0,IF(COUNTIFS(OverEmp,$C143,OverEarn,I$2,OverDate,"&lt;"&amp;DATE(YEAR($AC143),MONTH($AC143)+1,1),OverEnd,"&gt;="&amp;DATE(YEAR($AC143),MONTH($AC143),1))&gt;0,SUMIFS(OverValue,OverEmp,$C143,OverEarn,I$2,OverDate,"&lt;"&amp;DATE(YEAR($AC143),MONTH($AC143)+1,1),OverEnd,"&gt;="&amp;DATE(YEAR($AC143),MONTH($AC143),1)),IF(MONTH(B143)=Setup!$C$15,SUMIFS(EmpBonus,EmpCode,$C143),0)))</f>
        <v>120000</v>
      </c>
      <c r="J143" s="133" cm="1">
        <f t="array" aca="1" ref="J143" ca="1">IF($F143&lt;&gt;"Active",0,IF(COUNTIFS(OverEmp,$C143,OverEarn,J$2,OverDate,"&lt;"&amp;DATE(YEAR($AC143),MONTH($AC143)+1,1),OverEnd,"&gt;="&amp;DATE(YEAR($AC143),MONTH($AC143),1))&gt;0,SUMIFS(OverValue,OverEmp,$C143,OverEarn,J$2,OverDate,"&lt;"&amp;DATE(YEAR($AC143),MONTH($AC143)+1,1),OverEnd,"&gt;="&amp;DATE(YEAR($AC143),MONTH($AC143),1)),0))</f>
        <v>0</v>
      </c>
      <c r="K143" s="133" cm="1">
        <f t="array" aca="1" ref="K143" ca="1">IF($F143&lt;&gt;"Active",0,IF(COUNTIFS(OverEmp,$C143,OverEarn,K$2,OverDate,"&lt;"&amp;DATE(YEAR($AC143),MONTH($AC143)+1,1),OverEnd,"&gt;="&amp;DATE(YEAR($AC143),MONTH($AC143),1))&gt;0,SUMIFS(OverValue,OverEmp,$C143,OverEarn,K$2,OverDate,"&lt;"&amp;DATE(YEAR($AC143),MONTH($AC143)+1,1),OverEnd,"&gt;="&amp;DATE(YEAR($AC143),MONTH($AC143),1)),0))</f>
        <v>0</v>
      </c>
      <c r="L143" s="185">
        <f t="shared" ca="1" si="66"/>
        <v>240000</v>
      </c>
      <c r="M143" s="182" cm="1">
        <f t="array" aca="1" ref="M143" ca="1">IF(COUNTIFS(OverEmp,$C143,OverTax,M$5,OverDate,"&lt;"&amp;DATE(YEAR($AC143),MONTH($AC143)+1,1),OverEnd,"&gt;="&amp;DATE(YEAR($AC143),MONTH($AC143),1))&gt;0,SUMIFS(OverValue,OverEmp,$C143,OverTax,M$5,OverDate,"&lt;"&amp;DATE(YEAR($AC143),MONTH($AC143)+1,1),OverEnd,"&gt;="&amp;DATE(YEAR($AC143),MONTH($AC143),1)),(($BA143/12*$AA143)+(BB143*IF(1-$BC143=0,0,BD143/(1-$BC143))))-IF($F143="Terminated",0,SUMIFS(PayTaxDeduct,PayDate,"&lt;"&amp;$AC143,PayEmp,$C143)))</f>
        <v>87698.33333333343</v>
      </c>
      <c r="N143" s="133" cm="1">
        <f t="array" aca="1" ref="N143" ca="1">IF($F143="Terminated",0,IF($AA143=0,0,IF(ISNA(MATCH(N$5,DedListItem,0)),0,IF(COUNTIFS(OverEmp,$C143,OverDeduct,N$5,OverDate,"&lt;"&amp;DATE(YEAR($AC143),MONTH($AC143)+1,1),OverEnd,"&gt;="&amp;DATE(YEAR($AC143),MONTH($AC143),1))&gt;0,SUMIFS(OverValue,OverEmp,$C143,OverDeduct,N$5,OverDate,"&lt;"&amp;DATE(YEAR($AC143),MONTH($AC143)+1,1),OverEnd,"&gt;="&amp;DATE(YEAR($AC143),MONTH($AC143),1)),IF(OR(N$2="Fixed",N$2="Not Used"),(IF(COUNTIFS(EmpNo,$C143,OFFSET(Emp!$R$4,1,MATCH(N$5,DedListItem,0)-1,EmpCount,1),"&lt;&gt;")&gt;0,VLOOKUP($C143,EmpAll,COLUMN(Emp!$R$4)+MATCH(N$5,DedListItem,0)-1,0),OFFSET(Setup!$E$73,MATCH(N$5,DedListItem,0),0,1,1))*$AA143)-SUMIFS(OFFSET(N$6,1,0,PayCount,1),PayDate,"&lt;"&amp;$AC143,PayEmp,$C143),IF(ISNA(MATCH(N$2,EarnListItem,0))=FALSE,IF(OFFSET(Setup!$G$73,MATCH(N$5,DedListItem,0),0,1,1)="Taxable",SUMPRODUCT((PayEmp=$C143)*(PayDate&lt;=$AC143)*(PayEarnCode=N$2)*(PayEarnTax)*(PayEarnValues)),SUMPRODUCT((PayEmp=$C143)*(PayDate&lt;=$AC143)*(PayEarnCode=N$2)*(PayEarnValues)))*IF(COUNTIFS(EmpNo,$C143,OFFSET(Emp!$R$4,1,MATCH(N$5,DedListItem,0)-1,EmpCount,1),"&lt;&gt;")&gt;0,VLOOKUP($C143,EmpAll,COLUMN(Emp!$R$4)+MATCH(N$5,DedListItem,0)-1,0),OFFSET(Setup!$E$73,MATCH(N$5,DedListItem,0),0,1,1)),(MIN(IF(OFFSET(Setup!$G$73,MATCH(N$5,DedListItem,0),0,1,1)="Taxable",SUMPRODUCT((PayEmp=$C143)*(PayDate&lt;=$AC143)*(ISERROR(SEARCH(PayEarnCode,N$4)))*(PayEarnTax)*(PayEarnValues)),SUMPRODUCT((PayEmp=$C143)*(PayDate&lt;=$AC143)*(ISERROR(SEARCH(PayEarnCode,N$4)))*(PayEarnValues))),IF(ISNUMBER(N$3),N$3/12*$AA143,IgnoreMin)))*IF(COUNTIFS(EmpNo,$C143,OFFSET(Emp!$R$4,1,MATCH(N$5,DedListItem,0)-1,EmpCount,1),"&lt;&gt;")&gt;0,VLOOKUP($C143,EmpAll,COLUMN(Emp!$R$4)+MATCH(N$5,DedListItem,0)-1,0),OFFSET(Setup!$E$73,MATCH(N$5,DedListItem,0),0,1,1)))-SUMIFS(OFFSET(N$6,1,0,PayCount,1),PayDate,"&lt;"&amp;$AC143,PayEmp,$C143))))))</f>
        <v>177.12000000000012</v>
      </c>
      <c r="O143" s="133" cm="1">
        <f t="array" aca="1" ref="O143" ca="1">IF($F143="Terminated",0,IF($AA143=0,0,IF(ISNA(MATCH(O$5,DedListItem,0)),0,IF(COUNTIFS(OverEmp,$C143,OverDeduct,O$5,OverDate,"&lt;"&amp;DATE(YEAR($AC143),MONTH($AC143)+1,1),OverEnd,"&gt;="&amp;DATE(YEAR($AC143),MONTH($AC143),1))&gt;0,SUMIFS(OverValue,OverEmp,$C143,OverDeduct,O$5,OverDate,"&lt;"&amp;DATE(YEAR($AC143),MONTH($AC143)+1,1),OverEnd,"&gt;="&amp;DATE(YEAR($AC143),MONTH($AC143),1)),IF(OR(O$2="Fixed",O$2="Not Used"),(IF(COUNTIFS(EmpNo,$C143,OFFSET(Emp!$R$4,1,MATCH(O$5,DedListItem,0)-1,EmpCount,1),"&lt;&gt;")&gt;0,VLOOKUP($C143,EmpAll,COLUMN(Emp!$R$4)+MATCH(O$5,DedListItem,0)-1,0),OFFSET(Setup!$E$73,MATCH(O$5,DedListItem,0),0,1,1))*$AA143)-SUMIFS(OFFSET(O$6,1,0,PayCount,1),PayDate,"&lt;"&amp;$AC143,PayEmp,$C143),IF(ISNA(MATCH(O$2,EarnListItem,0))=FALSE,IF(OFFSET(Setup!$G$73,MATCH(O$5,DedListItem,0),0,1,1)="Taxable",SUMPRODUCT((PayEmp=$C143)*(PayDate&lt;=$AC143)*(PayEarnCode=O$2)*(PayEarnTax)*(PayEarnValues)),SUMPRODUCT((PayEmp=$C143)*(PayDate&lt;=$AC143)*(PayEarnCode=O$2)*(PayEarnValues)))*IF(COUNTIFS(EmpNo,$C143,OFFSET(Emp!$R$4,1,MATCH(O$5,DedListItem,0)-1,EmpCount,1),"&lt;&gt;")&gt;0,VLOOKUP($C143,EmpAll,COLUMN(Emp!$R$4)+MATCH(O$5,DedListItem,0)-1,0),OFFSET(Setup!$E$73,MATCH(O$5,DedListItem,0),0,1,1)),(MIN(IF(OFFSET(Setup!$G$73,MATCH(O$5,DedListItem,0),0,1,1)="Taxable",SUMPRODUCT((PayEmp=$C143)*(PayDate&lt;=$AC143)*(ISERROR(SEARCH(PayEarnCode,O$4)))*(PayEarnTax)*(PayEarnValues)),SUMPRODUCT((PayEmp=$C143)*(PayDate&lt;=$AC143)*(ISERROR(SEARCH(PayEarnCode,O$4)))*(PayEarnValues))),IF(ISNUMBER(O$3),O$3/12*$AA143,IgnoreMin)))*IF(COUNTIFS(EmpNo,$C143,OFFSET(Emp!$R$4,1,MATCH(O$5,DedListItem,0)-1,EmpCount,1),"&lt;&gt;")&gt;0,VLOOKUP($C143,EmpAll,COLUMN(Emp!$R$4)+MATCH(O$5,DedListItem,0)-1,0),OFFSET(Setup!$E$73,MATCH(O$5,DedListItem,0),0,1,1)))-SUMIFS(OFFSET(O$6,1,0,PayCount,1),PayDate,"&lt;"&amp;$AC143,PayEmp,$C143))))))</f>
        <v>0</v>
      </c>
      <c r="P143" s="133" cm="1">
        <f t="array" aca="1" ref="P143" ca="1">IF($F143="Terminated",0,IF($AA143=0,0,IF(ISNA(MATCH(P$5,DedListItem,0)),0,IF(COUNTIFS(OverEmp,$C143,OverDeduct,P$5,OverDate,"&lt;"&amp;DATE(YEAR($AC143),MONTH($AC143)+1,1),OverEnd,"&gt;="&amp;DATE(YEAR($AC143),MONTH($AC143),1))&gt;0,SUMIFS(OverValue,OverEmp,$C143,OverDeduct,P$5,OverDate,"&lt;"&amp;DATE(YEAR($AC143),MONTH($AC143)+1,1),OverEnd,"&gt;="&amp;DATE(YEAR($AC143),MONTH($AC143),1)),IF(OR(P$2="Fixed",P$2="Not Used"),(IF(COUNTIFS(EmpNo,$C143,OFFSET(Emp!$R$4,1,MATCH(P$5,DedListItem,0)-1,EmpCount,1),"&lt;&gt;")&gt;0,VLOOKUP($C143,EmpAll,COLUMN(Emp!$R$4)+MATCH(P$5,DedListItem,0)-1,0),OFFSET(Setup!$E$73,MATCH(P$5,DedListItem,0),0,1,1))*$AA143)-SUMIFS(OFFSET(P$6,1,0,PayCount,1),PayDate,"&lt;"&amp;$AC143,PayEmp,$C143),IF(ISNA(MATCH(P$2,EarnListItem,0))=FALSE,IF(OFFSET(Setup!$G$73,MATCH(P$5,DedListItem,0),0,1,1)="Taxable",SUMPRODUCT((PayEmp=$C143)*(PayDate&lt;=$AC143)*(PayEarnCode=P$2)*(PayEarnTax)*(PayEarnValues)),SUMPRODUCT((PayEmp=$C143)*(PayDate&lt;=$AC143)*(PayEarnCode=P$2)*(PayEarnValues)))*IF(COUNTIFS(EmpNo,$C143,OFFSET(Emp!$R$4,1,MATCH(P$5,DedListItem,0)-1,EmpCount,1),"&lt;&gt;")&gt;0,VLOOKUP($C143,EmpAll,COLUMN(Emp!$R$4)+MATCH(P$5,DedListItem,0)-1,0),OFFSET(Setup!$E$73,MATCH(P$5,DedListItem,0),0,1,1)),(MIN(IF(OFFSET(Setup!$G$73,MATCH(P$5,DedListItem,0),0,1,1)="Taxable",SUMPRODUCT((PayEmp=$C143)*(PayDate&lt;=$AC143)*(ISERROR(SEARCH(PayEarnCode,P$4)))*(PayEarnTax)*(PayEarnValues)),SUMPRODUCT((PayEmp=$C143)*(PayDate&lt;=$AC143)*(ISERROR(SEARCH(PayEarnCode,P$4)))*(PayEarnValues))),IF(ISNUMBER(P$3),P$3/12*$AA143,IgnoreMin)))*IF(COUNTIFS(EmpNo,$C143,OFFSET(Emp!$R$4,1,MATCH(P$5,DedListItem,0)-1,EmpCount,1),"&lt;&gt;")&gt;0,VLOOKUP($C143,EmpAll,COLUMN(Emp!$R$4)+MATCH(P$5,DedListItem,0)-1,0),OFFSET(Setup!$E$73,MATCH(P$5,DedListItem,0),0,1,1)))-SUMIFS(OFFSET(P$6,1,0,PayCount,1),PayDate,"&lt;"&amp;$AC143,PayEmp,$C143))))))</f>
        <v>0</v>
      </c>
      <c r="Q143" s="133" cm="1">
        <f t="array" aca="1" ref="Q143" ca="1">IF($F143="Terminated",0,IF($AA143=0,0,IF(ISNA(MATCH(Q$5,DedListItem,0)),0,IF(COUNTIFS(OverEmp,$C143,OverDeduct,Q$5,OverDate,"&lt;"&amp;DATE(YEAR($AC143),MONTH($AC143)+1,1),OverEnd,"&gt;="&amp;DATE(YEAR($AC143),MONTH($AC143),1))&gt;0,SUMIFS(OverValue,OverEmp,$C143,OverDeduct,Q$5,OverDate,"&lt;"&amp;DATE(YEAR($AC143),MONTH($AC143)+1,1),OverEnd,"&gt;="&amp;DATE(YEAR($AC143),MONTH($AC143),1)),IF(OR(Q$2="Fixed",Q$2="Not Used"),(IF(COUNTIFS(EmpNo,$C143,OFFSET(Emp!$R$4,1,MATCH(Q$5,DedListItem,0)-1,EmpCount,1),"&lt;&gt;")&gt;0,VLOOKUP($C143,EmpAll,COLUMN(Emp!$R$4)+MATCH(Q$5,DedListItem,0)-1,0),OFFSET(Setup!$E$73,MATCH(Q$5,DedListItem,0),0,1,1))*$AA143)-SUMIFS(OFFSET(Q$6,1,0,PayCount,1),PayDate,"&lt;"&amp;$AC143,PayEmp,$C143),IF(ISNA(MATCH(Q$2,EarnListItem,0))=FALSE,IF(OFFSET(Setup!$G$73,MATCH(Q$5,DedListItem,0),0,1,1)="Taxable",SUMPRODUCT((PayEmp=$C143)*(PayDate&lt;=$AC143)*(PayEarnCode=Q$2)*(PayEarnTax)*(PayEarnValues)),SUMPRODUCT((PayEmp=$C143)*(PayDate&lt;=$AC143)*(PayEarnCode=Q$2)*(PayEarnValues)))*IF(COUNTIFS(EmpNo,$C143,OFFSET(Emp!$R$4,1,MATCH(Q$5,DedListItem,0)-1,EmpCount,1),"&lt;&gt;")&gt;0,VLOOKUP($C143,EmpAll,COLUMN(Emp!$R$4)+MATCH(Q$5,DedListItem,0)-1,0),OFFSET(Setup!$E$73,MATCH(Q$5,DedListItem,0),0,1,1)),(MIN(IF(OFFSET(Setup!$G$73,MATCH(Q$5,DedListItem,0),0,1,1)="Taxable",SUMPRODUCT((PayEmp=$C143)*(PayDate&lt;=$AC143)*(ISERROR(SEARCH(PayEarnCode,Q$4)))*(PayEarnTax)*(PayEarnValues)),SUMPRODUCT((PayEmp=$C143)*(PayDate&lt;=$AC143)*(ISERROR(SEARCH(PayEarnCode,Q$4)))*(PayEarnValues))),IF(ISNUMBER(Q$3),Q$3/12*$AA143,IgnoreMin)))*IF(COUNTIFS(EmpNo,$C143,OFFSET(Emp!$R$4,1,MATCH(Q$5,DedListItem,0)-1,EmpCount,1),"&lt;&gt;")&gt;0,VLOOKUP($C143,EmpAll,COLUMN(Emp!$R$4)+MATCH(Q$5,DedListItem,0)-1,0),OFFSET(Setup!$E$73,MATCH(Q$5,DedListItem,0),0,1,1)))-SUMIFS(OFFSET(Q$6,1,0,PayCount,1),PayDate,"&lt;"&amp;$AC143,PayEmp,$C143))))))</f>
        <v>0</v>
      </c>
      <c r="R143" s="185">
        <f t="shared" ca="1" si="67"/>
        <v>87875.453333333426</v>
      </c>
      <c r="S143" s="139">
        <f t="shared" ca="1" si="68"/>
        <v>152124.54999999999</v>
      </c>
      <c r="T143" s="133" cm="1">
        <f t="array" aca="1" ref="T143" ca="1">IF($F143="Terminated",0,IF($AA143=0,0,IF(ISNA(MATCH(T$5,CompListItem,0)),0,IF(COUNTIFS(OverEmp,$C143,OverComp,T$5,OverDate,"&lt;"&amp;DATE(YEAR($AC143),MONTH($AC143)+1,1),OverEnd,"&gt;="&amp;DATE(YEAR($AC143),MONTH($AC143),1))&gt;0,SUMIFS(OverValue,OverEmp,$C143,OverComp,T$5,OverDate,"&lt;"&amp;DATE(YEAR($AC143),MONTH($AC143)+1,1),OverEnd,"&gt;="&amp;DATE(YEAR($AC143),MONTH($AC143),1)),IF(OR(T$2="Fixed",T$2="Not Used"),(OFFSET(Setup!$E$81,MATCH(T$5,CompListItem,0),0,1,1)*$AA143)-SUMIFS(OFFSET(T$6,1,0,PayCount,1),PayDate,"&lt;"&amp;$AC143,PayEmp,$C143),IF(ISNA(MATCH(T$2,DedListItem,0))=FALSE,(SUMPRODUCT((PayEmp=$C143)*(PayDate&lt;=$AC143)*(PayDedList=T$2)*(PayDedValues))*OFFSET(Setup!$E$81,MATCH(T$5,CompListItem,0),0,1,1))-SUMIFS(OFFSET(T$6,1,0,PayCount,1),PayDate,"&lt;"&amp;$AC143,PayEmp,$C143),(MIN(IF(OFFSET(Setup!$G$81,MATCH(T$5,CompListItem,0),0,1,1)="Taxable",SUMPRODUCT((PayEmp=$C143)*(PayDate&lt;=$AC143)*(ISERROR(SEARCH(PayEarnCode,T$4)))*(PayEarnTax)*(PayEarnValues)),SUMPRODUCT((PayEmp=$C143)*(PayDate&lt;=$AC143)*(ISERROR(SEARCH(PayEarnCode,T$4)))*(PayEarnValues))),IF(ISNUMBER(T$3),T$3/12*$AA143,IgnoreMin)))*OFFSET(Setup!$E$81,MATCH(T$5,CompListItem,0),0,1,1)-SUMIFS(OFFSET(T$6,1,0,PayCount,1),PayDate,"&lt;"&amp;$AC143,PayEmp,$C143)))))))</f>
        <v>177.12000000000012</v>
      </c>
      <c r="U143" s="133" cm="1">
        <f t="array" aca="1" ref="U143" ca="1">IF($F143="Terminated",0,IF($AA143=0,0,IF(ISNA(MATCH(U$5,CompListItem,0)),0,IF(COUNTIFS(OverEmp,$C143,OverComp,U$5,OverDate,"&lt;"&amp;DATE(YEAR($AC143),MONTH($AC143)+1,1),OverEnd,"&gt;="&amp;DATE(YEAR($AC143),MONTH($AC143),1))&gt;0,SUMIFS(OverValue,OverEmp,$C143,OverComp,U$5,OverDate,"&lt;"&amp;DATE(YEAR($AC143),MONTH($AC143)+1,1),OverEnd,"&gt;="&amp;DATE(YEAR($AC143),MONTH($AC143),1)),IF(OR(U$2="Fixed",U$2="Not Used"),(OFFSET(Setup!$E$81,MATCH(U$5,CompListItem,0),0,1,1)*$AA143)-SUMIFS(OFFSET(U$6,1,0,PayCount,1),PayDate,"&lt;"&amp;$AC143,PayEmp,$C143),IF(ISNA(MATCH(U$2,DedListItem,0))=FALSE,(SUMPRODUCT((PayEmp=$C143)*(PayDate&lt;=$AC143)*(PayDedList=U$2)*(PayDedValues))*OFFSET(Setup!$E$81,MATCH(U$5,CompListItem,0),0,1,1))-SUMIFS(OFFSET(U$6,1,0,PayCount,1),PayDate,"&lt;"&amp;$AC143,PayEmp,$C143),(MIN(IF(OFFSET(Setup!$G$81,MATCH(U$5,CompListItem,0),0,1,1)="Taxable",SUMPRODUCT((PayEmp=$C143)*(PayDate&lt;=$AC143)*(ISERROR(SEARCH(PayEarnCode,U$4)))*(PayEarnTax)*(PayEarnValues)),SUMPRODUCT((PayEmp=$C143)*(PayDate&lt;=$AC143)*(ISERROR(SEARCH(PayEarnCode,U$4)))*(PayEarnValues))),IF(ISNUMBER(U$3),U$3/12*$AA143,IgnoreMin)))*OFFSET(Setup!$E$81,MATCH(U$5,CompListItem,0),0,1,1)-SUMIFS(OFFSET(U$6,1,0,PayCount,1),PayDate,"&lt;"&amp;$AC143,PayEmp,$C143)))))))</f>
        <v>2400</v>
      </c>
      <c r="V143" s="133" cm="1">
        <f t="array" aca="1" ref="V143" ca="1">IF($F143="Terminated",0,IF($AA143=0,0,IF(ISNA(MATCH(V$5,CompListItem,0)),0,IF(COUNTIFS(OverEmp,$C143,OverComp,V$5,OverDate,"&lt;"&amp;DATE(YEAR($AC143),MONTH($AC143)+1,1),OverEnd,"&gt;="&amp;DATE(YEAR($AC143),MONTH($AC143),1))&gt;0,SUMIFS(OverValue,OverEmp,$C143,OverComp,V$5,OverDate,"&lt;"&amp;DATE(YEAR($AC143),MONTH($AC143)+1,1),OverEnd,"&gt;="&amp;DATE(YEAR($AC143),MONTH($AC143),1)),IF(OR(V$2="Fixed",V$2="Not Used"),(OFFSET(Setup!$E$81,MATCH(V$5,CompListItem,0),0,1,1)*$AA143)-SUMIFS(OFFSET(V$6,1,0,PayCount,1),PayDate,"&lt;"&amp;$AC143,PayEmp,$C143),IF(ISNA(MATCH(V$2,DedListItem,0))=FALSE,(SUMPRODUCT((PayEmp=$C143)*(PayDate&lt;=$AC143)*(PayDedList=V$2)*(PayDedValues))*OFFSET(Setup!$E$81,MATCH(V$5,CompListItem,0),0,1,1))-SUMIFS(OFFSET(V$6,1,0,PayCount,1),PayDate,"&lt;"&amp;$AC143,PayEmp,$C143),(MIN(IF(OFFSET(Setup!$G$81,MATCH(V$5,CompListItem,0),0,1,1)="Taxable",SUMPRODUCT((PayEmp=$C143)*(PayDate&lt;=$AC143)*(ISERROR(SEARCH(PayEarnCode,V$4)))*(PayEarnTax)*(PayEarnValues)),SUMPRODUCT((PayEmp=$C143)*(PayDate&lt;=$AC143)*(ISERROR(SEARCH(PayEarnCode,V$4)))*(PayEarnValues))),IF(ISNUMBER(V$3),V$3/12*$AA143,IgnoreMin)))*OFFSET(Setup!$E$81,MATCH(V$5,CompListItem,0),0,1,1)-SUMIFS(OFFSET(V$6,1,0,PayCount,1),PayDate,"&lt;"&amp;$AC143,PayEmp,$C143)))))))</f>
        <v>0</v>
      </c>
      <c r="W143" s="133" cm="1">
        <f t="array" aca="1" ref="W143" ca="1">IF($F143="Terminated",0,IF($AA143=0,0,IF(ISNA(MATCH(W$5,CompListItem,0)),0,IF(COUNTIFS(OverEmp,$C143,OverComp,W$5,OverDate,"&lt;"&amp;DATE(YEAR($AC143),MONTH($AC143)+1,1),OverEnd,"&gt;="&amp;DATE(YEAR($AC143),MONTH($AC143),1))&gt;0,SUMIFS(OverValue,OverEmp,$C143,OverComp,W$5,OverDate,"&lt;"&amp;DATE(YEAR($AC143),MONTH($AC143)+1,1),OverEnd,"&gt;="&amp;DATE(YEAR($AC143),MONTH($AC143),1)),IF(OR(W$2="Fixed",W$2="Not Used"),(OFFSET(Setup!$E$81,MATCH(W$5,CompListItem,0),0,1,1)*$AA143)-SUMIFS(OFFSET(W$6,1,0,PayCount,1),PayDate,"&lt;"&amp;$AC143,PayEmp,$C143),IF(ISNA(MATCH(W$2,DedListItem,0))=FALSE,(SUMPRODUCT((PayEmp=$C143)*(PayDate&lt;=$AC143)*(PayDedList=W$2)*(PayDedValues))*OFFSET(Setup!$E$81,MATCH(W$5,CompListItem,0),0,1,1))-SUMIFS(OFFSET(W$6,1,0,PayCount,1),PayDate,"&lt;"&amp;$AC143,PayEmp,$C143),(MIN(IF(OFFSET(Setup!$G$81,MATCH(W$5,CompListItem,0),0,1,1)="Taxable",SUMPRODUCT((PayEmp=$C143)*(PayDate&lt;=$AC143)*(ISERROR(SEARCH(PayEarnCode,W$4)))*(PayEarnTax)*(PayEarnValues)),SUMPRODUCT((PayEmp=$C143)*(PayDate&lt;=$AC143)*(ISERROR(SEARCH(PayEarnCode,W$4)))*(PayEarnValues))),IF(ISNUMBER(W$3),W$3/12*$AA143,IgnoreMin)))*OFFSET(Setup!$E$81,MATCH(W$5,CompListItem,0),0,1,1)-SUMIFS(OFFSET(W$6,1,0,PayCount,1),PayDate,"&lt;"&amp;$AC143,PayEmp,$C143)))))))</f>
        <v>0</v>
      </c>
      <c r="X143" s="185">
        <f t="shared" ca="1" si="60"/>
        <v>2577.12</v>
      </c>
      <c r="Y143" s="139">
        <f t="shared" ca="1" si="69"/>
        <v>242577.12</v>
      </c>
      <c r="Z143" s="139">
        <f t="shared" ca="1" si="61"/>
        <v>90452.57</v>
      </c>
      <c r="AA143" s="146">
        <f ca="1">IF(OR($B143&lt;=Setup!$E$12,$B143&gt;=Setup!$D$12+1),0,IF($F143&lt;&gt;"Active",0,IF($AE143="Yes",$AB143,((YEAR($AC143)*12)+MONTH($AC143))-((YEAR($AD143)*12)+MONTH($AD143)-1))))</f>
        <v>10</v>
      </c>
      <c r="AB143" s="146">
        <f ca="1">IF(OR($B143&lt;=Setup!$E$12,$B143&gt;=Setup!$D$12+1),0,((YEAR($AC143)*12)+MONTH($AC143))-((YEAR(Setup!$E$12)*12)+MONTH(Setup!$E$12)))</f>
        <v>10</v>
      </c>
      <c r="AC143" s="186">
        <f t="shared" ca="1" si="62"/>
        <v>45285</v>
      </c>
      <c r="AD143" s="144">
        <f ca="1">IF(ISNA(VLOOKUP($C143,EmpAll,COLUMN(Emp!$E$4),0)),$AC143,IF(VLOOKUP($C143,EmpAll,COLUMN(Emp!$E$4),0)&lt;=Setup!$E$12,DATE(YEAR(Setup!$E$12),MONTH(Setup!$E$12)+1,1),VLOOKUP($C143,EmpAll,COLUMN(Emp!$E$4),0)))</f>
        <v>44986</v>
      </c>
      <c r="AE143" s="144" t="str">
        <f ca="1">IF(ISNA(VLOOKUP($C143,EmpAll,COLUMN(Emp!$G$1),0)),"-",IF(VLOOKUP($C143,EmpAll,COLUMN(Emp!$G$1),0)=0,"-",VLOOKUP($C143,EmpAll,COLUMN(Emp!$G$1),0)))</f>
        <v>-</v>
      </c>
      <c r="AF143" s="145">
        <f ca="1">IF(A143=PaySlip!$G$3,1,0)</f>
        <v>0</v>
      </c>
      <c r="AG143" s="130" cm="1">
        <f t="array" aca="1" ref="AG143" ca="1">IF(COUNTIFS(OverEmp,$C143,OverMed,"MED",OverDate,"&lt;"&amp;DATE(YEAR($AC143),MONTH($AC143)+1,1),OverEnd,"&gt;="&amp;DATE(YEAR($AC143),MONTH($AC143),1))&gt;0,SUMIFS(OverValue,OverEmp,$C143,OverMed,"MED",OverDate,"&lt;"&amp;DATE(YEAR($AC143),MONTH($AC143)+1,1),OverEnd,"&gt;="&amp;DATE(YEAR($AC143),MONTH($AC143),1)),IF(ISNA(VLOOKUP($C143,EmpAll,COLUMN(Emp!$N$4),0)),0,VLOOKUP($C143,EmpAll,COLUMN(Emp!$N$4),0)))</f>
        <v>3</v>
      </c>
      <c r="AH143" s="146">
        <f ca="1">VLOOKUP($AG143,MedList,COLUMN(Setup!$C$49),1)</f>
        <v>974</v>
      </c>
      <c r="AI143" s="146">
        <f t="shared" ca="1" si="70"/>
        <v>10704</v>
      </c>
      <c r="AJ143" s="101" t="str">
        <f ca="1">IF(ISNA(VLOOKUP($C143,EmpAll,COLUMN(Emp!$L$4),0)),"None!",VLOOKUP($C143,EmpAll,COLUMN(Emp!$L$4),0))</f>
        <v>A</v>
      </c>
      <c r="AK143" s="147">
        <f t="shared" ca="1" si="63"/>
        <v>17235</v>
      </c>
      <c r="AL143" s="101" t="str">
        <f ca="1">IF(ISNA(VLOOKUP($C143,Employees[],COLUMN(Emp!$M$4),0))=TRUE,"Error!",IF(VLOOKUP($C143,Employees[],COLUMN(Emp!$M$4),0)=0,"Yes",VLOOKUP($C143,Employees[],COLUMN(Emp!$M$4),0)))</f>
        <v>A</v>
      </c>
      <c r="AM143" s="148">
        <f t="shared" ca="1" si="71"/>
        <v>1560000</v>
      </c>
      <c r="AN143" s="148" cm="1">
        <f t="array" aca="1" ref="AN143" ca="1">-IF($F143="Terminated",0,IF($AA143=0,0,IF(ISNA(MATCH(AN$5,PayDedList,0)),0,MIN(IF(COUNTIFS(OverEmp,$C143,OverDeduct,AN$5,OverDate,"&lt;"&amp;DATE(YEAR($AC143),MONTH($AC143)+1,1),OverEnd,"&gt;="&amp;DATE(YEAR($AC143),MONTH($AC143),1))&gt;0,SUMPRODUCT((PayEmp=$C143)*(PayDate&lt;=$AC143)*(OFFSET($N$6,1,MATCH(AN$5,PayDedList,0)-1,PayCount,1)))/$AA143*12*AN$3,IF(OR(AN$1="Fixed",AN$1="Not Used"),SUMPRODUCT((PayEmp=$C143)*(PayDate&lt;=$AC143)*(OFFSET($N$6,1,MATCH(AN$5,PayDedList,0)-1,PayCount,1)))/$AA143*12*AN$3,IF(ISNA(MATCH(AN$1,EarnListItem,0))=FALSE,SUMPRODUCT((PayEmp=$C143)*(PayDate&lt;=$AC143)*(OFFSET($N$6,1,MATCH(AN$5,PayDedList,0)-1,PayCount,1)))/$AA143*12*AN$3,(MIN(((SUMPRODUCT((PayEmp=$C143)*(PayDate&lt;=$AC143)*(ISERROR(SEARCH(PayEarnCode,AN$2)))*(PayEarnType="Monthly")*(PayEarnValues))/$AA143*12)+(SUMPRODUCT((PayEmp=$C143)*(PayDate&lt;=$AC143)*(ISERROR(SEARCH(PayEarnCode,AN$2)))*(PayEarnType="Quarterly")*(PayEarnValues))/MAX(1,ROUNDDOWN($AB143/3,0))*4)+(SUMPRODUCT((PayEmp=$C143)*(PayDate&lt;=$AC143)*(ISERROR(SEARCH(PayEarnCode,AN$2)))*(PayEarnType="Bi-Annual")*(PayEarnValues))/MAX(1,ROUNDDOWN($AB143/6,0))*2)+(SUMPRODUCT((PayEmp=$C143)*(PayDate&lt;=$AC143)*(ISERROR(SEARCH(PayEarnCode,AN$2)))*(PayEarnType="Annual")*(PayEarnValues)))),IF(ISNUMBER(OFFSET($N$3,0,MATCH(AN$5,PayDedList,0)-1,1,1)),OFFSET($N$3,0,MATCH(AN$5,PayDedList,0)-1,1,1),IgnoreMin)))*IF(COUNTIFS(EmpNo,$C143,OFFSET(Emp!$R$4,1,MATCH(AN$5,DedListItem,0)-1,EmpCount,1),"&lt;&gt;")&gt;0,VLOOKUP($C143,EmpAll,COLUMN(Emp!$R$4)+MATCH(AN$5,DedListItem,0)-1,0),OFFSET(Setup!$E$73,MATCH(AN$5,DedListItem,0),0,1,1))*AN$3))),IF(ISNUMBER(AN$4),AN$4,IgnoreMin)))))</f>
        <v>0</v>
      </c>
      <c r="AO143" s="148" cm="1">
        <f t="array" aca="1" ref="AO143" ca="1">-IF($F143="Terminated",0,IF($AA143=0,0,IF(ISNA(MATCH(AO$5,PayDedList,0)),0,MIN(IF(COUNTIFS(OverEmp,$C143,OverDeduct,AO$5,OverDate,"&lt;"&amp;DATE(YEAR($AC143),MONTH($AC143)+1,1),OverEnd,"&gt;="&amp;DATE(YEAR($AC143),MONTH($AC143),1))&gt;0,SUMPRODUCT((PayEmp=$C143)*(PayDate&lt;=$AC143)*(OFFSET($N$6,1,MATCH(AO$5,PayDedList,0)-1,PayCount,1)))/$AA143*12*AO$3,IF(OR(AO$1="Fixed",AO$1="Not Used"),SUMPRODUCT((PayEmp=$C143)*(PayDate&lt;=$AC143)*(OFFSET($N$6,1,MATCH(AO$5,PayDedList,0)-1,PayCount,1)))/$AA143*12*AO$3,IF(ISNA(MATCH(AO$1,EarnListItem,0))=FALSE,SUMPRODUCT((PayEmp=$C143)*(PayDate&lt;=$AC143)*(OFFSET($N$6,1,MATCH(AO$5,PayDedList,0)-1,PayCount,1)))/$AA143*12*AO$3,(MIN(((SUMPRODUCT((PayEmp=$C143)*(PayDate&lt;=$AC143)*(ISERROR(SEARCH(PayEarnCode,AO$2)))*(PayEarnType="Monthly")*(PayEarnValues))/$AA143*12)+(SUMPRODUCT((PayEmp=$C143)*(PayDate&lt;=$AC143)*(ISERROR(SEARCH(PayEarnCode,AO$2)))*(PayEarnType="Quarterly")*(PayEarnValues))/MAX(1,ROUNDDOWN($AB143/3,0))*4)+(SUMPRODUCT((PayEmp=$C143)*(PayDate&lt;=$AC143)*(ISERROR(SEARCH(PayEarnCode,AO$2)))*(PayEarnType="Bi-Annual")*(PayEarnValues))/MAX(1,ROUNDDOWN($AB143/6,0))*2)+(SUMPRODUCT((PayEmp=$C143)*(PayDate&lt;=$AC143)*(ISERROR(SEARCH(PayEarnCode,AO$2)))*(PayEarnType="Annual")*(PayEarnValues)))),IF(ISNUMBER(OFFSET($N$3,0,MATCH(AO$5,PayDedList,0)-1,1,1)),OFFSET($N$3,0,MATCH(AO$5,PayDedList,0)-1,1,1),IgnoreMin)))*IF(COUNTIFS(EmpNo,$C143,OFFSET(Emp!$R$4,1,MATCH(AO$5,DedListItem,0)-1,EmpCount,1),"&lt;&gt;")&gt;0,VLOOKUP($C143,EmpAll,COLUMN(Emp!$R$4)+MATCH(AO$5,DedListItem,0)-1,0),OFFSET(Setup!$E$73,MATCH(AO$5,DedListItem,0),0,1,1))*AO$3))),IF(ISNUMBER(AO$4),AO$4,IgnoreMin)))))</f>
        <v>0</v>
      </c>
      <c r="AP143" s="148" cm="1">
        <f t="array" aca="1" ref="AP143" ca="1">-IF($F143="Terminated",0,IF($AA143=0,0,IF(ISNA(MATCH(AP$5,PayDedList,0)),0,MIN(IF(COUNTIFS(OverEmp,$C143,OverDeduct,AP$5,OverDate,"&lt;"&amp;DATE(YEAR($AC143),MONTH($AC143)+1,1),OverEnd,"&gt;="&amp;DATE(YEAR($AC143),MONTH($AC143),1))&gt;0,SUMPRODUCT((PayEmp=$C143)*(PayDate&lt;=$AC143)*(OFFSET($N$6,1,MATCH(AP$5,PayDedList,0)-1,PayCount,1)))/$AA143*12*AP$3,IF(OR(AP$1="Fixed",AP$1="Not Used"),SUMPRODUCT((PayEmp=$C143)*(PayDate&lt;=$AC143)*(OFFSET($N$6,1,MATCH(AP$5,PayDedList,0)-1,PayCount,1)))/$AA143*12*AP$3,IF(ISNA(MATCH(AP$1,EarnListItem,0))=FALSE,SUMPRODUCT((PayEmp=$C143)*(PayDate&lt;=$AC143)*(OFFSET($N$6,1,MATCH(AP$5,PayDedList,0)-1,PayCount,1)))/$AA143*12*AP$3,(MIN(((SUMPRODUCT((PayEmp=$C143)*(PayDate&lt;=$AC143)*(ISERROR(SEARCH(PayEarnCode,AP$2)))*(PayEarnType="Monthly")*(PayEarnValues))/$AA143*12)+(SUMPRODUCT((PayEmp=$C143)*(PayDate&lt;=$AC143)*(ISERROR(SEARCH(PayEarnCode,AP$2)))*(PayEarnType="Quarterly")*(PayEarnValues))/MAX(1,ROUNDDOWN($AB143/3,0))*4)+(SUMPRODUCT((PayEmp=$C143)*(PayDate&lt;=$AC143)*(ISERROR(SEARCH(PayEarnCode,AP$2)))*(PayEarnType="Bi-Annual")*(PayEarnValues))/MAX(1,ROUNDDOWN($AB143/6,0))*2)+(SUMPRODUCT((PayEmp=$C143)*(PayDate&lt;=$AC143)*(ISERROR(SEARCH(PayEarnCode,AP$2)))*(PayEarnType="Annual")*(PayEarnValues)))),IF(ISNUMBER(OFFSET($N$3,0,MATCH(AP$5,PayDedList,0)-1,1,1)),OFFSET($N$3,0,MATCH(AP$5,PayDedList,0)-1,1,1),IgnoreMin)))*IF(COUNTIFS(EmpNo,$C143,OFFSET(Emp!$R$4,1,MATCH(AP$5,DedListItem,0)-1,EmpCount,1),"&lt;&gt;")&gt;0,VLOOKUP($C143,EmpAll,COLUMN(Emp!$R$4)+MATCH(AP$5,DedListItem,0)-1,0),OFFSET(Setup!$E$73,MATCH(AP$5,DedListItem,0),0,1,1))*AP$3))),IF(ISNUMBER(AP$4),AP$4,IgnoreMin)))))</f>
        <v>0</v>
      </c>
      <c r="AQ143" s="148" cm="1">
        <f t="array" aca="1" ref="AQ143" ca="1">-IF($F143="Terminated",0,IF($AA143=0,0,IF(ISNA(MATCH(AQ$5,PayDedList,0)),0,MIN(IF(COUNTIFS(OverEmp,$C143,OverDeduct,AQ$5,OverDate,"&lt;"&amp;DATE(YEAR($AC143),MONTH($AC143)+1,1),OverEnd,"&gt;="&amp;DATE(YEAR($AC143),MONTH($AC143),1))&gt;0,SUMPRODUCT((PayEmp=$C143)*(PayDate&lt;=$AC143)*(OFFSET($N$6,1,MATCH(AQ$5,PayDedList,0)-1,PayCount,1)))/$AA143*12*AQ$3,IF(OR(AQ$1="Fixed",AQ$1="Not Used"),SUMPRODUCT((PayEmp=$C143)*(PayDate&lt;=$AC143)*(OFFSET($N$6,1,MATCH(AQ$5,PayDedList,0)-1,PayCount,1)))/$AA143*12*AQ$3,IF(ISNA(MATCH(AQ$1,EarnListItem,0))=FALSE,SUMPRODUCT((PayEmp=$C143)*(PayDate&lt;=$AC143)*(OFFSET($N$6,1,MATCH(AQ$5,PayDedList,0)-1,PayCount,1)))/$AA143*12*AQ$3,(MIN(((SUMPRODUCT((PayEmp=$C143)*(PayDate&lt;=$AC143)*(ISERROR(SEARCH(PayEarnCode,AQ$2)))*(PayEarnType="Monthly")*(PayEarnValues))/$AA143*12)+(SUMPRODUCT((PayEmp=$C143)*(PayDate&lt;=$AC143)*(ISERROR(SEARCH(PayEarnCode,AQ$2)))*(PayEarnType="Quarterly")*(PayEarnValues))/MAX(1,ROUNDDOWN($AB143/3,0))*4)+(SUMPRODUCT((PayEmp=$C143)*(PayDate&lt;=$AC143)*(ISERROR(SEARCH(PayEarnCode,AQ$2)))*(PayEarnType="Bi-Annual")*(PayEarnValues))/MAX(1,ROUNDDOWN($AB143/6,0))*2)+(SUMPRODUCT((PayEmp=$C143)*(PayDate&lt;=$AC143)*(ISERROR(SEARCH(PayEarnCode,AQ$2)))*(PayEarnType="Annual")*(PayEarnValues)))),IF(ISNUMBER(OFFSET($N$3,0,MATCH(AQ$5,PayDedList,0)-1,1,1)),OFFSET($N$3,0,MATCH(AQ$5,PayDedList,0)-1,1,1),IgnoreMin)))*IF(COUNTIFS(EmpNo,$C143,OFFSET(Emp!$R$4,1,MATCH(AQ$5,DedListItem,0)-1,EmpCount,1),"&lt;&gt;")&gt;0,VLOOKUP($C143,EmpAll,COLUMN(Emp!$R$4)+MATCH(AQ$5,DedListItem,0)-1,0),OFFSET(Setup!$E$73,MATCH(AQ$5,DedListItem,0),0,1,1))*AQ$3))),IF(ISNUMBER(AQ$4),AQ$4,IgnoreMin)))))</f>
        <v>0</v>
      </c>
      <c r="AR143" s="148">
        <f t="shared" ca="1" si="64"/>
        <v>1560000</v>
      </c>
      <c r="AS143" s="148">
        <f t="shared" ca="1" si="72"/>
        <v>1440000</v>
      </c>
      <c r="AT143" s="148" cm="1">
        <f t="array" aca="1" ref="AT143" ca="1">-IF($F143="Terminated",0,IF($AA143=0,0,IF(ISNA(MATCH(AT$5,PayDedList,0)),0,MIN(IF(COUNTIFS(OverEmp,$C143,OverDeduct,AT$5,OverDate,"&lt;"&amp;DATE(YEAR($AC143),MONTH($AC143)+1,1),OverEnd,"&gt;="&amp;DATE(YEAR($AC143),MONTH($AC143),1))&gt;0,SUMPRODUCT((PayEmp=$C143)*(PayDate&lt;=$AC143)*(OFFSET($N$6,1,MATCH(AT$5,PayDedList,0)-1,PayCount,1)))/$AA143*12*AT$3,IF(OR(AT$1="Fixed",AT$1="Not Used"),SUMPRODUCT((PayEmp=$C143)*(PayDate&lt;=$AC143)*(OFFSET($N$6,1,MATCH(AT$5,PayDedList,0)-1,PayCount,1)))/$AA143*12*AT$3,IF(ISNA(MATCH(OFFSET($N$2,0,MATCH(AT$5,PayDedList,0)-1,1,1),EarnListItem,0))=FALSE,SUMPRODUCT((PayEmp=$C143)*(PayDate&lt;=$AC143)*(OFFSET($N$6,1,MATCH(AT$5,PayDedList,0)-1,PayCount,1)))/$AA143*12*AT$3,(MIN(SUMPRODUCT((PayEmp=$C143)*(PayDate&lt;=$AC143)*(ISERROR(SEARCH(PayEarnCode,AT$2)))*(PayEarnType="Monthly")*(PayEarnValues))/$AA143*12,IF(ISNUMBER(OFFSET($N$3,0,MATCH(AT$5,PayDedList,0)-1,1,1)),OFFSET($N$3,0,MATCH(AT$5,PayDedList,0)-1,1,1),IgnoreMin)))*IF(COUNTIFS(EmpNo,$C143,OFFSET(Emp!$R$4,1,MATCH(AT$5,DedListItem,0)-1,EmpCount,1),"&lt;&gt;")&gt;0,VLOOKUP($C143,EmpAll,COLUMN(Emp!$R$4)+MATCH(AT$5,DedListItem,0)-1,0),OFFSET(Setup!$E$73,MATCH(AT$5,DedListItem,0),0,1,1))*AT$3))),IF(ISNUMBER(AT$4),AT$4,IgnoreMin)))))</f>
        <v>0</v>
      </c>
      <c r="AU143" s="148" cm="1">
        <f t="array" aca="1" ref="AU143" ca="1">-IF($F143="Terminated",0,IF($AA143=0,0,IF(ISNA(MATCH(AU$5,PayDedList,0)),0,MIN(IF(COUNTIFS(OverEmp,$C143,OverDeduct,AU$5,OverDate,"&lt;"&amp;DATE(YEAR($AC143),MONTH($AC143)+1,1),OverEnd,"&gt;="&amp;DATE(YEAR($AC143),MONTH($AC143),1))&gt;0,SUMPRODUCT((PayEmp=$C143)*(PayDate&lt;=$AC143)*(OFFSET($N$6,1,MATCH(AU$5,PayDedList,0)-1,PayCount,1)))/$AA143*12*AU$3,IF(OR(AU$1="Fixed",AU$1="Not Used"),SUMPRODUCT((PayEmp=$C143)*(PayDate&lt;=$AC143)*(OFFSET($N$6,1,MATCH(AU$5,PayDedList,0)-1,PayCount,1)))/$AA143*12*AU$3,IF(ISNA(MATCH(OFFSET($N$2,0,MATCH(AU$5,PayDedList,0)-1,1,1),EarnListItem,0))=FALSE,SUMPRODUCT((PayEmp=$C143)*(PayDate&lt;=$AC143)*(OFFSET($N$6,1,MATCH(AU$5,PayDedList,0)-1,PayCount,1)))/$AA143*12*AU$3,(MIN(SUMPRODUCT((PayEmp=$C143)*(PayDate&lt;=$AC143)*(ISERROR(SEARCH(PayEarnCode,AU$2)))*(PayEarnType="Monthly")*(PayEarnValues))/$AA143*12,IF(ISNUMBER(OFFSET($N$3,0,MATCH(AU$5,PayDedList,0)-1,1,1)),OFFSET($N$3,0,MATCH(AU$5,PayDedList,0)-1,1,1),IgnoreMin)))*IF(COUNTIFS(EmpNo,$C143,OFFSET(Emp!$R$4,1,MATCH(AU$5,DedListItem,0)-1,EmpCount,1),"&lt;&gt;")&gt;0,VLOOKUP($C143,EmpAll,COLUMN(Emp!$R$4)+MATCH(AU$5,DedListItem,0)-1,0),OFFSET(Setup!$E$73,MATCH(AU$5,DedListItem,0),0,1,1))*AU$3))),IF(ISNUMBER(AU$4),AU$4,IgnoreMin)))))</f>
        <v>0</v>
      </c>
      <c r="AV143" s="148" cm="1">
        <f t="array" aca="1" ref="AV143" ca="1">-IF($F143="Terminated",0,IF($AA143=0,0,IF(ISNA(MATCH(AV$5,PayDedList,0)),0,MIN(IF(COUNTIFS(OverEmp,$C143,OverDeduct,AV$5,OverDate,"&lt;"&amp;DATE(YEAR($AC143),MONTH($AC143)+1,1),OverEnd,"&gt;="&amp;DATE(YEAR($AC143),MONTH($AC143),1))&gt;0,SUMPRODUCT((PayEmp=$C143)*(PayDate&lt;=$AC143)*(OFFSET($N$6,1,MATCH(AV$5,PayDedList,0)-1,PayCount,1)))/$AA143*12*AV$3,IF(OR(AV$1="Fixed",AV$1="Not Used"),SUMPRODUCT((PayEmp=$C143)*(PayDate&lt;=$AC143)*(OFFSET($N$6,1,MATCH(AV$5,PayDedList,0)-1,PayCount,1)))/$AA143*12*AV$3,IF(ISNA(MATCH(OFFSET($N$2,0,MATCH(AV$5,PayDedList,0)-1,1,1),EarnListItem,0))=FALSE,SUMPRODUCT((PayEmp=$C143)*(PayDate&lt;=$AC143)*(OFFSET($N$6,1,MATCH(AV$5,PayDedList,0)-1,PayCount,1)))/$AA143*12*AV$3,(MIN(SUMPRODUCT((PayEmp=$C143)*(PayDate&lt;=$AC143)*(ISERROR(SEARCH(PayEarnCode,AV$2)))*(PayEarnType="Monthly")*(PayEarnValues))/$AA143*12,IF(ISNUMBER(OFFSET($N$3,0,MATCH(AV$5,PayDedList,0)-1,1,1)),OFFSET($N$3,0,MATCH(AV$5,PayDedList,0)-1,1,1),IgnoreMin)))*IF(COUNTIFS(EmpNo,$C143,OFFSET(Emp!$R$4,1,MATCH(AV$5,DedListItem,0)-1,EmpCount,1),"&lt;&gt;")&gt;0,VLOOKUP($C143,EmpAll,COLUMN(Emp!$R$4)+MATCH(AV$5,DedListItem,0)-1,0),OFFSET(Setup!$E$73,MATCH(AV$5,DedListItem,0),0,1,1))*AV$3))),IF(ISNUMBER(AV$4),AV$4,IgnoreMin)))))</f>
        <v>0</v>
      </c>
      <c r="AW143" s="148" cm="1">
        <f t="array" aca="1" ref="AW143" ca="1">-IF($F143="Terminated",0,IF($AA143=0,0,IF(ISNA(MATCH(AW$5,PayDedList,0)),0,MIN(IF(COUNTIFS(OverEmp,$C143,OverDeduct,AW$5,OverDate,"&lt;"&amp;DATE(YEAR($AC143),MONTH($AC143)+1,1),OverEnd,"&gt;="&amp;DATE(YEAR($AC143),MONTH($AC143),1))&gt;0,SUMPRODUCT((PayEmp=$C143)*(PayDate&lt;=$AC143)*(OFFSET($N$6,1,MATCH(AW$5,PayDedList,0)-1,PayCount,1)))/$AA143*12*AW$3,IF(OR(AW$1="Fixed",AW$1="Not Used"),SUMPRODUCT((PayEmp=$C143)*(PayDate&lt;=$AC143)*(OFFSET($N$6,1,MATCH(AW$5,PayDedList,0)-1,PayCount,1)))/$AA143*12*AW$3,IF(ISNA(MATCH(OFFSET($N$2,0,MATCH(AW$5,PayDedList,0)-1,1,1),EarnListItem,0))=FALSE,SUMPRODUCT((PayEmp=$C143)*(PayDate&lt;=$AC143)*(OFFSET($N$6,1,MATCH(AW$5,PayDedList,0)-1,PayCount,1)))/$AA143*12*AW$3,(MIN(SUMPRODUCT((PayEmp=$C143)*(PayDate&lt;=$AC143)*(ISERROR(SEARCH(PayEarnCode,AW$2)))*(PayEarnType="Monthly")*(PayEarnValues))/$AA143*12,IF(ISNUMBER(OFFSET($N$3,0,MATCH(AW$5,PayDedList,0)-1,1,1)),OFFSET($N$3,0,MATCH(AW$5,PayDedList,0)-1,1,1),IgnoreMin)))*IF(COUNTIFS(EmpNo,$C143,OFFSET(Emp!$R$4,1,MATCH(AW$5,DedListItem,0)-1,EmpCount,1),"&lt;&gt;")&gt;0,VLOOKUP($C143,EmpAll,COLUMN(Emp!$R$4)+MATCH(AW$5,DedListItem,0)-1,0),OFFSET(Setup!$E$73,MATCH(AW$5,DedListItem,0),0,1,1))*AW$3))),IF(ISNUMBER(AW$4),AW$4,IgnoreMin)))))</f>
        <v>0</v>
      </c>
      <c r="AX143" s="148">
        <f t="shared" ca="1" si="73"/>
        <v>1440000</v>
      </c>
      <c r="AY143" s="148">
        <f t="shared" ca="1" si="74"/>
        <v>120000</v>
      </c>
      <c r="AZ143" s="148">
        <f ca="1">IF(ISNUMBER($AL143),($AR143*$AL143)-$AI143-$AK143,MAX(0,IF($AL143="B",IF($AR143&lt;Setup!$C$32,($AR143*Setup!$D$32)-$AI143-$AK143,(($AR143-VLOOKUP($AR143,TaxAll2,1,1))*OFFSET(Setup!$D$32,MATCH($AR143,TaxBracket2,1),0,1,1))+OFFSET(Setup!$E$31,MATCH($AR143,TaxBracket2,1),0,1,1)-$AI143-$AK143),IF($AR143&lt;Setup!$C$21,($AR143*Setup!$D$21)-$AI143-$AK143,(($AR143-VLOOKUP($AR143,TaxAll1,1,1))*OFFSET(Setup!$D$21,MATCH($AR143,TaxBracket1,1),0,1,1))+OFFSET(Setup!$E$20,MATCH($AR143,TaxBracket1,1),0,1,1)-$AI143-$AK143))))</f>
        <v>511180</v>
      </c>
      <c r="BA143" s="148">
        <f ca="1">IF(ISNUMBER($AL143),($AX143*$AL143)-$AI143-$AK143,MAX(0,IF($AL143="B",IF($AX143&lt;Setup!$C$32,($AX143*Setup!$D$32)-$AI143-$AK143,(($AX143-VLOOKUP($AX143,TaxAll2,1,1))*OFFSET(Setup!$D$32,MATCH($AX143,TaxBracket2,1),0,1,1))+OFFSET(Setup!$E$31,MATCH($AX143,TaxBracket2,1),0,1,1)-$AI143-$AK143),IF($AX143&lt;Setup!$C$21,($AX143*Setup!$D$21)-$AI143-$AK143,(($AX143-VLOOKUP($AX143,TaxAll1,1,1))*OFFSET(Setup!$D$21,MATCH($AX143,TaxBracket1,1),0,1,1))+OFFSET(Setup!$E$20,MATCH($AX143,TaxBracket1,1),0,1,1)-$AI143-$AK143))))</f>
        <v>461980</v>
      </c>
      <c r="BB143" s="148">
        <f t="shared" ca="1" si="65"/>
        <v>49200</v>
      </c>
      <c r="BC143" s="150">
        <f t="shared" ca="1" si="75"/>
        <v>0.92307692307692313</v>
      </c>
      <c r="BD143" s="150">
        <f t="shared" ca="1" si="76"/>
        <v>7.6923076923076927E-2</v>
      </c>
      <c r="BE143" s="148">
        <f t="shared" ca="1" si="77"/>
        <v>1560000</v>
      </c>
    </row>
    <row r="144" spans="1:57" ht="16.149999999999999" customHeight="1" x14ac:dyDescent="0.25">
      <c r="A144" s="10" t="str" cm="1">
        <f t="array" aca="1" ref="A144" ca="1">IF(ROW($A144)-ROW($A$6)&gt;EmpCount*12,"-",TEXT($B144,"yyyy")&amp;TEXT($B144,"mm")&amp;"-"&amp;$C144)</f>
        <v>202312-EXS003</v>
      </c>
      <c r="B144" s="137" cm="1">
        <f t="array" aca="1" ref="B144" ca="1">IF(ROW($A144)-ROW($A$6)&gt;EmpCount*12,Setup!$D$12,DATE(YEAR(Setup!$F$12),MONTH(Setup!$F$12)+ROUNDDOWN((ROW($A144)-ROW($A$6)-1)/EmpCount,0),IF(Setup!$C$14&gt;DAY(DATE(YEAR(Setup!$F$12),MONTH(Setup!$F$12)+ROUNDDOWN((ROW($A144)-ROW($A$6)-1)/EmpCount,0)+1,0)),DAY(DATE(YEAR(Setup!$F$12),MONTH(Setup!$F$12)+ROUNDDOWN((ROW($A144)-ROW($A$6)-1)/EmpCount,0)+1,0)),Setup!$C$14)))</f>
        <v>45285</v>
      </c>
      <c r="C144" s="101" t="str" cm="1">
        <f t="array" aca="1" ref="C144" ca="1">IF(ROW($A144)-ROW($A$6)&gt;EmpCount*12,"-",OFFSET(Emp!$A$4,ROW($A144)-ROW($A$6)-IF(ROW($A144)-ROW($A$6)&gt;EmpCount,ROUNDDOWN((ROW($A144)-ROW($A$6)-1)/EmpCount,0)*EmpCount,0),0,1,1))</f>
        <v>EXS003</v>
      </c>
      <c r="D144" s="10" t="str">
        <f ca="1">IF(ISNA(VLOOKUP($C144,EmpAll,COLUMN(Emp!$B$4),0)),"-",VLOOKUP($C144,EmpAll,COLUMN(Emp!$B$4),0))</f>
        <v>Wilson PG</v>
      </c>
      <c r="E144" s="145" t="str">
        <f ca="1">IF(ISNA(VLOOKUP($C144,EmpAll,COLUMN(Emp!$C$4),0)),"-",VLOOKUP($C144,EmpAll,COLUMN(Emp!$C$4),0))</f>
        <v>S</v>
      </c>
      <c r="F144" s="101" t="str">
        <f ca="1">IF(ISNA(VLOOKUP($C144,EmpAll,COLUMN(Emp!$A$4),0)),"-",IF(AND(VLOOKUP($C144,EmpAll,COLUMN(Emp!$E$4),0)&lt;&gt;0,VLOOKUP($C144,EmpAll,COLUMN(Emp!$E$4),0)&gt;=DATE(YEAR($AC144),MONTH($AC144)+1,0)),"Inactive",IF(AND(VLOOKUP($C144,EmpAll,COLUMN(Emp!$F$4),0)&lt;&gt;0,VLOOKUP($C144,EmpAll,COLUMN(Emp!$F$4),0)&lt;=DATE(YEAR($AC144),MONTH($AC144),0)),"Terminated","Active")))</f>
        <v>Active</v>
      </c>
      <c r="G144" s="133" cm="1">
        <f t="array" aca="1" ref="G144" ca="1">IF($F144&lt;&gt;"Active",0,IF(COUNTIFS(OverEmp,$C144,OverEarn,G$2,OverDate,"&lt;"&amp;DATE(YEAR($AC144),MONTH($AC144)+1,1),OverEnd,"&gt;="&amp;DATE(YEAR($AC144),MONTH($AC144),1))&gt;0,SUMIFS(OverValue,OverEmp,$C144,OverEarn,G$2,OverDate,"&lt;"&amp;DATE(YEAR($AC144),MONTH($AC144)+1,1),OverEnd,"&gt;="&amp;DATE(YEAR($AC144),MONTH($AC144),1)),IF(AND($AC144&gt;=Setup!$E$10,SUMIFS(EmpIncrease,EmpCode,$C144)&gt;0),SUMIFS(EmpIncrease,EmpCode,$C144),SUMIFS(EmpSalary,EmpCode,$C144))))</f>
        <v>15000</v>
      </c>
      <c r="H144" s="133" cm="1">
        <f t="array" aca="1" ref="H144" ca="1">IF($F144&lt;&gt;"Active",0,IF(COUNTIFS(OverEmp,$C144,OverEarn,H$2,OverDate,"&lt;"&amp;DATE(YEAR($AC144),MONTH($AC144)+1,1),OverEnd,"&gt;="&amp;DATE(YEAR($AC144),MONTH($AC144),1))&gt;0,SUMIFS(OverValue,OverEmp,$C144,OverEarn,H$2,OverDate,"&lt;"&amp;DATE(YEAR($AC144),MONTH($AC144)+1,1),OverEnd,"&gt;="&amp;DATE(YEAR($AC144),MONTH($AC144),1)),0))</f>
        <v>0</v>
      </c>
      <c r="I144" s="133" cm="1">
        <f t="array" aca="1" ref="I144" ca="1">IF($F144&lt;&gt;"Active",0,IF(COUNTIFS(OverEmp,$C144,OverEarn,I$2,OverDate,"&lt;"&amp;DATE(YEAR($AC144),MONTH($AC144)+1,1),OverEnd,"&gt;="&amp;DATE(YEAR($AC144),MONTH($AC144),1))&gt;0,SUMIFS(OverValue,OverEmp,$C144,OverEarn,I$2,OverDate,"&lt;"&amp;DATE(YEAR($AC144),MONTH($AC144)+1,1),OverEnd,"&gt;="&amp;DATE(YEAR($AC144),MONTH($AC144),1)),IF(MONTH(B144)=Setup!$C$15,SUMIFS(EmpBonus,EmpCode,$C144),0)))</f>
        <v>15000</v>
      </c>
      <c r="J144" s="133" cm="1">
        <f t="array" aca="1" ref="J144" ca="1">IF($F144&lt;&gt;"Active",0,IF(COUNTIFS(OverEmp,$C144,OverEarn,J$2,OverDate,"&lt;"&amp;DATE(YEAR($AC144),MONTH($AC144)+1,1),OverEnd,"&gt;="&amp;DATE(YEAR($AC144),MONTH($AC144),1))&gt;0,SUMIFS(OverValue,OverEmp,$C144,OverEarn,J$2,OverDate,"&lt;"&amp;DATE(YEAR($AC144),MONTH($AC144)+1,1),OverEnd,"&gt;="&amp;DATE(YEAR($AC144),MONTH($AC144),1)),0))</f>
        <v>0</v>
      </c>
      <c r="K144" s="133" cm="1">
        <f t="array" aca="1" ref="K144" ca="1">IF($F144&lt;&gt;"Active",0,IF(COUNTIFS(OverEmp,$C144,OverEarn,K$2,OverDate,"&lt;"&amp;DATE(YEAR($AC144),MONTH($AC144)+1,1),OverEnd,"&gt;="&amp;DATE(YEAR($AC144),MONTH($AC144),1))&gt;0,SUMIFS(OverValue,OverEmp,$C144,OverEarn,K$2,OverDate,"&lt;"&amp;DATE(YEAR($AC144),MONTH($AC144)+1,1),OverEnd,"&gt;="&amp;DATE(YEAR($AC144),MONTH($AC144),1)),0))</f>
        <v>0</v>
      </c>
      <c r="L144" s="185">
        <f t="shared" ca="1" si="66"/>
        <v>30000</v>
      </c>
      <c r="M144" s="182" cm="1">
        <f t="array" aca="1" ref="M144" ca="1">IF(COUNTIFS(OverEmp,$C144,OverTax,M$5,OverDate,"&lt;"&amp;DATE(YEAR($AC144),MONTH($AC144)+1,1),OverEnd,"&gt;="&amp;DATE(YEAR($AC144),MONTH($AC144),1))&gt;0,SUMIFS(OverValue,OverEmp,$C144,OverTax,M$5,OverDate,"&lt;"&amp;DATE(YEAR($AC144),MONTH($AC144)+1,1),OverEnd,"&gt;="&amp;DATE(YEAR($AC144),MONTH($AC144),1)),(($BA144/12*$AA144)+(BB144*IF(1-$BC144=0,0,BD144/(1-$BC144))))-IF($F144="Terminated",0,SUMIFS(PayTaxDeduct,PayDate,"&lt;"&amp;$AC144,PayEmp,$C144)))</f>
        <v>3599.7500000000018</v>
      </c>
      <c r="N144" s="133" cm="1">
        <f t="array" aca="1" ref="N144" ca="1">IF($F144="Terminated",0,IF($AA144=0,0,IF(ISNA(MATCH(N$5,DedListItem,0)),0,IF(COUNTIFS(OverEmp,$C144,OverDeduct,N$5,OverDate,"&lt;"&amp;DATE(YEAR($AC144),MONTH($AC144)+1,1),OverEnd,"&gt;="&amp;DATE(YEAR($AC144),MONTH($AC144),1))&gt;0,SUMIFS(OverValue,OverEmp,$C144,OverDeduct,N$5,OverDate,"&lt;"&amp;DATE(YEAR($AC144),MONTH($AC144)+1,1),OverEnd,"&gt;="&amp;DATE(YEAR($AC144),MONTH($AC144),1)),IF(OR(N$2="Fixed",N$2="Not Used"),(IF(COUNTIFS(EmpNo,$C144,OFFSET(Emp!$R$4,1,MATCH(N$5,DedListItem,0)-1,EmpCount,1),"&lt;&gt;")&gt;0,VLOOKUP($C144,EmpAll,COLUMN(Emp!$R$4)+MATCH(N$5,DedListItem,0)-1,0),OFFSET(Setup!$E$73,MATCH(N$5,DedListItem,0),0,1,1))*$AA144)-SUMIFS(OFFSET(N$6,1,0,PayCount,1),PayDate,"&lt;"&amp;$AC144,PayEmp,$C144),IF(ISNA(MATCH(N$2,EarnListItem,0))=FALSE,IF(OFFSET(Setup!$G$73,MATCH(N$5,DedListItem,0),0,1,1)="Taxable",SUMPRODUCT((PayEmp=$C144)*(PayDate&lt;=$AC144)*(PayEarnCode=N$2)*(PayEarnTax)*(PayEarnValues)),SUMPRODUCT((PayEmp=$C144)*(PayDate&lt;=$AC144)*(PayEarnCode=N$2)*(PayEarnValues)))*IF(COUNTIFS(EmpNo,$C144,OFFSET(Emp!$R$4,1,MATCH(N$5,DedListItem,0)-1,EmpCount,1),"&lt;&gt;")&gt;0,VLOOKUP($C144,EmpAll,COLUMN(Emp!$R$4)+MATCH(N$5,DedListItem,0)-1,0),OFFSET(Setup!$E$73,MATCH(N$5,DedListItem,0),0,1,1)),(MIN(IF(OFFSET(Setup!$G$73,MATCH(N$5,DedListItem,0),0,1,1)="Taxable",SUMPRODUCT((PayEmp=$C144)*(PayDate&lt;=$AC144)*(ISERROR(SEARCH(PayEarnCode,N$4)))*(PayEarnTax)*(PayEarnValues)),SUMPRODUCT((PayEmp=$C144)*(PayDate&lt;=$AC144)*(ISERROR(SEARCH(PayEarnCode,N$4)))*(PayEarnValues))),IF(ISNUMBER(N$3),N$3/12*$AA144,IgnoreMin)))*IF(COUNTIFS(EmpNo,$C144,OFFSET(Emp!$R$4,1,MATCH(N$5,DedListItem,0)-1,EmpCount,1),"&lt;&gt;")&gt;0,VLOOKUP($C144,EmpAll,COLUMN(Emp!$R$4)+MATCH(N$5,DedListItem,0)-1,0),OFFSET(Setup!$E$73,MATCH(N$5,DedListItem,0),0,1,1)))-SUMIFS(OFFSET(N$6,1,0,PayCount,1),PayDate,"&lt;"&amp;$AC144,PayEmp,$C144))))))</f>
        <v>300</v>
      </c>
      <c r="O144" s="133" cm="1">
        <f t="array" aca="1" ref="O144" ca="1">IF($F144="Terminated",0,IF($AA144=0,0,IF(ISNA(MATCH(O$5,DedListItem,0)),0,IF(COUNTIFS(OverEmp,$C144,OverDeduct,O$5,OverDate,"&lt;"&amp;DATE(YEAR($AC144),MONTH($AC144)+1,1),OverEnd,"&gt;="&amp;DATE(YEAR($AC144),MONTH($AC144),1))&gt;0,SUMIFS(OverValue,OverEmp,$C144,OverDeduct,O$5,OverDate,"&lt;"&amp;DATE(YEAR($AC144),MONTH($AC144)+1,1),OverEnd,"&gt;="&amp;DATE(YEAR($AC144),MONTH($AC144),1)),IF(OR(O$2="Fixed",O$2="Not Used"),(IF(COUNTIFS(EmpNo,$C144,OFFSET(Emp!$R$4,1,MATCH(O$5,DedListItem,0)-1,EmpCount,1),"&lt;&gt;")&gt;0,VLOOKUP($C144,EmpAll,COLUMN(Emp!$R$4)+MATCH(O$5,DedListItem,0)-1,0),OFFSET(Setup!$E$73,MATCH(O$5,DedListItem,0),0,1,1))*$AA144)-SUMIFS(OFFSET(O$6,1,0,PayCount,1),PayDate,"&lt;"&amp;$AC144,PayEmp,$C144),IF(ISNA(MATCH(O$2,EarnListItem,0))=FALSE,IF(OFFSET(Setup!$G$73,MATCH(O$5,DedListItem,0),0,1,1)="Taxable",SUMPRODUCT((PayEmp=$C144)*(PayDate&lt;=$AC144)*(PayEarnCode=O$2)*(PayEarnTax)*(PayEarnValues)),SUMPRODUCT((PayEmp=$C144)*(PayDate&lt;=$AC144)*(PayEarnCode=O$2)*(PayEarnValues)))*IF(COUNTIFS(EmpNo,$C144,OFFSET(Emp!$R$4,1,MATCH(O$5,DedListItem,0)-1,EmpCount,1),"&lt;&gt;")&gt;0,VLOOKUP($C144,EmpAll,COLUMN(Emp!$R$4)+MATCH(O$5,DedListItem,0)-1,0),OFFSET(Setup!$E$73,MATCH(O$5,DedListItem,0),0,1,1)),(MIN(IF(OFFSET(Setup!$G$73,MATCH(O$5,DedListItem,0),0,1,1)="Taxable",SUMPRODUCT((PayEmp=$C144)*(PayDate&lt;=$AC144)*(ISERROR(SEARCH(PayEarnCode,O$4)))*(PayEarnTax)*(PayEarnValues)),SUMPRODUCT((PayEmp=$C144)*(PayDate&lt;=$AC144)*(ISERROR(SEARCH(PayEarnCode,O$4)))*(PayEarnValues))),IF(ISNUMBER(O$3),O$3/12*$AA144,IgnoreMin)))*IF(COUNTIFS(EmpNo,$C144,OFFSET(Emp!$R$4,1,MATCH(O$5,DedListItem,0)-1,EmpCount,1),"&lt;&gt;")&gt;0,VLOOKUP($C144,EmpAll,COLUMN(Emp!$R$4)+MATCH(O$5,DedListItem,0)-1,0),OFFSET(Setup!$E$73,MATCH(O$5,DedListItem,0),0,1,1)))-SUMIFS(OFFSET(O$6,1,0,PayCount,1),PayDate,"&lt;"&amp;$AC144,PayEmp,$C144))))))</f>
        <v>0</v>
      </c>
      <c r="P144" s="133" cm="1">
        <f t="array" aca="1" ref="P144" ca="1">IF($F144="Terminated",0,IF($AA144=0,0,IF(ISNA(MATCH(P$5,DedListItem,0)),0,IF(COUNTIFS(OverEmp,$C144,OverDeduct,P$5,OverDate,"&lt;"&amp;DATE(YEAR($AC144),MONTH($AC144)+1,1),OverEnd,"&gt;="&amp;DATE(YEAR($AC144),MONTH($AC144),1))&gt;0,SUMIFS(OverValue,OverEmp,$C144,OverDeduct,P$5,OverDate,"&lt;"&amp;DATE(YEAR($AC144),MONTH($AC144)+1,1),OverEnd,"&gt;="&amp;DATE(YEAR($AC144),MONTH($AC144),1)),IF(OR(P$2="Fixed",P$2="Not Used"),(IF(COUNTIFS(EmpNo,$C144,OFFSET(Emp!$R$4,1,MATCH(P$5,DedListItem,0)-1,EmpCount,1),"&lt;&gt;")&gt;0,VLOOKUP($C144,EmpAll,COLUMN(Emp!$R$4)+MATCH(P$5,DedListItem,0)-1,0),OFFSET(Setup!$E$73,MATCH(P$5,DedListItem,0),0,1,1))*$AA144)-SUMIFS(OFFSET(P$6,1,0,PayCount,1),PayDate,"&lt;"&amp;$AC144,PayEmp,$C144),IF(ISNA(MATCH(P$2,EarnListItem,0))=FALSE,IF(OFFSET(Setup!$G$73,MATCH(P$5,DedListItem,0),0,1,1)="Taxable",SUMPRODUCT((PayEmp=$C144)*(PayDate&lt;=$AC144)*(PayEarnCode=P$2)*(PayEarnTax)*(PayEarnValues)),SUMPRODUCT((PayEmp=$C144)*(PayDate&lt;=$AC144)*(PayEarnCode=P$2)*(PayEarnValues)))*IF(COUNTIFS(EmpNo,$C144,OFFSET(Emp!$R$4,1,MATCH(P$5,DedListItem,0)-1,EmpCount,1),"&lt;&gt;")&gt;0,VLOOKUP($C144,EmpAll,COLUMN(Emp!$R$4)+MATCH(P$5,DedListItem,0)-1,0),OFFSET(Setup!$E$73,MATCH(P$5,DedListItem,0),0,1,1)),(MIN(IF(OFFSET(Setup!$G$73,MATCH(P$5,DedListItem,0),0,1,1)="Taxable",SUMPRODUCT((PayEmp=$C144)*(PayDate&lt;=$AC144)*(ISERROR(SEARCH(PayEarnCode,P$4)))*(PayEarnTax)*(PayEarnValues)),SUMPRODUCT((PayEmp=$C144)*(PayDate&lt;=$AC144)*(ISERROR(SEARCH(PayEarnCode,P$4)))*(PayEarnValues))),IF(ISNUMBER(P$3),P$3/12*$AA144,IgnoreMin)))*IF(COUNTIFS(EmpNo,$C144,OFFSET(Emp!$R$4,1,MATCH(P$5,DedListItem,0)-1,EmpCount,1),"&lt;&gt;")&gt;0,VLOOKUP($C144,EmpAll,COLUMN(Emp!$R$4)+MATCH(P$5,DedListItem,0)-1,0),OFFSET(Setup!$E$73,MATCH(P$5,DedListItem,0),0,1,1)))-SUMIFS(OFFSET(P$6,1,0,PayCount,1),PayDate,"&lt;"&amp;$AC144,PayEmp,$C144))))))</f>
        <v>2000</v>
      </c>
      <c r="Q144" s="133" cm="1">
        <f t="array" aca="1" ref="Q144" ca="1">IF($F144="Terminated",0,IF($AA144=0,0,IF(ISNA(MATCH(Q$5,DedListItem,0)),0,IF(COUNTIFS(OverEmp,$C144,OverDeduct,Q$5,OverDate,"&lt;"&amp;DATE(YEAR($AC144),MONTH($AC144)+1,1),OverEnd,"&gt;="&amp;DATE(YEAR($AC144),MONTH($AC144),1))&gt;0,SUMIFS(OverValue,OverEmp,$C144,OverDeduct,Q$5,OverDate,"&lt;"&amp;DATE(YEAR($AC144),MONTH($AC144)+1,1),OverEnd,"&gt;="&amp;DATE(YEAR($AC144),MONTH($AC144),1)),IF(OR(Q$2="Fixed",Q$2="Not Used"),(IF(COUNTIFS(EmpNo,$C144,OFFSET(Emp!$R$4,1,MATCH(Q$5,DedListItem,0)-1,EmpCount,1),"&lt;&gt;")&gt;0,VLOOKUP($C144,EmpAll,COLUMN(Emp!$R$4)+MATCH(Q$5,DedListItem,0)-1,0),OFFSET(Setup!$E$73,MATCH(Q$5,DedListItem,0),0,1,1))*$AA144)-SUMIFS(OFFSET(Q$6,1,0,PayCount,1),PayDate,"&lt;"&amp;$AC144,PayEmp,$C144),IF(ISNA(MATCH(Q$2,EarnListItem,0))=FALSE,IF(OFFSET(Setup!$G$73,MATCH(Q$5,DedListItem,0),0,1,1)="Taxable",SUMPRODUCT((PayEmp=$C144)*(PayDate&lt;=$AC144)*(PayEarnCode=Q$2)*(PayEarnTax)*(PayEarnValues)),SUMPRODUCT((PayEmp=$C144)*(PayDate&lt;=$AC144)*(PayEarnCode=Q$2)*(PayEarnValues)))*IF(COUNTIFS(EmpNo,$C144,OFFSET(Emp!$R$4,1,MATCH(Q$5,DedListItem,0)-1,EmpCount,1),"&lt;&gt;")&gt;0,VLOOKUP($C144,EmpAll,COLUMN(Emp!$R$4)+MATCH(Q$5,DedListItem,0)-1,0),OFFSET(Setup!$E$73,MATCH(Q$5,DedListItem,0),0,1,1)),(MIN(IF(OFFSET(Setup!$G$73,MATCH(Q$5,DedListItem,0),0,1,1)="Taxable",SUMPRODUCT((PayEmp=$C144)*(PayDate&lt;=$AC144)*(ISERROR(SEARCH(PayEarnCode,Q$4)))*(PayEarnTax)*(PayEarnValues)),SUMPRODUCT((PayEmp=$C144)*(PayDate&lt;=$AC144)*(ISERROR(SEARCH(PayEarnCode,Q$4)))*(PayEarnValues))),IF(ISNUMBER(Q$3),Q$3/12*$AA144,IgnoreMin)))*IF(COUNTIFS(EmpNo,$C144,OFFSET(Emp!$R$4,1,MATCH(Q$5,DedListItem,0)-1,EmpCount,1),"&lt;&gt;")&gt;0,VLOOKUP($C144,EmpAll,COLUMN(Emp!$R$4)+MATCH(Q$5,DedListItem,0)-1,0),OFFSET(Setup!$E$73,MATCH(Q$5,DedListItem,0),0,1,1)))-SUMIFS(OFFSET(Q$6,1,0,PayCount,1),PayDate,"&lt;"&amp;$AC144,PayEmp,$C144))))))</f>
        <v>0</v>
      </c>
      <c r="R144" s="185">
        <f t="shared" ca="1" si="67"/>
        <v>5899.7500000000018</v>
      </c>
      <c r="S144" s="139">
        <f t="shared" ca="1" si="68"/>
        <v>24100.25</v>
      </c>
      <c r="T144" s="133" cm="1">
        <f t="array" aca="1" ref="T144" ca="1">IF($F144="Terminated",0,IF($AA144=0,0,IF(ISNA(MATCH(T$5,CompListItem,0)),0,IF(COUNTIFS(OverEmp,$C144,OverComp,T$5,OverDate,"&lt;"&amp;DATE(YEAR($AC144),MONTH($AC144)+1,1),OverEnd,"&gt;="&amp;DATE(YEAR($AC144),MONTH($AC144),1))&gt;0,SUMIFS(OverValue,OverEmp,$C144,OverComp,T$5,OverDate,"&lt;"&amp;DATE(YEAR($AC144),MONTH($AC144)+1,1),OverEnd,"&gt;="&amp;DATE(YEAR($AC144),MONTH($AC144),1)),IF(OR(T$2="Fixed",T$2="Not Used"),(OFFSET(Setup!$E$81,MATCH(T$5,CompListItem,0),0,1,1)*$AA144)-SUMIFS(OFFSET(T$6,1,0,PayCount,1),PayDate,"&lt;"&amp;$AC144,PayEmp,$C144),IF(ISNA(MATCH(T$2,DedListItem,0))=FALSE,(SUMPRODUCT((PayEmp=$C144)*(PayDate&lt;=$AC144)*(PayDedList=T$2)*(PayDedValues))*OFFSET(Setup!$E$81,MATCH(T$5,CompListItem,0),0,1,1))-SUMIFS(OFFSET(T$6,1,0,PayCount,1),PayDate,"&lt;"&amp;$AC144,PayEmp,$C144),(MIN(IF(OFFSET(Setup!$G$81,MATCH(T$5,CompListItem,0),0,1,1)="Taxable",SUMPRODUCT((PayEmp=$C144)*(PayDate&lt;=$AC144)*(ISERROR(SEARCH(PayEarnCode,T$4)))*(PayEarnTax)*(PayEarnValues)),SUMPRODUCT((PayEmp=$C144)*(PayDate&lt;=$AC144)*(ISERROR(SEARCH(PayEarnCode,T$4)))*(PayEarnValues))),IF(ISNUMBER(T$3),T$3/12*$AA144,IgnoreMin)))*OFFSET(Setup!$E$81,MATCH(T$5,CompListItem,0),0,1,1)-SUMIFS(OFFSET(T$6,1,0,PayCount,1),PayDate,"&lt;"&amp;$AC144,PayEmp,$C144)))))))</f>
        <v>300</v>
      </c>
      <c r="U144" s="133" cm="1">
        <f t="array" aca="1" ref="U144" ca="1">IF($F144="Terminated",0,IF($AA144=0,0,IF(ISNA(MATCH(U$5,CompListItem,0)),0,IF(COUNTIFS(OverEmp,$C144,OverComp,U$5,OverDate,"&lt;"&amp;DATE(YEAR($AC144),MONTH($AC144)+1,1),OverEnd,"&gt;="&amp;DATE(YEAR($AC144),MONTH($AC144),1))&gt;0,SUMIFS(OverValue,OverEmp,$C144,OverComp,U$5,OverDate,"&lt;"&amp;DATE(YEAR($AC144),MONTH($AC144)+1,1),OverEnd,"&gt;="&amp;DATE(YEAR($AC144),MONTH($AC144),1)),IF(OR(U$2="Fixed",U$2="Not Used"),(OFFSET(Setup!$E$81,MATCH(U$5,CompListItem,0),0,1,1)*$AA144)-SUMIFS(OFFSET(U$6,1,0,PayCount,1),PayDate,"&lt;"&amp;$AC144,PayEmp,$C144),IF(ISNA(MATCH(U$2,DedListItem,0))=FALSE,(SUMPRODUCT((PayEmp=$C144)*(PayDate&lt;=$AC144)*(PayDedList=U$2)*(PayDedValues))*OFFSET(Setup!$E$81,MATCH(U$5,CompListItem,0),0,1,1))-SUMIFS(OFFSET(U$6,1,0,PayCount,1),PayDate,"&lt;"&amp;$AC144,PayEmp,$C144),(MIN(IF(OFFSET(Setup!$G$81,MATCH(U$5,CompListItem,0),0,1,1)="Taxable",SUMPRODUCT((PayEmp=$C144)*(PayDate&lt;=$AC144)*(ISERROR(SEARCH(PayEarnCode,U$4)))*(PayEarnTax)*(PayEarnValues)),SUMPRODUCT((PayEmp=$C144)*(PayDate&lt;=$AC144)*(ISERROR(SEARCH(PayEarnCode,U$4)))*(PayEarnValues))),IF(ISNUMBER(U$3),U$3/12*$AA144,IgnoreMin)))*OFFSET(Setup!$E$81,MATCH(U$5,CompListItem,0),0,1,1)-SUMIFS(OFFSET(U$6,1,0,PayCount,1),PayDate,"&lt;"&amp;$AC144,PayEmp,$C144)))))))</f>
        <v>300</v>
      </c>
      <c r="V144" s="133" cm="1">
        <f t="array" aca="1" ref="V144" ca="1">IF($F144="Terminated",0,IF($AA144=0,0,IF(ISNA(MATCH(V$5,CompListItem,0)),0,IF(COUNTIFS(OverEmp,$C144,OverComp,V$5,OverDate,"&lt;"&amp;DATE(YEAR($AC144),MONTH($AC144)+1,1),OverEnd,"&gt;="&amp;DATE(YEAR($AC144),MONTH($AC144),1))&gt;0,SUMIFS(OverValue,OverEmp,$C144,OverComp,V$5,OverDate,"&lt;"&amp;DATE(YEAR($AC144),MONTH($AC144)+1,1),OverEnd,"&gt;="&amp;DATE(YEAR($AC144),MONTH($AC144),1)),IF(OR(V$2="Fixed",V$2="Not Used"),(OFFSET(Setup!$E$81,MATCH(V$5,CompListItem,0),0,1,1)*$AA144)-SUMIFS(OFFSET(V$6,1,0,PayCount,1),PayDate,"&lt;"&amp;$AC144,PayEmp,$C144),IF(ISNA(MATCH(V$2,DedListItem,0))=FALSE,(SUMPRODUCT((PayEmp=$C144)*(PayDate&lt;=$AC144)*(PayDedList=V$2)*(PayDedValues))*OFFSET(Setup!$E$81,MATCH(V$5,CompListItem,0),0,1,1))-SUMIFS(OFFSET(V$6,1,0,PayCount,1),PayDate,"&lt;"&amp;$AC144,PayEmp,$C144),(MIN(IF(OFFSET(Setup!$G$81,MATCH(V$5,CompListItem,0),0,1,1)="Taxable",SUMPRODUCT((PayEmp=$C144)*(PayDate&lt;=$AC144)*(ISERROR(SEARCH(PayEarnCode,V$4)))*(PayEarnTax)*(PayEarnValues)),SUMPRODUCT((PayEmp=$C144)*(PayDate&lt;=$AC144)*(ISERROR(SEARCH(PayEarnCode,V$4)))*(PayEarnValues))),IF(ISNUMBER(V$3),V$3/12*$AA144,IgnoreMin)))*OFFSET(Setup!$E$81,MATCH(V$5,CompListItem,0),0,1,1)-SUMIFS(OFFSET(V$6,1,0,PayCount,1),PayDate,"&lt;"&amp;$AC144,PayEmp,$C144)))))))</f>
        <v>0</v>
      </c>
      <c r="W144" s="133" cm="1">
        <f t="array" aca="1" ref="W144" ca="1">IF($F144="Terminated",0,IF($AA144=0,0,IF(ISNA(MATCH(W$5,CompListItem,0)),0,IF(COUNTIFS(OverEmp,$C144,OverComp,W$5,OverDate,"&lt;"&amp;DATE(YEAR($AC144),MONTH($AC144)+1,1),OverEnd,"&gt;="&amp;DATE(YEAR($AC144),MONTH($AC144),1))&gt;0,SUMIFS(OverValue,OverEmp,$C144,OverComp,W$5,OverDate,"&lt;"&amp;DATE(YEAR($AC144),MONTH($AC144)+1,1),OverEnd,"&gt;="&amp;DATE(YEAR($AC144),MONTH($AC144),1)),IF(OR(W$2="Fixed",W$2="Not Used"),(OFFSET(Setup!$E$81,MATCH(W$5,CompListItem,0),0,1,1)*$AA144)-SUMIFS(OFFSET(W$6,1,0,PayCount,1),PayDate,"&lt;"&amp;$AC144,PayEmp,$C144),IF(ISNA(MATCH(W$2,DedListItem,0))=FALSE,(SUMPRODUCT((PayEmp=$C144)*(PayDate&lt;=$AC144)*(PayDedList=W$2)*(PayDedValues))*OFFSET(Setup!$E$81,MATCH(W$5,CompListItem,0),0,1,1))-SUMIFS(OFFSET(W$6,1,0,PayCount,1),PayDate,"&lt;"&amp;$AC144,PayEmp,$C144),(MIN(IF(OFFSET(Setup!$G$81,MATCH(W$5,CompListItem,0),0,1,1)="Taxable",SUMPRODUCT((PayEmp=$C144)*(PayDate&lt;=$AC144)*(ISERROR(SEARCH(PayEarnCode,W$4)))*(PayEarnTax)*(PayEarnValues)),SUMPRODUCT((PayEmp=$C144)*(PayDate&lt;=$AC144)*(ISERROR(SEARCH(PayEarnCode,W$4)))*(PayEarnValues))),IF(ISNUMBER(W$3),W$3/12*$AA144,IgnoreMin)))*OFFSET(Setup!$E$81,MATCH(W$5,CompListItem,0),0,1,1)-SUMIFS(OFFSET(W$6,1,0,PayCount,1),PayDate,"&lt;"&amp;$AC144,PayEmp,$C144)))))))</f>
        <v>0</v>
      </c>
      <c r="X144" s="185">
        <f t="shared" ca="1" si="60"/>
        <v>600</v>
      </c>
      <c r="Y144" s="139">
        <f t="shared" ca="1" si="69"/>
        <v>30600</v>
      </c>
      <c r="Z144" s="139">
        <f t="shared" ca="1" si="61"/>
        <v>6499.75</v>
      </c>
      <c r="AA144" s="146">
        <f ca="1">IF(OR($B144&lt;=Setup!$E$12,$B144&gt;=Setup!$D$12+1),0,IF($F144&lt;&gt;"Active",0,IF($AE144="Yes",$AB144,((YEAR($AC144)*12)+MONTH($AC144))-((YEAR($AD144)*12)+MONTH($AD144)-1))))</f>
        <v>10</v>
      </c>
      <c r="AB144" s="146">
        <f ca="1">IF(OR($B144&lt;=Setup!$E$12,$B144&gt;=Setup!$D$12+1),0,((YEAR($AC144)*12)+MONTH($AC144))-((YEAR(Setup!$E$12)*12)+MONTH(Setup!$E$12)))</f>
        <v>10</v>
      </c>
      <c r="AC144" s="186">
        <f t="shared" ca="1" si="62"/>
        <v>45285</v>
      </c>
      <c r="AD144" s="144">
        <f ca="1">IF(ISNA(VLOOKUP($C144,EmpAll,COLUMN(Emp!$E$4),0)),$AC144,IF(VLOOKUP($C144,EmpAll,COLUMN(Emp!$E$4),0)&lt;=Setup!$E$12,DATE(YEAR(Setup!$E$12),MONTH(Setup!$E$12)+1,1),VLOOKUP($C144,EmpAll,COLUMN(Emp!$E$4),0)))</f>
        <v>44986</v>
      </c>
      <c r="AE144" s="144" t="str">
        <f ca="1">IF(ISNA(VLOOKUP($C144,EmpAll,COLUMN(Emp!$G$1),0)),"-",IF(VLOOKUP($C144,EmpAll,COLUMN(Emp!$G$1),0)=0,"-",VLOOKUP($C144,EmpAll,COLUMN(Emp!$G$1),0)))</f>
        <v>-</v>
      </c>
      <c r="AF144" s="145">
        <f ca="1">IF(A144=PaySlip!$G$3,1,0)</f>
        <v>0</v>
      </c>
      <c r="AG144" s="130" cm="1">
        <f t="array" aca="1" ref="AG144" ca="1">IF(COUNTIFS(OverEmp,$C144,OverMed,"MED",OverDate,"&lt;"&amp;DATE(YEAR($AC144),MONTH($AC144)+1,1),OverEnd,"&gt;="&amp;DATE(YEAR($AC144),MONTH($AC144),1))&gt;0,SUMIFS(OverValue,OverEmp,$C144,OverMed,"MED",OverDate,"&lt;"&amp;DATE(YEAR($AC144),MONTH($AC144)+1,1),OverEnd,"&gt;="&amp;DATE(YEAR($AC144),MONTH($AC144),1)),IF(ISNA(VLOOKUP($C144,EmpAll,COLUMN(Emp!$N$4),0)),0,VLOOKUP($C144,EmpAll,COLUMN(Emp!$N$4),0)))</f>
        <v>1</v>
      </c>
      <c r="AH144" s="146">
        <f ca="1">VLOOKUP($AG144,MedList,COLUMN(Setup!$C$49),1)</f>
        <v>364</v>
      </c>
      <c r="AI144" s="146">
        <f t="shared" ca="1" si="70"/>
        <v>4368</v>
      </c>
      <c r="AJ144" s="101" t="str">
        <f ca="1">IF(ISNA(VLOOKUP($C144,EmpAll,COLUMN(Emp!$L$4),0)),"None!",VLOOKUP($C144,EmpAll,COLUMN(Emp!$L$4),0))</f>
        <v>A</v>
      </c>
      <c r="AK144" s="147">
        <f t="shared" ca="1" si="63"/>
        <v>17235</v>
      </c>
      <c r="AL144" s="101" t="str">
        <f ca="1">IF(ISNA(VLOOKUP($C144,Employees[],COLUMN(Emp!$M$4),0))=TRUE,"Error!",IF(VLOOKUP($C144,Employees[],COLUMN(Emp!$M$4),0)=0,"Yes",VLOOKUP($C144,Employees[],COLUMN(Emp!$M$4),0)))</f>
        <v>A</v>
      </c>
      <c r="AM144" s="148">
        <f t="shared" ca="1" si="71"/>
        <v>195000</v>
      </c>
      <c r="AN144" s="148" cm="1">
        <f t="array" aca="1" ref="AN144" ca="1">-IF($F144="Terminated",0,IF($AA144=0,0,IF(ISNA(MATCH(AN$5,PayDedList,0)),0,MIN(IF(COUNTIFS(OverEmp,$C144,OverDeduct,AN$5,OverDate,"&lt;"&amp;DATE(YEAR($AC144),MONTH($AC144)+1,1),OverEnd,"&gt;="&amp;DATE(YEAR($AC144),MONTH($AC144),1))&gt;0,SUMPRODUCT((PayEmp=$C144)*(PayDate&lt;=$AC144)*(OFFSET($N$6,1,MATCH(AN$5,PayDedList,0)-1,PayCount,1)))/$AA144*12*AN$3,IF(OR(AN$1="Fixed",AN$1="Not Used"),SUMPRODUCT((PayEmp=$C144)*(PayDate&lt;=$AC144)*(OFFSET($N$6,1,MATCH(AN$5,PayDedList,0)-1,PayCount,1)))/$AA144*12*AN$3,IF(ISNA(MATCH(AN$1,EarnListItem,0))=FALSE,SUMPRODUCT((PayEmp=$C144)*(PayDate&lt;=$AC144)*(OFFSET($N$6,1,MATCH(AN$5,PayDedList,0)-1,PayCount,1)))/$AA144*12*AN$3,(MIN(((SUMPRODUCT((PayEmp=$C144)*(PayDate&lt;=$AC144)*(ISERROR(SEARCH(PayEarnCode,AN$2)))*(PayEarnType="Monthly")*(PayEarnValues))/$AA144*12)+(SUMPRODUCT((PayEmp=$C144)*(PayDate&lt;=$AC144)*(ISERROR(SEARCH(PayEarnCode,AN$2)))*(PayEarnType="Quarterly")*(PayEarnValues))/MAX(1,ROUNDDOWN($AB144/3,0))*4)+(SUMPRODUCT((PayEmp=$C144)*(PayDate&lt;=$AC144)*(ISERROR(SEARCH(PayEarnCode,AN$2)))*(PayEarnType="Bi-Annual")*(PayEarnValues))/MAX(1,ROUNDDOWN($AB144/6,0))*2)+(SUMPRODUCT((PayEmp=$C144)*(PayDate&lt;=$AC144)*(ISERROR(SEARCH(PayEarnCode,AN$2)))*(PayEarnType="Annual")*(PayEarnValues)))),IF(ISNUMBER(OFFSET($N$3,0,MATCH(AN$5,PayDedList,0)-1,1,1)),OFFSET($N$3,0,MATCH(AN$5,PayDedList,0)-1,1,1),IgnoreMin)))*IF(COUNTIFS(EmpNo,$C144,OFFSET(Emp!$R$4,1,MATCH(AN$5,DedListItem,0)-1,EmpCount,1),"&lt;&gt;")&gt;0,VLOOKUP($C144,EmpAll,COLUMN(Emp!$R$4)+MATCH(AN$5,DedListItem,0)-1,0),OFFSET(Setup!$E$73,MATCH(AN$5,DedListItem,0),0,1,1))*AN$3))),IF(ISNUMBER(AN$4),AN$4,IgnoreMin)))))</f>
        <v>0</v>
      </c>
      <c r="AO144" s="148" cm="1">
        <f t="array" aca="1" ref="AO144" ca="1">-IF($F144="Terminated",0,IF($AA144=0,0,IF(ISNA(MATCH(AO$5,PayDedList,0)),0,MIN(IF(COUNTIFS(OverEmp,$C144,OverDeduct,AO$5,OverDate,"&lt;"&amp;DATE(YEAR($AC144),MONTH($AC144)+1,1),OverEnd,"&gt;="&amp;DATE(YEAR($AC144),MONTH($AC144),1))&gt;0,SUMPRODUCT((PayEmp=$C144)*(PayDate&lt;=$AC144)*(OFFSET($N$6,1,MATCH(AO$5,PayDedList,0)-1,PayCount,1)))/$AA144*12*AO$3,IF(OR(AO$1="Fixed",AO$1="Not Used"),SUMPRODUCT((PayEmp=$C144)*(PayDate&lt;=$AC144)*(OFFSET($N$6,1,MATCH(AO$5,PayDedList,0)-1,PayCount,1)))/$AA144*12*AO$3,IF(ISNA(MATCH(AO$1,EarnListItem,0))=FALSE,SUMPRODUCT((PayEmp=$C144)*(PayDate&lt;=$AC144)*(OFFSET($N$6,1,MATCH(AO$5,PayDedList,0)-1,PayCount,1)))/$AA144*12*AO$3,(MIN(((SUMPRODUCT((PayEmp=$C144)*(PayDate&lt;=$AC144)*(ISERROR(SEARCH(PayEarnCode,AO$2)))*(PayEarnType="Monthly")*(PayEarnValues))/$AA144*12)+(SUMPRODUCT((PayEmp=$C144)*(PayDate&lt;=$AC144)*(ISERROR(SEARCH(PayEarnCode,AO$2)))*(PayEarnType="Quarterly")*(PayEarnValues))/MAX(1,ROUNDDOWN($AB144/3,0))*4)+(SUMPRODUCT((PayEmp=$C144)*(PayDate&lt;=$AC144)*(ISERROR(SEARCH(PayEarnCode,AO$2)))*(PayEarnType="Bi-Annual")*(PayEarnValues))/MAX(1,ROUNDDOWN($AB144/6,0))*2)+(SUMPRODUCT((PayEmp=$C144)*(PayDate&lt;=$AC144)*(ISERROR(SEARCH(PayEarnCode,AO$2)))*(PayEarnType="Annual")*(PayEarnValues)))),IF(ISNUMBER(OFFSET($N$3,0,MATCH(AO$5,PayDedList,0)-1,1,1)),OFFSET($N$3,0,MATCH(AO$5,PayDedList,0)-1,1,1),IgnoreMin)))*IF(COUNTIFS(EmpNo,$C144,OFFSET(Emp!$R$4,1,MATCH(AO$5,DedListItem,0)-1,EmpCount,1),"&lt;&gt;")&gt;0,VLOOKUP($C144,EmpAll,COLUMN(Emp!$R$4)+MATCH(AO$5,DedListItem,0)-1,0),OFFSET(Setup!$E$73,MATCH(AO$5,DedListItem,0),0,1,1))*AO$3))),IF(ISNUMBER(AO$4),AO$4,IgnoreMin)))))</f>
        <v>0</v>
      </c>
      <c r="AP144" s="148" cm="1">
        <f t="array" aca="1" ref="AP144" ca="1">-IF($F144="Terminated",0,IF($AA144=0,0,IF(ISNA(MATCH(AP$5,PayDedList,0)),0,MIN(IF(COUNTIFS(OverEmp,$C144,OverDeduct,AP$5,OverDate,"&lt;"&amp;DATE(YEAR($AC144),MONTH($AC144)+1,1),OverEnd,"&gt;="&amp;DATE(YEAR($AC144),MONTH($AC144),1))&gt;0,SUMPRODUCT((PayEmp=$C144)*(PayDate&lt;=$AC144)*(OFFSET($N$6,1,MATCH(AP$5,PayDedList,0)-1,PayCount,1)))/$AA144*12*AP$3,IF(OR(AP$1="Fixed",AP$1="Not Used"),SUMPRODUCT((PayEmp=$C144)*(PayDate&lt;=$AC144)*(OFFSET($N$6,1,MATCH(AP$5,PayDedList,0)-1,PayCount,1)))/$AA144*12*AP$3,IF(ISNA(MATCH(AP$1,EarnListItem,0))=FALSE,SUMPRODUCT((PayEmp=$C144)*(PayDate&lt;=$AC144)*(OFFSET($N$6,1,MATCH(AP$5,PayDedList,0)-1,PayCount,1)))/$AA144*12*AP$3,(MIN(((SUMPRODUCT((PayEmp=$C144)*(PayDate&lt;=$AC144)*(ISERROR(SEARCH(PayEarnCode,AP$2)))*(PayEarnType="Monthly")*(PayEarnValues))/$AA144*12)+(SUMPRODUCT((PayEmp=$C144)*(PayDate&lt;=$AC144)*(ISERROR(SEARCH(PayEarnCode,AP$2)))*(PayEarnType="Quarterly")*(PayEarnValues))/MAX(1,ROUNDDOWN($AB144/3,0))*4)+(SUMPRODUCT((PayEmp=$C144)*(PayDate&lt;=$AC144)*(ISERROR(SEARCH(PayEarnCode,AP$2)))*(PayEarnType="Bi-Annual")*(PayEarnValues))/MAX(1,ROUNDDOWN($AB144/6,0))*2)+(SUMPRODUCT((PayEmp=$C144)*(PayDate&lt;=$AC144)*(ISERROR(SEARCH(PayEarnCode,AP$2)))*(PayEarnType="Annual")*(PayEarnValues)))),IF(ISNUMBER(OFFSET($N$3,0,MATCH(AP$5,PayDedList,0)-1,1,1)),OFFSET($N$3,0,MATCH(AP$5,PayDedList,0)-1,1,1),IgnoreMin)))*IF(COUNTIFS(EmpNo,$C144,OFFSET(Emp!$R$4,1,MATCH(AP$5,DedListItem,0)-1,EmpCount,1),"&lt;&gt;")&gt;0,VLOOKUP($C144,EmpAll,COLUMN(Emp!$R$4)+MATCH(AP$5,DedListItem,0)-1,0),OFFSET(Setup!$E$73,MATCH(AP$5,DedListItem,0),0,1,1))*AP$3))),IF(ISNUMBER(AP$4),AP$4,IgnoreMin)))))</f>
        <v>0</v>
      </c>
      <c r="AQ144" s="148" cm="1">
        <f t="array" aca="1" ref="AQ144" ca="1">-IF($F144="Terminated",0,IF($AA144=0,0,IF(ISNA(MATCH(AQ$5,PayDedList,0)),0,MIN(IF(COUNTIFS(OverEmp,$C144,OverDeduct,AQ$5,OverDate,"&lt;"&amp;DATE(YEAR($AC144),MONTH($AC144)+1,1),OverEnd,"&gt;="&amp;DATE(YEAR($AC144),MONTH($AC144),1))&gt;0,SUMPRODUCT((PayEmp=$C144)*(PayDate&lt;=$AC144)*(OFFSET($N$6,1,MATCH(AQ$5,PayDedList,0)-1,PayCount,1)))/$AA144*12*AQ$3,IF(OR(AQ$1="Fixed",AQ$1="Not Used"),SUMPRODUCT((PayEmp=$C144)*(PayDate&lt;=$AC144)*(OFFSET($N$6,1,MATCH(AQ$5,PayDedList,0)-1,PayCount,1)))/$AA144*12*AQ$3,IF(ISNA(MATCH(AQ$1,EarnListItem,0))=FALSE,SUMPRODUCT((PayEmp=$C144)*(PayDate&lt;=$AC144)*(OFFSET($N$6,1,MATCH(AQ$5,PayDedList,0)-1,PayCount,1)))/$AA144*12*AQ$3,(MIN(((SUMPRODUCT((PayEmp=$C144)*(PayDate&lt;=$AC144)*(ISERROR(SEARCH(PayEarnCode,AQ$2)))*(PayEarnType="Monthly")*(PayEarnValues))/$AA144*12)+(SUMPRODUCT((PayEmp=$C144)*(PayDate&lt;=$AC144)*(ISERROR(SEARCH(PayEarnCode,AQ$2)))*(PayEarnType="Quarterly")*(PayEarnValues))/MAX(1,ROUNDDOWN($AB144/3,0))*4)+(SUMPRODUCT((PayEmp=$C144)*(PayDate&lt;=$AC144)*(ISERROR(SEARCH(PayEarnCode,AQ$2)))*(PayEarnType="Bi-Annual")*(PayEarnValues))/MAX(1,ROUNDDOWN($AB144/6,0))*2)+(SUMPRODUCT((PayEmp=$C144)*(PayDate&lt;=$AC144)*(ISERROR(SEARCH(PayEarnCode,AQ$2)))*(PayEarnType="Annual")*(PayEarnValues)))),IF(ISNUMBER(OFFSET($N$3,0,MATCH(AQ$5,PayDedList,0)-1,1,1)),OFFSET($N$3,0,MATCH(AQ$5,PayDedList,0)-1,1,1),IgnoreMin)))*IF(COUNTIFS(EmpNo,$C144,OFFSET(Emp!$R$4,1,MATCH(AQ$5,DedListItem,0)-1,EmpCount,1),"&lt;&gt;")&gt;0,VLOOKUP($C144,EmpAll,COLUMN(Emp!$R$4)+MATCH(AQ$5,DedListItem,0)-1,0),OFFSET(Setup!$E$73,MATCH(AQ$5,DedListItem,0),0,1,1))*AQ$3))),IF(ISNUMBER(AQ$4),AQ$4,IgnoreMin)))))</f>
        <v>0</v>
      </c>
      <c r="AR144" s="148">
        <f t="shared" ca="1" si="64"/>
        <v>195000</v>
      </c>
      <c r="AS144" s="148">
        <f t="shared" ca="1" si="72"/>
        <v>180000</v>
      </c>
      <c r="AT144" s="148" cm="1">
        <f t="array" aca="1" ref="AT144" ca="1">-IF($F144="Terminated",0,IF($AA144=0,0,IF(ISNA(MATCH(AT$5,PayDedList,0)),0,MIN(IF(COUNTIFS(OverEmp,$C144,OverDeduct,AT$5,OverDate,"&lt;"&amp;DATE(YEAR($AC144),MONTH($AC144)+1,1),OverEnd,"&gt;="&amp;DATE(YEAR($AC144),MONTH($AC144),1))&gt;0,SUMPRODUCT((PayEmp=$C144)*(PayDate&lt;=$AC144)*(OFFSET($N$6,1,MATCH(AT$5,PayDedList,0)-1,PayCount,1)))/$AA144*12*AT$3,IF(OR(AT$1="Fixed",AT$1="Not Used"),SUMPRODUCT((PayEmp=$C144)*(PayDate&lt;=$AC144)*(OFFSET($N$6,1,MATCH(AT$5,PayDedList,0)-1,PayCount,1)))/$AA144*12*AT$3,IF(ISNA(MATCH(OFFSET($N$2,0,MATCH(AT$5,PayDedList,0)-1,1,1),EarnListItem,0))=FALSE,SUMPRODUCT((PayEmp=$C144)*(PayDate&lt;=$AC144)*(OFFSET($N$6,1,MATCH(AT$5,PayDedList,0)-1,PayCount,1)))/$AA144*12*AT$3,(MIN(SUMPRODUCT((PayEmp=$C144)*(PayDate&lt;=$AC144)*(ISERROR(SEARCH(PayEarnCode,AT$2)))*(PayEarnType="Monthly")*(PayEarnValues))/$AA144*12,IF(ISNUMBER(OFFSET($N$3,0,MATCH(AT$5,PayDedList,0)-1,1,1)),OFFSET($N$3,0,MATCH(AT$5,PayDedList,0)-1,1,1),IgnoreMin)))*IF(COUNTIFS(EmpNo,$C144,OFFSET(Emp!$R$4,1,MATCH(AT$5,DedListItem,0)-1,EmpCount,1),"&lt;&gt;")&gt;0,VLOOKUP($C144,EmpAll,COLUMN(Emp!$R$4)+MATCH(AT$5,DedListItem,0)-1,0),OFFSET(Setup!$E$73,MATCH(AT$5,DedListItem,0),0,1,1))*AT$3))),IF(ISNUMBER(AT$4),AT$4,IgnoreMin)))))</f>
        <v>0</v>
      </c>
      <c r="AU144" s="148" cm="1">
        <f t="array" aca="1" ref="AU144" ca="1">-IF($F144="Terminated",0,IF($AA144=0,0,IF(ISNA(MATCH(AU$5,PayDedList,0)),0,MIN(IF(COUNTIFS(OverEmp,$C144,OverDeduct,AU$5,OverDate,"&lt;"&amp;DATE(YEAR($AC144),MONTH($AC144)+1,1),OverEnd,"&gt;="&amp;DATE(YEAR($AC144),MONTH($AC144),1))&gt;0,SUMPRODUCT((PayEmp=$C144)*(PayDate&lt;=$AC144)*(OFFSET($N$6,1,MATCH(AU$5,PayDedList,0)-1,PayCount,1)))/$AA144*12*AU$3,IF(OR(AU$1="Fixed",AU$1="Not Used"),SUMPRODUCT((PayEmp=$C144)*(PayDate&lt;=$AC144)*(OFFSET($N$6,1,MATCH(AU$5,PayDedList,0)-1,PayCount,1)))/$AA144*12*AU$3,IF(ISNA(MATCH(OFFSET($N$2,0,MATCH(AU$5,PayDedList,0)-1,1,1),EarnListItem,0))=FALSE,SUMPRODUCT((PayEmp=$C144)*(PayDate&lt;=$AC144)*(OFFSET($N$6,1,MATCH(AU$5,PayDedList,0)-1,PayCount,1)))/$AA144*12*AU$3,(MIN(SUMPRODUCT((PayEmp=$C144)*(PayDate&lt;=$AC144)*(ISERROR(SEARCH(PayEarnCode,AU$2)))*(PayEarnType="Monthly")*(PayEarnValues))/$AA144*12,IF(ISNUMBER(OFFSET($N$3,0,MATCH(AU$5,PayDedList,0)-1,1,1)),OFFSET($N$3,0,MATCH(AU$5,PayDedList,0)-1,1,1),IgnoreMin)))*IF(COUNTIFS(EmpNo,$C144,OFFSET(Emp!$R$4,1,MATCH(AU$5,DedListItem,0)-1,EmpCount,1),"&lt;&gt;")&gt;0,VLOOKUP($C144,EmpAll,COLUMN(Emp!$R$4)+MATCH(AU$5,DedListItem,0)-1,0),OFFSET(Setup!$E$73,MATCH(AU$5,DedListItem,0),0,1,1))*AU$3))),IF(ISNUMBER(AU$4),AU$4,IgnoreMin)))))</f>
        <v>0</v>
      </c>
      <c r="AV144" s="148" cm="1">
        <f t="array" aca="1" ref="AV144" ca="1">-IF($F144="Terminated",0,IF($AA144=0,0,IF(ISNA(MATCH(AV$5,PayDedList,0)),0,MIN(IF(COUNTIFS(OverEmp,$C144,OverDeduct,AV$5,OverDate,"&lt;"&amp;DATE(YEAR($AC144),MONTH($AC144)+1,1),OverEnd,"&gt;="&amp;DATE(YEAR($AC144),MONTH($AC144),1))&gt;0,SUMPRODUCT((PayEmp=$C144)*(PayDate&lt;=$AC144)*(OFFSET($N$6,1,MATCH(AV$5,PayDedList,0)-1,PayCount,1)))/$AA144*12*AV$3,IF(OR(AV$1="Fixed",AV$1="Not Used"),SUMPRODUCT((PayEmp=$C144)*(PayDate&lt;=$AC144)*(OFFSET($N$6,1,MATCH(AV$5,PayDedList,0)-1,PayCount,1)))/$AA144*12*AV$3,IF(ISNA(MATCH(OFFSET($N$2,0,MATCH(AV$5,PayDedList,0)-1,1,1),EarnListItem,0))=FALSE,SUMPRODUCT((PayEmp=$C144)*(PayDate&lt;=$AC144)*(OFFSET($N$6,1,MATCH(AV$5,PayDedList,0)-1,PayCount,1)))/$AA144*12*AV$3,(MIN(SUMPRODUCT((PayEmp=$C144)*(PayDate&lt;=$AC144)*(ISERROR(SEARCH(PayEarnCode,AV$2)))*(PayEarnType="Monthly")*(PayEarnValues))/$AA144*12,IF(ISNUMBER(OFFSET($N$3,0,MATCH(AV$5,PayDedList,0)-1,1,1)),OFFSET($N$3,0,MATCH(AV$5,PayDedList,0)-1,1,1),IgnoreMin)))*IF(COUNTIFS(EmpNo,$C144,OFFSET(Emp!$R$4,1,MATCH(AV$5,DedListItem,0)-1,EmpCount,1),"&lt;&gt;")&gt;0,VLOOKUP($C144,EmpAll,COLUMN(Emp!$R$4)+MATCH(AV$5,DedListItem,0)-1,0),OFFSET(Setup!$E$73,MATCH(AV$5,DedListItem,0),0,1,1))*AV$3))),IF(ISNUMBER(AV$4),AV$4,IgnoreMin)))))</f>
        <v>0</v>
      </c>
      <c r="AW144" s="148" cm="1">
        <f t="array" aca="1" ref="AW144" ca="1">-IF($F144="Terminated",0,IF($AA144=0,0,IF(ISNA(MATCH(AW$5,PayDedList,0)),0,MIN(IF(COUNTIFS(OverEmp,$C144,OverDeduct,AW$5,OverDate,"&lt;"&amp;DATE(YEAR($AC144),MONTH($AC144)+1,1),OverEnd,"&gt;="&amp;DATE(YEAR($AC144),MONTH($AC144),1))&gt;0,SUMPRODUCT((PayEmp=$C144)*(PayDate&lt;=$AC144)*(OFFSET($N$6,1,MATCH(AW$5,PayDedList,0)-1,PayCount,1)))/$AA144*12*AW$3,IF(OR(AW$1="Fixed",AW$1="Not Used"),SUMPRODUCT((PayEmp=$C144)*(PayDate&lt;=$AC144)*(OFFSET($N$6,1,MATCH(AW$5,PayDedList,0)-1,PayCount,1)))/$AA144*12*AW$3,IF(ISNA(MATCH(OFFSET($N$2,0,MATCH(AW$5,PayDedList,0)-1,1,1),EarnListItem,0))=FALSE,SUMPRODUCT((PayEmp=$C144)*(PayDate&lt;=$AC144)*(OFFSET($N$6,1,MATCH(AW$5,PayDedList,0)-1,PayCount,1)))/$AA144*12*AW$3,(MIN(SUMPRODUCT((PayEmp=$C144)*(PayDate&lt;=$AC144)*(ISERROR(SEARCH(PayEarnCode,AW$2)))*(PayEarnType="Monthly")*(PayEarnValues))/$AA144*12,IF(ISNUMBER(OFFSET($N$3,0,MATCH(AW$5,PayDedList,0)-1,1,1)),OFFSET($N$3,0,MATCH(AW$5,PayDedList,0)-1,1,1),IgnoreMin)))*IF(COUNTIFS(EmpNo,$C144,OFFSET(Emp!$R$4,1,MATCH(AW$5,DedListItem,0)-1,EmpCount,1),"&lt;&gt;")&gt;0,VLOOKUP($C144,EmpAll,COLUMN(Emp!$R$4)+MATCH(AW$5,DedListItem,0)-1,0),OFFSET(Setup!$E$73,MATCH(AW$5,DedListItem,0),0,1,1))*AW$3))),IF(ISNUMBER(AW$4),AW$4,IgnoreMin)))))</f>
        <v>0</v>
      </c>
      <c r="AX144" s="148">
        <f t="shared" ca="1" si="73"/>
        <v>180000</v>
      </c>
      <c r="AY144" s="148">
        <f t="shared" ca="1" si="74"/>
        <v>15000</v>
      </c>
      <c r="AZ144" s="148">
        <f ca="1">IF(ISNUMBER($AL144),($AR144*$AL144)-$AI144-$AK144,MAX(0,IF($AL144="B",IF($AR144&lt;Setup!$C$32,($AR144*Setup!$D$32)-$AI144-$AK144,(($AR144-VLOOKUP($AR144,TaxAll2,1,1))*OFFSET(Setup!$D$32,MATCH($AR144,TaxBracket2,1),0,1,1))+OFFSET(Setup!$E$31,MATCH($AR144,TaxBracket2,1),0,1,1)-$AI144-$AK144),IF($AR144&lt;Setup!$C$21,($AR144*Setup!$D$21)-$AI144-$AK144,(($AR144-VLOOKUP($AR144,TaxAll1,1,1))*OFFSET(Setup!$D$21,MATCH($AR144,TaxBracket1,1),0,1,1))+OFFSET(Setup!$E$20,MATCH($AR144,TaxBracket1,1),0,1,1)-$AI144-$AK144))))</f>
        <v>13497</v>
      </c>
      <c r="BA144" s="148">
        <f ca="1">IF(ISNUMBER($AL144),($AX144*$AL144)-$AI144-$AK144,MAX(0,IF($AL144="B",IF($AX144&lt;Setup!$C$32,($AX144*Setup!$D$32)-$AI144-$AK144,(($AX144-VLOOKUP($AX144,TaxAll2,1,1))*OFFSET(Setup!$D$32,MATCH($AX144,TaxBracket2,1),0,1,1))+OFFSET(Setup!$E$31,MATCH($AX144,TaxBracket2,1),0,1,1)-$AI144-$AK144),IF($AX144&lt;Setup!$C$21,($AX144*Setup!$D$21)-$AI144-$AK144,(($AX144-VLOOKUP($AX144,TaxAll1,1,1))*OFFSET(Setup!$D$21,MATCH($AX144,TaxBracket1,1),0,1,1))+OFFSET(Setup!$E$20,MATCH($AX144,TaxBracket1,1),0,1,1)-$AI144-$AK144))))</f>
        <v>10797</v>
      </c>
      <c r="BB144" s="148">
        <f t="shared" ca="1" si="65"/>
        <v>2700</v>
      </c>
      <c r="BC144" s="150">
        <f t="shared" ca="1" si="75"/>
        <v>0.92307692307692313</v>
      </c>
      <c r="BD144" s="150">
        <f t="shared" ca="1" si="76"/>
        <v>7.6923076923076927E-2</v>
      </c>
      <c r="BE144" s="148">
        <f t="shared" ca="1" si="77"/>
        <v>195000</v>
      </c>
    </row>
    <row r="145" spans="1:57" ht="16.149999999999999" customHeight="1" x14ac:dyDescent="0.25">
      <c r="A145" s="10" t="str" cm="1">
        <f t="array" aca="1" ref="A145" ca="1">IF(ROW($A145)-ROW($A$6)&gt;EmpCount*12,"-",TEXT($B145,"yyyy")&amp;TEXT($B145,"mm")&amp;"-"&amp;$C145)</f>
        <v>202312-EXS004</v>
      </c>
      <c r="B145" s="137" cm="1">
        <f t="array" aca="1" ref="B145" ca="1">IF(ROW($A145)-ROW($A$6)&gt;EmpCount*12,Setup!$D$12,DATE(YEAR(Setup!$F$12),MONTH(Setup!$F$12)+ROUNDDOWN((ROW($A145)-ROW($A$6)-1)/EmpCount,0),IF(Setup!$C$14&gt;DAY(DATE(YEAR(Setup!$F$12),MONTH(Setup!$F$12)+ROUNDDOWN((ROW($A145)-ROW($A$6)-1)/EmpCount,0)+1,0)),DAY(DATE(YEAR(Setup!$F$12),MONTH(Setup!$F$12)+ROUNDDOWN((ROW($A145)-ROW($A$6)-1)/EmpCount,0)+1,0)),Setup!$C$14)))</f>
        <v>45285</v>
      </c>
      <c r="C145" s="101" t="str" cm="1">
        <f t="array" aca="1" ref="C145" ca="1">IF(ROW($A145)-ROW($A$6)&gt;EmpCount*12,"-",OFFSET(Emp!$A$4,ROW($A145)-ROW($A$6)-IF(ROW($A145)-ROW($A$6)&gt;EmpCount,ROUNDDOWN((ROW($A145)-ROW($A$6)-1)/EmpCount,0)*EmpCount,0),0,1,1))</f>
        <v>EXS004</v>
      </c>
      <c r="D145" s="10" t="str">
        <f ca="1">IF(ISNA(VLOOKUP($C145,EmpAll,COLUMN(Emp!$B$4),0)),"-",VLOOKUP($C145,EmpAll,COLUMN(Emp!$B$4),0))</f>
        <v>Osborne S</v>
      </c>
      <c r="E145" s="145" t="str">
        <f ca="1">IF(ISNA(VLOOKUP($C145,EmpAll,COLUMN(Emp!$C$4),0)),"-",VLOOKUP($C145,EmpAll,COLUMN(Emp!$C$4),0))</f>
        <v>S</v>
      </c>
      <c r="F145" s="101" t="str">
        <f ca="1">IF(ISNA(VLOOKUP($C145,EmpAll,COLUMN(Emp!$A$4),0)),"-",IF(AND(VLOOKUP($C145,EmpAll,COLUMN(Emp!$E$4),0)&lt;&gt;0,VLOOKUP($C145,EmpAll,COLUMN(Emp!$E$4),0)&gt;=DATE(YEAR($AC145),MONTH($AC145)+1,0)),"Inactive",IF(AND(VLOOKUP($C145,EmpAll,COLUMN(Emp!$F$4),0)&lt;&gt;0,VLOOKUP($C145,EmpAll,COLUMN(Emp!$F$4),0)&lt;=DATE(YEAR($AC145),MONTH($AC145),0)),"Terminated","Active")))</f>
        <v>Active</v>
      </c>
      <c r="G145" s="133" cm="1">
        <f t="array" aca="1" ref="G145" ca="1">IF($F145&lt;&gt;"Active",0,IF(COUNTIFS(OverEmp,$C145,OverEarn,G$2,OverDate,"&lt;"&amp;DATE(YEAR($AC145),MONTH($AC145)+1,1),OverEnd,"&gt;="&amp;DATE(YEAR($AC145),MONTH($AC145),1))&gt;0,SUMIFS(OverValue,OverEmp,$C145,OverEarn,G$2,OverDate,"&lt;"&amp;DATE(YEAR($AC145),MONTH($AC145)+1,1),OverEnd,"&gt;="&amp;DATE(YEAR($AC145),MONTH($AC145),1)),IF(AND($AC145&gt;=Setup!$E$10,SUMIFS(EmpIncrease,EmpCode,$C145)&gt;0),SUMIFS(EmpIncrease,EmpCode,$C145),SUMIFS(EmpSalary,EmpCode,$C145))))</f>
        <v>15000</v>
      </c>
      <c r="H145" s="133" cm="1">
        <f t="array" aca="1" ref="H145" ca="1">IF($F145&lt;&gt;"Active",0,IF(COUNTIFS(OverEmp,$C145,OverEarn,H$2,OverDate,"&lt;"&amp;DATE(YEAR($AC145),MONTH($AC145)+1,1),OverEnd,"&gt;="&amp;DATE(YEAR($AC145),MONTH($AC145),1))&gt;0,SUMIFS(OverValue,OverEmp,$C145,OverEarn,H$2,OverDate,"&lt;"&amp;DATE(YEAR($AC145),MONTH($AC145)+1,1),OverEnd,"&gt;="&amp;DATE(YEAR($AC145),MONTH($AC145),1)),0))</f>
        <v>0</v>
      </c>
      <c r="I145" s="133" cm="1">
        <f t="array" aca="1" ref="I145" ca="1">IF($F145&lt;&gt;"Active",0,IF(COUNTIFS(OverEmp,$C145,OverEarn,I$2,OverDate,"&lt;"&amp;DATE(YEAR($AC145),MONTH($AC145)+1,1),OverEnd,"&gt;="&amp;DATE(YEAR($AC145),MONTH($AC145),1))&gt;0,SUMIFS(OverValue,OverEmp,$C145,OverEarn,I$2,OverDate,"&lt;"&amp;DATE(YEAR($AC145),MONTH($AC145)+1,1),OverEnd,"&gt;="&amp;DATE(YEAR($AC145),MONTH($AC145),1)),IF(MONTH(B145)=Setup!$C$15,SUMIFS(EmpBonus,EmpCode,$C145),0)))</f>
        <v>15000</v>
      </c>
      <c r="J145" s="133" cm="1">
        <f t="array" aca="1" ref="J145" ca="1">IF($F145&lt;&gt;"Active",0,IF(COUNTIFS(OverEmp,$C145,OverEarn,J$2,OverDate,"&lt;"&amp;DATE(YEAR($AC145),MONTH($AC145)+1,1),OverEnd,"&gt;="&amp;DATE(YEAR($AC145),MONTH($AC145),1))&gt;0,SUMIFS(OverValue,OverEmp,$C145,OverEarn,J$2,OverDate,"&lt;"&amp;DATE(YEAR($AC145),MONTH($AC145)+1,1),OverEnd,"&gt;="&amp;DATE(YEAR($AC145),MONTH($AC145),1)),0))</f>
        <v>0</v>
      </c>
      <c r="K145" s="133" cm="1">
        <f t="array" aca="1" ref="K145" ca="1">IF($F145&lt;&gt;"Active",0,IF(COUNTIFS(OverEmp,$C145,OverEarn,K$2,OverDate,"&lt;"&amp;DATE(YEAR($AC145),MONTH($AC145)+1,1),OverEnd,"&gt;="&amp;DATE(YEAR($AC145),MONTH($AC145),1))&gt;0,SUMIFS(OverValue,OverEmp,$C145,OverEarn,K$2,OverDate,"&lt;"&amp;DATE(YEAR($AC145),MONTH($AC145)+1,1),OverEnd,"&gt;="&amp;DATE(YEAR($AC145),MONTH($AC145),1)),0))</f>
        <v>0</v>
      </c>
      <c r="L145" s="185">
        <f t="shared" ca="1" si="66"/>
        <v>30000</v>
      </c>
      <c r="M145" s="182" cm="1">
        <f t="array" aca="1" ref="M145" ca="1">IF(COUNTIFS(OverEmp,$C145,OverTax,M$5,OverDate,"&lt;"&amp;DATE(YEAR($AC145),MONTH($AC145)+1,1),OverEnd,"&gt;="&amp;DATE(YEAR($AC145),MONTH($AC145),1))&gt;0,SUMIFS(OverValue,OverEmp,$C145,OverTax,M$5,OverDate,"&lt;"&amp;DATE(YEAR($AC145),MONTH($AC145)+1,1),OverEnd,"&gt;="&amp;DATE(YEAR($AC145),MONTH($AC145),1)),(($BA145/12*$AA145)+(BB145*IF(1-$BC145=0,0,BD145/(1-$BC145))))-IF($F145="Terminated",0,SUMIFS(PayTaxDeduct,PayDate,"&lt;"&amp;$AC145,PayEmp,$C145)))</f>
        <v>3599.7500000000018</v>
      </c>
      <c r="N145" s="133" cm="1">
        <f t="array" aca="1" ref="N145" ca="1">IF($F145="Terminated",0,IF($AA145=0,0,IF(ISNA(MATCH(N$5,DedListItem,0)),0,IF(COUNTIFS(OverEmp,$C145,OverDeduct,N$5,OverDate,"&lt;"&amp;DATE(YEAR($AC145),MONTH($AC145)+1,1),OverEnd,"&gt;="&amp;DATE(YEAR($AC145),MONTH($AC145),1))&gt;0,SUMIFS(OverValue,OverEmp,$C145,OverDeduct,N$5,OverDate,"&lt;"&amp;DATE(YEAR($AC145),MONTH($AC145)+1,1),OverEnd,"&gt;="&amp;DATE(YEAR($AC145),MONTH($AC145),1)),IF(OR(N$2="Fixed",N$2="Not Used"),(IF(COUNTIFS(EmpNo,$C145,OFFSET(Emp!$R$4,1,MATCH(N$5,DedListItem,0)-1,EmpCount,1),"&lt;&gt;")&gt;0,VLOOKUP($C145,EmpAll,COLUMN(Emp!$R$4)+MATCH(N$5,DedListItem,0)-1,0),OFFSET(Setup!$E$73,MATCH(N$5,DedListItem,0),0,1,1))*$AA145)-SUMIFS(OFFSET(N$6,1,0,PayCount,1),PayDate,"&lt;"&amp;$AC145,PayEmp,$C145),IF(ISNA(MATCH(N$2,EarnListItem,0))=FALSE,IF(OFFSET(Setup!$G$73,MATCH(N$5,DedListItem,0),0,1,1)="Taxable",SUMPRODUCT((PayEmp=$C145)*(PayDate&lt;=$AC145)*(PayEarnCode=N$2)*(PayEarnTax)*(PayEarnValues)),SUMPRODUCT((PayEmp=$C145)*(PayDate&lt;=$AC145)*(PayEarnCode=N$2)*(PayEarnValues)))*IF(COUNTIFS(EmpNo,$C145,OFFSET(Emp!$R$4,1,MATCH(N$5,DedListItem,0)-1,EmpCount,1),"&lt;&gt;")&gt;0,VLOOKUP($C145,EmpAll,COLUMN(Emp!$R$4)+MATCH(N$5,DedListItem,0)-1,0),OFFSET(Setup!$E$73,MATCH(N$5,DedListItem,0),0,1,1)),(MIN(IF(OFFSET(Setup!$G$73,MATCH(N$5,DedListItem,0),0,1,1)="Taxable",SUMPRODUCT((PayEmp=$C145)*(PayDate&lt;=$AC145)*(ISERROR(SEARCH(PayEarnCode,N$4)))*(PayEarnTax)*(PayEarnValues)),SUMPRODUCT((PayEmp=$C145)*(PayDate&lt;=$AC145)*(ISERROR(SEARCH(PayEarnCode,N$4)))*(PayEarnValues))),IF(ISNUMBER(N$3),N$3/12*$AA145,IgnoreMin)))*IF(COUNTIFS(EmpNo,$C145,OFFSET(Emp!$R$4,1,MATCH(N$5,DedListItem,0)-1,EmpCount,1),"&lt;&gt;")&gt;0,VLOOKUP($C145,EmpAll,COLUMN(Emp!$R$4)+MATCH(N$5,DedListItem,0)-1,0),OFFSET(Setup!$E$73,MATCH(N$5,DedListItem,0),0,1,1)))-SUMIFS(OFFSET(N$6,1,0,PayCount,1),PayDate,"&lt;"&amp;$AC145,PayEmp,$C145))))))</f>
        <v>300</v>
      </c>
      <c r="O145" s="133" cm="1">
        <f t="array" aca="1" ref="O145" ca="1">IF($F145="Terminated",0,IF($AA145=0,0,IF(ISNA(MATCH(O$5,DedListItem,0)),0,IF(COUNTIFS(OverEmp,$C145,OverDeduct,O$5,OverDate,"&lt;"&amp;DATE(YEAR($AC145),MONTH($AC145)+1,1),OverEnd,"&gt;="&amp;DATE(YEAR($AC145),MONTH($AC145),1))&gt;0,SUMIFS(OverValue,OverEmp,$C145,OverDeduct,O$5,OverDate,"&lt;"&amp;DATE(YEAR($AC145),MONTH($AC145)+1,1),OverEnd,"&gt;="&amp;DATE(YEAR($AC145),MONTH($AC145),1)),IF(OR(O$2="Fixed",O$2="Not Used"),(IF(COUNTIFS(EmpNo,$C145,OFFSET(Emp!$R$4,1,MATCH(O$5,DedListItem,0)-1,EmpCount,1),"&lt;&gt;")&gt;0,VLOOKUP($C145,EmpAll,COLUMN(Emp!$R$4)+MATCH(O$5,DedListItem,0)-1,0),OFFSET(Setup!$E$73,MATCH(O$5,DedListItem,0),0,1,1))*$AA145)-SUMIFS(OFFSET(O$6,1,0,PayCount,1),PayDate,"&lt;"&amp;$AC145,PayEmp,$C145),IF(ISNA(MATCH(O$2,EarnListItem,0))=FALSE,IF(OFFSET(Setup!$G$73,MATCH(O$5,DedListItem,0),0,1,1)="Taxable",SUMPRODUCT((PayEmp=$C145)*(PayDate&lt;=$AC145)*(PayEarnCode=O$2)*(PayEarnTax)*(PayEarnValues)),SUMPRODUCT((PayEmp=$C145)*(PayDate&lt;=$AC145)*(PayEarnCode=O$2)*(PayEarnValues)))*IF(COUNTIFS(EmpNo,$C145,OFFSET(Emp!$R$4,1,MATCH(O$5,DedListItem,0)-1,EmpCount,1),"&lt;&gt;")&gt;0,VLOOKUP($C145,EmpAll,COLUMN(Emp!$R$4)+MATCH(O$5,DedListItem,0)-1,0),OFFSET(Setup!$E$73,MATCH(O$5,DedListItem,0),0,1,1)),(MIN(IF(OFFSET(Setup!$G$73,MATCH(O$5,DedListItem,0),0,1,1)="Taxable",SUMPRODUCT((PayEmp=$C145)*(PayDate&lt;=$AC145)*(ISERROR(SEARCH(PayEarnCode,O$4)))*(PayEarnTax)*(PayEarnValues)),SUMPRODUCT((PayEmp=$C145)*(PayDate&lt;=$AC145)*(ISERROR(SEARCH(PayEarnCode,O$4)))*(PayEarnValues))),IF(ISNUMBER(O$3),O$3/12*$AA145,IgnoreMin)))*IF(COUNTIFS(EmpNo,$C145,OFFSET(Emp!$R$4,1,MATCH(O$5,DedListItem,0)-1,EmpCount,1),"&lt;&gt;")&gt;0,VLOOKUP($C145,EmpAll,COLUMN(Emp!$R$4)+MATCH(O$5,DedListItem,0)-1,0),OFFSET(Setup!$E$73,MATCH(O$5,DedListItem,0),0,1,1)))-SUMIFS(OFFSET(O$6,1,0,PayCount,1),PayDate,"&lt;"&amp;$AC145,PayEmp,$C145))))))</f>
        <v>0</v>
      </c>
      <c r="P145" s="133" cm="1">
        <f t="array" aca="1" ref="P145" ca="1">IF($F145="Terminated",0,IF($AA145=0,0,IF(ISNA(MATCH(P$5,DedListItem,0)),0,IF(COUNTIFS(OverEmp,$C145,OverDeduct,P$5,OverDate,"&lt;"&amp;DATE(YEAR($AC145),MONTH($AC145)+1,1),OverEnd,"&gt;="&amp;DATE(YEAR($AC145),MONTH($AC145),1))&gt;0,SUMIFS(OverValue,OverEmp,$C145,OverDeduct,P$5,OverDate,"&lt;"&amp;DATE(YEAR($AC145),MONTH($AC145)+1,1),OverEnd,"&gt;="&amp;DATE(YEAR($AC145),MONTH($AC145),1)),IF(OR(P$2="Fixed",P$2="Not Used"),(IF(COUNTIFS(EmpNo,$C145,OFFSET(Emp!$R$4,1,MATCH(P$5,DedListItem,0)-1,EmpCount,1),"&lt;&gt;")&gt;0,VLOOKUP($C145,EmpAll,COLUMN(Emp!$R$4)+MATCH(P$5,DedListItem,0)-1,0),OFFSET(Setup!$E$73,MATCH(P$5,DedListItem,0),0,1,1))*$AA145)-SUMIFS(OFFSET(P$6,1,0,PayCount,1),PayDate,"&lt;"&amp;$AC145,PayEmp,$C145),IF(ISNA(MATCH(P$2,EarnListItem,0))=FALSE,IF(OFFSET(Setup!$G$73,MATCH(P$5,DedListItem,0),0,1,1)="Taxable",SUMPRODUCT((PayEmp=$C145)*(PayDate&lt;=$AC145)*(PayEarnCode=P$2)*(PayEarnTax)*(PayEarnValues)),SUMPRODUCT((PayEmp=$C145)*(PayDate&lt;=$AC145)*(PayEarnCode=P$2)*(PayEarnValues)))*IF(COUNTIFS(EmpNo,$C145,OFFSET(Emp!$R$4,1,MATCH(P$5,DedListItem,0)-1,EmpCount,1),"&lt;&gt;")&gt;0,VLOOKUP($C145,EmpAll,COLUMN(Emp!$R$4)+MATCH(P$5,DedListItem,0)-1,0),OFFSET(Setup!$E$73,MATCH(P$5,DedListItem,0),0,1,1)),(MIN(IF(OFFSET(Setup!$G$73,MATCH(P$5,DedListItem,0),0,1,1)="Taxable",SUMPRODUCT((PayEmp=$C145)*(PayDate&lt;=$AC145)*(ISERROR(SEARCH(PayEarnCode,P$4)))*(PayEarnTax)*(PayEarnValues)),SUMPRODUCT((PayEmp=$C145)*(PayDate&lt;=$AC145)*(ISERROR(SEARCH(PayEarnCode,P$4)))*(PayEarnValues))),IF(ISNUMBER(P$3),P$3/12*$AA145,IgnoreMin)))*IF(COUNTIFS(EmpNo,$C145,OFFSET(Emp!$R$4,1,MATCH(P$5,DedListItem,0)-1,EmpCount,1),"&lt;&gt;")&gt;0,VLOOKUP($C145,EmpAll,COLUMN(Emp!$R$4)+MATCH(P$5,DedListItem,0)-1,0),OFFSET(Setup!$E$73,MATCH(P$5,DedListItem,0),0,1,1)))-SUMIFS(OFFSET(P$6,1,0,PayCount,1),PayDate,"&lt;"&amp;$AC145,PayEmp,$C145))))))</f>
        <v>500</v>
      </c>
      <c r="Q145" s="133" cm="1">
        <f t="array" aca="1" ref="Q145" ca="1">IF($F145="Terminated",0,IF($AA145=0,0,IF(ISNA(MATCH(Q$5,DedListItem,0)),0,IF(COUNTIFS(OverEmp,$C145,OverDeduct,Q$5,OverDate,"&lt;"&amp;DATE(YEAR($AC145),MONTH($AC145)+1,1),OverEnd,"&gt;="&amp;DATE(YEAR($AC145),MONTH($AC145),1))&gt;0,SUMIFS(OverValue,OverEmp,$C145,OverDeduct,Q$5,OverDate,"&lt;"&amp;DATE(YEAR($AC145),MONTH($AC145)+1,1),OverEnd,"&gt;="&amp;DATE(YEAR($AC145),MONTH($AC145),1)),IF(OR(Q$2="Fixed",Q$2="Not Used"),(IF(COUNTIFS(EmpNo,$C145,OFFSET(Emp!$R$4,1,MATCH(Q$5,DedListItem,0)-1,EmpCount,1),"&lt;&gt;")&gt;0,VLOOKUP($C145,EmpAll,COLUMN(Emp!$R$4)+MATCH(Q$5,DedListItem,0)-1,0),OFFSET(Setup!$E$73,MATCH(Q$5,DedListItem,0),0,1,1))*$AA145)-SUMIFS(OFFSET(Q$6,1,0,PayCount,1),PayDate,"&lt;"&amp;$AC145,PayEmp,$C145),IF(ISNA(MATCH(Q$2,EarnListItem,0))=FALSE,IF(OFFSET(Setup!$G$73,MATCH(Q$5,DedListItem,0),0,1,1)="Taxable",SUMPRODUCT((PayEmp=$C145)*(PayDate&lt;=$AC145)*(PayEarnCode=Q$2)*(PayEarnTax)*(PayEarnValues)),SUMPRODUCT((PayEmp=$C145)*(PayDate&lt;=$AC145)*(PayEarnCode=Q$2)*(PayEarnValues)))*IF(COUNTIFS(EmpNo,$C145,OFFSET(Emp!$R$4,1,MATCH(Q$5,DedListItem,0)-1,EmpCount,1),"&lt;&gt;")&gt;0,VLOOKUP($C145,EmpAll,COLUMN(Emp!$R$4)+MATCH(Q$5,DedListItem,0)-1,0),OFFSET(Setup!$E$73,MATCH(Q$5,DedListItem,0),0,1,1)),(MIN(IF(OFFSET(Setup!$G$73,MATCH(Q$5,DedListItem,0),0,1,1)="Taxable",SUMPRODUCT((PayEmp=$C145)*(PayDate&lt;=$AC145)*(ISERROR(SEARCH(PayEarnCode,Q$4)))*(PayEarnTax)*(PayEarnValues)),SUMPRODUCT((PayEmp=$C145)*(PayDate&lt;=$AC145)*(ISERROR(SEARCH(PayEarnCode,Q$4)))*(PayEarnValues))),IF(ISNUMBER(Q$3),Q$3/12*$AA145,IgnoreMin)))*IF(COUNTIFS(EmpNo,$C145,OFFSET(Emp!$R$4,1,MATCH(Q$5,DedListItem,0)-1,EmpCount,1),"&lt;&gt;")&gt;0,VLOOKUP($C145,EmpAll,COLUMN(Emp!$R$4)+MATCH(Q$5,DedListItem,0)-1,0),OFFSET(Setup!$E$73,MATCH(Q$5,DedListItem,0),0,1,1)))-SUMIFS(OFFSET(Q$6,1,0,PayCount,1),PayDate,"&lt;"&amp;$AC145,PayEmp,$C145))))))</f>
        <v>0</v>
      </c>
      <c r="R145" s="185">
        <f t="shared" ca="1" si="67"/>
        <v>4399.7500000000018</v>
      </c>
      <c r="S145" s="139">
        <f t="shared" ca="1" si="68"/>
        <v>25600.25</v>
      </c>
      <c r="T145" s="133" cm="1">
        <f t="array" aca="1" ref="T145" ca="1">IF($F145="Terminated",0,IF($AA145=0,0,IF(ISNA(MATCH(T$5,CompListItem,0)),0,IF(COUNTIFS(OverEmp,$C145,OverComp,T$5,OverDate,"&lt;"&amp;DATE(YEAR($AC145),MONTH($AC145)+1,1),OverEnd,"&gt;="&amp;DATE(YEAR($AC145),MONTH($AC145),1))&gt;0,SUMIFS(OverValue,OverEmp,$C145,OverComp,T$5,OverDate,"&lt;"&amp;DATE(YEAR($AC145),MONTH($AC145)+1,1),OverEnd,"&gt;="&amp;DATE(YEAR($AC145),MONTH($AC145),1)),IF(OR(T$2="Fixed",T$2="Not Used"),(OFFSET(Setup!$E$81,MATCH(T$5,CompListItem,0),0,1,1)*$AA145)-SUMIFS(OFFSET(T$6,1,0,PayCount,1),PayDate,"&lt;"&amp;$AC145,PayEmp,$C145),IF(ISNA(MATCH(T$2,DedListItem,0))=FALSE,(SUMPRODUCT((PayEmp=$C145)*(PayDate&lt;=$AC145)*(PayDedList=T$2)*(PayDedValues))*OFFSET(Setup!$E$81,MATCH(T$5,CompListItem,0),0,1,1))-SUMIFS(OFFSET(T$6,1,0,PayCount,1),PayDate,"&lt;"&amp;$AC145,PayEmp,$C145),(MIN(IF(OFFSET(Setup!$G$81,MATCH(T$5,CompListItem,0),0,1,1)="Taxable",SUMPRODUCT((PayEmp=$C145)*(PayDate&lt;=$AC145)*(ISERROR(SEARCH(PayEarnCode,T$4)))*(PayEarnTax)*(PayEarnValues)),SUMPRODUCT((PayEmp=$C145)*(PayDate&lt;=$AC145)*(ISERROR(SEARCH(PayEarnCode,T$4)))*(PayEarnValues))),IF(ISNUMBER(T$3),T$3/12*$AA145,IgnoreMin)))*OFFSET(Setup!$E$81,MATCH(T$5,CompListItem,0),0,1,1)-SUMIFS(OFFSET(T$6,1,0,PayCount,1),PayDate,"&lt;"&amp;$AC145,PayEmp,$C145)))))))</f>
        <v>300</v>
      </c>
      <c r="U145" s="133" cm="1">
        <f t="array" aca="1" ref="U145" ca="1">IF($F145="Terminated",0,IF($AA145=0,0,IF(ISNA(MATCH(U$5,CompListItem,0)),0,IF(COUNTIFS(OverEmp,$C145,OverComp,U$5,OverDate,"&lt;"&amp;DATE(YEAR($AC145),MONTH($AC145)+1,1),OverEnd,"&gt;="&amp;DATE(YEAR($AC145),MONTH($AC145),1))&gt;0,SUMIFS(OverValue,OverEmp,$C145,OverComp,U$5,OverDate,"&lt;"&amp;DATE(YEAR($AC145),MONTH($AC145)+1,1),OverEnd,"&gt;="&amp;DATE(YEAR($AC145),MONTH($AC145),1)),IF(OR(U$2="Fixed",U$2="Not Used"),(OFFSET(Setup!$E$81,MATCH(U$5,CompListItem,0),0,1,1)*$AA145)-SUMIFS(OFFSET(U$6,1,0,PayCount,1),PayDate,"&lt;"&amp;$AC145,PayEmp,$C145),IF(ISNA(MATCH(U$2,DedListItem,0))=FALSE,(SUMPRODUCT((PayEmp=$C145)*(PayDate&lt;=$AC145)*(PayDedList=U$2)*(PayDedValues))*OFFSET(Setup!$E$81,MATCH(U$5,CompListItem,0),0,1,1))-SUMIFS(OFFSET(U$6,1,0,PayCount,1),PayDate,"&lt;"&amp;$AC145,PayEmp,$C145),(MIN(IF(OFFSET(Setup!$G$81,MATCH(U$5,CompListItem,0),0,1,1)="Taxable",SUMPRODUCT((PayEmp=$C145)*(PayDate&lt;=$AC145)*(ISERROR(SEARCH(PayEarnCode,U$4)))*(PayEarnTax)*(PayEarnValues)),SUMPRODUCT((PayEmp=$C145)*(PayDate&lt;=$AC145)*(ISERROR(SEARCH(PayEarnCode,U$4)))*(PayEarnValues))),IF(ISNUMBER(U$3),U$3/12*$AA145,IgnoreMin)))*OFFSET(Setup!$E$81,MATCH(U$5,CompListItem,0),0,1,1)-SUMIFS(OFFSET(U$6,1,0,PayCount,1),PayDate,"&lt;"&amp;$AC145,PayEmp,$C145)))))))</f>
        <v>300</v>
      </c>
      <c r="V145" s="133" cm="1">
        <f t="array" aca="1" ref="V145" ca="1">IF($F145="Terminated",0,IF($AA145=0,0,IF(ISNA(MATCH(V$5,CompListItem,0)),0,IF(COUNTIFS(OverEmp,$C145,OverComp,V$5,OverDate,"&lt;"&amp;DATE(YEAR($AC145),MONTH($AC145)+1,1),OverEnd,"&gt;="&amp;DATE(YEAR($AC145),MONTH($AC145),1))&gt;0,SUMIFS(OverValue,OverEmp,$C145,OverComp,V$5,OverDate,"&lt;"&amp;DATE(YEAR($AC145),MONTH($AC145)+1,1),OverEnd,"&gt;="&amp;DATE(YEAR($AC145),MONTH($AC145),1)),IF(OR(V$2="Fixed",V$2="Not Used"),(OFFSET(Setup!$E$81,MATCH(V$5,CompListItem,0),0,1,1)*$AA145)-SUMIFS(OFFSET(V$6,1,0,PayCount,1),PayDate,"&lt;"&amp;$AC145,PayEmp,$C145),IF(ISNA(MATCH(V$2,DedListItem,0))=FALSE,(SUMPRODUCT((PayEmp=$C145)*(PayDate&lt;=$AC145)*(PayDedList=V$2)*(PayDedValues))*OFFSET(Setup!$E$81,MATCH(V$5,CompListItem,0),0,1,1))-SUMIFS(OFFSET(V$6,1,0,PayCount,1),PayDate,"&lt;"&amp;$AC145,PayEmp,$C145),(MIN(IF(OFFSET(Setup!$G$81,MATCH(V$5,CompListItem,0),0,1,1)="Taxable",SUMPRODUCT((PayEmp=$C145)*(PayDate&lt;=$AC145)*(ISERROR(SEARCH(PayEarnCode,V$4)))*(PayEarnTax)*(PayEarnValues)),SUMPRODUCT((PayEmp=$C145)*(PayDate&lt;=$AC145)*(ISERROR(SEARCH(PayEarnCode,V$4)))*(PayEarnValues))),IF(ISNUMBER(V$3),V$3/12*$AA145,IgnoreMin)))*OFFSET(Setup!$E$81,MATCH(V$5,CompListItem,0),0,1,1)-SUMIFS(OFFSET(V$6,1,0,PayCount,1),PayDate,"&lt;"&amp;$AC145,PayEmp,$C145)))))))</f>
        <v>0</v>
      </c>
      <c r="W145" s="133" cm="1">
        <f t="array" aca="1" ref="W145" ca="1">IF($F145="Terminated",0,IF($AA145=0,0,IF(ISNA(MATCH(W$5,CompListItem,0)),0,IF(COUNTIFS(OverEmp,$C145,OverComp,W$5,OverDate,"&lt;"&amp;DATE(YEAR($AC145),MONTH($AC145)+1,1),OverEnd,"&gt;="&amp;DATE(YEAR($AC145),MONTH($AC145),1))&gt;0,SUMIFS(OverValue,OverEmp,$C145,OverComp,W$5,OverDate,"&lt;"&amp;DATE(YEAR($AC145),MONTH($AC145)+1,1),OverEnd,"&gt;="&amp;DATE(YEAR($AC145),MONTH($AC145),1)),IF(OR(W$2="Fixed",W$2="Not Used"),(OFFSET(Setup!$E$81,MATCH(W$5,CompListItem,0),0,1,1)*$AA145)-SUMIFS(OFFSET(W$6,1,0,PayCount,1),PayDate,"&lt;"&amp;$AC145,PayEmp,$C145),IF(ISNA(MATCH(W$2,DedListItem,0))=FALSE,(SUMPRODUCT((PayEmp=$C145)*(PayDate&lt;=$AC145)*(PayDedList=W$2)*(PayDedValues))*OFFSET(Setup!$E$81,MATCH(W$5,CompListItem,0),0,1,1))-SUMIFS(OFFSET(W$6,1,0,PayCount,1),PayDate,"&lt;"&amp;$AC145,PayEmp,$C145),(MIN(IF(OFFSET(Setup!$G$81,MATCH(W$5,CompListItem,0),0,1,1)="Taxable",SUMPRODUCT((PayEmp=$C145)*(PayDate&lt;=$AC145)*(ISERROR(SEARCH(PayEarnCode,W$4)))*(PayEarnTax)*(PayEarnValues)),SUMPRODUCT((PayEmp=$C145)*(PayDate&lt;=$AC145)*(ISERROR(SEARCH(PayEarnCode,W$4)))*(PayEarnValues))),IF(ISNUMBER(W$3),W$3/12*$AA145,IgnoreMin)))*OFFSET(Setup!$E$81,MATCH(W$5,CompListItem,0),0,1,1)-SUMIFS(OFFSET(W$6,1,0,PayCount,1),PayDate,"&lt;"&amp;$AC145,PayEmp,$C145)))))))</f>
        <v>0</v>
      </c>
      <c r="X145" s="185">
        <f t="shared" ca="1" si="60"/>
        <v>600</v>
      </c>
      <c r="Y145" s="139">
        <f t="shared" ca="1" si="69"/>
        <v>30600</v>
      </c>
      <c r="Z145" s="139">
        <f t="shared" ca="1" si="61"/>
        <v>4999.75</v>
      </c>
      <c r="AA145" s="146">
        <f ca="1">IF(OR($B145&lt;=Setup!$E$12,$B145&gt;=Setup!$D$12+1),0,IF($F145&lt;&gt;"Active",0,IF($AE145="Yes",$AB145,((YEAR($AC145)*12)+MONTH($AC145))-((YEAR($AD145)*12)+MONTH($AD145)-1))))</f>
        <v>10</v>
      </c>
      <c r="AB145" s="146">
        <f ca="1">IF(OR($B145&lt;=Setup!$E$12,$B145&gt;=Setup!$D$12+1),0,((YEAR($AC145)*12)+MONTH($AC145))-((YEAR(Setup!$E$12)*12)+MONTH(Setup!$E$12)))</f>
        <v>10</v>
      </c>
      <c r="AC145" s="186">
        <f t="shared" ca="1" si="62"/>
        <v>45285</v>
      </c>
      <c r="AD145" s="144">
        <f ca="1">IF(ISNA(VLOOKUP($C145,EmpAll,COLUMN(Emp!$E$4),0)),$AC145,IF(VLOOKUP($C145,EmpAll,COLUMN(Emp!$E$4),0)&lt;=Setup!$E$12,DATE(YEAR(Setup!$E$12),MONTH(Setup!$E$12)+1,1),VLOOKUP($C145,EmpAll,COLUMN(Emp!$E$4),0)))</f>
        <v>44986</v>
      </c>
      <c r="AE145" s="144" t="str">
        <f ca="1">IF(ISNA(VLOOKUP($C145,EmpAll,COLUMN(Emp!$G$1),0)),"-",IF(VLOOKUP($C145,EmpAll,COLUMN(Emp!$G$1),0)=0,"-",VLOOKUP($C145,EmpAll,COLUMN(Emp!$G$1),0)))</f>
        <v>-</v>
      </c>
      <c r="AF145" s="145">
        <f ca="1">IF(A145=PaySlip!$G$3,1,0)</f>
        <v>0</v>
      </c>
      <c r="AG145" s="130" cm="1">
        <f t="array" aca="1" ref="AG145" ca="1">IF(COUNTIFS(OverEmp,$C145,OverMed,"MED",OverDate,"&lt;"&amp;DATE(YEAR($AC145),MONTH($AC145)+1,1),OverEnd,"&gt;="&amp;DATE(YEAR($AC145),MONTH($AC145),1))&gt;0,SUMIFS(OverValue,OverEmp,$C145,OverMed,"MED",OverDate,"&lt;"&amp;DATE(YEAR($AC145),MONTH($AC145)+1,1),OverEnd,"&gt;="&amp;DATE(YEAR($AC145),MONTH($AC145),1)),IF(ISNA(VLOOKUP($C145,EmpAll,COLUMN(Emp!$N$4),0)),0,VLOOKUP($C145,EmpAll,COLUMN(Emp!$N$4),0)))</f>
        <v>1</v>
      </c>
      <c r="AH145" s="146">
        <f ca="1">VLOOKUP($AG145,MedList,COLUMN(Setup!$C$49),1)</f>
        <v>364</v>
      </c>
      <c r="AI145" s="146">
        <f t="shared" ca="1" si="70"/>
        <v>4368</v>
      </c>
      <c r="AJ145" s="101" t="str">
        <f ca="1">IF(ISNA(VLOOKUP($C145,EmpAll,COLUMN(Emp!$L$4),0)),"None!",VLOOKUP($C145,EmpAll,COLUMN(Emp!$L$4),0))</f>
        <v>A</v>
      </c>
      <c r="AK145" s="147">
        <f t="shared" ca="1" si="63"/>
        <v>17235</v>
      </c>
      <c r="AL145" s="101" t="str">
        <f ca="1">IF(ISNA(VLOOKUP($C145,Employees[],COLUMN(Emp!$M$4),0))=TRUE,"Error!",IF(VLOOKUP($C145,Employees[],COLUMN(Emp!$M$4),0)=0,"Yes",VLOOKUP($C145,Employees[],COLUMN(Emp!$M$4),0)))</f>
        <v>A</v>
      </c>
      <c r="AM145" s="148">
        <f t="shared" ca="1" si="71"/>
        <v>198600</v>
      </c>
      <c r="AN145" s="148" cm="1">
        <f t="array" aca="1" ref="AN145" ca="1">-IF($F145="Terminated",0,IF($AA145=0,0,IF(ISNA(MATCH(AN$5,PayDedList,0)),0,MIN(IF(COUNTIFS(OverEmp,$C145,OverDeduct,AN$5,OverDate,"&lt;"&amp;DATE(YEAR($AC145),MONTH($AC145)+1,1),OverEnd,"&gt;="&amp;DATE(YEAR($AC145),MONTH($AC145),1))&gt;0,SUMPRODUCT((PayEmp=$C145)*(PayDate&lt;=$AC145)*(OFFSET($N$6,1,MATCH(AN$5,PayDedList,0)-1,PayCount,1)))/$AA145*12*AN$3,IF(OR(AN$1="Fixed",AN$1="Not Used"),SUMPRODUCT((PayEmp=$C145)*(PayDate&lt;=$AC145)*(OFFSET($N$6,1,MATCH(AN$5,PayDedList,0)-1,PayCount,1)))/$AA145*12*AN$3,IF(ISNA(MATCH(AN$1,EarnListItem,0))=FALSE,SUMPRODUCT((PayEmp=$C145)*(PayDate&lt;=$AC145)*(OFFSET($N$6,1,MATCH(AN$5,PayDedList,0)-1,PayCount,1)))/$AA145*12*AN$3,(MIN(((SUMPRODUCT((PayEmp=$C145)*(PayDate&lt;=$AC145)*(ISERROR(SEARCH(PayEarnCode,AN$2)))*(PayEarnType="Monthly")*(PayEarnValues))/$AA145*12)+(SUMPRODUCT((PayEmp=$C145)*(PayDate&lt;=$AC145)*(ISERROR(SEARCH(PayEarnCode,AN$2)))*(PayEarnType="Quarterly")*(PayEarnValues))/MAX(1,ROUNDDOWN($AB145/3,0))*4)+(SUMPRODUCT((PayEmp=$C145)*(PayDate&lt;=$AC145)*(ISERROR(SEARCH(PayEarnCode,AN$2)))*(PayEarnType="Bi-Annual")*(PayEarnValues))/MAX(1,ROUNDDOWN($AB145/6,0))*2)+(SUMPRODUCT((PayEmp=$C145)*(PayDate&lt;=$AC145)*(ISERROR(SEARCH(PayEarnCode,AN$2)))*(PayEarnType="Annual")*(PayEarnValues)))),IF(ISNUMBER(OFFSET($N$3,0,MATCH(AN$5,PayDedList,0)-1,1,1)),OFFSET($N$3,0,MATCH(AN$5,PayDedList,0)-1,1,1),IgnoreMin)))*IF(COUNTIFS(EmpNo,$C145,OFFSET(Emp!$R$4,1,MATCH(AN$5,DedListItem,0)-1,EmpCount,1),"&lt;&gt;")&gt;0,VLOOKUP($C145,EmpAll,COLUMN(Emp!$R$4)+MATCH(AN$5,DedListItem,0)-1,0),OFFSET(Setup!$E$73,MATCH(AN$5,DedListItem,0),0,1,1))*AN$3))),IF(ISNUMBER(AN$4),AN$4,IgnoreMin)))))</f>
        <v>0</v>
      </c>
      <c r="AO145" s="148" cm="1">
        <f t="array" aca="1" ref="AO145" ca="1">-IF($F145="Terminated",0,IF($AA145=0,0,IF(ISNA(MATCH(AO$5,PayDedList,0)),0,MIN(IF(COUNTIFS(OverEmp,$C145,OverDeduct,AO$5,OverDate,"&lt;"&amp;DATE(YEAR($AC145),MONTH($AC145)+1,1),OverEnd,"&gt;="&amp;DATE(YEAR($AC145),MONTH($AC145),1))&gt;0,SUMPRODUCT((PayEmp=$C145)*(PayDate&lt;=$AC145)*(OFFSET($N$6,1,MATCH(AO$5,PayDedList,0)-1,PayCount,1)))/$AA145*12*AO$3,IF(OR(AO$1="Fixed",AO$1="Not Used"),SUMPRODUCT((PayEmp=$C145)*(PayDate&lt;=$AC145)*(OFFSET($N$6,1,MATCH(AO$5,PayDedList,0)-1,PayCount,1)))/$AA145*12*AO$3,IF(ISNA(MATCH(AO$1,EarnListItem,0))=FALSE,SUMPRODUCT((PayEmp=$C145)*(PayDate&lt;=$AC145)*(OFFSET($N$6,1,MATCH(AO$5,PayDedList,0)-1,PayCount,1)))/$AA145*12*AO$3,(MIN(((SUMPRODUCT((PayEmp=$C145)*(PayDate&lt;=$AC145)*(ISERROR(SEARCH(PayEarnCode,AO$2)))*(PayEarnType="Monthly")*(PayEarnValues))/$AA145*12)+(SUMPRODUCT((PayEmp=$C145)*(PayDate&lt;=$AC145)*(ISERROR(SEARCH(PayEarnCode,AO$2)))*(PayEarnType="Quarterly")*(PayEarnValues))/MAX(1,ROUNDDOWN($AB145/3,0))*4)+(SUMPRODUCT((PayEmp=$C145)*(PayDate&lt;=$AC145)*(ISERROR(SEARCH(PayEarnCode,AO$2)))*(PayEarnType="Bi-Annual")*(PayEarnValues))/MAX(1,ROUNDDOWN($AB145/6,0))*2)+(SUMPRODUCT((PayEmp=$C145)*(PayDate&lt;=$AC145)*(ISERROR(SEARCH(PayEarnCode,AO$2)))*(PayEarnType="Annual")*(PayEarnValues)))),IF(ISNUMBER(OFFSET($N$3,0,MATCH(AO$5,PayDedList,0)-1,1,1)),OFFSET($N$3,0,MATCH(AO$5,PayDedList,0)-1,1,1),IgnoreMin)))*IF(COUNTIFS(EmpNo,$C145,OFFSET(Emp!$R$4,1,MATCH(AO$5,DedListItem,0)-1,EmpCount,1),"&lt;&gt;")&gt;0,VLOOKUP($C145,EmpAll,COLUMN(Emp!$R$4)+MATCH(AO$5,DedListItem,0)-1,0),OFFSET(Setup!$E$73,MATCH(AO$5,DedListItem,0),0,1,1))*AO$3))),IF(ISNUMBER(AO$4),AO$4,IgnoreMin)))))</f>
        <v>0</v>
      </c>
      <c r="AP145" s="148" cm="1">
        <f t="array" aca="1" ref="AP145" ca="1">-IF($F145="Terminated",0,IF($AA145=0,0,IF(ISNA(MATCH(AP$5,PayDedList,0)),0,MIN(IF(COUNTIFS(OverEmp,$C145,OverDeduct,AP$5,OverDate,"&lt;"&amp;DATE(YEAR($AC145),MONTH($AC145)+1,1),OverEnd,"&gt;="&amp;DATE(YEAR($AC145),MONTH($AC145),1))&gt;0,SUMPRODUCT((PayEmp=$C145)*(PayDate&lt;=$AC145)*(OFFSET($N$6,1,MATCH(AP$5,PayDedList,0)-1,PayCount,1)))/$AA145*12*AP$3,IF(OR(AP$1="Fixed",AP$1="Not Used"),SUMPRODUCT((PayEmp=$C145)*(PayDate&lt;=$AC145)*(OFFSET($N$6,1,MATCH(AP$5,PayDedList,0)-1,PayCount,1)))/$AA145*12*AP$3,IF(ISNA(MATCH(AP$1,EarnListItem,0))=FALSE,SUMPRODUCT((PayEmp=$C145)*(PayDate&lt;=$AC145)*(OFFSET($N$6,1,MATCH(AP$5,PayDedList,0)-1,PayCount,1)))/$AA145*12*AP$3,(MIN(((SUMPRODUCT((PayEmp=$C145)*(PayDate&lt;=$AC145)*(ISERROR(SEARCH(PayEarnCode,AP$2)))*(PayEarnType="Monthly")*(PayEarnValues))/$AA145*12)+(SUMPRODUCT((PayEmp=$C145)*(PayDate&lt;=$AC145)*(ISERROR(SEARCH(PayEarnCode,AP$2)))*(PayEarnType="Quarterly")*(PayEarnValues))/MAX(1,ROUNDDOWN($AB145/3,0))*4)+(SUMPRODUCT((PayEmp=$C145)*(PayDate&lt;=$AC145)*(ISERROR(SEARCH(PayEarnCode,AP$2)))*(PayEarnType="Bi-Annual")*(PayEarnValues))/MAX(1,ROUNDDOWN($AB145/6,0))*2)+(SUMPRODUCT((PayEmp=$C145)*(PayDate&lt;=$AC145)*(ISERROR(SEARCH(PayEarnCode,AP$2)))*(PayEarnType="Annual")*(PayEarnValues)))),IF(ISNUMBER(OFFSET($N$3,0,MATCH(AP$5,PayDedList,0)-1,1,1)),OFFSET($N$3,0,MATCH(AP$5,PayDedList,0)-1,1,1),IgnoreMin)))*IF(COUNTIFS(EmpNo,$C145,OFFSET(Emp!$R$4,1,MATCH(AP$5,DedListItem,0)-1,EmpCount,1),"&lt;&gt;")&gt;0,VLOOKUP($C145,EmpAll,COLUMN(Emp!$R$4)+MATCH(AP$5,DedListItem,0)-1,0),OFFSET(Setup!$E$73,MATCH(AP$5,DedListItem,0),0,1,1))*AP$3))),IF(ISNUMBER(AP$4),AP$4,IgnoreMin)))))</f>
        <v>0</v>
      </c>
      <c r="AQ145" s="148" cm="1">
        <f t="array" aca="1" ref="AQ145" ca="1">-IF($F145="Terminated",0,IF($AA145=0,0,IF(ISNA(MATCH(AQ$5,PayDedList,0)),0,MIN(IF(COUNTIFS(OverEmp,$C145,OverDeduct,AQ$5,OverDate,"&lt;"&amp;DATE(YEAR($AC145),MONTH($AC145)+1,1),OverEnd,"&gt;="&amp;DATE(YEAR($AC145),MONTH($AC145),1))&gt;0,SUMPRODUCT((PayEmp=$C145)*(PayDate&lt;=$AC145)*(OFFSET($N$6,1,MATCH(AQ$5,PayDedList,0)-1,PayCount,1)))/$AA145*12*AQ$3,IF(OR(AQ$1="Fixed",AQ$1="Not Used"),SUMPRODUCT((PayEmp=$C145)*(PayDate&lt;=$AC145)*(OFFSET($N$6,1,MATCH(AQ$5,PayDedList,0)-1,PayCount,1)))/$AA145*12*AQ$3,IF(ISNA(MATCH(AQ$1,EarnListItem,0))=FALSE,SUMPRODUCT((PayEmp=$C145)*(PayDate&lt;=$AC145)*(OFFSET($N$6,1,MATCH(AQ$5,PayDedList,0)-1,PayCount,1)))/$AA145*12*AQ$3,(MIN(((SUMPRODUCT((PayEmp=$C145)*(PayDate&lt;=$AC145)*(ISERROR(SEARCH(PayEarnCode,AQ$2)))*(PayEarnType="Monthly")*(PayEarnValues))/$AA145*12)+(SUMPRODUCT((PayEmp=$C145)*(PayDate&lt;=$AC145)*(ISERROR(SEARCH(PayEarnCode,AQ$2)))*(PayEarnType="Quarterly")*(PayEarnValues))/MAX(1,ROUNDDOWN($AB145/3,0))*4)+(SUMPRODUCT((PayEmp=$C145)*(PayDate&lt;=$AC145)*(ISERROR(SEARCH(PayEarnCode,AQ$2)))*(PayEarnType="Bi-Annual")*(PayEarnValues))/MAX(1,ROUNDDOWN($AB145/6,0))*2)+(SUMPRODUCT((PayEmp=$C145)*(PayDate&lt;=$AC145)*(ISERROR(SEARCH(PayEarnCode,AQ$2)))*(PayEarnType="Annual")*(PayEarnValues)))),IF(ISNUMBER(OFFSET($N$3,0,MATCH(AQ$5,PayDedList,0)-1,1,1)),OFFSET($N$3,0,MATCH(AQ$5,PayDedList,0)-1,1,1),IgnoreMin)))*IF(COUNTIFS(EmpNo,$C145,OFFSET(Emp!$R$4,1,MATCH(AQ$5,DedListItem,0)-1,EmpCount,1),"&lt;&gt;")&gt;0,VLOOKUP($C145,EmpAll,COLUMN(Emp!$R$4)+MATCH(AQ$5,DedListItem,0)-1,0),OFFSET(Setup!$E$73,MATCH(AQ$5,DedListItem,0),0,1,1))*AQ$3))),IF(ISNUMBER(AQ$4),AQ$4,IgnoreMin)))))</f>
        <v>0</v>
      </c>
      <c r="AR145" s="148">
        <f t="shared" ca="1" si="64"/>
        <v>198600</v>
      </c>
      <c r="AS145" s="148">
        <f t="shared" ca="1" si="72"/>
        <v>180000</v>
      </c>
      <c r="AT145" s="148" cm="1">
        <f t="array" aca="1" ref="AT145" ca="1">-IF($F145="Terminated",0,IF($AA145=0,0,IF(ISNA(MATCH(AT$5,PayDedList,0)),0,MIN(IF(COUNTIFS(OverEmp,$C145,OverDeduct,AT$5,OverDate,"&lt;"&amp;DATE(YEAR($AC145),MONTH($AC145)+1,1),OverEnd,"&gt;="&amp;DATE(YEAR($AC145),MONTH($AC145),1))&gt;0,SUMPRODUCT((PayEmp=$C145)*(PayDate&lt;=$AC145)*(OFFSET($N$6,1,MATCH(AT$5,PayDedList,0)-1,PayCount,1)))/$AA145*12*AT$3,IF(OR(AT$1="Fixed",AT$1="Not Used"),SUMPRODUCT((PayEmp=$C145)*(PayDate&lt;=$AC145)*(OFFSET($N$6,1,MATCH(AT$5,PayDedList,0)-1,PayCount,1)))/$AA145*12*AT$3,IF(ISNA(MATCH(OFFSET($N$2,0,MATCH(AT$5,PayDedList,0)-1,1,1),EarnListItem,0))=FALSE,SUMPRODUCT((PayEmp=$C145)*(PayDate&lt;=$AC145)*(OFFSET($N$6,1,MATCH(AT$5,PayDedList,0)-1,PayCount,1)))/$AA145*12*AT$3,(MIN(SUMPRODUCT((PayEmp=$C145)*(PayDate&lt;=$AC145)*(ISERROR(SEARCH(PayEarnCode,AT$2)))*(PayEarnType="Monthly")*(PayEarnValues))/$AA145*12,IF(ISNUMBER(OFFSET($N$3,0,MATCH(AT$5,PayDedList,0)-1,1,1)),OFFSET($N$3,0,MATCH(AT$5,PayDedList,0)-1,1,1),IgnoreMin)))*IF(COUNTIFS(EmpNo,$C145,OFFSET(Emp!$R$4,1,MATCH(AT$5,DedListItem,0)-1,EmpCount,1),"&lt;&gt;")&gt;0,VLOOKUP($C145,EmpAll,COLUMN(Emp!$R$4)+MATCH(AT$5,DedListItem,0)-1,0),OFFSET(Setup!$E$73,MATCH(AT$5,DedListItem,0),0,1,1))*AT$3))),IF(ISNUMBER(AT$4),AT$4,IgnoreMin)))))</f>
        <v>0</v>
      </c>
      <c r="AU145" s="148" cm="1">
        <f t="array" aca="1" ref="AU145" ca="1">-IF($F145="Terminated",0,IF($AA145=0,0,IF(ISNA(MATCH(AU$5,PayDedList,0)),0,MIN(IF(COUNTIFS(OverEmp,$C145,OverDeduct,AU$5,OverDate,"&lt;"&amp;DATE(YEAR($AC145),MONTH($AC145)+1,1),OverEnd,"&gt;="&amp;DATE(YEAR($AC145),MONTH($AC145),1))&gt;0,SUMPRODUCT((PayEmp=$C145)*(PayDate&lt;=$AC145)*(OFFSET($N$6,1,MATCH(AU$5,PayDedList,0)-1,PayCount,1)))/$AA145*12*AU$3,IF(OR(AU$1="Fixed",AU$1="Not Used"),SUMPRODUCT((PayEmp=$C145)*(PayDate&lt;=$AC145)*(OFFSET($N$6,1,MATCH(AU$5,PayDedList,0)-1,PayCount,1)))/$AA145*12*AU$3,IF(ISNA(MATCH(OFFSET($N$2,0,MATCH(AU$5,PayDedList,0)-1,1,1),EarnListItem,0))=FALSE,SUMPRODUCT((PayEmp=$C145)*(PayDate&lt;=$AC145)*(OFFSET($N$6,1,MATCH(AU$5,PayDedList,0)-1,PayCount,1)))/$AA145*12*AU$3,(MIN(SUMPRODUCT((PayEmp=$C145)*(PayDate&lt;=$AC145)*(ISERROR(SEARCH(PayEarnCode,AU$2)))*(PayEarnType="Monthly")*(PayEarnValues))/$AA145*12,IF(ISNUMBER(OFFSET($N$3,0,MATCH(AU$5,PayDedList,0)-1,1,1)),OFFSET($N$3,0,MATCH(AU$5,PayDedList,0)-1,1,1),IgnoreMin)))*IF(COUNTIFS(EmpNo,$C145,OFFSET(Emp!$R$4,1,MATCH(AU$5,DedListItem,0)-1,EmpCount,1),"&lt;&gt;")&gt;0,VLOOKUP($C145,EmpAll,COLUMN(Emp!$R$4)+MATCH(AU$5,DedListItem,0)-1,0),OFFSET(Setup!$E$73,MATCH(AU$5,DedListItem,0),0,1,1))*AU$3))),IF(ISNUMBER(AU$4),AU$4,IgnoreMin)))))</f>
        <v>0</v>
      </c>
      <c r="AV145" s="148" cm="1">
        <f t="array" aca="1" ref="AV145" ca="1">-IF($F145="Terminated",0,IF($AA145=0,0,IF(ISNA(MATCH(AV$5,PayDedList,0)),0,MIN(IF(COUNTIFS(OverEmp,$C145,OverDeduct,AV$5,OverDate,"&lt;"&amp;DATE(YEAR($AC145),MONTH($AC145)+1,1),OverEnd,"&gt;="&amp;DATE(YEAR($AC145),MONTH($AC145),1))&gt;0,SUMPRODUCT((PayEmp=$C145)*(PayDate&lt;=$AC145)*(OFFSET($N$6,1,MATCH(AV$5,PayDedList,0)-1,PayCount,1)))/$AA145*12*AV$3,IF(OR(AV$1="Fixed",AV$1="Not Used"),SUMPRODUCT((PayEmp=$C145)*(PayDate&lt;=$AC145)*(OFFSET($N$6,1,MATCH(AV$5,PayDedList,0)-1,PayCount,1)))/$AA145*12*AV$3,IF(ISNA(MATCH(OFFSET($N$2,0,MATCH(AV$5,PayDedList,0)-1,1,1),EarnListItem,0))=FALSE,SUMPRODUCT((PayEmp=$C145)*(PayDate&lt;=$AC145)*(OFFSET($N$6,1,MATCH(AV$5,PayDedList,0)-1,PayCount,1)))/$AA145*12*AV$3,(MIN(SUMPRODUCT((PayEmp=$C145)*(PayDate&lt;=$AC145)*(ISERROR(SEARCH(PayEarnCode,AV$2)))*(PayEarnType="Monthly")*(PayEarnValues))/$AA145*12,IF(ISNUMBER(OFFSET($N$3,0,MATCH(AV$5,PayDedList,0)-1,1,1)),OFFSET($N$3,0,MATCH(AV$5,PayDedList,0)-1,1,1),IgnoreMin)))*IF(COUNTIFS(EmpNo,$C145,OFFSET(Emp!$R$4,1,MATCH(AV$5,DedListItem,0)-1,EmpCount,1),"&lt;&gt;")&gt;0,VLOOKUP($C145,EmpAll,COLUMN(Emp!$R$4)+MATCH(AV$5,DedListItem,0)-1,0),OFFSET(Setup!$E$73,MATCH(AV$5,DedListItem,0),0,1,1))*AV$3))),IF(ISNUMBER(AV$4),AV$4,IgnoreMin)))))</f>
        <v>0</v>
      </c>
      <c r="AW145" s="148" cm="1">
        <f t="array" aca="1" ref="AW145" ca="1">-IF($F145="Terminated",0,IF($AA145=0,0,IF(ISNA(MATCH(AW$5,PayDedList,0)),0,MIN(IF(COUNTIFS(OverEmp,$C145,OverDeduct,AW$5,OverDate,"&lt;"&amp;DATE(YEAR($AC145),MONTH($AC145)+1,1),OverEnd,"&gt;="&amp;DATE(YEAR($AC145),MONTH($AC145),1))&gt;0,SUMPRODUCT((PayEmp=$C145)*(PayDate&lt;=$AC145)*(OFFSET($N$6,1,MATCH(AW$5,PayDedList,0)-1,PayCount,1)))/$AA145*12*AW$3,IF(OR(AW$1="Fixed",AW$1="Not Used"),SUMPRODUCT((PayEmp=$C145)*(PayDate&lt;=$AC145)*(OFFSET($N$6,1,MATCH(AW$5,PayDedList,0)-1,PayCount,1)))/$AA145*12*AW$3,IF(ISNA(MATCH(OFFSET($N$2,0,MATCH(AW$5,PayDedList,0)-1,1,1),EarnListItem,0))=FALSE,SUMPRODUCT((PayEmp=$C145)*(PayDate&lt;=$AC145)*(OFFSET($N$6,1,MATCH(AW$5,PayDedList,0)-1,PayCount,1)))/$AA145*12*AW$3,(MIN(SUMPRODUCT((PayEmp=$C145)*(PayDate&lt;=$AC145)*(ISERROR(SEARCH(PayEarnCode,AW$2)))*(PayEarnType="Monthly")*(PayEarnValues))/$AA145*12,IF(ISNUMBER(OFFSET($N$3,0,MATCH(AW$5,PayDedList,0)-1,1,1)),OFFSET($N$3,0,MATCH(AW$5,PayDedList,0)-1,1,1),IgnoreMin)))*IF(COUNTIFS(EmpNo,$C145,OFFSET(Emp!$R$4,1,MATCH(AW$5,DedListItem,0)-1,EmpCount,1),"&lt;&gt;")&gt;0,VLOOKUP($C145,EmpAll,COLUMN(Emp!$R$4)+MATCH(AW$5,DedListItem,0)-1,0),OFFSET(Setup!$E$73,MATCH(AW$5,DedListItem,0),0,1,1))*AW$3))),IF(ISNUMBER(AW$4),AW$4,IgnoreMin)))))</f>
        <v>0</v>
      </c>
      <c r="AX145" s="148">
        <f t="shared" ca="1" si="73"/>
        <v>180000</v>
      </c>
      <c r="AY145" s="148">
        <f t="shared" ca="1" si="74"/>
        <v>18600</v>
      </c>
      <c r="AZ145" s="148">
        <f ca="1">IF(ISNUMBER($AL145),($AR145*$AL145)-$AI145-$AK145,MAX(0,IF($AL145="B",IF($AR145&lt;Setup!$C$32,($AR145*Setup!$D$32)-$AI145-$AK145,(($AR145-VLOOKUP($AR145,TaxAll2,1,1))*OFFSET(Setup!$D$32,MATCH($AR145,TaxBracket2,1),0,1,1))+OFFSET(Setup!$E$31,MATCH($AR145,TaxBracket2,1),0,1,1)-$AI145-$AK145),IF($AR145&lt;Setup!$C$21,($AR145*Setup!$D$21)-$AI145-$AK145,(($AR145-VLOOKUP($AR145,TaxAll1,1,1))*OFFSET(Setup!$D$21,MATCH($AR145,TaxBracket1,1),0,1,1))+OFFSET(Setup!$E$20,MATCH($AR145,TaxBracket1,1),0,1,1)-$AI145-$AK145))))</f>
        <v>14145</v>
      </c>
      <c r="BA145" s="148">
        <f ca="1">IF(ISNUMBER($AL145),($AX145*$AL145)-$AI145-$AK145,MAX(0,IF($AL145="B",IF($AX145&lt;Setup!$C$32,($AX145*Setup!$D$32)-$AI145-$AK145,(($AX145-VLOOKUP($AX145,TaxAll2,1,1))*OFFSET(Setup!$D$32,MATCH($AX145,TaxBracket2,1),0,1,1))+OFFSET(Setup!$E$31,MATCH($AX145,TaxBracket2,1),0,1,1)-$AI145-$AK145),IF($AX145&lt;Setup!$C$21,($AX145*Setup!$D$21)-$AI145-$AK145,(($AX145-VLOOKUP($AX145,TaxAll1,1,1))*OFFSET(Setup!$D$21,MATCH($AX145,TaxBracket1,1),0,1,1))+OFFSET(Setup!$E$20,MATCH($AX145,TaxBracket1,1),0,1,1)-$AI145-$AK145))))</f>
        <v>10797</v>
      </c>
      <c r="BB145" s="148">
        <f t="shared" ca="1" si="65"/>
        <v>3348</v>
      </c>
      <c r="BC145" s="150">
        <f t="shared" ca="1" si="75"/>
        <v>0.90634441087613293</v>
      </c>
      <c r="BD145" s="150">
        <f t="shared" ca="1" si="76"/>
        <v>9.3655589123867067E-2</v>
      </c>
      <c r="BE145" s="148">
        <f t="shared" ca="1" si="77"/>
        <v>198600</v>
      </c>
    </row>
    <row r="146" spans="1:57" ht="16.149999999999999" customHeight="1" x14ac:dyDescent="0.25">
      <c r="A146" s="10" t="str" cm="1">
        <f t="array" aca="1" ref="A146" ca="1">IF(ROW($A146)-ROW($A$6)&gt;EmpCount*12,"-",TEXT($B146,"yyyy")&amp;TEXT($B146,"mm")&amp;"-"&amp;$C146)</f>
        <v>202312-EXS005</v>
      </c>
      <c r="B146" s="137" cm="1">
        <f t="array" aca="1" ref="B146" ca="1">IF(ROW($A146)-ROW($A$6)&gt;EmpCount*12,Setup!$D$12,DATE(YEAR(Setup!$F$12),MONTH(Setup!$F$12)+ROUNDDOWN((ROW($A146)-ROW($A$6)-1)/EmpCount,0),IF(Setup!$C$14&gt;DAY(DATE(YEAR(Setup!$F$12),MONTH(Setup!$F$12)+ROUNDDOWN((ROW($A146)-ROW($A$6)-1)/EmpCount,0)+1,0)),DAY(DATE(YEAR(Setup!$F$12),MONTH(Setup!$F$12)+ROUNDDOWN((ROW($A146)-ROW($A$6)-1)/EmpCount,0)+1,0)),Setup!$C$14)))</f>
        <v>45285</v>
      </c>
      <c r="C146" s="101" t="str" cm="1">
        <f t="array" aca="1" ref="C146" ca="1">IF(ROW($A146)-ROW($A$6)&gt;EmpCount*12,"-",OFFSET(Emp!$A$4,ROW($A146)-ROW($A$6)-IF(ROW($A146)-ROW($A$6)&gt;EmpCount,ROUNDDOWN((ROW($A146)-ROW($A$6)-1)/EmpCount,0)*EmpCount,0),0,1,1))</f>
        <v>EXS005</v>
      </c>
      <c r="D146" s="10" t="str">
        <f ca="1">IF(ISNA(VLOOKUP($C146,EmpAll,COLUMN(Emp!$B$4),0)),"-",VLOOKUP($C146,EmpAll,COLUMN(Emp!$B$4),0))</f>
        <v>Miller R</v>
      </c>
      <c r="E146" s="145" t="str">
        <f ca="1">IF(ISNA(VLOOKUP($C146,EmpAll,COLUMN(Emp!$C$4),0)),"-",VLOOKUP($C146,EmpAll,COLUMN(Emp!$C$4),0))</f>
        <v>S</v>
      </c>
      <c r="F146" s="101" t="str">
        <f ca="1">IF(ISNA(VLOOKUP($C146,EmpAll,COLUMN(Emp!$A$4),0)),"-",IF(AND(VLOOKUP($C146,EmpAll,COLUMN(Emp!$E$4),0)&lt;&gt;0,VLOOKUP($C146,EmpAll,COLUMN(Emp!$E$4),0)&gt;=DATE(YEAR($AC146),MONTH($AC146)+1,0)),"Inactive",IF(AND(VLOOKUP($C146,EmpAll,COLUMN(Emp!$F$4),0)&lt;&gt;0,VLOOKUP($C146,EmpAll,COLUMN(Emp!$F$4),0)&lt;=DATE(YEAR($AC146),MONTH($AC146),0)),"Terminated","Active")))</f>
        <v>Active</v>
      </c>
      <c r="G146" s="133" cm="1">
        <f t="array" aca="1" ref="G146" ca="1">IF($F146&lt;&gt;"Active",0,IF(COUNTIFS(OverEmp,$C146,OverEarn,G$2,OverDate,"&lt;"&amp;DATE(YEAR($AC146),MONTH($AC146)+1,1),OverEnd,"&gt;="&amp;DATE(YEAR($AC146),MONTH($AC146),1))&gt;0,SUMIFS(OverValue,OverEmp,$C146,OverEarn,G$2,OverDate,"&lt;"&amp;DATE(YEAR($AC146),MONTH($AC146)+1,1),OverEnd,"&gt;="&amp;DATE(YEAR($AC146),MONTH($AC146),1)),IF(AND($AC146&gt;=Setup!$E$10,SUMIFS(EmpIncrease,EmpCode,$C146)&gt;0),SUMIFS(EmpIncrease,EmpCode,$C146),SUMIFS(EmpSalary,EmpCode,$C146))))</f>
        <v>10000</v>
      </c>
      <c r="H146" s="133" cm="1">
        <f t="array" aca="1" ref="H146" ca="1">IF($F146&lt;&gt;"Active",0,IF(COUNTIFS(OverEmp,$C146,OverEarn,H$2,OverDate,"&lt;"&amp;DATE(YEAR($AC146),MONTH($AC146)+1,1),OverEnd,"&gt;="&amp;DATE(YEAR($AC146),MONTH($AC146),1))&gt;0,SUMIFS(OverValue,OverEmp,$C146,OverEarn,H$2,OverDate,"&lt;"&amp;DATE(YEAR($AC146),MONTH($AC146)+1,1),OverEnd,"&gt;="&amp;DATE(YEAR($AC146),MONTH($AC146),1)),0))</f>
        <v>0</v>
      </c>
      <c r="I146" s="133" cm="1">
        <f t="array" aca="1" ref="I146" ca="1">IF($F146&lt;&gt;"Active",0,IF(COUNTIFS(OverEmp,$C146,OverEarn,I$2,OverDate,"&lt;"&amp;DATE(YEAR($AC146),MONTH($AC146)+1,1),OverEnd,"&gt;="&amp;DATE(YEAR($AC146),MONTH($AC146),1))&gt;0,SUMIFS(OverValue,OverEmp,$C146,OverEarn,I$2,OverDate,"&lt;"&amp;DATE(YEAR($AC146),MONTH($AC146)+1,1),OverEnd,"&gt;="&amp;DATE(YEAR($AC146),MONTH($AC146),1)),IF(MONTH(B146)=Setup!$C$15,SUMIFS(EmpBonus,EmpCode,$C146),0)))</f>
        <v>10000</v>
      </c>
      <c r="J146" s="133" cm="1">
        <f t="array" aca="1" ref="J146" ca="1">IF($F146&lt;&gt;"Active",0,IF(COUNTIFS(OverEmp,$C146,OverEarn,J$2,OverDate,"&lt;"&amp;DATE(YEAR($AC146),MONTH($AC146)+1,1),OverEnd,"&gt;="&amp;DATE(YEAR($AC146),MONTH($AC146),1))&gt;0,SUMIFS(OverValue,OverEmp,$C146,OverEarn,J$2,OverDate,"&lt;"&amp;DATE(YEAR($AC146),MONTH($AC146)+1,1),OverEnd,"&gt;="&amp;DATE(YEAR($AC146),MONTH($AC146),1)),0))</f>
        <v>0</v>
      </c>
      <c r="K146" s="133" cm="1">
        <f t="array" aca="1" ref="K146" ca="1">IF($F146&lt;&gt;"Active",0,IF(COUNTIFS(OverEmp,$C146,OverEarn,K$2,OverDate,"&lt;"&amp;DATE(YEAR($AC146),MONTH($AC146)+1,1),OverEnd,"&gt;="&amp;DATE(YEAR($AC146),MONTH($AC146),1))&gt;0,SUMIFS(OverValue,OverEmp,$C146,OverEarn,K$2,OverDate,"&lt;"&amp;DATE(YEAR($AC146),MONTH($AC146)+1,1),OverEnd,"&gt;="&amp;DATE(YEAR($AC146),MONTH($AC146),1)),0))</f>
        <v>0</v>
      </c>
      <c r="L146" s="185">
        <f t="shared" ca="1" si="66"/>
        <v>20000</v>
      </c>
      <c r="M146" s="182" cm="1">
        <f t="array" aca="1" ref="M146" ca="1">IF(COUNTIFS(OverEmp,$C146,OverTax,M$5,OverDate,"&lt;"&amp;DATE(YEAR($AC146),MONTH($AC146)+1,1),OverEnd,"&gt;="&amp;DATE(YEAR($AC146),MONTH($AC146),1))&gt;0,SUMIFS(OverValue,OverEmp,$C146,OverTax,M$5,OverDate,"&lt;"&amp;DATE(YEAR($AC146),MONTH($AC146)+1,1),OverEnd,"&gt;="&amp;DATE(YEAR($AC146),MONTH($AC146),1)),(($BA146/12*$AA146)+(BB146*IF(1-$BC146=0,0,BD146/(1-$BC146))))-IF($F146="Terminated",0,SUMIFS(PayTaxDeduct,PayDate,"&lt;"&amp;$AC146,PayEmp,$C146)))</f>
        <v>1797.0000000000011</v>
      </c>
      <c r="N146" s="133" cm="1">
        <f t="array" aca="1" ref="N146" ca="1">IF($F146="Terminated",0,IF($AA146=0,0,IF(ISNA(MATCH(N$5,DedListItem,0)),0,IF(COUNTIFS(OverEmp,$C146,OverDeduct,N$5,OverDate,"&lt;"&amp;DATE(YEAR($AC146),MONTH($AC146)+1,1),OverEnd,"&gt;="&amp;DATE(YEAR($AC146),MONTH($AC146),1))&gt;0,SUMIFS(OverValue,OverEmp,$C146,OverDeduct,N$5,OverDate,"&lt;"&amp;DATE(YEAR($AC146),MONTH($AC146)+1,1),OverEnd,"&gt;="&amp;DATE(YEAR($AC146),MONTH($AC146),1)),IF(OR(N$2="Fixed",N$2="Not Used"),(IF(COUNTIFS(EmpNo,$C146,OFFSET(Emp!$R$4,1,MATCH(N$5,DedListItem,0)-1,EmpCount,1),"&lt;&gt;")&gt;0,VLOOKUP($C146,EmpAll,COLUMN(Emp!$R$4)+MATCH(N$5,DedListItem,0)-1,0),OFFSET(Setup!$E$73,MATCH(N$5,DedListItem,0),0,1,1))*$AA146)-SUMIFS(OFFSET(N$6,1,0,PayCount,1),PayDate,"&lt;"&amp;$AC146,PayEmp,$C146),IF(ISNA(MATCH(N$2,EarnListItem,0))=FALSE,IF(OFFSET(Setup!$G$73,MATCH(N$5,DedListItem,0),0,1,1)="Taxable",SUMPRODUCT((PayEmp=$C146)*(PayDate&lt;=$AC146)*(PayEarnCode=N$2)*(PayEarnTax)*(PayEarnValues)),SUMPRODUCT((PayEmp=$C146)*(PayDate&lt;=$AC146)*(PayEarnCode=N$2)*(PayEarnValues)))*IF(COUNTIFS(EmpNo,$C146,OFFSET(Emp!$R$4,1,MATCH(N$5,DedListItem,0)-1,EmpCount,1),"&lt;&gt;")&gt;0,VLOOKUP($C146,EmpAll,COLUMN(Emp!$R$4)+MATCH(N$5,DedListItem,0)-1,0),OFFSET(Setup!$E$73,MATCH(N$5,DedListItem,0),0,1,1)),(MIN(IF(OFFSET(Setup!$G$73,MATCH(N$5,DedListItem,0),0,1,1)="Taxable",SUMPRODUCT((PayEmp=$C146)*(PayDate&lt;=$AC146)*(ISERROR(SEARCH(PayEarnCode,N$4)))*(PayEarnTax)*(PayEarnValues)),SUMPRODUCT((PayEmp=$C146)*(PayDate&lt;=$AC146)*(ISERROR(SEARCH(PayEarnCode,N$4)))*(PayEarnValues))),IF(ISNUMBER(N$3),N$3/12*$AA146,IgnoreMin)))*IF(COUNTIFS(EmpNo,$C146,OFFSET(Emp!$R$4,1,MATCH(N$5,DedListItem,0)-1,EmpCount,1),"&lt;&gt;")&gt;0,VLOOKUP($C146,EmpAll,COLUMN(Emp!$R$4)+MATCH(N$5,DedListItem,0)-1,0),OFFSET(Setup!$E$73,MATCH(N$5,DedListItem,0),0,1,1)))-SUMIFS(OFFSET(N$6,1,0,PayCount,1),PayDate,"&lt;"&amp;$AC146,PayEmp,$C146))))))</f>
        <v>200</v>
      </c>
      <c r="O146" s="133" cm="1">
        <f t="array" aca="1" ref="O146" ca="1">IF($F146="Terminated",0,IF($AA146=0,0,IF(ISNA(MATCH(O$5,DedListItem,0)),0,IF(COUNTIFS(OverEmp,$C146,OverDeduct,O$5,OverDate,"&lt;"&amp;DATE(YEAR($AC146),MONTH($AC146)+1,1),OverEnd,"&gt;="&amp;DATE(YEAR($AC146),MONTH($AC146),1))&gt;0,SUMIFS(OverValue,OverEmp,$C146,OverDeduct,O$5,OverDate,"&lt;"&amp;DATE(YEAR($AC146),MONTH($AC146)+1,1),OverEnd,"&gt;="&amp;DATE(YEAR($AC146),MONTH($AC146),1)),IF(OR(O$2="Fixed",O$2="Not Used"),(IF(COUNTIFS(EmpNo,$C146,OFFSET(Emp!$R$4,1,MATCH(O$5,DedListItem,0)-1,EmpCount,1),"&lt;&gt;")&gt;0,VLOOKUP($C146,EmpAll,COLUMN(Emp!$R$4)+MATCH(O$5,DedListItem,0)-1,0),OFFSET(Setup!$E$73,MATCH(O$5,DedListItem,0),0,1,1))*$AA146)-SUMIFS(OFFSET(O$6,1,0,PayCount,1),PayDate,"&lt;"&amp;$AC146,PayEmp,$C146),IF(ISNA(MATCH(O$2,EarnListItem,0))=FALSE,IF(OFFSET(Setup!$G$73,MATCH(O$5,DedListItem,0),0,1,1)="Taxable",SUMPRODUCT((PayEmp=$C146)*(PayDate&lt;=$AC146)*(PayEarnCode=O$2)*(PayEarnTax)*(PayEarnValues)),SUMPRODUCT((PayEmp=$C146)*(PayDate&lt;=$AC146)*(PayEarnCode=O$2)*(PayEarnValues)))*IF(COUNTIFS(EmpNo,$C146,OFFSET(Emp!$R$4,1,MATCH(O$5,DedListItem,0)-1,EmpCount,1),"&lt;&gt;")&gt;0,VLOOKUP($C146,EmpAll,COLUMN(Emp!$R$4)+MATCH(O$5,DedListItem,0)-1,0),OFFSET(Setup!$E$73,MATCH(O$5,DedListItem,0),0,1,1)),(MIN(IF(OFFSET(Setup!$G$73,MATCH(O$5,DedListItem,0),0,1,1)="Taxable",SUMPRODUCT((PayEmp=$C146)*(PayDate&lt;=$AC146)*(ISERROR(SEARCH(PayEarnCode,O$4)))*(PayEarnTax)*(PayEarnValues)),SUMPRODUCT((PayEmp=$C146)*(PayDate&lt;=$AC146)*(ISERROR(SEARCH(PayEarnCode,O$4)))*(PayEarnValues))),IF(ISNUMBER(O$3),O$3/12*$AA146,IgnoreMin)))*IF(COUNTIFS(EmpNo,$C146,OFFSET(Emp!$R$4,1,MATCH(O$5,DedListItem,0)-1,EmpCount,1),"&lt;&gt;")&gt;0,VLOOKUP($C146,EmpAll,COLUMN(Emp!$R$4)+MATCH(O$5,DedListItem,0)-1,0),OFFSET(Setup!$E$73,MATCH(O$5,DedListItem,0),0,1,1)))-SUMIFS(OFFSET(O$6,1,0,PayCount,1),PayDate,"&lt;"&amp;$AC146,PayEmp,$C146))))))</f>
        <v>0</v>
      </c>
      <c r="P146" s="133" cm="1">
        <f t="array" aca="1" ref="P146" ca="1">IF($F146="Terminated",0,IF($AA146=0,0,IF(ISNA(MATCH(P$5,DedListItem,0)),0,IF(COUNTIFS(OverEmp,$C146,OverDeduct,P$5,OverDate,"&lt;"&amp;DATE(YEAR($AC146),MONTH($AC146)+1,1),OverEnd,"&gt;="&amp;DATE(YEAR($AC146),MONTH($AC146),1))&gt;0,SUMIFS(OverValue,OverEmp,$C146,OverDeduct,P$5,OverDate,"&lt;"&amp;DATE(YEAR($AC146),MONTH($AC146)+1,1),OverEnd,"&gt;="&amp;DATE(YEAR($AC146),MONTH($AC146),1)),IF(OR(P$2="Fixed",P$2="Not Used"),(IF(COUNTIFS(EmpNo,$C146,OFFSET(Emp!$R$4,1,MATCH(P$5,DedListItem,0)-1,EmpCount,1),"&lt;&gt;")&gt;0,VLOOKUP($C146,EmpAll,COLUMN(Emp!$R$4)+MATCH(P$5,DedListItem,0)-1,0),OFFSET(Setup!$E$73,MATCH(P$5,DedListItem,0),0,1,1))*$AA146)-SUMIFS(OFFSET(P$6,1,0,PayCount,1),PayDate,"&lt;"&amp;$AC146,PayEmp,$C146),IF(ISNA(MATCH(P$2,EarnListItem,0))=FALSE,IF(OFFSET(Setup!$G$73,MATCH(P$5,DedListItem,0),0,1,1)="Taxable",SUMPRODUCT((PayEmp=$C146)*(PayDate&lt;=$AC146)*(PayEarnCode=P$2)*(PayEarnTax)*(PayEarnValues)),SUMPRODUCT((PayEmp=$C146)*(PayDate&lt;=$AC146)*(PayEarnCode=P$2)*(PayEarnValues)))*IF(COUNTIFS(EmpNo,$C146,OFFSET(Emp!$R$4,1,MATCH(P$5,DedListItem,0)-1,EmpCount,1),"&lt;&gt;")&gt;0,VLOOKUP($C146,EmpAll,COLUMN(Emp!$R$4)+MATCH(P$5,DedListItem,0)-1,0),OFFSET(Setup!$E$73,MATCH(P$5,DedListItem,0),0,1,1)),(MIN(IF(OFFSET(Setup!$G$73,MATCH(P$5,DedListItem,0),0,1,1)="Taxable",SUMPRODUCT((PayEmp=$C146)*(PayDate&lt;=$AC146)*(ISERROR(SEARCH(PayEarnCode,P$4)))*(PayEarnTax)*(PayEarnValues)),SUMPRODUCT((PayEmp=$C146)*(PayDate&lt;=$AC146)*(ISERROR(SEARCH(PayEarnCode,P$4)))*(PayEarnValues))),IF(ISNUMBER(P$3),P$3/12*$AA146,IgnoreMin)))*IF(COUNTIFS(EmpNo,$C146,OFFSET(Emp!$R$4,1,MATCH(P$5,DedListItem,0)-1,EmpCount,1),"&lt;&gt;")&gt;0,VLOOKUP($C146,EmpAll,COLUMN(Emp!$R$4)+MATCH(P$5,DedListItem,0)-1,0),OFFSET(Setup!$E$73,MATCH(P$5,DedListItem,0),0,1,1)))-SUMIFS(OFFSET(P$6,1,0,PayCount,1),PayDate,"&lt;"&amp;$AC146,PayEmp,$C146))))))</f>
        <v>0</v>
      </c>
      <c r="Q146" s="133" cm="1">
        <f t="array" aca="1" ref="Q146" ca="1">IF($F146="Terminated",0,IF($AA146=0,0,IF(ISNA(MATCH(Q$5,DedListItem,0)),0,IF(COUNTIFS(OverEmp,$C146,OverDeduct,Q$5,OverDate,"&lt;"&amp;DATE(YEAR($AC146),MONTH($AC146)+1,1),OverEnd,"&gt;="&amp;DATE(YEAR($AC146),MONTH($AC146),1))&gt;0,SUMIFS(OverValue,OverEmp,$C146,OverDeduct,Q$5,OverDate,"&lt;"&amp;DATE(YEAR($AC146),MONTH($AC146)+1,1),OverEnd,"&gt;="&amp;DATE(YEAR($AC146),MONTH($AC146),1)),IF(OR(Q$2="Fixed",Q$2="Not Used"),(IF(COUNTIFS(EmpNo,$C146,OFFSET(Emp!$R$4,1,MATCH(Q$5,DedListItem,0)-1,EmpCount,1),"&lt;&gt;")&gt;0,VLOOKUP($C146,EmpAll,COLUMN(Emp!$R$4)+MATCH(Q$5,DedListItem,0)-1,0),OFFSET(Setup!$E$73,MATCH(Q$5,DedListItem,0),0,1,1))*$AA146)-SUMIFS(OFFSET(Q$6,1,0,PayCount,1),PayDate,"&lt;"&amp;$AC146,PayEmp,$C146),IF(ISNA(MATCH(Q$2,EarnListItem,0))=FALSE,IF(OFFSET(Setup!$G$73,MATCH(Q$5,DedListItem,0),0,1,1)="Taxable",SUMPRODUCT((PayEmp=$C146)*(PayDate&lt;=$AC146)*(PayEarnCode=Q$2)*(PayEarnTax)*(PayEarnValues)),SUMPRODUCT((PayEmp=$C146)*(PayDate&lt;=$AC146)*(PayEarnCode=Q$2)*(PayEarnValues)))*IF(COUNTIFS(EmpNo,$C146,OFFSET(Emp!$R$4,1,MATCH(Q$5,DedListItem,0)-1,EmpCount,1),"&lt;&gt;")&gt;0,VLOOKUP($C146,EmpAll,COLUMN(Emp!$R$4)+MATCH(Q$5,DedListItem,0)-1,0),OFFSET(Setup!$E$73,MATCH(Q$5,DedListItem,0),0,1,1)),(MIN(IF(OFFSET(Setup!$G$73,MATCH(Q$5,DedListItem,0),0,1,1)="Taxable",SUMPRODUCT((PayEmp=$C146)*(PayDate&lt;=$AC146)*(ISERROR(SEARCH(PayEarnCode,Q$4)))*(PayEarnTax)*(PayEarnValues)),SUMPRODUCT((PayEmp=$C146)*(PayDate&lt;=$AC146)*(ISERROR(SEARCH(PayEarnCode,Q$4)))*(PayEarnValues))),IF(ISNUMBER(Q$3),Q$3/12*$AA146,IgnoreMin)))*IF(COUNTIFS(EmpNo,$C146,OFFSET(Emp!$R$4,1,MATCH(Q$5,DedListItem,0)-1,EmpCount,1),"&lt;&gt;")&gt;0,VLOOKUP($C146,EmpAll,COLUMN(Emp!$R$4)+MATCH(Q$5,DedListItem,0)-1,0),OFFSET(Setup!$E$73,MATCH(Q$5,DedListItem,0),0,1,1)))-SUMIFS(OFFSET(Q$6,1,0,PayCount,1),PayDate,"&lt;"&amp;$AC146,PayEmp,$C146))))))</f>
        <v>0</v>
      </c>
      <c r="R146" s="185">
        <f t="shared" ca="1" si="67"/>
        <v>1997.0000000000011</v>
      </c>
      <c r="S146" s="139">
        <f t="shared" ca="1" si="68"/>
        <v>18003</v>
      </c>
      <c r="T146" s="133" cm="1">
        <f t="array" aca="1" ref="T146" ca="1">IF($F146="Terminated",0,IF($AA146=0,0,IF(ISNA(MATCH(T$5,CompListItem,0)),0,IF(COUNTIFS(OverEmp,$C146,OverComp,T$5,OverDate,"&lt;"&amp;DATE(YEAR($AC146),MONTH($AC146)+1,1),OverEnd,"&gt;="&amp;DATE(YEAR($AC146),MONTH($AC146),1))&gt;0,SUMIFS(OverValue,OverEmp,$C146,OverComp,T$5,OverDate,"&lt;"&amp;DATE(YEAR($AC146),MONTH($AC146)+1,1),OverEnd,"&gt;="&amp;DATE(YEAR($AC146),MONTH($AC146),1)),IF(OR(T$2="Fixed",T$2="Not Used"),(OFFSET(Setup!$E$81,MATCH(T$5,CompListItem,0),0,1,1)*$AA146)-SUMIFS(OFFSET(T$6,1,0,PayCount,1),PayDate,"&lt;"&amp;$AC146,PayEmp,$C146),IF(ISNA(MATCH(T$2,DedListItem,0))=FALSE,(SUMPRODUCT((PayEmp=$C146)*(PayDate&lt;=$AC146)*(PayDedList=T$2)*(PayDedValues))*OFFSET(Setup!$E$81,MATCH(T$5,CompListItem,0),0,1,1))-SUMIFS(OFFSET(T$6,1,0,PayCount,1),PayDate,"&lt;"&amp;$AC146,PayEmp,$C146),(MIN(IF(OFFSET(Setup!$G$81,MATCH(T$5,CompListItem,0),0,1,1)="Taxable",SUMPRODUCT((PayEmp=$C146)*(PayDate&lt;=$AC146)*(ISERROR(SEARCH(PayEarnCode,T$4)))*(PayEarnTax)*(PayEarnValues)),SUMPRODUCT((PayEmp=$C146)*(PayDate&lt;=$AC146)*(ISERROR(SEARCH(PayEarnCode,T$4)))*(PayEarnValues))),IF(ISNUMBER(T$3),T$3/12*$AA146,IgnoreMin)))*OFFSET(Setup!$E$81,MATCH(T$5,CompListItem,0),0,1,1)-SUMIFS(OFFSET(T$6,1,0,PayCount,1),PayDate,"&lt;"&amp;$AC146,PayEmp,$C146)))))))</f>
        <v>200</v>
      </c>
      <c r="U146" s="133" cm="1">
        <f t="array" aca="1" ref="U146" ca="1">IF($F146="Terminated",0,IF($AA146=0,0,IF(ISNA(MATCH(U$5,CompListItem,0)),0,IF(COUNTIFS(OverEmp,$C146,OverComp,U$5,OverDate,"&lt;"&amp;DATE(YEAR($AC146),MONTH($AC146)+1,1),OverEnd,"&gt;="&amp;DATE(YEAR($AC146),MONTH($AC146),1))&gt;0,SUMIFS(OverValue,OverEmp,$C146,OverComp,U$5,OverDate,"&lt;"&amp;DATE(YEAR($AC146),MONTH($AC146)+1,1),OverEnd,"&gt;="&amp;DATE(YEAR($AC146),MONTH($AC146),1)),IF(OR(U$2="Fixed",U$2="Not Used"),(OFFSET(Setup!$E$81,MATCH(U$5,CompListItem,0),0,1,1)*$AA146)-SUMIFS(OFFSET(U$6,1,0,PayCount,1),PayDate,"&lt;"&amp;$AC146,PayEmp,$C146),IF(ISNA(MATCH(U$2,DedListItem,0))=FALSE,(SUMPRODUCT((PayEmp=$C146)*(PayDate&lt;=$AC146)*(PayDedList=U$2)*(PayDedValues))*OFFSET(Setup!$E$81,MATCH(U$5,CompListItem,0),0,1,1))-SUMIFS(OFFSET(U$6,1,0,PayCount,1),PayDate,"&lt;"&amp;$AC146,PayEmp,$C146),(MIN(IF(OFFSET(Setup!$G$81,MATCH(U$5,CompListItem,0),0,1,1)="Taxable",SUMPRODUCT((PayEmp=$C146)*(PayDate&lt;=$AC146)*(ISERROR(SEARCH(PayEarnCode,U$4)))*(PayEarnTax)*(PayEarnValues)),SUMPRODUCT((PayEmp=$C146)*(PayDate&lt;=$AC146)*(ISERROR(SEARCH(PayEarnCode,U$4)))*(PayEarnValues))),IF(ISNUMBER(U$3),U$3/12*$AA146,IgnoreMin)))*OFFSET(Setup!$E$81,MATCH(U$5,CompListItem,0),0,1,1)-SUMIFS(OFFSET(U$6,1,0,PayCount,1),PayDate,"&lt;"&amp;$AC146,PayEmp,$C146)))))))</f>
        <v>200</v>
      </c>
      <c r="V146" s="133" cm="1">
        <f t="array" aca="1" ref="V146" ca="1">IF($F146="Terminated",0,IF($AA146=0,0,IF(ISNA(MATCH(V$5,CompListItem,0)),0,IF(COUNTIFS(OverEmp,$C146,OverComp,V$5,OverDate,"&lt;"&amp;DATE(YEAR($AC146),MONTH($AC146)+1,1),OverEnd,"&gt;="&amp;DATE(YEAR($AC146),MONTH($AC146),1))&gt;0,SUMIFS(OverValue,OverEmp,$C146,OverComp,V$5,OverDate,"&lt;"&amp;DATE(YEAR($AC146),MONTH($AC146)+1,1),OverEnd,"&gt;="&amp;DATE(YEAR($AC146),MONTH($AC146),1)),IF(OR(V$2="Fixed",V$2="Not Used"),(OFFSET(Setup!$E$81,MATCH(V$5,CompListItem,0),0,1,1)*$AA146)-SUMIFS(OFFSET(V$6,1,0,PayCount,1),PayDate,"&lt;"&amp;$AC146,PayEmp,$C146),IF(ISNA(MATCH(V$2,DedListItem,0))=FALSE,(SUMPRODUCT((PayEmp=$C146)*(PayDate&lt;=$AC146)*(PayDedList=V$2)*(PayDedValues))*OFFSET(Setup!$E$81,MATCH(V$5,CompListItem,0),0,1,1))-SUMIFS(OFFSET(V$6,1,0,PayCount,1),PayDate,"&lt;"&amp;$AC146,PayEmp,$C146),(MIN(IF(OFFSET(Setup!$G$81,MATCH(V$5,CompListItem,0),0,1,1)="Taxable",SUMPRODUCT((PayEmp=$C146)*(PayDate&lt;=$AC146)*(ISERROR(SEARCH(PayEarnCode,V$4)))*(PayEarnTax)*(PayEarnValues)),SUMPRODUCT((PayEmp=$C146)*(PayDate&lt;=$AC146)*(ISERROR(SEARCH(PayEarnCode,V$4)))*(PayEarnValues))),IF(ISNUMBER(V$3),V$3/12*$AA146,IgnoreMin)))*OFFSET(Setup!$E$81,MATCH(V$5,CompListItem,0),0,1,1)-SUMIFS(OFFSET(V$6,1,0,PayCount,1),PayDate,"&lt;"&amp;$AC146,PayEmp,$C146)))))))</f>
        <v>0</v>
      </c>
      <c r="W146" s="133" cm="1">
        <f t="array" aca="1" ref="W146" ca="1">IF($F146="Terminated",0,IF($AA146=0,0,IF(ISNA(MATCH(W$5,CompListItem,0)),0,IF(COUNTIFS(OverEmp,$C146,OverComp,W$5,OverDate,"&lt;"&amp;DATE(YEAR($AC146),MONTH($AC146)+1,1),OverEnd,"&gt;="&amp;DATE(YEAR($AC146),MONTH($AC146),1))&gt;0,SUMIFS(OverValue,OverEmp,$C146,OverComp,W$5,OverDate,"&lt;"&amp;DATE(YEAR($AC146),MONTH($AC146)+1,1),OverEnd,"&gt;="&amp;DATE(YEAR($AC146),MONTH($AC146),1)),IF(OR(W$2="Fixed",W$2="Not Used"),(OFFSET(Setup!$E$81,MATCH(W$5,CompListItem,0),0,1,1)*$AA146)-SUMIFS(OFFSET(W$6,1,0,PayCount,1),PayDate,"&lt;"&amp;$AC146,PayEmp,$C146),IF(ISNA(MATCH(W$2,DedListItem,0))=FALSE,(SUMPRODUCT((PayEmp=$C146)*(PayDate&lt;=$AC146)*(PayDedList=W$2)*(PayDedValues))*OFFSET(Setup!$E$81,MATCH(W$5,CompListItem,0),0,1,1))-SUMIFS(OFFSET(W$6,1,0,PayCount,1),PayDate,"&lt;"&amp;$AC146,PayEmp,$C146),(MIN(IF(OFFSET(Setup!$G$81,MATCH(W$5,CompListItem,0),0,1,1)="Taxable",SUMPRODUCT((PayEmp=$C146)*(PayDate&lt;=$AC146)*(ISERROR(SEARCH(PayEarnCode,W$4)))*(PayEarnTax)*(PayEarnValues)),SUMPRODUCT((PayEmp=$C146)*(PayDate&lt;=$AC146)*(ISERROR(SEARCH(PayEarnCode,W$4)))*(PayEarnValues))),IF(ISNUMBER(W$3),W$3/12*$AA146,IgnoreMin)))*OFFSET(Setup!$E$81,MATCH(W$5,CompListItem,0),0,1,1)-SUMIFS(OFFSET(W$6,1,0,PayCount,1),PayDate,"&lt;"&amp;$AC146,PayEmp,$C146)))))))</f>
        <v>0</v>
      </c>
      <c r="X146" s="185">
        <f t="shared" ca="1" si="60"/>
        <v>400</v>
      </c>
      <c r="Y146" s="139">
        <f t="shared" ca="1" si="69"/>
        <v>20400</v>
      </c>
      <c r="Z146" s="139">
        <f t="shared" ca="1" si="61"/>
        <v>2397</v>
      </c>
      <c r="AA146" s="146">
        <f ca="1">IF(OR($B146&lt;=Setup!$E$12,$B146&gt;=Setup!$D$12+1),0,IF($F146&lt;&gt;"Active",0,IF($AE146="Yes",$AB146,((YEAR($AC146)*12)+MONTH($AC146))-((YEAR($AD146)*12)+MONTH($AD146)-1))))</f>
        <v>10</v>
      </c>
      <c r="AB146" s="146">
        <f ca="1">IF(OR($B146&lt;=Setup!$E$12,$B146&gt;=Setup!$D$12+1),0,((YEAR($AC146)*12)+MONTH($AC146))-((YEAR(Setup!$E$12)*12)+MONTH(Setup!$E$12)))</f>
        <v>10</v>
      </c>
      <c r="AC146" s="186">
        <f t="shared" ca="1" si="62"/>
        <v>45285</v>
      </c>
      <c r="AD146" s="144">
        <f ca="1">IF(ISNA(VLOOKUP($C146,EmpAll,COLUMN(Emp!$E$4),0)),$AC146,IF(VLOOKUP($C146,EmpAll,COLUMN(Emp!$E$4),0)&lt;=Setup!$E$12,DATE(YEAR(Setup!$E$12),MONTH(Setup!$E$12)+1,1),VLOOKUP($C146,EmpAll,COLUMN(Emp!$E$4),0)))</f>
        <v>44986</v>
      </c>
      <c r="AE146" s="144" t="str">
        <f ca="1">IF(ISNA(VLOOKUP($C146,EmpAll,COLUMN(Emp!$G$1),0)),"-",IF(VLOOKUP($C146,EmpAll,COLUMN(Emp!$G$1),0)=0,"-",VLOOKUP($C146,EmpAll,COLUMN(Emp!$G$1),0)))</f>
        <v>-</v>
      </c>
      <c r="AF146" s="145">
        <f ca="1">IF(A146=PaySlip!$G$3,1,0)</f>
        <v>0</v>
      </c>
      <c r="AG146" s="130" cm="1">
        <f t="array" aca="1" ref="AG146" ca="1">IF(COUNTIFS(OverEmp,$C146,OverMed,"MED",OverDate,"&lt;"&amp;DATE(YEAR($AC146),MONTH($AC146)+1,1),OverEnd,"&gt;="&amp;DATE(YEAR($AC146),MONTH($AC146),1))&gt;0,SUMIFS(OverValue,OverEmp,$C146,OverMed,"MED",OverDate,"&lt;"&amp;DATE(YEAR($AC146),MONTH($AC146)+1,1),OverEnd,"&gt;="&amp;DATE(YEAR($AC146),MONTH($AC146),1)),IF(ISNA(VLOOKUP($C146,EmpAll,COLUMN(Emp!$N$4),0)),0,VLOOKUP($C146,EmpAll,COLUMN(Emp!$N$4),0)))</f>
        <v>1</v>
      </c>
      <c r="AH146" s="146">
        <f ca="1">VLOOKUP($AG146,MedList,COLUMN(Setup!$C$49),1)</f>
        <v>364</v>
      </c>
      <c r="AI146" s="146">
        <f t="shared" ca="1" si="70"/>
        <v>4368</v>
      </c>
      <c r="AJ146" s="101" t="str">
        <f ca="1">IF(ISNA(VLOOKUP($C146,EmpAll,COLUMN(Emp!$L$4),0)),"None!",VLOOKUP($C146,EmpAll,COLUMN(Emp!$L$4),0))</f>
        <v>A</v>
      </c>
      <c r="AK146" s="147">
        <f t="shared" ca="1" si="63"/>
        <v>17235</v>
      </c>
      <c r="AL146" s="101" t="str">
        <f ca="1">IF(ISNA(VLOOKUP($C146,Employees[],COLUMN(Emp!$M$4),0))=TRUE,"Error!",IF(VLOOKUP($C146,Employees[],COLUMN(Emp!$M$4),0)=0,"Yes",VLOOKUP($C146,Employees[],COLUMN(Emp!$M$4),0)))</f>
        <v>A</v>
      </c>
      <c r="AM146" s="148">
        <f t="shared" ca="1" si="71"/>
        <v>130000</v>
      </c>
      <c r="AN146" s="148" cm="1">
        <f t="array" aca="1" ref="AN146" ca="1">-IF($F146="Terminated",0,IF($AA146=0,0,IF(ISNA(MATCH(AN$5,PayDedList,0)),0,MIN(IF(COUNTIFS(OverEmp,$C146,OverDeduct,AN$5,OverDate,"&lt;"&amp;DATE(YEAR($AC146),MONTH($AC146)+1,1),OverEnd,"&gt;="&amp;DATE(YEAR($AC146),MONTH($AC146),1))&gt;0,SUMPRODUCT((PayEmp=$C146)*(PayDate&lt;=$AC146)*(OFFSET($N$6,1,MATCH(AN$5,PayDedList,0)-1,PayCount,1)))/$AA146*12*AN$3,IF(OR(AN$1="Fixed",AN$1="Not Used"),SUMPRODUCT((PayEmp=$C146)*(PayDate&lt;=$AC146)*(OFFSET($N$6,1,MATCH(AN$5,PayDedList,0)-1,PayCount,1)))/$AA146*12*AN$3,IF(ISNA(MATCH(AN$1,EarnListItem,0))=FALSE,SUMPRODUCT((PayEmp=$C146)*(PayDate&lt;=$AC146)*(OFFSET($N$6,1,MATCH(AN$5,PayDedList,0)-1,PayCount,1)))/$AA146*12*AN$3,(MIN(((SUMPRODUCT((PayEmp=$C146)*(PayDate&lt;=$AC146)*(ISERROR(SEARCH(PayEarnCode,AN$2)))*(PayEarnType="Monthly")*(PayEarnValues))/$AA146*12)+(SUMPRODUCT((PayEmp=$C146)*(PayDate&lt;=$AC146)*(ISERROR(SEARCH(PayEarnCode,AN$2)))*(PayEarnType="Quarterly")*(PayEarnValues))/MAX(1,ROUNDDOWN($AB146/3,0))*4)+(SUMPRODUCT((PayEmp=$C146)*(PayDate&lt;=$AC146)*(ISERROR(SEARCH(PayEarnCode,AN$2)))*(PayEarnType="Bi-Annual")*(PayEarnValues))/MAX(1,ROUNDDOWN($AB146/6,0))*2)+(SUMPRODUCT((PayEmp=$C146)*(PayDate&lt;=$AC146)*(ISERROR(SEARCH(PayEarnCode,AN$2)))*(PayEarnType="Annual")*(PayEarnValues)))),IF(ISNUMBER(OFFSET($N$3,0,MATCH(AN$5,PayDedList,0)-1,1,1)),OFFSET($N$3,0,MATCH(AN$5,PayDedList,0)-1,1,1),IgnoreMin)))*IF(COUNTIFS(EmpNo,$C146,OFFSET(Emp!$R$4,1,MATCH(AN$5,DedListItem,0)-1,EmpCount,1),"&lt;&gt;")&gt;0,VLOOKUP($C146,EmpAll,COLUMN(Emp!$R$4)+MATCH(AN$5,DedListItem,0)-1,0),OFFSET(Setup!$E$73,MATCH(AN$5,DedListItem,0),0,1,1))*AN$3))),IF(ISNUMBER(AN$4),AN$4,IgnoreMin)))))</f>
        <v>0</v>
      </c>
      <c r="AO146" s="148" cm="1">
        <f t="array" aca="1" ref="AO146" ca="1">-IF($F146="Terminated",0,IF($AA146=0,0,IF(ISNA(MATCH(AO$5,PayDedList,0)),0,MIN(IF(COUNTIFS(OverEmp,$C146,OverDeduct,AO$5,OverDate,"&lt;"&amp;DATE(YEAR($AC146),MONTH($AC146)+1,1),OverEnd,"&gt;="&amp;DATE(YEAR($AC146),MONTH($AC146),1))&gt;0,SUMPRODUCT((PayEmp=$C146)*(PayDate&lt;=$AC146)*(OFFSET($N$6,1,MATCH(AO$5,PayDedList,0)-1,PayCount,1)))/$AA146*12*AO$3,IF(OR(AO$1="Fixed",AO$1="Not Used"),SUMPRODUCT((PayEmp=$C146)*(PayDate&lt;=$AC146)*(OFFSET($N$6,1,MATCH(AO$5,PayDedList,0)-1,PayCount,1)))/$AA146*12*AO$3,IF(ISNA(MATCH(AO$1,EarnListItem,0))=FALSE,SUMPRODUCT((PayEmp=$C146)*(PayDate&lt;=$AC146)*(OFFSET($N$6,1,MATCH(AO$5,PayDedList,0)-1,PayCount,1)))/$AA146*12*AO$3,(MIN(((SUMPRODUCT((PayEmp=$C146)*(PayDate&lt;=$AC146)*(ISERROR(SEARCH(PayEarnCode,AO$2)))*(PayEarnType="Monthly")*(PayEarnValues))/$AA146*12)+(SUMPRODUCT((PayEmp=$C146)*(PayDate&lt;=$AC146)*(ISERROR(SEARCH(PayEarnCode,AO$2)))*(PayEarnType="Quarterly")*(PayEarnValues))/MAX(1,ROUNDDOWN($AB146/3,0))*4)+(SUMPRODUCT((PayEmp=$C146)*(PayDate&lt;=$AC146)*(ISERROR(SEARCH(PayEarnCode,AO$2)))*(PayEarnType="Bi-Annual")*(PayEarnValues))/MAX(1,ROUNDDOWN($AB146/6,0))*2)+(SUMPRODUCT((PayEmp=$C146)*(PayDate&lt;=$AC146)*(ISERROR(SEARCH(PayEarnCode,AO$2)))*(PayEarnType="Annual")*(PayEarnValues)))),IF(ISNUMBER(OFFSET($N$3,0,MATCH(AO$5,PayDedList,0)-1,1,1)),OFFSET($N$3,0,MATCH(AO$5,PayDedList,0)-1,1,1),IgnoreMin)))*IF(COUNTIFS(EmpNo,$C146,OFFSET(Emp!$R$4,1,MATCH(AO$5,DedListItem,0)-1,EmpCount,1),"&lt;&gt;")&gt;0,VLOOKUP($C146,EmpAll,COLUMN(Emp!$R$4)+MATCH(AO$5,DedListItem,0)-1,0),OFFSET(Setup!$E$73,MATCH(AO$5,DedListItem,0),0,1,1))*AO$3))),IF(ISNUMBER(AO$4),AO$4,IgnoreMin)))))</f>
        <v>0</v>
      </c>
      <c r="AP146" s="148" cm="1">
        <f t="array" aca="1" ref="AP146" ca="1">-IF($F146="Terminated",0,IF($AA146=0,0,IF(ISNA(MATCH(AP$5,PayDedList,0)),0,MIN(IF(COUNTIFS(OverEmp,$C146,OverDeduct,AP$5,OverDate,"&lt;"&amp;DATE(YEAR($AC146),MONTH($AC146)+1,1),OverEnd,"&gt;="&amp;DATE(YEAR($AC146),MONTH($AC146),1))&gt;0,SUMPRODUCT((PayEmp=$C146)*(PayDate&lt;=$AC146)*(OFFSET($N$6,1,MATCH(AP$5,PayDedList,0)-1,PayCount,1)))/$AA146*12*AP$3,IF(OR(AP$1="Fixed",AP$1="Not Used"),SUMPRODUCT((PayEmp=$C146)*(PayDate&lt;=$AC146)*(OFFSET($N$6,1,MATCH(AP$5,PayDedList,0)-1,PayCount,1)))/$AA146*12*AP$3,IF(ISNA(MATCH(AP$1,EarnListItem,0))=FALSE,SUMPRODUCT((PayEmp=$C146)*(PayDate&lt;=$AC146)*(OFFSET($N$6,1,MATCH(AP$5,PayDedList,0)-1,PayCount,1)))/$AA146*12*AP$3,(MIN(((SUMPRODUCT((PayEmp=$C146)*(PayDate&lt;=$AC146)*(ISERROR(SEARCH(PayEarnCode,AP$2)))*(PayEarnType="Monthly")*(PayEarnValues))/$AA146*12)+(SUMPRODUCT((PayEmp=$C146)*(PayDate&lt;=$AC146)*(ISERROR(SEARCH(PayEarnCode,AP$2)))*(PayEarnType="Quarterly")*(PayEarnValues))/MAX(1,ROUNDDOWN($AB146/3,0))*4)+(SUMPRODUCT((PayEmp=$C146)*(PayDate&lt;=$AC146)*(ISERROR(SEARCH(PayEarnCode,AP$2)))*(PayEarnType="Bi-Annual")*(PayEarnValues))/MAX(1,ROUNDDOWN($AB146/6,0))*2)+(SUMPRODUCT((PayEmp=$C146)*(PayDate&lt;=$AC146)*(ISERROR(SEARCH(PayEarnCode,AP$2)))*(PayEarnType="Annual")*(PayEarnValues)))),IF(ISNUMBER(OFFSET($N$3,0,MATCH(AP$5,PayDedList,0)-1,1,1)),OFFSET($N$3,0,MATCH(AP$5,PayDedList,0)-1,1,1),IgnoreMin)))*IF(COUNTIFS(EmpNo,$C146,OFFSET(Emp!$R$4,1,MATCH(AP$5,DedListItem,0)-1,EmpCount,1),"&lt;&gt;")&gt;0,VLOOKUP($C146,EmpAll,COLUMN(Emp!$R$4)+MATCH(AP$5,DedListItem,0)-1,0),OFFSET(Setup!$E$73,MATCH(AP$5,DedListItem,0),0,1,1))*AP$3))),IF(ISNUMBER(AP$4),AP$4,IgnoreMin)))))</f>
        <v>0</v>
      </c>
      <c r="AQ146" s="148" cm="1">
        <f t="array" aca="1" ref="AQ146" ca="1">-IF($F146="Terminated",0,IF($AA146=0,0,IF(ISNA(MATCH(AQ$5,PayDedList,0)),0,MIN(IF(COUNTIFS(OverEmp,$C146,OverDeduct,AQ$5,OverDate,"&lt;"&amp;DATE(YEAR($AC146),MONTH($AC146)+1,1),OverEnd,"&gt;="&amp;DATE(YEAR($AC146),MONTH($AC146),1))&gt;0,SUMPRODUCT((PayEmp=$C146)*(PayDate&lt;=$AC146)*(OFFSET($N$6,1,MATCH(AQ$5,PayDedList,0)-1,PayCount,1)))/$AA146*12*AQ$3,IF(OR(AQ$1="Fixed",AQ$1="Not Used"),SUMPRODUCT((PayEmp=$C146)*(PayDate&lt;=$AC146)*(OFFSET($N$6,1,MATCH(AQ$5,PayDedList,0)-1,PayCount,1)))/$AA146*12*AQ$3,IF(ISNA(MATCH(AQ$1,EarnListItem,0))=FALSE,SUMPRODUCT((PayEmp=$C146)*(PayDate&lt;=$AC146)*(OFFSET($N$6,1,MATCH(AQ$5,PayDedList,0)-1,PayCount,1)))/$AA146*12*AQ$3,(MIN(((SUMPRODUCT((PayEmp=$C146)*(PayDate&lt;=$AC146)*(ISERROR(SEARCH(PayEarnCode,AQ$2)))*(PayEarnType="Monthly")*(PayEarnValues))/$AA146*12)+(SUMPRODUCT((PayEmp=$C146)*(PayDate&lt;=$AC146)*(ISERROR(SEARCH(PayEarnCode,AQ$2)))*(PayEarnType="Quarterly")*(PayEarnValues))/MAX(1,ROUNDDOWN($AB146/3,0))*4)+(SUMPRODUCT((PayEmp=$C146)*(PayDate&lt;=$AC146)*(ISERROR(SEARCH(PayEarnCode,AQ$2)))*(PayEarnType="Bi-Annual")*(PayEarnValues))/MAX(1,ROUNDDOWN($AB146/6,0))*2)+(SUMPRODUCT((PayEmp=$C146)*(PayDate&lt;=$AC146)*(ISERROR(SEARCH(PayEarnCode,AQ$2)))*(PayEarnType="Annual")*(PayEarnValues)))),IF(ISNUMBER(OFFSET($N$3,0,MATCH(AQ$5,PayDedList,0)-1,1,1)),OFFSET($N$3,0,MATCH(AQ$5,PayDedList,0)-1,1,1),IgnoreMin)))*IF(COUNTIFS(EmpNo,$C146,OFFSET(Emp!$R$4,1,MATCH(AQ$5,DedListItem,0)-1,EmpCount,1),"&lt;&gt;")&gt;0,VLOOKUP($C146,EmpAll,COLUMN(Emp!$R$4)+MATCH(AQ$5,DedListItem,0)-1,0),OFFSET(Setup!$E$73,MATCH(AQ$5,DedListItem,0),0,1,1))*AQ$3))),IF(ISNUMBER(AQ$4),AQ$4,IgnoreMin)))))</f>
        <v>0</v>
      </c>
      <c r="AR146" s="148">
        <f t="shared" ca="1" si="64"/>
        <v>130000</v>
      </c>
      <c r="AS146" s="148">
        <f t="shared" ca="1" si="72"/>
        <v>120000</v>
      </c>
      <c r="AT146" s="148" cm="1">
        <f t="array" aca="1" ref="AT146" ca="1">-IF($F146="Terminated",0,IF($AA146=0,0,IF(ISNA(MATCH(AT$5,PayDedList,0)),0,MIN(IF(COUNTIFS(OverEmp,$C146,OverDeduct,AT$5,OverDate,"&lt;"&amp;DATE(YEAR($AC146),MONTH($AC146)+1,1),OverEnd,"&gt;="&amp;DATE(YEAR($AC146),MONTH($AC146),1))&gt;0,SUMPRODUCT((PayEmp=$C146)*(PayDate&lt;=$AC146)*(OFFSET($N$6,1,MATCH(AT$5,PayDedList,0)-1,PayCount,1)))/$AA146*12*AT$3,IF(OR(AT$1="Fixed",AT$1="Not Used"),SUMPRODUCT((PayEmp=$C146)*(PayDate&lt;=$AC146)*(OFFSET($N$6,1,MATCH(AT$5,PayDedList,0)-1,PayCount,1)))/$AA146*12*AT$3,IF(ISNA(MATCH(OFFSET($N$2,0,MATCH(AT$5,PayDedList,0)-1,1,1),EarnListItem,0))=FALSE,SUMPRODUCT((PayEmp=$C146)*(PayDate&lt;=$AC146)*(OFFSET($N$6,1,MATCH(AT$5,PayDedList,0)-1,PayCount,1)))/$AA146*12*AT$3,(MIN(SUMPRODUCT((PayEmp=$C146)*(PayDate&lt;=$AC146)*(ISERROR(SEARCH(PayEarnCode,AT$2)))*(PayEarnType="Monthly")*(PayEarnValues))/$AA146*12,IF(ISNUMBER(OFFSET($N$3,0,MATCH(AT$5,PayDedList,0)-1,1,1)),OFFSET($N$3,0,MATCH(AT$5,PayDedList,0)-1,1,1),IgnoreMin)))*IF(COUNTIFS(EmpNo,$C146,OFFSET(Emp!$R$4,1,MATCH(AT$5,DedListItem,0)-1,EmpCount,1),"&lt;&gt;")&gt;0,VLOOKUP($C146,EmpAll,COLUMN(Emp!$R$4)+MATCH(AT$5,DedListItem,0)-1,0),OFFSET(Setup!$E$73,MATCH(AT$5,DedListItem,0),0,1,1))*AT$3))),IF(ISNUMBER(AT$4),AT$4,IgnoreMin)))))</f>
        <v>0</v>
      </c>
      <c r="AU146" s="148" cm="1">
        <f t="array" aca="1" ref="AU146" ca="1">-IF($F146="Terminated",0,IF($AA146=0,0,IF(ISNA(MATCH(AU$5,PayDedList,0)),0,MIN(IF(COUNTIFS(OverEmp,$C146,OverDeduct,AU$5,OverDate,"&lt;"&amp;DATE(YEAR($AC146),MONTH($AC146)+1,1),OverEnd,"&gt;="&amp;DATE(YEAR($AC146),MONTH($AC146),1))&gt;0,SUMPRODUCT((PayEmp=$C146)*(PayDate&lt;=$AC146)*(OFFSET($N$6,1,MATCH(AU$5,PayDedList,0)-1,PayCount,1)))/$AA146*12*AU$3,IF(OR(AU$1="Fixed",AU$1="Not Used"),SUMPRODUCT((PayEmp=$C146)*(PayDate&lt;=$AC146)*(OFFSET($N$6,1,MATCH(AU$5,PayDedList,0)-1,PayCount,1)))/$AA146*12*AU$3,IF(ISNA(MATCH(OFFSET($N$2,0,MATCH(AU$5,PayDedList,0)-1,1,1),EarnListItem,0))=FALSE,SUMPRODUCT((PayEmp=$C146)*(PayDate&lt;=$AC146)*(OFFSET($N$6,1,MATCH(AU$5,PayDedList,0)-1,PayCount,1)))/$AA146*12*AU$3,(MIN(SUMPRODUCT((PayEmp=$C146)*(PayDate&lt;=$AC146)*(ISERROR(SEARCH(PayEarnCode,AU$2)))*(PayEarnType="Monthly")*(PayEarnValues))/$AA146*12,IF(ISNUMBER(OFFSET($N$3,0,MATCH(AU$5,PayDedList,0)-1,1,1)),OFFSET($N$3,0,MATCH(AU$5,PayDedList,0)-1,1,1),IgnoreMin)))*IF(COUNTIFS(EmpNo,$C146,OFFSET(Emp!$R$4,1,MATCH(AU$5,DedListItem,0)-1,EmpCount,1),"&lt;&gt;")&gt;0,VLOOKUP($C146,EmpAll,COLUMN(Emp!$R$4)+MATCH(AU$5,DedListItem,0)-1,0),OFFSET(Setup!$E$73,MATCH(AU$5,DedListItem,0),0,1,1))*AU$3))),IF(ISNUMBER(AU$4),AU$4,IgnoreMin)))))</f>
        <v>0</v>
      </c>
      <c r="AV146" s="148" cm="1">
        <f t="array" aca="1" ref="AV146" ca="1">-IF($F146="Terminated",0,IF($AA146=0,0,IF(ISNA(MATCH(AV$5,PayDedList,0)),0,MIN(IF(COUNTIFS(OverEmp,$C146,OverDeduct,AV$5,OverDate,"&lt;"&amp;DATE(YEAR($AC146),MONTH($AC146)+1,1),OverEnd,"&gt;="&amp;DATE(YEAR($AC146),MONTH($AC146),1))&gt;0,SUMPRODUCT((PayEmp=$C146)*(PayDate&lt;=$AC146)*(OFFSET($N$6,1,MATCH(AV$5,PayDedList,0)-1,PayCount,1)))/$AA146*12*AV$3,IF(OR(AV$1="Fixed",AV$1="Not Used"),SUMPRODUCT((PayEmp=$C146)*(PayDate&lt;=$AC146)*(OFFSET($N$6,1,MATCH(AV$5,PayDedList,0)-1,PayCount,1)))/$AA146*12*AV$3,IF(ISNA(MATCH(OFFSET($N$2,0,MATCH(AV$5,PayDedList,0)-1,1,1),EarnListItem,0))=FALSE,SUMPRODUCT((PayEmp=$C146)*(PayDate&lt;=$AC146)*(OFFSET($N$6,1,MATCH(AV$5,PayDedList,0)-1,PayCount,1)))/$AA146*12*AV$3,(MIN(SUMPRODUCT((PayEmp=$C146)*(PayDate&lt;=$AC146)*(ISERROR(SEARCH(PayEarnCode,AV$2)))*(PayEarnType="Monthly")*(PayEarnValues))/$AA146*12,IF(ISNUMBER(OFFSET($N$3,0,MATCH(AV$5,PayDedList,0)-1,1,1)),OFFSET($N$3,0,MATCH(AV$5,PayDedList,0)-1,1,1),IgnoreMin)))*IF(COUNTIFS(EmpNo,$C146,OFFSET(Emp!$R$4,1,MATCH(AV$5,DedListItem,0)-1,EmpCount,1),"&lt;&gt;")&gt;0,VLOOKUP($C146,EmpAll,COLUMN(Emp!$R$4)+MATCH(AV$5,DedListItem,0)-1,0),OFFSET(Setup!$E$73,MATCH(AV$5,DedListItem,0),0,1,1))*AV$3))),IF(ISNUMBER(AV$4),AV$4,IgnoreMin)))))</f>
        <v>0</v>
      </c>
      <c r="AW146" s="148" cm="1">
        <f t="array" aca="1" ref="AW146" ca="1">-IF($F146="Terminated",0,IF($AA146=0,0,IF(ISNA(MATCH(AW$5,PayDedList,0)),0,MIN(IF(COUNTIFS(OverEmp,$C146,OverDeduct,AW$5,OverDate,"&lt;"&amp;DATE(YEAR($AC146),MONTH($AC146)+1,1),OverEnd,"&gt;="&amp;DATE(YEAR($AC146),MONTH($AC146),1))&gt;0,SUMPRODUCT((PayEmp=$C146)*(PayDate&lt;=$AC146)*(OFFSET($N$6,1,MATCH(AW$5,PayDedList,0)-1,PayCount,1)))/$AA146*12*AW$3,IF(OR(AW$1="Fixed",AW$1="Not Used"),SUMPRODUCT((PayEmp=$C146)*(PayDate&lt;=$AC146)*(OFFSET($N$6,1,MATCH(AW$5,PayDedList,0)-1,PayCount,1)))/$AA146*12*AW$3,IF(ISNA(MATCH(OFFSET($N$2,0,MATCH(AW$5,PayDedList,0)-1,1,1),EarnListItem,0))=FALSE,SUMPRODUCT((PayEmp=$C146)*(PayDate&lt;=$AC146)*(OFFSET($N$6,1,MATCH(AW$5,PayDedList,0)-1,PayCount,1)))/$AA146*12*AW$3,(MIN(SUMPRODUCT((PayEmp=$C146)*(PayDate&lt;=$AC146)*(ISERROR(SEARCH(PayEarnCode,AW$2)))*(PayEarnType="Monthly")*(PayEarnValues))/$AA146*12,IF(ISNUMBER(OFFSET($N$3,0,MATCH(AW$5,PayDedList,0)-1,1,1)),OFFSET($N$3,0,MATCH(AW$5,PayDedList,0)-1,1,1),IgnoreMin)))*IF(COUNTIFS(EmpNo,$C146,OFFSET(Emp!$R$4,1,MATCH(AW$5,DedListItem,0)-1,EmpCount,1),"&lt;&gt;")&gt;0,VLOOKUP($C146,EmpAll,COLUMN(Emp!$R$4)+MATCH(AW$5,DedListItem,0)-1,0),OFFSET(Setup!$E$73,MATCH(AW$5,DedListItem,0),0,1,1))*AW$3))),IF(ISNUMBER(AW$4),AW$4,IgnoreMin)))))</f>
        <v>0</v>
      </c>
      <c r="AX146" s="148">
        <f t="shared" ca="1" si="73"/>
        <v>120000</v>
      </c>
      <c r="AY146" s="148">
        <f t="shared" ca="1" si="74"/>
        <v>10000</v>
      </c>
      <c r="AZ146" s="148">
        <f ca="1">IF(ISNUMBER($AL146),($AR146*$AL146)-$AI146-$AK146,MAX(0,IF($AL146="B",IF($AR146&lt;Setup!$C$32,($AR146*Setup!$D$32)-$AI146-$AK146,(($AR146-VLOOKUP($AR146,TaxAll2,1,1))*OFFSET(Setup!$D$32,MATCH($AR146,TaxBracket2,1),0,1,1))+OFFSET(Setup!$E$31,MATCH($AR146,TaxBracket2,1),0,1,1)-$AI146-$AK146),IF($AR146&lt;Setup!$C$21,($AR146*Setup!$D$21)-$AI146-$AK146,(($AR146-VLOOKUP($AR146,TaxAll1,1,1))*OFFSET(Setup!$D$21,MATCH($AR146,TaxBracket1,1),0,1,1))+OFFSET(Setup!$E$20,MATCH($AR146,TaxBracket1,1),0,1,1)-$AI146-$AK146))))</f>
        <v>1797</v>
      </c>
      <c r="BA146" s="148">
        <f ca="1">IF(ISNUMBER($AL146),($AX146*$AL146)-$AI146-$AK146,MAX(0,IF($AL146="B",IF($AX146&lt;Setup!$C$32,($AX146*Setup!$D$32)-$AI146-$AK146,(($AX146-VLOOKUP($AX146,TaxAll2,1,1))*OFFSET(Setup!$D$32,MATCH($AX146,TaxBracket2,1),0,1,1))+OFFSET(Setup!$E$31,MATCH($AX146,TaxBracket2,1),0,1,1)-$AI146-$AK146),IF($AX146&lt;Setup!$C$21,($AX146*Setup!$D$21)-$AI146-$AK146,(($AX146-VLOOKUP($AX146,TaxAll1,1,1))*OFFSET(Setup!$D$21,MATCH($AX146,TaxBracket1,1),0,1,1))+OFFSET(Setup!$E$20,MATCH($AX146,TaxBracket1,1),0,1,1)-$AI146-$AK146))))</f>
        <v>0</v>
      </c>
      <c r="BB146" s="148">
        <f t="shared" ca="1" si="65"/>
        <v>1797</v>
      </c>
      <c r="BC146" s="150">
        <f t="shared" ca="1" si="75"/>
        <v>0.92307692307692313</v>
      </c>
      <c r="BD146" s="150">
        <f t="shared" ca="1" si="76"/>
        <v>7.6923076923076927E-2</v>
      </c>
      <c r="BE146" s="148">
        <f t="shared" ca="1" si="77"/>
        <v>130000</v>
      </c>
    </row>
    <row r="147" spans="1:57" ht="16.149999999999999" customHeight="1" x14ac:dyDescent="0.25">
      <c r="A147" s="10" t="str" cm="1">
        <f t="array" aca="1" ref="A147" ca="1">IF(ROW($A147)-ROW($A$6)&gt;EmpCount*12,"-",TEXT($B147,"yyyy")&amp;TEXT($B147,"mm")&amp;"-"&amp;$C147)</f>
        <v>202312-EXS006</v>
      </c>
      <c r="B147" s="137" cm="1">
        <f t="array" aca="1" ref="B147" ca="1">IF(ROW($A147)-ROW($A$6)&gt;EmpCount*12,Setup!$D$12,DATE(YEAR(Setup!$F$12),MONTH(Setup!$F$12)+ROUNDDOWN((ROW($A147)-ROW($A$6)-1)/EmpCount,0),IF(Setup!$C$14&gt;DAY(DATE(YEAR(Setup!$F$12),MONTH(Setup!$F$12)+ROUNDDOWN((ROW($A147)-ROW($A$6)-1)/EmpCount,0)+1,0)),DAY(DATE(YEAR(Setup!$F$12),MONTH(Setup!$F$12)+ROUNDDOWN((ROW($A147)-ROW($A$6)-1)/EmpCount,0)+1,0)),Setup!$C$14)))</f>
        <v>45285</v>
      </c>
      <c r="C147" s="101" t="str" cm="1">
        <f t="array" aca="1" ref="C147" ca="1">IF(ROW($A147)-ROW($A$6)&gt;EmpCount*12,"-",OFFSET(Emp!$A$4,ROW($A147)-ROW($A$6)-IF(ROW($A147)-ROW($A$6)&gt;EmpCount,ROUNDDOWN((ROW($A147)-ROW($A$6)-1)/EmpCount,0)*EmpCount,0),0,1,1))</f>
        <v>EXS006</v>
      </c>
      <c r="D147" s="10" t="str">
        <f ca="1">IF(ISNA(VLOOKUP($C147,EmpAll,COLUMN(Emp!$B$4),0)),"-",VLOOKUP($C147,EmpAll,COLUMN(Emp!$B$4),0))</f>
        <v>Andrews MS</v>
      </c>
      <c r="E147" s="145" t="str">
        <f ca="1">IF(ISNA(VLOOKUP($C147,EmpAll,COLUMN(Emp!$C$4),0)),"-",VLOOKUP($C147,EmpAll,COLUMN(Emp!$C$4),0))</f>
        <v>S</v>
      </c>
      <c r="F147" s="101" t="str">
        <f ca="1">IF(ISNA(VLOOKUP($C147,EmpAll,COLUMN(Emp!$A$4),0)),"-",IF(AND(VLOOKUP($C147,EmpAll,COLUMN(Emp!$E$4),0)&lt;&gt;0,VLOOKUP($C147,EmpAll,COLUMN(Emp!$E$4),0)&gt;=DATE(YEAR($AC147),MONTH($AC147)+1,0)),"Inactive",IF(AND(VLOOKUP($C147,EmpAll,COLUMN(Emp!$F$4),0)&lt;&gt;0,VLOOKUP($C147,EmpAll,COLUMN(Emp!$F$4),0)&lt;=DATE(YEAR($AC147),MONTH($AC147),0)),"Terminated","Active")))</f>
        <v>Active</v>
      </c>
      <c r="G147" s="133" cm="1">
        <f t="array" aca="1" ref="G147" ca="1">IF($F147&lt;&gt;"Active",0,IF(COUNTIFS(OverEmp,$C147,OverEarn,G$2,OverDate,"&lt;"&amp;DATE(YEAR($AC147),MONTH($AC147)+1,1),OverEnd,"&gt;="&amp;DATE(YEAR($AC147),MONTH($AC147),1))&gt;0,SUMIFS(OverValue,OverEmp,$C147,OverEarn,G$2,OverDate,"&lt;"&amp;DATE(YEAR($AC147),MONTH($AC147)+1,1),OverEnd,"&gt;="&amp;DATE(YEAR($AC147),MONTH($AC147),1)),IF(AND($AC147&gt;=Setup!$E$10,SUMIFS(EmpIncrease,EmpCode,$C147)&gt;0),SUMIFS(EmpIncrease,EmpCode,$C147),SUMIFS(EmpSalary,EmpCode,$C147))))</f>
        <v>10000</v>
      </c>
      <c r="H147" s="133" cm="1">
        <f t="array" aca="1" ref="H147" ca="1">IF($F147&lt;&gt;"Active",0,IF(COUNTIFS(OverEmp,$C147,OverEarn,H$2,OverDate,"&lt;"&amp;DATE(YEAR($AC147),MONTH($AC147)+1,1),OverEnd,"&gt;="&amp;DATE(YEAR($AC147),MONTH($AC147),1))&gt;0,SUMIFS(OverValue,OverEmp,$C147,OverEarn,H$2,OverDate,"&lt;"&amp;DATE(YEAR($AC147),MONTH($AC147)+1,1),OverEnd,"&gt;="&amp;DATE(YEAR($AC147),MONTH($AC147),1)),0))</f>
        <v>0</v>
      </c>
      <c r="I147" s="133" cm="1">
        <f t="array" aca="1" ref="I147" ca="1">IF($F147&lt;&gt;"Active",0,IF(COUNTIFS(OverEmp,$C147,OverEarn,I$2,OverDate,"&lt;"&amp;DATE(YEAR($AC147),MONTH($AC147)+1,1),OverEnd,"&gt;="&amp;DATE(YEAR($AC147),MONTH($AC147),1))&gt;0,SUMIFS(OverValue,OverEmp,$C147,OverEarn,I$2,OverDate,"&lt;"&amp;DATE(YEAR($AC147),MONTH($AC147)+1,1),OverEnd,"&gt;="&amp;DATE(YEAR($AC147),MONTH($AC147),1)),IF(MONTH(B147)=Setup!$C$15,SUMIFS(EmpBonus,EmpCode,$C147),0)))</f>
        <v>10000</v>
      </c>
      <c r="J147" s="133" cm="1">
        <f t="array" aca="1" ref="J147" ca="1">IF($F147&lt;&gt;"Active",0,IF(COUNTIFS(OverEmp,$C147,OverEarn,J$2,OverDate,"&lt;"&amp;DATE(YEAR($AC147),MONTH($AC147)+1,1),OverEnd,"&gt;="&amp;DATE(YEAR($AC147),MONTH($AC147),1))&gt;0,SUMIFS(OverValue,OverEmp,$C147,OverEarn,J$2,OverDate,"&lt;"&amp;DATE(YEAR($AC147),MONTH($AC147)+1,1),OverEnd,"&gt;="&amp;DATE(YEAR($AC147),MONTH($AC147),1)),0))</f>
        <v>0</v>
      </c>
      <c r="K147" s="133" cm="1">
        <f t="array" aca="1" ref="K147" ca="1">IF($F147&lt;&gt;"Active",0,IF(COUNTIFS(OverEmp,$C147,OverEarn,K$2,OverDate,"&lt;"&amp;DATE(YEAR($AC147),MONTH($AC147)+1,1),OverEnd,"&gt;="&amp;DATE(YEAR($AC147),MONTH($AC147),1))&gt;0,SUMIFS(OverValue,OverEmp,$C147,OverEarn,K$2,OverDate,"&lt;"&amp;DATE(YEAR($AC147),MONTH($AC147)+1,1),OverEnd,"&gt;="&amp;DATE(YEAR($AC147),MONTH($AC147),1)),0))</f>
        <v>0</v>
      </c>
      <c r="L147" s="185">
        <f t="shared" ca="1" si="66"/>
        <v>20000</v>
      </c>
      <c r="M147" s="182" cm="1">
        <f t="array" aca="1" ref="M147" ca="1">IF(COUNTIFS(OverEmp,$C147,OverTax,M$5,OverDate,"&lt;"&amp;DATE(YEAR($AC147),MONTH($AC147)+1,1),OverEnd,"&gt;="&amp;DATE(YEAR($AC147),MONTH($AC147),1))&gt;0,SUMIFS(OverValue,OverEmp,$C147,OverTax,M$5,OverDate,"&lt;"&amp;DATE(YEAR($AC147),MONTH($AC147)+1,1),OverEnd,"&gt;="&amp;DATE(YEAR($AC147),MONTH($AC147),1)),(($BA147/12*$AA147)+(BB147*IF(1-$BC147=0,0,BD147/(1-$BC147))))-IF($F147="Terminated",0,SUMIFS(PayTaxDeduct,PayDate,"&lt;"&amp;$AC147,PayEmp,$C147)))</f>
        <v>1797.0000000000011</v>
      </c>
      <c r="N147" s="133" cm="1">
        <f t="array" aca="1" ref="N147" ca="1">IF($F147="Terminated",0,IF($AA147=0,0,IF(ISNA(MATCH(N$5,DedListItem,0)),0,IF(COUNTIFS(OverEmp,$C147,OverDeduct,N$5,OverDate,"&lt;"&amp;DATE(YEAR($AC147),MONTH($AC147)+1,1),OverEnd,"&gt;="&amp;DATE(YEAR($AC147),MONTH($AC147),1))&gt;0,SUMIFS(OverValue,OverEmp,$C147,OverDeduct,N$5,OverDate,"&lt;"&amp;DATE(YEAR($AC147),MONTH($AC147)+1,1),OverEnd,"&gt;="&amp;DATE(YEAR($AC147),MONTH($AC147),1)),IF(OR(N$2="Fixed",N$2="Not Used"),(IF(COUNTIFS(EmpNo,$C147,OFFSET(Emp!$R$4,1,MATCH(N$5,DedListItem,0)-1,EmpCount,1),"&lt;&gt;")&gt;0,VLOOKUP($C147,EmpAll,COLUMN(Emp!$R$4)+MATCH(N$5,DedListItem,0)-1,0),OFFSET(Setup!$E$73,MATCH(N$5,DedListItem,0),0,1,1))*$AA147)-SUMIFS(OFFSET(N$6,1,0,PayCount,1),PayDate,"&lt;"&amp;$AC147,PayEmp,$C147),IF(ISNA(MATCH(N$2,EarnListItem,0))=FALSE,IF(OFFSET(Setup!$G$73,MATCH(N$5,DedListItem,0),0,1,1)="Taxable",SUMPRODUCT((PayEmp=$C147)*(PayDate&lt;=$AC147)*(PayEarnCode=N$2)*(PayEarnTax)*(PayEarnValues)),SUMPRODUCT((PayEmp=$C147)*(PayDate&lt;=$AC147)*(PayEarnCode=N$2)*(PayEarnValues)))*IF(COUNTIFS(EmpNo,$C147,OFFSET(Emp!$R$4,1,MATCH(N$5,DedListItem,0)-1,EmpCount,1),"&lt;&gt;")&gt;0,VLOOKUP($C147,EmpAll,COLUMN(Emp!$R$4)+MATCH(N$5,DedListItem,0)-1,0),OFFSET(Setup!$E$73,MATCH(N$5,DedListItem,0),0,1,1)),(MIN(IF(OFFSET(Setup!$G$73,MATCH(N$5,DedListItem,0),0,1,1)="Taxable",SUMPRODUCT((PayEmp=$C147)*(PayDate&lt;=$AC147)*(ISERROR(SEARCH(PayEarnCode,N$4)))*(PayEarnTax)*(PayEarnValues)),SUMPRODUCT((PayEmp=$C147)*(PayDate&lt;=$AC147)*(ISERROR(SEARCH(PayEarnCode,N$4)))*(PayEarnValues))),IF(ISNUMBER(N$3),N$3/12*$AA147,IgnoreMin)))*IF(COUNTIFS(EmpNo,$C147,OFFSET(Emp!$R$4,1,MATCH(N$5,DedListItem,0)-1,EmpCount,1),"&lt;&gt;")&gt;0,VLOOKUP($C147,EmpAll,COLUMN(Emp!$R$4)+MATCH(N$5,DedListItem,0)-1,0),OFFSET(Setup!$E$73,MATCH(N$5,DedListItem,0),0,1,1)))-SUMIFS(OFFSET(N$6,1,0,PayCount,1),PayDate,"&lt;"&amp;$AC147,PayEmp,$C147))))))</f>
        <v>200</v>
      </c>
      <c r="O147" s="133" cm="1">
        <f t="array" aca="1" ref="O147" ca="1">IF($F147="Terminated",0,IF($AA147=0,0,IF(ISNA(MATCH(O$5,DedListItem,0)),0,IF(COUNTIFS(OverEmp,$C147,OverDeduct,O$5,OverDate,"&lt;"&amp;DATE(YEAR($AC147),MONTH($AC147)+1,1),OverEnd,"&gt;="&amp;DATE(YEAR($AC147),MONTH($AC147),1))&gt;0,SUMIFS(OverValue,OverEmp,$C147,OverDeduct,O$5,OverDate,"&lt;"&amp;DATE(YEAR($AC147),MONTH($AC147)+1,1),OverEnd,"&gt;="&amp;DATE(YEAR($AC147),MONTH($AC147),1)),IF(OR(O$2="Fixed",O$2="Not Used"),(IF(COUNTIFS(EmpNo,$C147,OFFSET(Emp!$R$4,1,MATCH(O$5,DedListItem,0)-1,EmpCount,1),"&lt;&gt;")&gt;0,VLOOKUP($C147,EmpAll,COLUMN(Emp!$R$4)+MATCH(O$5,DedListItem,0)-1,0),OFFSET(Setup!$E$73,MATCH(O$5,DedListItem,0),0,1,1))*$AA147)-SUMIFS(OFFSET(O$6,1,0,PayCount,1),PayDate,"&lt;"&amp;$AC147,PayEmp,$C147),IF(ISNA(MATCH(O$2,EarnListItem,0))=FALSE,IF(OFFSET(Setup!$G$73,MATCH(O$5,DedListItem,0),0,1,1)="Taxable",SUMPRODUCT((PayEmp=$C147)*(PayDate&lt;=$AC147)*(PayEarnCode=O$2)*(PayEarnTax)*(PayEarnValues)),SUMPRODUCT((PayEmp=$C147)*(PayDate&lt;=$AC147)*(PayEarnCode=O$2)*(PayEarnValues)))*IF(COUNTIFS(EmpNo,$C147,OFFSET(Emp!$R$4,1,MATCH(O$5,DedListItem,0)-1,EmpCount,1),"&lt;&gt;")&gt;0,VLOOKUP($C147,EmpAll,COLUMN(Emp!$R$4)+MATCH(O$5,DedListItem,0)-1,0),OFFSET(Setup!$E$73,MATCH(O$5,DedListItem,0),0,1,1)),(MIN(IF(OFFSET(Setup!$G$73,MATCH(O$5,DedListItem,0),0,1,1)="Taxable",SUMPRODUCT((PayEmp=$C147)*(PayDate&lt;=$AC147)*(ISERROR(SEARCH(PayEarnCode,O$4)))*(PayEarnTax)*(PayEarnValues)),SUMPRODUCT((PayEmp=$C147)*(PayDate&lt;=$AC147)*(ISERROR(SEARCH(PayEarnCode,O$4)))*(PayEarnValues))),IF(ISNUMBER(O$3),O$3/12*$AA147,IgnoreMin)))*IF(COUNTIFS(EmpNo,$C147,OFFSET(Emp!$R$4,1,MATCH(O$5,DedListItem,0)-1,EmpCount,1),"&lt;&gt;")&gt;0,VLOOKUP($C147,EmpAll,COLUMN(Emp!$R$4)+MATCH(O$5,DedListItem,0)-1,0),OFFSET(Setup!$E$73,MATCH(O$5,DedListItem,0),0,1,1)))-SUMIFS(OFFSET(O$6,1,0,PayCount,1),PayDate,"&lt;"&amp;$AC147,PayEmp,$C147))))))</f>
        <v>0</v>
      </c>
      <c r="P147" s="133" cm="1">
        <f t="array" aca="1" ref="P147" ca="1">IF($F147="Terminated",0,IF($AA147=0,0,IF(ISNA(MATCH(P$5,DedListItem,0)),0,IF(COUNTIFS(OverEmp,$C147,OverDeduct,P$5,OverDate,"&lt;"&amp;DATE(YEAR($AC147),MONTH($AC147)+1,1),OverEnd,"&gt;="&amp;DATE(YEAR($AC147),MONTH($AC147),1))&gt;0,SUMIFS(OverValue,OverEmp,$C147,OverDeduct,P$5,OverDate,"&lt;"&amp;DATE(YEAR($AC147),MONTH($AC147)+1,1),OverEnd,"&gt;="&amp;DATE(YEAR($AC147),MONTH($AC147),1)),IF(OR(P$2="Fixed",P$2="Not Used"),(IF(COUNTIFS(EmpNo,$C147,OFFSET(Emp!$R$4,1,MATCH(P$5,DedListItem,0)-1,EmpCount,1),"&lt;&gt;")&gt;0,VLOOKUP($C147,EmpAll,COLUMN(Emp!$R$4)+MATCH(P$5,DedListItem,0)-1,0),OFFSET(Setup!$E$73,MATCH(P$5,DedListItem,0),0,1,1))*$AA147)-SUMIFS(OFFSET(P$6,1,0,PayCount,1),PayDate,"&lt;"&amp;$AC147,PayEmp,$C147),IF(ISNA(MATCH(P$2,EarnListItem,0))=FALSE,IF(OFFSET(Setup!$G$73,MATCH(P$5,DedListItem,0),0,1,1)="Taxable",SUMPRODUCT((PayEmp=$C147)*(PayDate&lt;=$AC147)*(PayEarnCode=P$2)*(PayEarnTax)*(PayEarnValues)),SUMPRODUCT((PayEmp=$C147)*(PayDate&lt;=$AC147)*(PayEarnCode=P$2)*(PayEarnValues)))*IF(COUNTIFS(EmpNo,$C147,OFFSET(Emp!$R$4,1,MATCH(P$5,DedListItem,0)-1,EmpCount,1),"&lt;&gt;")&gt;0,VLOOKUP($C147,EmpAll,COLUMN(Emp!$R$4)+MATCH(P$5,DedListItem,0)-1,0),OFFSET(Setup!$E$73,MATCH(P$5,DedListItem,0),0,1,1)),(MIN(IF(OFFSET(Setup!$G$73,MATCH(P$5,DedListItem,0),0,1,1)="Taxable",SUMPRODUCT((PayEmp=$C147)*(PayDate&lt;=$AC147)*(ISERROR(SEARCH(PayEarnCode,P$4)))*(PayEarnTax)*(PayEarnValues)),SUMPRODUCT((PayEmp=$C147)*(PayDate&lt;=$AC147)*(ISERROR(SEARCH(PayEarnCode,P$4)))*(PayEarnValues))),IF(ISNUMBER(P$3),P$3/12*$AA147,IgnoreMin)))*IF(COUNTIFS(EmpNo,$C147,OFFSET(Emp!$R$4,1,MATCH(P$5,DedListItem,0)-1,EmpCount,1),"&lt;&gt;")&gt;0,VLOOKUP($C147,EmpAll,COLUMN(Emp!$R$4)+MATCH(P$5,DedListItem,0)-1,0),OFFSET(Setup!$E$73,MATCH(P$5,DedListItem,0),0,1,1)))-SUMIFS(OFFSET(P$6,1,0,PayCount,1),PayDate,"&lt;"&amp;$AC147,PayEmp,$C147))))))</f>
        <v>0</v>
      </c>
      <c r="Q147" s="133" cm="1">
        <f t="array" aca="1" ref="Q147" ca="1">IF($F147="Terminated",0,IF($AA147=0,0,IF(ISNA(MATCH(Q$5,DedListItem,0)),0,IF(COUNTIFS(OverEmp,$C147,OverDeduct,Q$5,OverDate,"&lt;"&amp;DATE(YEAR($AC147),MONTH($AC147)+1,1),OverEnd,"&gt;="&amp;DATE(YEAR($AC147),MONTH($AC147),1))&gt;0,SUMIFS(OverValue,OverEmp,$C147,OverDeduct,Q$5,OverDate,"&lt;"&amp;DATE(YEAR($AC147),MONTH($AC147)+1,1),OverEnd,"&gt;="&amp;DATE(YEAR($AC147),MONTH($AC147),1)),IF(OR(Q$2="Fixed",Q$2="Not Used"),(IF(COUNTIFS(EmpNo,$C147,OFFSET(Emp!$R$4,1,MATCH(Q$5,DedListItem,0)-1,EmpCount,1),"&lt;&gt;")&gt;0,VLOOKUP($C147,EmpAll,COLUMN(Emp!$R$4)+MATCH(Q$5,DedListItem,0)-1,0),OFFSET(Setup!$E$73,MATCH(Q$5,DedListItem,0),0,1,1))*$AA147)-SUMIFS(OFFSET(Q$6,1,0,PayCount,1),PayDate,"&lt;"&amp;$AC147,PayEmp,$C147),IF(ISNA(MATCH(Q$2,EarnListItem,0))=FALSE,IF(OFFSET(Setup!$G$73,MATCH(Q$5,DedListItem,0),0,1,1)="Taxable",SUMPRODUCT((PayEmp=$C147)*(PayDate&lt;=$AC147)*(PayEarnCode=Q$2)*(PayEarnTax)*(PayEarnValues)),SUMPRODUCT((PayEmp=$C147)*(PayDate&lt;=$AC147)*(PayEarnCode=Q$2)*(PayEarnValues)))*IF(COUNTIFS(EmpNo,$C147,OFFSET(Emp!$R$4,1,MATCH(Q$5,DedListItem,0)-1,EmpCount,1),"&lt;&gt;")&gt;0,VLOOKUP($C147,EmpAll,COLUMN(Emp!$R$4)+MATCH(Q$5,DedListItem,0)-1,0),OFFSET(Setup!$E$73,MATCH(Q$5,DedListItem,0),0,1,1)),(MIN(IF(OFFSET(Setup!$G$73,MATCH(Q$5,DedListItem,0),0,1,1)="Taxable",SUMPRODUCT((PayEmp=$C147)*(PayDate&lt;=$AC147)*(ISERROR(SEARCH(PayEarnCode,Q$4)))*(PayEarnTax)*(PayEarnValues)),SUMPRODUCT((PayEmp=$C147)*(PayDate&lt;=$AC147)*(ISERROR(SEARCH(PayEarnCode,Q$4)))*(PayEarnValues))),IF(ISNUMBER(Q$3),Q$3/12*$AA147,IgnoreMin)))*IF(COUNTIFS(EmpNo,$C147,OFFSET(Emp!$R$4,1,MATCH(Q$5,DedListItem,0)-1,EmpCount,1),"&lt;&gt;")&gt;0,VLOOKUP($C147,EmpAll,COLUMN(Emp!$R$4)+MATCH(Q$5,DedListItem,0)-1,0),OFFSET(Setup!$E$73,MATCH(Q$5,DedListItem,0),0,1,1)))-SUMIFS(OFFSET(Q$6,1,0,PayCount,1),PayDate,"&lt;"&amp;$AC147,PayEmp,$C147))))))</f>
        <v>0</v>
      </c>
      <c r="R147" s="185">
        <f t="shared" ca="1" si="67"/>
        <v>1997.0000000000011</v>
      </c>
      <c r="S147" s="139">
        <f t="shared" ca="1" si="68"/>
        <v>18003</v>
      </c>
      <c r="T147" s="133" cm="1">
        <f t="array" aca="1" ref="T147" ca="1">IF($F147="Terminated",0,IF($AA147=0,0,IF(ISNA(MATCH(T$5,CompListItem,0)),0,IF(COUNTIFS(OverEmp,$C147,OverComp,T$5,OverDate,"&lt;"&amp;DATE(YEAR($AC147),MONTH($AC147)+1,1),OverEnd,"&gt;="&amp;DATE(YEAR($AC147),MONTH($AC147),1))&gt;0,SUMIFS(OverValue,OverEmp,$C147,OverComp,T$5,OverDate,"&lt;"&amp;DATE(YEAR($AC147),MONTH($AC147)+1,1),OverEnd,"&gt;="&amp;DATE(YEAR($AC147),MONTH($AC147),1)),IF(OR(T$2="Fixed",T$2="Not Used"),(OFFSET(Setup!$E$81,MATCH(T$5,CompListItem,0),0,1,1)*$AA147)-SUMIFS(OFFSET(T$6,1,0,PayCount,1),PayDate,"&lt;"&amp;$AC147,PayEmp,$C147),IF(ISNA(MATCH(T$2,DedListItem,0))=FALSE,(SUMPRODUCT((PayEmp=$C147)*(PayDate&lt;=$AC147)*(PayDedList=T$2)*(PayDedValues))*OFFSET(Setup!$E$81,MATCH(T$5,CompListItem,0),0,1,1))-SUMIFS(OFFSET(T$6,1,0,PayCount,1),PayDate,"&lt;"&amp;$AC147,PayEmp,$C147),(MIN(IF(OFFSET(Setup!$G$81,MATCH(T$5,CompListItem,0),0,1,1)="Taxable",SUMPRODUCT((PayEmp=$C147)*(PayDate&lt;=$AC147)*(ISERROR(SEARCH(PayEarnCode,T$4)))*(PayEarnTax)*(PayEarnValues)),SUMPRODUCT((PayEmp=$C147)*(PayDate&lt;=$AC147)*(ISERROR(SEARCH(PayEarnCode,T$4)))*(PayEarnValues))),IF(ISNUMBER(T$3),T$3/12*$AA147,IgnoreMin)))*OFFSET(Setup!$E$81,MATCH(T$5,CompListItem,0),0,1,1)-SUMIFS(OFFSET(T$6,1,0,PayCount,1),PayDate,"&lt;"&amp;$AC147,PayEmp,$C147)))))))</f>
        <v>200</v>
      </c>
      <c r="U147" s="133" cm="1">
        <f t="array" aca="1" ref="U147" ca="1">IF($F147="Terminated",0,IF($AA147=0,0,IF(ISNA(MATCH(U$5,CompListItem,0)),0,IF(COUNTIFS(OverEmp,$C147,OverComp,U$5,OverDate,"&lt;"&amp;DATE(YEAR($AC147),MONTH($AC147)+1,1),OverEnd,"&gt;="&amp;DATE(YEAR($AC147),MONTH($AC147),1))&gt;0,SUMIFS(OverValue,OverEmp,$C147,OverComp,U$5,OverDate,"&lt;"&amp;DATE(YEAR($AC147),MONTH($AC147)+1,1),OverEnd,"&gt;="&amp;DATE(YEAR($AC147),MONTH($AC147),1)),IF(OR(U$2="Fixed",U$2="Not Used"),(OFFSET(Setup!$E$81,MATCH(U$5,CompListItem,0),0,1,1)*$AA147)-SUMIFS(OFFSET(U$6,1,0,PayCount,1),PayDate,"&lt;"&amp;$AC147,PayEmp,$C147),IF(ISNA(MATCH(U$2,DedListItem,0))=FALSE,(SUMPRODUCT((PayEmp=$C147)*(PayDate&lt;=$AC147)*(PayDedList=U$2)*(PayDedValues))*OFFSET(Setup!$E$81,MATCH(U$5,CompListItem,0),0,1,1))-SUMIFS(OFFSET(U$6,1,0,PayCount,1),PayDate,"&lt;"&amp;$AC147,PayEmp,$C147),(MIN(IF(OFFSET(Setup!$G$81,MATCH(U$5,CompListItem,0),0,1,1)="Taxable",SUMPRODUCT((PayEmp=$C147)*(PayDate&lt;=$AC147)*(ISERROR(SEARCH(PayEarnCode,U$4)))*(PayEarnTax)*(PayEarnValues)),SUMPRODUCT((PayEmp=$C147)*(PayDate&lt;=$AC147)*(ISERROR(SEARCH(PayEarnCode,U$4)))*(PayEarnValues))),IF(ISNUMBER(U$3),U$3/12*$AA147,IgnoreMin)))*OFFSET(Setup!$E$81,MATCH(U$5,CompListItem,0),0,1,1)-SUMIFS(OFFSET(U$6,1,0,PayCount,1),PayDate,"&lt;"&amp;$AC147,PayEmp,$C147)))))))</f>
        <v>200</v>
      </c>
      <c r="V147" s="133" cm="1">
        <f t="array" aca="1" ref="V147" ca="1">IF($F147="Terminated",0,IF($AA147=0,0,IF(ISNA(MATCH(V$5,CompListItem,0)),0,IF(COUNTIFS(OverEmp,$C147,OverComp,V$5,OverDate,"&lt;"&amp;DATE(YEAR($AC147),MONTH($AC147)+1,1),OverEnd,"&gt;="&amp;DATE(YEAR($AC147),MONTH($AC147),1))&gt;0,SUMIFS(OverValue,OverEmp,$C147,OverComp,V$5,OverDate,"&lt;"&amp;DATE(YEAR($AC147),MONTH($AC147)+1,1),OverEnd,"&gt;="&amp;DATE(YEAR($AC147),MONTH($AC147),1)),IF(OR(V$2="Fixed",V$2="Not Used"),(OFFSET(Setup!$E$81,MATCH(V$5,CompListItem,0),0,1,1)*$AA147)-SUMIFS(OFFSET(V$6,1,0,PayCount,1),PayDate,"&lt;"&amp;$AC147,PayEmp,$C147),IF(ISNA(MATCH(V$2,DedListItem,0))=FALSE,(SUMPRODUCT((PayEmp=$C147)*(PayDate&lt;=$AC147)*(PayDedList=V$2)*(PayDedValues))*OFFSET(Setup!$E$81,MATCH(V$5,CompListItem,0),0,1,1))-SUMIFS(OFFSET(V$6,1,0,PayCount,1),PayDate,"&lt;"&amp;$AC147,PayEmp,$C147),(MIN(IF(OFFSET(Setup!$G$81,MATCH(V$5,CompListItem,0),0,1,1)="Taxable",SUMPRODUCT((PayEmp=$C147)*(PayDate&lt;=$AC147)*(ISERROR(SEARCH(PayEarnCode,V$4)))*(PayEarnTax)*(PayEarnValues)),SUMPRODUCT((PayEmp=$C147)*(PayDate&lt;=$AC147)*(ISERROR(SEARCH(PayEarnCode,V$4)))*(PayEarnValues))),IF(ISNUMBER(V$3),V$3/12*$AA147,IgnoreMin)))*OFFSET(Setup!$E$81,MATCH(V$5,CompListItem,0),0,1,1)-SUMIFS(OFFSET(V$6,1,0,PayCount,1),PayDate,"&lt;"&amp;$AC147,PayEmp,$C147)))))))</f>
        <v>0</v>
      </c>
      <c r="W147" s="133" cm="1">
        <f t="array" aca="1" ref="W147" ca="1">IF($F147="Terminated",0,IF($AA147=0,0,IF(ISNA(MATCH(W$5,CompListItem,0)),0,IF(COUNTIFS(OverEmp,$C147,OverComp,W$5,OverDate,"&lt;"&amp;DATE(YEAR($AC147),MONTH($AC147)+1,1),OverEnd,"&gt;="&amp;DATE(YEAR($AC147),MONTH($AC147),1))&gt;0,SUMIFS(OverValue,OverEmp,$C147,OverComp,W$5,OverDate,"&lt;"&amp;DATE(YEAR($AC147),MONTH($AC147)+1,1),OverEnd,"&gt;="&amp;DATE(YEAR($AC147),MONTH($AC147),1)),IF(OR(W$2="Fixed",W$2="Not Used"),(OFFSET(Setup!$E$81,MATCH(W$5,CompListItem,0),0,1,1)*$AA147)-SUMIFS(OFFSET(W$6,1,0,PayCount,1),PayDate,"&lt;"&amp;$AC147,PayEmp,$C147),IF(ISNA(MATCH(W$2,DedListItem,0))=FALSE,(SUMPRODUCT((PayEmp=$C147)*(PayDate&lt;=$AC147)*(PayDedList=W$2)*(PayDedValues))*OFFSET(Setup!$E$81,MATCH(W$5,CompListItem,0),0,1,1))-SUMIFS(OFFSET(W$6,1,0,PayCount,1),PayDate,"&lt;"&amp;$AC147,PayEmp,$C147),(MIN(IF(OFFSET(Setup!$G$81,MATCH(W$5,CompListItem,0),0,1,1)="Taxable",SUMPRODUCT((PayEmp=$C147)*(PayDate&lt;=$AC147)*(ISERROR(SEARCH(PayEarnCode,W$4)))*(PayEarnTax)*(PayEarnValues)),SUMPRODUCT((PayEmp=$C147)*(PayDate&lt;=$AC147)*(ISERROR(SEARCH(PayEarnCode,W$4)))*(PayEarnValues))),IF(ISNUMBER(W$3),W$3/12*$AA147,IgnoreMin)))*OFFSET(Setup!$E$81,MATCH(W$5,CompListItem,0),0,1,1)-SUMIFS(OFFSET(W$6,1,0,PayCount,1),PayDate,"&lt;"&amp;$AC147,PayEmp,$C147)))))))</f>
        <v>0</v>
      </c>
      <c r="X147" s="185">
        <f t="shared" ca="1" si="60"/>
        <v>400</v>
      </c>
      <c r="Y147" s="139">
        <f t="shared" ca="1" si="69"/>
        <v>20400</v>
      </c>
      <c r="Z147" s="139">
        <f t="shared" ca="1" si="61"/>
        <v>2397</v>
      </c>
      <c r="AA147" s="146">
        <f ca="1">IF(OR($B147&lt;=Setup!$E$12,$B147&gt;=Setup!$D$12+1),0,IF($F147&lt;&gt;"Active",0,IF($AE147="Yes",$AB147,((YEAR($AC147)*12)+MONTH($AC147))-((YEAR($AD147)*12)+MONTH($AD147)-1))))</f>
        <v>10</v>
      </c>
      <c r="AB147" s="146">
        <f ca="1">IF(OR($B147&lt;=Setup!$E$12,$B147&gt;=Setup!$D$12+1),0,((YEAR($AC147)*12)+MONTH($AC147))-((YEAR(Setup!$E$12)*12)+MONTH(Setup!$E$12)))</f>
        <v>10</v>
      </c>
      <c r="AC147" s="186">
        <f t="shared" ca="1" si="62"/>
        <v>45285</v>
      </c>
      <c r="AD147" s="144">
        <f ca="1">IF(ISNA(VLOOKUP($C147,EmpAll,COLUMN(Emp!$E$4),0)),$AC147,IF(VLOOKUP($C147,EmpAll,COLUMN(Emp!$E$4),0)&lt;=Setup!$E$12,DATE(YEAR(Setup!$E$12),MONTH(Setup!$E$12)+1,1),VLOOKUP($C147,EmpAll,COLUMN(Emp!$E$4),0)))</f>
        <v>44986</v>
      </c>
      <c r="AE147" s="144" t="str">
        <f ca="1">IF(ISNA(VLOOKUP($C147,EmpAll,COLUMN(Emp!$G$1),0)),"-",IF(VLOOKUP($C147,EmpAll,COLUMN(Emp!$G$1),0)=0,"-",VLOOKUP($C147,EmpAll,COLUMN(Emp!$G$1),0)))</f>
        <v>-</v>
      </c>
      <c r="AF147" s="145">
        <f ca="1">IF(A147=PaySlip!$G$3,1,0)</f>
        <v>0</v>
      </c>
      <c r="AG147" s="130" cm="1">
        <f t="array" aca="1" ref="AG147" ca="1">IF(COUNTIFS(OverEmp,$C147,OverMed,"MED",OverDate,"&lt;"&amp;DATE(YEAR($AC147),MONTH($AC147)+1,1),OverEnd,"&gt;="&amp;DATE(YEAR($AC147),MONTH($AC147),1))&gt;0,SUMIFS(OverValue,OverEmp,$C147,OverMed,"MED",OverDate,"&lt;"&amp;DATE(YEAR($AC147),MONTH($AC147)+1,1),OverEnd,"&gt;="&amp;DATE(YEAR($AC147),MONTH($AC147),1)),IF(ISNA(VLOOKUP($C147,EmpAll,COLUMN(Emp!$N$4),0)),0,VLOOKUP($C147,EmpAll,COLUMN(Emp!$N$4),0)))</f>
        <v>1</v>
      </c>
      <c r="AH147" s="146">
        <f ca="1">VLOOKUP($AG147,MedList,COLUMN(Setup!$C$49),1)</f>
        <v>364</v>
      </c>
      <c r="AI147" s="146">
        <f t="shared" ca="1" si="70"/>
        <v>4368</v>
      </c>
      <c r="AJ147" s="101" t="str">
        <f ca="1">IF(ISNA(VLOOKUP($C147,EmpAll,COLUMN(Emp!$L$4),0)),"None!",VLOOKUP($C147,EmpAll,COLUMN(Emp!$L$4),0))</f>
        <v>A</v>
      </c>
      <c r="AK147" s="147">
        <f t="shared" ca="1" si="63"/>
        <v>17235</v>
      </c>
      <c r="AL147" s="101" t="str">
        <f ca="1">IF(ISNA(VLOOKUP($C147,Employees[],COLUMN(Emp!$M$4),0))=TRUE,"Error!",IF(VLOOKUP($C147,Employees[],COLUMN(Emp!$M$4),0)=0,"Yes",VLOOKUP($C147,Employees[],COLUMN(Emp!$M$4),0)))</f>
        <v>A</v>
      </c>
      <c r="AM147" s="148">
        <f t="shared" ca="1" si="71"/>
        <v>130000</v>
      </c>
      <c r="AN147" s="148" cm="1">
        <f t="array" aca="1" ref="AN147" ca="1">-IF($F147="Terminated",0,IF($AA147=0,0,IF(ISNA(MATCH(AN$5,PayDedList,0)),0,MIN(IF(COUNTIFS(OverEmp,$C147,OverDeduct,AN$5,OverDate,"&lt;"&amp;DATE(YEAR($AC147),MONTH($AC147)+1,1),OverEnd,"&gt;="&amp;DATE(YEAR($AC147),MONTH($AC147),1))&gt;0,SUMPRODUCT((PayEmp=$C147)*(PayDate&lt;=$AC147)*(OFFSET($N$6,1,MATCH(AN$5,PayDedList,0)-1,PayCount,1)))/$AA147*12*AN$3,IF(OR(AN$1="Fixed",AN$1="Not Used"),SUMPRODUCT((PayEmp=$C147)*(PayDate&lt;=$AC147)*(OFFSET($N$6,1,MATCH(AN$5,PayDedList,0)-1,PayCount,1)))/$AA147*12*AN$3,IF(ISNA(MATCH(AN$1,EarnListItem,0))=FALSE,SUMPRODUCT((PayEmp=$C147)*(PayDate&lt;=$AC147)*(OFFSET($N$6,1,MATCH(AN$5,PayDedList,0)-1,PayCount,1)))/$AA147*12*AN$3,(MIN(((SUMPRODUCT((PayEmp=$C147)*(PayDate&lt;=$AC147)*(ISERROR(SEARCH(PayEarnCode,AN$2)))*(PayEarnType="Monthly")*(PayEarnValues))/$AA147*12)+(SUMPRODUCT((PayEmp=$C147)*(PayDate&lt;=$AC147)*(ISERROR(SEARCH(PayEarnCode,AN$2)))*(PayEarnType="Quarterly")*(PayEarnValues))/MAX(1,ROUNDDOWN($AB147/3,0))*4)+(SUMPRODUCT((PayEmp=$C147)*(PayDate&lt;=$AC147)*(ISERROR(SEARCH(PayEarnCode,AN$2)))*(PayEarnType="Bi-Annual")*(PayEarnValues))/MAX(1,ROUNDDOWN($AB147/6,0))*2)+(SUMPRODUCT((PayEmp=$C147)*(PayDate&lt;=$AC147)*(ISERROR(SEARCH(PayEarnCode,AN$2)))*(PayEarnType="Annual")*(PayEarnValues)))),IF(ISNUMBER(OFFSET($N$3,0,MATCH(AN$5,PayDedList,0)-1,1,1)),OFFSET($N$3,0,MATCH(AN$5,PayDedList,0)-1,1,1),IgnoreMin)))*IF(COUNTIFS(EmpNo,$C147,OFFSET(Emp!$R$4,1,MATCH(AN$5,DedListItem,0)-1,EmpCount,1),"&lt;&gt;")&gt;0,VLOOKUP($C147,EmpAll,COLUMN(Emp!$R$4)+MATCH(AN$5,DedListItem,0)-1,0),OFFSET(Setup!$E$73,MATCH(AN$5,DedListItem,0),0,1,1))*AN$3))),IF(ISNUMBER(AN$4),AN$4,IgnoreMin)))))</f>
        <v>0</v>
      </c>
      <c r="AO147" s="148" cm="1">
        <f t="array" aca="1" ref="AO147" ca="1">-IF($F147="Terminated",0,IF($AA147=0,0,IF(ISNA(MATCH(AO$5,PayDedList,0)),0,MIN(IF(COUNTIFS(OverEmp,$C147,OverDeduct,AO$5,OverDate,"&lt;"&amp;DATE(YEAR($AC147),MONTH($AC147)+1,1),OverEnd,"&gt;="&amp;DATE(YEAR($AC147),MONTH($AC147),1))&gt;0,SUMPRODUCT((PayEmp=$C147)*(PayDate&lt;=$AC147)*(OFFSET($N$6,1,MATCH(AO$5,PayDedList,0)-1,PayCount,1)))/$AA147*12*AO$3,IF(OR(AO$1="Fixed",AO$1="Not Used"),SUMPRODUCT((PayEmp=$C147)*(PayDate&lt;=$AC147)*(OFFSET($N$6,1,MATCH(AO$5,PayDedList,0)-1,PayCount,1)))/$AA147*12*AO$3,IF(ISNA(MATCH(AO$1,EarnListItem,0))=FALSE,SUMPRODUCT((PayEmp=$C147)*(PayDate&lt;=$AC147)*(OFFSET($N$6,1,MATCH(AO$5,PayDedList,0)-1,PayCount,1)))/$AA147*12*AO$3,(MIN(((SUMPRODUCT((PayEmp=$C147)*(PayDate&lt;=$AC147)*(ISERROR(SEARCH(PayEarnCode,AO$2)))*(PayEarnType="Monthly")*(PayEarnValues))/$AA147*12)+(SUMPRODUCT((PayEmp=$C147)*(PayDate&lt;=$AC147)*(ISERROR(SEARCH(PayEarnCode,AO$2)))*(PayEarnType="Quarterly")*(PayEarnValues))/MAX(1,ROUNDDOWN($AB147/3,0))*4)+(SUMPRODUCT((PayEmp=$C147)*(PayDate&lt;=$AC147)*(ISERROR(SEARCH(PayEarnCode,AO$2)))*(PayEarnType="Bi-Annual")*(PayEarnValues))/MAX(1,ROUNDDOWN($AB147/6,0))*2)+(SUMPRODUCT((PayEmp=$C147)*(PayDate&lt;=$AC147)*(ISERROR(SEARCH(PayEarnCode,AO$2)))*(PayEarnType="Annual")*(PayEarnValues)))),IF(ISNUMBER(OFFSET($N$3,0,MATCH(AO$5,PayDedList,0)-1,1,1)),OFFSET($N$3,0,MATCH(AO$5,PayDedList,0)-1,1,1),IgnoreMin)))*IF(COUNTIFS(EmpNo,$C147,OFFSET(Emp!$R$4,1,MATCH(AO$5,DedListItem,0)-1,EmpCount,1),"&lt;&gt;")&gt;0,VLOOKUP($C147,EmpAll,COLUMN(Emp!$R$4)+MATCH(AO$5,DedListItem,0)-1,0),OFFSET(Setup!$E$73,MATCH(AO$5,DedListItem,0),0,1,1))*AO$3))),IF(ISNUMBER(AO$4),AO$4,IgnoreMin)))))</f>
        <v>0</v>
      </c>
      <c r="AP147" s="148" cm="1">
        <f t="array" aca="1" ref="AP147" ca="1">-IF($F147="Terminated",0,IF($AA147=0,0,IF(ISNA(MATCH(AP$5,PayDedList,0)),0,MIN(IF(COUNTIFS(OverEmp,$C147,OverDeduct,AP$5,OverDate,"&lt;"&amp;DATE(YEAR($AC147),MONTH($AC147)+1,1),OverEnd,"&gt;="&amp;DATE(YEAR($AC147),MONTH($AC147),1))&gt;0,SUMPRODUCT((PayEmp=$C147)*(PayDate&lt;=$AC147)*(OFFSET($N$6,1,MATCH(AP$5,PayDedList,0)-1,PayCount,1)))/$AA147*12*AP$3,IF(OR(AP$1="Fixed",AP$1="Not Used"),SUMPRODUCT((PayEmp=$C147)*(PayDate&lt;=$AC147)*(OFFSET($N$6,1,MATCH(AP$5,PayDedList,0)-1,PayCount,1)))/$AA147*12*AP$3,IF(ISNA(MATCH(AP$1,EarnListItem,0))=FALSE,SUMPRODUCT((PayEmp=$C147)*(PayDate&lt;=$AC147)*(OFFSET($N$6,1,MATCH(AP$5,PayDedList,0)-1,PayCount,1)))/$AA147*12*AP$3,(MIN(((SUMPRODUCT((PayEmp=$C147)*(PayDate&lt;=$AC147)*(ISERROR(SEARCH(PayEarnCode,AP$2)))*(PayEarnType="Monthly")*(PayEarnValues))/$AA147*12)+(SUMPRODUCT((PayEmp=$C147)*(PayDate&lt;=$AC147)*(ISERROR(SEARCH(PayEarnCode,AP$2)))*(PayEarnType="Quarterly")*(PayEarnValues))/MAX(1,ROUNDDOWN($AB147/3,0))*4)+(SUMPRODUCT((PayEmp=$C147)*(PayDate&lt;=$AC147)*(ISERROR(SEARCH(PayEarnCode,AP$2)))*(PayEarnType="Bi-Annual")*(PayEarnValues))/MAX(1,ROUNDDOWN($AB147/6,0))*2)+(SUMPRODUCT((PayEmp=$C147)*(PayDate&lt;=$AC147)*(ISERROR(SEARCH(PayEarnCode,AP$2)))*(PayEarnType="Annual")*(PayEarnValues)))),IF(ISNUMBER(OFFSET($N$3,0,MATCH(AP$5,PayDedList,0)-1,1,1)),OFFSET($N$3,0,MATCH(AP$5,PayDedList,0)-1,1,1),IgnoreMin)))*IF(COUNTIFS(EmpNo,$C147,OFFSET(Emp!$R$4,1,MATCH(AP$5,DedListItem,0)-1,EmpCount,1),"&lt;&gt;")&gt;0,VLOOKUP($C147,EmpAll,COLUMN(Emp!$R$4)+MATCH(AP$5,DedListItem,0)-1,0),OFFSET(Setup!$E$73,MATCH(AP$5,DedListItem,0),0,1,1))*AP$3))),IF(ISNUMBER(AP$4),AP$4,IgnoreMin)))))</f>
        <v>0</v>
      </c>
      <c r="AQ147" s="148" cm="1">
        <f t="array" aca="1" ref="AQ147" ca="1">-IF($F147="Terminated",0,IF($AA147=0,0,IF(ISNA(MATCH(AQ$5,PayDedList,0)),0,MIN(IF(COUNTIFS(OverEmp,$C147,OverDeduct,AQ$5,OverDate,"&lt;"&amp;DATE(YEAR($AC147),MONTH($AC147)+1,1),OverEnd,"&gt;="&amp;DATE(YEAR($AC147),MONTH($AC147),1))&gt;0,SUMPRODUCT((PayEmp=$C147)*(PayDate&lt;=$AC147)*(OFFSET($N$6,1,MATCH(AQ$5,PayDedList,0)-1,PayCount,1)))/$AA147*12*AQ$3,IF(OR(AQ$1="Fixed",AQ$1="Not Used"),SUMPRODUCT((PayEmp=$C147)*(PayDate&lt;=$AC147)*(OFFSET($N$6,1,MATCH(AQ$5,PayDedList,0)-1,PayCount,1)))/$AA147*12*AQ$3,IF(ISNA(MATCH(AQ$1,EarnListItem,0))=FALSE,SUMPRODUCT((PayEmp=$C147)*(PayDate&lt;=$AC147)*(OFFSET($N$6,1,MATCH(AQ$5,PayDedList,0)-1,PayCount,1)))/$AA147*12*AQ$3,(MIN(((SUMPRODUCT((PayEmp=$C147)*(PayDate&lt;=$AC147)*(ISERROR(SEARCH(PayEarnCode,AQ$2)))*(PayEarnType="Monthly")*(PayEarnValues))/$AA147*12)+(SUMPRODUCT((PayEmp=$C147)*(PayDate&lt;=$AC147)*(ISERROR(SEARCH(PayEarnCode,AQ$2)))*(PayEarnType="Quarterly")*(PayEarnValues))/MAX(1,ROUNDDOWN($AB147/3,0))*4)+(SUMPRODUCT((PayEmp=$C147)*(PayDate&lt;=$AC147)*(ISERROR(SEARCH(PayEarnCode,AQ$2)))*(PayEarnType="Bi-Annual")*(PayEarnValues))/MAX(1,ROUNDDOWN($AB147/6,0))*2)+(SUMPRODUCT((PayEmp=$C147)*(PayDate&lt;=$AC147)*(ISERROR(SEARCH(PayEarnCode,AQ$2)))*(PayEarnType="Annual")*(PayEarnValues)))),IF(ISNUMBER(OFFSET($N$3,0,MATCH(AQ$5,PayDedList,0)-1,1,1)),OFFSET($N$3,0,MATCH(AQ$5,PayDedList,0)-1,1,1),IgnoreMin)))*IF(COUNTIFS(EmpNo,$C147,OFFSET(Emp!$R$4,1,MATCH(AQ$5,DedListItem,0)-1,EmpCount,1),"&lt;&gt;")&gt;0,VLOOKUP($C147,EmpAll,COLUMN(Emp!$R$4)+MATCH(AQ$5,DedListItem,0)-1,0),OFFSET(Setup!$E$73,MATCH(AQ$5,DedListItem,0),0,1,1))*AQ$3))),IF(ISNUMBER(AQ$4),AQ$4,IgnoreMin)))))</f>
        <v>0</v>
      </c>
      <c r="AR147" s="148">
        <f t="shared" ca="1" si="64"/>
        <v>130000</v>
      </c>
      <c r="AS147" s="148">
        <f t="shared" ca="1" si="72"/>
        <v>120000</v>
      </c>
      <c r="AT147" s="148" cm="1">
        <f t="array" aca="1" ref="AT147" ca="1">-IF($F147="Terminated",0,IF($AA147=0,0,IF(ISNA(MATCH(AT$5,PayDedList,0)),0,MIN(IF(COUNTIFS(OverEmp,$C147,OverDeduct,AT$5,OverDate,"&lt;"&amp;DATE(YEAR($AC147),MONTH($AC147)+1,1),OverEnd,"&gt;="&amp;DATE(YEAR($AC147),MONTH($AC147),1))&gt;0,SUMPRODUCT((PayEmp=$C147)*(PayDate&lt;=$AC147)*(OFFSET($N$6,1,MATCH(AT$5,PayDedList,0)-1,PayCount,1)))/$AA147*12*AT$3,IF(OR(AT$1="Fixed",AT$1="Not Used"),SUMPRODUCT((PayEmp=$C147)*(PayDate&lt;=$AC147)*(OFFSET($N$6,1,MATCH(AT$5,PayDedList,0)-1,PayCount,1)))/$AA147*12*AT$3,IF(ISNA(MATCH(OFFSET($N$2,0,MATCH(AT$5,PayDedList,0)-1,1,1),EarnListItem,0))=FALSE,SUMPRODUCT((PayEmp=$C147)*(PayDate&lt;=$AC147)*(OFFSET($N$6,1,MATCH(AT$5,PayDedList,0)-1,PayCount,1)))/$AA147*12*AT$3,(MIN(SUMPRODUCT((PayEmp=$C147)*(PayDate&lt;=$AC147)*(ISERROR(SEARCH(PayEarnCode,AT$2)))*(PayEarnType="Monthly")*(PayEarnValues))/$AA147*12,IF(ISNUMBER(OFFSET($N$3,0,MATCH(AT$5,PayDedList,0)-1,1,1)),OFFSET($N$3,0,MATCH(AT$5,PayDedList,0)-1,1,1),IgnoreMin)))*IF(COUNTIFS(EmpNo,$C147,OFFSET(Emp!$R$4,1,MATCH(AT$5,DedListItem,0)-1,EmpCount,1),"&lt;&gt;")&gt;0,VLOOKUP($C147,EmpAll,COLUMN(Emp!$R$4)+MATCH(AT$5,DedListItem,0)-1,0),OFFSET(Setup!$E$73,MATCH(AT$5,DedListItem,0),0,1,1))*AT$3))),IF(ISNUMBER(AT$4),AT$4,IgnoreMin)))))</f>
        <v>0</v>
      </c>
      <c r="AU147" s="148" cm="1">
        <f t="array" aca="1" ref="AU147" ca="1">-IF($F147="Terminated",0,IF($AA147=0,0,IF(ISNA(MATCH(AU$5,PayDedList,0)),0,MIN(IF(COUNTIFS(OverEmp,$C147,OverDeduct,AU$5,OverDate,"&lt;"&amp;DATE(YEAR($AC147),MONTH($AC147)+1,1),OverEnd,"&gt;="&amp;DATE(YEAR($AC147),MONTH($AC147),1))&gt;0,SUMPRODUCT((PayEmp=$C147)*(PayDate&lt;=$AC147)*(OFFSET($N$6,1,MATCH(AU$5,PayDedList,0)-1,PayCount,1)))/$AA147*12*AU$3,IF(OR(AU$1="Fixed",AU$1="Not Used"),SUMPRODUCT((PayEmp=$C147)*(PayDate&lt;=$AC147)*(OFFSET($N$6,1,MATCH(AU$5,PayDedList,0)-1,PayCount,1)))/$AA147*12*AU$3,IF(ISNA(MATCH(OFFSET($N$2,0,MATCH(AU$5,PayDedList,0)-1,1,1),EarnListItem,0))=FALSE,SUMPRODUCT((PayEmp=$C147)*(PayDate&lt;=$AC147)*(OFFSET($N$6,1,MATCH(AU$5,PayDedList,0)-1,PayCount,1)))/$AA147*12*AU$3,(MIN(SUMPRODUCT((PayEmp=$C147)*(PayDate&lt;=$AC147)*(ISERROR(SEARCH(PayEarnCode,AU$2)))*(PayEarnType="Monthly")*(PayEarnValues))/$AA147*12,IF(ISNUMBER(OFFSET($N$3,0,MATCH(AU$5,PayDedList,0)-1,1,1)),OFFSET($N$3,0,MATCH(AU$5,PayDedList,0)-1,1,1),IgnoreMin)))*IF(COUNTIFS(EmpNo,$C147,OFFSET(Emp!$R$4,1,MATCH(AU$5,DedListItem,0)-1,EmpCount,1),"&lt;&gt;")&gt;0,VLOOKUP($C147,EmpAll,COLUMN(Emp!$R$4)+MATCH(AU$5,DedListItem,0)-1,0),OFFSET(Setup!$E$73,MATCH(AU$5,DedListItem,0),0,1,1))*AU$3))),IF(ISNUMBER(AU$4),AU$4,IgnoreMin)))))</f>
        <v>0</v>
      </c>
      <c r="AV147" s="148" cm="1">
        <f t="array" aca="1" ref="AV147" ca="1">-IF($F147="Terminated",0,IF($AA147=0,0,IF(ISNA(MATCH(AV$5,PayDedList,0)),0,MIN(IF(COUNTIFS(OverEmp,$C147,OverDeduct,AV$5,OverDate,"&lt;"&amp;DATE(YEAR($AC147),MONTH($AC147)+1,1),OverEnd,"&gt;="&amp;DATE(YEAR($AC147),MONTH($AC147),1))&gt;0,SUMPRODUCT((PayEmp=$C147)*(PayDate&lt;=$AC147)*(OFFSET($N$6,1,MATCH(AV$5,PayDedList,0)-1,PayCount,1)))/$AA147*12*AV$3,IF(OR(AV$1="Fixed",AV$1="Not Used"),SUMPRODUCT((PayEmp=$C147)*(PayDate&lt;=$AC147)*(OFFSET($N$6,1,MATCH(AV$5,PayDedList,0)-1,PayCount,1)))/$AA147*12*AV$3,IF(ISNA(MATCH(OFFSET($N$2,0,MATCH(AV$5,PayDedList,0)-1,1,1),EarnListItem,0))=FALSE,SUMPRODUCT((PayEmp=$C147)*(PayDate&lt;=$AC147)*(OFFSET($N$6,1,MATCH(AV$5,PayDedList,0)-1,PayCount,1)))/$AA147*12*AV$3,(MIN(SUMPRODUCT((PayEmp=$C147)*(PayDate&lt;=$AC147)*(ISERROR(SEARCH(PayEarnCode,AV$2)))*(PayEarnType="Monthly")*(PayEarnValues))/$AA147*12,IF(ISNUMBER(OFFSET($N$3,0,MATCH(AV$5,PayDedList,0)-1,1,1)),OFFSET($N$3,0,MATCH(AV$5,PayDedList,0)-1,1,1),IgnoreMin)))*IF(COUNTIFS(EmpNo,$C147,OFFSET(Emp!$R$4,1,MATCH(AV$5,DedListItem,0)-1,EmpCount,1),"&lt;&gt;")&gt;0,VLOOKUP($C147,EmpAll,COLUMN(Emp!$R$4)+MATCH(AV$5,DedListItem,0)-1,0),OFFSET(Setup!$E$73,MATCH(AV$5,DedListItem,0),0,1,1))*AV$3))),IF(ISNUMBER(AV$4),AV$4,IgnoreMin)))))</f>
        <v>0</v>
      </c>
      <c r="AW147" s="148" cm="1">
        <f t="array" aca="1" ref="AW147" ca="1">-IF($F147="Terminated",0,IF($AA147=0,0,IF(ISNA(MATCH(AW$5,PayDedList,0)),0,MIN(IF(COUNTIFS(OverEmp,$C147,OverDeduct,AW$5,OverDate,"&lt;"&amp;DATE(YEAR($AC147),MONTH($AC147)+1,1),OverEnd,"&gt;="&amp;DATE(YEAR($AC147),MONTH($AC147),1))&gt;0,SUMPRODUCT((PayEmp=$C147)*(PayDate&lt;=$AC147)*(OFFSET($N$6,1,MATCH(AW$5,PayDedList,0)-1,PayCount,1)))/$AA147*12*AW$3,IF(OR(AW$1="Fixed",AW$1="Not Used"),SUMPRODUCT((PayEmp=$C147)*(PayDate&lt;=$AC147)*(OFFSET($N$6,1,MATCH(AW$5,PayDedList,0)-1,PayCount,1)))/$AA147*12*AW$3,IF(ISNA(MATCH(OFFSET($N$2,0,MATCH(AW$5,PayDedList,0)-1,1,1),EarnListItem,0))=FALSE,SUMPRODUCT((PayEmp=$C147)*(PayDate&lt;=$AC147)*(OFFSET($N$6,1,MATCH(AW$5,PayDedList,0)-1,PayCount,1)))/$AA147*12*AW$3,(MIN(SUMPRODUCT((PayEmp=$C147)*(PayDate&lt;=$AC147)*(ISERROR(SEARCH(PayEarnCode,AW$2)))*(PayEarnType="Monthly")*(PayEarnValues))/$AA147*12,IF(ISNUMBER(OFFSET($N$3,0,MATCH(AW$5,PayDedList,0)-1,1,1)),OFFSET($N$3,0,MATCH(AW$5,PayDedList,0)-1,1,1),IgnoreMin)))*IF(COUNTIFS(EmpNo,$C147,OFFSET(Emp!$R$4,1,MATCH(AW$5,DedListItem,0)-1,EmpCount,1),"&lt;&gt;")&gt;0,VLOOKUP($C147,EmpAll,COLUMN(Emp!$R$4)+MATCH(AW$5,DedListItem,0)-1,0),OFFSET(Setup!$E$73,MATCH(AW$5,DedListItem,0),0,1,1))*AW$3))),IF(ISNUMBER(AW$4),AW$4,IgnoreMin)))))</f>
        <v>0</v>
      </c>
      <c r="AX147" s="148">
        <f t="shared" ca="1" si="73"/>
        <v>120000</v>
      </c>
      <c r="AY147" s="148">
        <f t="shared" ca="1" si="74"/>
        <v>10000</v>
      </c>
      <c r="AZ147" s="148">
        <f ca="1">IF(ISNUMBER($AL147),($AR147*$AL147)-$AI147-$AK147,MAX(0,IF($AL147="B",IF($AR147&lt;Setup!$C$32,($AR147*Setup!$D$32)-$AI147-$AK147,(($AR147-VLOOKUP($AR147,TaxAll2,1,1))*OFFSET(Setup!$D$32,MATCH($AR147,TaxBracket2,1),0,1,1))+OFFSET(Setup!$E$31,MATCH($AR147,TaxBracket2,1),0,1,1)-$AI147-$AK147),IF($AR147&lt;Setup!$C$21,($AR147*Setup!$D$21)-$AI147-$AK147,(($AR147-VLOOKUP($AR147,TaxAll1,1,1))*OFFSET(Setup!$D$21,MATCH($AR147,TaxBracket1,1),0,1,1))+OFFSET(Setup!$E$20,MATCH($AR147,TaxBracket1,1),0,1,1)-$AI147-$AK147))))</f>
        <v>1797</v>
      </c>
      <c r="BA147" s="148">
        <f ca="1">IF(ISNUMBER($AL147),($AX147*$AL147)-$AI147-$AK147,MAX(0,IF($AL147="B",IF($AX147&lt;Setup!$C$32,($AX147*Setup!$D$32)-$AI147-$AK147,(($AX147-VLOOKUP($AX147,TaxAll2,1,1))*OFFSET(Setup!$D$32,MATCH($AX147,TaxBracket2,1),0,1,1))+OFFSET(Setup!$E$31,MATCH($AX147,TaxBracket2,1),0,1,1)-$AI147-$AK147),IF($AX147&lt;Setup!$C$21,($AX147*Setup!$D$21)-$AI147-$AK147,(($AX147-VLOOKUP($AX147,TaxAll1,1,1))*OFFSET(Setup!$D$21,MATCH($AX147,TaxBracket1,1),0,1,1))+OFFSET(Setup!$E$20,MATCH($AX147,TaxBracket1,1),0,1,1)-$AI147-$AK147))))</f>
        <v>0</v>
      </c>
      <c r="BB147" s="148">
        <f t="shared" ca="1" si="65"/>
        <v>1797</v>
      </c>
      <c r="BC147" s="150">
        <f t="shared" ca="1" si="75"/>
        <v>0.92307692307692313</v>
      </c>
      <c r="BD147" s="150">
        <f t="shared" ca="1" si="76"/>
        <v>7.6923076923076927E-2</v>
      </c>
      <c r="BE147" s="148">
        <f t="shared" ca="1" si="77"/>
        <v>130000</v>
      </c>
    </row>
    <row r="148" spans="1:57" ht="16.149999999999999" customHeight="1" x14ac:dyDescent="0.25">
      <c r="A148" s="10" t="str" cm="1">
        <f t="array" aca="1" ref="A148" ca="1">IF(ROW($A148)-ROW($A$6)&gt;EmpCount*12,"-",TEXT($B148,"yyyy")&amp;TEXT($B148,"mm")&amp;"-"&amp;$C148)</f>
        <v>202312-EXS007</v>
      </c>
      <c r="B148" s="137" cm="1">
        <f t="array" aca="1" ref="B148" ca="1">IF(ROW($A148)-ROW($A$6)&gt;EmpCount*12,Setup!$D$12,DATE(YEAR(Setup!$F$12),MONTH(Setup!$F$12)+ROUNDDOWN((ROW($A148)-ROW($A$6)-1)/EmpCount,0),IF(Setup!$C$14&gt;DAY(DATE(YEAR(Setup!$F$12),MONTH(Setup!$F$12)+ROUNDDOWN((ROW($A148)-ROW($A$6)-1)/EmpCount,0)+1,0)),DAY(DATE(YEAR(Setup!$F$12),MONTH(Setup!$F$12)+ROUNDDOWN((ROW($A148)-ROW($A$6)-1)/EmpCount,0)+1,0)),Setup!$C$14)))</f>
        <v>45285</v>
      </c>
      <c r="C148" s="101" t="str" cm="1">
        <f t="array" aca="1" ref="C148" ca="1">IF(ROW($A148)-ROW($A$6)&gt;EmpCount*12,"-",OFFSET(Emp!$A$4,ROW($A148)-ROW($A$6)-IF(ROW($A148)-ROW($A$6)&gt;EmpCount,ROUNDDOWN((ROW($A148)-ROW($A$6)-1)/EmpCount,0)*EmpCount,0),0,1,1))</f>
        <v>EXS007</v>
      </c>
      <c r="D148" s="10" t="str">
        <f ca="1">IF(ISNA(VLOOKUP($C148,EmpAll,COLUMN(Emp!$B$4),0)),"-",VLOOKUP($C148,EmpAll,COLUMN(Emp!$B$4),0))</f>
        <v>Phillips KE</v>
      </c>
      <c r="E148" s="145" t="str">
        <f ca="1">IF(ISNA(VLOOKUP($C148,EmpAll,COLUMN(Emp!$C$4),0)),"-",VLOOKUP($C148,EmpAll,COLUMN(Emp!$C$4),0))</f>
        <v>A</v>
      </c>
      <c r="F148" s="101" t="str">
        <f ca="1">IF(ISNA(VLOOKUP($C148,EmpAll,COLUMN(Emp!$A$4),0)),"-",IF(AND(VLOOKUP($C148,EmpAll,COLUMN(Emp!$E$4),0)&lt;&gt;0,VLOOKUP($C148,EmpAll,COLUMN(Emp!$E$4),0)&gt;=DATE(YEAR($AC148),MONTH($AC148)+1,0)),"Inactive",IF(AND(VLOOKUP($C148,EmpAll,COLUMN(Emp!$F$4),0)&lt;&gt;0,VLOOKUP($C148,EmpAll,COLUMN(Emp!$F$4),0)&lt;=DATE(YEAR($AC148),MONTH($AC148),0)),"Terminated","Active")))</f>
        <v>Terminated</v>
      </c>
      <c r="G148" s="133" cm="1">
        <f t="array" aca="1" ref="G148" ca="1">IF($F148&lt;&gt;"Active",0,IF(COUNTIFS(OverEmp,$C148,OverEarn,G$2,OverDate,"&lt;"&amp;DATE(YEAR($AC148),MONTH($AC148)+1,1),OverEnd,"&gt;="&amp;DATE(YEAR($AC148),MONTH($AC148),1))&gt;0,SUMIFS(OverValue,OverEmp,$C148,OverEarn,G$2,OverDate,"&lt;"&amp;DATE(YEAR($AC148),MONTH($AC148)+1,1),OverEnd,"&gt;="&amp;DATE(YEAR($AC148),MONTH($AC148),1)),IF(AND($AC148&gt;=Setup!$E$10,SUMIFS(EmpIncrease,EmpCode,$C148)&gt;0),SUMIFS(EmpIncrease,EmpCode,$C148),SUMIFS(EmpSalary,EmpCode,$C148))))</f>
        <v>0</v>
      </c>
      <c r="H148" s="133" cm="1">
        <f t="array" aca="1" ref="H148" ca="1">IF($F148&lt;&gt;"Active",0,IF(COUNTIFS(OverEmp,$C148,OverEarn,H$2,OverDate,"&lt;"&amp;DATE(YEAR($AC148),MONTH($AC148)+1,1),OverEnd,"&gt;="&amp;DATE(YEAR($AC148),MONTH($AC148),1))&gt;0,SUMIFS(OverValue,OverEmp,$C148,OverEarn,H$2,OverDate,"&lt;"&amp;DATE(YEAR($AC148),MONTH($AC148)+1,1),OverEnd,"&gt;="&amp;DATE(YEAR($AC148),MONTH($AC148),1)),0))</f>
        <v>0</v>
      </c>
      <c r="I148" s="133" cm="1">
        <f t="array" aca="1" ref="I148" ca="1">IF($F148&lt;&gt;"Active",0,IF(COUNTIFS(OverEmp,$C148,OverEarn,I$2,OverDate,"&lt;"&amp;DATE(YEAR($AC148),MONTH($AC148)+1,1),OverEnd,"&gt;="&amp;DATE(YEAR($AC148),MONTH($AC148),1))&gt;0,SUMIFS(OverValue,OverEmp,$C148,OverEarn,I$2,OverDate,"&lt;"&amp;DATE(YEAR($AC148),MONTH($AC148)+1,1),OverEnd,"&gt;="&amp;DATE(YEAR($AC148),MONTH($AC148),1)),IF(MONTH(B148)=Setup!$C$15,SUMIFS(EmpBonus,EmpCode,$C148),0)))</f>
        <v>0</v>
      </c>
      <c r="J148" s="133" cm="1">
        <f t="array" aca="1" ref="J148" ca="1">IF($F148&lt;&gt;"Active",0,IF(COUNTIFS(OverEmp,$C148,OverEarn,J$2,OverDate,"&lt;"&amp;DATE(YEAR($AC148),MONTH($AC148)+1,1),OverEnd,"&gt;="&amp;DATE(YEAR($AC148),MONTH($AC148),1))&gt;0,SUMIFS(OverValue,OverEmp,$C148,OverEarn,J$2,OverDate,"&lt;"&amp;DATE(YEAR($AC148),MONTH($AC148)+1,1),OverEnd,"&gt;="&amp;DATE(YEAR($AC148),MONTH($AC148),1)),0))</f>
        <v>0</v>
      </c>
      <c r="K148" s="133" cm="1">
        <f t="array" aca="1" ref="K148" ca="1">IF($F148&lt;&gt;"Active",0,IF(COUNTIFS(OverEmp,$C148,OverEarn,K$2,OverDate,"&lt;"&amp;DATE(YEAR($AC148),MONTH($AC148)+1,1),OverEnd,"&gt;="&amp;DATE(YEAR($AC148),MONTH($AC148),1))&gt;0,SUMIFS(OverValue,OverEmp,$C148,OverEarn,K$2,OverDate,"&lt;"&amp;DATE(YEAR($AC148),MONTH($AC148)+1,1),OverEnd,"&gt;="&amp;DATE(YEAR($AC148),MONTH($AC148),1)),0))</f>
        <v>0</v>
      </c>
      <c r="L148" s="185">
        <f t="shared" ca="1" si="66"/>
        <v>0</v>
      </c>
      <c r="M148" s="182" cm="1">
        <f t="array" aca="1" ref="M148" ca="1">IF(COUNTIFS(OverEmp,$C148,OverTax,M$5,OverDate,"&lt;"&amp;DATE(YEAR($AC148),MONTH($AC148)+1,1),OverEnd,"&gt;="&amp;DATE(YEAR($AC148),MONTH($AC148),1))&gt;0,SUMIFS(OverValue,OverEmp,$C148,OverTax,M$5,OverDate,"&lt;"&amp;DATE(YEAR($AC148),MONTH($AC148)+1,1),OverEnd,"&gt;="&amp;DATE(YEAR($AC148),MONTH($AC148),1)),(($BA148/12*$AA148)+(BB148*IF(1-$BC148=0,0,BD148/(1-$BC148))))-IF($F148="Terminated",0,SUMIFS(PayTaxDeduct,PayDate,"&lt;"&amp;$AC148,PayEmp,$C148)))</f>
        <v>0</v>
      </c>
      <c r="N148" s="133" cm="1">
        <f t="array" aca="1" ref="N148" ca="1">IF($F148="Terminated",0,IF($AA148=0,0,IF(ISNA(MATCH(N$5,DedListItem,0)),0,IF(COUNTIFS(OverEmp,$C148,OverDeduct,N$5,OverDate,"&lt;"&amp;DATE(YEAR($AC148),MONTH($AC148)+1,1),OverEnd,"&gt;="&amp;DATE(YEAR($AC148),MONTH($AC148),1))&gt;0,SUMIFS(OverValue,OverEmp,$C148,OverDeduct,N$5,OverDate,"&lt;"&amp;DATE(YEAR($AC148),MONTH($AC148)+1,1),OverEnd,"&gt;="&amp;DATE(YEAR($AC148),MONTH($AC148),1)),IF(OR(N$2="Fixed",N$2="Not Used"),(IF(COUNTIFS(EmpNo,$C148,OFFSET(Emp!$R$4,1,MATCH(N$5,DedListItem,0)-1,EmpCount,1),"&lt;&gt;")&gt;0,VLOOKUP($C148,EmpAll,COLUMN(Emp!$R$4)+MATCH(N$5,DedListItem,0)-1,0),OFFSET(Setup!$E$73,MATCH(N$5,DedListItem,0),0,1,1))*$AA148)-SUMIFS(OFFSET(N$6,1,0,PayCount,1),PayDate,"&lt;"&amp;$AC148,PayEmp,$C148),IF(ISNA(MATCH(N$2,EarnListItem,0))=FALSE,IF(OFFSET(Setup!$G$73,MATCH(N$5,DedListItem,0),0,1,1)="Taxable",SUMPRODUCT((PayEmp=$C148)*(PayDate&lt;=$AC148)*(PayEarnCode=N$2)*(PayEarnTax)*(PayEarnValues)),SUMPRODUCT((PayEmp=$C148)*(PayDate&lt;=$AC148)*(PayEarnCode=N$2)*(PayEarnValues)))*IF(COUNTIFS(EmpNo,$C148,OFFSET(Emp!$R$4,1,MATCH(N$5,DedListItem,0)-1,EmpCount,1),"&lt;&gt;")&gt;0,VLOOKUP($C148,EmpAll,COLUMN(Emp!$R$4)+MATCH(N$5,DedListItem,0)-1,0),OFFSET(Setup!$E$73,MATCH(N$5,DedListItem,0),0,1,1)),(MIN(IF(OFFSET(Setup!$G$73,MATCH(N$5,DedListItem,0),0,1,1)="Taxable",SUMPRODUCT((PayEmp=$C148)*(PayDate&lt;=$AC148)*(ISERROR(SEARCH(PayEarnCode,N$4)))*(PayEarnTax)*(PayEarnValues)),SUMPRODUCT((PayEmp=$C148)*(PayDate&lt;=$AC148)*(ISERROR(SEARCH(PayEarnCode,N$4)))*(PayEarnValues))),IF(ISNUMBER(N$3),N$3/12*$AA148,IgnoreMin)))*IF(COUNTIFS(EmpNo,$C148,OFFSET(Emp!$R$4,1,MATCH(N$5,DedListItem,0)-1,EmpCount,1),"&lt;&gt;")&gt;0,VLOOKUP($C148,EmpAll,COLUMN(Emp!$R$4)+MATCH(N$5,DedListItem,0)-1,0),OFFSET(Setup!$E$73,MATCH(N$5,DedListItem,0),0,1,1)))-SUMIFS(OFFSET(N$6,1,0,PayCount,1),PayDate,"&lt;"&amp;$AC148,PayEmp,$C148))))))</f>
        <v>0</v>
      </c>
      <c r="O148" s="133" cm="1">
        <f t="array" aca="1" ref="O148" ca="1">IF($F148="Terminated",0,IF($AA148=0,0,IF(ISNA(MATCH(O$5,DedListItem,0)),0,IF(COUNTIFS(OverEmp,$C148,OverDeduct,O$5,OverDate,"&lt;"&amp;DATE(YEAR($AC148),MONTH($AC148)+1,1),OverEnd,"&gt;="&amp;DATE(YEAR($AC148),MONTH($AC148),1))&gt;0,SUMIFS(OverValue,OverEmp,$C148,OverDeduct,O$5,OverDate,"&lt;"&amp;DATE(YEAR($AC148),MONTH($AC148)+1,1),OverEnd,"&gt;="&amp;DATE(YEAR($AC148),MONTH($AC148),1)),IF(OR(O$2="Fixed",O$2="Not Used"),(IF(COUNTIFS(EmpNo,$C148,OFFSET(Emp!$R$4,1,MATCH(O$5,DedListItem,0)-1,EmpCount,1),"&lt;&gt;")&gt;0,VLOOKUP($C148,EmpAll,COLUMN(Emp!$R$4)+MATCH(O$5,DedListItem,0)-1,0),OFFSET(Setup!$E$73,MATCH(O$5,DedListItem,0),0,1,1))*$AA148)-SUMIFS(OFFSET(O$6,1,0,PayCount,1),PayDate,"&lt;"&amp;$AC148,PayEmp,$C148),IF(ISNA(MATCH(O$2,EarnListItem,0))=FALSE,IF(OFFSET(Setup!$G$73,MATCH(O$5,DedListItem,0),0,1,1)="Taxable",SUMPRODUCT((PayEmp=$C148)*(PayDate&lt;=$AC148)*(PayEarnCode=O$2)*(PayEarnTax)*(PayEarnValues)),SUMPRODUCT((PayEmp=$C148)*(PayDate&lt;=$AC148)*(PayEarnCode=O$2)*(PayEarnValues)))*IF(COUNTIFS(EmpNo,$C148,OFFSET(Emp!$R$4,1,MATCH(O$5,DedListItem,0)-1,EmpCount,1),"&lt;&gt;")&gt;0,VLOOKUP($C148,EmpAll,COLUMN(Emp!$R$4)+MATCH(O$5,DedListItem,0)-1,0),OFFSET(Setup!$E$73,MATCH(O$5,DedListItem,0),0,1,1)),(MIN(IF(OFFSET(Setup!$G$73,MATCH(O$5,DedListItem,0),0,1,1)="Taxable",SUMPRODUCT((PayEmp=$C148)*(PayDate&lt;=$AC148)*(ISERROR(SEARCH(PayEarnCode,O$4)))*(PayEarnTax)*(PayEarnValues)),SUMPRODUCT((PayEmp=$C148)*(PayDate&lt;=$AC148)*(ISERROR(SEARCH(PayEarnCode,O$4)))*(PayEarnValues))),IF(ISNUMBER(O$3),O$3/12*$AA148,IgnoreMin)))*IF(COUNTIFS(EmpNo,$C148,OFFSET(Emp!$R$4,1,MATCH(O$5,DedListItem,0)-1,EmpCount,1),"&lt;&gt;")&gt;0,VLOOKUP($C148,EmpAll,COLUMN(Emp!$R$4)+MATCH(O$5,DedListItem,0)-1,0),OFFSET(Setup!$E$73,MATCH(O$5,DedListItem,0),0,1,1)))-SUMIFS(OFFSET(O$6,1,0,PayCount,1),PayDate,"&lt;"&amp;$AC148,PayEmp,$C148))))))</f>
        <v>0</v>
      </c>
      <c r="P148" s="133" cm="1">
        <f t="array" aca="1" ref="P148" ca="1">IF($F148="Terminated",0,IF($AA148=0,0,IF(ISNA(MATCH(P$5,DedListItem,0)),0,IF(COUNTIFS(OverEmp,$C148,OverDeduct,P$5,OverDate,"&lt;"&amp;DATE(YEAR($AC148),MONTH($AC148)+1,1),OverEnd,"&gt;="&amp;DATE(YEAR($AC148),MONTH($AC148),1))&gt;0,SUMIFS(OverValue,OverEmp,$C148,OverDeduct,P$5,OverDate,"&lt;"&amp;DATE(YEAR($AC148),MONTH($AC148)+1,1),OverEnd,"&gt;="&amp;DATE(YEAR($AC148),MONTH($AC148),1)),IF(OR(P$2="Fixed",P$2="Not Used"),(IF(COUNTIFS(EmpNo,$C148,OFFSET(Emp!$R$4,1,MATCH(P$5,DedListItem,0)-1,EmpCount,1),"&lt;&gt;")&gt;0,VLOOKUP($C148,EmpAll,COLUMN(Emp!$R$4)+MATCH(P$5,DedListItem,0)-1,0),OFFSET(Setup!$E$73,MATCH(P$5,DedListItem,0),0,1,1))*$AA148)-SUMIFS(OFFSET(P$6,1,0,PayCount,1),PayDate,"&lt;"&amp;$AC148,PayEmp,$C148),IF(ISNA(MATCH(P$2,EarnListItem,0))=FALSE,IF(OFFSET(Setup!$G$73,MATCH(P$5,DedListItem,0),0,1,1)="Taxable",SUMPRODUCT((PayEmp=$C148)*(PayDate&lt;=$AC148)*(PayEarnCode=P$2)*(PayEarnTax)*(PayEarnValues)),SUMPRODUCT((PayEmp=$C148)*(PayDate&lt;=$AC148)*(PayEarnCode=P$2)*(PayEarnValues)))*IF(COUNTIFS(EmpNo,$C148,OFFSET(Emp!$R$4,1,MATCH(P$5,DedListItem,0)-1,EmpCount,1),"&lt;&gt;")&gt;0,VLOOKUP($C148,EmpAll,COLUMN(Emp!$R$4)+MATCH(P$5,DedListItem,0)-1,0),OFFSET(Setup!$E$73,MATCH(P$5,DedListItem,0),0,1,1)),(MIN(IF(OFFSET(Setup!$G$73,MATCH(P$5,DedListItem,0),0,1,1)="Taxable",SUMPRODUCT((PayEmp=$C148)*(PayDate&lt;=$AC148)*(ISERROR(SEARCH(PayEarnCode,P$4)))*(PayEarnTax)*(PayEarnValues)),SUMPRODUCT((PayEmp=$C148)*(PayDate&lt;=$AC148)*(ISERROR(SEARCH(PayEarnCode,P$4)))*(PayEarnValues))),IF(ISNUMBER(P$3),P$3/12*$AA148,IgnoreMin)))*IF(COUNTIFS(EmpNo,$C148,OFFSET(Emp!$R$4,1,MATCH(P$5,DedListItem,0)-1,EmpCount,1),"&lt;&gt;")&gt;0,VLOOKUP($C148,EmpAll,COLUMN(Emp!$R$4)+MATCH(P$5,DedListItem,0)-1,0),OFFSET(Setup!$E$73,MATCH(P$5,DedListItem,0),0,1,1)))-SUMIFS(OFFSET(P$6,1,0,PayCount,1),PayDate,"&lt;"&amp;$AC148,PayEmp,$C148))))))</f>
        <v>0</v>
      </c>
      <c r="Q148" s="133" cm="1">
        <f t="array" aca="1" ref="Q148" ca="1">IF($F148="Terminated",0,IF($AA148=0,0,IF(ISNA(MATCH(Q$5,DedListItem,0)),0,IF(COUNTIFS(OverEmp,$C148,OverDeduct,Q$5,OverDate,"&lt;"&amp;DATE(YEAR($AC148),MONTH($AC148)+1,1),OverEnd,"&gt;="&amp;DATE(YEAR($AC148),MONTH($AC148),1))&gt;0,SUMIFS(OverValue,OverEmp,$C148,OverDeduct,Q$5,OverDate,"&lt;"&amp;DATE(YEAR($AC148),MONTH($AC148)+1,1),OverEnd,"&gt;="&amp;DATE(YEAR($AC148),MONTH($AC148),1)),IF(OR(Q$2="Fixed",Q$2="Not Used"),(IF(COUNTIFS(EmpNo,$C148,OFFSET(Emp!$R$4,1,MATCH(Q$5,DedListItem,0)-1,EmpCount,1),"&lt;&gt;")&gt;0,VLOOKUP($C148,EmpAll,COLUMN(Emp!$R$4)+MATCH(Q$5,DedListItem,0)-1,0),OFFSET(Setup!$E$73,MATCH(Q$5,DedListItem,0),0,1,1))*$AA148)-SUMIFS(OFFSET(Q$6,1,0,PayCount,1),PayDate,"&lt;"&amp;$AC148,PayEmp,$C148),IF(ISNA(MATCH(Q$2,EarnListItem,0))=FALSE,IF(OFFSET(Setup!$G$73,MATCH(Q$5,DedListItem,0),0,1,1)="Taxable",SUMPRODUCT((PayEmp=$C148)*(PayDate&lt;=$AC148)*(PayEarnCode=Q$2)*(PayEarnTax)*(PayEarnValues)),SUMPRODUCT((PayEmp=$C148)*(PayDate&lt;=$AC148)*(PayEarnCode=Q$2)*(PayEarnValues)))*IF(COUNTIFS(EmpNo,$C148,OFFSET(Emp!$R$4,1,MATCH(Q$5,DedListItem,0)-1,EmpCount,1),"&lt;&gt;")&gt;0,VLOOKUP($C148,EmpAll,COLUMN(Emp!$R$4)+MATCH(Q$5,DedListItem,0)-1,0),OFFSET(Setup!$E$73,MATCH(Q$5,DedListItem,0),0,1,1)),(MIN(IF(OFFSET(Setup!$G$73,MATCH(Q$5,DedListItem,0),0,1,1)="Taxable",SUMPRODUCT((PayEmp=$C148)*(PayDate&lt;=$AC148)*(ISERROR(SEARCH(PayEarnCode,Q$4)))*(PayEarnTax)*(PayEarnValues)),SUMPRODUCT((PayEmp=$C148)*(PayDate&lt;=$AC148)*(ISERROR(SEARCH(PayEarnCode,Q$4)))*(PayEarnValues))),IF(ISNUMBER(Q$3),Q$3/12*$AA148,IgnoreMin)))*IF(COUNTIFS(EmpNo,$C148,OFFSET(Emp!$R$4,1,MATCH(Q$5,DedListItem,0)-1,EmpCount,1),"&lt;&gt;")&gt;0,VLOOKUP($C148,EmpAll,COLUMN(Emp!$R$4)+MATCH(Q$5,DedListItem,0)-1,0),OFFSET(Setup!$E$73,MATCH(Q$5,DedListItem,0),0,1,1)))-SUMIFS(OFFSET(Q$6,1,0,PayCount,1),PayDate,"&lt;"&amp;$AC148,PayEmp,$C148))))))</f>
        <v>0</v>
      </c>
      <c r="R148" s="185">
        <f t="shared" ca="1" si="67"/>
        <v>0</v>
      </c>
      <c r="S148" s="139">
        <f t="shared" ca="1" si="68"/>
        <v>0</v>
      </c>
      <c r="T148" s="133" cm="1">
        <f t="array" aca="1" ref="T148" ca="1">IF($F148="Terminated",0,IF($AA148=0,0,IF(ISNA(MATCH(T$5,CompListItem,0)),0,IF(COUNTIFS(OverEmp,$C148,OverComp,T$5,OverDate,"&lt;"&amp;DATE(YEAR($AC148),MONTH($AC148)+1,1),OverEnd,"&gt;="&amp;DATE(YEAR($AC148),MONTH($AC148),1))&gt;0,SUMIFS(OverValue,OverEmp,$C148,OverComp,T$5,OverDate,"&lt;"&amp;DATE(YEAR($AC148),MONTH($AC148)+1,1),OverEnd,"&gt;="&amp;DATE(YEAR($AC148),MONTH($AC148),1)),IF(OR(T$2="Fixed",T$2="Not Used"),(OFFSET(Setup!$E$81,MATCH(T$5,CompListItem,0),0,1,1)*$AA148)-SUMIFS(OFFSET(T$6,1,0,PayCount,1),PayDate,"&lt;"&amp;$AC148,PayEmp,$C148),IF(ISNA(MATCH(T$2,DedListItem,0))=FALSE,(SUMPRODUCT((PayEmp=$C148)*(PayDate&lt;=$AC148)*(PayDedList=T$2)*(PayDedValues))*OFFSET(Setup!$E$81,MATCH(T$5,CompListItem,0),0,1,1))-SUMIFS(OFFSET(T$6,1,0,PayCount,1),PayDate,"&lt;"&amp;$AC148,PayEmp,$C148),(MIN(IF(OFFSET(Setup!$G$81,MATCH(T$5,CompListItem,0),0,1,1)="Taxable",SUMPRODUCT((PayEmp=$C148)*(PayDate&lt;=$AC148)*(ISERROR(SEARCH(PayEarnCode,T$4)))*(PayEarnTax)*(PayEarnValues)),SUMPRODUCT((PayEmp=$C148)*(PayDate&lt;=$AC148)*(ISERROR(SEARCH(PayEarnCode,T$4)))*(PayEarnValues))),IF(ISNUMBER(T$3),T$3/12*$AA148,IgnoreMin)))*OFFSET(Setup!$E$81,MATCH(T$5,CompListItem,0),0,1,1)-SUMIFS(OFFSET(T$6,1,0,PayCount,1),PayDate,"&lt;"&amp;$AC148,PayEmp,$C148)))))))</f>
        <v>0</v>
      </c>
      <c r="U148" s="133" cm="1">
        <f t="array" aca="1" ref="U148" ca="1">IF($F148="Terminated",0,IF($AA148=0,0,IF(ISNA(MATCH(U$5,CompListItem,0)),0,IF(COUNTIFS(OverEmp,$C148,OverComp,U$5,OverDate,"&lt;"&amp;DATE(YEAR($AC148),MONTH($AC148)+1,1),OverEnd,"&gt;="&amp;DATE(YEAR($AC148),MONTH($AC148),1))&gt;0,SUMIFS(OverValue,OverEmp,$C148,OverComp,U$5,OverDate,"&lt;"&amp;DATE(YEAR($AC148),MONTH($AC148)+1,1),OverEnd,"&gt;="&amp;DATE(YEAR($AC148),MONTH($AC148),1)),IF(OR(U$2="Fixed",U$2="Not Used"),(OFFSET(Setup!$E$81,MATCH(U$5,CompListItem,0),0,1,1)*$AA148)-SUMIFS(OFFSET(U$6,1,0,PayCount,1),PayDate,"&lt;"&amp;$AC148,PayEmp,$C148),IF(ISNA(MATCH(U$2,DedListItem,0))=FALSE,(SUMPRODUCT((PayEmp=$C148)*(PayDate&lt;=$AC148)*(PayDedList=U$2)*(PayDedValues))*OFFSET(Setup!$E$81,MATCH(U$5,CompListItem,0),0,1,1))-SUMIFS(OFFSET(U$6,1,0,PayCount,1),PayDate,"&lt;"&amp;$AC148,PayEmp,$C148),(MIN(IF(OFFSET(Setup!$G$81,MATCH(U$5,CompListItem,0),0,1,1)="Taxable",SUMPRODUCT((PayEmp=$C148)*(PayDate&lt;=$AC148)*(ISERROR(SEARCH(PayEarnCode,U$4)))*(PayEarnTax)*(PayEarnValues)),SUMPRODUCT((PayEmp=$C148)*(PayDate&lt;=$AC148)*(ISERROR(SEARCH(PayEarnCode,U$4)))*(PayEarnValues))),IF(ISNUMBER(U$3),U$3/12*$AA148,IgnoreMin)))*OFFSET(Setup!$E$81,MATCH(U$5,CompListItem,0),0,1,1)-SUMIFS(OFFSET(U$6,1,0,PayCount,1),PayDate,"&lt;"&amp;$AC148,PayEmp,$C148)))))))</f>
        <v>0</v>
      </c>
      <c r="V148" s="133" cm="1">
        <f t="array" aca="1" ref="V148" ca="1">IF($F148="Terminated",0,IF($AA148=0,0,IF(ISNA(MATCH(V$5,CompListItem,0)),0,IF(COUNTIFS(OverEmp,$C148,OverComp,V$5,OverDate,"&lt;"&amp;DATE(YEAR($AC148),MONTH($AC148)+1,1),OverEnd,"&gt;="&amp;DATE(YEAR($AC148),MONTH($AC148),1))&gt;0,SUMIFS(OverValue,OverEmp,$C148,OverComp,V$5,OverDate,"&lt;"&amp;DATE(YEAR($AC148),MONTH($AC148)+1,1),OverEnd,"&gt;="&amp;DATE(YEAR($AC148),MONTH($AC148),1)),IF(OR(V$2="Fixed",V$2="Not Used"),(OFFSET(Setup!$E$81,MATCH(V$5,CompListItem,0),0,1,1)*$AA148)-SUMIFS(OFFSET(V$6,1,0,PayCount,1),PayDate,"&lt;"&amp;$AC148,PayEmp,$C148),IF(ISNA(MATCH(V$2,DedListItem,0))=FALSE,(SUMPRODUCT((PayEmp=$C148)*(PayDate&lt;=$AC148)*(PayDedList=V$2)*(PayDedValues))*OFFSET(Setup!$E$81,MATCH(V$5,CompListItem,0),0,1,1))-SUMIFS(OFFSET(V$6,1,0,PayCount,1),PayDate,"&lt;"&amp;$AC148,PayEmp,$C148),(MIN(IF(OFFSET(Setup!$G$81,MATCH(V$5,CompListItem,0),0,1,1)="Taxable",SUMPRODUCT((PayEmp=$C148)*(PayDate&lt;=$AC148)*(ISERROR(SEARCH(PayEarnCode,V$4)))*(PayEarnTax)*(PayEarnValues)),SUMPRODUCT((PayEmp=$C148)*(PayDate&lt;=$AC148)*(ISERROR(SEARCH(PayEarnCode,V$4)))*(PayEarnValues))),IF(ISNUMBER(V$3),V$3/12*$AA148,IgnoreMin)))*OFFSET(Setup!$E$81,MATCH(V$5,CompListItem,0),0,1,1)-SUMIFS(OFFSET(V$6,1,0,PayCount,1),PayDate,"&lt;"&amp;$AC148,PayEmp,$C148)))))))</f>
        <v>0</v>
      </c>
      <c r="W148" s="133" cm="1">
        <f t="array" aca="1" ref="W148" ca="1">IF($F148="Terminated",0,IF($AA148=0,0,IF(ISNA(MATCH(W$5,CompListItem,0)),0,IF(COUNTIFS(OverEmp,$C148,OverComp,W$5,OverDate,"&lt;"&amp;DATE(YEAR($AC148),MONTH($AC148)+1,1),OverEnd,"&gt;="&amp;DATE(YEAR($AC148),MONTH($AC148),1))&gt;0,SUMIFS(OverValue,OverEmp,$C148,OverComp,W$5,OverDate,"&lt;"&amp;DATE(YEAR($AC148),MONTH($AC148)+1,1),OverEnd,"&gt;="&amp;DATE(YEAR($AC148),MONTH($AC148),1)),IF(OR(W$2="Fixed",W$2="Not Used"),(OFFSET(Setup!$E$81,MATCH(W$5,CompListItem,0),0,1,1)*$AA148)-SUMIFS(OFFSET(W$6,1,0,PayCount,1),PayDate,"&lt;"&amp;$AC148,PayEmp,$C148),IF(ISNA(MATCH(W$2,DedListItem,0))=FALSE,(SUMPRODUCT((PayEmp=$C148)*(PayDate&lt;=$AC148)*(PayDedList=W$2)*(PayDedValues))*OFFSET(Setup!$E$81,MATCH(W$5,CompListItem,0),0,1,1))-SUMIFS(OFFSET(W$6,1,0,PayCount,1),PayDate,"&lt;"&amp;$AC148,PayEmp,$C148),(MIN(IF(OFFSET(Setup!$G$81,MATCH(W$5,CompListItem,0),0,1,1)="Taxable",SUMPRODUCT((PayEmp=$C148)*(PayDate&lt;=$AC148)*(ISERROR(SEARCH(PayEarnCode,W$4)))*(PayEarnTax)*(PayEarnValues)),SUMPRODUCT((PayEmp=$C148)*(PayDate&lt;=$AC148)*(ISERROR(SEARCH(PayEarnCode,W$4)))*(PayEarnValues))),IF(ISNUMBER(W$3),W$3/12*$AA148,IgnoreMin)))*OFFSET(Setup!$E$81,MATCH(W$5,CompListItem,0),0,1,1)-SUMIFS(OFFSET(W$6,1,0,PayCount,1),PayDate,"&lt;"&amp;$AC148,PayEmp,$C148)))))))</f>
        <v>0</v>
      </c>
      <c r="X148" s="185">
        <f t="shared" ca="1" si="60"/>
        <v>0</v>
      </c>
      <c r="Y148" s="139">
        <f t="shared" ca="1" si="69"/>
        <v>0</v>
      </c>
      <c r="Z148" s="139">
        <f t="shared" ca="1" si="61"/>
        <v>0</v>
      </c>
      <c r="AA148" s="146">
        <f ca="1">IF(OR($B148&lt;=Setup!$E$12,$B148&gt;=Setup!$D$12+1),0,IF($F148&lt;&gt;"Active",0,IF($AE148="Yes",$AB148,((YEAR($AC148)*12)+MONTH($AC148))-((YEAR($AD148)*12)+MONTH($AD148)-1))))</f>
        <v>0</v>
      </c>
      <c r="AB148" s="146">
        <f ca="1">IF(OR($B148&lt;=Setup!$E$12,$B148&gt;=Setup!$D$12+1),0,((YEAR($AC148)*12)+MONTH($AC148))-((YEAR(Setup!$E$12)*12)+MONTH(Setup!$E$12)))</f>
        <v>10</v>
      </c>
      <c r="AC148" s="186">
        <f t="shared" ca="1" si="62"/>
        <v>45285</v>
      </c>
      <c r="AD148" s="144">
        <f ca="1">IF(ISNA(VLOOKUP($C148,EmpAll,COLUMN(Emp!$E$4),0)),$AC148,IF(VLOOKUP($C148,EmpAll,COLUMN(Emp!$E$4),0)&lt;=Setup!$E$12,DATE(YEAR(Setup!$E$12),MONTH(Setup!$E$12)+1,1),VLOOKUP($C148,EmpAll,COLUMN(Emp!$E$4),0)))</f>
        <v>44986</v>
      </c>
      <c r="AE148" s="144" t="str">
        <f ca="1">IF(ISNA(VLOOKUP($C148,EmpAll,COLUMN(Emp!$G$1),0)),"-",IF(VLOOKUP($C148,EmpAll,COLUMN(Emp!$G$1),0)=0,"-",VLOOKUP($C148,EmpAll,COLUMN(Emp!$G$1),0)))</f>
        <v>-</v>
      </c>
      <c r="AF148" s="145">
        <f ca="1">IF(A148=PaySlip!$G$3,1,0)</f>
        <v>0</v>
      </c>
      <c r="AG148" s="130" cm="1">
        <f t="array" aca="1" ref="AG148" ca="1">IF(COUNTIFS(OverEmp,$C148,OverMed,"MED",OverDate,"&lt;"&amp;DATE(YEAR($AC148),MONTH($AC148)+1,1),OverEnd,"&gt;="&amp;DATE(YEAR($AC148),MONTH($AC148),1))&gt;0,SUMIFS(OverValue,OverEmp,$C148,OverMed,"MED",OverDate,"&lt;"&amp;DATE(YEAR($AC148),MONTH($AC148)+1,1),OverEnd,"&gt;="&amp;DATE(YEAR($AC148),MONTH($AC148),1)),IF(ISNA(VLOOKUP($C148,EmpAll,COLUMN(Emp!$N$4),0)),0,VLOOKUP($C148,EmpAll,COLUMN(Emp!$N$4),0)))</f>
        <v>0</v>
      </c>
      <c r="AH148" s="146">
        <f ca="1">VLOOKUP($AG148,MedList,COLUMN(Setup!$C$49),1)</f>
        <v>0</v>
      </c>
      <c r="AI148" s="146">
        <f t="shared" ca="1" si="70"/>
        <v>0</v>
      </c>
      <c r="AJ148" s="101" t="str">
        <f ca="1">IF(ISNA(VLOOKUP($C148,EmpAll,COLUMN(Emp!$L$4),0)),"None!",VLOOKUP($C148,EmpAll,COLUMN(Emp!$L$4),0))</f>
        <v>A</v>
      </c>
      <c r="AK148" s="147">
        <f t="shared" ca="1" si="63"/>
        <v>17235</v>
      </c>
      <c r="AL148" s="101" t="str">
        <f ca="1">IF(ISNA(VLOOKUP($C148,Employees[],COLUMN(Emp!$M$4),0))=TRUE,"Error!",IF(VLOOKUP($C148,Employees[],COLUMN(Emp!$M$4),0)=0,"Yes",VLOOKUP($C148,Employees[],COLUMN(Emp!$M$4),0)))</f>
        <v>A</v>
      </c>
      <c r="AM148" s="148">
        <f t="shared" ca="1" si="71"/>
        <v>0</v>
      </c>
      <c r="AN148" s="148" cm="1">
        <f t="array" aca="1" ref="AN148" ca="1">-IF($F148="Terminated",0,IF($AA148=0,0,IF(ISNA(MATCH(AN$5,PayDedList,0)),0,MIN(IF(COUNTIFS(OverEmp,$C148,OverDeduct,AN$5,OverDate,"&lt;"&amp;DATE(YEAR($AC148),MONTH($AC148)+1,1),OverEnd,"&gt;="&amp;DATE(YEAR($AC148),MONTH($AC148),1))&gt;0,SUMPRODUCT((PayEmp=$C148)*(PayDate&lt;=$AC148)*(OFFSET($N$6,1,MATCH(AN$5,PayDedList,0)-1,PayCount,1)))/$AA148*12*AN$3,IF(OR(AN$1="Fixed",AN$1="Not Used"),SUMPRODUCT((PayEmp=$C148)*(PayDate&lt;=$AC148)*(OFFSET($N$6,1,MATCH(AN$5,PayDedList,0)-1,PayCount,1)))/$AA148*12*AN$3,IF(ISNA(MATCH(AN$1,EarnListItem,0))=FALSE,SUMPRODUCT((PayEmp=$C148)*(PayDate&lt;=$AC148)*(OFFSET($N$6,1,MATCH(AN$5,PayDedList,0)-1,PayCount,1)))/$AA148*12*AN$3,(MIN(((SUMPRODUCT((PayEmp=$C148)*(PayDate&lt;=$AC148)*(ISERROR(SEARCH(PayEarnCode,AN$2)))*(PayEarnType="Monthly")*(PayEarnValues))/$AA148*12)+(SUMPRODUCT((PayEmp=$C148)*(PayDate&lt;=$AC148)*(ISERROR(SEARCH(PayEarnCode,AN$2)))*(PayEarnType="Quarterly")*(PayEarnValues))/MAX(1,ROUNDDOWN($AB148/3,0))*4)+(SUMPRODUCT((PayEmp=$C148)*(PayDate&lt;=$AC148)*(ISERROR(SEARCH(PayEarnCode,AN$2)))*(PayEarnType="Bi-Annual")*(PayEarnValues))/MAX(1,ROUNDDOWN($AB148/6,0))*2)+(SUMPRODUCT((PayEmp=$C148)*(PayDate&lt;=$AC148)*(ISERROR(SEARCH(PayEarnCode,AN$2)))*(PayEarnType="Annual")*(PayEarnValues)))),IF(ISNUMBER(OFFSET($N$3,0,MATCH(AN$5,PayDedList,0)-1,1,1)),OFFSET($N$3,0,MATCH(AN$5,PayDedList,0)-1,1,1),IgnoreMin)))*IF(COUNTIFS(EmpNo,$C148,OFFSET(Emp!$R$4,1,MATCH(AN$5,DedListItem,0)-1,EmpCount,1),"&lt;&gt;")&gt;0,VLOOKUP($C148,EmpAll,COLUMN(Emp!$R$4)+MATCH(AN$5,DedListItem,0)-1,0),OFFSET(Setup!$E$73,MATCH(AN$5,DedListItem,0),0,1,1))*AN$3))),IF(ISNUMBER(AN$4),AN$4,IgnoreMin)))))</f>
        <v>0</v>
      </c>
      <c r="AO148" s="148" cm="1">
        <f t="array" aca="1" ref="AO148" ca="1">-IF($F148="Terminated",0,IF($AA148=0,0,IF(ISNA(MATCH(AO$5,PayDedList,0)),0,MIN(IF(COUNTIFS(OverEmp,$C148,OverDeduct,AO$5,OverDate,"&lt;"&amp;DATE(YEAR($AC148),MONTH($AC148)+1,1),OverEnd,"&gt;="&amp;DATE(YEAR($AC148),MONTH($AC148),1))&gt;0,SUMPRODUCT((PayEmp=$C148)*(PayDate&lt;=$AC148)*(OFFSET($N$6,1,MATCH(AO$5,PayDedList,0)-1,PayCount,1)))/$AA148*12*AO$3,IF(OR(AO$1="Fixed",AO$1="Not Used"),SUMPRODUCT((PayEmp=$C148)*(PayDate&lt;=$AC148)*(OFFSET($N$6,1,MATCH(AO$5,PayDedList,0)-1,PayCount,1)))/$AA148*12*AO$3,IF(ISNA(MATCH(AO$1,EarnListItem,0))=FALSE,SUMPRODUCT((PayEmp=$C148)*(PayDate&lt;=$AC148)*(OFFSET($N$6,1,MATCH(AO$5,PayDedList,0)-1,PayCount,1)))/$AA148*12*AO$3,(MIN(((SUMPRODUCT((PayEmp=$C148)*(PayDate&lt;=$AC148)*(ISERROR(SEARCH(PayEarnCode,AO$2)))*(PayEarnType="Monthly")*(PayEarnValues))/$AA148*12)+(SUMPRODUCT((PayEmp=$C148)*(PayDate&lt;=$AC148)*(ISERROR(SEARCH(PayEarnCode,AO$2)))*(PayEarnType="Quarterly")*(PayEarnValues))/MAX(1,ROUNDDOWN($AB148/3,0))*4)+(SUMPRODUCT((PayEmp=$C148)*(PayDate&lt;=$AC148)*(ISERROR(SEARCH(PayEarnCode,AO$2)))*(PayEarnType="Bi-Annual")*(PayEarnValues))/MAX(1,ROUNDDOWN($AB148/6,0))*2)+(SUMPRODUCT((PayEmp=$C148)*(PayDate&lt;=$AC148)*(ISERROR(SEARCH(PayEarnCode,AO$2)))*(PayEarnType="Annual")*(PayEarnValues)))),IF(ISNUMBER(OFFSET($N$3,0,MATCH(AO$5,PayDedList,0)-1,1,1)),OFFSET($N$3,0,MATCH(AO$5,PayDedList,0)-1,1,1),IgnoreMin)))*IF(COUNTIFS(EmpNo,$C148,OFFSET(Emp!$R$4,1,MATCH(AO$5,DedListItem,0)-1,EmpCount,1),"&lt;&gt;")&gt;0,VLOOKUP($C148,EmpAll,COLUMN(Emp!$R$4)+MATCH(AO$5,DedListItem,0)-1,0),OFFSET(Setup!$E$73,MATCH(AO$5,DedListItem,0),0,1,1))*AO$3))),IF(ISNUMBER(AO$4),AO$4,IgnoreMin)))))</f>
        <v>0</v>
      </c>
      <c r="AP148" s="148" cm="1">
        <f t="array" aca="1" ref="AP148" ca="1">-IF($F148="Terminated",0,IF($AA148=0,0,IF(ISNA(MATCH(AP$5,PayDedList,0)),0,MIN(IF(COUNTIFS(OverEmp,$C148,OverDeduct,AP$5,OverDate,"&lt;"&amp;DATE(YEAR($AC148),MONTH($AC148)+1,1),OverEnd,"&gt;="&amp;DATE(YEAR($AC148),MONTH($AC148),1))&gt;0,SUMPRODUCT((PayEmp=$C148)*(PayDate&lt;=$AC148)*(OFFSET($N$6,1,MATCH(AP$5,PayDedList,0)-1,PayCount,1)))/$AA148*12*AP$3,IF(OR(AP$1="Fixed",AP$1="Not Used"),SUMPRODUCT((PayEmp=$C148)*(PayDate&lt;=$AC148)*(OFFSET($N$6,1,MATCH(AP$5,PayDedList,0)-1,PayCount,1)))/$AA148*12*AP$3,IF(ISNA(MATCH(AP$1,EarnListItem,0))=FALSE,SUMPRODUCT((PayEmp=$C148)*(PayDate&lt;=$AC148)*(OFFSET($N$6,1,MATCH(AP$5,PayDedList,0)-1,PayCount,1)))/$AA148*12*AP$3,(MIN(((SUMPRODUCT((PayEmp=$C148)*(PayDate&lt;=$AC148)*(ISERROR(SEARCH(PayEarnCode,AP$2)))*(PayEarnType="Monthly")*(PayEarnValues))/$AA148*12)+(SUMPRODUCT((PayEmp=$C148)*(PayDate&lt;=$AC148)*(ISERROR(SEARCH(PayEarnCode,AP$2)))*(PayEarnType="Quarterly")*(PayEarnValues))/MAX(1,ROUNDDOWN($AB148/3,0))*4)+(SUMPRODUCT((PayEmp=$C148)*(PayDate&lt;=$AC148)*(ISERROR(SEARCH(PayEarnCode,AP$2)))*(PayEarnType="Bi-Annual")*(PayEarnValues))/MAX(1,ROUNDDOWN($AB148/6,0))*2)+(SUMPRODUCT((PayEmp=$C148)*(PayDate&lt;=$AC148)*(ISERROR(SEARCH(PayEarnCode,AP$2)))*(PayEarnType="Annual")*(PayEarnValues)))),IF(ISNUMBER(OFFSET($N$3,0,MATCH(AP$5,PayDedList,0)-1,1,1)),OFFSET($N$3,0,MATCH(AP$5,PayDedList,0)-1,1,1),IgnoreMin)))*IF(COUNTIFS(EmpNo,$C148,OFFSET(Emp!$R$4,1,MATCH(AP$5,DedListItem,0)-1,EmpCount,1),"&lt;&gt;")&gt;0,VLOOKUP($C148,EmpAll,COLUMN(Emp!$R$4)+MATCH(AP$5,DedListItem,0)-1,0),OFFSET(Setup!$E$73,MATCH(AP$5,DedListItem,0),0,1,1))*AP$3))),IF(ISNUMBER(AP$4),AP$4,IgnoreMin)))))</f>
        <v>0</v>
      </c>
      <c r="AQ148" s="148" cm="1">
        <f t="array" aca="1" ref="AQ148" ca="1">-IF($F148="Terminated",0,IF($AA148=0,0,IF(ISNA(MATCH(AQ$5,PayDedList,0)),0,MIN(IF(COUNTIFS(OverEmp,$C148,OverDeduct,AQ$5,OverDate,"&lt;"&amp;DATE(YEAR($AC148),MONTH($AC148)+1,1),OverEnd,"&gt;="&amp;DATE(YEAR($AC148),MONTH($AC148),1))&gt;0,SUMPRODUCT((PayEmp=$C148)*(PayDate&lt;=$AC148)*(OFFSET($N$6,1,MATCH(AQ$5,PayDedList,0)-1,PayCount,1)))/$AA148*12*AQ$3,IF(OR(AQ$1="Fixed",AQ$1="Not Used"),SUMPRODUCT((PayEmp=$C148)*(PayDate&lt;=$AC148)*(OFFSET($N$6,1,MATCH(AQ$5,PayDedList,0)-1,PayCount,1)))/$AA148*12*AQ$3,IF(ISNA(MATCH(AQ$1,EarnListItem,0))=FALSE,SUMPRODUCT((PayEmp=$C148)*(PayDate&lt;=$AC148)*(OFFSET($N$6,1,MATCH(AQ$5,PayDedList,0)-1,PayCount,1)))/$AA148*12*AQ$3,(MIN(((SUMPRODUCT((PayEmp=$C148)*(PayDate&lt;=$AC148)*(ISERROR(SEARCH(PayEarnCode,AQ$2)))*(PayEarnType="Monthly")*(PayEarnValues))/$AA148*12)+(SUMPRODUCT((PayEmp=$C148)*(PayDate&lt;=$AC148)*(ISERROR(SEARCH(PayEarnCode,AQ$2)))*(PayEarnType="Quarterly")*(PayEarnValues))/MAX(1,ROUNDDOWN($AB148/3,0))*4)+(SUMPRODUCT((PayEmp=$C148)*(PayDate&lt;=$AC148)*(ISERROR(SEARCH(PayEarnCode,AQ$2)))*(PayEarnType="Bi-Annual")*(PayEarnValues))/MAX(1,ROUNDDOWN($AB148/6,0))*2)+(SUMPRODUCT((PayEmp=$C148)*(PayDate&lt;=$AC148)*(ISERROR(SEARCH(PayEarnCode,AQ$2)))*(PayEarnType="Annual")*(PayEarnValues)))),IF(ISNUMBER(OFFSET($N$3,0,MATCH(AQ$5,PayDedList,0)-1,1,1)),OFFSET($N$3,0,MATCH(AQ$5,PayDedList,0)-1,1,1),IgnoreMin)))*IF(COUNTIFS(EmpNo,$C148,OFFSET(Emp!$R$4,1,MATCH(AQ$5,DedListItem,0)-1,EmpCount,1),"&lt;&gt;")&gt;0,VLOOKUP($C148,EmpAll,COLUMN(Emp!$R$4)+MATCH(AQ$5,DedListItem,0)-1,0),OFFSET(Setup!$E$73,MATCH(AQ$5,DedListItem,0),0,1,1))*AQ$3))),IF(ISNUMBER(AQ$4),AQ$4,IgnoreMin)))))</f>
        <v>0</v>
      </c>
      <c r="AR148" s="148">
        <f t="shared" ca="1" si="64"/>
        <v>0</v>
      </c>
      <c r="AS148" s="148">
        <f t="shared" ca="1" si="72"/>
        <v>0</v>
      </c>
      <c r="AT148" s="148" cm="1">
        <f t="array" aca="1" ref="AT148" ca="1">-IF($F148="Terminated",0,IF($AA148=0,0,IF(ISNA(MATCH(AT$5,PayDedList,0)),0,MIN(IF(COUNTIFS(OverEmp,$C148,OverDeduct,AT$5,OverDate,"&lt;"&amp;DATE(YEAR($AC148),MONTH($AC148)+1,1),OverEnd,"&gt;="&amp;DATE(YEAR($AC148),MONTH($AC148),1))&gt;0,SUMPRODUCT((PayEmp=$C148)*(PayDate&lt;=$AC148)*(OFFSET($N$6,1,MATCH(AT$5,PayDedList,0)-1,PayCount,1)))/$AA148*12*AT$3,IF(OR(AT$1="Fixed",AT$1="Not Used"),SUMPRODUCT((PayEmp=$C148)*(PayDate&lt;=$AC148)*(OFFSET($N$6,1,MATCH(AT$5,PayDedList,0)-1,PayCount,1)))/$AA148*12*AT$3,IF(ISNA(MATCH(OFFSET($N$2,0,MATCH(AT$5,PayDedList,0)-1,1,1),EarnListItem,0))=FALSE,SUMPRODUCT((PayEmp=$C148)*(PayDate&lt;=$AC148)*(OFFSET($N$6,1,MATCH(AT$5,PayDedList,0)-1,PayCount,1)))/$AA148*12*AT$3,(MIN(SUMPRODUCT((PayEmp=$C148)*(PayDate&lt;=$AC148)*(ISERROR(SEARCH(PayEarnCode,AT$2)))*(PayEarnType="Monthly")*(PayEarnValues))/$AA148*12,IF(ISNUMBER(OFFSET($N$3,0,MATCH(AT$5,PayDedList,0)-1,1,1)),OFFSET($N$3,0,MATCH(AT$5,PayDedList,0)-1,1,1),IgnoreMin)))*IF(COUNTIFS(EmpNo,$C148,OFFSET(Emp!$R$4,1,MATCH(AT$5,DedListItem,0)-1,EmpCount,1),"&lt;&gt;")&gt;0,VLOOKUP($C148,EmpAll,COLUMN(Emp!$R$4)+MATCH(AT$5,DedListItem,0)-1,0),OFFSET(Setup!$E$73,MATCH(AT$5,DedListItem,0),0,1,1))*AT$3))),IF(ISNUMBER(AT$4),AT$4,IgnoreMin)))))</f>
        <v>0</v>
      </c>
      <c r="AU148" s="148" cm="1">
        <f t="array" aca="1" ref="AU148" ca="1">-IF($F148="Terminated",0,IF($AA148=0,0,IF(ISNA(MATCH(AU$5,PayDedList,0)),0,MIN(IF(COUNTIFS(OverEmp,$C148,OverDeduct,AU$5,OverDate,"&lt;"&amp;DATE(YEAR($AC148),MONTH($AC148)+1,1),OverEnd,"&gt;="&amp;DATE(YEAR($AC148),MONTH($AC148),1))&gt;0,SUMPRODUCT((PayEmp=$C148)*(PayDate&lt;=$AC148)*(OFFSET($N$6,1,MATCH(AU$5,PayDedList,0)-1,PayCount,1)))/$AA148*12*AU$3,IF(OR(AU$1="Fixed",AU$1="Not Used"),SUMPRODUCT((PayEmp=$C148)*(PayDate&lt;=$AC148)*(OFFSET($N$6,1,MATCH(AU$5,PayDedList,0)-1,PayCount,1)))/$AA148*12*AU$3,IF(ISNA(MATCH(OFFSET($N$2,0,MATCH(AU$5,PayDedList,0)-1,1,1),EarnListItem,0))=FALSE,SUMPRODUCT((PayEmp=$C148)*(PayDate&lt;=$AC148)*(OFFSET($N$6,1,MATCH(AU$5,PayDedList,0)-1,PayCount,1)))/$AA148*12*AU$3,(MIN(SUMPRODUCT((PayEmp=$C148)*(PayDate&lt;=$AC148)*(ISERROR(SEARCH(PayEarnCode,AU$2)))*(PayEarnType="Monthly")*(PayEarnValues))/$AA148*12,IF(ISNUMBER(OFFSET($N$3,0,MATCH(AU$5,PayDedList,0)-1,1,1)),OFFSET($N$3,0,MATCH(AU$5,PayDedList,0)-1,1,1),IgnoreMin)))*IF(COUNTIFS(EmpNo,$C148,OFFSET(Emp!$R$4,1,MATCH(AU$5,DedListItem,0)-1,EmpCount,1),"&lt;&gt;")&gt;0,VLOOKUP($C148,EmpAll,COLUMN(Emp!$R$4)+MATCH(AU$5,DedListItem,0)-1,0),OFFSET(Setup!$E$73,MATCH(AU$5,DedListItem,0),0,1,1))*AU$3))),IF(ISNUMBER(AU$4),AU$4,IgnoreMin)))))</f>
        <v>0</v>
      </c>
      <c r="AV148" s="148" cm="1">
        <f t="array" aca="1" ref="AV148" ca="1">-IF($F148="Terminated",0,IF($AA148=0,0,IF(ISNA(MATCH(AV$5,PayDedList,0)),0,MIN(IF(COUNTIFS(OverEmp,$C148,OverDeduct,AV$5,OverDate,"&lt;"&amp;DATE(YEAR($AC148),MONTH($AC148)+1,1),OverEnd,"&gt;="&amp;DATE(YEAR($AC148),MONTH($AC148),1))&gt;0,SUMPRODUCT((PayEmp=$C148)*(PayDate&lt;=$AC148)*(OFFSET($N$6,1,MATCH(AV$5,PayDedList,0)-1,PayCount,1)))/$AA148*12*AV$3,IF(OR(AV$1="Fixed",AV$1="Not Used"),SUMPRODUCT((PayEmp=$C148)*(PayDate&lt;=$AC148)*(OFFSET($N$6,1,MATCH(AV$5,PayDedList,0)-1,PayCount,1)))/$AA148*12*AV$3,IF(ISNA(MATCH(OFFSET($N$2,0,MATCH(AV$5,PayDedList,0)-1,1,1),EarnListItem,0))=FALSE,SUMPRODUCT((PayEmp=$C148)*(PayDate&lt;=$AC148)*(OFFSET($N$6,1,MATCH(AV$5,PayDedList,0)-1,PayCount,1)))/$AA148*12*AV$3,(MIN(SUMPRODUCT((PayEmp=$C148)*(PayDate&lt;=$AC148)*(ISERROR(SEARCH(PayEarnCode,AV$2)))*(PayEarnType="Monthly")*(PayEarnValues))/$AA148*12,IF(ISNUMBER(OFFSET($N$3,0,MATCH(AV$5,PayDedList,0)-1,1,1)),OFFSET($N$3,0,MATCH(AV$5,PayDedList,0)-1,1,1),IgnoreMin)))*IF(COUNTIFS(EmpNo,$C148,OFFSET(Emp!$R$4,1,MATCH(AV$5,DedListItem,0)-1,EmpCount,1),"&lt;&gt;")&gt;0,VLOOKUP($C148,EmpAll,COLUMN(Emp!$R$4)+MATCH(AV$5,DedListItem,0)-1,0),OFFSET(Setup!$E$73,MATCH(AV$5,DedListItem,0),0,1,1))*AV$3))),IF(ISNUMBER(AV$4),AV$4,IgnoreMin)))))</f>
        <v>0</v>
      </c>
      <c r="AW148" s="148" cm="1">
        <f t="array" aca="1" ref="AW148" ca="1">-IF($F148="Terminated",0,IF($AA148=0,0,IF(ISNA(MATCH(AW$5,PayDedList,0)),0,MIN(IF(COUNTIFS(OverEmp,$C148,OverDeduct,AW$5,OverDate,"&lt;"&amp;DATE(YEAR($AC148),MONTH($AC148)+1,1),OverEnd,"&gt;="&amp;DATE(YEAR($AC148),MONTH($AC148),1))&gt;0,SUMPRODUCT((PayEmp=$C148)*(PayDate&lt;=$AC148)*(OFFSET($N$6,1,MATCH(AW$5,PayDedList,0)-1,PayCount,1)))/$AA148*12*AW$3,IF(OR(AW$1="Fixed",AW$1="Not Used"),SUMPRODUCT((PayEmp=$C148)*(PayDate&lt;=$AC148)*(OFFSET($N$6,1,MATCH(AW$5,PayDedList,0)-1,PayCount,1)))/$AA148*12*AW$3,IF(ISNA(MATCH(OFFSET($N$2,0,MATCH(AW$5,PayDedList,0)-1,1,1),EarnListItem,0))=FALSE,SUMPRODUCT((PayEmp=$C148)*(PayDate&lt;=$AC148)*(OFFSET($N$6,1,MATCH(AW$5,PayDedList,0)-1,PayCount,1)))/$AA148*12*AW$3,(MIN(SUMPRODUCT((PayEmp=$C148)*(PayDate&lt;=$AC148)*(ISERROR(SEARCH(PayEarnCode,AW$2)))*(PayEarnType="Monthly")*(PayEarnValues))/$AA148*12,IF(ISNUMBER(OFFSET($N$3,0,MATCH(AW$5,PayDedList,0)-1,1,1)),OFFSET($N$3,0,MATCH(AW$5,PayDedList,0)-1,1,1),IgnoreMin)))*IF(COUNTIFS(EmpNo,$C148,OFFSET(Emp!$R$4,1,MATCH(AW$5,DedListItem,0)-1,EmpCount,1),"&lt;&gt;")&gt;0,VLOOKUP($C148,EmpAll,COLUMN(Emp!$R$4)+MATCH(AW$5,DedListItem,0)-1,0),OFFSET(Setup!$E$73,MATCH(AW$5,DedListItem,0),0,1,1))*AW$3))),IF(ISNUMBER(AW$4),AW$4,IgnoreMin)))))</f>
        <v>0</v>
      </c>
      <c r="AX148" s="148">
        <f t="shared" ca="1" si="73"/>
        <v>0</v>
      </c>
      <c r="AY148" s="148">
        <f t="shared" ca="1" si="74"/>
        <v>0</v>
      </c>
      <c r="AZ148" s="148">
        <f ca="1">IF(ISNUMBER($AL148),($AR148*$AL148)-$AI148-$AK148,MAX(0,IF($AL148="B",IF($AR148&lt;Setup!$C$32,($AR148*Setup!$D$32)-$AI148-$AK148,(($AR148-VLOOKUP($AR148,TaxAll2,1,1))*OFFSET(Setup!$D$32,MATCH($AR148,TaxBracket2,1),0,1,1))+OFFSET(Setup!$E$31,MATCH($AR148,TaxBracket2,1),0,1,1)-$AI148-$AK148),IF($AR148&lt;Setup!$C$21,($AR148*Setup!$D$21)-$AI148-$AK148,(($AR148-VLOOKUP($AR148,TaxAll1,1,1))*OFFSET(Setup!$D$21,MATCH($AR148,TaxBracket1,1),0,1,1))+OFFSET(Setup!$E$20,MATCH($AR148,TaxBracket1,1),0,1,1)-$AI148-$AK148))))</f>
        <v>0</v>
      </c>
      <c r="BA148" s="148">
        <f ca="1">IF(ISNUMBER($AL148),($AX148*$AL148)-$AI148-$AK148,MAX(0,IF($AL148="B",IF($AX148&lt;Setup!$C$32,($AX148*Setup!$D$32)-$AI148-$AK148,(($AX148-VLOOKUP($AX148,TaxAll2,1,1))*OFFSET(Setup!$D$32,MATCH($AX148,TaxBracket2,1),0,1,1))+OFFSET(Setup!$E$31,MATCH($AX148,TaxBracket2,1),0,1,1)-$AI148-$AK148),IF($AX148&lt;Setup!$C$21,($AX148*Setup!$D$21)-$AI148-$AK148,(($AX148-VLOOKUP($AX148,TaxAll1,1,1))*OFFSET(Setup!$D$21,MATCH($AX148,TaxBracket1,1),0,1,1))+OFFSET(Setup!$E$20,MATCH($AX148,TaxBracket1,1),0,1,1)-$AI148-$AK148))))</f>
        <v>0</v>
      </c>
      <c r="BB148" s="148">
        <f t="shared" ca="1" si="65"/>
        <v>0</v>
      </c>
      <c r="BC148" s="150">
        <f t="shared" ca="1" si="75"/>
        <v>0</v>
      </c>
      <c r="BD148" s="150">
        <f t="shared" ca="1" si="76"/>
        <v>0</v>
      </c>
      <c r="BE148" s="148">
        <f t="shared" ca="1" si="77"/>
        <v>0</v>
      </c>
    </row>
    <row r="149" spans="1:57" ht="16.149999999999999" customHeight="1" x14ac:dyDescent="0.25">
      <c r="A149" s="10" t="str" cm="1">
        <f t="array" aca="1" ref="A149" ca="1">IF(ROW($A149)-ROW($A$6)&gt;EmpCount*12,"-",TEXT($B149,"yyyy")&amp;TEXT($B149,"mm")&amp;"-"&amp;$C149)</f>
        <v>202312-EXS008</v>
      </c>
      <c r="B149" s="137" cm="1">
        <f t="array" aca="1" ref="B149" ca="1">IF(ROW($A149)-ROW($A$6)&gt;EmpCount*12,Setup!$D$12,DATE(YEAR(Setup!$F$12),MONTH(Setup!$F$12)+ROUNDDOWN((ROW($A149)-ROW($A$6)-1)/EmpCount,0),IF(Setup!$C$14&gt;DAY(DATE(YEAR(Setup!$F$12),MONTH(Setup!$F$12)+ROUNDDOWN((ROW($A149)-ROW($A$6)-1)/EmpCount,0)+1,0)),DAY(DATE(YEAR(Setup!$F$12),MONTH(Setup!$F$12)+ROUNDDOWN((ROW($A149)-ROW($A$6)-1)/EmpCount,0)+1,0)),Setup!$C$14)))</f>
        <v>45285</v>
      </c>
      <c r="C149" s="101" t="str" cm="1">
        <f t="array" aca="1" ref="C149" ca="1">IF(ROW($A149)-ROW($A$6)&gt;EmpCount*12,"-",OFFSET(Emp!$A$4,ROW($A149)-ROW($A$6)-IF(ROW($A149)-ROW($A$6)&gt;EmpCount,ROUNDDOWN((ROW($A149)-ROW($A$6)-1)/EmpCount,0)*EmpCount,0),0,1,1))</f>
        <v>EXS008</v>
      </c>
      <c r="D149" s="10" t="str">
        <f ca="1">IF(ISNA(VLOOKUP($C149,EmpAll,COLUMN(Emp!$B$4),0)),"-",VLOOKUP($C149,EmpAll,COLUMN(Emp!$B$4),0))</f>
        <v>Matthews B</v>
      </c>
      <c r="E149" s="145" t="str">
        <f ca="1">IF(ISNA(VLOOKUP($C149,EmpAll,COLUMN(Emp!$C$4),0)),"-",VLOOKUP($C149,EmpAll,COLUMN(Emp!$C$4),0))</f>
        <v>A</v>
      </c>
      <c r="F149" s="101" t="str">
        <f ca="1">IF(ISNA(VLOOKUP($C149,EmpAll,COLUMN(Emp!$A$4),0)),"-",IF(AND(VLOOKUP($C149,EmpAll,COLUMN(Emp!$E$4),0)&lt;&gt;0,VLOOKUP($C149,EmpAll,COLUMN(Emp!$E$4),0)&gt;=DATE(YEAR($AC149),MONTH($AC149)+1,0)),"Inactive",IF(AND(VLOOKUP($C149,EmpAll,COLUMN(Emp!$F$4),0)&lt;&gt;0,VLOOKUP($C149,EmpAll,COLUMN(Emp!$F$4),0)&lt;=DATE(YEAR($AC149),MONTH($AC149),0)),"Terminated","Active")))</f>
        <v>Active</v>
      </c>
      <c r="G149" s="133" cm="1">
        <f t="array" aca="1" ref="G149" ca="1">IF($F149&lt;&gt;"Active",0,IF(COUNTIFS(OverEmp,$C149,OverEarn,G$2,OverDate,"&lt;"&amp;DATE(YEAR($AC149),MONTH($AC149)+1,1),OverEnd,"&gt;="&amp;DATE(YEAR($AC149),MONTH($AC149),1))&gt;0,SUMIFS(OverValue,OverEmp,$C149,OverEarn,G$2,OverDate,"&lt;"&amp;DATE(YEAR($AC149),MONTH($AC149)+1,1),OverEnd,"&gt;="&amp;DATE(YEAR($AC149),MONTH($AC149),1)),IF(AND($AC149&gt;=Setup!$E$10,SUMIFS(EmpIncrease,EmpCode,$C149)&gt;0),SUMIFS(EmpIncrease,EmpCode,$C149),SUMIFS(EmpSalary,EmpCode,$C149))))</f>
        <v>9000</v>
      </c>
      <c r="H149" s="133" cm="1">
        <f t="array" aca="1" ref="H149" ca="1">IF($F149&lt;&gt;"Active",0,IF(COUNTIFS(OverEmp,$C149,OverEarn,H$2,OverDate,"&lt;"&amp;DATE(YEAR($AC149),MONTH($AC149)+1,1),OverEnd,"&gt;="&amp;DATE(YEAR($AC149),MONTH($AC149),1))&gt;0,SUMIFS(OverValue,OverEmp,$C149,OverEarn,H$2,OverDate,"&lt;"&amp;DATE(YEAR($AC149),MONTH($AC149)+1,1),OverEnd,"&gt;="&amp;DATE(YEAR($AC149),MONTH($AC149),1)),0))</f>
        <v>0</v>
      </c>
      <c r="I149" s="133" cm="1">
        <f t="array" aca="1" ref="I149" ca="1">IF($F149&lt;&gt;"Active",0,IF(COUNTIFS(OverEmp,$C149,OverEarn,I$2,OverDate,"&lt;"&amp;DATE(YEAR($AC149),MONTH($AC149)+1,1),OverEnd,"&gt;="&amp;DATE(YEAR($AC149),MONTH($AC149),1))&gt;0,SUMIFS(OverValue,OverEmp,$C149,OverEarn,I$2,OverDate,"&lt;"&amp;DATE(YEAR($AC149),MONTH($AC149)+1,1),OverEnd,"&gt;="&amp;DATE(YEAR($AC149),MONTH($AC149),1)),IF(MONTH(B149)=Setup!$C$15,SUMIFS(EmpBonus,EmpCode,$C149),0)))</f>
        <v>9000</v>
      </c>
      <c r="J149" s="133" cm="1">
        <f t="array" aca="1" ref="J149" ca="1">IF($F149&lt;&gt;"Active",0,IF(COUNTIFS(OverEmp,$C149,OverEarn,J$2,OverDate,"&lt;"&amp;DATE(YEAR($AC149),MONTH($AC149)+1,1),OverEnd,"&gt;="&amp;DATE(YEAR($AC149),MONTH($AC149),1))&gt;0,SUMIFS(OverValue,OverEmp,$C149,OverEarn,J$2,OverDate,"&lt;"&amp;DATE(YEAR($AC149),MONTH($AC149)+1,1),OverEnd,"&gt;="&amp;DATE(YEAR($AC149),MONTH($AC149),1)),0))</f>
        <v>0</v>
      </c>
      <c r="K149" s="133" cm="1">
        <f t="array" aca="1" ref="K149" ca="1">IF($F149&lt;&gt;"Active",0,IF(COUNTIFS(OverEmp,$C149,OverEarn,K$2,OverDate,"&lt;"&amp;DATE(YEAR($AC149),MONTH($AC149)+1,1),OverEnd,"&gt;="&amp;DATE(YEAR($AC149),MONTH($AC149),1))&gt;0,SUMIFS(OverValue,OverEmp,$C149,OverEarn,K$2,OverDate,"&lt;"&amp;DATE(YEAR($AC149),MONTH($AC149)+1,1),OverEnd,"&gt;="&amp;DATE(YEAR($AC149),MONTH($AC149),1)),0))</f>
        <v>0</v>
      </c>
      <c r="L149" s="185">
        <f t="shared" ca="1" si="66"/>
        <v>18000</v>
      </c>
      <c r="M149" s="182" cm="1">
        <f t="array" aca="1" ref="M149" ca="1">IF(COUNTIFS(OverEmp,$C149,OverTax,M$5,OverDate,"&lt;"&amp;DATE(YEAR($AC149),MONTH($AC149)+1,1),OverEnd,"&gt;="&amp;DATE(YEAR($AC149),MONTH($AC149),1))&gt;0,SUMIFS(OverValue,OverEmp,$C149,OverTax,M$5,OverDate,"&lt;"&amp;DATE(YEAR($AC149),MONTH($AC149)+1,1),OverEnd,"&gt;="&amp;DATE(YEAR($AC149),MONTH($AC149),1)),(($BA149/12*$AA149)+(BB149*IF(1-$BC149=0,0,BD149/(1-$BC149))))-IF($F149="Terminated",0,SUMIFS(PayTaxDeduct,PayDate,"&lt;"&amp;$AC149,PayEmp,$C149)))</f>
        <v>1803.7500000000009</v>
      </c>
      <c r="N149" s="133" cm="1">
        <f t="array" aca="1" ref="N149" ca="1">IF($F149="Terminated",0,IF($AA149=0,0,IF(ISNA(MATCH(N$5,DedListItem,0)),0,IF(COUNTIFS(OverEmp,$C149,OverDeduct,N$5,OverDate,"&lt;"&amp;DATE(YEAR($AC149),MONTH($AC149)+1,1),OverEnd,"&gt;="&amp;DATE(YEAR($AC149),MONTH($AC149),1))&gt;0,SUMIFS(OverValue,OverEmp,$C149,OverDeduct,N$5,OverDate,"&lt;"&amp;DATE(YEAR($AC149),MONTH($AC149)+1,1),OverEnd,"&gt;="&amp;DATE(YEAR($AC149),MONTH($AC149),1)),IF(OR(N$2="Fixed",N$2="Not Used"),(IF(COUNTIFS(EmpNo,$C149,OFFSET(Emp!$R$4,1,MATCH(N$5,DedListItem,0)-1,EmpCount,1),"&lt;&gt;")&gt;0,VLOOKUP($C149,EmpAll,COLUMN(Emp!$R$4)+MATCH(N$5,DedListItem,0)-1,0),OFFSET(Setup!$E$73,MATCH(N$5,DedListItem,0),0,1,1))*$AA149)-SUMIFS(OFFSET(N$6,1,0,PayCount,1),PayDate,"&lt;"&amp;$AC149,PayEmp,$C149),IF(ISNA(MATCH(N$2,EarnListItem,0))=FALSE,IF(OFFSET(Setup!$G$73,MATCH(N$5,DedListItem,0),0,1,1)="Taxable",SUMPRODUCT((PayEmp=$C149)*(PayDate&lt;=$AC149)*(PayEarnCode=N$2)*(PayEarnTax)*(PayEarnValues)),SUMPRODUCT((PayEmp=$C149)*(PayDate&lt;=$AC149)*(PayEarnCode=N$2)*(PayEarnValues)))*IF(COUNTIFS(EmpNo,$C149,OFFSET(Emp!$R$4,1,MATCH(N$5,DedListItem,0)-1,EmpCount,1),"&lt;&gt;")&gt;0,VLOOKUP($C149,EmpAll,COLUMN(Emp!$R$4)+MATCH(N$5,DedListItem,0)-1,0),OFFSET(Setup!$E$73,MATCH(N$5,DedListItem,0),0,1,1)),(MIN(IF(OFFSET(Setup!$G$73,MATCH(N$5,DedListItem,0),0,1,1)="Taxable",SUMPRODUCT((PayEmp=$C149)*(PayDate&lt;=$AC149)*(ISERROR(SEARCH(PayEarnCode,N$4)))*(PayEarnTax)*(PayEarnValues)),SUMPRODUCT((PayEmp=$C149)*(PayDate&lt;=$AC149)*(ISERROR(SEARCH(PayEarnCode,N$4)))*(PayEarnValues))),IF(ISNUMBER(N$3),N$3/12*$AA149,IgnoreMin)))*IF(COUNTIFS(EmpNo,$C149,OFFSET(Emp!$R$4,1,MATCH(N$5,DedListItem,0)-1,EmpCount,1),"&lt;&gt;")&gt;0,VLOOKUP($C149,EmpAll,COLUMN(Emp!$R$4)+MATCH(N$5,DedListItem,0)-1,0),OFFSET(Setup!$E$73,MATCH(N$5,DedListItem,0),0,1,1)))-SUMIFS(OFFSET(N$6,1,0,PayCount,1),PayDate,"&lt;"&amp;$AC149,PayEmp,$C149))))))</f>
        <v>180</v>
      </c>
      <c r="O149" s="133" cm="1">
        <f t="array" aca="1" ref="O149" ca="1">IF($F149="Terminated",0,IF($AA149=0,0,IF(ISNA(MATCH(O$5,DedListItem,0)),0,IF(COUNTIFS(OverEmp,$C149,OverDeduct,O$5,OverDate,"&lt;"&amp;DATE(YEAR($AC149),MONTH($AC149)+1,1),OverEnd,"&gt;="&amp;DATE(YEAR($AC149),MONTH($AC149),1))&gt;0,SUMIFS(OverValue,OverEmp,$C149,OverDeduct,O$5,OverDate,"&lt;"&amp;DATE(YEAR($AC149),MONTH($AC149)+1,1),OverEnd,"&gt;="&amp;DATE(YEAR($AC149),MONTH($AC149),1)),IF(OR(O$2="Fixed",O$2="Not Used"),(IF(COUNTIFS(EmpNo,$C149,OFFSET(Emp!$R$4,1,MATCH(O$5,DedListItem,0)-1,EmpCount,1),"&lt;&gt;")&gt;0,VLOOKUP($C149,EmpAll,COLUMN(Emp!$R$4)+MATCH(O$5,DedListItem,0)-1,0),OFFSET(Setup!$E$73,MATCH(O$5,DedListItem,0),0,1,1))*$AA149)-SUMIFS(OFFSET(O$6,1,0,PayCount,1),PayDate,"&lt;"&amp;$AC149,PayEmp,$C149),IF(ISNA(MATCH(O$2,EarnListItem,0))=FALSE,IF(OFFSET(Setup!$G$73,MATCH(O$5,DedListItem,0),0,1,1)="Taxable",SUMPRODUCT((PayEmp=$C149)*(PayDate&lt;=$AC149)*(PayEarnCode=O$2)*(PayEarnTax)*(PayEarnValues)),SUMPRODUCT((PayEmp=$C149)*(PayDate&lt;=$AC149)*(PayEarnCode=O$2)*(PayEarnValues)))*IF(COUNTIFS(EmpNo,$C149,OFFSET(Emp!$R$4,1,MATCH(O$5,DedListItem,0)-1,EmpCount,1),"&lt;&gt;")&gt;0,VLOOKUP($C149,EmpAll,COLUMN(Emp!$R$4)+MATCH(O$5,DedListItem,0)-1,0),OFFSET(Setup!$E$73,MATCH(O$5,DedListItem,0),0,1,1)),(MIN(IF(OFFSET(Setup!$G$73,MATCH(O$5,DedListItem,0),0,1,1)="Taxable",SUMPRODUCT((PayEmp=$C149)*(PayDate&lt;=$AC149)*(ISERROR(SEARCH(PayEarnCode,O$4)))*(PayEarnTax)*(PayEarnValues)),SUMPRODUCT((PayEmp=$C149)*(PayDate&lt;=$AC149)*(ISERROR(SEARCH(PayEarnCode,O$4)))*(PayEarnValues))),IF(ISNUMBER(O$3),O$3/12*$AA149,IgnoreMin)))*IF(COUNTIFS(EmpNo,$C149,OFFSET(Emp!$R$4,1,MATCH(O$5,DedListItem,0)-1,EmpCount,1),"&lt;&gt;")&gt;0,VLOOKUP($C149,EmpAll,COLUMN(Emp!$R$4)+MATCH(O$5,DedListItem,0)-1,0),OFFSET(Setup!$E$73,MATCH(O$5,DedListItem,0),0,1,1)))-SUMIFS(OFFSET(O$6,1,0,PayCount,1),PayDate,"&lt;"&amp;$AC149,PayEmp,$C149))))))</f>
        <v>0</v>
      </c>
      <c r="P149" s="133" cm="1">
        <f t="array" aca="1" ref="P149" ca="1">IF($F149="Terminated",0,IF($AA149=0,0,IF(ISNA(MATCH(P$5,DedListItem,0)),0,IF(COUNTIFS(OverEmp,$C149,OverDeduct,P$5,OverDate,"&lt;"&amp;DATE(YEAR($AC149),MONTH($AC149)+1,1),OverEnd,"&gt;="&amp;DATE(YEAR($AC149),MONTH($AC149),1))&gt;0,SUMIFS(OverValue,OverEmp,$C149,OverDeduct,P$5,OverDate,"&lt;"&amp;DATE(YEAR($AC149),MONTH($AC149)+1,1),OverEnd,"&gt;="&amp;DATE(YEAR($AC149),MONTH($AC149),1)),IF(OR(P$2="Fixed",P$2="Not Used"),(IF(COUNTIFS(EmpNo,$C149,OFFSET(Emp!$R$4,1,MATCH(P$5,DedListItem,0)-1,EmpCount,1),"&lt;&gt;")&gt;0,VLOOKUP($C149,EmpAll,COLUMN(Emp!$R$4)+MATCH(P$5,DedListItem,0)-1,0),OFFSET(Setup!$E$73,MATCH(P$5,DedListItem,0),0,1,1))*$AA149)-SUMIFS(OFFSET(P$6,1,0,PayCount,1),PayDate,"&lt;"&amp;$AC149,PayEmp,$C149),IF(ISNA(MATCH(P$2,EarnListItem,0))=FALSE,IF(OFFSET(Setup!$G$73,MATCH(P$5,DedListItem,0),0,1,1)="Taxable",SUMPRODUCT((PayEmp=$C149)*(PayDate&lt;=$AC149)*(PayEarnCode=P$2)*(PayEarnTax)*(PayEarnValues)),SUMPRODUCT((PayEmp=$C149)*(PayDate&lt;=$AC149)*(PayEarnCode=P$2)*(PayEarnValues)))*IF(COUNTIFS(EmpNo,$C149,OFFSET(Emp!$R$4,1,MATCH(P$5,DedListItem,0)-1,EmpCount,1),"&lt;&gt;")&gt;0,VLOOKUP($C149,EmpAll,COLUMN(Emp!$R$4)+MATCH(P$5,DedListItem,0)-1,0),OFFSET(Setup!$E$73,MATCH(P$5,DedListItem,0),0,1,1)),(MIN(IF(OFFSET(Setup!$G$73,MATCH(P$5,DedListItem,0),0,1,1)="Taxable",SUMPRODUCT((PayEmp=$C149)*(PayDate&lt;=$AC149)*(ISERROR(SEARCH(PayEarnCode,P$4)))*(PayEarnTax)*(PayEarnValues)),SUMPRODUCT((PayEmp=$C149)*(PayDate&lt;=$AC149)*(ISERROR(SEARCH(PayEarnCode,P$4)))*(PayEarnValues))),IF(ISNUMBER(P$3),P$3/12*$AA149,IgnoreMin)))*IF(COUNTIFS(EmpNo,$C149,OFFSET(Emp!$R$4,1,MATCH(P$5,DedListItem,0)-1,EmpCount,1),"&lt;&gt;")&gt;0,VLOOKUP($C149,EmpAll,COLUMN(Emp!$R$4)+MATCH(P$5,DedListItem,0)-1,0),OFFSET(Setup!$E$73,MATCH(P$5,DedListItem,0),0,1,1)))-SUMIFS(OFFSET(P$6,1,0,PayCount,1),PayDate,"&lt;"&amp;$AC149,PayEmp,$C149))))))</f>
        <v>0</v>
      </c>
      <c r="Q149" s="133" cm="1">
        <f t="array" aca="1" ref="Q149" ca="1">IF($F149="Terminated",0,IF($AA149=0,0,IF(ISNA(MATCH(Q$5,DedListItem,0)),0,IF(COUNTIFS(OverEmp,$C149,OverDeduct,Q$5,OverDate,"&lt;"&amp;DATE(YEAR($AC149),MONTH($AC149)+1,1),OverEnd,"&gt;="&amp;DATE(YEAR($AC149),MONTH($AC149),1))&gt;0,SUMIFS(OverValue,OverEmp,$C149,OverDeduct,Q$5,OverDate,"&lt;"&amp;DATE(YEAR($AC149),MONTH($AC149)+1,1),OverEnd,"&gt;="&amp;DATE(YEAR($AC149),MONTH($AC149),1)),IF(OR(Q$2="Fixed",Q$2="Not Used"),(IF(COUNTIFS(EmpNo,$C149,OFFSET(Emp!$R$4,1,MATCH(Q$5,DedListItem,0)-1,EmpCount,1),"&lt;&gt;")&gt;0,VLOOKUP($C149,EmpAll,COLUMN(Emp!$R$4)+MATCH(Q$5,DedListItem,0)-1,0),OFFSET(Setup!$E$73,MATCH(Q$5,DedListItem,0),0,1,1))*$AA149)-SUMIFS(OFFSET(Q$6,1,0,PayCount,1),PayDate,"&lt;"&amp;$AC149,PayEmp,$C149),IF(ISNA(MATCH(Q$2,EarnListItem,0))=FALSE,IF(OFFSET(Setup!$G$73,MATCH(Q$5,DedListItem,0),0,1,1)="Taxable",SUMPRODUCT((PayEmp=$C149)*(PayDate&lt;=$AC149)*(PayEarnCode=Q$2)*(PayEarnTax)*(PayEarnValues)),SUMPRODUCT((PayEmp=$C149)*(PayDate&lt;=$AC149)*(PayEarnCode=Q$2)*(PayEarnValues)))*IF(COUNTIFS(EmpNo,$C149,OFFSET(Emp!$R$4,1,MATCH(Q$5,DedListItem,0)-1,EmpCount,1),"&lt;&gt;")&gt;0,VLOOKUP($C149,EmpAll,COLUMN(Emp!$R$4)+MATCH(Q$5,DedListItem,0)-1,0),OFFSET(Setup!$E$73,MATCH(Q$5,DedListItem,0),0,1,1)),(MIN(IF(OFFSET(Setup!$G$73,MATCH(Q$5,DedListItem,0),0,1,1)="Taxable",SUMPRODUCT((PayEmp=$C149)*(PayDate&lt;=$AC149)*(ISERROR(SEARCH(PayEarnCode,Q$4)))*(PayEarnTax)*(PayEarnValues)),SUMPRODUCT((PayEmp=$C149)*(PayDate&lt;=$AC149)*(ISERROR(SEARCH(PayEarnCode,Q$4)))*(PayEarnValues))),IF(ISNUMBER(Q$3),Q$3/12*$AA149,IgnoreMin)))*IF(COUNTIFS(EmpNo,$C149,OFFSET(Emp!$R$4,1,MATCH(Q$5,DedListItem,0)-1,EmpCount,1),"&lt;&gt;")&gt;0,VLOOKUP($C149,EmpAll,COLUMN(Emp!$R$4)+MATCH(Q$5,DedListItem,0)-1,0),OFFSET(Setup!$E$73,MATCH(Q$5,DedListItem,0),0,1,1)))-SUMIFS(OFFSET(Q$6,1,0,PayCount,1),PayDate,"&lt;"&amp;$AC149,PayEmp,$C149))))))</f>
        <v>0</v>
      </c>
      <c r="R149" s="185">
        <f t="shared" ca="1" si="67"/>
        <v>1983.7500000000009</v>
      </c>
      <c r="S149" s="139">
        <f t="shared" ca="1" si="68"/>
        <v>16016.25</v>
      </c>
      <c r="T149" s="133" cm="1">
        <f t="array" aca="1" ref="T149" ca="1">IF($F149="Terminated",0,IF($AA149=0,0,IF(ISNA(MATCH(T$5,CompListItem,0)),0,IF(COUNTIFS(OverEmp,$C149,OverComp,T$5,OverDate,"&lt;"&amp;DATE(YEAR($AC149),MONTH($AC149)+1,1),OverEnd,"&gt;="&amp;DATE(YEAR($AC149),MONTH($AC149),1))&gt;0,SUMIFS(OverValue,OverEmp,$C149,OverComp,T$5,OverDate,"&lt;"&amp;DATE(YEAR($AC149),MONTH($AC149)+1,1),OverEnd,"&gt;="&amp;DATE(YEAR($AC149),MONTH($AC149),1)),IF(OR(T$2="Fixed",T$2="Not Used"),(OFFSET(Setup!$E$81,MATCH(T$5,CompListItem,0),0,1,1)*$AA149)-SUMIFS(OFFSET(T$6,1,0,PayCount,1),PayDate,"&lt;"&amp;$AC149,PayEmp,$C149),IF(ISNA(MATCH(T$2,DedListItem,0))=FALSE,(SUMPRODUCT((PayEmp=$C149)*(PayDate&lt;=$AC149)*(PayDedList=T$2)*(PayDedValues))*OFFSET(Setup!$E$81,MATCH(T$5,CompListItem,0),0,1,1))-SUMIFS(OFFSET(T$6,1,0,PayCount,1),PayDate,"&lt;"&amp;$AC149,PayEmp,$C149),(MIN(IF(OFFSET(Setup!$G$81,MATCH(T$5,CompListItem,0),0,1,1)="Taxable",SUMPRODUCT((PayEmp=$C149)*(PayDate&lt;=$AC149)*(ISERROR(SEARCH(PayEarnCode,T$4)))*(PayEarnTax)*(PayEarnValues)),SUMPRODUCT((PayEmp=$C149)*(PayDate&lt;=$AC149)*(ISERROR(SEARCH(PayEarnCode,T$4)))*(PayEarnValues))),IF(ISNUMBER(T$3),T$3/12*$AA149,IgnoreMin)))*OFFSET(Setup!$E$81,MATCH(T$5,CompListItem,0),0,1,1)-SUMIFS(OFFSET(T$6,1,0,PayCount,1),PayDate,"&lt;"&amp;$AC149,PayEmp,$C149)))))))</f>
        <v>180</v>
      </c>
      <c r="U149" s="133" cm="1">
        <f t="array" aca="1" ref="U149" ca="1">IF($F149="Terminated",0,IF($AA149=0,0,IF(ISNA(MATCH(U$5,CompListItem,0)),0,IF(COUNTIFS(OverEmp,$C149,OverComp,U$5,OverDate,"&lt;"&amp;DATE(YEAR($AC149),MONTH($AC149)+1,1),OverEnd,"&gt;="&amp;DATE(YEAR($AC149),MONTH($AC149),1))&gt;0,SUMIFS(OverValue,OverEmp,$C149,OverComp,U$5,OverDate,"&lt;"&amp;DATE(YEAR($AC149),MONTH($AC149)+1,1),OverEnd,"&gt;="&amp;DATE(YEAR($AC149),MONTH($AC149),1)),IF(OR(U$2="Fixed",U$2="Not Used"),(OFFSET(Setup!$E$81,MATCH(U$5,CompListItem,0),0,1,1)*$AA149)-SUMIFS(OFFSET(U$6,1,0,PayCount,1),PayDate,"&lt;"&amp;$AC149,PayEmp,$C149),IF(ISNA(MATCH(U$2,DedListItem,0))=FALSE,(SUMPRODUCT((PayEmp=$C149)*(PayDate&lt;=$AC149)*(PayDedList=U$2)*(PayDedValues))*OFFSET(Setup!$E$81,MATCH(U$5,CompListItem,0),0,1,1))-SUMIFS(OFFSET(U$6,1,0,PayCount,1),PayDate,"&lt;"&amp;$AC149,PayEmp,$C149),(MIN(IF(OFFSET(Setup!$G$81,MATCH(U$5,CompListItem,0),0,1,1)="Taxable",SUMPRODUCT((PayEmp=$C149)*(PayDate&lt;=$AC149)*(ISERROR(SEARCH(PayEarnCode,U$4)))*(PayEarnTax)*(PayEarnValues)),SUMPRODUCT((PayEmp=$C149)*(PayDate&lt;=$AC149)*(ISERROR(SEARCH(PayEarnCode,U$4)))*(PayEarnValues))),IF(ISNUMBER(U$3),U$3/12*$AA149,IgnoreMin)))*OFFSET(Setup!$E$81,MATCH(U$5,CompListItem,0),0,1,1)-SUMIFS(OFFSET(U$6,1,0,PayCount,1),PayDate,"&lt;"&amp;$AC149,PayEmp,$C149)))))))</f>
        <v>180</v>
      </c>
      <c r="V149" s="133" cm="1">
        <f t="array" aca="1" ref="V149" ca="1">IF($F149="Terminated",0,IF($AA149=0,0,IF(ISNA(MATCH(V$5,CompListItem,0)),0,IF(COUNTIFS(OverEmp,$C149,OverComp,V$5,OverDate,"&lt;"&amp;DATE(YEAR($AC149),MONTH($AC149)+1,1),OverEnd,"&gt;="&amp;DATE(YEAR($AC149),MONTH($AC149),1))&gt;0,SUMIFS(OverValue,OverEmp,$C149,OverComp,V$5,OverDate,"&lt;"&amp;DATE(YEAR($AC149),MONTH($AC149)+1,1),OverEnd,"&gt;="&amp;DATE(YEAR($AC149),MONTH($AC149),1)),IF(OR(V$2="Fixed",V$2="Not Used"),(OFFSET(Setup!$E$81,MATCH(V$5,CompListItem,0),0,1,1)*$AA149)-SUMIFS(OFFSET(V$6,1,0,PayCount,1),PayDate,"&lt;"&amp;$AC149,PayEmp,$C149),IF(ISNA(MATCH(V$2,DedListItem,0))=FALSE,(SUMPRODUCT((PayEmp=$C149)*(PayDate&lt;=$AC149)*(PayDedList=V$2)*(PayDedValues))*OFFSET(Setup!$E$81,MATCH(V$5,CompListItem,0),0,1,1))-SUMIFS(OFFSET(V$6,1,0,PayCount,1),PayDate,"&lt;"&amp;$AC149,PayEmp,$C149),(MIN(IF(OFFSET(Setup!$G$81,MATCH(V$5,CompListItem,0),0,1,1)="Taxable",SUMPRODUCT((PayEmp=$C149)*(PayDate&lt;=$AC149)*(ISERROR(SEARCH(PayEarnCode,V$4)))*(PayEarnTax)*(PayEarnValues)),SUMPRODUCT((PayEmp=$C149)*(PayDate&lt;=$AC149)*(ISERROR(SEARCH(PayEarnCode,V$4)))*(PayEarnValues))),IF(ISNUMBER(V$3),V$3/12*$AA149,IgnoreMin)))*OFFSET(Setup!$E$81,MATCH(V$5,CompListItem,0),0,1,1)-SUMIFS(OFFSET(V$6,1,0,PayCount,1),PayDate,"&lt;"&amp;$AC149,PayEmp,$C149)))))))</f>
        <v>0</v>
      </c>
      <c r="W149" s="133" cm="1">
        <f t="array" aca="1" ref="W149" ca="1">IF($F149="Terminated",0,IF($AA149=0,0,IF(ISNA(MATCH(W$5,CompListItem,0)),0,IF(COUNTIFS(OverEmp,$C149,OverComp,W$5,OverDate,"&lt;"&amp;DATE(YEAR($AC149),MONTH($AC149)+1,1),OverEnd,"&gt;="&amp;DATE(YEAR($AC149),MONTH($AC149),1))&gt;0,SUMIFS(OverValue,OverEmp,$C149,OverComp,W$5,OverDate,"&lt;"&amp;DATE(YEAR($AC149),MONTH($AC149)+1,1),OverEnd,"&gt;="&amp;DATE(YEAR($AC149),MONTH($AC149),1)),IF(OR(W$2="Fixed",W$2="Not Used"),(OFFSET(Setup!$E$81,MATCH(W$5,CompListItem,0),0,1,1)*$AA149)-SUMIFS(OFFSET(W$6,1,0,PayCount,1),PayDate,"&lt;"&amp;$AC149,PayEmp,$C149),IF(ISNA(MATCH(W$2,DedListItem,0))=FALSE,(SUMPRODUCT((PayEmp=$C149)*(PayDate&lt;=$AC149)*(PayDedList=W$2)*(PayDedValues))*OFFSET(Setup!$E$81,MATCH(W$5,CompListItem,0),0,1,1))-SUMIFS(OFFSET(W$6,1,0,PayCount,1),PayDate,"&lt;"&amp;$AC149,PayEmp,$C149),(MIN(IF(OFFSET(Setup!$G$81,MATCH(W$5,CompListItem,0),0,1,1)="Taxable",SUMPRODUCT((PayEmp=$C149)*(PayDate&lt;=$AC149)*(ISERROR(SEARCH(PayEarnCode,W$4)))*(PayEarnTax)*(PayEarnValues)),SUMPRODUCT((PayEmp=$C149)*(PayDate&lt;=$AC149)*(ISERROR(SEARCH(PayEarnCode,W$4)))*(PayEarnValues))),IF(ISNUMBER(W$3),W$3/12*$AA149,IgnoreMin)))*OFFSET(Setup!$E$81,MATCH(W$5,CompListItem,0),0,1,1)-SUMIFS(OFFSET(W$6,1,0,PayCount,1),PayDate,"&lt;"&amp;$AC149,PayEmp,$C149)))))))</f>
        <v>0</v>
      </c>
      <c r="X149" s="185">
        <f t="shared" ca="1" si="60"/>
        <v>360</v>
      </c>
      <c r="Y149" s="139">
        <f t="shared" ca="1" si="69"/>
        <v>18360</v>
      </c>
      <c r="Z149" s="139">
        <f t="shared" ca="1" si="61"/>
        <v>2343.75</v>
      </c>
      <c r="AA149" s="146">
        <f ca="1">IF(OR($B149&lt;=Setup!$E$12,$B149&gt;=Setup!$D$12+1),0,IF($F149&lt;&gt;"Active",0,IF($AE149="Yes",$AB149,((YEAR($AC149)*12)+MONTH($AC149))-((YEAR($AD149)*12)+MONTH($AD149)-1))))</f>
        <v>10</v>
      </c>
      <c r="AB149" s="146">
        <f ca="1">IF(OR($B149&lt;=Setup!$E$12,$B149&gt;=Setup!$D$12+1),0,((YEAR($AC149)*12)+MONTH($AC149))-((YEAR(Setup!$E$12)*12)+MONTH(Setup!$E$12)))</f>
        <v>10</v>
      </c>
      <c r="AC149" s="186">
        <f t="shared" ca="1" si="62"/>
        <v>45285</v>
      </c>
      <c r="AD149" s="144">
        <f ca="1">IF(ISNA(VLOOKUP($C149,EmpAll,COLUMN(Emp!$E$4),0)),$AC149,IF(VLOOKUP($C149,EmpAll,COLUMN(Emp!$E$4),0)&lt;=Setup!$E$12,DATE(YEAR(Setup!$E$12),MONTH(Setup!$E$12)+1,1),VLOOKUP($C149,EmpAll,COLUMN(Emp!$E$4),0)))</f>
        <v>44986</v>
      </c>
      <c r="AE149" s="144" t="str">
        <f ca="1">IF(ISNA(VLOOKUP($C149,EmpAll,COLUMN(Emp!$G$1),0)),"-",IF(VLOOKUP($C149,EmpAll,COLUMN(Emp!$G$1),0)=0,"-",VLOOKUP($C149,EmpAll,COLUMN(Emp!$G$1),0)))</f>
        <v>-</v>
      </c>
      <c r="AF149" s="145">
        <f ca="1">IF(A149=PaySlip!$G$3,1,0)</f>
        <v>0</v>
      </c>
      <c r="AG149" s="130" cm="1">
        <f t="array" aca="1" ref="AG149" ca="1">IF(COUNTIFS(OverEmp,$C149,OverMed,"MED",OverDate,"&lt;"&amp;DATE(YEAR($AC149),MONTH($AC149)+1,1),OverEnd,"&gt;="&amp;DATE(YEAR($AC149),MONTH($AC149),1))&gt;0,SUMIFS(OverValue,OverEmp,$C149,OverMed,"MED",OverDate,"&lt;"&amp;DATE(YEAR($AC149),MONTH($AC149)+1,1),OverEnd,"&gt;="&amp;DATE(YEAR($AC149),MONTH($AC149),1)),IF(ISNA(VLOOKUP($C149,EmpAll,COLUMN(Emp!$N$4),0)),0,VLOOKUP($C149,EmpAll,COLUMN(Emp!$N$4),0)))</f>
        <v>0</v>
      </c>
      <c r="AH149" s="146">
        <f ca="1">VLOOKUP($AG149,MedList,COLUMN(Setup!$C$49),1)</f>
        <v>0</v>
      </c>
      <c r="AI149" s="146">
        <f t="shared" ca="1" si="70"/>
        <v>0</v>
      </c>
      <c r="AJ149" s="101" t="str">
        <f ca="1">IF(ISNA(VLOOKUP($C149,EmpAll,COLUMN(Emp!$L$4),0)),"None!",VLOOKUP($C149,EmpAll,COLUMN(Emp!$L$4),0))</f>
        <v>A</v>
      </c>
      <c r="AK149" s="147">
        <f t="shared" ca="1" si="63"/>
        <v>17235</v>
      </c>
      <c r="AL149" s="101" t="str">
        <f ca="1">IF(ISNA(VLOOKUP($C149,Employees[],COLUMN(Emp!$M$4),0))=TRUE,"Error!",IF(VLOOKUP($C149,Employees[],COLUMN(Emp!$M$4),0)=0,"Yes",VLOOKUP($C149,Employees[],COLUMN(Emp!$M$4),0)))</f>
        <v>A</v>
      </c>
      <c r="AM149" s="148">
        <f t="shared" ca="1" si="71"/>
        <v>117000</v>
      </c>
      <c r="AN149" s="148" cm="1">
        <f t="array" aca="1" ref="AN149" ca="1">-IF($F149="Terminated",0,IF($AA149=0,0,IF(ISNA(MATCH(AN$5,PayDedList,0)),0,MIN(IF(COUNTIFS(OverEmp,$C149,OverDeduct,AN$5,OverDate,"&lt;"&amp;DATE(YEAR($AC149),MONTH($AC149)+1,1),OverEnd,"&gt;="&amp;DATE(YEAR($AC149),MONTH($AC149),1))&gt;0,SUMPRODUCT((PayEmp=$C149)*(PayDate&lt;=$AC149)*(OFFSET($N$6,1,MATCH(AN$5,PayDedList,0)-1,PayCount,1)))/$AA149*12*AN$3,IF(OR(AN$1="Fixed",AN$1="Not Used"),SUMPRODUCT((PayEmp=$C149)*(PayDate&lt;=$AC149)*(OFFSET($N$6,1,MATCH(AN$5,PayDedList,0)-1,PayCount,1)))/$AA149*12*AN$3,IF(ISNA(MATCH(AN$1,EarnListItem,0))=FALSE,SUMPRODUCT((PayEmp=$C149)*(PayDate&lt;=$AC149)*(OFFSET($N$6,1,MATCH(AN$5,PayDedList,0)-1,PayCount,1)))/$AA149*12*AN$3,(MIN(((SUMPRODUCT((PayEmp=$C149)*(PayDate&lt;=$AC149)*(ISERROR(SEARCH(PayEarnCode,AN$2)))*(PayEarnType="Monthly")*(PayEarnValues))/$AA149*12)+(SUMPRODUCT((PayEmp=$C149)*(PayDate&lt;=$AC149)*(ISERROR(SEARCH(PayEarnCode,AN$2)))*(PayEarnType="Quarterly")*(PayEarnValues))/MAX(1,ROUNDDOWN($AB149/3,0))*4)+(SUMPRODUCT((PayEmp=$C149)*(PayDate&lt;=$AC149)*(ISERROR(SEARCH(PayEarnCode,AN$2)))*(PayEarnType="Bi-Annual")*(PayEarnValues))/MAX(1,ROUNDDOWN($AB149/6,0))*2)+(SUMPRODUCT((PayEmp=$C149)*(PayDate&lt;=$AC149)*(ISERROR(SEARCH(PayEarnCode,AN$2)))*(PayEarnType="Annual")*(PayEarnValues)))),IF(ISNUMBER(OFFSET($N$3,0,MATCH(AN$5,PayDedList,0)-1,1,1)),OFFSET($N$3,0,MATCH(AN$5,PayDedList,0)-1,1,1),IgnoreMin)))*IF(COUNTIFS(EmpNo,$C149,OFFSET(Emp!$R$4,1,MATCH(AN$5,DedListItem,0)-1,EmpCount,1),"&lt;&gt;")&gt;0,VLOOKUP($C149,EmpAll,COLUMN(Emp!$R$4)+MATCH(AN$5,DedListItem,0)-1,0),OFFSET(Setup!$E$73,MATCH(AN$5,DedListItem,0),0,1,1))*AN$3))),IF(ISNUMBER(AN$4),AN$4,IgnoreMin)))))</f>
        <v>0</v>
      </c>
      <c r="AO149" s="148" cm="1">
        <f t="array" aca="1" ref="AO149" ca="1">-IF($F149="Terminated",0,IF($AA149=0,0,IF(ISNA(MATCH(AO$5,PayDedList,0)),0,MIN(IF(COUNTIFS(OverEmp,$C149,OverDeduct,AO$5,OverDate,"&lt;"&amp;DATE(YEAR($AC149),MONTH($AC149)+1,1),OverEnd,"&gt;="&amp;DATE(YEAR($AC149),MONTH($AC149),1))&gt;0,SUMPRODUCT((PayEmp=$C149)*(PayDate&lt;=$AC149)*(OFFSET($N$6,1,MATCH(AO$5,PayDedList,0)-1,PayCount,1)))/$AA149*12*AO$3,IF(OR(AO$1="Fixed",AO$1="Not Used"),SUMPRODUCT((PayEmp=$C149)*(PayDate&lt;=$AC149)*(OFFSET($N$6,1,MATCH(AO$5,PayDedList,0)-1,PayCount,1)))/$AA149*12*AO$3,IF(ISNA(MATCH(AO$1,EarnListItem,0))=FALSE,SUMPRODUCT((PayEmp=$C149)*(PayDate&lt;=$AC149)*(OFFSET($N$6,1,MATCH(AO$5,PayDedList,0)-1,PayCount,1)))/$AA149*12*AO$3,(MIN(((SUMPRODUCT((PayEmp=$C149)*(PayDate&lt;=$AC149)*(ISERROR(SEARCH(PayEarnCode,AO$2)))*(PayEarnType="Monthly")*(PayEarnValues))/$AA149*12)+(SUMPRODUCT((PayEmp=$C149)*(PayDate&lt;=$AC149)*(ISERROR(SEARCH(PayEarnCode,AO$2)))*(PayEarnType="Quarterly")*(PayEarnValues))/MAX(1,ROUNDDOWN($AB149/3,0))*4)+(SUMPRODUCT((PayEmp=$C149)*(PayDate&lt;=$AC149)*(ISERROR(SEARCH(PayEarnCode,AO$2)))*(PayEarnType="Bi-Annual")*(PayEarnValues))/MAX(1,ROUNDDOWN($AB149/6,0))*2)+(SUMPRODUCT((PayEmp=$C149)*(PayDate&lt;=$AC149)*(ISERROR(SEARCH(PayEarnCode,AO$2)))*(PayEarnType="Annual")*(PayEarnValues)))),IF(ISNUMBER(OFFSET($N$3,0,MATCH(AO$5,PayDedList,0)-1,1,1)),OFFSET($N$3,0,MATCH(AO$5,PayDedList,0)-1,1,1),IgnoreMin)))*IF(COUNTIFS(EmpNo,$C149,OFFSET(Emp!$R$4,1,MATCH(AO$5,DedListItem,0)-1,EmpCount,1),"&lt;&gt;")&gt;0,VLOOKUP($C149,EmpAll,COLUMN(Emp!$R$4)+MATCH(AO$5,DedListItem,0)-1,0),OFFSET(Setup!$E$73,MATCH(AO$5,DedListItem,0),0,1,1))*AO$3))),IF(ISNUMBER(AO$4),AO$4,IgnoreMin)))))</f>
        <v>0</v>
      </c>
      <c r="AP149" s="148" cm="1">
        <f t="array" aca="1" ref="AP149" ca="1">-IF($F149="Terminated",0,IF($AA149=0,0,IF(ISNA(MATCH(AP$5,PayDedList,0)),0,MIN(IF(COUNTIFS(OverEmp,$C149,OverDeduct,AP$5,OverDate,"&lt;"&amp;DATE(YEAR($AC149),MONTH($AC149)+1,1),OverEnd,"&gt;="&amp;DATE(YEAR($AC149),MONTH($AC149),1))&gt;0,SUMPRODUCT((PayEmp=$C149)*(PayDate&lt;=$AC149)*(OFFSET($N$6,1,MATCH(AP$5,PayDedList,0)-1,PayCount,1)))/$AA149*12*AP$3,IF(OR(AP$1="Fixed",AP$1="Not Used"),SUMPRODUCT((PayEmp=$C149)*(PayDate&lt;=$AC149)*(OFFSET($N$6,1,MATCH(AP$5,PayDedList,0)-1,PayCount,1)))/$AA149*12*AP$3,IF(ISNA(MATCH(AP$1,EarnListItem,0))=FALSE,SUMPRODUCT((PayEmp=$C149)*(PayDate&lt;=$AC149)*(OFFSET($N$6,1,MATCH(AP$5,PayDedList,0)-1,PayCount,1)))/$AA149*12*AP$3,(MIN(((SUMPRODUCT((PayEmp=$C149)*(PayDate&lt;=$AC149)*(ISERROR(SEARCH(PayEarnCode,AP$2)))*(PayEarnType="Monthly")*(PayEarnValues))/$AA149*12)+(SUMPRODUCT((PayEmp=$C149)*(PayDate&lt;=$AC149)*(ISERROR(SEARCH(PayEarnCode,AP$2)))*(PayEarnType="Quarterly")*(PayEarnValues))/MAX(1,ROUNDDOWN($AB149/3,0))*4)+(SUMPRODUCT((PayEmp=$C149)*(PayDate&lt;=$AC149)*(ISERROR(SEARCH(PayEarnCode,AP$2)))*(PayEarnType="Bi-Annual")*(PayEarnValues))/MAX(1,ROUNDDOWN($AB149/6,0))*2)+(SUMPRODUCT((PayEmp=$C149)*(PayDate&lt;=$AC149)*(ISERROR(SEARCH(PayEarnCode,AP$2)))*(PayEarnType="Annual")*(PayEarnValues)))),IF(ISNUMBER(OFFSET($N$3,0,MATCH(AP$5,PayDedList,0)-1,1,1)),OFFSET($N$3,0,MATCH(AP$5,PayDedList,0)-1,1,1),IgnoreMin)))*IF(COUNTIFS(EmpNo,$C149,OFFSET(Emp!$R$4,1,MATCH(AP$5,DedListItem,0)-1,EmpCount,1),"&lt;&gt;")&gt;0,VLOOKUP($C149,EmpAll,COLUMN(Emp!$R$4)+MATCH(AP$5,DedListItem,0)-1,0),OFFSET(Setup!$E$73,MATCH(AP$5,DedListItem,0),0,1,1))*AP$3))),IF(ISNUMBER(AP$4),AP$4,IgnoreMin)))))</f>
        <v>0</v>
      </c>
      <c r="AQ149" s="148" cm="1">
        <f t="array" aca="1" ref="AQ149" ca="1">-IF($F149="Terminated",0,IF($AA149=0,0,IF(ISNA(MATCH(AQ$5,PayDedList,0)),0,MIN(IF(COUNTIFS(OverEmp,$C149,OverDeduct,AQ$5,OverDate,"&lt;"&amp;DATE(YEAR($AC149),MONTH($AC149)+1,1),OverEnd,"&gt;="&amp;DATE(YEAR($AC149),MONTH($AC149),1))&gt;0,SUMPRODUCT((PayEmp=$C149)*(PayDate&lt;=$AC149)*(OFFSET($N$6,1,MATCH(AQ$5,PayDedList,0)-1,PayCount,1)))/$AA149*12*AQ$3,IF(OR(AQ$1="Fixed",AQ$1="Not Used"),SUMPRODUCT((PayEmp=$C149)*(PayDate&lt;=$AC149)*(OFFSET($N$6,1,MATCH(AQ$5,PayDedList,0)-1,PayCount,1)))/$AA149*12*AQ$3,IF(ISNA(MATCH(AQ$1,EarnListItem,0))=FALSE,SUMPRODUCT((PayEmp=$C149)*(PayDate&lt;=$AC149)*(OFFSET($N$6,1,MATCH(AQ$5,PayDedList,0)-1,PayCount,1)))/$AA149*12*AQ$3,(MIN(((SUMPRODUCT((PayEmp=$C149)*(PayDate&lt;=$AC149)*(ISERROR(SEARCH(PayEarnCode,AQ$2)))*(PayEarnType="Monthly")*(PayEarnValues))/$AA149*12)+(SUMPRODUCT((PayEmp=$C149)*(PayDate&lt;=$AC149)*(ISERROR(SEARCH(PayEarnCode,AQ$2)))*(PayEarnType="Quarterly")*(PayEarnValues))/MAX(1,ROUNDDOWN($AB149/3,0))*4)+(SUMPRODUCT((PayEmp=$C149)*(PayDate&lt;=$AC149)*(ISERROR(SEARCH(PayEarnCode,AQ$2)))*(PayEarnType="Bi-Annual")*(PayEarnValues))/MAX(1,ROUNDDOWN($AB149/6,0))*2)+(SUMPRODUCT((PayEmp=$C149)*(PayDate&lt;=$AC149)*(ISERROR(SEARCH(PayEarnCode,AQ$2)))*(PayEarnType="Annual")*(PayEarnValues)))),IF(ISNUMBER(OFFSET($N$3,0,MATCH(AQ$5,PayDedList,0)-1,1,1)),OFFSET($N$3,0,MATCH(AQ$5,PayDedList,0)-1,1,1),IgnoreMin)))*IF(COUNTIFS(EmpNo,$C149,OFFSET(Emp!$R$4,1,MATCH(AQ$5,DedListItem,0)-1,EmpCount,1),"&lt;&gt;")&gt;0,VLOOKUP($C149,EmpAll,COLUMN(Emp!$R$4)+MATCH(AQ$5,DedListItem,0)-1,0),OFFSET(Setup!$E$73,MATCH(AQ$5,DedListItem,0),0,1,1))*AQ$3))),IF(ISNUMBER(AQ$4),AQ$4,IgnoreMin)))))</f>
        <v>0</v>
      </c>
      <c r="AR149" s="148">
        <f t="shared" ca="1" si="64"/>
        <v>117000</v>
      </c>
      <c r="AS149" s="148">
        <f t="shared" ca="1" si="72"/>
        <v>108000</v>
      </c>
      <c r="AT149" s="148" cm="1">
        <f t="array" aca="1" ref="AT149" ca="1">-IF($F149="Terminated",0,IF($AA149=0,0,IF(ISNA(MATCH(AT$5,PayDedList,0)),0,MIN(IF(COUNTIFS(OverEmp,$C149,OverDeduct,AT$5,OverDate,"&lt;"&amp;DATE(YEAR($AC149),MONTH($AC149)+1,1),OverEnd,"&gt;="&amp;DATE(YEAR($AC149),MONTH($AC149),1))&gt;0,SUMPRODUCT((PayEmp=$C149)*(PayDate&lt;=$AC149)*(OFFSET($N$6,1,MATCH(AT$5,PayDedList,0)-1,PayCount,1)))/$AA149*12*AT$3,IF(OR(AT$1="Fixed",AT$1="Not Used"),SUMPRODUCT((PayEmp=$C149)*(PayDate&lt;=$AC149)*(OFFSET($N$6,1,MATCH(AT$5,PayDedList,0)-1,PayCount,1)))/$AA149*12*AT$3,IF(ISNA(MATCH(OFFSET($N$2,0,MATCH(AT$5,PayDedList,0)-1,1,1),EarnListItem,0))=FALSE,SUMPRODUCT((PayEmp=$C149)*(PayDate&lt;=$AC149)*(OFFSET($N$6,1,MATCH(AT$5,PayDedList,0)-1,PayCount,1)))/$AA149*12*AT$3,(MIN(SUMPRODUCT((PayEmp=$C149)*(PayDate&lt;=$AC149)*(ISERROR(SEARCH(PayEarnCode,AT$2)))*(PayEarnType="Monthly")*(PayEarnValues))/$AA149*12,IF(ISNUMBER(OFFSET($N$3,0,MATCH(AT$5,PayDedList,0)-1,1,1)),OFFSET($N$3,0,MATCH(AT$5,PayDedList,0)-1,1,1),IgnoreMin)))*IF(COUNTIFS(EmpNo,$C149,OFFSET(Emp!$R$4,1,MATCH(AT$5,DedListItem,0)-1,EmpCount,1),"&lt;&gt;")&gt;0,VLOOKUP($C149,EmpAll,COLUMN(Emp!$R$4)+MATCH(AT$5,DedListItem,0)-1,0),OFFSET(Setup!$E$73,MATCH(AT$5,DedListItem,0),0,1,1))*AT$3))),IF(ISNUMBER(AT$4),AT$4,IgnoreMin)))))</f>
        <v>0</v>
      </c>
      <c r="AU149" s="148" cm="1">
        <f t="array" aca="1" ref="AU149" ca="1">-IF($F149="Terminated",0,IF($AA149=0,0,IF(ISNA(MATCH(AU$5,PayDedList,0)),0,MIN(IF(COUNTIFS(OverEmp,$C149,OverDeduct,AU$5,OverDate,"&lt;"&amp;DATE(YEAR($AC149),MONTH($AC149)+1,1),OverEnd,"&gt;="&amp;DATE(YEAR($AC149),MONTH($AC149),1))&gt;0,SUMPRODUCT((PayEmp=$C149)*(PayDate&lt;=$AC149)*(OFFSET($N$6,1,MATCH(AU$5,PayDedList,0)-1,PayCount,1)))/$AA149*12*AU$3,IF(OR(AU$1="Fixed",AU$1="Not Used"),SUMPRODUCT((PayEmp=$C149)*(PayDate&lt;=$AC149)*(OFFSET($N$6,1,MATCH(AU$5,PayDedList,0)-1,PayCount,1)))/$AA149*12*AU$3,IF(ISNA(MATCH(OFFSET($N$2,0,MATCH(AU$5,PayDedList,0)-1,1,1),EarnListItem,0))=FALSE,SUMPRODUCT((PayEmp=$C149)*(PayDate&lt;=$AC149)*(OFFSET($N$6,1,MATCH(AU$5,PayDedList,0)-1,PayCount,1)))/$AA149*12*AU$3,(MIN(SUMPRODUCT((PayEmp=$C149)*(PayDate&lt;=$AC149)*(ISERROR(SEARCH(PayEarnCode,AU$2)))*(PayEarnType="Monthly")*(PayEarnValues))/$AA149*12,IF(ISNUMBER(OFFSET($N$3,0,MATCH(AU$5,PayDedList,0)-1,1,1)),OFFSET($N$3,0,MATCH(AU$5,PayDedList,0)-1,1,1),IgnoreMin)))*IF(COUNTIFS(EmpNo,$C149,OFFSET(Emp!$R$4,1,MATCH(AU$5,DedListItem,0)-1,EmpCount,1),"&lt;&gt;")&gt;0,VLOOKUP($C149,EmpAll,COLUMN(Emp!$R$4)+MATCH(AU$5,DedListItem,0)-1,0),OFFSET(Setup!$E$73,MATCH(AU$5,DedListItem,0),0,1,1))*AU$3))),IF(ISNUMBER(AU$4),AU$4,IgnoreMin)))))</f>
        <v>0</v>
      </c>
      <c r="AV149" s="148" cm="1">
        <f t="array" aca="1" ref="AV149" ca="1">-IF($F149="Terminated",0,IF($AA149=0,0,IF(ISNA(MATCH(AV$5,PayDedList,0)),0,MIN(IF(COUNTIFS(OverEmp,$C149,OverDeduct,AV$5,OverDate,"&lt;"&amp;DATE(YEAR($AC149),MONTH($AC149)+1,1),OverEnd,"&gt;="&amp;DATE(YEAR($AC149),MONTH($AC149),1))&gt;0,SUMPRODUCT((PayEmp=$C149)*(PayDate&lt;=$AC149)*(OFFSET($N$6,1,MATCH(AV$5,PayDedList,0)-1,PayCount,1)))/$AA149*12*AV$3,IF(OR(AV$1="Fixed",AV$1="Not Used"),SUMPRODUCT((PayEmp=$C149)*(PayDate&lt;=$AC149)*(OFFSET($N$6,1,MATCH(AV$5,PayDedList,0)-1,PayCount,1)))/$AA149*12*AV$3,IF(ISNA(MATCH(OFFSET($N$2,0,MATCH(AV$5,PayDedList,0)-1,1,1),EarnListItem,0))=FALSE,SUMPRODUCT((PayEmp=$C149)*(PayDate&lt;=$AC149)*(OFFSET($N$6,1,MATCH(AV$5,PayDedList,0)-1,PayCount,1)))/$AA149*12*AV$3,(MIN(SUMPRODUCT((PayEmp=$C149)*(PayDate&lt;=$AC149)*(ISERROR(SEARCH(PayEarnCode,AV$2)))*(PayEarnType="Monthly")*(PayEarnValues))/$AA149*12,IF(ISNUMBER(OFFSET($N$3,0,MATCH(AV$5,PayDedList,0)-1,1,1)),OFFSET($N$3,0,MATCH(AV$5,PayDedList,0)-1,1,1),IgnoreMin)))*IF(COUNTIFS(EmpNo,$C149,OFFSET(Emp!$R$4,1,MATCH(AV$5,DedListItem,0)-1,EmpCount,1),"&lt;&gt;")&gt;0,VLOOKUP($C149,EmpAll,COLUMN(Emp!$R$4)+MATCH(AV$5,DedListItem,0)-1,0),OFFSET(Setup!$E$73,MATCH(AV$5,DedListItem,0),0,1,1))*AV$3))),IF(ISNUMBER(AV$4),AV$4,IgnoreMin)))))</f>
        <v>0</v>
      </c>
      <c r="AW149" s="148" cm="1">
        <f t="array" aca="1" ref="AW149" ca="1">-IF($F149="Terminated",0,IF($AA149=0,0,IF(ISNA(MATCH(AW$5,PayDedList,0)),0,MIN(IF(COUNTIFS(OverEmp,$C149,OverDeduct,AW$5,OverDate,"&lt;"&amp;DATE(YEAR($AC149),MONTH($AC149)+1,1),OverEnd,"&gt;="&amp;DATE(YEAR($AC149),MONTH($AC149),1))&gt;0,SUMPRODUCT((PayEmp=$C149)*(PayDate&lt;=$AC149)*(OFFSET($N$6,1,MATCH(AW$5,PayDedList,0)-1,PayCount,1)))/$AA149*12*AW$3,IF(OR(AW$1="Fixed",AW$1="Not Used"),SUMPRODUCT((PayEmp=$C149)*(PayDate&lt;=$AC149)*(OFFSET($N$6,1,MATCH(AW$5,PayDedList,0)-1,PayCount,1)))/$AA149*12*AW$3,IF(ISNA(MATCH(OFFSET($N$2,0,MATCH(AW$5,PayDedList,0)-1,1,1),EarnListItem,0))=FALSE,SUMPRODUCT((PayEmp=$C149)*(PayDate&lt;=$AC149)*(OFFSET($N$6,1,MATCH(AW$5,PayDedList,0)-1,PayCount,1)))/$AA149*12*AW$3,(MIN(SUMPRODUCT((PayEmp=$C149)*(PayDate&lt;=$AC149)*(ISERROR(SEARCH(PayEarnCode,AW$2)))*(PayEarnType="Monthly")*(PayEarnValues))/$AA149*12,IF(ISNUMBER(OFFSET($N$3,0,MATCH(AW$5,PayDedList,0)-1,1,1)),OFFSET($N$3,0,MATCH(AW$5,PayDedList,0)-1,1,1),IgnoreMin)))*IF(COUNTIFS(EmpNo,$C149,OFFSET(Emp!$R$4,1,MATCH(AW$5,DedListItem,0)-1,EmpCount,1),"&lt;&gt;")&gt;0,VLOOKUP($C149,EmpAll,COLUMN(Emp!$R$4)+MATCH(AW$5,DedListItem,0)-1,0),OFFSET(Setup!$E$73,MATCH(AW$5,DedListItem,0),0,1,1))*AW$3))),IF(ISNUMBER(AW$4),AW$4,IgnoreMin)))))</f>
        <v>0</v>
      </c>
      <c r="AX149" s="148">
        <f t="shared" ca="1" si="73"/>
        <v>108000</v>
      </c>
      <c r="AY149" s="148">
        <f t="shared" ca="1" si="74"/>
        <v>9000</v>
      </c>
      <c r="AZ149" s="148">
        <f ca="1">IF(ISNUMBER($AL149),($AR149*$AL149)-$AI149-$AK149,MAX(0,IF($AL149="B",IF($AR149&lt;Setup!$C$32,($AR149*Setup!$D$32)-$AI149-$AK149,(($AR149-VLOOKUP($AR149,TaxAll2,1,1))*OFFSET(Setup!$D$32,MATCH($AR149,TaxBracket2,1),0,1,1))+OFFSET(Setup!$E$31,MATCH($AR149,TaxBracket2,1),0,1,1)-$AI149-$AK149),IF($AR149&lt;Setup!$C$21,($AR149*Setup!$D$21)-$AI149-$AK149,(($AR149-VLOOKUP($AR149,TaxAll1,1,1))*OFFSET(Setup!$D$21,MATCH($AR149,TaxBracket1,1),0,1,1))+OFFSET(Setup!$E$20,MATCH($AR149,TaxBracket1,1),0,1,1)-$AI149-$AK149))))</f>
        <v>3825</v>
      </c>
      <c r="BA149" s="148">
        <f ca="1">IF(ISNUMBER($AL149),($AX149*$AL149)-$AI149-$AK149,MAX(0,IF($AL149="B",IF($AX149&lt;Setup!$C$32,($AX149*Setup!$D$32)-$AI149-$AK149,(($AX149-VLOOKUP($AX149,TaxAll2,1,1))*OFFSET(Setup!$D$32,MATCH($AX149,TaxBracket2,1),0,1,1))+OFFSET(Setup!$E$31,MATCH($AX149,TaxBracket2,1),0,1,1)-$AI149-$AK149),IF($AX149&lt;Setup!$C$21,($AX149*Setup!$D$21)-$AI149-$AK149,(($AX149-VLOOKUP($AX149,TaxAll1,1,1))*OFFSET(Setup!$D$21,MATCH($AX149,TaxBracket1,1),0,1,1))+OFFSET(Setup!$E$20,MATCH($AX149,TaxBracket1,1),0,1,1)-$AI149-$AK149))))</f>
        <v>2205</v>
      </c>
      <c r="BB149" s="148">
        <f t="shared" ca="1" si="65"/>
        <v>1620</v>
      </c>
      <c r="BC149" s="150">
        <f t="shared" ca="1" si="75"/>
        <v>0.92307692307692313</v>
      </c>
      <c r="BD149" s="150">
        <f t="shared" ca="1" si="76"/>
        <v>7.6923076923076927E-2</v>
      </c>
      <c r="BE149" s="148">
        <f t="shared" ca="1" si="77"/>
        <v>117000</v>
      </c>
    </row>
    <row r="150" spans="1:57" ht="16.149999999999999" customHeight="1" x14ac:dyDescent="0.25">
      <c r="A150" s="10" t="str" cm="1">
        <f t="array" aca="1" ref="A150" ca="1">IF(ROW($A150)-ROW($A$6)&gt;EmpCount*12,"-",TEXT($B150,"yyyy")&amp;TEXT($B150,"mm")&amp;"-"&amp;$C150)</f>
        <v>202312-EXS009</v>
      </c>
      <c r="B150" s="137" cm="1">
        <f t="array" aca="1" ref="B150" ca="1">IF(ROW($A150)-ROW($A$6)&gt;EmpCount*12,Setup!$D$12,DATE(YEAR(Setup!$F$12),MONTH(Setup!$F$12)+ROUNDDOWN((ROW($A150)-ROW($A$6)-1)/EmpCount,0),IF(Setup!$C$14&gt;DAY(DATE(YEAR(Setup!$F$12),MONTH(Setup!$F$12)+ROUNDDOWN((ROW($A150)-ROW($A$6)-1)/EmpCount,0)+1,0)),DAY(DATE(YEAR(Setup!$F$12),MONTH(Setup!$F$12)+ROUNDDOWN((ROW($A150)-ROW($A$6)-1)/EmpCount,0)+1,0)),Setup!$C$14)))</f>
        <v>45285</v>
      </c>
      <c r="C150" s="101" t="str" cm="1">
        <f t="array" aca="1" ref="C150" ca="1">IF(ROW($A150)-ROW($A$6)&gt;EmpCount*12,"-",OFFSET(Emp!$A$4,ROW($A150)-ROW($A$6)-IF(ROW($A150)-ROW($A$6)&gt;EmpCount,ROUNDDOWN((ROW($A150)-ROW($A$6)-1)/EmpCount,0)*EmpCount,0),0,1,1))</f>
        <v>EXS009</v>
      </c>
      <c r="D150" s="10" t="str">
        <f ca="1">IF(ISNA(VLOOKUP($C150,EmpAll,COLUMN(Emp!$B$4),0)),"-",VLOOKUP($C150,EmpAll,COLUMN(Emp!$B$4),0))</f>
        <v>Brown JT</v>
      </c>
      <c r="E150" s="145" t="str">
        <f ca="1">IF(ISNA(VLOOKUP($C150,EmpAll,COLUMN(Emp!$C$4),0)),"-",VLOOKUP($C150,EmpAll,COLUMN(Emp!$C$4),0))</f>
        <v>A</v>
      </c>
      <c r="F150" s="101" t="str">
        <f ca="1">IF(ISNA(VLOOKUP($C150,EmpAll,COLUMN(Emp!$A$4),0)),"-",IF(AND(VLOOKUP($C150,EmpAll,COLUMN(Emp!$E$4),0)&lt;&gt;0,VLOOKUP($C150,EmpAll,COLUMN(Emp!$E$4),0)&gt;=DATE(YEAR($AC150),MONTH($AC150)+1,0)),"Inactive",IF(AND(VLOOKUP($C150,EmpAll,COLUMN(Emp!$F$4),0)&lt;&gt;0,VLOOKUP($C150,EmpAll,COLUMN(Emp!$F$4),0)&lt;=DATE(YEAR($AC150),MONTH($AC150),0)),"Terminated","Active")))</f>
        <v>Active</v>
      </c>
      <c r="G150" s="133" cm="1">
        <f t="array" aca="1" ref="G150" ca="1">IF($F150&lt;&gt;"Active",0,IF(COUNTIFS(OverEmp,$C150,OverEarn,G$2,OverDate,"&lt;"&amp;DATE(YEAR($AC150),MONTH($AC150)+1,1),OverEnd,"&gt;="&amp;DATE(YEAR($AC150),MONTH($AC150),1))&gt;0,SUMIFS(OverValue,OverEmp,$C150,OverEarn,G$2,OverDate,"&lt;"&amp;DATE(YEAR($AC150),MONTH($AC150)+1,1),OverEnd,"&gt;="&amp;DATE(YEAR($AC150),MONTH($AC150),1)),IF(AND($AC150&gt;=Setup!$E$10,SUMIFS(EmpIncrease,EmpCode,$C150)&gt;0),SUMIFS(EmpIncrease,EmpCode,$C150),SUMIFS(EmpSalary,EmpCode,$C150))))</f>
        <v>9000</v>
      </c>
      <c r="H150" s="133" cm="1">
        <f t="array" aca="1" ref="H150" ca="1">IF($F150&lt;&gt;"Active",0,IF(COUNTIFS(OverEmp,$C150,OverEarn,H$2,OverDate,"&lt;"&amp;DATE(YEAR($AC150),MONTH($AC150)+1,1),OverEnd,"&gt;="&amp;DATE(YEAR($AC150),MONTH($AC150),1))&gt;0,SUMIFS(OverValue,OverEmp,$C150,OverEarn,H$2,OverDate,"&lt;"&amp;DATE(YEAR($AC150),MONTH($AC150)+1,1),OverEnd,"&gt;="&amp;DATE(YEAR($AC150),MONTH($AC150),1)),0))</f>
        <v>0</v>
      </c>
      <c r="I150" s="133" cm="1">
        <f t="array" aca="1" ref="I150" ca="1">IF($F150&lt;&gt;"Active",0,IF(COUNTIFS(OverEmp,$C150,OverEarn,I$2,OverDate,"&lt;"&amp;DATE(YEAR($AC150),MONTH($AC150)+1,1),OverEnd,"&gt;="&amp;DATE(YEAR($AC150),MONTH($AC150),1))&gt;0,SUMIFS(OverValue,OverEmp,$C150,OverEarn,I$2,OverDate,"&lt;"&amp;DATE(YEAR($AC150),MONTH($AC150)+1,1),OverEnd,"&gt;="&amp;DATE(YEAR($AC150),MONTH($AC150),1)),IF(MONTH(B150)=Setup!$C$15,SUMIFS(EmpBonus,EmpCode,$C150),0)))</f>
        <v>9000</v>
      </c>
      <c r="J150" s="133" cm="1">
        <f t="array" aca="1" ref="J150" ca="1">IF($F150&lt;&gt;"Active",0,IF(COUNTIFS(OverEmp,$C150,OverEarn,J$2,OverDate,"&lt;"&amp;DATE(YEAR($AC150),MONTH($AC150)+1,1),OverEnd,"&gt;="&amp;DATE(YEAR($AC150),MONTH($AC150),1))&gt;0,SUMIFS(OverValue,OverEmp,$C150,OverEarn,J$2,OverDate,"&lt;"&amp;DATE(YEAR($AC150),MONTH($AC150)+1,1),OverEnd,"&gt;="&amp;DATE(YEAR($AC150),MONTH($AC150),1)),0))</f>
        <v>0</v>
      </c>
      <c r="K150" s="133" cm="1">
        <f t="array" aca="1" ref="K150" ca="1">IF($F150&lt;&gt;"Active",0,IF(COUNTIFS(OverEmp,$C150,OverEarn,K$2,OverDate,"&lt;"&amp;DATE(YEAR($AC150),MONTH($AC150)+1,1),OverEnd,"&gt;="&amp;DATE(YEAR($AC150),MONTH($AC150),1))&gt;0,SUMIFS(OverValue,OverEmp,$C150,OverEarn,K$2,OverDate,"&lt;"&amp;DATE(YEAR($AC150),MONTH($AC150)+1,1),OverEnd,"&gt;="&amp;DATE(YEAR($AC150),MONTH($AC150),1)),0))</f>
        <v>0</v>
      </c>
      <c r="L150" s="185">
        <f t="shared" ca="1" si="66"/>
        <v>18000</v>
      </c>
      <c r="M150" s="182" cm="1">
        <f t="array" aca="1" ref="M150" ca="1">IF(COUNTIFS(OverEmp,$C150,OverTax,M$5,OverDate,"&lt;"&amp;DATE(YEAR($AC150),MONTH($AC150)+1,1),OverEnd,"&gt;="&amp;DATE(YEAR($AC150),MONTH($AC150),1))&gt;0,SUMIFS(OverValue,OverEmp,$C150,OverTax,M$5,OverDate,"&lt;"&amp;DATE(YEAR($AC150),MONTH($AC150)+1,1),OverEnd,"&gt;="&amp;DATE(YEAR($AC150),MONTH($AC150),1)),(($BA150/12*$AA150)+(BB150*IF(1-$BC150=0,0,BD150/(1-$BC150))))-IF($F150="Terminated",0,SUMIFS(PayTaxDeduct,PayDate,"&lt;"&amp;$AC150,PayEmp,$C150)))</f>
        <v>1803.7500000000009</v>
      </c>
      <c r="N150" s="133" cm="1">
        <f t="array" aca="1" ref="N150" ca="1">IF($F150="Terminated",0,IF($AA150=0,0,IF(ISNA(MATCH(N$5,DedListItem,0)),0,IF(COUNTIFS(OverEmp,$C150,OverDeduct,N$5,OverDate,"&lt;"&amp;DATE(YEAR($AC150),MONTH($AC150)+1,1),OverEnd,"&gt;="&amp;DATE(YEAR($AC150),MONTH($AC150),1))&gt;0,SUMIFS(OverValue,OverEmp,$C150,OverDeduct,N$5,OverDate,"&lt;"&amp;DATE(YEAR($AC150),MONTH($AC150)+1,1),OverEnd,"&gt;="&amp;DATE(YEAR($AC150),MONTH($AC150),1)),IF(OR(N$2="Fixed",N$2="Not Used"),(IF(COUNTIFS(EmpNo,$C150,OFFSET(Emp!$R$4,1,MATCH(N$5,DedListItem,0)-1,EmpCount,1),"&lt;&gt;")&gt;0,VLOOKUP($C150,EmpAll,COLUMN(Emp!$R$4)+MATCH(N$5,DedListItem,0)-1,0),OFFSET(Setup!$E$73,MATCH(N$5,DedListItem,0),0,1,1))*$AA150)-SUMIFS(OFFSET(N$6,1,0,PayCount,1),PayDate,"&lt;"&amp;$AC150,PayEmp,$C150),IF(ISNA(MATCH(N$2,EarnListItem,0))=FALSE,IF(OFFSET(Setup!$G$73,MATCH(N$5,DedListItem,0),0,1,1)="Taxable",SUMPRODUCT((PayEmp=$C150)*(PayDate&lt;=$AC150)*(PayEarnCode=N$2)*(PayEarnTax)*(PayEarnValues)),SUMPRODUCT((PayEmp=$C150)*(PayDate&lt;=$AC150)*(PayEarnCode=N$2)*(PayEarnValues)))*IF(COUNTIFS(EmpNo,$C150,OFFSET(Emp!$R$4,1,MATCH(N$5,DedListItem,0)-1,EmpCount,1),"&lt;&gt;")&gt;0,VLOOKUP($C150,EmpAll,COLUMN(Emp!$R$4)+MATCH(N$5,DedListItem,0)-1,0),OFFSET(Setup!$E$73,MATCH(N$5,DedListItem,0),0,1,1)),(MIN(IF(OFFSET(Setup!$G$73,MATCH(N$5,DedListItem,0),0,1,1)="Taxable",SUMPRODUCT((PayEmp=$C150)*(PayDate&lt;=$AC150)*(ISERROR(SEARCH(PayEarnCode,N$4)))*(PayEarnTax)*(PayEarnValues)),SUMPRODUCT((PayEmp=$C150)*(PayDate&lt;=$AC150)*(ISERROR(SEARCH(PayEarnCode,N$4)))*(PayEarnValues))),IF(ISNUMBER(N$3),N$3/12*$AA150,IgnoreMin)))*IF(COUNTIFS(EmpNo,$C150,OFFSET(Emp!$R$4,1,MATCH(N$5,DedListItem,0)-1,EmpCount,1),"&lt;&gt;")&gt;0,VLOOKUP($C150,EmpAll,COLUMN(Emp!$R$4)+MATCH(N$5,DedListItem,0)-1,0),OFFSET(Setup!$E$73,MATCH(N$5,DedListItem,0),0,1,1)))-SUMIFS(OFFSET(N$6,1,0,PayCount,1),PayDate,"&lt;"&amp;$AC150,PayEmp,$C150))))))</f>
        <v>180</v>
      </c>
      <c r="O150" s="133" cm="1">
        <f t="array" aca="1" ref="O150" ca="1">IF($F150="Terminated",0,IF($AA150=0,0,IF(ISNA(MATCH(O$5,DedListItem,0)),0,IF(COUNTIFS(OverEmp,$C150,OverDeduct,O$5,OverDate,"&lt;"&amp;DATE(YEAR($AC150),MONTH($AC150)+1,1),OverEnd,"&gt;="&amp;DATE(YEAR($AC150),MONTH($AC150),1))&gt;0,SUMIFS(OverValue,OverEmp,$C150,OverDeduct,O$5,OverDate,"&lt;"&amp;DATE(YEAR($AC150),MONTH($AC150)+1,1),OverEnd,"&gt;="&amp;DATE(YEAR($AC150),MONTH($AC150),1)),IF(OR(O$2="Fixed",O$2="Not Used"),(IF(COUNTIFS(EmpNo,$C150,OFFSET(Emp!$R$4,1,MATCH(O$5,DedListItem,0)-1,EmpCount,1),"&lt;&gt;")&gt;0,VLOOKUP($C150,EmpAll,COLUMN(Emp!$R$4)+MATCH(O$5,DedListItem,0)-1,0),OFFSET(Setup!$E$73,MATCH(O$5,DedListItem,0),0,1,1))*$AA150)-SUMIFS(OFFSET(O$6,1,0,PayCount,1),PayDate,"&lt;"&amp;$AC150,PayEmp,$C150),IF(ISNA(MATCH(O$2,EarnListItem,0))=FALSE,IF(OFFSET(Setup!$G$73,MATCH(O$5,DedListItem,0),0,1,1)="Taxable",SUMPRODUCT((PayEmp=$C150)*(PayDate&lt;=$AC150)*(PayEarnCode=O$2)*(PayEarnTax)*(PayEarnValues)),SUMPRODUCT((PayEmp=$C150)*(PayDate&lt;=$AC150)*(PayEarnCode=O$2)*(PayEarnValues)))*IF(COUNTIFS(EmpNo,$C150,OFFSET(Emp!$R$4,1,MATCH(O$5,DedListItem,0)-1,EmpCount,1),"&lt;&gt;")&gt;0,VLOOKUP($C150,EmpAll,COLUMN(Emp!$R$4)+MATCH(O$5,DedListItem,0)-1,0),OFFSET(Setup!$E$73,MATCH(O$5,DedListItem,0),0,1,1)),(MIN(IF(OFFSET(Setup!$G$73,MATCH(O$5,DedListItem,0),0,1,1)="Taxable",SUMPRODUCT((PayEmp=$C150)*(PayDate&lt;=$AC150)*(ISERROR(SEARCH(PayEarnCode,O$4)))*(PayEarnTax)*(PayEarnValues)),SUMPRODUCT((PayEmp=$C150)*(PayDate&lt;=$AC150)*(ISERROR(SEARCH(PayEarnCode,O$4)))*(PayEarnValues))),IF(ISNUMBER(O$3),O$3/12*$AA150,IgnoreMin)))*IF(COUNTIFS(EmpNo,$C150,OFFSET(Emp!$R$4,1,MATCH(O$5,DedListItem,0)-1,EmpCount,1),"&lt;&gt;")&gt;0,VLOOKUP($C150,EmpAll,COLUMN(Emp!$R$4)+MATCH(O$5,DedListItem,0)-1,0),OFFSET(Setup!$E$73,MATCH(O$5,DedListItem,0),0,1,1)))-SUMIFS(OFFSET(O$6,1,0,PayCount,1),PayDate,"&lt;"&amp;$AC150,PayEmp,$C150))))))</f>
        <v>0</v>
      </c>
      <c r="P150" s="133" cm="1">
        <f t="array" aca="1" ref="P150" ca="1">IF($F150="Terminated",0,IF($AA150=0,0,IF(ISNA(MATCH(P$5,DedListItem,0)),0,IF(COUNTIFS(OverEmp,$C150,OverDeduct,P$5,OverDate,"&lt;"&amp;DATE(YEAR($AC150),MONTH($AC150)+1,1),OverEnd,"&gt;="&amp;DATE(YEAR($AC150),MONTH($AC150),1))&gt;0,SUMIFS(OverValue,OverEmp,$C150,OverDeduct,P$5,OverDate,"&lt;"&amp;DATE(YEAR($AC150),MONTH($AC150)+1,1),OverEnd,"&gt;="&amp;DATE(YEAR($AC150),MONTH($AC150),1)),IF(OR(P$2="Fixed",P$2="Not Used"),(IF(COUNTIFS(EmpNo,$C150,OFFSET(Emp!$R$4,1,MATCH(P$5,DedListItem,0)-1,EmpCount,1),"&lt;&gt;")&gt;0,VLOOKUP($C150,EmpAll,COLUMN(Emp!$R$4)+MATCH(P$5,DedListItem,0)-1,0),OFFSET(Setup!$E$73,MATCH(P$5,DedListItem,0),0,1,1))*$AA150)-SUMIFS(OFFSET(P$6,1,0,PayCount,1),PayDate,"&lt;"&amp;$AC150,PayEmp,$C150),IF(ISNA(MATCH(P$2,EarnListItem,0))=FALSE,IF(OFFSET(Setup!$G$73,MATCH(P$5,DedListItem,0),0,1,1)="Taxable",SUMPRODUCT((PayEmp=$C150)*(PayDate&lt;=$AC150)*(PayEarnCode=P$2)*(PayEarnTax)*(PayEarnValues)),SUMPRODUCT((PayEmp=$C150)*(PayDate&lt;=$AC150)*(PayEarnCode=P$2)*(PayEarnValues)))*IF(COUNTIFS(EmpNo,$C150,OFFSET(Emp!$R$4,1,MATCH(P$5,DedListItem,0)-1,EmpCount,1),"&lt;&gt;")&gt;0,VLOOKUP($C150,EmpAll,COLUMN(Emp!$R$4)+MATCH(P$5,DedListItem,0)-1,0),OFFSET(Setup!$E$73,MATCH(P$5,DedListItem,0),0,1,1)),(MIN(IF(OFFSET(Setup!$G$73,MATCH(P$5,DedListItem,0),0,1,1)="Taxable",SUMPRODUCT((PayEmp=$C150)*(PayDate&lt;=$AC150)*(ISERROR(SEARCH(PayEarnCode,P$4)))*(PayEarnTax)*(PayEarnValues)),SUMPRODUCT((PayEmp=$C150)*(PayDate&lt;=$AC150)*(ISERROR(SEARCH(PayEarnCode,P$4)))*(PayEarnValues))),IF(ISNUMBER(P$3),P$3/12*$AA150,IgnoreMin)))*IF(COUNTIFS(EmpNo,$C150,OFFSET(Emp!$R$4,1,MATCH(P$5,DedListItem,0)-1,EmpCount,1),"&lt;&gt;")&gt;0,VLOOKUP($C150,EmpAll,COLUMN(Emp!$R$4)+MATCH(P$5,DedListItem,0)-1,0),OFFSET(Setup!$E$73,MATCH(P$5,DedListItem,0),0,1,1)))-SUMIFS(OFFSET(P$6,1,0,PayCount,1),PayDate,"&lt;"&amp;$AC150,PayEmp,$C150))))))</f>
        <v>0</v>
      </c>
      <c r="Q150" s="133" cm="1">
        <f t="array" aca="1" ref="Q150" ca="1">IF($F150="Terminated",0,IF($AA150=0,0,IF(ISNA(MATCH(Q$5,DedListItem,0)),0,IF(COUNTIFS(OverEmp,$C150,OverDeduct,Q$5,OverDate,"&lt;"&amp;DATE(YEAR($AC150),MONTH($AC150)+1,1),OverEnd,"&gt;="&amp;DATE(YEAR($AC150),MONTH($AC150),1))&gt;0,SUMIFS(OverValue,OverEmp,$C150,OverDeduct,Q$5,OverDate,"&lt;"&amp;DATE(YEAR($AC150),MONTH($AC150)+1,1),OverEnd,"&gt;="&amp;DATE(YEAR($AC150),MONTH($AC150),1)),IF(OR(Q$2="Fixed",Q$2="Not Used"),(IF(COUNTIFS(EmpNo,$C150,OFFSET(Emp!$R$4,1,MATCH(Q$5,DedListItem,0)-1,EmpCount,1),"&lt;&gt;")&gt;0,VLOOKUP($C150,EmpAll,COLUMN(Emp!$R$4)+MATCH(Q$5,DedListItem,0)-1,0),OFFSET(Setup!$E$73,MATCH(Q$5,DedListItem,0),0,1,1))*$AA150)-SUMIFS(OFFSET(Q$6,1,0,PayCount,1),PayDate,"&lt;"&amp;$AC150,PayEmp,$C150),IF(ISNA(MATCH(Q$2,EarnListItem,0))=FALSE,IF(OFFSET(Setup!$G$73,MATCH(Q$5,DedListItem,0),0,1,1)="Taxable",SUMPRODUCT((PayEmp=$C150)*(PayDate&lt;=$AC150)*(PayEarnCode=Q$2)*(PayEarnTax)*(PayEarnValues)),SUMPRODUCT((PayEmp=$C150)*(PayDate&lt;=$AC150)*(PayEarnCode=Q$2)*(PayEarnValues)))*IF(COUNTIFS(EmpNo,$C150,OFFSET(Emp!$R$4,1,MATCH(Q$5,DedListItem,0)-1,EmpCount,1),"&lt;&gt;")&gt;0,VLOOKUP($C150,EmpAll,COLUMN(Emp!$R$4)+MATCH(Q$5,DedListItem,0)-1,0),OFFSET(Setup!$E$73,MATCH(Q$5,DedListItem,0),0,1,1)),(MIN(IF(OFFSET(Setup!$G$73,MATCH(Q$5,DedListItem,0),0,1,1)="Taxable",SUMPRODUCT((PayEmp=$C150)*(PayDate&lt;=$AC150)*(ISERROR(SEARCH(PayEarnCode,Q$4)))*(PayEarnTax)*(PayEarnValues)),SUMPRODUCT((PayEmp=$C150)*(PayDate&lt;=$AC150)*(ISERROR(SEARCH(PayEarnCode,Q$4)))*(PayEarnValues))),IF(ISNUMBER(Q$3),Q$3/12*$AA150,IgnoreMin)))*IF(COUNTIFS(EmpNo,$C150,OFFSET(Emp!$R$4,1,MATCH(Q$5,DedListItem,0)-1,EmpCount,1),"&lt;&gt;")&gt;0,VLOOKUP($C150,EmpAll,COLUMN(Emp!$R$4)+MATCH(Q$5,DedListItem,0)-1,0),OFFSET(Setup!$E$73,MATCH(Q$5,DedListItem,0),0,1,1)))-SUMIFS(OFFSET(Q$6,1,0,PayCount,1),PayDate,"&lt;"&amp;$AC150,PayEmp,$C150))))))</f>
        <v>0</v>
      </c>
      <c r="R150" s="185">
        <f t="shared" ca="1" si="67"/>
        <v>1983.7500000000009</v>
      </c>
      <c r="S150" s="139">
        <f t="shared" ca="1" si="68"/>
        <v>16016.25</v>
      </c>
      <c r="T150" s="133" cm="1">
        <f t="array" aca="1" ref="T150" ca="1">IF($F150="Terminated",0,IF($AA150=0,0,IF(ISNA(MATCH(T$5,CompListItem,0)),0,IF(COUNTIFS(OverEmp,$C150,OverComp,T$5,OverDate,"&lt;"&amp;DATE(YEAR($AC150),MONTH($AC150)+1,1),OverEnd,"&gt;="&amp;DATE(YEAR($AC150),MONTH($AC150),1))&gt;0,SUMIFS(OverValue,OverEmp,$C150,OverComp,T$5,OverDate,"&lt;"&amp;DATE(YEAR($AC150),MONTH($AC150)+1,1),OverEnd,"&gt;="&amp;DATE(YEAR($AC150),MONTH($AC150),1)),IF(OR(T$2="Fixed",T$2="Not Used"),(OFFSET(Setup!$E$81,MATCH(T$5,CompListItem,0),0,1,1)*$AA150)-SUMIFS(OFFSET(T$6,1,0,PayCount,1),PayDate,"&lt;"&amp;$AC150,PayEmp,$C150),IF(ISNA(MATCH(T$2,DedListItem,0))=FALSE,(SUMPRODUCT((PayEmp=$C150)*(PayDate&lt;=$AC150)*(PayDedList=T$2)*(PayDedValues))*OFFSET(Setup!$E$81,MATCH(T$5,CompListItem,0),0,1,1))-SUMIFS(OFFSET(T$6,1,0,PayCount,1),PayDate,"&lt;"&amp;$AC150,PayEmp,$C150),(MIN(IF(OFFSET(Setup!$G$81,MATCH(T$5,CompListItem,0),0,1,1)="Taxable",SUMPRODUCT((PayEmp=$C150)*(PayDate&lt;=$AC150)*(ISERROR(SEARCH(PayEarnCode,T$4)))*(PayEarnTax)*(PayEarnValues)),SUMPRODUCT((PayEmp=$C150)*(PayDate&lt;=$AC150)*(ISERROR(SEARCH(PayEarnCode,T$4)))*(PayEarnValues))),IF(ISNUMBER(T$3),T$3/12*$AA150,IgnoreMin)))*OFFSET(Setup!$E$81,MATCH(T$5,CompListItem,0),0,1,1)-SUMIFS(OFFSET(T$6,1,0,PayCount,1),PayDate,"&lt;"&amp;$AC150,PayEmp,$C150)))))))</f>
        <v>180</v>
      </c>
      <c r="U150" s="133" cm="1">
        <f t="array" aca="1" ref="U150" ca="1">IF($F150="Terminated",0,IF($AA150=0,0,IF(ISNA(MATCH(U$5,CompListItem,0)),0,IF(COUNTIFS(OverEmp,$C150,OverComp,U$5,OverDate,"&lt;"&amp;DATE(YEAR($AC150),MONTH($AC150)+1,1),OverEnd,"&gt;="&amp;DATE(YEAR($AC150),MONTH($AC150),1))&gt;0,SUMIFS(OverValue,OverEmp,$C150,OverComp,U$5,OverDate,"&lt;"&amp;DATE(YEAR($AC150),MONTH($AC150)+1,1),OverEnd,"&gt;="&amp;DATE(YEAR($AC150),MONTH($AC150),1)),IF(OR(U$2="Fixed",U$2="Not Used"),(OFFSET(Setup!$E$81,MATCH(U$5,CompListItem,0),0,1,1)*$AA150)-SUMIFS(OFFSET(U$6,1,0,PayCount,1),PayDate,"&lt;"&amp;$AC150,PayEmp,$C150),IF(ISNA(MATCH(U$2,DedListItem,0))=FALSE,(SUMPRODUCT((PayEmp=$C150)*(PayDate&lt;=$AC150)*(PayDedList=U$2)*(PayDedValues))*OFFSET(Setup!$E$81,MATCH(U$5,CompListItem,0),0,1,1))-SUMIFS(OFFSET(U$6,1,0,PayCount,1),PayDate,"&lt;"&amp;$AC150,PayEmp,$C150),(MIN(IF(OFFSET(Setup!$G$81,MATCH(U$5,CompListItem,0),0,1,1)="Taxable",SUMPRODUCT((PayEmp=$C150)*(PayDate&lt;=$AC150)*(ISERROR(SEARCH(PayEarnCode,U$4)))*(PayEarnTax)*(PayEarnValues)),SUMPRODUCT((PayEmp=$C150)*(PayDate&lt;=$AC150)*(ISERROR(SEARCH(PayEarnCode,U$4)))*(PayEarnValues))),IF(ISNUMBER(U$3),U$3/12*$AA150,IgnoreMin)))*OFFSET(Setup!$E$81,MATCH(U$5,CompListItem,0),0,1,1)-SUMIFS(OFFSET(U$6,1,0,PayCount,1),PayDate,"&lt;"&amp;$AC150,PayEmp,$C150)))))))</f>
        <v>180</v>
      </c>
      <c r="V150" s="133" cm="1">
        <f t="array" aca="1" ref="V150" ca="1">IF($F150="Terminated",0,IF($AA150=0,0,IF(ISNA(MATCH(V$5,CompListItem,0)),0,IF(COUNTIFS(OverEmp,$C150,OverComp,V$5,OverDate,"&lt;"&amp;DATE(YEAR($AC150),MONTH($AC150)+1,1),OverEnd,"&gt;="&amp;DATE(YEAR($AC150),MONTH($AC150),1))&gt;0,SUMIFS(OverValue,OverEmp,$C150,OverComp,V$5,OverDate,"&lt;"&amp;DATE(YEAR($AC150),MONTH($AC150)+1,1),OverEnd,"&gt;="&amp;DATE(YEAR($AC150),MONTH($AC150),1)),IF(OR(V$2="Fixed",V$2="Not Used"),(OFFSET(Setup!$E$81,MATCH(V$5,CompListItem,0),0,1,1)*$AA150)-SUMIFS(OFFSET(V$6,1,0,PayCount,1),PayDate,"&lt;"&amp;$AC150,PayEmp,$C150),IF(ISNA(MATCH(V$2,DedListItem,0))=FALSE,(SUMPRODUCT((PayEmp=$C150)*(PayDate&lt;=$AC150)*(PayDedList=V$2)*(PayDedValues))*OFFSET(Setup!$E$81,MATCH(V$5,CompListItem,0),0,1,1))-SUMIFS(OFFSET(V$6,1,0,PayCount,1),PayDate,"&lt;"&amp;$AC150,PayEmp,$C150),(MIN(IF(OFFSET(Setup!$G$81,MATCH(V$5,CompListItem,0),0,1,1)="Taxable",SUMPRODUCT((PayEmp=$C150)*(PayDate&lt;=$AC150)*(ISERROR(SEARCH(PayEarnCode,V$4)))*(PayEarnTax)*(PayEarnValues)),SUMPRODUCT((PayEmp=$C150)*(PayDate&lt;=$AC150)*(ISERROR(SEARCH(PayEarnCode,V$4)))*(PayEarnValues))),IF(ISNUMBER(V$3),V$3/12*$AA150,IgnoreMin)))*OFFSET(Setup!$E$81,MATCH(V$5,CompListItem,0),0,1,1)-SUMIFS(OFFSET(V$6,1,0,PayCount,1),PayDate,"&lt;"&amp;$AC150,PayEmp,$C150)))))))</f>
        <v>0</v>
      </c>
      <c r="W150" s="133" cm="1">
        <f t="array" aca="1" ref="W150" ca="1">IF($F150="Terminated",0,IF($AA150=0,0,IF(ISNA(MATCH(W$5,CompListItem,0)),0,IF(COUNTIFS(OverEmp,$C150,OverComp,W$5,OverDate,"&lt;"&amp;DATE(YEAR($AC150),MONTH($AC150)+1,1),OverEnd,"&gt;="&amp;DATE(YEAR($AC150),MONTH($AC150),1))&gt;0,SUMIFS(OverValue,OverEmp,$C150,OverComp,W$5,OverDate,"&lt;"&amp;DATE(YEAR($AC150),MONTH($AC150)+1,1),OverEnd,"&gt;="&amp;DATE(YEAR($AC150),MONTH($AC150),1)),IF(OR(W$2="Fixed",W$2="Not Used"),(OFFSET(Setup!$E$81,MATCH(W$5,CompListItem,0),0,1,1)*$AA150)-SUMIFS(OFFSET(W$6,1,0,PayCount,1),PayDate,"&lt;"&amp;$AC150,PayEmp,$C150),IF(ISNA(MATCH(W$2,DedListItem,0))=FALSE,(SUMPRODUCT((PayEmp=$C150)*(PayDate&lt;=$AC150)*(PayDedList=W$2)*(PayDedValues))*OFFSET(Setup!$E$81,MATCH(W$5,CompListItem,0),0,1,1))-SUMIFS(OFFSET(W$6,1,0,PayCount,1),PayDate,"&lt;"&amp;$AC150,PayEmp,$C150),(MIN(IF(OFFSET(Setup!$G$81,MATCH(W$5,CompListItem,0),0,1,1)="Taxable",SUMPRODUCT((PayEmp=$C150)*(PayDate&lt;=$AC150)*(ISERROR(SEARCH(PayEarnCode,W$4)))*(PayEarnTax)*(PayEarnValues)),SUMPRODUCT((PayEmp=$C150)*(PayDate&lt;=$AC150)*(ISERROR(SEARCH(PayEarnCode,W$4)))*(PayEarnValues))),IF(ISNUMBER(W$3),W$3/12*$AA150,IgnoreMin)))*OFFSET(Setup!$E$81,MATCH(W$5,CompListItem,0),0,1,1)-SUMIFS(OFFSET(W$6,1,0,PayCount,1),PayDate,"&lt;"&amp;$AC150,PayEmp,$C150)))))))</f>
        <v>0</v>
      </c>
      <c r="X150" s="185">
        <f t="shared" ca="1" si="60"/>
        <v>360</v>
      </c>
      <c r="Y150" s="139">
        <f t="shared" ca="1" si="69"/>
        <v>18360</v>
      </c>
      <c r="Z150" s="139">
        <f t="shared" ca="1" si="61"/>
        <v>2343.75</v>
      </c>
      <c r="AA150" s="146">
        <f ca="1">IF(OR($B150&lt;=Setup!$E$12,$B150&gt;=Setup!$D$12+1),0,IF($F150&lt;&gt;"Active",0,IF($AE150="Yes",$AB150,((YEAR($AC150)*12)+MONTH($AC150))-((YEAR($AD150)*12)+MONTH($AD150)-1))))</f>
        <v>10</v>
      </c>
      <c r="AB150" s="146">
        <f ca="1">IF(OR($B150&lt;=Setup!$E$12,$B150&gt;=Setup!$D$12+1),0,((YEAR($AC150)*12)+MONTH($AC150))-((YEAR(Setup!$E$12)*12)+MONTH(Setup!$E$12)))</f>
        <v>10</v>
      </c>
      <c r="AC150" s="186">
        <f t="shared" ca="1" si="62"/>
        <v>45285</v>
      </c>
      <c r="AD150" s="144">
        <f ca="1">IF(ISNA(VLOOKUP($C150,EmpAll,COLUMN(Emp!$E$4),0)),$AC150,IF(VLOOKUP($C150,EmpAll,COLUMN(Emp!$E$4),0)&lt;=Setup!$E$12,DATE(YEAR(Setup!$E$12),MONTH(Setup!$E$12)+1,1),VLOOKUP($C150,EmpAll,COLUMN(Emp!$E$4),0)))</f>
        <v>44986</v>
      </c>
      <c r="AE150" s="144" t="str">
        <f ca="1">IF(ISNA(VLOOKUP($C150,EmpAll,COLUMN(Emp!$G$1),0)),"-",IF(VLOOKUP($C150,EmpAll,COLUMN(Emp!$G$1),0)=0,"-",VLOOKUP($C150,EmpAll,COLUMN(Emp!$G$1),0)))</f>
        <v>-</v>
      </c>
      <c r="AF150" s="145">
        <f ca="1">IF(A150=PaySlip!$G$3,1,0)</f>
        <v>0</v>
      </c>
      <c r="AG150" s="130" cm="1">
        <f t="array" aca="1" ref="AG150" ca="1">IF(COUNTIFS(OverEmp,$C150,OverMed,"MED",OverDate,"&lt;"&amp;DATE(YEAR($AC150),MONTH($AC150)+1,1),OverEnd,"&gt;="&amp;DATE(YEAR($AC150),MONTH($AC150),1))&gt;0,SUMIFS(OverValue,OverEmp,$C150,OverMed,"MED",OverDate,"&lt;"&amp;DATE(YEAR($AC150),MONTH($AC150)+1,1),OverEnd,"&gt;="&amp;DATE(YEAR($AC150),MONTH($AC150),1)),IF(ISNA(VLOOKUP($C150,EmpAll,COLUMN(Emp!$N$4),0)),0,VLOOKUP($C150,EmpAll,COLUMN(Emp!$N$4),0)))</f>
        <v>0</v>
      </c>
      <c r="AH150" s="146">
        <f ca="1">VLOOKUP($AG150,MedList,COLUMN(Setup!$C$49),1)</f>
        <v>0</v>
      </c>
      <c r="AI150" s="146">
        <f t="shared" ca="1" si="70"/>
        <v>0</v>
      </c>
      <c r="AJ150" s="101" t="str">
        <f ca="1">IF(ISNA(VLOOKUP($C150,EmpAll,COLUMN(Emp!$L$4),0)),"None!",VLOOKUP($C150,EmpAll,COLUMN(Emp!$L$4),0))</f>
        <v>A</v>
      </c>
      <c r="AK150" s="147">
        <f t="shared" ca="1" si="63"/>
        <v>17235</v>
      </c>
      <c r="AL150" s="101" t="str">
        <f ca="1">IF(ISNA(VLOOKUP($C150,Employees[],COLUMN(Emp!$M$4),0))=TRUE,"Error!",IF(VLOOKUP($C150,Employees[],COLUMN(Emp!$M$4),0)=0,"Yes",VLOOKUP($C150,Employees[],COLUMN(Emp!$M$4),0)))</f>
        <v>A</v>
      </c>
      <c r="AM150" s="148">
        <f t="shared" ca="1" si="71"/>
        <v>117000</v>
      </c>
      <c r="AN150" s="148" cm="1">
        <f t="array" aca="1" ref="AN150" ca="1">-IF($F150="Terminated",0,IF($AA150=0,0,IF(ISNA(MATCH(AN$5,PayDedList,0)),0,MIN(IF(COUNTIFS(OverEmp,$C150,OverDeduct,AN$5,OverDate,"&lt;"&amp;DATE(YEAR($AC150),MONTH($AC150)+1,1),OverEnd,"&gt;="&amp;DATE(YEAR($AC150),MONTH($AC150),1))&gt;0,SUMPRODUCT((PayEmp=$C150)*(PayDate&lt;=$AC150)*(OFFSET($N$6,1,MATCH(AN$5,PayDedList,0)-1,PayCount,1)))/$AA150*12*AN$3,IF(OR(AN$1="Fixed",AN$1="Not Used"),SUMPRODUCT((PayEmp=$C150)*(PayDate&lt;=$AC150)*(OFFSET($N$6,1,MATCH(AN$5,PayDedList,0)-1,PayCount,1)))/$AA150*12*AN$3,IF(ISNA(MATCH(AN$1,EarnListItem,0))=FALSE,SUMPRODUCT((PayEmp=$C150)*(PayDate&lt;=$AC150)*(OFFSET($N$6,1,MATCH(AN$5,PayDedList,0)-1,PayCount,1)))/$AA150*12*AN$3,(MIN(((SUMPRODUCT((PayEmp=$C150)*(PayDate&lt;=$AC150)*(ISERROR(SEARCH(PayEarnCode,AN$2)))*(PayEarnType="Monthly")*(PayEarnValues))/$AA150*12)+(SUMPRODUCT((PayEmp=$C150)*(PayDate&lt;=$AC150)*(ISERROR(SEARCH(PayEarnCode,AN$2)))*(PayEarnType="Quarterly")*(PayEarnValues))/MAX(1,ROUNDDOWN($AB150/3,0))*4)+(SUMPRODUCT((PayEmp=$C150)*(PayDate&lt;=$AC150)*(ISERROR(SEARCH(PayEarnCode,AN$2)))*(PayEarnType="Bi-Annual")*(PayEarnValues))/MAX(1,ROUNDDOWN($AB150/6,0))*2)+(SUMPRODUCT((PayEmp=$C150)*(PayDate&lt;=$AC150)*(ISERROR(SEARCH(PayEarnCode,AN$2)))*(PayEarnType="Annual")*(PayEarnValues)))),IF(ISNUMBER(OFFSET($N$3,0,MATCH(AN$5,PayDedList,0)-1,1,1)),OFFSET($N$3,0,MATCH(AN$5,PayDedList,0)-1,1,1),IgnoreMin)))*IF(COUNTIFS(EmpNo,$C150,OFFSET(Emp!$R$4,1,MATCH(AN$5,DedListItem,0)-1,EmpCount,1),"&lt;&gt;")&gt;0,VLOOKUP($C150,EmpAll,COLUMN(Emp!$R$4)+MATCH(AN$5,DedListItem,0)-1,0),OFFSET(Setup!$E$73,MATCH(AN$5,DedListItem,0),0,1,1))*AN$3))),IF(ISNUMBER(AN$4),AN$4,IgnoreMin)))))</f>
        <v>0</v>
      </c>
      <c r="AO150" s="148" cm="1">
        <f t="array" aca="1" ref="AO150" ca="1">-IF($F150="Terminated",0,IF($AA150=0,0,IF(ISNA(MATCH(AO$5,PayDedList,0)),0,MIN(IF(COUNTIFS(OverEmp,$C150,OverDeduct,AO$5,OverDate,"&lt;"&amp;DATE(YEAR($AC150),MONTH($AC150)+1,1),OverEnd,"&gt;="&amp;DATE(YEAR($AC150),MONTH($AC150),1))&gt;0,SUMPRODUCT((PayEmp=$C150)*(PayDate&lt;=$AC150)*(OFFSET($N$6,1,MATCH(AO$5,PayDedList,0)-1,PayCount,1)))/$AA150*12*AO$3,IF(OR(AO$1="Fixed",AO$1="Not Used"),SUMPRODUCT((PayEmp=$C150)*(PayDate&lt;=$AC150)*(OFFSET($N$6,1,MATCH(AO$5,PayDedList,0)-1,PayCount,1)))/$AA150*12*AO$3,IF(ISNA(MATCH(AO$1,EarnListItem,0))=FALSE,SUMPRODUCT((PayEmp=$C150)*(PayDate&lt;=$AC150)*(OFFSET($N$6,1,MATCH(AO$5,PayDedList,0)-1,PayCount,1)))/$AA150*12*AO$3,(MIN(((SUMPRODUCT((PayEmp=$C150)*(PayDate&lt;=$AC150)*(ISERROR(SEARCH(PayEarnCode,AO$2)))*(PayEarnType="Monthly")*(PayEarnValues))/$AA150*12)+(SUMPRODUCT((PayEmp=$C150)*(PayDate&lt;=$AC150)*(ISERROR(SEARCH(PayEarnCode,AO$2)))*(PayEarnType="Quarterly")*(PayEarnValues))/MAX(1,ROUNDDOWN($AB150/3,0))*4)+(SUMPRODUCT((PayEmp=$C150)*(PayDate&lt;=$AC150)*(ISERROR(SEARCH(PayEarnCode,AO$2)))*(PayEarnType="Bi-Annual")*(PayEarnValues))/MAX(1,ROUNDDOWN($AB150/6,0))*2)+(SUMPRODUCT((PayEmp=$C150)*(PayDate&lt;=$AC150)*(ISERROR(SEARCH(PayEarnCode,AO$2)))*(PayEarnType="Annual")*(PayEarnValues)))),IF(ISNUMBER(OFFSET($N$3,0,MATCH(AO$5,PayDedList,0)-1,1,1)),OFFSET($N$3,0,MATCH(AO$5,PayDedList,0)-1,1,1),IgnoreMin)))*IF(COUNTIFS(EmpNo,$C150,OFFSET(Emp!$R$4,1,MATCH(AO$5,DedListItem,0)-1,EmpCount,1),"&lt;&gt;")&gt;0,VLOOKUP($C150,EmpAll,COLUMN(Emp!$R$4)+MATCH(AO$5,DedListItem,0)-1,0),OFFSET(Setup!$E$73,MATCH(AO$5,DedListItem,0),0,1,1))*AO$3))),IF(ISNUMBER(AO$4),AO$4,IgnoreMin)))))</f>
        <v>0</v>
      </c>
      <c r="AP150" s="148" cm="1">
        <f t="array" aca="1" ref="AP150" ca="1">-IF($F150="Terminated",0,IF($AA150=0,0,IF(ISNA(MATCH(AP$5,PayDedList,0)),0,MIN(IF(COUNTIFS(OverEmp,$C150,OverDeduct,AP$5,OverDate,"&lt;"&amp;DATE(YEAR($AC150),MONTH($AC150)+1,1),OverEnd,"&gt;="&amp;DATE(YEAR($AC150),MONTH($AC150),1))&gt;0,SUMPRODUCT((PayEmp=$C150)*(PayDate&lt;=$AC150)*(OFFSET($N$6,1,MATCH(AP$5,PayDedList,0)-1,PayCount,1)))/$AA150*12*AP$3,IF(OR(AP$1="Fixed",AP$1="Not Used"),SUMPRODUCT((PayEmp=$C150)*(PayDate&lt;=$AC150)*(OFFSET($N$6,1,MATCH(AP$5,PayDedList,0)-1,PayCount,1)))/$AA150*12*AP$3,IF(ISNA(MATCH(AP$1,EarnListItem,0))=FALSE,SUMPRODUCT((PayEmp=$C150)*(PayDate&lt;=$AC150)*(OFFSET($N$6,1,MATCH(AP$5,PayDedList,0)-1,PayCount,1)))/$AA150*12*AP$3,(MIN(((SUMPRODUCT((PayEmp=$C150)*(PayDate&lt;=$AC150)*(ISERROR(SEARCH(PayEarnCode,AP$2)))*(PayEarnType="Monthly")*(PayEarnValues))/$AA150*12)+(SUMPRODUCT((PayEmp=$C150)*(PayDate&lt;=$AC150)*(ISERROR(SEARCH(PayEarnCode,AP$2)))*(PayEarnType="Quarterly")*(PayEarnValues))/MAX(1,ROUNDDOWN($AB150/3,0))*4)+(SUMPRODUCT((PayEmp=$C150)*(PayDate&lt;=$AC150)*(ISERROR(SEARCH(PayEarnCode,AP$2)))*(PayEarnType="Bi-Annual")*(PayEarnValues))/MAX(1,ROUNDDOWN($AB150/6,0))*2)+(SUMPRODUCT((PayEmp=$C150)*(PayDate&lt;=$AC150)*(ISERROR(SEARCH(PayEarnCode,AP$2)))*(PayEarnType="Annual")*(PayEarnValues)))),IF(ISNUMBER(OFFSET($N$3,0,MATCH(AP$5,PayDedList,0)-1,1,1)),OFFSET($N$3,0,MATCH(AP$5,PayDedList,0)-1,1,1),IgnoreMin)))*IF(COUNTIFS(EmpNo,$C150,OFFSET(Emp!$R$4,1,MATCH(AP$5,DedListItem,0)-1,EmpCount,1),"&lt;&gt;")&gt;0,VLOOKUP($C150,EmpAll,COLUMN(Emp!$R$4)+MATCH(AP$5,DedListItem,0)-1,0),OFFSET(Setup!$E$73,MATCH(AP$5,DedListItem,0),0,1,1))*AP$3))),IF(ISNUMBER(AP$4),AP$4,IgnoreMin)))))</f>
        <v>0</v>
      </c>
      <c r="AQ150" s="148" cm="1">
        <f t="array" aca="1" ref="AQ150" ca="1">-IF($F150="Terminated",0,IF($AA150=0,0,IF(ISNA(MATCH(AQ$5,PayDedList,0)),0,MIN(IF(COUNTIFS(OverEmp,$C150,OverDeduct,AQ$5,OverDate,"&lt;"&amp;DATE(YEAR($AC150),MONTH($AC150)+1,1),OverEnd,"&gt;="&amp;DATE(YEAR($AC150),MONTH($AC150),1))&gt;0,SUMPRODUCT((PayEmp=$C150)*(PayDate&lt;=$AC150)*(OFFSET($N$6,1,MATCH(AQ$5,PayDedList,0)-1,PayCount,1)))/$AA150*12*AQ$3,IF(OR(AQ$1="Fixed",AQ$1="Not Used"),SUMPRODUCT((PayEmp=$C150)*(PayDate&lt;=$AC150)*(OFFSET($N$6,1,MATCH(AQ$5,PayDedList,0)-1,PayCount,1)))/$AA150*12*AQ$3,IF(ISNA(MATCH(AQ$1,EarnListItem,0))=FALSE,SUMPRODUCT((PayEmp=$C150)*(PayDate&lt;=$AC150)*(OFFSET($N$6,1,MATCH(AQ$5,PayDedList,0)-1,PayCount,1)))/$AA150*12*AQ$3,(MIN(((SUMPRODUCT((PayEmp=$C150)*(PayDate&lt;=$AC150)*(ISERROR(SEARCH(PayEarnCode,AQ$2)))*(PayEarnType="Monthly")*(PayEarnValues))/$AA150*12)+(SUMPRODUCT((PayEmp=$C150)*(PayDate&lt;=$AC150)*(ISERROR(SEARCH(PayEarnCode,AQ$2)))*(PayEarnType="Quarterly")*(PayEarnValues))/MAX(1,ROUNDDOWN($AB150/3,0))*4)+(SUMPRODUCT((PayEmp=$C150)*(PayDate&lt;=$AC150)*(ISERROR(SEARCH(PayEarnCode,AQ$2)))*(PayEarnType="Bi-Annual")*(PayEarnValues))/MAX(1,ROUNDDOWN($AB150/6,0))*2)+(SUMPRODUCT((PayEmp=$C150)*(PayDate&lt;=$AC150)*(ISERROR(SEARCH(PayEarnCode,AQ$2)))*(PayEarnType="Annual")*(PayEarnValues)))),IF(ISNUMBER(OFFSET($N$3,0,MATCH(AQ$5,PayDedList,0)-1,1,1)),OFFSET($N$3,0,MATCH(AQ$5,PayDedList,0)-1,1,1),IgnoreMin)))*IF(COUNTIFS(EmpNo,$C150,OFFSET(Emp!$R$4,1,MATCH(AQ$5,DedListItem,0)-1,EmpCount,1),"&lt;&gt;")&gt;0,VLOOKUP($C150,EmpAll,COLUMN(Emp!$R$4)+MATCH(AQ$5,DedListItem,0)-1,0),OFFSET(Setup!$E$73,MATCH(AQ$5,DedListItem,0),0,1,1))*AQ$3))),IF(ISNUMBER(AQ$4),AQ$4,IgnoreMin)))))</f>
        <v>0</v>
      </c>
      <c r="AR150" s="148">
        <f t="shared" ca="1" si="64"/>
        <v>117000</v>
      </c>
      <c r="AS150" s="148">
        <f t="shared" ca="1" si="72"/>
        <v>108000</v>
      </c>
      <c r="AT150" s="148" cm="1">
        <f t="array" aca="1" ref="AT150" ca="1">-IF($F150="Terminated",0,IF($AA150=0,0,IF(ISNA(MATCH(AT$5,PayDedList,0)),0,MIN(IF(COUNTIFS(OverEmp,$C150,OverDeduct,AT$5,OverDate,"&lt;"&amp;DATE(YEAR($AC150),MONTH($AC150)+1,1),OverEnd,"&gt;="&amp;DATE(YEAR($AC150),MONTH($AC150),1))&gt;0,SUMPRODUCT((PayEmp=$C150)*(PayDate&lt;=$AC150)*(OFFSET($N$6,1,MATCH(AT$5,PayDedList,0)-1,PayCount,1)))/$AA150*12*AT$3,IF(OR(AT$1="Fixed",AT$1="Not Used"),SUMPRODUCT((PayEmp=$C150)*(PayDate&lt;=$AC150)*(OFFSET($N$6,1,MATCH(AT$5,PayDedList,0)-1,PayCount,1)))/$AA150*12*AT$3,IF(ISNA(MATCH(OFFSET($N$2,0,MATCH(AT$5,PayDedList,0)-1,1,1),EarnListItem,0))=FALSE,SUMPRODUCT((PayEmp=$C150)*(PayDate&lt;=$AC150)*(OFFSET($N$6,1,MATCH(AT$5,PayDedList,0)-1,PayCount,1)))/$AA150*12*AT$3,(MIN(SUMPRODUCT((PayEmp=$C150)*(PayDate&lt;=$AC150)*(ISERROR(SEARCH(PayEarnCode,AT$2)))*(PayEarnType="Monthly")*(PayEarnValues))/$AA150*12,IF(ISNUMBER(OFFSET($N$3,0,MATCH(AT$5,PayDedList,0)-1,1,1)),OFFSET($N$3,0,MATCH(AT$5,PayDedList,0)-1,1,1),IgnoreMin)))*IF(COUNTIFS(EmpNo,$C150,OFFSET(Emp!$R$4,1,MATCH(AT$5,DedListItem,0)-1,EmpCount,1),"&lt;&gt;")&gt;0,VLOOKUP($C150,EmpAll,COLUMN(Emp!$R$4)+MATCH(AT$5,DedListItem,0)-1,0),OFFSET(Setup!$E$73,MATCH(AT$5,DedListItem,0),0,1,1))*AT$3))),IF(ISNUMBER(AT$4),AT$4,IgnoreMin)))))</f>
        <v>0</v>
      </c>
      <c r="AU150" s="148" cm="1">
        <f t="array" aca="1" ref="AU150" ca="1">-IF($F150="Terminated",0,IF($AA150=0,0,IF(ISNA(MATCH(AU$5,PayDedList,0)),0,MIN(IF(COUNTIFS(OverEmp,$C150,OverDeduct,AU$5,OverDate,"&lt;"&amp;DATE(YEAR($AC150),MONTH($AC150)+1,1),OverEnd,"&gt;="&amp;DATE(YEAR($AC150),MONTH($AC150),1))&gt;0,SUMPRODUCT((PayEmp=$C150)*(PayDate&lt;=$AC150)*(OFFSET($N$6,1,MATCH(AU$5,PayDedList,0)-1,PayCount,1)))/$AA150*12*AU$3,IF(OR(AU$1="Fixed",AU$1="Not Used"),SUMPRODUCT((PayEmp=$C150)*(PayDate&lt;=$AC150)*(OFFSET($N$6,1,MATCH(AU$5,PayDedList,0)-1,PayCount,1)))/$AA150*12*AU$3,IF(ISNA(MATCH(OFFSET($N$2,0,MATCH(AU$5,PayDedList,0)-1,1,1),EarnListItem,0))=FALSE,SUMPRODUCT((PayEmp=$C150)*(PayDate&lt;=$AC150)*(OFFSET($N$6,1,MATCH(AU$5,PayDedList,0)-1,PayCount,1)))/$AA150*12*AU$3,(MIN(SUMPRODUCT((PayEmp=$C150)*(PayDate&lt;=$AC150)*(ISERROR(SEARCH(PayEarnCode,AU$2)))*(PayEarnType="Monthly")*(PayEarnValues))/$AA150*12,IF(ISNUMBER(OFFSET($N$3,0,MATCH(AU$5,PayDedList,0)-1,1,1)),OFFSET($N$3,0,MATCH(AU$5,PayDedList,0)-1,1,1),IgnoreMin)))*IF(COUNTIFS(EmpNo,$C150,OFFSET(Emp!$R$4,1,MATCH(AU$5,DedListItem,0)-1,EmpCount,1),"&lt;&gt;")&gt;0,VLOOKUP($C150,EmpAll,COLUMN(Emp!$R$4)+MATCH(AU$5,DedListItem,0)-1,0),OFFSET(Setup!$E$73,MATCH(AU$5,DedListItem,0),0,1,1))*AU$3))),IF(ISNUMBER(AU$4),AU$4,IgnoreMin)))))</f>
        <v>0</v>
      </c>
      <c r="AV150" s="148" cm="1">
        <f t="array" aca="1" ref="AV150" ca="1">-IF($F150="Terminated",0,IF($AA150=0,0,IF(ISNA(MATCH(AV$5,PayDedList,0)),0,MIN(IF(COUNTIFS(OverEmp,$C150,OverDeduct,AV$5,OverDate,"&lt;"&amp;DATE(YEAR($AC150),MONTH($AC150)+1,1),OverEnd,"&gt;="&amp;DATE(YEAR($AC150),MONTH($AC150),1))&gt;0,SUMPRODUCT((PayEmp=$C150)*(PayDate&lt;=$AC150)*(OFFSET($N$6,1,MATCH(AV$5,PayDedList,0)-1,PayCount,1)))/$AA150*12*AV$3,IF(OR(AV$1="Fixed",AV$1="Not Used"),SUMPRODUCT((PayEmp=$C150)*(PayDate&lt;=$AC150)*(OFFSET($N$6,1,MATCH(AV$5,PayDedList,0)-1,PayCount,1)))/$AA150*12*AV$3,IF(ISNA(MATCH(OFFSET($N$2,0,MATCH(AV$5,PayDedList,0)-1,1,1),EarnListItem,0))=FALSE,SUMPRODUCT((PayEmp=$C150)*(PayDate&lt;=$AC150)*(OFFSET($N$6,1,MATCH(AV$5,PayDedList,0)-1,PayCount,1)))/$AA150*12*AV$3,(MIN(SUMPRODUCT((PayEmp=$C150)*(PayDate&lt;=$AC150)*(ISERROR(SEARCH(PayEarnCode,AV$2)))*(PayEarnType="Monthly")*(PayEarnValues))/$AA150*12,IF(ISNUMBER(OFFSET($N$3,0,MATCH(AV$5,PayDedList,0)-1,1,1)),OFFSET($N$3,0,MATCH(AV$5,PayDedList,0)-1,1,1),IgnoreMin)))*IF(COUNTIFS(EmpNo,$C150,OFFSET(Emp!$R$4,1,MATCH(AV$5,DedListItem,0)-1,EmpCount,1),"&lt;&gt;")&gt;0,VLOOKUP($C150,EmpAll,COLUMN(Emp!$R$4)+MATCH(AV$5,DedListItem,0)-1,0),OFFSET(Setup!$E$73,MATCH(AV$5,DedListItem,0),0,1,1))*AV$3))),IF(ISNUMBER(AV$4),AV$4,IgnoreMin)))))</f>
        <v>0</v>
      </c>
      <c r="AW150" s="148" cm="1">
        <f t="array" aca="1" ref="AW150" ca="1">-IF($F150="Terminated",0,IF($AA150=0,0,IF(ISNA(MATCH(AW$5,PayDedList,0)),0,MIN(IF(COUNTIFS(OverEmp,$C150,OverDeduct,AW$5,OverDate,"&lt;"&amp;DATE(YEAR($AC150),MONTH($AC150)+1,1),OverEnd,"&gt;="&amp;DATE(YEAR($AC150),MONTH($AC150),1))&gt;0,SUMPRODUCT((PayEmp=$C150)*(PayDate&lt;=$AC150)*(OFFSET($N$6,1,MATCH(AW$5,PayDedList,0)-1,PayCount,1)))/$AA150*12*AW$3,IF(OR(AW$1="Fixed",AW$1="Not Used"),SUMPRODUCT((PayEmp=$C150)*(PayDate&lt;=$AC150)*(OFFSET($N$6,1,MATCH(AW$5,PayDedList,0)-1,PayCount,1)))/$AA150*12*AW$3,IF(ISNA(MATCH(OFFSET($N$2,0,MATCH(AW$5,PayDedList,0)-1,1,1),EarnListItem,0))=FALSE,SUMPRODUCT((PayEmp=$C150)*(PayDate&lt;=$AC150)*(OFFSET($N$6,1,MATCH(AW$5,PayDedList,0)-1,PayCount,1)))/$AA150*12*AW$3,(MIN(SUMPRODUCT((PayEmp=$C150)*(PayDate&lt;=$AC150)*(ISERROR(SEARCH(PayEarnCode,AW$2)))*(PayEarnType="Monthly")*(PayEarnValues))/$AA150*12,IF(ISNUMBER(OFFSET($N$3,0,MATCH(AW$5,PayDedList,0)-1,1,1)),OFFSET($N$3,0,MATCH(AW$5,PayDedList,0)-1,1,1),IgnoreMin)))*IF(COUNTIFS(EmpNo,$C150,OFFSET(Emp!$R$4,1,MATCH(AW$5,DedListItem,0)-1,EmpCount,1),"&lt;&gt;")&gt;0,VLOOKUP($C150,EmpAll,COLUMN(Emp!$R$4)+MATCH(AW$5,DedListItem,0)-1,0),OFFSET(Setup!$E$73,MATCH(AW$5,DedListItem,0),0,1,1))*AW$3))),IF(ISNUMBER(AW$4),AW$4,IgnoreMin)))))</f>
        <v>0</v>
      </c>
      <c r="AX150" s="148">
        <f t="shared" ca="1" si="73"/>
        <v>108000</v>
      </c>
      <c r="AY150" s="148">
        <f t="shared" ca="1" si="74"/>
        <v>9000</v>
      </c>
      <c r="AZ150" s="148">
        <f ca="1">IF(ISNUMBER($AL150),($AR150*$AL150)-$AI150-$AK150,MAX(0,IF($AL150="B",IF($AR150&lt;Setup!$C$32,($AR150*Setup!$D$32)-$AI150-$AK150,(($AR150-VLOOKUP($AR150,TaxAll2,1,1))*OFFSET(Setup!$D$32,MATCH($AR150,TaxBracket2,1),0,1,1))+OFFSET(Setup!$E$31,MATCH($AR150,TaxBracket2,1),0,1,1)-$AI150-$AK150),IF($AR150&lt;Setup!$C$21,($AR150*Setup!$D$21)-$AI150-$AK150,(($AR150-VLOOKUP($AR150,TaxAll1,1,1))*OFFSET(Setup!$D$21,MATCH($AR150,TaxBracket1,1),0,1,1))+OFFSET(Setup!$E$20,MATCH($AR150,TaxBracket1,1),0,1,1)-$AI150-$AK150))))</f>
        <v>3825</v>
      </c>
      <c r="BA150" s="148">
        <f ca="1">IF(ISNUMBER($AL150),($AX150*$AL150)-$AI150-$AK150,MAX(0,IF($AL150="B",IF($AX150&lt;Setup!$C$32,($AX150*Setup!$D$32)-$AI150-$AK150,(($AX150-VLOOKUP($AX150,TaxAll2,1,1))*OFFSET(Setup!$D$32,MATCH($AX150,TaxBracket2,1),0,1,1))+OFFSET(Setup!$E$31,MATCH($AX150,TaxBracket2,1),0,1,1)-$AI150-$AK150),IF($AX150&lt;Setup!$C$21,($AX150*Setup!$D$21)-$AI150-$AK150,(($AX150-VLOOKUP($AX150,TaxAll1,1,1))*OFFSET(Setup!$D$21,MATCH($AX150,TaxBracket1,1),0,1,1))+OFFSET(Setup!$E$20,MATCH($AX150,TaxBracket1,1),0,1,1)-$AI150-$AK150))))</f>
        <v>2205</v>
      </c>
      <c r="BB150" s="148">
        <f t="shared" ca="1" si="65"/>
        <v>1620</v>
      </c>
      <c r="BC150" s="150">
        <f t="shared" ca="1" si="75"/>
        <v>0.92307692307692313</v>
      </c>
      <c r="BD150" s="150">
        <f t="shared" ca="1" si="76"/>
        <v>7.6923076923076927E-2</v>
      </c>
      <c r="BE150" s="148">
        <f t="shared" ca="1" si="77"/>
        <v>117000</v>
      </c>
    </row>
    <row r="151" spans="1:57" ht="16.149999999999999" customHeight="1" x14ac:dyDescent="0.25">
      <c r="A151" s="10" t="str" cm="1">
        <f t="array" aca="1" ref="A151" ca="1">IF(ROW($A151)-ROW($A$6)&gt;EmpCount*12,"-",TEXT($B151,"yyyy")&amp;TEXT($B151,"mm")&amp;"-"&amp;$C151)</f>
        <v>202312-EXS010</v>
      </c>
      <c r="B151" s="137" cm="1">
        <f t="array" aca="1" ref="B151" ca="1">IF(ROW($A151)-ROW($A$6)&gt;EmpCount*12,Setup!$D$12,DATE(YEAR(Setup!$F$12),MONTH(Setup!$F$12)+ROUNDDOWN((ROW($A151)-ROW($A$6)-1)/EmpCount,0),IF(Setup!$C$14&gt;DAY(DATE(YEAR(Setup!$F$12),MONTH(Setup!$F$12)+ROUNDDOWN((ROW($A151)-ROW($A$6)-1)/EmpCount,0)+1,0)),DAY(DATE(YEAR(Setup!$F$12),MONTH(Setup!$F$12)+ROUNDDOWN((ROW($A151)-ROW($A$6)-1)/EmpCount,0)+1,0)),Setup!$C$14)))</f>
        <v>45285</v>
      </c>
      <c r="C151" s="101" t="str" cm="1">
        <f t="array" aca="1" ref="C151" ca="1">IF(ROW($A151)-ROW($A$6)&gt;EmpCount*12,"-",OFFSET(Emp!$A$4,ROW($A151)-ROW($A$6)-IF(ROW($A151)-ROW($A$6)&gt;EmpCount,ROUNDDOWN((ROW($A151)-ROW($A$6)-1)/EmpCount,0)*EmpCount,0),0,1,1))</f>
        <v>EXS010</v>
      </c>
      <c r="D151" s="10" t="str">
        <f ca="1">IF(ISNA(VLOOKUP($C151,EmpAll,COLUMN(Emp!$B$4),0)),"-",VLOOKUP($C151,EmpAll,COLUMN(Emp!$B$4),0))</f>
        <v>Lewis I</v>
      </c>
      <c r="E151" s="145" t="str">
        <f ca="1">IF(ISNA(VLOOKUP($C151,EmpAll,COLUMN(Emp!$C$4),0)),"-",VLOOKUP($C151,EmpAll,COLUMN(Emp!$C$4),0))</f>
        <v>A</v>
      </c>
      <c r="F151" s="101" t="str">
        <f ca="1">IF(ISNA(VLOOKUP($C151,EmpAll,COLUMN(Emp!$A$4),0)),"-",IF(AND(VLOOKUP($C151,EmpAll,COLUMN(Emp!$E$4),0)&lt;&gt;0,VLOOKUP($C151,EmpAll,COLUMN(Emp!$E$4),0)&gt;=DATE(YEAR($AC151),MONTH($AC151)+1,0)),"Inactive",IF(AND(VLOOKUP($C151,EmpAll,COLUMN(Emp!$F$4),0)&lt;&gt;0,VLOOKUP($C151,EmpAll,COLUMN(Emp!$F$4),0)&lt;=DATE(YEAR($AC151),MONTH($AC151),0)),"Terminated","Active")))</f>
        <v>Active</v>
      </c>
      <c r="G151" s="133" cm="1">
        <f t="array" aca="1" ref="G151" ca="1">IF($F151&lt;&gt;"Active",0,IF(COUNTIFS(OverEmp,$C151,OverEarn,G$2,OverDate,"&lt;"&amp;DATE(YEAR($AC151),MONTH($AC151)+1,1),OverEnd,"&gt;="&amp;DATE(YEAR($AC151),MONTH($AC151),1))&gt;0,SUMIFS(OverValue,OverEmp,$C151,OverEarn,G$2,OverDate,"&lt;"&amp;DATE(YEAR($AC151),MONTH($AC151)+1,1),OverEnd,"&gt;="&amp;DATE(YEAR($AC151),MONTH($AC151),1)),IF(AND($AC151&gt;=Setup!$E$10,SUMIFS(EmpIncrease,EmpCode,$C151)&gt;0),SUMIFS(EmpIncrease,EmpCode,$C151),SUMIFS(EmpSalary,EmpCode,$C151))))</f>
        <v>9000</v>
      </c>
      <c r="H151" s="133" cm="1">
        <f t="array" aca="1" ref="H151" ca="1">IF($F151&lt;&gt;"Active",0,IF(COUNTIFS(OverEmp,$C151,OverEarn,H$2,OverDate,"&lt;"&amp;DATE(YEAR($AC151),MONTH($AC151)+1,1),OverEnd,"&gt;="&amp;DATE(YEAR($AC151),MONTH($AC151),1))&gt;0,SUMIFS(OverValue,OverEmp,$C151,OverEarn,H$2,OverDate,"&lt;"&amp;DATE(YEAR($AC151),MONTH($AC151)+1,1),OverEnd,"&gt;="&amp;DATE(YEAR($AC151),MONTH($AC151),1)),0))</f>
        <v>0</v>
      </c>
      <c r="I151" s="133" cm="1">
        <f t="array" aca="1" ref="I151" ca="1">IF($F151&lt;&gt;"Active",0,IF(COUNTIFS(OverEmp,$C151,OverEarn,I$2,OverDate,"&lt;"&amp;DATE(YEAR($AC151),MONTH($AC151)+1,1),OverEnd,"&gt;="&amp;DATE(YEAR($AC151),MONTH($AC151),1))&gt;0,SUMIFS(OverValue,OverEmp,$C151,OverEarn,I$2,OverDate,"&lt;"&amp;DATE(YEAR($AC151),MONTH($AC151)+1,1),OverEnd,"&gt;="&amp;DATE(YEAR($AC151),MONTH($AC151),1)),IF(MONTH(B151)=Setup!$C$15,SUMIFS(EmpBonus,EmpCode,$C151),0)))</f>
        <v>9000</v>
      </c>
      <c r="J151" s="133" cm="1">
        <f t="array" aca="1" ref="J151" ca="1">IF($F151&lt;&gt;"Active",0,IF(COUNTIFS(OverEmp,$C151,OverEarn,J$2,OverDate,"&lt;"&amp;DATE(YEAR($AC151),MONTH($AC151)+1,1),OverEnd,"&gt;="&amp;DATE(YEAR($AC151),MONTH($AC151),1))&gt;0,SUMIFS(OverValue,OverEmp,$C151,OverEarn,J$2,OverDate,"&lt;"&amp;DATE(YEAR($AC151),MONTH($AC151)+1,1),OverEnd,"&gt;="&amp;DATE(YEAR($AC151),MONTH($AC151),1)),0))</f>
        <v>0</v>
      </c>
      <c r="K151" s="133" cm="1">
        <f t="array" aca="1" ref="K151" ca="1">IF($F151&lt;&gt;"Active",0,IF(COUNTIFS(OverEmp,$C151,OverEarn,K$2,OverDate,"&lt;"&amp;DATE(YEAR($AC151),MONTH($AC151)+1,1),OverEnd,"&gt;="&amp;DATE(YEAR($AC151),MONTH($AC151),1))&gt;0,SUMIFS(OverValue,OverEmp,$C151,OverEarn,K$2,OverDate,"&lt;"&amp;DATE(YEAR($AC151),MONTH($AC151)+1,1),OverEnd,"&gt;="&amp;DATE(YEAR($AC151),MONTH($AC151),1)),0))</f>
        <v>0</v>
      </c>
      <c r="L151" s="185">
        <f t="shared" ca="1" si="66"/>
        <v>18000</v>
      </c>
      <c r="M151" s="182" cm="1">
        <f t="array" aca="1" ref="M151" ca="1">IF(COUNTIFS(OverEmp,$C151,OverTax,M$5,OverDate,"&lt;"&amp;DATE(YEAR($AC151),MONTH($AC151)+1,1),OverEnd,"&gt;="&amp;DATE(YEAR($AC151),MONTH($AC151),1))&gt;0,SUMIFS(OverValue,OverEmp,$C151,OverTax,M$5,OverDate,"&lt;"&amp;DATE(YEAR($AC151),MONTH($AC151)+1,1),OverEnd,"&gt;="&amp;DATE(YEAR($AC151),MONTH($AC151),1)),(($BA151/12*$AA151)+(BB151*IF(1-$BC151=0,0,BD151/(1-$BC151))))-IF($F151="Terminated",0,SUMIFS(PayTaxDeduct,PayDate,"&lt;"&amp;$AC151,PayEmp,$C151)))</f>
        <v>1803.7500000000009</v>
      </c>
      <c r="N151" s="133" cm="1">
        <f t="array" aca="1" ref="N151" ca="1">IF($F151="Terminated",0,IF($AA151=0,0,IF(ISNA(MATCH(N$5,DedListItem,0)),0,IF(COUNTIFS(OverEmp,$C151,OverDeduct,N$5,OverDate,"&lt;"&amp;DATE(YEAR($AC151),MONTH($AC151)+1,1),OverEnd,"&gt;="&amp;DATE(YEAR($AC151),MONTH($AC151),1))&gt;0,SUMIFS(OverValue,OverEmp,$C151,OverDeduct,N$5,OverDate,"&lt;"&amp;DATE(YEAR($AC151),MONTH($AC151)+1,1),OverEnd,"&gt;="&amp;DATE(YEAR($AC151),MONTH($AC151),1)),IF(OR(N$2="Fixed",N$2="Not Used"),(IF(COUNTIFS(EmpNo,$C151,OFFSET(Emp!$R$4,1,MATCH(N$5,DedListItem,0)-1,EmpCount,1),"&lt;&gt;")&gt;0,VLOOKUP($C151,EmpAll,COLUMN(Emp!$R$4)+MATCH(N$5,DedListItem,0)-1,0),OFFSET(Setup!$E$73,MATCH(N$5,DedListItem,0),0,1,1))*$AA151)-SUMIFS(OFFSET(N$6,1,0,PayCount,1),PayDate,"&lt;"&amp;$AC151,PayEmp,$C151),IF(ISNA(MATCH(N$2,EarnListItem,0))=FALSE,IF(OFFSET(Setup!$G$73,MATCH(N$5,DedListItem,0),0,1,1)="Taxable",SUMPRODUCT((PayEmp=$C151)*(PayDate&lt;=$AC151)*(PayEarnCode=N$2)*(PayEarnTax)*(PayEarnValues)),SUMPRODUCT((PayEmp=$C151)*(PayDate&lt;=$AC151)*(PayEarnCode=N$2)*(PayEarnValues)))*IF(COUNTIFS(EmpNo,$C151,OFFSET(Emp!$R$4,1,MATCH(N$5,DedListItem,0)-1,EmpCount,1),"&lt;&gt;")&gt;0,VLOOKUP($C151,EmpAll,COLUMN(Emp!$R$4)+MATCH(N$5,DedListItem,0)-1,0),OFFSET(Setup!$E$73,MATCH(N$5,DedListItem,0),0,1,1)),(MIN(IF(OFFSET(Setup!$G$73,MATCH(N$5,DedListItem,0),0,1,1)="Taxable",SUMPRODUCT((PayEmp=$C151)*(PayDate&lt;=$AC151)*(ISERROR(SEARCH(PayEarnCode,N$4)))*(PayEarnTax)*(PayEarnValues)),SUMPRODUCT((PayEmp=$C151)*(PayDate&lt;=$AC151)*(ISERROR(SEARCH(PayEarnCode,N$4)))*(PayEarnValues))),IF(ISNUMBER(N$3),N$3/12*$AA151,IgnoreMin)))*IF(COUNTIFS(EmpNo,$C151,OFFSET(Emp!$R$4,1,MATCH(N$5,DedListItem,0)-1,EmpCount,1),"&lt;&gt;")&gt;0,VLOOKUP($C151,EmpAll,COLUMN(Emp!$R$4)+MATCH(N$5,DedListItem,0)-1,0),OFFSET(Setup!$E$73,MATCH(N$5,DedListItem,0),0,1,1)))-SUMIFS(OFFSET(N$6,1,0,PayCount,1),PayDate,"&lt;"&amp;$AC151,PayEmp,$C151))))))</f>
        <v>180</v>
      </c>
      <c r="O151" s="133" cm="1">
        <f t="array" aca="1" ref="O151" ca="1">IF($F151="Terminated",0,IF($AA151=0,0,IF(ISNA(MATCH(O$5,DedListItem,0)),0,IF(COUNTIFS(OverEmp,$C151,OverDeduct,O$5,OverDate,"&lt;"&amp;DATE(YEAR($AC151),MONTH($AC151)+1,1),OverEnd,"&gt;="&amp;DATE(YEAR($AC151),MONTH($AC151),1))&gt;0,SUMIFS(OverValue,OverEmp,$C151,OverDeduct,O$5,OverDate,"&lt;"&amp;DATE(YEAR($AC151),MONTH($AC151)+1,1),OverEnd,"&gt;="&amp;DATE(YEAR($AC151),MONTH($AC151),1)),IF(OR(O$2="Fixed",O$2="Not Used"),(IF(COUNTIFS(EmpNo,$C151,OFFSET(Emp!$R$4,1,MATCH(O$5,DedListItem,0)-1,EmpCount,1),"&lt;&gt;")&gt;0,VLOOKUP($C151,EmpAll,COLUMN(Emp!$R$4)+MATCH(O$5,DedListItem,0)-1,0),OFFSET(Setup!$E$73,MATCH(O$5,DedListItem,0),0,1,1))*$AA151)-SUMIFS(OFFSET(O$6,1,0,PayCount,1),PayDate,"&lt;"&amp;$AC151,PayEmp,$C151),IF(ISNA(MATCH(O$2,EarnListItem,0))=FALSE,IF(OFFSET(Setup!$G$73,MATCH(O$5,DedListItem,0),0,1,1)="Taxable",SUMPRODUCT((PayEmp=$C151)*(PayDate&lt;=$AC151)*(PayEarnCode=O$2)*(PayEarnTax)*(PayEarnValues)),SUMPRODUCT((PayEmp=$C151)*(PayDate&lt;=$AC151)*(PayEarnCode=O$2)*(PayEarnValues)))*IF(COUNTIFS(EmpNo,$C151,OFFSET(Emp!$R$4,1,MATCH(O$5,DedListItem,0)-1,EmpCount,1),"&lt;&gt;")&gt;0,VLOOKUP($C151,EmpAll,COLUMN(Emp!$R$4)+MATCH(O$5,DedListItem,0)-1,0),OFFSET(Setup!$E$73,MATCH(O$5,DedListItem,0),0,1,1)),(MIN(IF(OFFSET(Setup!$G$73,MATCH(O$5,DedListItem,0),0,1,1)="Taxable",SUMPRODUCT((PayEmp=$C151)*(PayDate&lt;=$AC151)*(ISERROR(SEARCH(PayEarnCode,O$4)))*(PayEarnTax)*(PayEarnValues)),SUMPRODUCT((PayEmp=$C151)*(PayDate&lt;=$AC151)*(ISERROR(SEARCH(PayEarnCode,O$4)))*(PayEarnValues))),IF(ISNUMBER(O$3),O$3/12*$AA151,IgnoreMin)))*IF(COUNTIFS(EmpNo,$C151,OFFSET(Emp!$R$4,1,MATCH(O$5,DedListItem,0)-1,EmpCount,1),"&lt;&gt;")&gt;0,VLOOKUP($C151,EmpAll,COLUMN(Emp!$R$4)+MATCH(O$5,DedListItem,0)-1,0),OFFSET(Setup!$E$73,MATCH(O$5,DedListItem,0),0,1,1)))-SUMIFS(OFFSET(O$6,1,0,PayCount,1),PayDate,"&lt;"&amp;$AC151,PayEmp,$C151))))))</f>
        <v>0</v>
      </c>
      <c r="P151" s="133" cm="1">
        <f t="array" aca="1" ref="P151" ca="1">IF($F151="Terminated",0,IF($AA151=0,0,IF(ISNA(MATCH(P$5,DedListItem,0)),0,IF(COUNTIFS(OverEmp,$C151,OverDeduct,P$5,OverDate,"&lt;"&amp;DATE(YEAR($AC151),MONTH($AC151)+1,1),OverEnd,"&gt;="&amp;DATE(YEAR($AC151),MONTH($AC151),1))&gt;0,SUMIFS(OverValue,OverEmp,$C151,OverDeduct,P$5,OverDate,"&lt;"&amp;DATE(YEAR($AC151),MONTH($AC151)+1,1),OverEnd,"&gt;="&amp;DATE(YEAR($AC151),MONTH($AC151),1)),IF(OR(P$2="Fixed",P$2="Not Used"),(IF(COUNTIFS(EmpNo,$C151,OFFSET(Emp!$R$4,1,MATCH(P$5,DedListItem,0)-1,EmpCount,1),"&lt;&gt;")&gt;0,VLOOKUP($C151,EmpAll,COLUMN(Emp!$R$4)+MATCH(P$5,DedListItem,0)-1,0),OFFSET(Setup!$E$73,MATCH(P$5,DedListItem,0),0,1,1))*$AA151)-SUMIFS(OFFSET(P$6,1,0,PayCount,1),PayDate,"&lt;"&amp;$AC151,PayEmp,$C151),IF(ISNA(MATCH(P$2,EarnListItem,0))=FALSE,IF(OFFSET(Setup!$G$73,MATCH(P$5,DedListItem,0),0,1,1)="Taxable",SUMPRODUCT((PayEmp=$C151)*(PayDate&lt;=$AC151)*(PayEarnCode=P$2)*(PayEarnTax)*(PayEarnValues)),SUMPRODUCT((PayEmp=$C151)*(PayDate&lt;=$AC151)*(PayEarnCode=P$2)*(PayEarnValues)))*IF(COUNTIFS(EmpNo,$C151,OFFSET(Emp!$R$4,1,MATCH(P$5,DedListItem,0)-1,EmpCount,1),"&lt;&gt;")&gt;0,VLOOKUP($C151,EmpAll,COLUMN(Emp!$R$4)+MATCH(P$5,DedListItem,0)-1,0),OFFSET(Setup!$E$73,MATCH(P$5,DedListItem,0),0,1,1)),(MIN(IF(OFFSET(Setup!$G$73,MATCH(P$5,DedListItem,0),0,1,1)="Taxable",SUMPRODUCT((PayEmp=$C151)*(PayDate&lt;=$AC151)*(ISERROR(SEARCH(PayEarnCode,P$4)))*(PayEarnTax)*(PayEarnValues)),SUMPRODUCT((PayEmp=$C151)*(PayDate&lt;=$AC151)*(ISERROR(SEARCH(PayEarnCode,P$4)))*(PayEarnValues))),IF(ISNUMBER(P$3),P$3/12*$AA151,IgnoreMin)))*IF(COUNTIFS(EmpNo,$C151,OFFSET(Emp!$R$4,1,MATCH(P$5,DedListItem,0)-1,EmpCount,1),"&lt;&gt;")&gt;0,VLOOKUP($C151,EmpAll,COLUMN(Emp!$R$4)+MATCH(P$5,DedListItem,0)-1,0),OFFSET(Setup!$E$73,MATCH(P$5,DedListItem,0),0,1,1)))-SUMIFS(OFFSET(P$6,1,0,PayCount,1),PayDate,"&lt;"&amp;$AC151,PayEmp,$C151))))))</f>
        <v>0</v>
      </c>
      <c r="Q151" s="133" cm="1">
        <f t="array" aca="1" ref="Q151" ca="1">IF($F151="Terminated",0,IF($AA151=0,0,IF(ISNA(MATCH(Q$5,DedListItem,0)),0,IF(COUNTIFS(OverEmp,$C151,OverDeduct,Q$5,OverDate,"&lt;"&amp;DATE(YEAR($AC151),MONTH($AC151)+1,1),OverEnd,"&gt;="&amp;DATE(YEAR($AC151),MONTH($AC151),1))&gt;0,SUMIFS(OverValue,OverEmp,$C151,OverDeduct,Q$5,OverDate,"&lt;"&amp;DATE(YEAR($AC151),MONTH($AC151)+1,1),OverEnd,"&gt;="&amp;DATE(YEAR($AC151),MONTH($AC151),1)),IF(OR(Q$2="Fixed",Q$2="Not Used"),(IF(COUNTIFS(EmpNo,$C151,OFFSET(Emp!$R$4,1,MATCH(Q$5,DedListItem,0)-1,EmpCount,1),"&lt;&gt;")&gt;0,VLOOKUP($C151,EmpAll,COLUMN(Emp!$R$4)+MATCH(Q$5,DedListItem,0)-1,0),OFFSET(Setup!$E$73,MATCH(Q$5,DedListItem,0),0,1,1))*$AA151)-SUMIFS(OFFSET(Q$6,1,0,PayCount,1),PayDate,"&lt;"&amp;$AC151,PayEmp,$C151),IF(ISNA(MATCH(Q$2,EarnListItem,0))=FALSE,IF(OFFSET(Setup!$G$73,MATCH(Q$5,DedListItem,0),0,1,1)="Taxable",SUMPRODUCT((PayEmp=$C151)*(PayDate&lt;=$AC151)*(PayEarnCode=Q$2)*(PayEarnTax)*(PayEarnValues)),SUMPRODUCT((PayEmp=$C151)*(PayDate&lt;=$AC151)*(PayEarnCode=Q$2)*(PayEarnValues)))*IF(COUNTIFS(EmpNo,$C151,OFFSET(Emp!$R$4,1,MATCH(Q$5,DedListItem,0)-1,EmpCount,1),"&lt;&gt;")&gt;0,VLOOKUP($C151,EmpAll,COLUMN(Emp!$R$4)+MATCH(Q$5,DedListItem,0)-1,0),OFFSET(Setup!$E$73,MATCH(Q$5,DedListItem,0),0,1,1)),(MIN(IF(OFFSET(Setup!$G$73,MATCH(Q$5,DedListItem,0),0,1,1)="Taxable",SUMPRODUCT((PayEmp=$C151)*(PayDate&lt;=$AC151)*(ISERROR(SEARCH(PayEarnCode,Q$4)))*(PayEarnTax)*(PayEarnValues)),SUMPRODUCT((PayEmp=$C151)*(PayDate&lt;=$AC151)*(ISERROR(SEARCH(PayEarnCode,Q$4)))*(PayEarnValues))),IF(ISNUMBER(Q$3),Q$3/12*$AA151,IgnoreMin)))*IF(COUNTIFS(EmpNo,$C151,OFFSET(Emp!$R$4,1,MATCH(Q$5,DedListItem,0)-1,EmpCount,1),"&lt;&gt;")&gt;0,VLOOKUP($C151,EmpAll,COLUMN(Emp!$R$4)+MATCH(Q$5,DedListItem,0)-1,0),OFFSET(Setup!$E$73,MATCH(Q$5,DedListItem,0),0,1,1)))-SUMIFS(OFFSET(Q$6,1,0,PayCount,1),PayDate,"&lt;"&amp;$AC151,PayEmp,$C151))))))</f>
        <v>0</v>
      </c>
      <c r="R151" s="185">
        <f t="shared" ca="1" si="67"/>
        <v>1983.7500000000009</v>
      </c>
      <c r="S151" s="139">
        <f t="shared" ca="1" si="68"/>
        <v>16016.25</v>
      </c>
      <c r="T151" s="133" cm="1">
        <f t="array" aca="1" ref="T151" ca="1">IF($F151="Terminated",0,IF($AA151=0,0,IF(ISNA(MATCH(T$5,CompListItem,0)),0,IF(COUNTIFS(OverEmp,$C151,OverComp,T$5,OverDate,"&lt;"&amp;DATE(YEAR($AC151),MONTH($AC151)+1,1),OverEnd,"&gt;="&amp;DATE(YEAR($AC151),MONTH($AC151),1))&gt;0,SUMIFS(OverValue,OverEmp,$C151,OverComp,T$5,OverDate,"&lt;"&amp;DATE(YEAR($AC151),MONTH($AC151)+1,1),OverEnd,"&gt;="&amp;DATE(YEAR($AC151),MONTH($AC151),1)),IF(OR(T$2="Fixed",T$2="Not Used"),(OFFSET(Setup!$E$81,MATCH(T$5,CompListItem,0),0,1,1)*$AA151)-SUMIFS(OFFSET(T$6,1,0,PayCount,1),PayDate,"&lt;"&amp;$AC151,PayEmp,$C151),IF(ISNA(MATCH(T$2,DedListItem,0))=FALSE,(SUMPRODUCT((PayEmp=$C151)*(PayDate&lt;=$AC151)*(PayDedList=T$2)*(PayDedValues))*OFFSET(Setup!$E$81,MATCH(T$5,CompListItem,0),0,1,1))-SUMIFS(OFFSET(T$6,1,0,PayCount,1),PayDate,"&lt;"&amp;$AC151,PayEmp,$C151),(MIN(IF(OFFSET(Setup!$G$81,MATCH(T$5,CompListItem,0),0,1,1)="Taxable",SUMPRODUCT((PayEmp=$C151)*(PayDate&lt;=$AC151)*(ISERROR(SEARCH(PayEarnCode,T$4)))*(PayEarnTax)*(PayEarnValues)),SUMPRODUCT((PayEmp=$C151)*(PayDate&lt;=$AC151)*(ISERROR(SEARCH(PayEarnCode,T$4)))*(PayEarnValues))),IF(ISNUMBER(T$3),T$3/12*$AA151,IgnoreMin)))*OFFSET(Setup!$E$81,MATCH(T$5,CompListItem,0),0,1,1)-SUMIFS(OFFSET(T$6,1,0,PayCount,1),PayDate,"&lt;"&amp;$AC151,PayEmp,$C151)))))))</f>
        <v>180</v>
      </c>
      <c r="U151" s="133" cm="1">
        <f t="array" aca="1" ref="U151" ca="1">IF($F151="Terminated",0,IF($AA151=0,0,IF(ISNA(MATCH(U$5,CompListItem,0)),0,IF(COUNTIFS(OverEmp,$C151,OverComp,U$5,OverDate,"&lt;"&amp;DATE(YEAR($AC151),MONTH($AC151)+1,1),OverEnd,"&gt;="&amp;DATE(YEAR($AC151),MONTH($AC151),1))&gt;0,SUMIFS(OverValue,OverEmp,$C151,OverComp,U$5,OverDate,"&lt;"&amp;DATE(YEAR($AC151),MONTH($AC151)+1,1),OverEnd,"&gt;="&amp;DATE(YEAR($AC151),MONTH($AC151),1)),IF(OR(U$2="Fixed",U$2="Not Used"),(OFFSET(Setup!$E$81,MATCH(U$5,CompListItem,0),0,1,1)*$AA151)-SUMIFS(OFFSET(U$6,1,0,PayCount,1),PayDate,"&lt;"&amp;$AC151,PayEmp,$C151),IF(ISNA(MATCH(U$2,DedListItem,0))=FALSE,(SUMPRODUCT((PayEmp=$C151)*(PayDate&lt;=$AC151)*(PayDedList=U$2)*(PayDedValues))*OFFSET(Setup!$E$81,MATCH(U$5,CompListItem,0),0,1,1))-SUMIFS(OFFSET(U$6,1,0,PayCount,1),PayDate,"&lt;"&amp;$AC151,PayEmp,$C151),(MIN(IF(OFFSET(Setup!$G$81,MATCH(U$5,CompListItem,0),0,1,1)="Taxable",SUMPRODUCT((PayEmp=$C151)*(PayDate&lt;=$AC151)*(ISERROR(SEARCH(PayEarnCode,U$4)))*(PayEarnTax)*(PayEarnValues)),SUMPRODUCT((PayEmp=$C151)*(PayDate&lt;=$AC151)*(ISERROR(SEARCH(PayEarnCode,U$4)))*(PayEarnValues))),IF(ISNUMBER(U$3),U$3/12*$AA151,IgnoreMin)))*OFFSET(Setup!$E$81,MATCH(U$5,CompListItem,0),0,1,1)-SUMIFS(OFFSET(U$6,1,0,PayCount,1),PayDate,"&lt;"&amp;$AC151,PayEmp,$C151)))))))</f>
        <v>180</v>
      </c>
      <c r="V151" s="133" cm="1">
        <f t="array" aca="1" ref="V151" ca="1">IF($F151="Terminated",0,IF($AA151=0,0,IF(ISNA(MATCH(V$5,CompListItem,0)),0,IF(COUNTIFS(OverEmp,$C151,OverComp,V$5,OverDate,"&lt;"&amp;DATE(YEAR($AC151),MONTH($AC151)+1,1),OverEnd,"&gt;="&amp;DATE(YEAR($AC151),MONTH($AC151),1))&gt;0,SUMIFS(OverValue,OverEmp,$C151,OverComp,V$5,OverDate,"&lt;"&amp;DATE(YEAR($AC151),MONTH($AC151)+1,1),OverEnd,"&gt;="&amp;DATE(YEAR($AC151),MONTH($AC151),1)),IF(OR(V$2="Fixed",V$2="Not Used"),(OFFSET(Setup!$E$81,MATCH(V$5,CompListItem,0),0,1,1)*$AA151)-SUMIFS(OFFSET(V$6,1,0,PayCount,1),PayDate,"&lt;"&amp;$AC151,PayEmp,$C151),IF(ISNA(MATCH(V$2,DedListItem,0))=FALSE,(SUMPRODUCT((PayEmp=$C151)*(PayDate&lt;=$AC151)*(PayDedList=V$2)*(PayDedValues))*OFFSET(Setup!$E$81,MATCH(V$5,CompListItem,0),0,1,1))-SUMIFS(OFFSET(V$6,1,0,PayCount,1),PayDate,"&lt;"&amp;$AC151,PayEmp,$C151),(MIN(IF(OFFSET(Setup!$G$81,MATCH(V$5,CompListItem,0),0,1,1)="Taxable",SUMPRODUCT((PayEmp=$C151)*(PayDate&lt;=$AC151)*(ISERROR(SEARCH(PayEarnCode,V$4)))*(PayEarnTax)*(PayEarnValues)),SUMPRODUCT((PayEmp=$C151)*(PayDate&lt;=$AC151)*(ISERROR(SEARCH(PayEarnCode,V$4)))*(PayEarnValues))),IF(ISNUMBER(V$3),V$3/12*$AA151,IgnoreMin)))*OFFSET(Setup!$E$81,MATCH(V$5,CompListItem,0),0,1,1)-SUMIFS(OFFSET(V$6,1,0,PayCount,1),PayDate,"&lt;"&amp;$AC151,PayEmp,$C151)))))))</f>
        <v>0</v>
      </c>
      <c r="W151" s="133" cm="1">
        <f t="array" aca="1" ref="W151" ca="1">IF($F151="Terminated",0,IF($AA151=0,0,IF(ISNA(MATCH(W$5,CompListItem,0)),0,IF(COUNTIFS(OverEmp,$C151,OverComp,W$5,OverDate,"&lt;"&amp;DATE(YEAR($AC151),MONTH($AC151)+1,1),OverEnd,"&gt;="&amp;DATE(YEAR($AC151),MONTH($AC151),1))&gt;0,SUMIFS(OverValue,OverEmp,$C151,OverComp,W$5,OverDate,"&lt;"&amp;DATE(YEAR($AC151),MONTH($AC151)+1,1),OverEnd,"&gt;="&amp;DATE(YEAR($AC151),MONTH($AC151),1)),IF(OR(W$2="Fixed",W$2="Not Used"),(OFFSET(Setup!$E$81,MATCH(W$5,CompListItem,0),0,1,1)*$AA151)-SUMIFS(OFFSET(W$6,1,0,PayCount,1),PayDate,"&lt;"&amp;$AC151,PayEmp,$C151),IF(ISNA(MATCH(W$2,DedListItem,0))=FALSE,(SUMPRODUCT((PayEmp=$C151)*(PayDate&lt;=$AC151)*(PayDedList=W$2)*(PayDedValues))*OFFSET(Setup!$E$81,MATCH(W$5,CompListItem,0),0,1,1))-SUMIFS(OFFSET(W$6,1,0,PayCount,1),PayDate,"&lt;"&amp;$AC151,PayEmp,$C151),(MIN(IF(OFFSET(Setup!$G$81,MATCH(W$5,CompListItem,0),0,1,1)="Taxable",SUMPRODUCT((PayEmp=$C151)*(PayDate&lt;=$AC151)*(ISERROR(SEARCH(PayEarnCode,W$4)))*(PayEarnTax)*(PayEarnValues)),SUMPRODUCT((PayEmp=$C151)*(PayDate&lt;=$AC151)*(ISERROR(SEARCH(PayEarnCode,W$4)))*(PayEarnValues))),IF(ISNUMBER(W$3),W$3/12*$AA151,IgnoreMin)))*OFFSET(Setup!$E$81,MATCH(W$5,CompListItem,0),0,1,1)-SUMIFS(OFFSET(W$6,1,0,PayCount,1),PayDate,"&lt;"&amp;$AC151,PayEmp,$C151)))))))</f>
        <v>0</v>
      </c>
      <c r="X151" s="185">
        <f t="shared" ca="1" si="60"/>
        <v>360</v>
      </c>
      <c r="Y151" s="139">
        <f t="shared" ca="1" si="69"/>
        <v>18360</v>
      </c>
      <c r="Z151" s="139">
        <f t="shared" ca="1" si="61"/>
        <v>2343.75</v>
      </c>
      <c r="AA151" s="146">
        <f ca="1">IF(OR($B151&lt;=Setup!$E$12,$B151&gt;=Setup!$D$12+1),0,IF($F151&lt;&gt;"Active",0,IF($AE151="Yes",$AB151,((YEAR($AC151)*12)+MONTH($AC151))-((YEAR($AD151)*12)+MONTH($AD151)-1))))</f>
        <v>10</v>
      </c>
      <c r="AB151" s="146">
        <f ca="1">IF(OR($B151&lt;=Setup!$E$12,$B151&gt;=Setup!$D$12+1),0,((YEAR($AC151)*12)+MONTH($AC151))-((YEAR(Setup!$E$12)*12)+MONTH(Setup!$E$12)))</f>
        <v>10</v>
      </c>
      <c r="AC151" s="186">
        <f t="shared" ca="1" si="62"/>
        <v>45285</v>
      </c>
      <c r="AD151" s="144">
        <f ca="1">IF(ISNA(VLOOKUP($C151,EmpAll,COLUMN(Emp!$E$4),0)),$AC151,IF(VLOOKUP($C151,EmpAll,COLUMN(Emp!$E$4),0)&lt;=Setup!$E$12,DATE(YEAR(Setup!$E$12),MONTH(Setup!$E$12)+1,1),VLOOKUP($C151,EmpAll,COLUMN(Emp!$E$4),0)))</f>
        <v>44986</v>
      </c>
      <c r="AE151" s="144" t="str">
        <f ca="1">IF(ISNA(VLOOKUP($C151,EmpAll,COLUMN(Emp!$G$1),0)),"-",IF(VLOOKUP($C151,EmpAll,COLUMN(Emp!$G$1),0)=0,"-",VLOOKUP($C151,EmpAll,COLUMN(Emp!$G$1),0)))</f>
        <v>-</v>
      </c>
      <c r="AF151" s="145">
        <f ca="1">IF(A151=PaySlip!$G$3,1,0)</f>
        <v>0</v>
      </c>
      <c r="AG151" s="130" cm="1">
        <f t="array" aca="1" ref="AG151" ca="1">IF(COUNTIFS(OverEmp,$C151,OverMed,"MED",OverDate,"&lt;"&amp;DATE(YEAR($AC151),MONTH($AC151)+1,1),OverEnd,"&gt;="&amp;DATE(YEAR($AC151),MONTH($AC151),1))&gt;0,SUMIFS(OverValue,OverEmp,$C151,OverMed,"MED",OverDate,"&lt;"&amp;DATE(YEAR($AC151),MONTH($AC151)+1,1),OverEnd,"&gt;="&amp;DATE(YEAR($AC151),MONTH($AC151),1)),IF(ISNA(VLOOKUP($C151,EmpAll,COLUMN(Emp!$N$4),0)),0,VLOOKUP($C151,EmpAll,COLUMN(Emp!$N$4),0)))</f>
        <v>0</v>
      </c>
      <c r="AH151" s="146">
        <f ca="1">VLOOKUP($AG151,MedList,COLUMN(Setup!$C$49),1)</f>
        <v>0</v>
      </c>
      <c r="AI151" s="146">
        <f t="shared" ca="1" si="70"/>
        <v>0</v>
      </c>
      <c r="AJ151" s="101" t="str">
        <f ca="1">IF(ISNA(VLOOKUP($C151,EmpAll,COLUMN(Emp!$L$4),0)),"None!",VLOOKUP($C151,EmpAll,COLUMN(Emp!$L$4),0))</f>
        <v>A</v>
      </c>
      <c r="AK151" s="147">
        <f t="shared" ca="1" si="63"/>
        <v>17235</v>
      </c>
      <c r="AL151" s="101" t="str">
        <f ca="1">IF(ISNA(VLOOKUP($C151,Employees[],COLUMN(Emp!$M$4),0))=TRUE,"Error!",IF(VLOOKUP($C151,Employees[],COLUMN(Emp!$M$4),0)=0,"Yes",VLOOKUP($C151,Employees[],COLUMN(Emp!$M$4),0)))</f>
        <v>A</v>
      </c>
      <c r="AM151" s="148">
        <f t="shared" ca="1" si="71"/>
        <v>117000</v>
      </c>
      <c r="AN151" s="148" cm="1">
        <f t="array" aca="1" ref="AN151" ca="1">-IF($F151="Terminated",0,IF($AA151=0,0,IF(ISNA(MATCH(AN$5,PayDedList,0)),0,MIN(IF(COUNTIFS(OverEmp,$C151,OverDeduct,AN$5,OverDate,"&lt;"&amp;DATE(YEAR($AC151),MONTH($AC151)+1,1),OverEnd,"&gt;="&amp;DATE(YEAR($AC151),MONTH($AC151),1))&gt;0,SUMPRODUCT((PayEmp=$C151)*(PayDate&lt;=$AC151)*(OFFSET($N$6,1,MATCH(AN$5,PayDedList,0)-1,PayCount,1)))/$AA151*12*AN$3,IF(OR(AN$1="Fixed",AN$1="Not Used"),SUMPRODUCT((PayEmp=$C151)*(PayDate&lt;=$AC151)*(OFFSET($N$6,1,MATCH(AN$5,PayDedList,0)-1,PayCount,1)))/$AA151*12*AN$3,IF(ISNA(MATCH(AN$1,EarnListItem,0))=FALSE,SUMPRODUCT((PayEmp=$C151)*(PayDate&lt;=$AC151)*(OFFSET($N$6,1,MATCH(AN$5,PayDedList,0)-1,PayCount,1)))/$AA151*12*AN$3,(MIN(((SUMPRODUCT((PayEmp=$C151)*(PayDate&lt;=$AC151)*(ISERROR(SEARCH(PayEarnCode,AN$2)))*(PayEarnType="Monthly")*(PayEarnValues))/$AA151*12)+(SUMPRODUCT((PayEmp=$C151)*(PayDate&lt;=$AC151)*(ISERROR(SEARCH(PayEarnCode,AN$2)))*(PayEarnType="Quarterly")*(PayEarnValues))/MAX(1,ROUNDDOWN($AB151/3,0))*4)+(SUMPRODUCT((PayEmp=$C151)*(PayDate&lt;=$AC151)*(ISERROR(SEARCH(PayEarnCode,AN$2)))*(PayEarnType="Bi-Annual")*(PayEarnValues))/MAX(1,ROUNDDOWN($AB151/6,0))*2)+(SUMPRODUCT((PayEmp=$C151)*(PayDate&lt;=$AC151)*(ISERROR(SEARCH(PayEarnCode,AN$2)))*(PayEarnType="Annual")*(PayEarnValues)))),IF(ISNUMBER(OFFSET($N$3,0,MATCH(AN$5,PayDedList,0)-1,1,1)),OFFSET($N$3,0,MATCH(AN$5,PayDedList,0)-1,1,1),IgnoreMin)))*IF(COUNTIFS(EmpNo,$C151,OFFSET(Emp!$R$4,1,MATCH(AN$5,DedListItem,0)-1,EmpCount,1),"&lt;&gt;")&gt;0,VLOOKUP($C151,EmpAll,COLUMN(Emp!$R$4)+MATCH(AN$5,DedListItem,0)-1,0),OFFSET(Setup!$E$73,MATCH(AN$5,DedListItem,0),0,1,1))*AN$3))),IF(ISNUMBER(AN$4),AN$4,IgnoreMin)))))</f>
        <v>0</v>
      </c>
      <c r="AO151" s="148" cm="1">
        <f t="array" aca="1" ref="AO151" ca="1">-IF($F151="Terminated",0,IF($AA151=0,0,IF(ISNA(MATCH(AO$5,PayDedList,0)),0,MIN(IF(COUNTIFS(OverEmp,$C151,OverDeduct,AO$5,OverDate,"&lt;"&amp;DATE(YEAR($AC151),MONTH($AC151)+1,1),OverEnd,"&gt;="&amp;DATE(YEAR($AC151),MONTH($AC151),1))&gt;0,SUMPRODUCT((PayEmp=$C151)*(PayDate&lt;=$AC151)*(OFFSET($N$6,1,MATCH(AO$5,PayDedList,0)-1,PayCount,1)))/$AA151*12*AO$3,IF(OR(AO$1="Fixed",AO$1="Not Used"),SUMPRODUCT((PayEmp=$C151)*(PayDate&lt;=$AC151)*(OFFSET($N$6,1,MATCH(AO$5,PayDedList,0)-1,PayCount,1)))/$AA151*12*AO$3,IF(ISNA(MATCH(AO$1,EarnListItem,0))=FALSE,SUMPRODUCT((PayEmp=$C151)*(PayDate&lt;=$AC151)*(OFFSET($N$6,1,MATCH(AO$5,PayDedList,0)-1,PayCount,1)))/$AA151*12*AO$3,(MIN(((SUMPRODUCT((PayEmp=$C151)*(PayDate&lt;=$AC151)*(ISERROR(SEARCH(PayEarnCode,AO$2)))*(PayEarnType="Monthly")*(PayEarnValues))/$AA151*12)+(SUMPRODUCT((PayEmp=$C151)*(PayDate&lt;=$AC151)*(ISERROR(SEARCH(PayEarnCode,AO$2)))*(PayEarnType="Quarterly")*(PayEarnValues))/MAX(1,ROUNDDOWN($AB151/3,0))*4)+(SUMPRODUCT((PayEmp=$C151)*(PayDate&lt;=$AC151)*(ISERROR(SEARCH(PayEarnCode,AO$2)))*(PayEarnType="Bi-Annual")*(PayEarnValues))/MAX(1,ROUNDDOWN($AB151/6,0))*2)+(SUMPRODUCT((PayEmp=$C151)*(PayDate&lt;=$AC151)*(ISERROR(SEARCH(PayEarnCode,AO$2)))*(PayEarnType="Annual")*(PayEarnValues)))),IF(ISNUMBER(OFFSET($N$3,0,MATCH(AO$5,PayDedList,0)-1,1,1)),OFFSET($N$3,0,MATCH(AO$5,PayDedList,0)-1,1,1),IgnoreMin)))*IF(COUNTIFS(EmpNo,$C151,OFFSET(Emp!$R$4,1,MATCH(AO$5,DedListItem,0)-1,EmpCount,1),"&lt;&gt;")&gt;0,VLOOKUP($C151,EmpAll,COLUMN(Emp!$R$4)+MATCH(AO$5,DedListItem,0)-1,0),OFFSET(Setup!$E$73,MATCH(AO$5,DedListItem,0),0,1,1))*AO$3))),IF(ISNUMBER(AO$4),AO$4,IgnoreMin)))))</f>
        <v>0</v>
      </c>
      <c r="AP151" s="148" cm="1">
        <f t="array" aca="1" ref="AP151" ca="1">-IF($F151="Terminated",0,IF($AA151=0,0,IF(ISNA(MATCH(AP$5,PayDedList,0)),0,MIN(IF(COUNTIFS(OverEmp,$C151,OverDeduct,AP$5,OverDate,"&lt;"&amp;DATE(YEAR($AC151),MONTH($AC151)+1,1),OverEnd,"&gt;="&amp;DATE(YEAR($AC151),MONTH($AC151),1))&gt;0,SUMPRODUCT((PayEmp=$C151)*(PayDate&lt;=$AC151)*(OFFSET($N$6,1,MATCH(AP$5,PayDedList,0)-1,PayCount,1)))/$AA151*12*AP$3,IF(OR(AP$1="Fixed",AP$1="Not Used"),SUMPRODUCT((PayEmp=$C151)*(PayDate&lt;=$AC151)*(OFFSET($N$6,1,MATCH(AP$5,PayDedList,0)-1,PayCount,1)))/$AA151*12*AP$3,IF(ISNA(MATCH(AP$1,EarnListItem,0))=FALSE,SUMPRODUCT((PayEmp=$C151)*(PayDate&lt;=$AC151)*(OFFSET($N$6,1,MATCH(AP$5,PayDedList,0)-1,PayCount,1)))/$AA151*12*AP$3,(MIN(((SUMPRODUCT((PayEmp=$C151)*(PayDate&lt;=$AC151)*(ISERROR(SEARCH(PayEarnCode,AP$2)))*(PayEarnType="Monthly")*(PayEarnValues))/$AA151*12)+(SUMPRODUCT((PayEmp=$C151)*(PayDate&lt;=$AC151)*(ISERROR(SEARCH(PayEarnCode,AP$2)))*(PayEarnType="Quarterly")*(PayEarnValues))/MAX(1,ROUNDDOWN($AB151/3,0))*4)+(SUMPRODUCT((PayEmp=$C151)*(PayDate&lt;=$AC151)*(ISERROR(SEARCH(PayEarnCode,AP$2)))*(PayEarnType="Bi-Annual")*(PayEarnValues))/MAX(1,ROUNDDOWN($AB151/6,0))*2)+(SUMPRODUCT((PayEmp=$C151)*(PayDate&lt;=$AC151)*(ISERROR(SEARCH(PayEarnCode,AP$2)))*(PayEarnType="Annual")*(PayEarnValues)))),IF(ISNUMBER(OFFSET($N$3,0,MATCH(AP$5,PayDedList,0)-1,1,1)),OFFSET($N$3,0,MATCH(AP$5,PayDedList,0)-1,1,1),IgnoreMin)))*IF(COUNTIFS(EmpNo,$C151,OFFSET(Emp!$R$4,1,MATCH(AP$5,DedListItem,0)-1,EmpCount,1),"&lt;&gt;")&gt;0,VLOOKUP($C151,EmpAll,COLUMN(Emp!$R$4)+MATCH(AP$5,DedListItem,0)-1,0),OFFSET(Setup!$E$73,MATCH(AP$5,DedListItem,0),0,1,1))*AP$3))),IF(ISNUMBER(AP$4),AP$4,IgnoreMin)))))</f>
        <v>0</v>
      </c>
      <c r="AQ151" s="148" cm="1">
        <f t="array" aca="1" ref="AQ151" ca="1">-IF($F151="Terminated",0,IF($AA151=0,0,IF(ISNA(MATCH(AQ$5,PayDedList,0)),0,MIN(IF(COUNTIFS(OverEmp,$C151,OverDeduct,AQ$5,OverDate,"&lt;"&amp;DATE(YEAR($AC151),MONTH($AC151)+1,1),OverEnd,"&gt;="&amp;DATE(YEAR($AC151),MONTH($AC151),1))&gt;0,SUMPRODUCT((PayEmp=$C151)*(PayDate&lt;=$AC151)*(OFFSET($N$6,1,MATCH(AQ$5,PayDedList,0)-1,PayCount,1)))/$AA151*12*AQ$3,IF(OR(AQ$1="Fixed",AQ$1="Not Used"),SUMPRODUCT((PayEmp=$C151)*(PayDate&lt;=$AC151)*(OFFSET($N$6,1,MATCH(AQ$5,PayDedList,0)-1,PayCount,1)))/$AA151*12*AQ$3,IF(ISNA(MATCH(AQ$1,EarnListItem,0))=FALSE,SUMPRODUCT((PayEmp=$C151)*(PayDate&lt;=$AC151)*(OFFSET($N$6,1,MATCH(AQ$5,PayDedList,0)-1,PayCount,1)))/$AA151*12*AQ$3,(MIN(((SUMPRODUCT((PayEmp=$C151)*(PayDate&lt;=$AC151)*(ISERROR(SEARCH(PayEarnCode,AQ$2)))*(PayEarnType="Monthly")*(PayEarnValues))/$AA151*12)+(SUMPRODUCT((PayEmp=$C151)*(PayDate&lt;=$AC151)*(ISERROR(SEARCH(PayEarnCode,AQ$2)))*(PayEarnType="Quarterly")*(PayEarnValues))/MAX(1,ROUNDDOWN($AB151/3,0))*4)+(SUMPRODUCT((PayEmp=$C151)*(PayDate&lt;=$AC151)*(ISERROR(SEARCH(PayEarnCode,AQ$2)))*(PayEarnType="Bi-Annual")*(PayEarnValues))/MAX(1,ROUNDDOWN($AB151/6,0))*2)+(SUMPRODUCT((PayEmp=$C151)*(PayDate&lt;=$AC151)*(ISERROR(SEARCH(PayEarnCode,AQ$2)))*(PayEarnType="Annual")*(PayEarnValues)))),IF(ISNUMBER(OFFSET($N$3,0,MATCH(AQ$5,PayDedList,0)-1,1,1)),OFFSET($N$3,0,MATCH(AQ$5,PayDedList,0)-1,1,1),IgnoreMin)))*IF(COUNTIFS(EmpNo,$C151,OFFSET(Emp!$R$4,1,MATCH(AQ$5,DedListItem,0)-1,EmpCount,1),"&lt;&gt;")&gt;0,VLOOKUP($C151,EmpAll,COLUMN(Emp!$R$4)+MATCH(AQ$5,DedListItem,0)-1,0),OFFSET(Setup!$E$73,MATCH(AQ$5,DedListItem,0),0,1,1))*AQ$3))),IF(ISNUMBER(AQ$4),AQ$4,IgnoreMin)))))</f>
        <v>0</v>
      </c>
      <c r="AR151" s="148">
        <f t="shared" ca="1" si="64"/>
        <v>117000</v>
      </c>
      <c r="AS151" s="148">
        <f t="shared" ca="1" si="72"/>
        <v>108000</v>
      </c>
      <c r="AT151" s="148" cm="1">
        <f t="array" aca="1" ref="AT151" ca="1">-IF($F151="Terminated",0,IF($AA151=0,0,IF(ISNA(MATCH(AT$5,PayDedList,0)),0,MIN(IF(COUNTIFS(OverEmp,$C151,OverDeduct,AT$5,OverDate,"&lt;"&amp;DATE(YEAR($AC151),MONTH($AC151)+1,1),OverEnd,"&gt;="&amp;DATE(YEAR($AC151),MONTH($AC151),1))&gt;0,SUMPRODUCT((PayEmp=$C151)*(PayDate&lt;=$AC151)*(OFFSET($N$6,1,MATCH(AT$5,PayDedList,0)-1,PayCount,1)))/$AA151*12*AT$3,IF(OR(AT$1="Fixed",AT$1="Not Used"),SUMPRODUCT((PayEmp=$C151)*(PayDate&lt;=$AC151)*(OFFSET($N$6,1,MATCH(AT$5,PayDedList,0)-1,PayCount,1)))/$AA151*12*AT$3,IF(ISNA(MATCH(OFFSET($N$2,0,MATCH(AT$5,PayDedList,0)-1,1,1),EarnListItem,0))=FALSE,SUMPRODUCT((PayEmp=$C151)*(PayDate&lt;=$AC151)*(OFFSET($N$6,1,MATCH(AT$5,PayDedList,0)-1,PayCount,1)))/$AA151*12*AT$3,(MIN(SUMPRODUCT((PayEmp=$C151)*(PayDate&lt;=$AC151)*(ISERROR(SEARCH(PayEarnCode,AT$2)))*(PayEarnType="Monthly")*(PayEarnValues))/$AA151*12,IF(ISNUMBER(OFFSET($N$3,0,MATCH(AT$5,PayDedList,0)-1,1,1)),OFFSET($N$3,0,MATCH(AT$5,PayDedList,0)-1,1,1),IgnoreMin)))*IF(COUNTIFS(EmpNo,$C151,OFFSET(Emp!$R$4,1,MATCH(AT$5,DedListItem,0)-1,EmpCount,1),"&lt;&gt;")&gt;0,VLOOKUP($C151,EmpAll,COLUMN(Emp!$R$4)+MATCH(AT$5,DedListItem,0)-1,0),OFFSET(Setup!$E$73,MATCH(AT$5,DedListItem,0),0,1,1))*AT$3))),IF(ISNUMBER(AT$4),AT$4,IgnoreMin)))))</f>
        <v>0</v>
      </c>
      <c r="AU151" s="148" cm="1">
        <f t="array" aca="1" ref="AU151" ca="1">-IF($F151="Terminated",0,IF($AA151=0,0,IF(ISNA(MATCH(AU$5,PayDedList,0)),0,MIN(IF(COUNTIFS(OverEmp,$C151,OverDeduct,AU$5,OverDate,"&lt;"&amp;DATE(YEAR($AC151),MONTH($AC151)+1,1),OverEnd,"&gt;="&amp;DATE(YEAR($AC151),MONTH($AC151),1))&gt;0,SUMPRODUCT((PayEmp=$C151)*(PayDate&lt;=$AC151)*(OFFSET($N$6,1,MATCH(AU$5,PayDedList,0)-1,PayCount,1)))/$AA151*12*AU$3,IF(OR(AU$1="Fixed",AU$1="Not Used"),SUMPRODUCT((PayEmp=$C151)*(PayDate&lt;=$AC151)*(OFFSET($N$6,1,MATCH(AU$5,PayDedList,0)-1,PayCount,1)))/$AA151*12*AU$3,IF(ISNA(MATCH(OFFSET($N$2,0,MATCH(AU$5,PayDedList,0)-1,1,1),EarnListItem,0))=FALSE,SUMPRODUCT((PayEmp=$C151)*(PayDate&lt;=$AC151)*(OFFSET($N$6,1,MATCH(AU$5,PayDedList,0)-1,PayCount,1)))/$AA151*12*AU$3,(MIN(SUMPRODUCT((PayEmp=$C151)*(PayDate&lt;=$AC151)*(ISERROR(SEARCH(PayEarnCode,AU$2)))*(PayEarnType="Monthly")*(PayEarnValues))/$AA151*12,IF(ISNUMBER(OFFSET($N$3,0,MATCH(AU$5,PayDedList,0)-1,1,1)),OFFSET($N$3,0,MATCH(AU$5,PayDedList,0)-1,1,1),IgnoreMin)))*IF(COUNTIFS(EmpNo,$C151,OFFSET(Emp!$R$4,1,MATCH(AU$5,DedListItem,0)-1,EmpCount,1),"&lt;&gt;")&gt;0,VLOOKUP($C151,EmpAll,COLUMN(Emp!$R$4)+MATCH(AU$5,DedListItem,0)-1,0),OFFSET(Setup!$E$73,MATCH(AU$5,DedListItem,0),0,1,1))*AU$3))),IF(ISNUMBER(AU$4),AU$4,IgnoreMin)))))</f>
        <v>0</v>
      </c>
      <c r="AV151" s="148" cm="1">
        <f t="array" aca="1" ref="AV151" ca="1">-IF($F151="Terminated",0,IF($AA151=0,0,IF(ISNA(MATCH(AV$5,PayDedList,0)),0,MIN(IF(COUNTIFS(OverEmp,$C151,OverDeduct,AV$5,OverDate,"&lt;"&amp;DATE(YEAR($AC151),MONTH($AC151)+1,1),OverEnd,"&gt;="&amp;DATE(YEAR($AC151),MONTH($AC151),1))&gt;0,SUMPRODUCT((PayEmp=$C151)*(PayDate&lt;=$AC151)*(OFFSET($N$6,1,MATCH(AV$5,PayDedList,0)-1,PayCount,1)))/$AA151*12*AV$3,IF(OR(AV$1="Fixed",AV$1="Not Used"),SUMPRODUCT((PayEmp=$C151)*(PayDate&lt;=$AC151)*(OFFSET($N$6,1,MATCH(AV$5,PayDedList,0)-1,PayCount,1)))/$AA151*12*AV$3,IF(ISNA(MATCH(OFFSET($N$2,0,MATCH(AV$5,PayDedList,0)-1,1,1),EarnListItem,0))=FALSE,SUMPRODUCT((PayEmp=$C151)*(PayDate&lt;=$AC151)*(OFFSET($N$6,1,MATCH(AV$5,PayDedList,0)-1,PayCount,1)))/$AA151*12*AV$3,(MIN(SUMPRODUCT((PayEmp=$C151)*(PayDate&lt;=$AC151)*(ISERROR(SEARCH(PayEarnCode,AV$2)))*(PayEarnType="Monthly")*(PayEarnValues))/$AA151*12,IF(ISNUMBER(OFFSET($N$3,0,MATCH(AV$5,PayDedList,0)-1,1,1)),OFFSET($N$3,0,MATCH(AV$5,PayDedList,0)-1,1,1),IgnoreMin)))*IF(COUNTIFS(EmpNo,$C151,OFFSET(Emp!$R$4,1,MATCH(AV$5,DedListItem,0)-1,EmpCount,1),"&lt;&gt;")&gt;0,VLOOKUP($C151,EmpAll,COLUMN(Emp!$R$4)+MATCH(AV$5,DedListItem,0)-1,0),OFFSET(Setup!$E$73,MATCH(AV$5,DedListItem,0),0,1,1))*AV$3))),IF(ISNUMBER(AV$4),AV$4,IgnoreMin)))))</f>
        <v>0</v>
      </c>
      <c r="AW151" s="148" cm="1">
        <f t="array" aca="1" ref="AW151" ca="1">-IF($F151="Terminated",0,IF($AA151=0,0,IF(ISNA(MATCH(AW$5,PayDedList,0)),0,MIN(IF(COUNTIFS(OverEmp,$C151,OverDeduct,AW$5,OverDate,"&lt;"&amp;DATE(YEAR($AC151),MONTH($AC151)+1,1),OverEnd,"&gt;="&amp;DATE(YEAR($AC151),MONTH($AC151),1))&gt;0,SUMPRODUCT((PayEmp=$C151)*(PayDate&lt;=$AC151)*(OFFSET($N$6,1,MATCH(AW$5,PayDedList,0)-1,PayCount,1)))/$AA151*12*AW$3,IF(OR(AW$1="Fixed",AW$1="Not Used"),SUMPRODUCT((PayEmp=$C151)*(PayDate&lt;=$AC151)*(OFFSET($N$6,1,MATCH(AW$5,PayDedList,0)-1,PayCount,1)))/$AA151*12*AW$3,IF(ISNA(MATCH(OFFSET($N$2,0,MATCH(AW$5,PayDedList,0)-1,1,1),EarnListItem,0))=FALSE,SUMPRODUCT((PayEmp=$C151)*(PayDate&lt;=$AC151)*(OFFSET($N$6,1,MATCH(AW$5,PayDedList,0)-1,PayCount,1)))/$AA151*12*AW$3,(MIN(SUMPRODUCT((PayEmp=$C151)*(PayDate&lt;=$AC151)*(ISERROR(SEARCH(PayEarnCode,AW$2)))*(PayEarnType="Monthly")*(PayEarnValues))/$AA151*12,IF(ISNUMBER(OFFSET($N$3,0,MATCH(AW$5,PayDedList,0)-1,1,1)),OFFSET($N$3,0,MATCH(AW$5,PayDedList,0)-1,1,1),IgnoreMin)))*IF(COUNTIFS(EmpNo,$C151,OFFSET(Emp!$R$4,1,MATCH(AW$5,DedListItem,0)-1,EmpCount,1),"&lt;&gt;")&gt;0,VLOOKUP($C151,EmpAll,COLUMN(Emp!$R$4)+MATCH(AW$5,DedListItem,0)-1,0),OFFSET(Setup!$E$73,MATCH(AW$5,DedListItem,0),0,1,1))*AW$3))),IF(ISNUMBER(AW$4),AW$4,IgnoreMin)))))</f>
        <v>0</v>
      </c>
      <c r="AX151" s="148">
        <f t="shared" ca="1" si="73"/>
        <v>108000</v>
      </c>
      <c r="AY151" s="148">
        <f t="shared" ca="1" si="74"/>
        <v>9000</v>
      </c>
      <c r="AZ151" s="148">
        <f ca="1">IF(ISNUMBER($AL151),($AR151*$AL151)-$AI151-$AK151,MAX(0,IF($AL151="B",IF($AR151&lt;Setup!$C$32,($AR151*Setup!$D$32)-$AI151-$AK151,(($AR151-VLOOKUP($AR151,TaxAll2,1,1))*OFFSET(Setup!$D$32,MATCH($AR151,TaxBracket2,1),0,1,1))+OFFSET(Setup!$E$31,MATCH($AR151,TaxBracket2,1),0,1,1)-$AI151-$AK151),IF($AR151&lt;Setup!$C$21,($AR151*Setup!$D$21)-$AI151-$AK151,(($AR151-VLOOKUP($AR151,TaxAll1,1,1))*OFFSET(Setup!$D$21,MATCH($AR151,TaxBracket1,1),0,1,1))+OFFSET(Setup!$E$20,MATCH($AR151,TaxBracket1,1),0,1,1)-$AI151-$AK151))))</f>
        <v>3825</v>
      </c>
      <c r="BA151" s="148">
        <f ca="1">IF(ISNUMBER($AL151),($AX151*$AL151)-$AI151-$AK151,MAX(0,IF($AL151="B",IF($AX151&lt;Setup!$C$32,($AX151*Setup!$D$32)-$AI151-$AK151,(($AX151-VLOOKUP($AX151,TaxAll2,1,1))*OFFSET(Setup!$D$32,MATCH($AX151,TaxBracket2,1),0,1,1))+OFFSET(Setup!$E$31,MATCH($AX151,TaxBracket2,1),0,1,1)-$AI151-$AK151),IF($AX151&lt;Setup!$C$21,($AX151*Setup!$D$21)-$AI151-$AK151,(($AX151-VLOOKUP($AX151,TaxAll1,1,1))*OFFSET(Setup!$D$21,MATCH($AX151,TaxBracket1,1),0,1,1))+OFFSET(Setup!$E$20,MATCH($AX151,TaxBracket1,1),0,1,1)-$AI151-$AK151))))</f>
        <v>2205</v>
      </c>
      <c r="BB151" s="148">
        <f t="shared" ca="1" si="65"/>
        <v>1620</v>
      </c>
      <c r="BC151" s="150">
        <f t="shared" ca="1" si="75"/>
        <v>0.92307692307692313</v>
      </c>
      <c r="BD151" s="150">
        <f t="shared" ca="1" si="76"/>
        <v>7.6923076923076927E-2</v>
      </c>
      <c r="BE151" s="148">
        <f t="shared" ca="1" si="77"/>
        <v>117000</v>
      </c>
    </row>
    <row r="152" spans="1:57" ht="16.149999999999999" customHeight="1" x14ac:dyDescent="0.25">
      <c r="A152" s="10" t="str" cm="1">
        <f t="array" aca="1" ref="A152" ca="1">IF(ROW($A152)-ROW($A$6)&gt;EmpCount*12,"-",TEXT($B152,"yyyy")&amp;TEXT($B152,"mm")&amp;"-"&amp;$C152)</f>
        <v>202312-EXS011</v>
      </c>
      <c r="B152" s="137" cm="1">
        <f t="array" aca="1" ref="B152" ca="1">IF(ROW($A152)-ROW($A$6)&gt;EmpCount*12,Setup!$D$12,DATE(YEAR(Setup!$F$12),MONTH(Setup!$F$12)+ROUNDDOWN((ROW($A152)-ROW($A$6)-1)/EmpCount,0),IF(Setup!$C$14&gt;DAY(DATE(YEAR(Setup!$F$12),MONTH(Setup!$F$12)+ROUNDDOWN((ROW($A152)-ROW($A$6)-1)/EmpCount,0)+1,0)),DAY(DATE(YEAR(Setup!$F$12),MONTH(Setup!$F$12)+ROUNDDOWN((ROW($A152)-ROW($A$6)-1)/EmpCount,0)+1,0)),Setup!$C$14)))</f>
        <v>45285</v>
      </c>
      <c r="C152" s="101" t="str" cm="1">
        <f t="array" aca="1" ref="C152" ca="1">IF(ROW($A152)-ROW($A$6)&gt;EmpCount*12,"-",OFFSET(Emp!$A$4,ROW($A152)-ROW($A$6)-IF(ROW($A152)-ROW($A$6)&gt;EmpCount,ROUNDDOWN((ROW($A152)-ROW($A$6)-1)/EmpCount,0)*EmpCount,0),0,1,1))</f>
        <v>EXS011</v>
      </c>
      <c r="D152" s="10" t="str">
        <f ca="1">IF(ISNA(VLOOKUP($C152,EmpAll,COLUMN(Emp!$B$4),0)),"-",VLOOKUP($C152,EmpAll,COLUMN(Emp!$B$4),0))</f>
        <v>Newport GD</v>
      </c>
      <c r="E152" s="145" t="str">
        <f ca="1">IF(ISNA(VLOOKUP($C152,EmpAll,COLUMN(Emp!$C$4),0)),"-",VLOOKUP($C152,EmpAll,COLUMN(Emp!$C$4),0))</f>
        <v>A</v>
      </c>
      <c r="F152" s="101" t="str">
        <f ca="1">IF(ISNA(VLOOKUP($C152,EmpAll,COLUMN(Emp!$A$4),0)),"-",IF(AND(VLOOKUP($C152,EmpAll,COLUMN(Emp!$E$4),0)&lt;&gt;0,VLOOKUP($C152,EmpAll,COLUMN(Emp!$E$4),0)&gt;=DATE(YEAR($AC152),MONTH($AC152)+1,0)),"Inactive",IF(AND(VLOOKUP($C152,EmpAll,COLUMN(Emp!$F$4),0)&lt;&gt;0,VLOOKUP($C152,EmpAll,COLUMN(Emp!$F$4),0)&lt;=DATE(YEAR($AC152),MONTH($AC152),0)),"Terminated","Active")))</f>
        <v>Active</v>
      </c>
      <c r="G152" s="133" cm="1">
        <f t="array" aca="1" ref="G152" ca="1">IF($F152&lt;&gt;"Active",0,IF(COUNTIFS(OverEmp,$C152,OverEarn,G$2,OverDate,"&lt;"&amp;DATE(YEAR($AC152),MONTH($AC152)+1,1),OverEnd,"&gt;="&amp;DATE(YEAR($AC152),MONTH($AC152),1))&gt;0,SUMIFS(OverValue,OverEmp,$C152,OverEarn,G$2,OverDate,"&lt;"&amp;DATE(YEAR($AC152),MONTH($AC152)+1,1),OverEnd,"&gt;="&amp;DATE(YEAR($AC152),MONTH($AC152),1)),IF(AND($AC152&gt;=Setup!$E$10,SUMIFS(EmpIncrease,EmpCode,$C152)&gt;0),SUMIFS(EmpIncrease,EmpCode,$C152),SUMIFS(EmpSalary,EmpCode,$C152))))</f>
        <v>5000</v>
      </c>
      <c r="H152" s="133" cm="1">
        <f t="array" aca="1" ref="H152" ca="1">IF($F152&lt;&gt;"Active",0,IF(COUNTIFS(OverEmp,$C152,OverEarn,H$2,OverDate,"&lt;"&amp;DATE(YEAR($AC152),MONTH($AC152)+1,1),OverEnd,"&gt;="&amp;DATE(YEAR($AC152),MONTH($AC152),1))&gt;0,SUMIFS(OverValue,OverEmp,$C152,OverEarn,H$2,OverDate,"&lt;"&amp;DATE(YEAR($AC152),MONTH($AC152)+1,1),OverEnd,"&gt;="&amp;DATE(YEAR($AC152),MONTH($AC152),1)),0))</f>
        <v>0</v>
      </c>
      <c r="I152" s="133" cm="1">
        <f t="array" aca="1" ref="I152" ca="1">IF($F152&lt;&gt;"Active",0,IF(COUNTIFS(OverEmp,$C152,OverEarn,I$2,OverDate,"&lt;"&amp;DATE(YEAR($AC152),MONTH($AC152)+1,1),OverEnd,"&gt;="&amp;DATE(YEAR($AC152),MONTH($AC152),1))&gt;0,SUMIFS(OverValue,OverEmp,$C152,OverEarn,I$2,OverDate,"&lt;"&amp;DATE(YEAR($AC152),MONTH($AC152)+1,1),OverEnd,"&gt;="&amp;DATE(YEAR($AC152),MONTH($AC152),1)),IF(MONTH(B152)=Setup!$C$15,SUMIFS(EmpBonus,EmpCode,$C152),0)))</f>
        <v>5000</v>
      </c>
      <c r="J152" s="133" cm="1">
        <f t="array" aca="1" ref="J152" ca="1">IF($F152&lt;&gt;"Active",0,IF(COUNTIFS(OverEmp,$C152,OverEarn,J$2,OverDate,"&lt;"&amp;DATE(YEAR($AC152),MONTH($AC152)+1,1),OverEnd,"&gt;="&amp;DATE(YEAR($AC152),MONTH($AC152),1))&gt;0,SUMIFS(OverValue,OverEmp,$C152,OverEarn,J$2,OverDate,"&lt;"&amp;DATE(YEAR($AC152),MONTH($AC152)+1,1),OverEnd,"&gt;="&amp;DATE(YEAR($AC152),MONTH($AC152),1)),0))</f>
        <v>0</v>
      </c>
      <c r="K152" s="133" cm="1">
        <f t="array" aca="1" ref="K152" ca="1">IF($F152&lt;&gt;"Active",0,IF(COUNTIFS(OverEmp,$C152,OverEarn,K$2,OverDate,"&lt;"&amp;DATE(YEAR($AC152),MONTH($AC152)+1,1),OverEnd,"&gt;="&amp;DATE(YEAR($AC152),MONTH($AC152),1))&gt;0,SUMIFS(OverValue,OverEmp,$C152,OverEarn,K$2,OverDate,"&lt;"&amp;DATE(YEAR($AC152),MONTH($AC152)+1,1),OverEnd,"&gt;="&amp;DATE(YEAR($AC152),MONTH($AC152),1)),0))</f>
        <v>0</v>
      </c>
      <c r="L152" s="185">
        <f t="shared" ca="1" si="66"/>
        <v>10000</v>
      </c>
      <c r="M152" s="182" cm="1">
        <f t="array" aca="1" ref="M152" ca="1">IF(COUNTIFS(OverEmp,$C152,OverTax,M$5,OverDate,"&lt;"&amp;DATE(YEAR($AC152),MONTH($AC152)+1,1),OverEnd,"&gt;="&amp;DATE(YEAR($AC152),MONTH($AC152),1))&gt;0,SUMIFS(OverValue,OverEmp,$C152,OverTax,M$5,OverDate,"&lt;"&amp;DATE(YEAR($AC152),MONTH($AC152)+1,1),OverEnd,"&gt;="&amp;DATE(YEAR($AC152),MONTH($AC152),1)),(($BA152/12*$AA152)+(BB152*IF(1-$BC152=0,0,BD152/(1-$BC152))))-IF($F152="Terminated",0,SUMIFS(PayTaxDeduct,PayDate,"&lt;"&amp;$AC152,PayEmp,$C152)))</f>
        <v>0</v>
      </c>
      <c r="N152" s="133" cm="1">
        <f t="array" aca="1" ref="N152" ca="1">IF($F152="Terminated",0,IF($AA152=0,0,IF(ISNA(MATCH(N$5,DedListItem,0)),0,IF(COUNTIFS(OverEmp,$C152,OverDeduct,N$5,OverDate,"&lt;"&amp;DATE(YEAR($AC152),MONTH($AC152)+1,1),OverEnd,"&gt;="&amp;DATE(YEAR($AC152),MONTH($AC152),1))&gt;0,SUMIFS(OverValue,OverEmp,$C152,OverDeduct,N$5,OverDate,"&lt;"&amp;DATE(YEAR($AC152),MONTH($AC152)+1,1),OverEnd,"&gt;="&amp;DATE(YEAR($AC152),MONTH($AC152),1)),IF(OR(N$2="Fixed",N$2="Not Used"),(IF(COUNTIFS(EmpNo,$C152,OFFSET(Emp!$R$4,1,MATCH(N$5,DedListItem,0)-1,EmpCount,1),"&lt;&gt;")&gt;0,VLOOKUP($C152,EmpAll,COLUMN(Emp!$R$4)+MATCH(N$5,DedListItem,0)-1,0),OFFSET(Setup!$E$73,MATCH(N$5,DedListItem,0),0,1,1))*$AA152)-SUMIFS(OFFSET(N$6,1,0,PayCount,1),PayDate,"&lt;"&amp;$AC152,PayEmp,$C152),IF(ISNA(MATCH(N$2,EarnListItem,0))=FALSE,IF(OFFSET(Setup!$G$73,MATCH(N$5,DedListItem,0),0,1,1)="Taxable",SUMPRODUCT((PayEmp=$C152)*(PayDate&lt;=$AC152)*(PayEarnCode=N$2)*(PayEarnTax)*(PayEarnValues)),SUMPRODUCT((PayEmp=$C152)*(PayDate&lt;=$AC152)*(PayEarnCode=N$2)*(PayEarnValues)))*IF(COUNTIFS(EmpNo,$C152,OFFSET(Emp!$R$4,1,MATCH(N$5,DedListItem,0)-1,EmpCount,1),"&lt;&gt;")&gt;0,VLOOKUP($C152,EmpAll,COLUMN(Emp!$R$4)+MATCH(N$5,DedListItem,0)-1,0),OFFSET(Setup!$E$73,MATCH(N$5,DedListItem,0),0,1,1)),(MIN(IF(OFFSET(Setup!$G$73,MATCH(N$5,DedListItem,0),0,1,1)="Taxable",SUMPRODUCT((PayEmp=$C152)*(PayDate&lt;=$AC152)*(ISERROR(SEARCH(PayEarnCode,N$4)))*(PayEarnTax)*(PayEarnValues)),SUMPRODUCT((PayEmp=$C152)*(PayDate&lt;=$AC152)*(ISERROR(SEARCH(PayEarnCode,N$4)))*(PayEarnValues))),IF(ISNUMBER(N$3),N$3/12*$AA152,IgnoreMin)))*IF(COUNTIFS(EmpNo,$C152,OFFSET(Emp!$R$4,1,MATCH(N$5,DedListItem,0)-1,EmpCount,1),"&lt;&gt;")&gt;0,VLOOKUP($C152,EmpAll,COLUMN(Emp!$R$4)+MATCH(N$5,DedListItem,0)-1,0),OFFSET(Setup!$E$73,MATCH(N$5,DedListItem,0),0,1,1)))-SUMIFS(OFFSET(N$6,1,0,PayCount,1),PayDate,"&lt;"&amp;$AC152,PayEmp,$C152))))))</f>
        <v>100</v>
      </c>
      <c r="O152" s="133" cm="1">
        <f t="array" aca="1" ref="O152" ca="1">IF($F152="Terminated",0,IF($AA152=0,0,IF(ISNA(MATCH(O$5,DedListItem,0)),0,IF(COUNTIFS(OverEmp,$C152,OverDeduct,O$5,OverDate,"&lt;"&amp;DATE(YEAR($AC152),MONTH($AC152)+1,1),OverEnd,"&gt;="&amp;DATE(YEAR($AC152),MONTH($AC152),1))&gt;0,SUMIFS(OverValue,OverEmp,$C152,OverDeduct,O$5,OverDate,"&lt;"&amp;DATE(YEAR($AC152),MONTH($AC152)+1,1),OverEnd,"&gt;="&amp;DATE(YEAR($AC152),MONTH($AC152),1)),IF(OR(O$2="Fixed",O$2="Not Used"),(IF(COUNTIFS(EmpNo,$C152,OFFSET(Emp!$R$4,1,MATCH(O$5,DedListItem,0)-1,EmpCount,1),"&lt;&gt;")&gt;0,VLOOKUP($C152,EmpAll,COLUMN(Emp!$R$4)+MATCH(O$5,DedListItem,0)-1,0),OFFSET(Setup!$E$73,MATCH(O$5,DedListItem,0),0,1,1))*$AA152)-SUMIFS(OFFSET(O$6,1,0,PayCount,1),PayDate,"&lt;"&amp;$AC152,PayEmp,$C152),IF(ISNA(MATCH(O$2,EarnListItem,0))=FALSE,IF(OFFSET(Setup!$G$73,MATCH(O$5,DedListItem,0),0,1,1)="Taxable",SUMPRODUCT((PayEmp=$C152)*(PayDate&lt;=$AC152)*(PayEarnCode=O$2)*(PayEarnTax)*(PayEarnValues)),SUMPRODUCT((PayEmp=$C152)*(PayDate&lt;=$AC152)*(PayEarnCode=O$2)*(PayEarnValues)))*IF(COUNTIFS(EmpNo,$C152,OFFSET(Emp!$R$4,1,MATCH(O$5,DedListItem,0)-1,EmpCount,1),"&lt;&gt;")&gt;0,VLOOKUP($C152,EmpAll,COLUMN(Emp!$R$4)+MATCH(O$5,DedListItem,0)-1,0),OFFSET(Setup!$E$73,MATCH(O$5,DedListItem,0),0,1,1)),(MIN(IF(OFFSET(Setup!$G$73,MATCH(O$5,DedListItem,0),0,1,1)="Taxable",SUMPRODUCT((PayEmp=$C152)*(PayDate&lt;=$AC152)*(ISERROR(SEARCH(PayEarnCode,O$4)))*(PayEarnTax)*(PayEarnValues)),SUMPRODUCT((PayEmp=$C152)*(PayDate&lt;=$AC152)*(ISERROR(SEARCH(PayEarnCode,O$4)))*(PayEarnValues))),IF(ISNUMBER(O$3),O$3/12*$AA152,IgnoreMin)))*IF(COUNTIFS(EmpNo,$C152,OFFSET(Emp!$R$4,1,MATCH(O$5,DedListItem,0)-1,EmpCount,1),"&lt;&gt;")&gt;0,VLOOKUP($C152,EmpAll,COLUMN(Emp!$R$4)+MATCH(O$5,DedListItem,0)-1,0),OFFSET(Setup!$E$73,MATCH(O$5,DedListItem,0),0,1,1)))-SUMIFS(OFFSET(O$6,1,0,PayCount,1),PayDate,"&lt;"&amp;$AC152,PayEmp,$C152))))))</f>
        <v>0</v>
      </c>
      <c r="P152" s="133" cm="1">
        <f t="array" aca="1" ref="P152" ca="1">IF($F152="Terminated",0,IF($AA152=0,0,IF(ISNA(MATCH(P$5,DedListItem,0)),0,IF(COUNTIFS(OverEmp,$C152,OverDeduct,P$5,OverDate,"&lt;"&amp;DATE(YEAR($AC152),MONTH($AC152)+1,1),OverEnd,"&gt;="&amp;DATE(YEAR($AC152),MONTH($AC152),1))&gt;0,SUMIFS(OverValue,OverEmp,$C152,OverDeduct,P$5,OverDate,"&lt;"&amp;DATE(YEAR($AC152),MONTH($AC152)+1,1),OverEnd,"&gt;="&amp;DATE(YEAR($AC152),MONTH($AC152),1)),IF(OR(P$2="Fixed",P$2="Not Used"),(IF(COUNTIFS(EmpNo,$C152,OFFSET(Emp!$R$4,1,MATCH(P$5,DedListItem,0)-1,EmpCount,1),"&lt;&gt;")&gt;0,VLOOKUP($C152,EmpAll,COLUMN(Emp!$R$4)+MATCH(P$5,DedListItem,0)-1,0),OFFSET(Setup!$E$73,MATCH(P$5,DedListItem,0),0,1,1))*$AA152)-SUMIFS(OFFSET(P$6,1,0,PayCount,1),PayDate,"&lt;"&amp;$AC152,PayEmp,$C152),IF(ISNA(MATCH(P$2,EarnListItem,0))=FALSE,IF(OFFSET(Setup!$G$73,MATCH(P$5,DedListItem,0),0,1,1)="Taxable",SUMPRODUCT((PayEmp=$C152)*(PayDate&lt;=$AC152)*(PayEarnCode=P$2)*(PayEarnTax)*(PayEarnValues)),SUMPRODUCT((PayEmp=$C152)*(PayDate&lt;=$AC152)*(PayEarnCode=P$2)*(PayEarnValues)))*IF(COUNTIFS(EmpNo,$C152,OFFSET(Emp!$R$4,1,MATCH(P$5,DedListItem,0)-1,EmpCount,1),"&lt;&gt;")&gt;0,VLOOKUP($C152,EmpAll,COLUMN(Emp!$R$4)+MATCH(P$5,DedListItem,0)-1,0),OFFSET(Setup!$E$73,MATCH(P$5,DedListItem,0),0,1,1)),(MIN(IF(OFFSET(Setup!$G$73,MATCH(P$5,DedListItem,0),0,1,1)="Taxable",SUMPRODUCT((PayEmp=$C152)*(PayDate&lt;=$AC152)*(ISERROR(SEARCH(PayEarnCode,P$4)))*(PayEarnTax)*(PayEarnValues)),SUMPRODUCT((PayEmp=$C152)*(PayDate&lt;=$AC152)*(ISERROR(SEARCH(PayEarnCode,P$4)))*(PayEarnValues))),IF(ISNUMBER(P$3),P$3/12*$AA152,IgnoreMin)))*IF(COUNTIFS(EmpNo,$C152,OFFSET(Emp!$R$4,1,MATCH(P$5,DedListItem,0)-1,EmpCount,1),"&lt;&gt;")&gt;0,VLOOKUP($C152,EmpAll,COLUMN(Emp!$R$4)+MATCH(P$5,DedListItem,0)-1,0),OFFSET(Setup!$E$73,MATCH(P$5,DedListItem,0),0,1,1)))-SUMIFS(OFFSET(P$6,1,0,PayCount,1),PayDate,"&lt;"&amp;$AC152,PayEmp,$C152))))))</f>
        <v>0</v>
      </c>
      <c r="Q152" s="133" cm="1">
        <f t="array" aca="1" ref="Q152" ca="1">IF($F152="Terminated",0,IF($AA152=0,0,IF(ISNA(MATCH(Q$5,DedListItem,0)),0,IF(COUNTIFS(OverEmp,$C152,OverDeduct,Q$5,OverDate,"&lt;"&amp;DATE(YEAR($AC152),MONTH($AC152)+1,1),OverEnd,"&gt;="&amp;DATE(YEAR($AC152),MONTH($AC152),1))&gt;0,SUMIFS(OverValue,OverEmp,$C152,OverDeduct,Q$5,OverDate,"&lt;"&amp;DATE(YEAR($AC152),MONTH($AC152)+1,1),OverEnd,"&gt;="&amp;DATE(YEAR($AC152),MONTH($AC152),1)),IF(OR(Q$2="Fixed",Q$2="Not Used"),(IF(COUNTIFS(EmpNo,$C152,OFFSET(Emp!$R$4,1,MATCH(Q$5,DedListItem,0)-1,EmpCount,1),"&lt;&gt;")&gt;0,VLOOKUP($C152,EmpAll,COLUMN(Emp!$R$4)+MATCH(Q$5,DedListItem,0)-1,0),OFFSET(Setup!$E$73,MATCH(Q$5,DedListItem,0),0,1,1))*$AA152)-SUMIFS(OFFSET(Q$6,1,0,PayCount,1),PayDate,"&lt;"&amp;$AC152,PayEmp,$C152),IF(ISNA(MATCH(Q$2,EarnListItem,0))=FALSE,IF(OFFSET(Setup!$G$73,MATCH(Q$5,DedListItem,0),0,1,1)="Taxable",SUMPRODUCT((PayEmp=$C152)*(PayDate&lt;=$AC152)*(PayEarnCode=Q$2)*(PayEarnTax)*(PayEarnValues)),SUMPRODUCT((PayEmp=$C152)*(PayDate&lt;=$AC152)*(PayEarnCode=Q$2)*(PayEarnValues)))*IF(COUNTIFS(EmpNo,$C152,OFFSET(Emp!$R$4,1,MATCH(Q$5,DedListItem,0)-1,EmpCount,1),"&lt;&gt;")&gt;0,VLOOKUP($C152,EmpAll,COLUMN(Emp!$R$4)+MATCH(Q$5,DedListItem,0)-1,0),OFFSET(Setup!$E$73,MATCH(Q$5,DedListItem,0),0,1,1)),(MIN(IF(OFFSET(Setup!$G$73,MATCH(Q$5,DedListItem,0),0,1,1)="Taxable",SUMPRODUCT((PayEmp=$C152)*(PayDate&lt;=$AC152)*(ISERROR(SEARCH(PayEarnCode,Q$4)))*(PayEarnTax)*(PayEarnValues)),SUMPRODUCT((PayEmp=$C152)*(PayDate&lt;=$AC152)*(ISERROR(SEARCH(PayEarnCode,Q$4)))*(PayEarnValues))),IF(ISNUMBER(Q$3),Q$3/12*$AA152,IgnoreMin)))*IF(COUNTIFS(EmpNo,$C152,OFFSET(Emp!$R$4,1,MATCH(Q$5,DedListItem,0)-1,EmpCount,1),"&lt;&gt;")&gt;0,VLOOKUP($C152,EmpAll,COLUMN(Emp!$R$4)+MATCH(Q$5,DedListItem,0)-1,0),OFFSET(Setup!$E$73,MATCH(Q$5,DedListItem,0),0,1,1)))-SUMIFS(OFFSET(Q$6,1,0,PayCount,1),PayDate,"&lt;"&amp;$AC152,PayEmp,$C152))))))</f>
        <v>0</v>
      </c>
      <c r="R152" s="185">
        <f t="shared" ca="1" si="67"/>
        <v>100</v>
      </c>
      <c r="S152" s="139">
        <f t="shared" ca="1" si="68"/>
        <v>9900</v>
      </c>
      <c r="T152" s="133" cm="1">
        <f t="array" aca="1" ref="T152" ca="1">IF($F152="Terminated",0,IF($AA152=0,0,IF(ISNA(MATCH(T$5,CompListItem,0)),0,IF(COUNTIFS(OverEmp,$C152,OverComp,T$5,OverDate,"&lt;"&amp;DATE(YEAR($AC152),MONTH($AC152)+1,1),OverEnd,"&gt;="&amp;DATE(YEAR($AC152),MONTH($AC152),1))&gt;0,SUMIFS(OverValue,OverEmp,$C152,OverComp,T$5,OverDate,"&lt;"&amp;DATE(YEAR($AC152),MONTH($AC152)+1,1),OverEnd,"&gt;="&amp;DATE(YEAR($AC152),MONTH($AC152),1)),IF(OR(T$2="Fixed",T$2="Not Used"),(OFFSET(Setup!$E$81,MATCH(T$5,CompListItem,0),0,1,1)*$AA152)-SUMIFS(OFFSET(T$6,1,0,PayCount,1),PayDate,"&lt;"&amp;$AC152,PayEmp,$C152),IF(ISNA(MATCH(T$2,DedListItem,0))=FALSE,(SUMPRODUCT((PayEmp=$C152)*(PayDate&lt;=$AC152)*(PayDedList=T$2)*(PayDedValues))*OFFSET(Setup!$E$81,MATCH(T$5,CompListItem,0),0,1,1))-SUMIFS(OFFSET(T$6,1,0,PayCount,1),PayDate,"&lt;"&amp;$AC152,PayEmp,$C152),(MIN(IF(OFFSET(Setup!$G$81,MATCH(T$5,CompListItem,0),0,1,1)="Taxable",SUMPRODUCT((PayEmp=$C152)*(PayDate&lt;=$AC152)*(ISERROR(SEARCH(PayEarnCode,T$4)))*(PayEarnTax)*(PayEarnValues)),SUMPRODUCT((PayEmp=$C152)*(PayDate&lt;=$AC152)*(ISERROR(SEARCH(PayEarnCode,T$4)))*(PayEarnValues))),IF(ISNUMBER(T$3),T$3/12*$AA152,IgnoreMin)))*OFFSET(Setup!$E$81,MATCH(T$5,CompListItem,0),0,1,1)-SUMIFS(OFFSET(T$6,1,0,PayCount,1),PayDate,"&lt;"&amp;$AC152,PayEmp,$C152)))))))</f>
        <v>100</v>
      </c>
      <c r="U152" s="133" cm="1">
        <f t="array" aca="1" ref="U152" ca="1">IF($F152="Terminated",0,IF($AA152=0,0,IF(ISNA(MATCH(U$5,CompListItem,0)),0,IF(COUNTIFS(OverEmp,$C152,OverComp,U$5,OverDate,"&lt;"&amp;DATE(YEAR($AC152),MONTH($AC152)+1,1),OverEnd,"&gt;="&amp;DATE(YEAR($AC152),MONTH($AC152),1))&gt;0,SUMIFS(OverValue,OverEmp,$C152,OverComp,U$5,OverDate,"&lt;"&amp;DATE(YEAR($AC152),MONTH($AC152)+1,1),OverEnd,"&gt;="&amp;DATE(YEAR($AC152),MONTH($AC152),1)),IF(OR(U$2="Fixed",U$2="Not Used"),(OFFSET(Setup!$E$81,MATCH(U$5,CompListItem,0),0,1,1)*$AA152)-SUMIFS(OFFSET(U$6,1,0,PayCount,1),PayDate,"&lt;"&amp;$AC152,PayEmp,$C152),IF(ISNA(MATCH(U$2,DedListItem,0))=FALSE,(SUMPRODUCT((PayEmp=$C152)*(PayDate&lt;=$AC152)*(PayDedList=U$2)*(PayDedValues))*OFFSET(Setup!$E$81,MATCH(U$5,CompListItem,0),0,1,1))-SUMIFS(OFFSET(U$6,1,0,PayCount,1),PayDate,"&lt;"&amp;$AC152,PayEmp,$C152),(MIN(IF(OFFSET(Setup!$G$81,MATCH(U$5,CompListItem,0),0,1,1)="Taxable",SUMPRODUCT((PayEmp=$C152)*(PayDate&lt;=$AC152)*(ISERROR(SEARCH(PayEarnCode,U$4)))*(PayEarnTax)*(PayEarnValues)),SUMPRODUCT((PayEmp=$C152)*(PayDate&lt;=$AC152)*(ISERROR(SEARCH(PayEarnCode,U$4)))*(PayEarnValues))),IF(ISNUMBER(U$3),U$3/12*$AA152,IgnoreMin)))*OFFSET(Setup!$E$81,MATCH(U$5,CompListItem,0),0,1,1)-SUMIFS(OFFSET(U$6,1,0,PayCount,1),PayDate,"&lt;"&amp;$AC152,PayEmp,$C152)))))))</f>
        <v>100</v>
      </c>
      <c r="V152" s="133" cm="1">
        <f t="array" aca="1" ref="V152" ca="1">IF($F152="Terminated",0,IF($AA152=0,0,IF(ISNA(MATCH(V$5,CompListItem,0)),0,IF(COUNTIFS(OverEmp,$C152,OverComp,V$5,OverDate,"&lt;"&amp;DATE(YEAR($AC152),MONTH($AC152)+1,1),OverEnd,"&gt;="&amp;DATE(YEAR($AC152),MONTH($AC152),1))&gt;0,SUMIFS(OverValue,OverEmp,$C152,OverComp,V$5,OverDate,"&lt;"&amp;DATE(YEAR($AC152),MONTH($AC152)+1,1),OverEnd,"&gt;="&amp;DATE(YEAR($AC152),MONTH($AC152),1)),IF(OR(V$2="Fixed",V$2="Not Used"),(OFFSET(Setup!$E$81,MATCH(V$5,CompListItem,0),0,1,1)*$AA152)-SUMIFS(OFFSET(V$6,1,0,PayCount,1),PayDate,"&lt;"&amp;$AC152,PayEmp,$C152),IF(ISNA(MATCH(V$2,DedListItem,0))=FALSE,(SUMPRODUCT((PayEmp=$C152)*(PayDate&lt;=$AC152)*(PayDedList=V$2)*(PayDedValues))*OFFSET(Setup!$E$81,MATCH(V$5,CompListItem,0),0,1,1))-SUMIFS(OFFSET(V$6,1,0,PayCount,1),PayDate,"&lt;"&amp;$AC152,PayEmp,$C152),(MIN(IF(OFFSET(Setup!$G$81,MATCH(V$5,CompListItem,0),0,1,1)="Taxable",SUMPRODUCT((PayEmp=$C152)*(PayDate&lt;=$AC152)*(ISERROR(SEARCH(PayEarnCode,V$4)))*(PayEarnTax)*(PayEarnValues)),SUMPRODUCT((PayEmp=$C152)*(PayDate&lt;=$AC152)*(ISERROR(SEARCH(PayEarnCode,V$4)))*(PayEarnValues))),IF(ISNUMBER(V$3),V$3/12*$AA152,IgnoreMin)))*OFFSET(Setup!$E$81,MATCH(V$5,CompListItem,0),0,1,1)-SUMIFS(OFFSET(V$6,1,0,PayCount,1),PayDate,"&lt;"&amp;$AC152,PayEmp,$C152)))))))</f>
        <v>0</v>
      </c>
      <c r="W152" s="133" cm="1">
        <f t="array" aca="1" ref="W152" ca="1">IF($F152="Terminated",0,IF($AA152=0,0,IF(ISNA(MATCH(W$5,CompListItem,0)),0,IF(COUNTIFS(OverEmp,$C152,OverComp,W$5,OverDate,"&lt;"&amp;DATE(YEAR($AC152),MONTH($AC152)+1,1),OverEnd,"&gt;="&amp;DATE(YEAR($AC152),MONTH($AC152),1))&gt;0,SUMIFS(OverValue,OverEmp,$C152,OverComp,W$5,OverDate,"&lt;"&amp;DATE(YEAR($AC152),MONTH($AC152)+1,1),OverEnd,"&gt;="&amp;DATE(YEAR($AC152),MONTH($AC152),1)),IF(OR(W$2="Fixed",W$2="Not Used"),(OFFSET(Setup!$E$81,MATCH(W$5,CompListItem,0),0,1,1)*$AA152)-SUMIFS(OFFSET(W$6,1,0,PayCount,1),PayDate,"&lt;"&amp;$AC152,PayEmp,$C152),IF(ISNA(MATCH(W$2,DedListItem,0))=FALSE,(SUMPRODUCT((PayEmp=$C152)*(PayDate&lt;=$AC152)*(PayDedList=W$2)*(PayDedValues))*OFFSET(Setup!$E$81,MATCH(W$5,CompListItem,0),0,1,1))-SUMIFS(OFFSET(W$6,1,0,PayCount,1),PayDate,"&lt;"&amp;$AC152,PayEmp,$C152),(MIN(IF(OFFSET(Setup!$G$81,MATCH(W$5,CompListItem,0),0,1,1)="Taxable",SUMPRODUCT((PayEmp=$C152)*(PayDate&lt;=$AC152)*(ISERROR(SEARCH(PayEarnCode,W$4)))*(PayEarnTax)*(PayEarnValues)),SUMPRODUCT((PayEmp=$C152)*(PayDate&lt;=$AC152)*(ISERROR(SEARCH(PayEarnCode,W$4)))*(PayEarnValues))),IF(ISNUMBER(W$3),W$3/12*$AA152,IgnoreMin)))*OFFSET(Setup!$E$81,MATCH(W$5,CompListItem,0),0,1,1)-SUMIFS(OFFSET(W$6,1,0,PayCount,1),PayDate,"&lt;"&amp;$AC152,PayEmp,$C152)))))))</f>
        <v>0</v>
      </c>
      <c r="X152" s="185">
        <f t="shared" ca="1" si="60"/>
        <v>200</v>
      </c>
      <c r="Y152" s="139">
        <f t="shared" ca="1" si="69"/>
        <v>10200</v>
      </c>
      <c r="Z152" s="139">
        <f t="shared" ca="1" si="61"/>
        <v>300</v>
      </c>
      <c r="AA152" s="146">
        <f ca="1">IF(OR($B152&lt;=Setup!$E$12,$B152&gt;=Setup!$D$12+1),0,IF($F152&lt;&gt;"Active",0,IF($AE152="Yes",$AB152,((YEAR($AC152)*12)+MONTH($AC152))-((YEAR($AD152)*12)+MONTH($AD152)-1))))</f>
        <v>10</v>
      </c>
      <c r="AB152" s="146">
        <f ca="1">IF(OR($B152&lt;=Setup!$E$12,$B152&gt;=Setup!$D$12+1),0,((YEAR($AC152)*12)+MONTH($AC152))-((YEAR(Setup!$E$12)*12)+MONTH(Setup!$E$12)))</f>
        <v>10</v>
      </c>
      <c r="AC152" s="186">
        <f t="shared" ca="1" si="62"/>
        <v>45285</v>
      </c>
      <c r="AD152" s="144">
        <f ca="1">IF(ISNA(VLOOKUP($C152,EmpAll,COLUMN(Emp!$E$4),0)),$AC152,IF(VLOOKUP($C152,EmpAll,COLUMN(Emp!$E$4),0)&lt;=Setup!$E$12,DATE(YEAR(Setup!$E$12),MONTH(Setup!$E$12)+1,1),VLOOKUP($C152,EmpAll,COLUMN(Emp!$E$4),0)))</f>
        <v>44986</v>
      </c>
      <c r="AE152" s="144" t="str">
        <f ca="1">IF(ISNA(VLOOKUP($C152,EmpAll,COLUMN(Emp!$G$1),0)),"-",IF(VLOOKUP($C152,EmpAll,COLUMN(Emp!$G$1),0)=0,"-",VLOOKUP($C152,EmpAll,COLUMN(Emp!$G$1),0)))</f>
        <v>-</v>
      </c>
      <c r="AF152" s="145">
        <f ca="1">IF(A152=PaySlip!$G$3,1,0)</f>
        <v>0</v>
      </c>
      <c r="AG152" s="130" cm="1">
        <f t="array" aca="1" ref="AG152" ca="1">IF(COUNTIFS(OverEmp,$C152,OverMed,"MED",OverDate,"&lt;"&amp;DATE(YEAR($AC152),MONTH($AC152)+1,1),OverEnd,"&gt;="&amp;DATE(YEAR($AC152),MONTH($AC152),1))&gt;0,SUMIFS(OverValue,OverEmp,$C152,OverMed,"MED",OverDate,"&lt;"&amp;DATE(YEAR($AC152),MONTH($AC152)+1,1),OverEnd,"&gt;="&amp;DATE(YEAR($AC152),MONTH($AC152),1)),IF(ISNA(VLOOKUP($C152,EmpAll,COLUMN(Emp!$N$4),0)),0,VLOOKUP($C152,EmpAll,COLUMN(Emp!$N$4),0)))</f>
        <v>0</v>
      </c>
      <c r="AH152" s="146">
        <f ca="1">VLOOKUP($AG152,MedList,COLUMN(Setup!$C$49),1)</f>
        <v>0</v>
      </c>
      <c r="AI152" s="146">
        <f t="shared" ca="1" si="70"/>
        <v>0</v>
      </c>
      <c r="AJ152" s="101" t="str">
        <f ca="1">IF(ISNA(VLOOKUP($C152,EmpAll,COLUMN(Emp!$L$4),0)),"None!",VLOOKUP($C152,EmpAll,COLUMN(Emp!$L$4),0))</f>
        <v>A</v>
      </c>
      <c r="AK152" s="147">
        <f t="shared" ca="1" si="63"/>
        <v>17235</v>
      </c>
      <c r="AL152" s="101" t="str">
        <f ca="1">IF(ISNA(VLOOKUP($C152,Employees[],COLUMN(Emp!$M$4),0))=TRUE,"Error!",IF(VLOOKUP($C152,Employees[],COLUMN(Emp!$M$4),0)=0,"Yes",VLOOKUP($C152,Employees[],COLUMN(Emp!$M$4),0)))</f>
        <v>A</v>
      </c>
      <c r="AM152" s="148">
        <f t="shared" ca="1" si="71"/>
        <v>65000</v>
      </c>
      <c r="AN152" s="148" cm="1">
        <f t="array" aca="1" ref="AN152" ca="1">-IF($F152="Terminated",0,IF($AA152=0,0,IF(ISNA(MATCH(AN$5,PayDedList,0)),0,MIN(IF(COUNTIFS(OverEmp,$C152,OverDeduct,AN$5,OverDate,"&lt;"&amp;DATE(YEAR($AC152),MONTH($AC152)+1,1),OverEnd,"&gt;="&amp;DATE(YEAR($AC152),MONTH($AC152),1))&gt;0,SUMPRODUCT((PayEmp=$C152)*(PayDate&lt;=$AC152)*(OFFSET($N$6,1,MATCH(AN$5,PayDedList,0)-1,PayCount,1)))/$AA152*12*AN$3,IF(OR(AN$1="Fixed",AN$1="Not Used"),SUMPRODUCT((PayEmp=$C152)*(PayDate&lt;=$AC152)*(OFFSET($N$6,1,MATCH(AN$5,PayDedList,0)-1,PayCount,1)))/$AA152*12*AN$3,IF(ISNA(MATCH(AN$1,EarnListItem,0))=FALSE,SUMPRODUCT((PayEmp=$C152)*(PayDate&lt;=$AC152)*(OFFSET($N$6,1,MATCH(AN$5,PayDedList,0)-1,PayCount,1)))/$AA152*12*AN$3,(MIN(((SUMPRODUCT((PayEmp=$C152)*(PayDate&lt;=$AC152)*(ISERROR(SEARCH(PayEarnCode,AN$2)))*(PayEarnType="Monthly")*(PayEarnValues))/$AA152*12)+(SUMPRODUCT((PayEmp=$C152)*(PayDate&lt;=$AC152)*(ISERROR(SEARCH(PayEarnCode,AN$2)))*(PayEarnType="Quarterly")*(PayEarnValues))/MAX(1,ROUNDDOWN($AB152/3,0))*4)+(SUMPRODUCT((PayEmp=$C152)*(PayDate&lt;=$AC152)*(ISERROR(SEARCH(PayEarnCode,AN$2)))*(PayEarnType="Bi-Annual")*(PayEarnValues))/MAX(1,ROUNDDOWN($AB152/6,0))*2)+(SUMPRODUCT((PayEmp=$C152)*(PayDate&lt;=$AC152)*(ISERROR(SEARCH(PayEarnCode,AN$2)))*(PayEarnType="Annual")*(PayEarnValues)))),IF(ISNUMBER(OFFSET($N$3,0,MATCH(AN$5,PayDedList,0)-1,1,1)),OFFSET($N$3,0,MATCH(AN$5,PayDedList,0)-1,1,1),IgnoreMin)))*IF(COUNTIFS(EmpNo,$C152,OFFSET(Emp!$R$4,1,MATCH(AN$5,DedListItem,0)-1,EmpCount,1),"&lt;&gt;")&gt;0,VLOOKUP($C152,EmpAll,COLUMN(Emp!$R$4)+MATCH(AN$5,DedListItem,0)-1,0),OFFSET(Setup!$E$73,MATCH(AN$5,DedListItem,0),0,1,1))*AN$3))),IF(ISNUMBER(AN$4),AN$4,IgnoreMin)))))</f>
        <v>0</v>
      </c>
      <c r="AO152" s="148" cm="1">
        <f t="array" aca="1" ref="AO152" ca="1">-IF($F152="Terminated",0,IF($AA152=0,0,IF(ISNA(MATCH(AO$5,PayDedList,0)),0,MIN(IF(COUNTIFS(OverEmp,$C152,OverDeduct,AO$5,OverDate,"&lt;"&amp;DATE(YEAR($AC152),MONTH($AC152)+1,1),OverEnd,"&gt;="&amp;DATE(YEAR($AC152),MONTH($AC152),1))&gt;0,SUMPRODUCT((PayEmp=$C152)*(PayDate&lt;=$AC152)*(OFFSET($N$6,1,MATCH(AO$5,PayDedList,0)-1,PayCount,1)))/$AA152*12*AO$3,IF(OR(AO$1="Fixed",AO$1="Not Used"),SUMPRODUCT((PayEmp=$C152)*(PayDate&lt;=$AC152)*(OFFSET($N$6,1,MATCH(AO$5,PayDedList,0)-1,PayCount,1)))/$AA152*12*AO$3,IF(ISNA(MATCH(AO$1,EarnListItem,0))=FALSE,SUMPRODUCT((PayEmp=$C152)*(PayDate&lt;=$AC152)*(OFFSET($N$6,1,MATCH(AO$5,PayDedList,0)-1,PayCount,1)))/$AA152*12*AO$3,(MIN(((SUMPRODUCT((PayEmp=$C152)*(PayDate&lt;=$AC152)*(ISERROR(SEARCH(PayEarnCode,AO$2)))*(PayEarnType="Monthly")*(PayEarnValues))/$AA152*12)+(SUMPRODUCT((PayEmp=$C152)*(PayDate&lt;=$AC152)*(ISERROR(SEARCH(PayEarnCode,AO$2)))*(PayEarnType="Quarterly")*(PayEarnValues))/MAX(1,ROUNDDOWN($AB152/3,0))*4)+(SUMPRODUCT((PayEmp=$C152)*(PayDate&lt;=$AC152)*(ISERROR(SEARCH(PayEarnCode,AO$2)))*(PayEarnType="Bi-Annual")*(PayEarnValues))/MAX(1,ROUNDDOWN($AB152/6,0))*2)+(SUMPRODUCT((PayEmp=$C152)*(PayDate&lt;=$AC152)*(ISERROR(SEARCH(PayEarnCode,AO$2)))*(PayEarnType="Annual")*(PayEarnValues)))),IF(ISNUMBER(OFFSET($N$3,0,MATCH(AO$5,PayDedList,0)-1,1,1)),OFFSET($N$3,0,MATCH(AO$5,PayDedList,0)-1,1,1),IgnoreMin)))*IF(COUNTIFS(EmpNo,$C152,OFFSET(Emp!$R$4,1,MATCH(AO$5,DedListItem,0)-1,EmpCount,1),"&lt;&gt;")&gt;0,VLOOKUP($C152,EmpAll,COLUMN(Emp!$R$4)+MATCH(AO$5,DedListItem,0)-1,0),OFFSET(Setup!$E$73,MATCH(AO$5,DedListItem,0),0,1,1))*AO$3))),IF(ISNUMBER(AO$4),AO$4,IgnoreMin)))))</f>
        <v>0</v>
      </c>
      <c r="AP152" s="148" cm="1">
        <f t="array" aca="1" ref="AP152" ca="1">-IF($F152="Terminated",0,IF($AA152=0,0,IF(ISNA(MATCH(AP$5,PayDedList,0)),0,MIN(IF(COUNTIFS(OverEmp,$C152,OverDeduct,AP$5,OverDate,"&lt;"&amp;DATE(YEAR($AC152),MONTH($AC152)+1,1),OverEnd,"&gt;="&amp;DATE(YEAR($AC152),MONTH($AC152),1))&gt;0,SUMPRODUCT((PayEmp=$C152)*(PayDate&lt;=$AC152)*(OFFSET($N$6,1,MATCH(AP$5,PayDedList,0)-1,PayCount,1)))/$AA152*12*AP$3,IF(OR(AP$1="Fixed",AP$1="Not Used"),SUMPRODUCT((PayEmp=$C152)*(PayDate&lt;=$AC152)*(OFFSET($N$6,1,MATCH(AP$5,PayDedList,0)-1,PayCount,1)))/$AA152*12*AP$3,IF(ISNA(MATCH(AP$1,EarnListItem,0))=FALSE,SUMPRODUCT((PayEmp=$C152)*(PayDate&lt;=$AC152)*(OFFSET($N$6,1,MATCH(AP$5,PayDedList,0)-1,PayCount,1)))/$AA152*12*AP$3,(MIN(((SUMPRODUCT((PayEmp=$C152)*(PayDate&lt;=$AC152)*(ISERROR(SEARCH(PayEarnCode,AP$2)))*(PayEarnType="Monthly")*(PayEarnValues))/$AA152*12)+(SUMPRODUCT((PayEmp=$C152)*(PayDate&lt;=$AC152)*(ISERROR(SEARCH(PayEarnCode,AP$2)))*(PayEarnType="Quarterly")*(PayEarnValues))/MAX(1,ROUNDDOWN($AB152/3,0))*4)+(SUMPRODUCT((PayEmp=$C152)*(PayDate&lt;=$AC152)*(ISERROR(SEARCH(PayEarnCode,AP$2)))*(PayEarnType="Bi-Annual")*(PayEarnValues))/MAX(1,ROUNDDOWN($AB152/6,0))*2)+(SUMPRODUCT((PayEmp=$C152)*(PayDate&lt;=$AC152)*(ISERROR(SEARCH(PayEarnCode,AP$2)))*(PayEarnType="Annual")*(PayEarnValues)))),IF(ISNUMBER(OFFSET($N$3,0,MATCH(AP$5,PayDedList,0)-1,1,1)),OFFSET($N$3,0,MATCH(AP$5,PayDedList,0)-1,1,1),IgnoreMin)))*IF(COUNTIFS(EmpNo,$C152,OFFSET(Emp!$R$4,1,MATCH(AP$5,DedListItem,0)-1,EmpCount,1),"&lt;&gt;")&gt;0,VLOOKUP($C152,EmpAll,COLUMN(Emp!$R$4)+MATCH(AP$5,DedListItem,0)-1,0),OFFSET(Setup!$E$73,MATCH(AP$5,DedListItem,0),0,1,1))*AP$3))),IF(ISNUMBER(AP$4),AP$4,IgnoreMin)))))</f>
        <v>0</v>
      </c>
      <c r="AQ152" s="148" cm="1">
        <f t="array" aca="1" ref="AQ152" ca="1">-IF($F152="Terminated",0,IF($AA152=0,0,IF(ISNA(MATCH(AQ$5,PayDedList,0)),0,MIN(IF(COUNTIFS(OverEmp,$C152,OverDeduct,AQ$5,OverDate,"&lt;"&amp;DATE(YEAR($AC152),MONTH($AC152)+1,1),OverEnd,"&gt;="&amp;DATE(YEAR($AC152),MONTH($AC152),1))&gt;0,SUMPRODUCT((PayEmp=$C152)*(PayDate&lt;=$AC152)*(OFFSET($N$6,1,MATCH(AQ$5,PayDedList,0)-1,PayCount,1)))/$AA152*12*AQ$3,IF(OR(AQ$1="Fixed",AQ$1="Not Used"),SUMPRODUCT((PayEmp=$C152)*(PayDate&lt;=$AC152)*(OFFSET($N$6,1,MATCH(AQ$5,PayDedList,0)-1,PayCount,1)))/$AA152*12*AQ$3,IF(ISNA(MATCH(AQ$1,EarnListItem,0))=FALSE,SUMPRODUCT((PayEmp=$C152)*(PayDate&lt;=$AC152)*(OFFSET($N$6,1,MATCH(AQ$5,PayDedList,0)-1,PayCount,1)))/$AA152*12*AQ$3,(MIN(((SUMPRODUCT((PayEmp=$C152)*(PayDate&lt;=$AC152)*(ISERROR(SEARCH(PayEarnCode,AQ$2)))*(PayEarnType="Monthly")*(PayEarnValues))/$AA152*12)+(SUMPRODUCT((PayEmp=$C152)*(PayDate&lt;=$AC152)*(ISERROR(SEARCH(PayEarnCode,AQ$2)))*(PayEarnType="Quarterly")*(PayEarnValues))/MAX(1,ROUNDDOWN($AB152/3,0))*4)+(SUMPRODUCT((PayEmp=$C152)*(PayDate&lt;=$AC152)*(ISERROR(SEARCH(PayEarnCode,AQ$2)))*(PayEarnType="Bi-Annual")*(PayEarnValues))/MAX(1,ROUNDDOWN($AB152/6,0))*2)+(SUMPRODUCT((PayEmp=$C152)*(PayDate&lt;=$AC152)*(ISERROR(SEARCH(PayEarnCode,AQ$2)))*(PayEarnType="Annual")*(PayEarnValues)))),IF(ISNUMBER(OFFSET($N$3,0,MATCH(AQ$5,PayDedList,0)-1,1,1)),OFFSET($N$3,0,MATCH(AQ$5,PayDedList,0)-1,1,1),IgnoreMin)))*IF(COUNTIFS(EmpNo,$C152,OFFSET(Emp!$R$4,1,MATCH(AQ$5,DedListItem,0)-1,EmpCount,1),"&lt;&gt;")&gt;0,VLOOKUP($C152,EmpAll,COLUMN(Emp!$R$4)+MATCH(AQ$5,DedListItem,0)-1,0),OFFSET(Setup!$E$73,MATCH(AQ$5,DedListItem,0),0,1,1))*AQ$3))),IF(ISNUMBER(AQ$4),AQ$4,IgnoreMin)))))</f>
        <v>0</v>
      </c>
      <c r="AR152" s="148">
        <f t="shared" ca="1" si="64"/>
        <v>65000</v>
      </c>
      <c r="AS152" s="148">
        <f t="shared" ca="1" si="72"/>
        <v>60000</v>
      </c>
      <c r="AT152" s="148" cm="1">
        <f t="array" aca="1" ref="AT152" ca="1">-IF($F152="Terminated",0,IF($AA152=0,0,IF(ISNA(MATCH(AT$5,PayDedList,0)),0,MIN(IF(COUNTIFS(OverEmp,$C152,OverDeduct,AT$5,OverDate,"&lt;"&amp;DATE(YEAR($AC152),MONTH($AC152)+1,1),OverEnd,"&gt;="&amp;DATE(YEAR($AC152),MONTH($AC152),1))&gt;0,SUMPRODUCT((PayEmp=$C152)*(PayDate&lt;=$AC152)*(OFFSET($N$6,1,MATCH(AT$5,PayDedList,0)-1,PayCount,1)))/$AA152*12*AT$3,IF(OR(AT$1="Fixed",AT$1="Not Used"),SUMPRODUCT((PayEmp=$C152)*(PayDate&lt;=$AC152)*(OFFSET($N$6,1,MATCH(AT$5,PayDedList,0)-1,PayCount,1)))/$AA152*12*AT$3,IF(ISNA(MATCH(OFFSET($N$2,0,MATCH(AT$5,PayDedList,0)-1,1,1),EarnListItem,0))=FALSE,SUMPRODUCT((PayEmp=$C152)*(PayDate&lt;=$AC152)*(OFFSET($N$6,1,MATCH(AT$5,PayDedList,0)-1,PayCount,1)))/$AA152*12*AT$3,(MIN(SUMPRODUCT((PayEmp=$C152)*(PayDate&lt;=$AC152)*(ISERROR(SEARCH(PayEarnCode,AT$2)))*(PayEarnType="Monthly")*(PayEarnValues))/$AA152*12,IF(ISNUMBER(OFFSET($N$3,0,MATCH(AT$5,PayDedList,0)-1,1,1)),OFFSET($N$3,0,MATCH(AT$5,PayDedList,0)-1,1,1),IgnoreMin)))*IF(COUNTIFS(EmpNo,$C152,OFFSET(Emp!$R$4,1,MATCH(AT$5,DedListItem,0)-1,EmpCount,1),"&lt;&gt;")&gt;0,VLOOKUP($C152,EmpAll,COLUMN(Emp!$R$4)+MATCH(AT$5,DedListItem,0)-1,0),OFFSET(Setup!$E$73,MATCH(AT$5,DedListItem,0),0,1,1))*AT$3))),IF(ISNUMBER(AT$4),AT$4,IgnoreMin)))))</f>
        <v>0</v>
      </c>
      <c r="AU152" s="148" cm="1">
        <f t="array" aca="1" ref="AU152" ca="1">-IF($F152="Terminated",0,IF($AA152=0,0,IF(ISNA(MATCH(AU$5,PayDedList,0)),0,MIN(IF(COUNTIFS(OverEmp,$C152,OverDeduct,AU$5,OverDate,"&lt;"&amp;DATE(YEAR($AC152),MONTH($AC152)+1,1),OverEnd,"&gt;="&amp;DATE(YEAR($AC152),MONTH($AC152),1))&gt;0,SUMPRODUCT((PayEmp=$C152)*(PayDate&lt;=$AC152)*(OFFSET($N$6,1,MATCH(AU$5,PayDedList,0)-1,PayCount,1)))/$AA152*12*AU$3,IF(OR(AU$1="Fixed",AU$1="Not Used"),SUMPRODUCT((PayEmp=$C152)*(PayDate&lt;=$AC152)*(OFFSET($N$6,1,MATCH(AU$5,PayDedList,0)-1,PayCount,1)))/$AA152*12*AU$3,IF(ISNA(MATCH(OFFSET($N$2,0,MATCH(AU$5,PayDedList,0)-1,1,1),EarnListItem,0))=FALSE,SUMPRODUCT((PayEmp=$C152)*(PayDate&lt;=$AC152)*(OFFSET($N$6,1,MATCH(AU$5,PayDedList,0)-1,PayCount,1)))/$AA152*12*AU$3,(MIN(SUMPRODUCT((PayEmp=$C152)*(PayDate&lt;=$AC152)*(ISERROR(SEARCH(PayEarnCode,AU$2)))*(PayEarnType="Monthly")*(PayEarnValues))/$AA152*12,IF(ISNUMBER(OFFSET($N$3,0,MATCH(AU$5,PayDedList,0)-1,1,1)),OFFSET($N$3,0,MATCH(AU$5,PayDedList,0)-1,1,1),IgnoreMin)))*IF(COUNTIFS(EmpNo,$C152,OFFSET(Emp!$R$4,1,MATCH(AU$5,DedListItem,0)-1,EmpCount,1),"&lt;&gt;")&gt;0,VLOOKUP($C152,EmpAll,COLUMN(Emp!$R$4)+MATCH(AU$5,DedListItem,0)-1,0),OFFSET(Setup!$E$73,MATCH(AU$5,DedListItem,0),0,1,1))*AU$3))),IF(ISNUMBER(AU$4),AU$4,IgnoreMin)))))</f>
        <v>0</v>
      </c>
      <c r="AV152" s="148" cm="1">
        <f t="array" aca="1" ref="AV152" ca="1">-IF($F152="Terminated",0,IF($AA152=0,0,IF(ISNA(MATCH(AV$5,PayDedList,0)),0,MIN(IF(COUNTIFS(OverEmp,$C152,OverDeduct,AV$5,OverDate,"&lt;"&amp;DATE(YEAR($AC152),MONTH($AC152)+1,1),OverEnd,"&gt;="&amp;DATE(YEAR($AC152),MONTH($AC152),1))&gt;0,SUMPRODUCT((PayEmp=$C152)*(PayDate&lt;=$AC152)*(OFFSET($N$6,1,MATCH(AV$5,PayDedList,0)-1,PayCount,1)))/$AA152*12*AV$3,IF(OR(AV$1="Fixed",AV$1="Not Used"),SUMPRODUCT((PayEmp=$C152)*(PayDate&lt;=$AC152)*(OFFSET($N$6,1,MATCH(AV$5,PayDedList,0)-1,PayCount,1)))/$AA152*12*AV$3,IF(ISNA(MATCH(OFFSET($N$2,0,MATCH(AV$5,PayDedList,0)-1,1,1),EarnListItem,0))=FALSE,SUMPRODUCT((PayEmp=$C152)*(PayDate&lt;=$AC152)*(OFFSET($N$6,1,MATCH(AV$5,PayDedList,0)-1,PayCount,1)))/$AA152*12*AV$3,(MIN(SUMPRODUCT((PayEmp=$C152)*(PayDate&lt;=$AC152)*(ISERROR(SEARCH(PayEarnCode,AV$2)))*(PayEarnType="Monthly")*(PayEarnValues))/$AA152*12,IF(ISNUMBER(OFFSET($N$3,0,MATCH(AV$5,PayDedList,0)-1,1,1)),OFFSET($N$3,0,MATCH(AV$5,PayDedList,0)-1,1,1),IgnoreMin)))*IF(COUNTIFS(EmpNo,$C152,OFFSET(Emp!$R$4,1,MATCH(AV$5,DedListItem,0)-1,EmpCount,1),"&lt;&gt;")&gt;0,VLOOKUP($C152,EmpAll,COLUMN(Emp!$R$4)+MATCH(AV$5,DedListItem,0)-1,0),OFFSET(Setup!$E$73,MATCH(AV$5,DedListItem,0),0,1,1))*AV$3))),IF(ISNUMBER(AV$4),AV$4,IgnoreMin)))))</f>
        <v>0</v>
      </c>
      <c r="AW152" s="148" cm="1">
        <f t="array" aca="1" ref="AW152" ca="1">-IF($F152="Terminated",0,IF($AA152=0,0,IF(ISNA(MATCH(AW$5,PayDedList,0)),0,MIN(IF(COUNTIFS(OverEmp,$C152,OverDeduct,AW$5,OverDate,"&lt;"&amp;DATE(YEAR($AC152),MONTH($AC152)+1,1),OverEnd,"&gt;="&amp;DATE(YEAR($AC152),MONTH($AC152),1))&gt;0,SUMPRODUCT((PayEmp=$C152)*(PayDate&lt;=$AC152)*(OFFSET($N$6,1,MATCH(AW$5,PayDedList,0)-1,PayCount,1)))/$AA152*12*AW$3,IF(OR(AW$1="Fixed",AW$1="Not Used"),SUMPRODUCT((PayEmp=$C152)*(PayDate&lt;=$AC152)*(OFFSET($N$6,1,MATCH(AW$5,PayDedList,0)-1,PayCount,1)))/$AA152*12*AW$3,IF(ISNA(MATCH(OFFSET($N$2,0,MATCH(AW$5,PayDedList,0)-1,1,1),EarnListItem,0))=FALSE,SUMPRODUCT((PayEmp=$C152)*(PayDate&lt;=$AC152)*(OFFSET($N$6,1,MATCH(AW$5,PayDedList,0)-1,PayCount,1)))/$AA152*12*AW$3,(MIN(SUMPRODUCT((PayEmp=$C152)*(PayDate&lt;=$AC152)*(ISERROR(SEARCH(PayEarnCode,AW$2)))*(PayEarnType="Monthly")*(PayEarnValues))/$AA152*12,IF(ISNUMBER(OFFSET($N$3,0,MATCH(AW$5,PayDedList,0)-1,1,1)),OFFSET($N$3,0,MATCH(AW$5,PayDedList,0)-1,1,1),IgnoreMin)))*IF(COUNTIFS(EmpNo,$C152,OFFSET(Emp!$R$4,1,MATCH(AW$5,DedListItem,0)-1,EmpCount,1),"&lt;&gt;")&gt;0,VLOOKUP($C152,EmpAll,COLUMN(Emp!$R$4)+MATCH(AW$5,DedListItem,0)-1,0),OFFSET(Setup!$E$73,MATCH(AW$5,DedListItem,0),0,1,1))*AW$3))),IF(ISNUMBER(AW$4),AW$4,IgnoreMin)))))</f>
        <v>0</v>
      </c>
      <c r="AX152" s="148">
        <f t="shared" ca="1" si="73"/>
        <v>60000</v>
      </c>
      <c r="AY152" s="148">
        <f t="shared" ca="1" si="74"/>
        <v>5000</v>
      </c>
      <c r="AZ152" s="148">
        <f ca="1">IF(ISNUMBER($AL152),($AR152*$AL152)-$AI152-$AK152,MAX(0,IF($AL152="B",IF($AR152&lt;Setup!$C$32,($AR152*Setup!$D$32)-$AI152-$AK152,(($AR152-VLOOKUP($AR152,TaxAll2,1,1))*OFFSET(Setup!$D$32,MATCH($AR152,TaxBracket2,1),0,1,1))+OFFSET(Setup!$E$31,MATCH($AR152,TaxBracket2,1),0,1,1)-$AI152-$AK152),IF($AR152&lt;Setup!$C$21,($AR152*Setup!$D$21)-$AI152-$AK152,(($AR152-VLOOKUP($AR152,TaxAll1,1,1))*OFFSET(Setup!$D$21,MATCH($AR152,TaxBracket1,1),0,1,1))+OFFSET(Setup!$E$20,MATCH($AR152,TaxBracket1,1),0,1,1)-$AI152-$AK152))))</f>
        <v>0</v>
      </c>
      <c r="BA152" s="148">
        <f ca="1">IF(ISNUMBER($AL152),($AX152*$AL152)-$AI152-$AK152,MAX(0,IF($AL152="B",IF($AX152&lt;Setup!$C$32,($AX152*Setup!$D$32)-$AI152-$AK152,(($AX152-VLOOKUP($AX152,TaxAll2,1,1))*OFFSET(Setup!$D$32,MATCH($AX152,TaxBracket2,1),0,1,1))+OFFSET(Setup!$E$31,MATCH($AX152,TaxBracket2,1),0,1,1)-$AI152-$AK152),IF($AX152&lt;Setup!$C$21,($AX152*Setup!$D$21)-$AI152-$AK152,(($AX152-VLOOKUP($AX152,TaxAll1,1,1))*OFFSET(Setup!$D$21,MATCH($AX152,TaxBracket1,1),0,1,1))+OFFSET(Setup!$E$20,MATCH($AX152,TaxBracket1,1),0,1,1)-$AI152-$AK152))))</f>
        <v>0</v>
      </c>
      <c r="BB152" s="148">
        <f t="shared" ca="1" si="65"/>
        <v>0</v>
      </c>
      <c r="BC152" s="150">
        <f t="shared" ca="1" si="75"/>
        <v>0.92307692307692313</v>
      </c>
      <c r="BD152" s="150">
        <f t="shared" ca="1" si="76"/>
        <v>7.6923076923076927E-2</v>
      </c>
      <c r="BE152" s="148">
        <f t="shared" ca="1" si="77"/>
        <v>65000</v>
      </c>
    </row>
    <row r="153" spans="1:57" ht="16.149999999999999" customHeight="1" x14ac:dyDescent="0.25">
      <c r="A153" s="10" t="str" cm="1">
        <f t="array" aca="1" ref="A153" ca="1">IF(ROW($A153)-ROW($A$6)&gt;EmpCount*12,"-",TEXT($B153,"yyyy")&amp;TEXT($B153,"mm")&amp;"-"&amp;$C153)</f>
        <v>202312-EXS012</v>
      </c>
      <c r="B153" s="137" cm="1">
        <f t="array" aca="1" ref="B153" ca="1">IF(ROW($A153)-ROW($A$6)&gt;EmpCount*12,Setup!$D$12,DATE(YEAR(Setup!$F$12),MONTH(Setup!$F$12)+ROUNDDOWN((ROW($A153)-ROW($A$6)-1)/EmpCount,0),IF(Setup!$C$14&gt;DAY(DATE(YEAR(Setup!$F$12),MONTH(Setup!$F$12)+ROUNDDOWN((ROW($A153)-ROW($A$6)-1)/EmpCount,0)+1,0)),DAY(DATE(YEAR(Setup!$F$12),MONTH(Setup!$F$12)+ROUNDDOWN((ROW($A153)-ROW($A$6)-1)/EmpCount,0)+1,0)),Setup!$C$14)))</f>
        <v>45285</v>
      </c>
      <c r="C153" s="101" t="str" cm="1">
        <f t="array" aca="1" ref="C153" ca="1">IF(ROW($A153)-ROW($A$6)&gt;EmpCount*12,"-",OFFSET(Emp!$A$4,ROW($A153)-ROW($A$6)-IF(ROW($A153)-ROW($A$6)&gt;EmpCount,ROUNDDOWN((ROW($A153)-ROW($A$6)-1)/EmpCount,0)*EmpCount,0),0,1,1))</f>
        <v>EXS012</v>
      </c>
      <c r="D153" s="10" t="str">
        <f ca="1">IF(ISNA(VLOOKUP($C153,EmpAll,COLUMN(Emp!$B$4),0)),"-",VLOOKUP($C153,EmpAll,COLUMN(Emp!$B$4),0))</f>
        <v>Williams VS</v>
      </c>
      <c r="E153" s="145" t="str">
        <f ca="1">IF(ISNA(VLOOKUP($C153,EmpAll,COLUMN(Emp!$C$4),0)),"-",VLOOKUP($C153,EmpAll,COLUMN(Emp!$C$4),0))</f>
        <v>A</v>
      </c>
      <c r="F153" s="101" t="str">
        <f ca="1">IF(ISNA(VLOOKUP($C153,EmpAll,COLUMN(Emp!$A$4),0)),"-",IF(AND(VLOOKUP($C153,EmpAll,COLUMN(Emp!$E$4),0)&lt;&gt;0,VLOOKUP($C153,EmpAll,COLUMN(Emp!$E$4),0)&gt;=DATE(YEAR($AC153),MONTH($AC153)+1,0)),"Inactive",IF(AND(VLOOKUP($C153,EmpAll,COLUMN(Emp!$F$4),0)&lt;&gt;0,VLOOKUP($C153,EmpAll,COLUMN(Emp!$F$4),0)&lt;=DATE(YEAR($AC153),MONTH($AC153),0)),"Terminated","Active")))</f>
        <v>Active</v>
      </c>
      <c r="G153" s="133" cm="1">
        <f t="array" aca="1" ref="G153" ca="1">IF($F153&lt;&gt;"Active",0,IF(COUNTIFS(OverEmp,$C153,OverEarn,G$2,OverDate,"&lt;"&amp;DATE(YEAR($AC153),MONTH($AC153)+1,1),OverEnd,"&gt;="&amp;DATE(YEAR($AC153),MONTH($AC153),1))&gt;0,SUMIFS(OverValue,OverEmp,$C153,OverEarn,G$2,OverDate,"&lt;"&amp;DATE(YEAR($AC153),MONTH($AC153)+1,1),OverEnd,"&gt;="&amp;DATE(YEAR($AC153),MONTH($AC153),1)),IF(AND($AC153&gt;=Setup!$E$10,SUMIFS(EmpIncrease,EmpCode,$C153)&gt;0),SUMIFS(EmpIncrease,EmpCode,$C153),SUMIFS(EmpSalary,EmpCode,$C153))))</f>
        <v>5000</v>
      </c>
      <c r="H153" s="133" cm="1">
        <f t="array" aca="1" ref="H153" ca="1">IF($F153&lt;&gt;"Active",0,IF(COUNTIFS(OverEmp,$C153,OverEarn,H$2,OverDate,"&lt;"&amp;DATE(YEAR($AC153),MONTH($AC153)+1,1),OverEnd,"&gt;="&amp;DATE(YEAR($AC153),MONTH($AC153),1))&gt;0,SUMIFS(OverValue,OverEmp,$C153,OverEarn,H$2,OverDate,"&lt;"&amp;DATE(YEAR($AC153),MONTH($AC153)+1,1),OverEnd,"&gt;="&amp;DATE(YEAR($AC153),MONTH($AC153),1)),0))</f>
        <v>0</v>
      </c>
      <c r="I153" s="133" cm="1">
        <f t="array" aca="1" ref="I153" ca="1">IF($F153&lt;&gt;"Active",0,IF(COUNTIFS(OverEmp,$C153,OverEarn,I$2,OverDate,"&lt;"&amp;DATE(YEAR($AC153),MONTH($AC153)+1,1),OverEnd,"&gt;="&amp;DATE(YEAR($AC153),MONTH($AC153),1))&gt;0,SUMIFS(OverValue,OverEmp,$C153,OverEarn,I$2,OverDate,"&lt;"&amp;DATE(YEAR($AC153),MONTH($AC153)+1,1),OverEnd,"&gt;="&amp;DATE(YEAR($AC153),MONTH($AC153),1)),IF(MONTH(B153)=Setup!$C$15,SUMIFS(EmpBonus,EmpCode,$C153),0)))</f>
        <v>5000</v>
      </c>
      <c r="J153" s="133" cm="1">
        <f t="array" aca="1" ref="J153" ca="1">IF($F153&lt;&gt;"Active",0,IF(COUNTIFS(OverEmp,$C153,OverEarn,J$2,OverDate,"&lt;"&amp;DATE(YEAR($AC153),MONTH($AC153)+1,1),OverEnd,"&gt;="&amp;DATE(YEAR($AC153),MONTH($AC153),1))&gt;0,SUMIFS(OverValue,OverEmp,$C153,OverEarn,J$2,OverDate,"&lt;"&amp;DATE(YEAR($AC153),MONTH($AC153)+1,1),OverEnd,"&gt;="&amp;DATE(YEAR($AC153),MONTH($AC153),1)),0))</f>
        <v>0</v>
      </c>
      <c r="K153" s="133" cm="1">
        <f t="array" aca="1" ref="K153" ca="1">IF($F153&lt;&gt;"Active",0,IF(COUNTIFS(OverEmp,$C153,OverEarn,K$2,OverDate,"&lt;"&amp;DATE(YEAR($AC153),MONTH($AC153)+1,1),OverEnd,"&gt;="&amp;DATE(YEAR($AC153),MONTH($AC153),1))&gt;0,SUMIFS(OverValue,OverEmp,$C153,OverEarn,K$2,OverDate,"&lt;"&amp;DATE(YEAR($AC153),MONTH($AC153)+1,1),OverEnd,"&gt;="&amp;DATE(YEAR($AC153),MONTH($AC153),1)),0))</f>
        <v>0</v>
      </c>
      <c r="L153" s="185">
        <f t="shared" ca="1" si="66"/>
        <v>10000</v>
      </c>
      <c r="M153" s="182" cm="1">
        <f t="array" aca="1" ref="M153" ca="1">IF(COUNTIFS(OverEmp,$C153,OverTax,M$5,OverDate,"&lt;"&amp;DATE(YEAR($AC153),MONTH($AC153)+1,1),OverEnd,"&gt;="&amp;DATE(YEAR($AC153),MONTH($AC153),1))&gt;0,SUMIFS(OverValue,OverEmp,$C153,OverTax,M$5,OverDate,"&lt;"&amp;DATE(YEAR($AC153),MONTH($AC153)+1,1),OverEnd,"&gt;="&amp;DATE(YEAR($AC153),MONTH($AC153),1)),(($BA153/12*$AA153)+(BB153*IF(1-$BC153=0,0,BD153/(1-$BC153))))-IF($F153="Terminated",0,SUMIFS(PayTaxDeduct,PayDate,"&lt;"&amp;$AC153,PayEmp,$C153)))</f>
        <v>0</v>
      </c>
      <c r="N153" s="133" cm="1">
        <f t="array" aca="1" ref="N153" ca="1">IF($F153="Terminated",0,IF($AA153=0,0,IF(ISNA(MATCH(N$5,DedListItem,0)),0,IF(COUNTIFS(OverEmp,$C153,OverDeduct,N$5,OverDate,"&lt;"&amp;DATE(YEAR($AC153),MONTH($AC153)+1,1),OverEnd,"&gt;="&amp;DATE(YEAR($AC153),MONTH($AC153),1))&gt;0,SUMIFS(OverValue,OverEmp,$C153,OverDeduct,N$5,OverDate,"&lt;"&amp;DATE(YEAR($AC153),MONTH($AC153)+1,1),OverEnd,"&gt;="&amp;DATE(YEAR($AC153),MONTH($AC153),1)),IF(OR(N$2="Fixed",N$2="Not Used"),(IF(COUNTIFS(EmpNo,$C153,OFFSET(Emp!$R$4,1,MATCH(N$5,DedListItem,0)-1,EmpCount,1),"&lt;&gt;")&gt;0,VLOOKUP($C153,EmpAll,COLUMN(Emp!$R$4)+MATCH(N$5,DedListItem,0)-1,0),OFFSET(Setup!$E$73,MATCH(N$5,DedListItem,0),0,1,1))*$AA153)-SUMIFS(OFFSET(N$6,1,0,PayCount,1),PayDate,"&lt;"&amp;$AC153,PayEmp,$C153),IF(ISNA(MATCH(N$2,EarnListItem,0))=FALSE,IF(OFFSET(Setup!$G$73,MATCH(N$5,DedListItem,0),0,1,1)="Taxable",SUMPRODUCT((PayEmp=$C153)*(PayDate&lt;=$AC153)*(PayEarnCode=N$2)*(PayEarnTax)*(PayEarnValues)),SUMPRODUCT((PayEmp=$C153)*(PayDate&lt;=$AC153)*(PayEarnCode=N$2)*(PayEarnValues)))*IF(COUNTIFS(EmpNo,$C153,OFFSET(Emp!$R$4,1,MATCH(N$5,DedListItem,0)-1,EmpCount,1),"&lt;&gt;")&gt;0,VLOOKUP($C153,EmpAll,COLUMN(Emp!$R$4)+MATCH(N$5,DedListItem,0)-1,0),OFFSET(Setup!$E$73,MATCH(N$5,DedListItem,0),0,1,1)),(MIN(IF(OFFSET(Setup!$G$73,MATCH(N$5,DedListItem,0),0,1,1)="Taxable",SUMPRODUCT((PayEmp=$C153)*(PayDate&lt;=$AC153)*(ISERROR(SEARCH(PayEarnCode,N$4)))*(PayEarnTax)*(PayEarnValues)),SUMPRODUCT((PayEmp=$C153)*(PayDate&lt;=$AC153)*(ISERROR(SEARCH(PayEarnCode,N$4)))*(PayEarnValues))),IF(ISNUMBER(N$3),N$3/12*$AA153,IgnoreMin)))*IF(COUNTIFS(EmpNo,$C153,OFFSET(Emp!$R$4,1,MATCH(N$5,DedListItem,0)-1,EmpCount,1),"&lt;&gt;")&gt;0,VLOOKUP($C153,EmpAll,COLUMN(Emp!$R$4)+MATCH(N$5,DedListItem,0)-1,0),OFFSET(Setup!$E$73,MATCH(N$5,DedListItem,0),0,1,1)))-SUMIFS(OFFSET(N$6,1,0,PayCount,1),PayDate,"&lt;"&amp;$AC153,PayEmp,$C153))))))</f>
        <v>100</v>
      </c>
      <c r="O153" s="133" cm="1">
        <f t="array" aca="1" ref="O153" ca="1">IF($F153="Terminated",0,IF($AA153=0,0,IF(ISNA(MATCH(O$5,DedListItem,0)),0,IF(COUNTIFS(OverEmp,$C153,OverDeduct,O$5,OverDate,"&lt;"&amp;DATE(YEAR($AC153),MONTH($AC153)+1,1),OverEnd,"&gt;="&amp;DATE(YEAR($AC153),MONTH($AC153),1))&gt;0,SUMIFS(OverValue,OverEmp,$C153,OverDeduct,O$5,OverDate,"&lt;"&amp;DATE(YEAR($AC153),MONTH($AC153)+1,1),OverEnd,"&gt;="&amp;DATE(YEAR($AC153),MONTH($AC153),1)),IF(OR(O$2="Fixed",O$2="Not Used"),(IF(COUNTIFS(EmpNo,$C153,OFFSET(Emp!$R$4,1,MATCH(O$5,DedListItem,0)-1,EmpCount,1),"&lt;&gt;")&gt;0,VLOOKUP($C153,EmpAll,COLUMN(Emp!$R$4)+MATCH(O$5,DedListItem,0)-1,0),OFFSET(Setup!$E$73,MATCH(O$5,DedListItem,0),0,1,1))*$AA153)-SUMIFS(OFFSET(O$6,1,0,PayCount,1),PayDate,"&lt;"&amp;$AC153,PayEmp,$C153),IF(ISNA(MATCH(O$2,EarnListItem,0))=FALSE,IF(OFFSET(Setup!$G$73,MATCH(O$5,DedListItem,0),0,1,1)="Taxable",SUMPRODUCT((PayEmp=$C153)*(PayDate&lt;=$AC153)*(PayEarnCode=O$2)*(PayEarnTax)*(PayEarnValues)),SUMPRODUCT((PayEmp=$C153)*(PayDate&lt;=$AC153)*(PayEarnCode=O$2)*(PayEarnValues)))*IF(COUNTIFS(EmpNo,$C153,OFFSET(Emp!$R$4,1,MATCH(O$5,DedListItem,0)-1,EmpCount,1),"&lt;&gt;")&gt;0,VLOOKUP($C153,EmpAll,COLUMN(Emp!$R$4)+MATCH(O$5,DedListItem,0)-1,0),OFFSET(Setup!$E$73,MATCH(O$5,DedListItem,0),0,1,1)),(MIN(IF(OFFSET(Setup!$G$73,MATCH(O$5,DedListItem,0),0,1,1)="Taxable",SUMPRODUCT((PayEmp=$C153)*(PayDate&lt;=$AC153)*(ISERROR(SEARCH(PayEarnCode,O$4)))*(PayEarnTax)*(PayEarnValues)),SUMPRODUCT((PayEmp=$C153)*(PayDate&lt;=$AC153)*(ISERROR(SEARCH(PayEarnCode,O$4)))*(PayEarnValues))),IF(ISNUMBER(O$3),O$3/12*$AA153,IgnoreMin)))*IF(COUNTIFS(EmpNo,$C153,OFFSET(Emp!$R$4,1,MATCH(O$5,DedListItem,0)-1,EmpCount,1),"&lt;&gt;")&gt;0,VLOOKUP($C153,EmpAll,COLUMN(Emp!$R$4)+MATCH(O$5,DedListItem,0)-1,0),OFFSET(Setup!$E$73,MATCH(O$5,DedListItem,0),0,1,1)))-SUMIFS(OFFSET(O$6,1,0,PayCount,1),PayDate,"&lt;"&amp;$AC153,PayEmp,$C153))))))</f>
        <v>0</v>
      </c>
      <c r="P153" s="133" cm="1">
        <f t="array" aca="1" ref="P153" ca="1">IF($F153="Terminated",0,IF($AA153=0,0,IF(ISNA(MATCH(P$5,DedListItem,0)),0,IF(COUNTIFS(OverEmp,$C153,OverDeduct,P$5,OverDate,"&lt;"&amp;DATE(YEAR($AC153),MONTH($AC153)+1,1),OverEnd,"&gt;="&amp;DATE(YEAR($AC153),MONTH($AC153),1))&gt;0,SUMIFS(OverValue,OverEmp,$C153,OverDeduct,P$5,OverDate,"&lt;"&amp;DATE(YEAR($AC153),MONTH($AC153)+1,1),OverEnd,"&gt;="&amp;DATE(YEAR($AC153),MONTH($AC153),1)),IF(OR(P$2="Fixed",P$2="Not Used"),(IF(COUNTIFS(EmpNo,$C153,OFFSET(Emp!$R$4,1,MATCH(P$5,DedListItem,0)-1,EmpCount,1),"&lt;&gt;")&gt;0,VLOOKUP($C153,EmpAll,COLUMN(Emp!$R$4)+MATCH(P$5,DedListItem,0)-1,0),OFFSET(Setup!$E$73,MATCH(P$5,DedListItem,0),0,1,1))*$AA153)-SUMIFS(OFFSET(P$6,1,0,PayCount,1),PayDate,"&lt;"&amp;$AC153,PayEmp,$C153),IF(ISNA(MATCH(P$2,EarnListItem,0))=FALSE,IF(OFFSET(Setup!$G$73,MATCH(P$5,DedListItem,0),0,1,1)="Taxable",SUMPRODUCT((PayEmp=$C153)*(PayDate&lt;=$AC153)*(PayEarnCode=P$2)*(PayEarnTax)*(PayEarnValues)),SUMPRODUCT((PayEmp=$C153)*(PayDate&lt;=$AC153)*(PayEarnCode=P$2)*(PayEarnValues)))*IF(COUNTIFS(EmpNo,$C153,OFFSET(Emp!$R$4,1,MATCH(P$5,DedListItem,0)-1,EmpCount,1),"&lt;&gt;")&gt;0,VLOOKUP($C153,EmpAll,COLUMN(Emp!$R$4)+MATCH(P$5,DedListItem,0)-1,0),OFFSET(Setup!$E$73,MATCH(P$5,DedListItem,0),0,1,1)),(MIN(IF(OFFSET(Setup!$G$73,MATCH(P$5,DedListItem,0),0,1,1)="Taxable",SUMPRODUCT((PayEmp=$C153)*(PayDate&lt;=$AC153)*(ISERROR(SEARCH(PayEarnCode,P$4)))*(PayEarnTax)*(PayEarnValues)),SUMPRODUCT((PayEmp=$C153)*(PayDate&lt;=$AC153)*(ISERROR(SEARCH(PayEarnCode,P$4)))*(PayEarnValues))),IF(ISNUMBER(P$3),P$3/12*$AA153,IgnoreMin)))*IF(COUNTIFS(EmpNo,$C153,OFFSET(Emp!$R$4,1,MATCH(P$5,DedListItem,0)-1,EmpCount,1),"&lt;&gt;")&gt;0,VLOOKUP($C153,EmpAll,COLUMN(Emp!$R$4)+MATCH(P$5,DedListItem,0)-1,0),OFFSET(Setup!$E$73,MATCH(P$5,DedListItem,0),0,1,1)))-SUMIFS(OFFSET(P$6,1,0,PayCount,1),PayDate,"&lt;"&amp;$AC153,PayEmp,$C153))))))</f>
        <v>0</v>
      </c>
      <c r="Q153" s="133" cm="1">
        <f t="array" aca="1" ref="Q153" ca="1">IF($F153="Terminated",0,IF($AA153=0,0,IF(ISNA(MATCH(Q$5,DedListItem,0)),0,IF(COUNTIFS(OverEmp,$C153,OverDeduct,Q$5,OverDate,"&lt;"&amp;DATE(YEAR($AC153),MONTH($AC153)+1,1),OverEnd,"&gt;="&amp;DATE(YEAR($AC153),MONTH($AC153),1))&gt;0,SUMIFS(OverValue,OverEmp,$C153,OverDeduct,Q$5,OverDate,"&lt;"&amp;DATE(YEAR($AC153),MONTH($AC153)+1,1),OverEnd,"&gt;="&amp;DATE(YEAR($AC153),MONTH($AC153),1)),IF(OR(Q$2="Fixed",Q$2="Not Used"),(IF(COUNTIFS(EmpNo,$C153,OFFSET(Emp!$R$4,1,MATCH(Q$5,DedListItem,0)-1,EmpCount,1),"&lt;&gt;")&gt;0,VLOOKUP($C153,EmpAll,COLUMN(Emp!$R$4)+MATCH(Q$5,DedListItem,0)-1,0),OFFSET(Setup!$E$73,MATCH(Q$5,DedListItem,0),0,1,1))*$AA153)-SUMIFS(OFFSET(Q$6,1,0,PayCount,1),PayDate,"&lt;"&amp;$AC153,PayEmp,$C153),IF(ISNA(MATCH(Q$2,EarnListItem,0))=FALSE,IF(OFFSET(Setup!$G$73,MATCH(Q$5,DedListItem,0),0,1,1)="Taxable",SUMPRODUCT((PayEmp=$C153)*(PayDate&lt;=$AC153)*(PayEarnCode=Q$2)*(PayEarnTax)*(PayEarnValues)),SUMPRODUCT((PayEmp=$C153)*(PayDate&lt;=$AC153)*(PayEarnCode=Q$2)*(PayEarnValues)))*IF(COUNTIFS(EmpNo,$C153,OFFSET(Emp!$R$4,1,MATCH(Q$5,DedListItem,0)-1,EmpCount,1),"&lt;&gt;")&gt;0,VLOOKUP($C153,EmpAll,COLUMN(Emp!$R$4)+MATCH(Q$5,DedListItem,0)-1,0),OFFSET(Setup!$E$73,MATCH(Q$5,DedListItem,0),0,1,1)),(MIN(IF(OFFSET(Setup!$G$73,MATCH(Q$5,DedListItem,0),0,1,1)="Taxable",SUMPRODUCT((PayEmp=$C153)*(PayDate&lt;=$AC153)*(ISERROR(SEARCH(PayEarnCode,Q$4)))*(PayEarnTax)*(PayEarnValues)),SUMPRODUCT((PayEmp=$C153)*(PayDate&lt;=$AC153)*(ISERROR(SEARCH(PayEarnCode,Q$4)))*(PayEarnValues))),IF(ISNUMBER(Q$3),Q$3/12*$AA153,IgnoreMin)))*IF(COUNTIFS(EmpNo,$C153,OFFSET(Emp!$R$4,1,MATCH(Q$5,DedListItem,0)-1,EmpCount,1),"&lt;&gt;")&gt;0,VLOOKUP($C153,EmpAll,COLUMN(Emp!$R$4)+MATCH(Q$5,DedListItem,0)-1,0),OFFSET(Setup!$E$73,MATCH(Q$5,DedListItem,0),0,1,1)))-SUMIFS(OFFSET(Q$6,1,0,PayCount,1),PayDate,"&lt;"&amp;$AC153,PayEmp,$C153))))))</f>
        <v>0</v>
      </c>
      <c r="R153" s="185">
        <f t="shared" ca="1" si="67"/>
        <v>100</v>
      </c>
      <c r="S153" s="139">
        <f t="shared" ca="1" si="68"/>
        <v>9900</v>
      </c>
      <c r="T153" s="133" cm="1">
        <f t="array" aca="1" ref="T153" ca="1">IF($F153="Terminated",0,IF($AA153=0,0,IF(ISNA(MATCH(T$5,CompListItem,0)),0,IF(COUNTIFS(OverEmp,$C153,OverComp,T$5,OverDate,"&lt;"&amp;DATE(YEAR($AC153),MONTH($AC153)+1,1),OverEnd,"&gt;="&amp;DATE(YEAR($AC153),MONTH($AC153),1))&gt;0,SUMIFS(OverValue,OverEmp,$C153,OverComp,T$5,OverDate,"&lt;"&amp;DATE(YEAR($AC153),MONTH($AC153)+1,1),OverEnd,"&gt;="&amp;DATE(YEAR($AC153),MONTH($AC153),1)),IF(OR(T$2="Fixed",T$2="Not Used"),(OFFSET(Setup!$E$81,MATCH(T$5,CompListItem,0),0,1,1)*$AA153)-SUMIFS(OFFSET(T$6,1,0,PayCount,1),PayDate,"&lt;"&amp;$AC153,PayEmp,$C153),IF(ISNA(MATCH(T$2,DedListItem,0))=FALSE,(SUMPRODUCT((PayEmp=$C153)*(PayDate&lt;=$AC153)*(PayDedList=T$2)*(PayDedValues))*OFFSET(Setup!$E$81,MATCH(T$5,CompListItem,0),0,1,1))-SUMIFS(OFFSET(T$6,1,0,PayCount,1),PayDate,"&lt;"&amp;$AC153,PayEmp,$C153),(MIN(IF(OFFSET(Setup!$G$81,MATCH(T$5,CompListItem,0),0,1,1)="Taxable",SUMPRODUCT((PayEmp=$C153)*(PayDate&lt;=$AC153)*(ISERROR(SEARCH(PayEarnCode,T$4)))*(PayEarnTax)*(PayEarnValues)),SUMPRODUCT((PayEmp=$C153)*(PayDate&lt;=$AC153)*(ISERROR(SEARCH(PayEarnCode,T$4)))*(PayEarnValues))),IF(ISNUMBER(T$3),T$3/12*$AA153,IgnoreMin)))*OFFSET(Setup!$E$81,MATCH(T$5,CompListItem,0),0,1,1)-SUMIFS(OFFSET(T$6,1,0,PayCount,1),PayDate,"&lt;"&amp;$AC153,PayEmp,$C153)))))))</f>
        <v>100</v>
      </c>
      <c r="U153" s="133" cm="1">
        <f t="array" aca="1" ref="U153" ca="1">IF($F153="Terminated",0,IF($AA153=0,0,IF(ISNA(MATCH(U$5,CompListItem,0)),0,IF(COUNTIFS(OverEmp,$C153,OverComp,U$5,OverDate,"&lt;"&amp;DATE(YEAR($AC153),MONTH($AC153)+1,1),OverEnd,"&gt;="&amp;DATE(YEAR($AC153),MONTH($AC153),1))&gt;0,SUMIFS(OverValue,OverEmp,$C153,OverComp,U$5,OverDate,"&lt;"&amp;DATE(YEAR($AC153),MONTH($AC153)+1,1),OverEnd,"&gt;="&amp;DATE(YEAR($AC153),MONTH($AC153),1)),IF(OR(U$2="Fixed",U$2="Not Used"),(OFFSET(Setup!$E$81,MATCH(U$5,CompListItem,0),0,1,1)*$AA153)-SUMIFS(OFFSET(U$6,1,0,PayCount,1),PayDate,"&lt;"&amp;$AC153,PayEmp,$C153),IF(ISNA(MATCH(U$2,DedListItem,0))=FALSE,(SUMPRODUCT((PayEmp=$C153)*(PayDate&lt;=$AC153)*(PayDedList=U$2)*(PayDedValues))*OFFSET(Setup!$E$81,MATCH(U$5,CompListItem,0),0,1,1))-SUMIFS(OFFSET(U$6,1,0,PayCount,1),PayDate,"&lt;"&amp;$AC153,PayEmp,$C153),(MIN(IF(OFFSET(Setup!$G$81,MATCH(U$5,CompListItem,0),0,1,1)="Taxable",SUMPRODUCT((PayEmp=$C153)*(PayDate&lt;=$AC153)*(ISERROR(SEARCH(PayEarnCode,U$4)))*(PayEarnTax)*(PayEarnValues)),SUMPRODUCT((PayEmp=$C153)*(PayDate&lt;=$AC153)*(ISERROR(SEARCH(PayEarnCode,U$4)))*(PayEarnValues))),IF(ISNUMBER(U$3),U$3/12*$AA153,IgnoreMin)))*OFFSET(Setup!$E$81,MATCH(U$5,CompListItem,0),0,1,1)-SUMIFS(OFFSET(U$6,1,0,PayCount,1),PayDate,"&lt;"&amp;$AC153,PayEmp,$C153)))))))</f>
        <v>100</v>
      </c>
      <c r="V153" s="133" cm="1">
        <f t="array" aca="1" ref="V153" ca="1">IF($F153="Terminated",0,IF($AA153=0,0,IF(ISNA(MATCH(V$5,CompListItem,0)),0,IF(COUNTIFS(OverEmp,$C153,OverComp,V$5,OverDate,"&lt;"&amp;DATE(YEAR($AC153),MONTH($AC153)+1,1),OverEnd,"&gt;="&amp;DATE(YEAR($AC153),MONTH($AC153),1))&gt;0,SUMIFS(OverValue,OverEmp,$C153,OverComp,V$5,OverDate,"&lt;"&amp;DATE(YEAR($AC153),MONTH($AC153)+1,1),OverEnd,"&gt;="&amp;DATE(YEAR($AC153),MONTH($AC153),1)),IF(OR(V$2="Fixed",V$2="Not Used"),(OFFSET(Setup!$E$81,MATCH(V$5,CompListItem,0),0,1,1)*$AA153)-SUMIFS(OFFSET(V$6,1,0,PayCount,1),PayDate,"&lt;"&amp;$AC153,PayEmp,$C153),IF(ISNA(MATCH(V$2,DedListItem,0))=FALSE,(SUMPRODUCT((PayEmp=$C153)*(PayDate&lt;=$AC153)*(PayDedList=V$2)*(PayDedValues))*OFFSET(Setup!$E$81,MATCH(V$5,CompListItem,0),0,1,1))-SUMIFS(OFFSET(V$6,1,0,PayCount,1),PayDate,"&lt;"&amp;$AC153,PayEmp,$C153),(MIN(IF(OFFSET(Setup!$G$81,MATCH(V$5,CompListItem,0),0,1,1)="Taxable",SUMPRODUCT((PayEmp=$C153)*(PayDate&lt;=$AC153)*(ISERROR(SEARCH(PayEarnCode,V$4)))*(PayEarnTax)*(PayEarnValues)),SUMPRODUCT((PayEmp=$C153)*(PayDate&lt;=$AC153)*(ISERROR(SEARCH(PayEarnCode,V$4)))*(PayEarnValues))),IF(ISNUMBER(V$3),V$3/12*$AA153,IgnoreMin)))*OFFSET(Setup!$E$81,MATCH(V$5,CompListItem,0),0,1,1)-SUMIFS(OFFSET(V$6,1,0,PayCount,1),PayDate,"&lt;"&amp;$AC153,PayEmp,$C153)))))))</f>
        <v>0</v>
      </c>
      <c r="W153" s="133" cm="1">
        <f t="array" aca="1" ref="W153" ca="1">IF($F153="Terminated",0,IF($AA153=0,0,IF(ISNA(MATCH(W$5,CompListItem,0)),0,IF(COUNTIFS(OverEmp,$C153,OverComp,W$5,OverDate,"&lt;"&amp;DATE(YEAR($AC153),MONTH($AC153)+1,1),OverEnd,"&gt;="&amp;DATE(YEAR($AC153),MONTH($AC153),1))&gt;0,SUMIFS(OverValue,OverEmp,$C153,OverComp,W$5,OverDate,"&lt;"&amp;DATE(YEAR($AC153),MONTH($AC153)+1,1),OverEnd,"&gt;="&amp;DATE(YEAR($AC153),MONTH($AC153),1)),IF(OR(W$2="Fixed",W$2="Not Used"),(OFFSET(Setup!$E$81,MATCH(W$5,CompListItem,0),0,1,1)*$AA153)-SUMIFS(OFFSET(W$6,1,0,PayCount,1),PayDate,"&lt;"&amp;$AC153,PayEmp,$C153),IF(ISNA(MATCH(W$2,DedListItem,0))=FALSE,(SUMPRODUCT((PayEmp=$C153)*(PayDate&lt;=$AC153)*(PayDedList=W$2)*(PayDedValues))*OFFSET(Setup!$E$81,MATCH(W$5,CompListItem,0),0,1,1))-SUMIFS(OFFSET(W$6,1,0,PayCount,1),PayDate,"&lt;"&amp;$AC153,PayEmp,$C153),(MIN(IF(OFFSET(Setup!$G$81,MATCH(W$5,CompListItem,0),0,1,1)="Taxable",SUMPRODUCT((PayEmp=$C153)*(PayDate&lt;=$AC153)*(ISERROR(SEARCH(PayEarnCode,W$4)))*(PayEarnTax)*(PayEarnValues)),SUMPRODUCT((PayEmp=$C153)*(PayDate&lt;=$AC153)*(ISERROR(SEARCH(PayEarnCode,W$4)))*(PayEarnValues))),IF(ISNUMBER(W$3),W$3/12*$AA153,IgnoreMin)))*OFFSET(Setup!$E$81,MATCH(W$5,CompListItem,0),0,1,1)-SUMIFS(OFFSET(W$6,1,0,PayCount,1),PayDate,"&lt;"&amp;$AC153,PayEmp,$C153)))))))</f>
        <v>0</v>
      </c>
      <c r="X153" s="185">
        <f t="shared" ca="1" si="60"/>
        <v>200</v>
      </c>
      <c r="Y153" s="139">
        <f t="shared" ca="1" si="69"/>
        <v>10200</v>
      </c>
      <c r="Z153" s="139">
        <f t="shared" ca="1" si="61"/>
        <v>300</v>
      </c>
      <c r="AA153" s="146">
        <f ca="1">IF(OR($B153&lt;=Setup!$E$12,$B153&gt;=Setup!$D$12+1),0,IF($F153&lt;&gt;"Active",0,IF($AE153="Yes",$AB153,((YEAR($AC153)*12)+MONTH($AC153))-((YEAR($AD153)*12)+MONTH($AD153)-1))))</f>
        <v>10</v>
      </c>
      <c r="AB153" s="146">
        <f ca="1">IF(OR($B153&lt;=Setup!$E$12,$B153&gt;=Setup!$D$12+1),0,((YEAR($AC153)*12)+MONTH($AC153))-((YEAR(Setup!$E$12)*12)+MONTH(Setup!$E$12)))</f>
        <v>10</v>
      </c>
      <c r="AC153" s="186">
        <f t="shared" ca="1" si="62"/>
        <v>45285</v>
      </c>
      <c r="AD153" s="144">
        <f ca="1">IF(ISNA(VLOOKUP($C153,EmpAll,COLUMN(Emp!$E$4),0)),$AC153,IF(VLOOKUP($C153,EmpAll,COLUMN(Emp!$E$4),0)&lt;=Setup!$E$12,DATE(YEAR(Setup!$E$12),MONTH(Setup!$E$12)+1,1),VLOOKUP($C153,EmpAll,COLUMN(Emp!$E$4),0)))</f>
        <v>44986</v>
      </c>
      <c r="AE153" s="144" t="str">
        <f ca="1">IF(ISNA(VLOOKUP($C153,EmpAll,COLUMN(Emp!$G$1),0)),"-",IF(VLOOKUP($C153,EmpAll,COLUMN(Emp!$G$1),0)=0,"-",VLOOKUP($C153,EmpAll,COLUMN(Emp!$G$1),0)))</f>
        <v>-</v>
      </c>
      <c r="AF153" s="145">
        <f ca="1">IF(A153=PaySlip!$G$3,1,0)</f>
        <v>0</v>
      </c>
      <c r="AG153" s="130" cm="1">
        <f t="array" aca="1" ref="AG153" ca="1">IF(COUNTIFS(OverEmp,$C153,OverMed,"MED",OverDate,"&lt;"&amp;DATE(YEAR($AC153),MONTH($AC153)+1,1),OverEnd,"&gt;="&amp;DATE(YEAR($AC153),MONTH($AC153),1))&gt;0,SUMIFS(OverValue,OverEmp,$C153,OverMed,"MED",OverDate,"&lt;"&amp;DATE(YEAR($AC153),MONTH($AC153)+1,1),OverEnd,"&gt;="&amp;DATE(YEAR($AC153),MONTH($AC153),1)),IF(ISNA(VLOOKUP($C153,EmpAll,COLUMN(Emp!$N$4),0)),0,VLOOKUP($C153,EmpAll,COLUMN(Emp!$N$4),0)))</f>
        <v>0</v>
      </c>
      <c r="AH153" s="146">
        <f ca="1">VLOOKUP($AG153,MedList,COLUMN(Setup!$C$49),1)</f>
        <v>0</v>
      </c>
      <c r="AI153" s="146">
        <f t="shared" ca="1" si="70"/>
        <v>0</v>
      </c>
      <c r="AJ153" s="101" t="str">
        <f ca="1">IF(ISNA(VLOOKUP($C153,EmpAll,COLUMN(Emp!$L$4),0)),"None!",VLOOKUP($C153,EmpAll,COLUMN(Emp!$L$4),0))</f>
        <v>A</v>
      </c>
      <c r="AK153" s="147">
        <f t="shared" ca="1" si="63"/>
        <v>17235</v>
      </c>
      <c r="AL153" s="101" t="str">
        <f ca="1">IF(ISNA(VLOOKUP($C153,Employees[],COLUMN(Emp!$M$4),0))=TRUE,"Error!",IF(VLOOKUP($C153,Employees[],COLUMN(Emp!$M$4),0)=0,"Yes",VLOOKUP($C153,Employees[],COLUMN(Emp!$M$4),0)))</f>
        <v>A</v>
      </c>
      <c r="AM153" s="148">
        <f t="shared" ca="1" si="71"/>
        <v>65000</v>
      </c>
      <c r="AN153" s="148" cm="1">
        <f t="array" aca="1" ref="AN153" ca="1">-IF($F153="Terminated",0,IF($AA153=0,0,IF(ISNA(MATCH(AN$5,PayDedList,0)),0,MIN(IF(COUNTIFS(OverEmp,$C153,OverDeduct,AN$5,OverDate,"&lt;"&amp;DATE(YEAR($AC153),MONTH($AC153)+1,1),OverEnd,"&gt;="&amp;DATE(YEAR($AC153),MONTH($AC153),1))&gt;0,SUMPRODUCT((PayEmp=$C153)*(PayDate&lt;=$AC153)*(OFFSET($N$6,1,MATCH(AN$5,PayDedList,0)-1,PayCount,1)))/$AA153*12*AN$3,IF(OR(AN$1="Fixed",AN$1="Not Used"),SUMPRODUCT((PayEmp=$C153)*(PayDate&lt;=$AC153)*(OFFSET($N$6,1,MATCH(AN$5,PayDedList,0)-1,PayCount,1)))/$AA153*12*AN$3,IF(ISNA(MATCH(AN$1,EarnListItem,0))=FALSE,SUMPRODUCT((PayEmp=$C153)*(PayDate&lt;=$AC153)*(OFFSET($N$6,1,MATCH(AN$5,PayDedList,0)-1,PayCount,1)))/$AA153*12*AN$3,(MIN(((SUMPRODUCT((PayEmp=$C153)*(PayDate&lt;=$AC153)*(ISERROR(SEARCH(PayEarnCode,AN$2)))*(PayEarnType="Monthly")*(PayEarnValues))/$AA153*12)+(SUMPRODUCT((PayEmp=$C153)*(PayDate&lt;=$AC153)*(ISERROR(SEARCH(PayEarnCode,AN$2)))*(PayEarnType="Quarterly")*(PayEarnValues))/MAX(1,ROUNDDOWN($AB153/3,0))*4)+(SUMPRODUCT((PayEmp=$C153)*(PayDate&lt;=$AC153)*(ISERROR(SEARCH(PayEarnCode,AN$2)))*(PayEarnType="Bi-Annual")*(PayEarnValues))/MAX(1,ROUNDDOWN($AB153/6,0))*2)+(SUMPRODUCT((PayEmp=$C153)*(PayDate&lt;=$AC153)*(ISERROR(SEARCH(PayEarnCode,AN$2)))*(PayEarnType="Annual")*(PayEarnValues)))),IF(ISNUMBER(OFFSET($N$3,0,MATCH(AN$5,PayDedList,0)-1,1,1)),OFFSET($N$3,0,MATCH(AN$5,PayDedList,0)-1,1,1),IgnoreMin)))*IF(COUNTIFS(EmpNo,$C153,OFFSET(Emp!$R$4,1,MATCH(AN$5,DedListItem,0)-1,EmpCount,1),"&lt;&gt;")&gt;0,VLOOKUP($C153,EmpAll,COLUMN(Emp!$R$4)+MATCH(AN$5,DedListItem,0)-1,0),OFFSET(Setup!$E$73,MATCH(AN$5,DedListItem,0),0,1,1))*AN$3))),IF(ISNUMBER(AN$4),AN$4,IgnoreMin)))))</f>
        <v>0</v>
      </c>
      <c r="AO153" s="148" cm="1">
        <f t="array" aca="1" ref="AO153" ca="1">-IF($F153="Terminated",0,IF($AA153=0,0,IF(ISNA(MATCH(AO$5,PayDedList,0)),0,MIN(IF(COUNTIFS(OverEmp,$C153,OverDeduct,AO$5,OverDate,"&lt;"&amp;DATE(YEAR($AC153),MONTH($AC153)+1,1),OverEnd,"&gt;="&amp;DATE(YEAR($AC153),MONTH($AC153),1))&gt;0,SUMPRODUCT((PayEmp=$C153)*(PayDate&lt;=$AC153)*(OFFSET($N$6,1,MATCH(AO$5,PayDedList,0)-1,PayCount,1)))/$AA153*12*AO$3,IF(OR(AO$1="Fixed",AO$1="Not Used"),SUMPRODUCT((PayEmp=$C153)*(PayDate&lt;=$AC153)*(OFFSET($N$6,1,MATCH(AO$5,PayDedList,0)-1,PayCount,1)))/$AA153*12*AO$3,IF(ISNA(MATCH(AO$1,EarnListItem,0))=FALSE,SUMPRODUCT((PayEmp=$C153)*(PayDate&lt;=$AC153)*(OFFSET($N$6,1,MATCH(AO$5,PayDedList,0)-1,PayCount,1)))/$AA153*12*AO$3,(MIN(((SUMPRODUCT((PayEmp=$C153)*(PayDate&lt;=$AC153)*(ISERROR(SEARCH(PayEarnCode,AO$2)))*(PayEarnType="Monthly")*(PayEarnValues))/$AA153*12)+(SUMPRODUCT((PayEmp=$C153)*(PayDate&lt;=$AC153)*(ISERROR(SEARCH(PayEarnCode,AO$2)))*(PayEarnType="Quarterly")*(PayEarnValues))/MAX(1,ROUNDDOWN($AB153/3,0))*4)+(SUMPRODUCT((PayEmp=$C153)*(PayDate&lt;=$AC153)*(ISERROR(SEARCH(PayEarnCode,AO$2)))*(PayEarnType="Bi-Annual")*(PayEarnValues))/MAX(1,ROUNDDOWN($AB153/6,0))*2)+(SUMPRODUCT((PayEmp=$C153)*(PayDate&lt;=$AC153)*(ISERROR(SEARCH(PayEarnCode,AO$2)))*(PayEarnType="Annual")*(PayEarnValues)))),IF(ISNUMBER(OFFSET($N$3,0,MATCH(AO$5,PayDedList,0)-1,1,1)),OFFSET($N$3,0,MATCH(AO$5,PayDedList,0)-1,1,1),IgnoreMin)))*IF(COUNTIFS(EmpNo,$C153,OFFSET(Emp!$R$4,1,MATCH(AO$5,DedListItem,0)-1,EmpCount,1),"&lt;&gt;")&gt;0,VLOOKUP($C153,EmpAll,COLUMN(Emp!$R$4)+MATCH(AO$5,DedListItem,0)-1,0),OFFSET(Setup!$E$73,MATCH(AO$5,DedListItem,0),0,1,1))*AO$3))),IF(ISNUMBER(AO$4),AO$4,IgnoreMin)))))</f>
        <v>0</v>
      </c>
      <c r="AP153" s="148" cm="1">
        <f t="array" aca="1" ref="AP153" ca="1">-IF($F153="Terminated",0,IF($AA153=0,0,IF(ISNA(MATCH(AP$5,PayDedList,0)),0,MIN(IF(COUNTIFS(OverEmp,$C153,OverDeduct,AP$5,OverDate,"&lt;"&amp;DATE(YEAR($AC153),MONTH($AC153)+1,1),OverEnd,"&gt;="&amp;DATE(YEAR($AC153),MONTH($AC153),1))&gt;0,SUMPRODUCT((PayEmp=$C153)*(PayDate&lt;=$AC153)*(OFFSET($N$6,1,MATCH(AP$5,PayDedList,0)-1,PayCount,1)))/$AA153*12*AP$3,IF(OR(AP$1="Fixed",AP$1="Not Used"),SUMPRODUCT((PayEmp=$C153)*(PayDate&lt;=$AC153)*(OFFSET($N$6,1,MATCH(AP$5,PayDedList,0)-1,PayCount,1)))/$AA153*12*AP$3,IF(ISNA(MATCH(AP$1,EarnListItem,0))=FALSE,SUMPRODUCT((PayEmp=$C153)*(PayDate&lt;=$AC153)*(OFFSET($N$6,1,MATCH(AP$5,PayDedList,0)-1,PayCount,1)))/$AA153*12*AP$3,(MIN(((SUMPRODUCT((PayEmp=$C153)*(PayDate&lt;=$AC153)*(ISERROR(SEARCH(PayEarnCode,AP$2)))*(PayEarnType="Monthly")*(PayEarnValues))/$AA153*12)+(SUMPRODUCT((PayEmp=$C153)*(PayDate&lt;=$AC153)*(ISERROR(SEARCH(PayEarnCode,AP$2)))*(PayEarnType="Quarterly")*(PayEarnValues))/MAX(1,ROUNDDOWN($AB153/3,0))*4)+(SUMPRODUCT((PayEmp=$C153)*(PayDate&lt;=$AC153)*(ISERROR(SEARCH(PayEarnCode,AP$2)))*(PayEarnType="Bi-Annual")*(PayEarnValues))/MAX(1,ROUNDDOWN($AB153/6,0))*2)+(SUMPRODUCT((PayEmp=$C153)*(PayDate&lt;=$AC153)*(ISERROR(SEARCH(PayEarnCode,AP$2)))*(PayEarnType="Annual")*(PayEarnValues)))),IF(ISNUMBER(OFFSET($N$3,0,MATCH(AP$5,PayDedList,0)-1,1,1)),OFFSET($N$3,0,MATCH(AP$5,PayDedList,0)-1,1,1),IgnoreMin)))*IF(COUNTIFS(EmpNo,$C153,OFFSET(Emp!$R$4,1,MATCH(AP$5,DedListItem,0)-1,EmpCount,1),"&lt;&gt;")&gt;0,VLOOKUP($C153,EmpAll,COLUMN(Emp!$R$4)+MATCH(AP$5,DedListItem,0)-1,0),OFFSET(Setup!$E$73,MATCH(AP$5,DedListItem,0),0,1,1))*AP$3))),IF(ISNUMBER(AP$4),AP$4,IgnoreMin)))))</f>
        <v>0</v>
      </c>
      <c r="AQ153" s="148" cm="1">
        <f t="array" aca="1" ref="AQ153" ca="1">-IF($F153="Terminated",0,IF($AA153=0,0,IF(ISNA(MATCH(AQ$5,PayDedList,0)),0,MIN(IF(COUNTIFS(OverEmp,$C153,OverDeduct,AQ$5,OverDate,"&lt;"&amp;DATE(YEAR($AC153),MONTH($AC153)+1,1),OverEnd,"&gt;="&amp;DATE(YEAR($AC153),MONTH($AC153),1))&gt;0,SUMPRODUCT((PayEmp=$C153)*(PayDate&lt;=$AC153)*(OFFSET($N$6,1,MATCH(AQ$5,PayDedList,0)-1,PayCount,1)))/$AA153*12*AQ$3,IF(OR(AQ$1="Fixed",AQ$1="Not Used"),SUMPRODUCT((PayEmp=$C153)*(PayDate&lt;=$AC153)*(OFFSET($N$6,1,MATCH(AQ$5,PayDedList,0)-1,PayCount,1)))/$AA153*12*AQ$3,IF(ISNA(MATCH(AQ$1,EarnListItem,0))=FALSE,SUMPRODUCT((PayEmp=$C153)*(PayDate&lt;=$AC153)*(OFFSET($N$6,1,MATCH(AQ$5,PayDedList,0)-1,PayCount,1)))/$AA153*12*AQ$3,(MIN(((SUMPRODUCT((PayEmp=$C153)*(PayDate&lt;=$AC153)*(ISERROR(SEARCH(PayEarnCode,AQ$2)))*(PayEarnType="Monthly")*(PayEarnValues))/$AA153*12)+(SUMPRODUCT((PayEmp=$C153)*(PayDate&lt;=$AC153)*(ISERROR(SEARCH(PayEarnCode,AQ$2)))*(PayEarnType="Quarterly")*(PayEarnValues))/MAX(1,ROUNDDOWN($AB153/3,0))*4)+(SUMPRODUCT((PayEmp=$C153)*(PayDate&lt;=$AC153)*(ISERROR(SEARCH(PayEarnCode,AQ$2)))*(PayEarnType="Bi-Annual")*(PayEarnValues))/MAX(1,ROUNDDOWN($AB153/6,0))*2)+(SUMPRODUCT((PayEmp=$C153)*(PayDate&lt;=$AC153)*(ISERROR(SEARCH(PayEarnCode,AQ$2)))*(PayEarnType="Annual")*(PayEarnValues)))),IF(ISNUMBER(OFFSET($N$3,0,MATCH(AQ$5,PayDedList,0)-1,1,1)),OFFSET($N$3,0,MATCH(AQ$5,PayDedList,0)-1,1,1),IgnoreMin)))*IF(COUNTIFS(EmpNo,$C153,OFFSET(Emp!$R$4,1,MATCH(AQ$5,DedListItem,0)-1,EmpCount,1),"&lt;&gt;")&gt;0,VLOOKUP($C153,EmpAll,COLUMN(Emp!$R$4)+MATCH(AQ$5,DedListItem,0)-1,0),OFFSET(Setup!$E$73,MATCH(AQ$5,DedListItem,0),0,1,1))*AQ$3))),IF(ISNUMBER(AQ$4),AQ$4,IgnoreMin)))))</f>
        <v>0</v>
      </c>
      <c r="AR153" s="148">
        <f t="shared" ca="1" si="64"/>
        <v>65000</v>
      </c>
      <c r="AS153" s="148">
        <f t="shared" ca="1" si="72"/>
        <v>60000</v>
      </c>
      <c r="AT153" s="148" cm="1">
        <f t="array" aca="1" ref="AT153" ca="1">-IF($F153="Terminated",0,IF($AA153=0,0,IF(ISNA(MATCH(AT$5,PayDedList,0)),0,MIN(IF(COUNTIFS(OverEmp,$C153,OverDeduct,AT$5,OverDate,"&lt;"&amp;DATE(YEAR($AC153),MONTH($AC153)+1,1),OverEnd,"&gt;="&amp;DATE(YEAR($AC153),MONTH($AC153),1))&gt;0,SUMPRODUCT((PayEmp=$C153)*(PayDate&lt;=$AC153)*(OFFSET($N$6,1,MATCH(AT$5,PayDedList,0)-1,PayCount,1)))/$AA153*12*AT$3,IF(OR(AT$1="Fixed",AT$1="Not Used"),SUMPRODUCT((PayEmp=$C153)*(PayDate&lt;=$AC153)*(OFFSET($N$6,1,MATCH(AT$5,PayDedList,0)-1,PayCount,1)))/$AA153*12*AT$3,IF(ISNA(MATCH(OFFSET($N$2,0,MATCH(AT$5,PayDedList,0)-1,1,1),EarnListItem,0))=FALSE,SUMPRODUCT((PayEmp=$C153)*(PayDate&lt;=$AC153)*(OFFSET($N$6,1,MATCH(AT$5,PayDedList,0)-1,PayCount,1)))/$AA153*12*AT$3,(MIN(SUMPRODUCT((PayEmp=$C153)*(PayDate&lt;=$AC153)*(ISERROR(SEARCH(PayEarnCode,AT$2)))*(PayEarnType="Monthly")*(PayEarnValues))/$AA153*12,IF(ISNUMBER(OFFSET($N$3,0,MATCH(AT$5,PayDedList,0)-1,1,1)),OFFSET($N$3,0,MATCH(AT$5,PayDedList,0)-1,1,1),IgnoreMin)))*IF(COUNTIFS(EmpNo,$C153,OFFSET(Emp!$R$4,1,MATCH(AT$5,DedListItem,0)-1,EmpCount,1),"&lt;&gt;")&gt;0,VLOOKUP($C153,EmpAll,COLUMN(Emp!$R$4)+MATCH(AT$5,DedListItem,0)-1,0),OFFSET(Setup!$E$73,MATCH(AT$5,DedListItem,0),0,1,1))*AT$3))),IF(ISNUMBER(AT$4),AT$4,IgnoreMin)))))</f>
        <v>0</v>
      </c>
      <c r="AU153" s="148" cm="1">
        <f t="array" aca="1" ref="AU153" ca="1">-IF($F153="Terminated",0,IF($AA153=0,0,IF(ISNA(MATCH(AU$5,PayDedList,0)),0,MIN(IF(COUNTIFS(OverEmp,$C153,OverDeduct,AU$5,OverDate,"&lt;"&amp;DATE(YEAR($AC153),MONTH($AC153)+1,1),OverEnd,"&gt;="&amp;DATE(YEAR($AC153),MONTH($AC153),1))&gt;0,SUMPRODUCT((PayEmp=$C153)*(PayDate&lt;=$AC153)*(OFFSET($N$6,1,MATCH(AU$5,PayDedList,0)-1,PayCount,1)))/$AA153*12*AU$3,IF(OR(AU$1="Fixed",AU$1="Not Used"),SUMPRODUCT((PayEmp=$C153)*(PayDate&lt;=$AC153)*(OFFSET($N$6,1,MATCH(AU$5,PayDedList,0)-1,PayCount,1)))/$AA153*12*AU$3,IF(ISNA(MATCH(OFFSET($N$2,0,MATCH(AU$5,PayDedList,0)-1,1,1),EarnListItem,0))=FALSE,SUMPRODUCT((PayEmp=$C153)*(PayDate&lt;=$AC153)*(OFFSET($N$6,1,MATCH(AU$5,PayDedList,0)-1,PayCount,1)))/$AA153*12*AU$3,(MIN(SUMPRODUCT((PayEmp=$C153)*(PayDate&lt;=$AC153)*(ISERROR(SEARCH(PayEarnCode,AU$2)))*(PayEarnType="Monthly")*(PayEarnValues))/$AA153*12,IF(ISNUMBER(OFFSET($N$3,0,MATCH(AU$5,PayDedList,0)-1,1,1)),OFFSET($N$3,0,MATCH(AU$5,PayDedList,0)-1,1,1),IgnoreMin)))*IF(COUNTIFS(EmpNo,$C153,OFFSET(Emp!$R$4,1,MATCH(AU$5,DedListItem,0)-1,EmpCount,1),"&lt;&gt;")&gt;0,VLOOKUP($C153,EmpAll,COLUMN(Emp!$R$4)+MATCH(AU$5,DedListItem,0)-1,0),OFFSET(Setup!$E$73,MATCH(AU$5,DedListItem,0),0,1,1))*AU$3))),IF(ISNUMBER(AU$4),AU$4,IgnoreMin)))))</f>
        <v>0</v>
      </c>
      <c r="AV153" s="148" cm="1">
        <f t="array" aca="1" ref="AV153" ca="1">-IF($F153="Terminated",0,IF($AA153=0,0,IF(ISNA(MATCH(AV$5,PayDedList,0)),0,MIN(IF(COUNTIFS(OverEmp,$C153,OverDeduct,AV$5,OverDate,"&lt;"&amp;DATE(YEAR($AC153),MONTH($AC153)+1,1),OverEnd,"&gt;="&amp;DATE(YEAR($AC153),MONTH($AC153),1))&gt;0,SUMPRODUCT((PayEmp=$C153)*(PayDate&lt;=$AC153)*(OFFSET($N$6,1,MATCH(AV$5,PayDedList,0)-1,PayCount,1)))/$AA153*12*AV$3,IF(OR(AV$1="Fixed",AV$1="Not Used"),SUMPRODUCT((PayEmp=$C153)*(PayDate&lt;=$AC153)*(OFFSET($N$6,1,MATCH(AV$5,PayDedList,0)-1,PayCount,1)))/$AA153*12*AV$3,IF(ISNA(MATCH(OFFSET($N$2,0,MATCH(AV$5,PayDedList,0)-1,1,1),EarnListItem,0))=FALSE,SUMPRODUCT((PayEmp=$C153)*(PayDate&lt;=$AC153)*(OFFSET($N$6,1,MATCH(AV$5,PayDedList,0)-1,PayCount,1)))/$AA153*12*AV$3,(MIN(SUMPRODUCT((PayEmp=$C153)*(PayDate&lt;=$AC153)*(ISERROR(SEARCH(PayEarnCode,AV$2)))*(PayEarnType="Monthly")*(PayEarnValues))/$AA153*12,IF(ISNUMBER(OFFSET($N$3,0,MATCH(AV$5,PayDedList,0)-1,1,1)),OFFSET($N$3,0,MATCH(AV$5,PayDedList,0)-1,1,1),IgnoreMin)))*IF(COUNTIFS(EmpNo,$C153,OFFSET(Emp!$R$4,1,MATCH(AV$5,DedListItem,0)-1,EmpCount,1),"&lt;&gt;")&gt;0,VLOOKUP($C153,EmpAll,COLUMN(Emp!$R$4)+MATCH(AV$5,DedListItem,0)-1,0),OFFSET(Setup!$E$73,MATCH(AV$5,DedListItem,0),0,1,1))*AV$3))),IF(ISNUMBER(AV$4),AV$4,IgnoreMin)))))</f>
        <v>0</v>
      </c>
      <c r="AW153" s="148" cm="1">
        <f t="array" aca="1" ref="AW153" ca="1">-IF($F153="Terminated",0,IF($AA153=0,0,IF(ISNA(MATCH(AW$5,PayDedList,0)),0,MIN(IF(COUNTIFS(OverEmp,$C153,OverDeduct,AW$5,OverDate,"&lt;"&amp;DATE(YEAR($AC153),MONTH($AC153)+1,1),OverEnd,"&gt;="&amp;DATE(YEAR($AC153),MONTH($AC153),1))&gt;0,SUMPRODUCT((PayEmp=$C153)*(PayDate&lt;=$AC153)*(OFFSET($N$6,1,MATCH(AW$5,PayDedList,0)-1,PayCount,1)))/$AA153*12*AW$3,IF(OR(AW$1="Fixed",AW$1="Not Used"),SUMPRODUCT((PayEmp=$C153)*(PayDate&lt;=$AC153)*(OFFSET($N$6,1,MATCH(AW$5,PayDedList,0)-1,PayCount,1)))/$AA153*12*AW$3,IF(ISNA(MATCH(OFFSET($N$2,0,MATCH(AW$5,PayDedList,0)-1,1,1),EarnListItem,0))=FALSE,SUMPRODUCT((PayEmp=$C153)*(PayDate&lt;=$AC153)*(OFFSET($N$6,1,MATCH(AW$5,PayDedList,0)-1,PayCount,1)))/$AA153*12*AW$3,(MIN(SUMPRODUCT((PayEmp=$C153)*(PayDate&lt;=$AC153)*(ISERROR(SEARCH(PayEarnCode,AW$2)))*(PayEarnType="Monthly")*(PayEarnValues))/$AA153*12,IF(ISNUMBER(OFFSET($N$3,0,MATCH(AW$5,PayDedList,0)-1,1,1)),OFFSET($N$3,0,MATCH(AW$5,PayDedList,0)-1,1,1),IgnoreMin)))*IF(COUNTIFS(EmpNo,$C153,OFFSET(Emp!$R$4,1,MATCH(AW$5,DedListItem,0)-1,EmpCount,1),"&lt;&gt;")&gt;0,VLOOKUP($C153,EmpAll,COLUMN(Emp!$R$4)+MATCH(AW$5,DedListItem,0)-1,0),OFFSET(Setup!$E$73,MATCH(AW$5,DedListItem,0),0,1,1))*AW$3))),IF(ISNUMBER(AW$4),AW$4,IgnoreMin)))))</f>
        <v>0</v>
      </c>
      <c r="AX153" s="148">
        <f t="shared" ca="1" si="73"/>
        <v>60000</v>
      </c>
      <c r="AY153" s="148">
        <f t="shared" ca="1" si="74"/>
        <v>5000</v>
      </c>
      <c r="AZ153" s="148">
        <f ca="1">IF(ISNUMBER($AL153),($AR153*$AL153)-$AI153-$AK153,MAX(0,IF($AL153="B",IF($AR153&lt;Setup!$C$32,($AR153*Setup!$D$32)-$AI153-$AK153,(($AR153-VLOOKUP($AR153,TaxAll2,1,1))*OFFSET(Setup!$D$32,MATCH($AR153,TaxBracket2,1),0,1,1))+OFFSET(Setup!$E$31,MATCH($AR153,TaxBracket2,1),0,1,1)-$AI153-$AK153),IF($AR153&lt;Setup!$C$21,($AR153*Setup!$D$21)-$AI153-$AK153,(($AR153-VLOOKUP($AR153,TaxAll1,1,1))*OFFSET(Setup!$D$21,MATCH($AR153,TaxBracket1,1),0,1,1))+OFFSET(Setup!$E$20,MATCH($AR153,TaxBracket1,1),0,1,1)-$AI153-$AK153))))</f>
        <v>0</v>
      </c>
      <c r="BA153" s="148">
        <f ca="1">IF(ISNUMBER($AL153),($AX153*$AL153)-$AI153-$AK153,MAX(0,IF($AL153="B",IF($AX153&lt;Setup!$C$32,($AX153*Setup!$D$32)-$AI153-$AK153,(($AX153-VLOOKUP($AX153,TaxAll2,1,1))*OFFSET(Setup!$D$32,MATCH($AX153,TaxBracket2,1),0,1,1))+OFFSET(Setup!$E$31,MATCH($AX153,TaxBracket2,1),0,1,1)-$AI153-$AK153),IF($AX153&lt;Setup!$C$21,($AX153*Setup!$D$21)-$AI153-$AK153,(($AX153-VLOOKUP($AX153,TaxAll1,1,1))*OFFSET(Setup!$D$21,MATCH($AX153,TaxBracket1,1),0,1,1))+OFFSET(Setup!$E$20,MATCH($AX153,TaxBracket1,1),0,1,1)-$AI153-$AK153))))</f>
        <v>0</v>
      </c>
      <c r="BB153" s="148">
        <f t="shared" ca="1" si="65"/>
        <v>0</v>
      </c>
      <c r="BC153" s="150">
        <f t="shared" ca="1" si="75"/>
        <v>0.92307692307692313</v>
      </c>
      <c r="BD153" s="150">
        <f t="shared" ca="1" si="76"/>
        <v>7.6923076923076927E-2</v>
      </c>
      <c r="BE153" s="148">
        <f t="shared" ca="1" si="77"/>
        <v>65000</v>
      </c>
    </row>
    <row r="154" spans="1:57" ht="16.149999999999999" customHeight="1" x14ac:dyDescent="0.25">
      <c r="A154" s="10" t="str" cm="1">
        <f t="array" aca="1" ref="A154" ca="1">IF(ROW($A154)-ROW($A$6)&gt;EmpCount*12,"-",TEXT($B154,"yyyy")&amp;TEXT($B154,"mm")&amp;"-"&amp;$C154)</f>
        <v>202312-EXS013</v>
      </c>
      <c r="B154" s="137" cm="1">
        <f t="array" aca="1" ref="B154" ca="1">IF(ROW($A154)-ROW($A$6)&gt;EmpCount*12,Setup!$D$12,DATE(YEAR(Setup!$F$12),MONTH(Setup!$F$12)+ROUNDDOWN((ROW($A154)-ROW($A$6)-1)/EmpCount,0),IF(Setup!$C$14&gt;DAY(DATE(YEAR(Setup!$F$12),MONTH(Setup!$F$12)+ROUNDDOWN((ROW($A154)-ROW($A$6)-1)/EmpCount,0)+1,0)),DAY(DATE(YEAR(Setup!$F$12),MONTH(Setup!$F$12)+ROUNDDOWN((ROW($A154)-ROW($A$6)-1)/EmpCount,0)+1,0)),Setup!$C$14)))</f>
        <v>45285</v>
      </c>
      <c r="C154" s="101" t="str" cm="1">
        <f t="array" aca="1" ref="C154" ca="1">IF(ROW($A154)-ROW($A$6)&gt;EmpCount*12,"-",OFFSET(Emp!$A$4,ROW($A154)-ROW($A$6)-IF(ROW($A154)-ROW($A$6)&gt;EmpCount,ROUNDDOWN((ROW($A154)-ROW($A$6)-1)/EmpCount,0)*EmpCount,0),0,1,1))</f>
        <v>EXS013</v>
      </c>
      <c r="D154" s="10" t="str">
        <f ca="1">IF(ISNA(VLOOKUP($C154,EmpAll,COLUMN(Emp!$B$4),0)),"-",VLOOKUP($C154,EmpAll,COLUMN(Emp!$B$4),0))</f>
        <v>East WD</v>
      </c>
      <c r="E154" s="145" t="str">
        <f ca="1">IF(ISNA(VLOOKUP($C154,EmpAll,COLUMN(Emp!$C$4),0)),"-",VLOOKUP($C154,EmpAll,COLUMN(Emp!$C$4),0))</f>
        <v>A</v>
      </c>
      <c r="F154" s="101" t="str">
        <f ca="1">IF(ISNA(VLOOKUP($C154,EmpAll,COLUMN(Emp!$A$4),0)),"-",IF(AND(VLOOKUP($C154,EmpAll,COLUMN(Emp!$E$4),0)&lt;&gt;0,VLOOKUP($C154,EmpAll,COLUMN(Emp!$E$4),0)&gt;=DATE(YEAR($AC154),MONTH($AC154)+1,0)),"Inactive",IF(AND(VLOOKUP($C154,EmpAll,COLUMN(Emp!$F$4),0)&lt;&gt;0,VLOOKUP($C154,EmpAll,COLUMN(Emp!$F$4),0)&lt;=DATE(YEAR($AC154),MONTH($AC154),0)),"Terminated","Active")))</f>
        <v>Active</v>
      </c>
      <c r="G154" s="133" cm="1">
        <f t="array" aca="1" ref="G154" ca="1">IF($F154&lt;&gt;"Active",0,IF(COUNTIFS(OverEmp,$C154,OverEarn,G$2,OverDate,"&lt;"&amp;DATE(YEAR($AC154),MONTH($AC154)+1,1),OverEnd,"&gt;="&amp;DATE(YEAR($AC154),MONTH($AC154),1))&gt;0,SUMIFS(OverValue,OverEmp,$C154,OverEarn,G$2,OverDate,"&lt;"&amp;DATE(YEAR($AC154),MONTH($AC154)+1,1),OverEnd,"&gt;="&amp;DATE(YEAR($AC154),MONTH($AC154),1)),IF(AND($AC154&gt;=Setup!$E$10,SUMIFS(EmpIncrease,EmpCode,$C154)&gt;0),SUMIFS(EmpIncrease,EmpCode,$C154),SUMIFS(EmpSalary,EmpCode,$C154))))</f>
        <v>5000</v>
      </c>
      <c r="H154" s="133" cm="1">
        <f t="array" aca="1" ref="H154" ca="1">IF($F154&lt;&gt;"Active",0,IF(COUNTIFS(OverEmp,$C154,OverEarn,H$2,OverDate,"&lt;"&amp;DATE(YEAR($AC154),MONTH($AC154)+1,1),OverEnd,"&gt;="&amp;DATE(YEAR($AC154),MONTH($AC154),1))&gt;0,SUMIFS(OverValue,OverEmp,$C154,OverEarn,H$2,OverDate,"&lt;"&amp;DATE(YEAR($AC154),MONTH($AC154)+1,1),OverEnd,"&gt;="&amp;DATE(YEAR($AC154),MONTH($AC154),1)),0))</f>
        <v>0</v>
      </c>
      <c r="I154" s="133" cm="1">
        <f t="array" aca="1" ref="I154" ca="1">IF($F154&lt;&gt;"Active",0,IF(COUNTIFS(OverEmp,$C154,OverEarn,I$2,OverDate,"&lt;"&amp;DATE(YEAR($AC154),MONTH($AC154)+1,1),OverEnd,"&gt;="&amp;DATE(YEAR($AC154),MONTH($AC154),1))&gt;0,SUMIFS(OverValue,OverEmp,$C154,OverEarn,I$2,OverDate,"&lt;"&amp;DATE(YEAR($AC154),MONTH($AC154)+1,1),OverEnd,"&gt;="&amp;DATE(YEAR($AC154),MONTH($AC154),1)),IF(MONTH(B154)=Setup!$C$15,SUMIFS(EmpBonus,EmpCode,$C154),0)))</f>
        <v>5000</v>
      </c>
      <c r="J154" s="133" cm="1">
        <f t="array" aca="1" ref="J154" ca="1">IF($F154&lt;&gt;"Active",0,IF(COUNTIFS(OverEmp,$C154,OverEarn,J$2,OverDate,"&lt;"&amp;DATE(YEAR($AC154),MONTH($AC154)+1,1),OverEnd,"&gt;="&amp;DATE(YEAR($AC154),MONTH($AC154),1))&gt;0,SUMIFS(OverValue,OverEmp,$C154,OverEarn,J$2,OverDate,"&lt;"&amp;DATE(YEAR($AC154),MONTH($AC154)+1,1),OverEnd,"&gt;="&amp;DATE(YEAR($AC154),MONTH($AC154),1)),0))</f>
        <v>0</v>
      </c>
      <c r="K154" s="133" cm="1">
        <f t="array" aca="1" ref="K154" ca="1">IF($F154&lt;&gt;"Active",0,IF(COUNTIFS(OverEmp,$C154,OverEarn,K$2,OverDate,"&lt;"&amp;DATE(YEAR($AC154),MONTH($AC154)+1,1),OverEnd,"&gt;="&amp;DATE(YEAR($AC154),MONTH($AC154),1))&gt;0,SUMIFS(OverValue,OverEmp,$C154,OverEarn,K$2,OverDate,"&lt;"&amp;DATE(YEAR($AC154),MONTH($AC154)+1,1),OverEnd,"&gt;="&amp;DATE(YEAR($AC154),MONTH($AC154),1)),0))</f>
        <v>0</v>
      </c>
      <c r="L154" s="185">
        <f t="shared" ca="1" si="66"/>
        <v>10000</v>
      </c>
      <c r="M154" s="182" cm="1">
        <f t="array" aca="1" ref="M154" ca="1">IF(COUNTIFS(OverEmp,$C154,OverTax,M$5,OverDate,"&lt;"&amp;DATE(YEAR($AC154),MONTH($AC154)+1,1),OverEnd,"&gt;="&amp;DATE(YEAR($AC154),MONTH($AC154),1))&gt;0,SUMIFS(OverValue,OverEmp,$C154,OverTax,M$5,OverDate,"&lt;"&amp;DATE(YEAR($AC154),MONTH($AC154)+1,1),OverEnd,"&gt;="&amp;DATE(YEAR($AC154),MONTH($AC154),1)),(($BA154/12*$AA154)+(BB154*IF(1-$BC154=0,0,BD154/(1-$BC154))))-IF($F154="Terminated",0,SUMIFS(PayTaxDeduct,PayDate,"&lt;"&amp;$AC154,PayEmp,$C154)))</f>
        <v>0</v>
      </c>
      <c r="N154" s="133" cm="1">
        <f t="array" aca="1" ref="N154" ca="1">IF($F154="Terminated",0,IF($AA154=0,0,IF(ISNA(MATCH(N$5,DedListItem,0)),0,IF(COUNTIFS(OverEmp,$C154,OverDeduct,N$5,OverDate,"&lt;"&amp;DATE(YEAR($AC154),MONTH($AC154)+1,1),OverEnd,"&gt;="&amp;DATE(YEAR($AC154),MONTH($AC154),1))&gt;0,SUMIFS(OverValue,OverEmp,$C154,OverDeduct,N$5,OverDate,"&lt;"&amp;DATE(YEAR($AC154),MONTH($AC154)+1,1),OverEnd,"&gt;="&amp;DATE(YEAR($AC154),MONTH($AC154),1)),IF(OR(N$2="Fixed",N$2="Not Used"),(IF(COUNTIFS(EmpNo,$C154,OFFSET(Emp!$R$4,1,MATCH(N$5,DedListItem,0)-1,EmpCount,1),"&lt;&gt;")&gt;0,VLOOKUP($C154,EmpAll,COLUMN(Emp!$R$4)+MATCH(N$5,DedListItem,0)-1,0),OFFSET(Setup!$E$73,MATCH(N$5,DedListItem,0),0,1,1))*$AA154)-SUMIFS(OFFSET(N$6,1,0,PayCount,1),PayDate,"&lt;"&amp;$AC154,PayEmp,$C154),IF(ISNA(MATCH(N$2,EarnListItem,0))=FALSE,IF(OFFSET(Setup!$G$73,MATCH(N$5,DedListItem,0),0,1,1)="Taxable",SUMPRODUCT((PayEmp=$C154)*(PayDate&lt;=$AC154)*(PayEarnCode=N$2)*(PayEarnTax)*(PayEarnValues)),SUMPRODUCT((PayEmp=$C154)*(PayDate&lt;=$AC154)*(PayEarnCode=N$2)*(PayEarnValues)))*IF(COUNTIFS(EmpNo,$C154,OFFSET(Emp!$R$4,1,MATCH(N$5,DedListItem,0)-1,EmpCount,1),"&lt;&gt;")&gt;0,VLOOKUP($C154,EmpAll,COLUMN(Emp!$R$4)+MATCH(N$5,DedListItem,0)-1,0),OFFSET(Setup!$E$73,MATCH(N$5,DedListItem,0),0,1,1)),(MIN(IF(OFFSET(Setup!$G$73,MATCH(N$5,DedListItem,0),0,1,1)="Taxable",SUMPRODUCT((PayEmp=$C154)*(PayDate&lt;=$AC154)*(ISERROR(SEARCH(PayEarnCode,N$4)))*(PayEarnTax)*(PayEarnValues)),SUMPRODUCT((PayEmp=$C154)*(PayDate&lt;=$AC154)*(ISERROR(SEARCH(PayEarnCode,N$4)))*(PayEarnValues))),IF(ISNUMBER(N$3),N$3/12*$AA154,IgnoreMin)))*IF(COUNTIFS(EmpNo,$C154,OFFSET(Emp!$R$4,1,MATCH(N$5,DedListItem,0)-1,EmpCount,1),"&lt;&gt;")&gt;0,VLOOKUP($C154,EmpAll,COLUMN(Emp!$R$4)+MATCH(N$5,DedListItem,0)-1,0),OFFSET(Setup!$E$73,MATCH(N$5,DedListItem,0),0,1,1)))-SUMIFS(OFFSET(N$6,1,0,PayCount,1),PayDate,"&lt;"&amp;$AC154,PayEmp,$C154))))))</f>
        <v>100</v>
      </c>
      <c r="O154" s="133" cm="1">
        <f t="array" aca="1" ref="O154" ca="1">IF($F154="Terminated",0,IF($AA154=0,0,IF(ISNA(MATCH(O$5,DedListItem,0)),0,IF(COUNTIFS(OverEmp,$C154,OverDeduct,O$5,OverDate,"&lt;"&amp;DATE(YEAR($AC154),MONTH($AC154)+1,1),OverEnd,"&gt;="&amp;DATE(YEAR($AC154),MONTH($AC154),1))&gt;0,SUMIFS(OverValue,OverEmp,$C154,OverDeduct,O$5,OverDate,"&lt;"&amp;DATE(YEAR($AC154),MONTH($AC154)+1,1),OverEnd,"&gt;="&amp;DATE(YEAR($AC154),MONTH($AC154),1)),IF(OR(O$2="Fixed",O$2="Not Used"),(IF(COUNTIFS(EmpNo,$C154,OFFSET(Emp!$R$4,1,MATCH(O$5,DedListItem,0)-1,EmpCount,1),"&lt;&gt;")&gt;0,VLOOKUP($C154,EmpAll,COLUMN(Emp!$R$4)+MATCH(O$5,DedListItem,0)-1,0),OFFSET(Setup!$E$73,MATCH(O$5,DedListItem,0),0,1,1))*$AA154)-SUMIFS(OFFSET(O$6,1,0,PayCount,1),PayDate,"&lt;"&amp;$AC154,PayEmp,$C154),IF(ISNA(MATCH(O$2,EarnListItem,0))=FALSE,IF(OFFSET(Setup!$G$73,MATCH(O$5,DedListItem,0),0,1,1)="Taxable",SUMPRODUCT((PayEmp=$C154)*(PayDate&lt;=$AC154)*(PayEarnCode=O$2)*(PayEarnTax)*(PayEarnValues)),SUMPRODUCT((PayEmp=$C154)*(PayDate&lt;=$AC154)*(PayEarnCode=O$2)*(PayEarnValues)))*IF(COUNTIFS(EmpNo,$C154,OFFSET(Emp!$R$4,1,MATCH(O$5,DedListItem,0)-1,EmpCount,1),"&lt;&gt;")&gt;0,VLOOKUP($C154,EmpAll,COLUMN(Emp!$R$4)+MATCH(O$5,DedListItem,0)-1,0),OFFSET(Setup!$E$73,MATCH(O$5,DedListItem,0),0,1,1)),(MIN(IF(OFFSET(Setup!$G$73,MATCH(O$5,DedListItem,0),0,1,1)="Taxable",SUMPRODUCT((PayEmp=$C154)*(PayDate&lt;=$AC154)*(ISERROR(SEARCH(PayEarnCode,O$4)))*(PayEarnTax)*(PayEarnValues)),SUMPRODUCT((PayEmp=$C154)*(PayDate&lt;=$AC154)*(ISERROR(SEARCH(PayEarnCode,O$4)))*(PayEarnValues))),IF(ISNUMBER(O$3),O$3/12*$AA154,IgnoreMin)))*IF(COUNTIFS(EmpNo,$C154,OFFSET(Emp!$R$4,1,MATCH(O$5,DedListItem,0)-1,EmpCount,1),"&lt;&gt;")&gt;0,VLOOKUP($C154,EmpAll,COLUMN(Emp!$R$4)+MATCH(O$5,DedListItem,0)-1,0),OFFSET(Setup!$E$73,MATCH(O$5,DedListItem,0),0,1,1)))-SUMIFS(OFFSET(O$6,1,0,PayCount,1),PayDate,"&lt;"&amp;$AC154,PayEmp,$C154))))))</f>
        <v>0</v>
      </c>
      <c r="P154" s="133" cm="1">
        <f t="array" aca="1" ref="P154" ca="1">IF($F154="Terminated",0,IF($AA154=0,0,IF(ISNA(MATCH(P$5,DedListItem,0)),0,IF(COUNTIFS(OverEmp,$C154,OverDeduct,P$5,OverDate,"&lt;"&amp;DATE(YEAR($AC154),MONTH($AC154)+1,1),OverEnd,"&gt;="&amp;DATE(YEAR($AC154),MONTH($AC154),1))&gt;0,SUMIFS(OverValue,OverEmp,$C154,OverDeduct,P$5,OverDate,"&lt;"&amp;DATE(YEAR($AC154),MONTH($AC154)+1,1),OverEnd,"&gt;="&amp;DATE(YEAR($AC154),MONTH($AC154),1)),IF(OR(P$2="Fixed",P$2="Not Used"),(IF(COUNTIFS(EmpNo,$C154,OFFSET(Emp!$R$4,1,MATCH(P$5,DedListItem,0)-1,EmpCount,1),"&lt;&gt;")&gt;0,VLOOKUP($C154,EmpAll,COLUMN(Emp!$R$4)+MATCH(P$5,DedListItem,0)-1,0),OFFSET(Setup!$E$73,MATCH(P$5,DedListItem,0),0,1,1))*$AA154)-SUMIFS(OFFSET(P$6,1,0,PayCount,1),PayDate,"&lt;"&amp;$AC154,PayEmp,$C154),IF(ISNA(MATCH(P$2,EarnListItem,0))=FALSE,IF(OFFSET(Setup!$G$73,MATCH(P$5,DedListItem,0),0,1,1)="Taxable",SUMPRODUCT((PayEmp=$C154)*(PayDate&lt;=$AC154)*(PayEarnCode=P$2)*(PayEarnTax)*(PayEarnValues)),SUMPRODUCT((PayEmp=$C154)*(PayDate&lt;=$AC154)*(PayEarnCode=P$2)*(PayEarnValues)))*IF(COUNTIFS(EmpNo,$C154,OFFSET(Emp!$R$4,1,MATCH(P$5,DedListItem,0)-1,EmpCount,1),"&lt;&gt;")&gt;0,VLOOKUP($C154,EmpAll,COLUMN(Emp!$R$4)+MATCH(P$5,DedListItem,0)-1,0),OFFSET(Setup!$E$73,MATCH(P$5,DedListItem,0),0,1,1)),(MIN(IF(OFFSET(Setup!$G$73,MATCH(P$5,DedListItem,0),0,1,1)="Taxable",SUMPRODUCT((PayEmp=$C154)*(PayDate&lt;=$AC154)*(ISERROR(SEARCH(PayEarnCode,P$4)))*(PayEarnTax)*(PayEarnValues)),SUMPRODUCT((PayEmp=$C154)*(PayDate&lt;=$AC154)*(ISERROR(SEARCH(PayEarnCode,P$4)))*(PayEarnValues))),IF(ISNUMBER(P$3),P$3/12*$AA154,IgnoreMin)))*IF(COUNTIFS(EmpNo,$C154,OFFSET(Emp!$R$4,1,MATCH(P$5,DedListItem,0)-1,EmpCount,1),"&lt;&gt;")&gt;0,VLOOKUP($C154,EmpAll,COLUMN(Emp!$R$4)+MATCH(P$5,DedListItem,0)-1,0),OFFSET(Setup!$E$73,MATCH(P$5,DedListItem,0),0,1,1)))-SUMIFS(OFFSET(P$6,1,0,PayCount,1),PayDate,"&lt;"&amp;$AC154,PayEmp,$C154))))))</f>
        <v>0</v>
      </c>
      <c r="Q154" s="133" cm="1">
        <f t="array" aca="1" ref="Q154" ca="1">IF($F154="Terminated",0,IF($AA154=0,0,IF(ISNA(MATCH(Q$5,DedListItem,0)),0,IF(COUNTIFS(OverEmp,$C154,OverDeduct,Q$5,OverDate,"&lt;"&amp;DATE(YEAR($AC154),MONTH($AC154)+1,1),OverEnd,"&gt;="&amp;DATE(YEAR($AC154),MONTH($AC154),1))&gt;0,SUMIFS(OverValue,OverEmp,$C154,OverDeduct,Q$5,OverDate,"&lt;"&amp;DATE(YEAR($AC154),MONTH($AC154)+1,1),OverEnd,"&gt;="&amp;DATE(YEAR($AC154),MONTH($AC154),1)),IF(OR(Q$2="Fixed",Q$2="Not Used"),(IF(COUNTIFS(EmpNo,$C154,OFFSET(Emp!$R$4,1,MATCH(Q$5,DedListItem,0)-1,EmpCount,1),"&lt;&gt;")&gt;0,VLOOKUP($C154,EmpAll,COLUMN(Emp!$R$4)+MATCH(Q$5,DedListItem,0)-1,0),OFFSET(Setup!$E$73,MATCH(Q$5,DedListItem,0),0,1,1))*$AA154)-SUMIFS(OFFSET(Q$6,1,0,PayCount,1),PayDate,"&lt;"&amp;$AC154,PayEmp,$C154),IF(ISNA(MATCH(Q$2,EarnListItem,0))=FALSE,IF(OFFSET(Setup!$G$73,MATCH(Q$5,DedListItem,0),0,1,1)="Taxable",SUMPRODUCT((PayEmp=$C154)*(PayDate&lt;=$AC154)*(PayEarnCode=Q$2)*(PayEarnTax)*(PayEarnValues)),SUMPRODUCT((PayEmp=$C154)*(PayDate&lt;=$AC154)*(PayEarnCode=Q$2)*(PayEarnValues)))*IF(COUNTIFS(EmpNo,$C154,OFFSET(Emp!$R$4,1,MATCH(Q$5,DedListItem,0)-1,EmpCount,1),"&lt;&gt;")&gt;0,VLOOKUP($C154,EmpAll,COLUMN(Emp!$R$4)+MATCH(Q$5,DedListItem,0)-1,0),OFFSET(Setup!$E$73,MATCH(Q$5,DedListItem,0),0,1,1)),(MIN(IF(OFFSET(Setup!$G$73,MATCH(Q$5,DedListItem,0),0,1,1)="Taxable",SUMPRODUCT((PayEmp=$C154)*(PayDate&lt;=$AC154)*(ISERROR(SEARCH(PayEarnCode,Q$4)))*(PayEarnTax)*(PayEarnValues)),SUMPRODUCT((PayEmp=$C154)*(PayDate&lt;=$AC154)*(ISERROR(SEARCH(PayEarnCode,Q$4)))*(PayEarnValues))),IF(ISNUMBER(Q$3),Q$3/12*$AA154,IgnoreMin)))*IF(COUNTIFS(EmpNo,$C154,OFFSET(Emp!$R$4,1,MATCH(Q$5,DedListItem,0)-1,EmpCount,1),"&lt;&gt;")&gt;0,VLOOKUP($C154,EmpAll,COLUMN(Emp!$R$4)+MATCH(Q$5,DedListItem,0)-1,0),OFFSET(Setup!$E$73,MATCH(Q$5,DedListItem,0),0,1,1)))-SUMIFS(OFFSET(Q$6,1,0,PayCount,1),PayDate,"&lt;"&amp;$AC154,PayEmp,$C154))))))</f>
        <v>0</v>
      </c>
      <c r="R154" s="185">
        <f t="shared" ca="1" si="67"/>
        <v>100</v>
      </c>
      <c r="S154" s="139">
        <f t="shared" ca="1" si="68"/>
        <v>9900</v>
      </c>
      <c r="T154" s="133" cm="1">
        <f t="array" aca="1" ref="T154" ca="1">IF($F154="Terminated",0,IF($AA154=0,0,IF(ISNA(MATCH(T$5,CompListItem,0)),0,IF(COUNTIFS(OverEmp,$C154,OverComp,T$5,OverDate,"&lt;"&amp;DATE(YEAR($AC154),MONTH($AC154)+1,1),OverEnd,"&gt;="&amp;DATE(YEAR($AC154),MONTH($AC154),1))&gt;0,SUMIFS(OverValue,OverEmp,$C154,OverComp,T$5,OverDate,"&lt;"&amp;DATE(YEAR($AC154),MONTH($AC154)+1,1),OverEnd,"&gt;="&amp;DATE(YEAR($AC154),MONTH($AC154),1)),IF(OR(T$2="Fixed",T$2="Not Used"),(OFFSET(Setup!$E$81,MATCH(T$5,CompListItem,0),0,1,1)*$AA154)-SUMIFS(OFFSET(T$6,1,0,PayCount,1),PayDate,"&lt;"&amp;$AC154,PayEmp,$C154),IF(ISNA(MATCH(T$2,DedListItem,0))=FALSE,(SUMPRODUCT((PayEmp=$C154)*(PayDate&lt;=$AC154)*(PayDedList=T$2)*(PayDedValues))*OFFSET(Setup!$E$81,MATCH(T$5,CompListItem,0),0,1,1))-SUMIFS(OFFSET(T$6,1,0,PayCount,1),PayDate,"&lt;"&amp;$AC154,PayEmp,$C154),(MIN(IF(OFFSET(Setup!$G$81,MATCH(T$5,CompListItem,0),0,1,1)="Taxable",SUMPRODUCT((PayEmp=$C154)*(PayDate&lt;=$AC154)*(ISERROR(SEARCH(PayEarnCode,T$4)))*(PayEarnTax)*(PayEarnValues)),SUMPRODUCT((PayEmp=$C154)*(PayDate&lt;=$AC154)*(ISERROR(SEARCH(PayEarnCode,T$4)))*(PayEarnValues))),IF(ISNUMBER(T$3),T$3/12*$AA154,IgnoreMin)))*OFFSET(Setup!$E$81,MATCH(T$5,CompListItem,0),0,1,1)-SUMIFS(OFFSET(T$6,1,0,PayCount,1),PayDate,"&lt;"&amp;$AC154,PayEmp,$C154)))))))</f>
        <v>100</v>
      </c>
      <c r="U154" s="133" cm="1">
        <f t="array" aca="1" ref="U154" ca="1">IF($F154="Terminated",0,IF($AA154=0,0,IF(ISNA(MATCH(U$5,CompListItem,0)),0,IF(COUNTIFS(OverEmp,$C154,OverComp,U$5,OverDate,"&lt;"&amp;DATE(YEAR($AC154),MONTH($AC154)+1,1),OverEnd,"&gt;="&amp;DATE(YEAR($AC154),MONTH($AC154),1))&gt;0,SUMIFS(OverValue,OverEmp,$C154,OverComp,U$5,OverDate,"&lt;"&amp;DATE(YEAR($AC154),MONTH($AC154)+1,1),OverEnd,"&gt;="&amp;DATE(YEAR($AC154),MONTH($AC154),1)),IF(OR(U$2="Fixed",U$2="Not Used"),(OFFSET(Setup!$E$81,MATCH(U$5,CompListItem,0),0,1,1)*$AA154)-SUMIFS(OFFSET(U$6,1,0,PayCount,1),PayDate,"&lt;"&amp;$AC154,PayEmp,$C154),IF(ISNA(MATCH(U$2,DedListItem,0))=FALSE,(SUMPRODUCT((PayEmp=$C154)*(PayDate&lt;=$AC154)*(PayDedList=U$2)*(PayDedValues))*OFFSET(Setup!$E$81,MATCH(U$5,CompListItem,0),0,1,1))-SUMIFS(OFFSET(U$6,1,0,PayCount,1),PayDate,"&lt;"&amp;$AC154,PayEmp,$C154),(MIN(IF(OFFSET(Setup!$G$81,MATCH(U$5,CompListItem,0),0,1,1)="Taxable",SUMPRODUCT((PayEmp=$C154)*(PayDate&lt;=$AC154)*(ISERROR(SEARCH(PayEarnCode,U$4)))*(PayEarnTax)*(PayEarnValues)),SUMPRODUCT((PayEmp=$C154)*(PayDate&lt;=$AC154)*(ISERROR(SEARCH(PayEarnCode,U$4)))*(PayEarnValues))),IF(ISNUMBER(U$3),U$3/12*$AA154,IgnoreMin)))*OFFSET(Setup!$E$81,MATCH(U$5,CompListItem,0),0,1,1)-SUMIFS(OFFSET(U$6,1,0,PayCount,1),PayDate,"&lt;"&amp;$AC154,PayEmp,$C154)))))))</f>
        <v>100</v>
      </c>
      <c r="V154" s="133" cm="1">
        <f t="array" aca="1" ref="V154" ca="1">IF($F154="Terminated",0,IF($AA154=0,0,IF(ISNA(MATCH(V$5,CompListItem,0)),0,IF(COUNTIFS(OverEmp,$C154,OverComp,V$5,OverDate,"&lt;"&amp;DATE(YEAR($AC154),MONTH($AC154)+1,1),OverEnd,"&gt;="&amp;DATE(YEAR($AC154),MONTH($AC154),1))&gt;0,SUMIFS(OverValue,OverEmp,$C154,OverComp,V$5,OverDate,"&lt;"&amp;DATE(YEAR($AC154),MONTH($AC154)+1,1),OverEnd,"&gt;="&amp;DATE(YEAR($AC154),MONTH($AC154),1)),IF(OR(V$2="Fixed",V$2="Not Used"),(OFFSET(Setup!$E$81,MATCH(V$5,CompListItem,0),0,1,1)*$AA154)-SUMIFS(OFFSET(V$6,1,0,PayCount,1),PayDate,"&lt;"&amp;$AC154,PayEmp,$C154),IF(ISNA(MATCH(V$2,DedListItem,0))=FALSE,(SUMPRODUCT((PayEmp=$C154)*(PayDate&lt;=$AC154)*(PayDedList=V$2)*(PayDedValues))*OFFSET(Setup!$E$81,MATCH(V$5,CompListItem,0),0,1,1))-SUMIFS(OFFSET(V$6,1,0,PayCount,1),PayDate,"&lt;"&amp;$AC154,PayEmp,$C154),(MIN(IF(OFFSET(Setup!$G$81,MATCH(V$5,CompListItem,0),0,1,1)="Taxable",SUMPRODUCT((PayEmp=$C154)*(PayDate&lt;=$AC154)*(ISERROR(SEARCH(PayEarnCode,V$4)))*(PayEarnTax)*(PayEarnValues)),SUMPRODUCT((PayEmp=$C154)*(PayDate&lt;=$AC154)*(ISERROR(SEARCH(PayEarnCode,V$4)))*(PayEarnValues))),IF(ISNUMBER(V$3),V$3/12*$AA154,IgnoreMin)))*OFFSET(Setup!$E$81,MATCH(V$5,CompListItem,0),0,1,1)-SUMIFS(OFFSET(V$6,1,0,PayCount,1),PayDate,"&lt;"&amp;$AC154,PayEmp,$C154)))))))</f>
        <v>0</v>
      </c>
      <c r="W154" s="133" cm="1">
        <f t="array" aca="1" ref="W154" ca="1">IF($F154="Terminated",0,IF($AA154=0,0,IF(ISNA(MATCH(W$5,CompListItem,0)),0,IF(COUNTIFS(OverEmp,$C154,OverComp,W$5,OverDate,"&lt;"&amp;DATE(YEAR($AC154),MONTH($AC154)+1,1),OverEnd,"&gt;="&amp;DATE(YEAR($AC154),MONTH($AC154),1))&gt;0,SUMIFS(OverValue,OverEmp,$C154,OverComp,W$5,OverDate,"&lt;"&amp;DATE(YEAR($AC154),MONTH($AC154)+1,1),OverEnd,"&gt;="&amp;DATE(YEAR($AC154),MONTH($AC154),1)),IF(OR(W$2="Fixed",W$2="Not Used"),(OFFSET(Setup!$E$81,MATCH(W$5,CompListItem,0),0,1,1)*$AA154)-SUMIFS(OFFSET(W$6,1,0,PayCount,1),PayDate,"&lt;"&amp;$AC154,PayEmp,$C154),IF(ISNA(MATCH(W$2,DedListItem,0))=FALSE,(SUMPRODUCT((PayEmp=$C154)*(PayDate&lt;=$AC154)*(PayDedList=W$2)*(PayDedValues))*OFFSET(Setup!$E$81,MATCH(W$5,CompListItem,0),0,1,1))-SUMIFS(OFFSET(W$6,1,0,PayCount,1),PayDate,"&lt;"&amp;$AC154,PayEmp,$C154),(MIN(IF(OFFSET(Setup!$G$81,MATCH(W$5,CompListItem,0),0,1,1)="Taxable",SUMPRODUCT((PayEmp=$C154)*(PayDate&lt;=$AC154)*(ISERROR(SEARCH(PayEarnCode,W$4)))*(PayEarnTax)*(PayEarnValues)),SUMPRODUCT((PayEmp=$C154)*(PayDate&lt;=$AC154)*(ISERROR(SEARCH(PayEarnCode,W$4)))*(PayEarnValues))),IF(ISNUMBER(W$3),W$3/12*$AA154,IgnoreMin)))*OFFSET(Setup!$E$81,MATCH(W$5,CompListItem,0),0,1,1)-SUMIFS(OFFSET(W$6,1,0,PayCount,1),PayDate,"&lt;"&amp;$AC154,PayEmp,$C154)))))))</f>
        <v>0</v>
      </c>
      <c r="X154" s="185">
        <f t="shared" ca="1" si="60"/>
        <v>200</v>
      </c>
      <c r="Y154" s="139">
        <f t="shared" ca="1" si="69"/>
        <v>10200</v>
      </c>
      <c r="Z154" s="139">
        <f t="shared" ca="1" si="61"/>
        <v>300</v>
      </c>
      <c r="AA154" s="146">
        <f ca="1">IF(OR($B154&lt;=Setup!$E$12,$B154&gt;=Setup!$D$12+1),0,IF($F154&lt;&gt;"Active",0,IF($AE154="Yes",$AB154,((YEAR($AC154)*12)+MONTH($AC154))-((YEAR($AD154)*12)+MONTH($AD154)-1))))</f>
        <v>10</v>
      </c>
      <c r="AB154" s="146">
        <f ca="1">IF(OR($B154&lt;=Setup!$E$12,$B154&gt;=Setup!$D$12+1),0,((YEAR($AC154)*12)+MONTH($AC154))-((YEAR(Setup!$E$12)*12)+MONTH(Setup!$E$12)))</f>
        <v>10</v>
      </c>
      <c r="AC154" s="186">
        <f t="shared" ca="1" si="62"/>
        <v>45285</v>
      </c>
      <c r="AD154" s="144">
        <f ca="1">IF(ISNA(VLOOKUP($C154,EmpAll,COLUMN(Emp!$E$4),0)),$AC154,IF(VLOOKUP($C154,EmpAll,COLUMN(Emp!$E$4),0)&lt;=Setup!$E$12,DATE(YEAR(Setup!$E$12),MONTH(Setup!$E$12)+1,1),VLOOKUP($C154,EmpAll,COLUMN(Emp!$E$4),0)))</f>
        <v>44986</v>
      </c>
      <c r="AE154" s="144" t="str">
        <f ca="1">IF(ISNA(VLOOKUP($C154,EmpAll,COLUMN(Emp!$G$1),0)),"-",IF(VLOOKUP($C154,EmpAll,COLUMN(Emp!$G$1),0)=0,"-",VLOOKUP($C154,EmpAll,COLUMN(Emp!$G$1),0)))</f>
        <v>-</v>
      </c>
      <c r="AF154" s="145">
        <f ca="1">IF(A154=PaySlip!$G$3,1,0)</f>
        <v>0</v>
      </c>
      <c r="AG154" s="130" cm="1">
        <f t="array" aca="1" ref="AG154" ca="1">IF(COUNTIFS(OverEmp,$C154,OverMed,"MED",OverDate,"&lt;"&amp;DATE(YEAR($AC154),MONTH($AC154)+1,1),OverEnd,"&gt;="&amp;DATE(YEAR($AC154),MONTH($AC154),1))&gt;0,SUMIFS(OverValue,OverEmp,$C154,OverMed,"MED",OverDate,"&lt;"&amp;DATE(YEAR($AC154),MONTH($AC154)+1,1),OverEnd,"&gt;="&amp;DATE(YEAR($AC154),MONTH($AC154),1)),IF(ISNA(VLOOKUP($C154,EmpAll,COLUMN(Emp!$N$4),0)),0,VLOOKUP($C154,EmpAll,COLUMN(Emp!$N$4),0)))</f>
        <v>0</v>
      </c>
      <c r="AH154" s="146">
        <f ca="1">VLOOKUP($AG154,MedList,COLUMN(Setup!$C$49),1)</f>
        <v>0</v>
      </c>
      <c r="AI154" s="146">
        <f t="shared" ca="1" si="70"/>
        <v>0</v>
      </c>
      <c r="AJ154" s="101" t="str">
        <f ca="1">IF(ISNA(VLOOKUP($C154,EmpAll,COLUMN(Emp!$L$4),0)),"None!",VLOOKUP($C154,EmpAll,COLUMN(Emp!$L$4),0))</f>
        <v>A</v>
      </c>
      <c r="AK154" s="147">
        <f t="shared" ca="1" si="63"/>
        <v>17235</v>
      </c>
      <c r="AL154" s="101" t="str">
        <f ca="1">IF(ISNA(VLOOKUP($C154,Employees[],COLUMN(Emp!$M$4),0))=TRUE,"Error!",IF(VLOOKUP($C154,Employees[],COLUMN(Emp!$M$4),0)=0,"Yes",VLOOKUP($C154,Employees[],COLUMN(Emp!$M$4),0)))</f>
        <v>A</v>
      </c>
      <c r="AM154" s="148">
        <f t="shared" ca="1" si="71"/>
        <v>65000</v>
      </c>
      <c r="AN154" s="148" cm="1">
        <f t="array" aca="1" ref="AN154" ca="1">-IF($F154="Terminated",0,IF($AA154=0,0,IF(ISNA(MATCH(AN$5,PayDedList,0)),0,MIN(IF(COUNTIFS(OverEmp,$C154,OverDeduct,AN$5,OverDate,"&lt;"&amp;DATE(YEAR($AC154),MONTH($AC154)+1,1),OverEnd,"&gt;="&amp;DATE(YEAR($AC154),MONTH($AC154),1))&gt;0,SUMPRODUCT((PayEmp=$C154)*(PayDate&lt;=$AC154)*(OFFSET($N$6,1,MATCH(AN$5,PayDedList,0)-1,PayCount,1)))/$AA154*12*AN$3,IF(OR(AN$1="Fixed",AN$1="Not Used"),SUMPRODUCT((PayEmp=$C154)*(PayDate&lt;=$AC154)*(OFFSET($N$6,1,MATCH(AN$5,PayDedList,0)-1,PayCount,1)))/$AA154*12*AN$3,IF(ISNA(MATCH(AN$1,EarnListItem,0))=FALSE,SUMPRODUCT((PayEmp=$C154)*(PayDate&lt;=$AC154)*(OFFSET($N$6,1,MATCH(AN$5,PayDedList,0)-1,PayCount,1)))/$AA154*12*AN$3,(MIN(((SUMPRODUCT((PayEmp=$C154)*(PayDate&lt;=$AC154)*(ISERROR(SEARCH(PayEarnCode,AN$2)))*(PayEarnType="Monthly")*(PayEarnValues))/$AA154*12)+(SUMPRODUCT((PayEmp=$C154)*(PayDate&lt;=$AC154)*(ISERROR(SEARCH(PayEarnCode,AN$2)))*(PayEarnType="Quarterly")*(PayEarnValues))/MAX(1,ROUNDDOWN($AB154/3,0))*4)+(SUMPRODUCT((PayEmp=$C154)*(PayDate&lt;=$AC154)*(ISERROR(SEARCH(PayEarnCode,AN$2)))*(PayEarnType="Bi-Annual")*(PayEarnValues))/MAX(1,ROUNDDOWN($AB154/6,0))*2)+(SUMPRODUCT((PayEmp=$C154)*(PayDate&lt;=$AC154)*(ISERROR(SEARCH(PayEarnCode,AN$2)))*(PayEarnType="Annual")*(PayEarnValues)))),IF(ISNUMBER(OFFSET($N$3,0,MATCH(AN$5,PayDedList,0)-1,1,1)),OFFSET($N$3,0,MATCH(AN$5,PayDedList,0)-1,1,1),IgnoreMin)))*IF(COUNTIFS(EmpNo,$C154,OFFSET(Emp!$R$4,1,MATCH(AN$5,DedListItem,0)-1,EmpCount,1),"&lt;&gt;")&gt;0,VLOOKUP($C154,EmpAll,COLUMN(Emp!$R$4)+MATCH(AN$5,DedListItem,0)-1,0),OFFSET(Setup!$E$73,MATCH(AN$5,DedListItem,0),0,1,1))*AN$3))),IF(ISNUMBER(AN$4),AN$4,IgnoreMin)))))</f>
        <v>0</v>
      </c>
      <c r="AO154" s="148" cm="1">
        <f t="array" aca="1" ref="AO154" ca="1">-IF($F154="Terminated",0,IF($AA154=0,0,IF(ISNA(MATCH(AO$5,PayDedList,0)),0,MIN(IF(COUNTIFS(OverEmp,$C154,OverDeduct,AO$5,OverDate,"&lt;"&amp;DATE(YEAR($AC154),MONTH($AC154)+1,1),OverEnd,"&gt;="&amp;DATE(YEAR($AC154),MONTH($AC154),1))&gt;0,SUMPRODUCT((PayEmp=$C154)*(PayDate&lt;=$AC154)*(OFFSET($N$6,1,MATCH(AO$5,PayDedList,0)-1,PayCount,1)))/$AA154*12*AO$3,IF(OR(AO$1="Fixed",AO$1="Not Used"),SUMPRODUCT((PayEmp=$C154)*(PayDate&lt;=$AC154)*(OFFSET($N$6,1,MATCH(AO$5,PayDedList,0)-1,PayCount,1)))/$AA154*12*AO$3,IF(ISNA(MATCH(AO$1,EarnListItem,0))=FALSE,SUMPRODUCT((PayEmp=$C154)*(PayDate&lt;=$AC154)*(OFFSET($N$6,1,MATCH(AO$5,PayDedList,0)-1,PayCount,1)))/$AA154*12*AO$3,(MIN(((SUMPRODUCT((PayEmp=$C154)*(PayDate&lt;=$AC154)*(ISERROR(SEARCH(PayEarnCode,AO$2)))*(PayEarnType="Monthly")*(PayEarnValues))/$AA154*12)+(SUMPRODUCT((PayEmp=$C154)*(PayDate&lt;=$AC154)*(ISERROR(SEARCH(PayEarnCode,AO$2)))*(PayEarnType="Quarterly")*(PayEarnValues))/MAX(1,ROUNDDOWN($AB154/3,0))*4)+(SUMPRODUCT((PayEmp=$C154)*(PayDate&lt;=$AC154)*(ISERROR(SEARCH(PayEarnCode,AO$2)))*(PayEarnType="Bi-Annual")*(PayEarnValues))/MAX(1,ROUNDDOWN($AB154/6,0))*2)+(SUMPRODUCT((PayEmp=$C154)*(PayDate&lt;=$AC154)*(ISERROR(SEARCH(PayEarnCode,AO$2)))*(PayEarnType="Annual")*(PayEarnValues)))),IF(ISNUMBER(OFFSET($N$3,0,MATCH(AO$5,PayDedList,0)-1,1,1)),OFFSET($N$3,0,MATCH(AO$5,PayDedList,0)-1,1,1),IgnoreMin)))*IF(COUNTIFS(EmpNo,$C154,OFFSET(Emp!$R$4,1,MATCH(AO$5,DedListItem,0)-1,EmpCount,1),"&lt;&gt;")&gt;0,VLOOKUP($C154,EmpAll,COLUMN(Emp!$R$4)+MATCH(AO$5,DedListItem,0)-1,0),OFFSET(Setup!$E$73,MATCH(AO$5,DedListItem,0),0,1,1))*AO$3))),IF(ISNUMBER(AO$4),AO$4,IgnoreMin)))))</f>
        <v>0</v>
      </c>
      <c r="AP154" s="148" cm="1">
        <f t="array" aca="1" ref="AP154" ca="1">-IF($F154="Terminated",0,IF($AA154=0,0,IF(ISNA(MATCH(AP$5,PayDedList,0)),0,MIN(IF(COUNTIFS(OverEmp,$C154,OverDeduct,AP$5,OverDate,"&lt;"&amp;DATE(YEAR($AC154),MONTH($AC154)+1,1),OverEnd,"&gt;="&amp;DATE(YEAR($AC154),MONTH($AC154),1))&gt;0,SUMPRODUCT((PayEmp=$C154)*(PayDate&lt;=$AC154)*(OFFSET($N$6,1,MATCH(AP$5,PayDedList,0)-1,PayCount,1)))/$AA154*12*AP$3,IF(OR(AP$1="Fixed",AP$1="Not Used"),SUMPRODUCT((PayEmp=$C154)*(PayDate&lt;=$AC154)*(OFFSET($N$6,1,MATCH(AP$5,PayDedList,0)-1,PayCount,1)))/$AA154*12*AP$3,IF(ISNA(MATCH(AP$1,EarnListItem,0))=FALSE,SUMPRODUCT((PayEmp=$C154)*(PayDate&lt;=$AC154)*(OFFSET($N$6,1,MATCH(AP$5,PayDedList,0)-1,PayCount,1)))/$AA154*12*AP$3,(MIN(((SUMPRODUCT((PayEmp=$C154)*(PayDate&lt;=$AC154)*(ISERROR(SEARCH(PayEarnCode,AP$2)))*(PayEarnType="Monthly")*(PayEarnValues))/$AA154*12)+(SUMPRODUCT((PayEmp=$C154)*(PayDate&lt;=$AC154)*(ISERROR(SEARCH(PayEarnCode,AP$2)))*(PayEarnType="Quarterly")*(PayEarnValues))/MAX(1,ROUNDDOWN($AB154/3,0))*4)+(SUMPRODUCT((PayEmp=$C154)*(PayDate&lt;=$AC154)*(ISERROR(SEARCH(PayEarnCode,AP$2)))*(PayEarnType="Bi-Annual")*(PayEarnValues))/MAX(1,ROUNDDOWN($AB154/6,0))*2)+(SUMPRODUCT((PayEmp=$C154)*(PayDate&lt;=$AC154)*(ISERROR(SEARCH(PayEarnCode,AP$2)))*(PayEarnType="Annual")*(PayEarnValues)))),IF(ISNUMBER(OFFSET($N$3,0,MATCH(AP$5,PayDedList,0)-1,1,1)),OFFSET($N$3,0,MATCH(AP$5,PayDedList,0)-1,1,1),IgnoreMin)))*IF(COUNTIFS(EmpNo,$C154,OFFSET(Emp!$R$4,1,MATCH(AP$5,DedListItem,0)-1,EmpCount,1),"&lt;&gt;")&gt;0,VLOOKUP($C154,EmpAll,COLUMN(Emp!$R$4)+MATCH(AP$5,DedListItem,0)-1,0),OFFSET(Setup!$E$73,MATCH(AP$5,DedListItem,0),0,1,1))*AP$3))),IF(ISNUMBER(AP$4),AP$4,IgnoreMin)))))</f>
        <v>0</v>
      </c>
      <c r="AQ154" s="148" cm="1">
        <f t="array" aca="1" ref="AQ154" ca="1">-IF($F154="Terminated",0,IF($AA154=0,0,IF(ISNA(MATCH(AQ$5,PayDedList,0)),0,MIN(IF(COUNTIFS(OverEmp,$C154,OverDeduct,AQ$5,OverDate,"&lt;"&amp;DATE(YEAR($AC154),MONTH($AC154)+1,1),OverEnd,"&gt;="&amp;DATE(YEAR($AC154),MONTH($AC154),1))&gt;0,SUMPRODUCT((PayEmp=$C154)*(PayDate&lt;=$AC154)*(OFFSET($N$6,1,MATCH(AQ$5,PayDedList,0)-1,PayCount,1)))/$AA154*12*AQ$3,IF(OR(AQ$1="Fixed",AQ$1="Not Used"),SUMPRODUCT((PayEmp=$C154)*(PayDate&lt;=$AC154)*(OFFSET($N$6,1,MATCH(AQ$5,PayDedList,0)-1,PayCount,1)))/$AA154*12*AQ$3,IF(ISNA(MATCH(AQ$1,EarnListItem,0))=FALSE,SUMPRODUCT((PayEmp=$C154)*(PayDate&lt;=$AC154)*(OFFSET($N$6,1,MATCH(AQ$5,PayDedList,0)-1,PayCount,1)))/$AA154*12*AQ$3,(MIN(((SUMPRODUCT((PayEmp=$C154)*(PayDate&lt;=$AC154)*(ISERROR(SEARCH(PayEarnCode,AQ$2)))*(PayEarnType="Monthly")*(PayEarnValues))/$AA154*12)+(SUMPRODUCT((PayEmp=$C154)*(PayDate&lt;=$AC154)*(ISERROR(SEARCH(PayEarnCode,AQ$2)))*(PayEarnType="Quarterly")*(PayEarnValues))/MAX(1,ROUNDDOWN($AB154/3,0))*4)+(SUMPRODUCT((PayEmp=$C154)*(PayDate&lt;=$AC154)*(ISERROR(SEARCH(PayEarnCode,AQ$2)))*(PayEarnType="Bi-Annual")*(PayEarnValues))/MAX(1,ROUNDDOWN($AB154/6,0))*2)+(SUMPRODUCT((PayEmp=$C154)*(PayDate&lt;=$AC154)*(ISERROR(SEARCH(PayEarnCode,AQ$2)))*(PayEarnType="Annual")*(PayEarnValues)))),IF(ISNUMBER(OFFSET($N$3,0,MATCH(AQ$5,PayDedList,0)-1,1,1)),OFFSET($N$3,0,MATCH(AQ$5,PayDedList,0)-1,1,1),IgnoreMin)))*IF(COUNTIFS(EmpNo,$C154,OFFSET(Emp!$R$4,1,MATCH(AQ$5,DedListItem,0)-1,EmpCount,1),"&lt;&gt;")&gt;0,VLOOKUP($C154,EmpAll,COLUMN(Emp!$R$4)+MATCH(AQ$5,DedListItem,0)-1,0),OFFSET(Setup!$E$73,MATCH(AQ$5,DedListItem,0),0,1,1))*AQ$3))),IF(ISNUMBER(AQ$4),AQ$4,IgnoreMin)))))</f>
        <v>0</v>
      </c>
      <c r="AR154" s="148">
        <f t="shared" ca="1" si="64"/>
        <v>65000</v>
      </c>
      <c r="AS154" s="148">
        <f t="shared" ca="1" si="72"/>
        <v>60000</v>
      </c>
      <c r="AT154" s="148" cm="1">
        <f t="array" aca="1" ref="AT154" ca="1">-IF($F154="Terminated",0,IF($AA154=0,0,IF(ISNA(MATCH(AT$5,PayDedList,0)),0,MIN(IF(COUNTIFS(OverEmp,$C154,OverDeduct,AT$5,OverDate,"&lt;"&amp;DATE(YEAR($AC154),MONTH($AC154)+1,1),OverEnd,"&gt;="&amp;DATE(YEAR($AC154),MONTH($AC154),1))&gt;0,SUMPRODUCT((PayEmp=$C154)*(PayDate&lt;=$AC154)*(OFFSET($N$6,1,MATCH(AT$5,PayDedList,0)-1,PayCount,1)))/$AA154*12*AT$3,IF(OR(AT$1="Fixed",AT$1="Not Used"),SUMPRODUCT((PayEmp=$C154)*(PayDate&lt;=$AC154)*(OFFSET($N$6,1,MATCH(AT$5,PayDedList,0)-1,PayCount,1)))/$AA154*12*AT$3,IF(ISNA(MATCH(OFFSET($N$2,0,MATCH(AT$5,PayDedList,0)-1,1,1),EarnListItem,0))=FALSE,SUMPRODUCT((PayEmp=$C154)*(PayDate&lt;=$AC154)*(OFFSET($N$6,1,MATCH(AT$5,PayDedList,0)-1,PayCount,1)))/$AA154*12*AT$3,(MIN(SUMPRODUCT((PayEmp=$C154)*(PayDate&lt;=$AC154)*(ISERROR(SEARCH(PayEarnCode,AT$2)))*(PayEarnType="Monthly")*(PayEarnValues))/$AA154*12,IF(ISNUMBER(OFFSET($N$3,0,MATCH(AT$5,PayDedList,0)-1,1,1)),OFFSET($N$3,0,MATCH(AT$5,PayDedList,0)-1,1,1),IgnoreMin)))*IF(COUNTIFS(EmpNo,$C154,OFFSET(Emp!$R$4,1,MATCH(AT$5,DedListItem,0)-1,EmpCount,1),"&lt;&gt;")&gt;0,VLOOKUP($C154,EmpAll,COLUMN(Emp!$R$4)+MATCH(AT$5,DedListItem,0)-1,0),OFFSET(Setup!$E$73,MATCH(AT$5,DedListItem,0),0,1,1))*AT$3))),IF(ISNUMBER(AT$4),AT$4,IgnoreMin)))))</f>
        <v>0</v>
      </c>
      <c r="AU154" s="148" cm="1">
        <f t="array" aca="1" ref="AU154" ca="1">-IF($F154="Terminated",0,IF($AA154=0,0,IF(ISNA(MATCH(AU$5,PayDedList,0)),0,MIN(IF(COUNTIFS(OverEmp,$C154,OverDeduct,AU$5,OverDate,"&lt;"&amp;DATE(YEAR($AC154),MONTH($AC154)+1,1),OverEnd,"&gt;="&amp;DATE(YEAR($AC154),MONTH($AC154),1))&gt;0,SUMPRODUCT((PayEmp=$C154)*(PayDate&lt;=$AC154)*(OFFSET($N$6,1,MATCH(AU$5,PayDedList,0)-1,PayCount,1)))/$AA154*12*AU$3,IF(OR(AU$1="Fixed",AU$1="Not Used"),SUMPRODUCT((PayEmp=$C154)*(PayDate&lt;=$AC154)*(OFFSET($N$6,1,MATCH(AU$5,PayDedList,0)-1,PayCount,1)))/$AA154*12*AU$3,IF(ISNA(MATCH(OFFSET($N$2,0,MATCH(AU$5,PayDedList,0)-1,1,1),EarnListItem,0))=FALSE,SUMPRODUCT((PayEmp=$C154)*(PayDate&lt;=$AC154)*(OFFSET($N$6,1,MATCH(AU$5,PayDedList,0)-1,PayCount,1)))/$AA154*12*AU$3,(MIN(SUMPRODUCT((PayEmp=$C154)*(PayDate&lt;=$AC154)*(ISERROR(SEARCH(PayEarnCode,AU$2)))*(PayEarnType="Monthly")*(PayEarnValues))/$AA154*12,IF(ISNUMBER(OFFSET($N$3,0,MATCH(AU$5,PayDedList,0)-1,1,1)),OFFSET($N$3,0,MATCH(AU$5,PayDedList,0)-1,1,1),IgnoreMin)))*IF(COUNTIFS(EmpNo,$C154,OFFSET(Emp!$R$4,1,MATCH(AU$5,DedListItem,0)-1,EmpCount,1),"&lt;&gt;")&gt;0,VLOOKUP($C154,EmpAll,COLUMN(Emp!$R$4)+MATCH(AU$5,DedListItem,0)-1,0),OFFSET(Setup!$E$73,MATCH(AU$5,DedListItem,0),0,1,1))*AU$3))),IF(ISNUMBER(AU$4),AU$4,IgnoreMin)))))</f>
        <v>0</v>
      </c>
      <c r="AV154" s="148" cm="1">
        <f t="array" aca="1" ref="AV154" ca="1">-IF($F154="Terminated",0,IF($AA154=0,0,IF(ISNA(MATCH(AV$5,PayDedList,0)),0,MIN(IF(COUNTIFS(OverEmp,$C154,OverDeduct,AV$5,OverDate,"&lt;"&amp;DATE(YEAR($AC154),MONTH($AC154)+1,1),OverEnd,"&gt;="&amp;DATE(YEAR($AC154),MONTH($AC154),1))&gt;0,SUMPRODUCT((PayEmp=$C154)*(PayDate&lt;=$AC154)*(OFFSET($N$6,1,MATCH(AV$5,PayDedList,0)-1,PayCount,1)))/$AA154*12*AV$3,IF(OR(AV$1="Fixed",AV$1="Not Used"),SUMPRODUCT((PayEmp=$C154)*(PayDate&lt;=$AC154)*(OFFSET($N$6,1,MATCH(AV$5,PayDedList,0)-1,PayCount,1)))/$AA154*12*AV$3,IF(ISNA(MATCH(OFFSET($N$2,0,MATCH(AV$5,PayDedList,0)-1,1,1),EarnListItem,0))=FALSE,SUMPRODUCT((PayEmp=$C154)*(PayDate&lt;=$AC154)*(OFFSET($N$6,1,MATCH(AV$5,PayDedList,0)-1,PayCount,1)))/$AA154*12*AV$3,(MIN(SUMPRODUCT((PayEmp=$C154)*(PayDate&lt;=$AC154)*(ISERROR(SEARCH(PayEarnCode,AV$2)))*(PayEarnType="Monthly")*(PayEarnValues))/$AA154*12,IF(ISNUMBER(OFFSET($N$3,0,MATCH(AV$5,PayDedList,0)-1,1,1)),OFFSET($N$3,0,MATCH(AV$5,PayDedList,0)-1,1,1),IgnoreMin)))*IF(COUNTIFS(EmpNo,$C154,OFFSET(Emp!$R$4,1,MATCH(AV$5,DedListItem,0)-1,EmpCount,1),"&lt;&gt;")&gt;0,VLOOKUP($C154,EmpAll,COLUMN(Emp!$R$4)+MATCH(AV$5,DedListItem,0)-1,0),OFFSET(Setup!$E$73,MATCH(AV$5,DedListItem,0),0,1,1))*AV$3))),IF(ISNUMBER(AV$4),AV$4,IgnoreMin)))))</f>
        <v>0</v>
      </c>
      <c r="AW154" s="148" cm="1">
        <f t="array" aca="1" ref="AW154" ca="1">-IF($F154="Terminated",0,IF($AA154=0,0,IF(ISNA(MATCH(AW$5,PayDedList,0)),0,MIN(IF(COUNTIFS(OverEmp,$C154,OverDeduct,AW$5,OverDate,"&lt;"&amp;DATE(YEAR($AC154),MONTH($AC154)+1,1),OverEnd,"&gt;="&amp;DATE(YEAR($AC154),MONTH($AC154),1))&gt;0,SUMPRODUCT((PayEmp=$C154)*(PayDate&lt;=$AC154)*(OFFSET($N$6,1,MATCH(AW$5,PayDedList,0)-1,PayCount,1)))/$AA154*12*AW$3,IF(OR(AW$1="Fixed",AW$1="Not Used"),SUMPRODUCT((PayEmp=$C154)*(PayDate&lt;=$AC154)*(OFFSET($N$6,1,MATCH(AW$5,PayDedList,0)-1,PayCount,1)))/$AA154*12*AW$3,IF(ISNA(MATCH(OFFSET($N$2,0,MATCH(AW$5,PayDedList,0)-1,1,1),EarnListItem,0))=FALSE,SUMPRODUCT((PayEmp=$C154)*(PayDate&lt;=$AC154)*(OFFSET($N$6,1,MATCH(AW$5,PayDedList,0)-1,PayCount,1)))/$AA154*12*AW$3,(MIN(SUMPRODUCT((PayEmp=$C154)*(PayDate&lt;=$AC154)*(ISERROR(SEARCH(PayEarnCode,AW$2)))*(PayEarnType="Monthly")*(PayEarnValues))/$AA154*12,IF(ISNUMBER(OFFSET($N$3,0,MATCH(AW$5,PayDedList,0)-1,1,1)),OFFSET($N$3,0,MATCH(AW$5,PayDedList,0)-1,1,1),IgnoreMin)))*IF(COUNTIFS(EmpNo,$C154,OFFSET(Emp!$R$4,1,MATCH(AW$5,DedListItem,0)-1,EmpCount,1),"&lt;&gt;")&gt;0,VLOOKUP($C154,EmpAll,COLUMN(Emp!$R$4)+MATCH(AW$5,DedListItem,0)-1,0),OFFSET(Setup!$E$73,MATCH(AW$5,DedListItem,0),0,1,1))*AW$3))),IF(ISNUMBER(AW$4),AW$4,IgnoreMin)))))</f>
        <v>0</v>
      </c>
      <c r="AX154" s="148">
        <f t="shared" ca="1" si="73"/>
        <v>60000</v>
      </c>
      <c r="AY154" s="148">
        <f t="shared" ca="1" si="74"/>
        <v>5000</v>
      </c>
      <c r="AZ154" s="148">
        <f ca="1">IF(ISNUMBER($AL154),($AR154*$AL154)-$AI154-$AK154,MAX(0,IF($AL154="B",IF($AR154&lt;Setup!$C$32,($AR154*Setup!$D$32)-$AI154-$AK154,(($AR154-VLOOKUP($AR154,TaxAll2,1,1))*OFFSET(Setup!$D$32,MATCH($AR154,TaxBracket2,1),0,1,1))+OFFSET(Setup!$E$31,MATCH($AR154,TaxBracket2,1),0,1,1)-$AI154-$AK154),IF($AR154&lt;Setup!$C$21,($AR154*Setup!$D$21)-$AI154-$AK154,(($AR154-VLOOKUP($AR154,TaxAll1,1,1))*OFFSET(Setup!$D$21,MATCH($AR154,TaxBracket1,1),0,1,1))+OFFSET(Setup!$E$20,MATCH($AR154,TaxBracket1,1),0,1,1)-$AI154-$AK154))))</f>
        <v>0</v>
      </c>
      <c r="BA154" s="148">
        <f ca="1">IF(ISNUMBER($AL154),($AX154*$AL154)-$AI154-$AK154,MAX(0,IF($AL154="B",IF($AX154&lt;Setup!$C$32,($AX154*Setup!$D$32)-$AI154-$AK154,(($AX154-VLOOKUP($AX154,TaxAll2,1,1))*OFFSET(Setup!$D$32,MATCH($AX154,TaxBracket2,1),0,1,1))+OFFSET(Setup!$E$31,MATCH($AX154,TaxBracket2,1),0,1,1)-$AI154-$AK154),IF($AX154&lt;Setup!$C$21,($AX154*Setup!$D$21)-$AI154-$AK154,(($AX154-VLOOKUP($AX154,TaxAll1,1,1))*OFFSET(Setup!$D$21,MATCH($AX154,TaxBracket1,1),0,1,1))+OFFSET(Setup!$E$20,MATCH($AX154,TaxBracket1,1),0,1,1)-$AI154-$AK154))))</f>
        <v>0</v>
      </c>
      <c r="BB154" s="148">
        <f t="shared" ca="1" si="65"/>
        <v>0</v>
      </c>
      <c r="BC154" s="150">
        <f t="shared" ca="1" si="75"/>
        <v>0.92307692307692313</v>
      </c>
      <c r="BD154" s="150">
        <f t="shared" ca="1" si="76"/>
        <v>7.6923076923076927E-2</v>
      </c>
      <c r="BE154" s="148">
        <f t="shared" ca="1" si="77"/>
        <v>65000</v>
      </c>
    </row>
    <row r="155" spans="1:57" ht="16.149999999999999" customHeight="1" x14ac:dyDescent="0.25">
      <c r="A155" s="10" t="str" cm="1">
        <f t="array" aca="1" ref="A155" ca="1">IF(ROW($A155)-ROW($A$6)&gt;EmpCount*12,"-",TEXT($B155,"yyyy")&amp;TEXT($B155,"mm")&amp;"-"&amp;$C155)</f>
        <v>202312-EXS014</v>
      </c>
      <c r="B155" s="137" cm="1">
        <f t="array" aca="1" ref="B155" ca="1">IF(ROW($A155)-ROW($A$6)&gt;EmpCount*12,Setup!$D$12,DATE(YEAR(Setup!$F$12),MONTH(Setup!$F$12)+ROUNDDOWN((ROW($A155)-ROW($A$6)-1)/EmpCount,0),IF(Setup!$C$14&gt;DAY(DATE(YEAR(Setup!$F$12),MONTH(Setup!$F$12)+ROUNDDOWN((ROW($A155)-ROW($A$6)-1)/EmpCount,0)+1,0)),DAY(DATE(YEAR(Setup!$F$12),MONTH(Setup!$F$12)+ROUNDDOWN((ROW($A155)-ROW($A$6)-1)/EmpCount,0)+1,0)),Setup!$C$14)))</f>
        <v>45285</v>
      </c>
      <c r="C155" s="101" t="str" cm="1">
        <f t="array" aca="1" ref="C155" ca="1">IF(ROW($A155)-ROW($A$6)&gt;EmpCount*12,"-",OFFSET(Emp!$A$4,ROW($A155)-ROW($A$6)-IF(ROW($A155)-ROW($A$6)&gt;EmpCount,ROUNDDOWN((ROW($A155)-ROW($A$6)-1)/EmpCount,0)*EmpCount,0),0,1,1))</f>
        <v>EXS014</v>
      </c>
      <c r="D155" s="10" t="str">
        <f ca="1">IF(ISNA(VLOOKUP($C155,EmpAll,COLUMN(Emp!$B$4),0)),"-",VLOOKUP($C155,EmpAll,COLUMN(Emp!$B$4),0))</f>
        <v>Ross Q</v>
      </c>
      <c r="E155" s="145" t="str">
        <f ca="1">IF(ISNA(VLOOKUP($C155,EmpAll,COLUMN(Emp!$C$4),0)),"-",VLOOKUP($C155,EmpAll,COLUMN(Emp!$C$4),0))</f>
        <v>A</v>
      </c>
      <c r="F155" s="101" t="str">
        <f ca="1">IF(ISNA(VLOOKUP($C155,EmpAll,COLUMN(Emp!$A$4),0)),"-",IF(AND(VLOOKUP($C155,EmpAll,COLUMN(Emp!$E$4),0)&lt;&gt;0,VLOOKUP($C155,EmpAll,COLUMN(Emp!$E$4),0)&gt;=DATE(YEAR($AC155),MONTH($AC155)+1,0)),"Inactive",IF(AND(VLOOKUP($C155,EmpAll,COLUMN(Emp!$F$4),0)&lt;&gt;0,VLOOKUP($C155,EmpAll,COLUMN(Emp!$F$4),0)&lt;=DATE(YEAR($AC155),MONTH($AC155),0)),"Terminated","Active")))</f>
        <v>Active</v>
      </c>
      <c r="G155" s="133" cm="1">
        <f t="array" aca="1" ref="G155" ca="1">IF($F155&lt;&gt;"Active",0,IF(COUNTIFS(OverEmp,$C155,OverEarn,G$2,OverDate,"&lt;"&amp;DATE(YEAR($AC155),MONTH($AC155)+1,1),OverEnd,"&gt;="&amp;DATE(YEAR($AC155),MONTH($AC155),1))&gt;0,SUMIFS(OverValue,OverEmp,$C155,OverEarn,G$2,OverDate,"&lt;"&amp;DATE(YEAR($AC155),MONTH($AC155)+1,1),OverEnd,"&gt;="&amp;DATE(YEAR($AC155),MONTH($AC155),1)),IF(AND($AC155&gt;=Setup!$E$10,SUMIFS(EmpIncrease,EmpCode,$C155)&gt;0),SUMIFS(EmpIncrease,EmpCode,$C155),SUMIFS(EmpSalary,EmpCode,$C155))))</f>
        <v>29150</v>
      </c>
      <c r="H155" s="133" cm="1">
        <f t="array" aca="1" ref="H155" ca="1">IF($F155&lt;&gt;"Active",0,IF(COUNTIFS(OverEmp,$C155,OverEarn,H$2,OverDate,"&lt;"&amp;DATE(YEAR($AC155),MONTH($AC155)+1,1),OverEnd,"&gt;="&amp;DATE(YEAR($AC155),MONTH($AC155),1))&gt;0,SUMIFS(OverValue,OverEmp,$C155,OverEarn,H$2,OverDate,"&lt;"&amp;DATE(YEAR($AC155),MONTH($AC155)+1,1),OverEnd,"&gt;="&amp;DATE(YEAR($AC155),MONTH($AC155),1)),0))</f>
        <v>0</v>
      </c>
      <c r="I155" s="133" cm="1">
        <f t="array" aca="1" ref="I155" ca="1">IF($F155&lt;&gt;"Active",0,IF(COUNTIFS(OverEmp,$C155,OverEarn,I$2,OverDate,"&lt;"&amp;DATE(YEAR($AC155),MONTH($AC155)+1,1),OverEnd,"&gt;="&amp;DATE(YEAR($AC155),MONTH($AC155),1))&gt;0,SUMIFS(OverValue,OverEmp,$C155,OverEarn,I$2,OverDate,"&lt;"&amp;DATE(YEAR($AC155),MONTH($AC155)+1,1),OverEnd,"&gt;="&amp;DATE(YEAR($AC155),MONTH($AC155),1)),IF(MONTH(B155)=Setup!$C$15,SUMIFS(EmpBonus,EmpCode,$C155),0)))</f>
        <v>0</v>
      </c>
      <c r="J155" s="133" cm="1">
        <f t="array" aca="1" ref="J155" ca="1">IF($F155&lt;&gt;"Active",0,IF(COUNTIFS(OverEmp,$C155,OverEarn,J$2,OverDate,"&lt;"&amp;DATE(YEAR($AC155),MONTH($AC155)+1,1),OverEnd,"&gt;="&amp;DATE(YEAR($AC155),MONTH($AC155),1))&gt;0,SUMIFS(OverValue,OverEmp,$C155,OverEarn,J$2,OverDate,"&lt;"&amp;DATE(YEAR($AC155),MONTH($AC155)+1,1),OverEnd,"&gt;="&amp;DATE(YEAR($AC155),MONTH($AC155),1)),0))</f>
        <v>0</v>
      </c>
      <c r="K155" s="133" cm="1">
        <f t="array" aca="1" ref="K155" ca="1">IF($F155&lt;&gt;"Active",0,IF(COUNTIFS(OverEmp,$C155,OverEarn,K$2,OverDate,"&lt;"&amp;DATE(YEAR($AC155),MONTH($AC155)+1,1),OverEnd,"&gt;="&amp;DATE(YEAR($AC155),MONTH($AC155),1))&gt;0,SUMIFS(OverValue,OverEmp,$C155,OverEarn,K$2,OverDate,"&lt;"&amp;DATE(YEAR($AC155),MONTH($AC155)+1,1),OverEnd,"&gt;="&amp;DATE(YEAR($AC155),MONTH($AC155),1)),0))</f>
        <v>0</v>
      </c>
      <c r="L155" s="185">
        <f t="shared" ca="1" si="66"/>
        <v>29150</v>
      </c>
      <c r="M155" s="182" cm="1">
        <f t="array" aca="1" ref="M155" ca="1">IF(COUNTIFS(OverEmp,$C155,OverTax,M$5,OverDate,"&lt;"&amp;DATE(YEAR($AC155),MONTH($AC155)+1,1),OverEnd,"&gt;="&amp;DATE(YEAR($AC155),MONTH($AC155),1))&gt;0,SUMIFS(OverValue,OverEmp,$C155,OverTax,M$5,OverDate,"&lt;"&amp;DATE(YEAR($AC155),MONTH($AC155)+1,1),OverEnd,"&gt;="&amp;DATE(YEAR($AC155),MONTH($AC155),1)),(($BA155/12*$AA155)+(BB155*IF(1-$BC155=0,0,BD155/(1-$BC155))))-IF($F155="Terminated",0,SUMIFS(PayTaxDeduct,PayDate,"&lt;"&amp;$AC155,PayEmp,$C155)))</f>
        <v>4562.0833333333321</v>
      </c>
      <c r="N155" s="133" cm="1">
        <f t="array" aca="1" ref="N155" ca="1">IF($F155="Terminated",0,IF($AA155=0,0,IF(ISNA(MATCH(N$5,DedListItem,0)),0,IF(COUNTIFS(OverEmp,$C155,OverDeduct,N$5,OverDate,"&lt;"&amp;DATE(YEAR($AC155),MONTH($AC155)+1,1),OverEnd,"&gt;="&amp;DATE(YEAR($AC155),MONTH($AC155),1))&gt;0,SUMIFS(OverValue,OverEmp,$C155,OverDeduct,N$5,OverDate,"&lt;"&amp;DATE(YEAR($AC155),MONTH($AC155)+1,1),OverEnd,"&gt;="&amp;DATE(YEAR($AC155),MONTH($AC155),1)),IF(OR(N$2="Fixed",N$2="Not Used"),(IF(COUNTIFS(EmpNo,$C155,OFFSET(Emp!$R$4,1,MATCH(N$5,DedListItem,0)-1,EmpCount,1),"&lt;&gt;")&gt;0,VLOOKUP($C155,EmpAll,COLUMN(Emp!$R$4)+MATCH(N$5,DedListItem,0)-1,0),OFFSET(Setup!$E$73,MATCH(N$5,DedListItem,0),0,1,1))*$AA155)-SUMIFS(OFFSET(N$6,1,0,PayCount,1),PayDate,"&lt;"&amp;$AC155,PayEmp,$C155),IF(ISNA(MATCH(N$2,EarnListItem,0))=FALSE,IF(OFFSET(Setup!$G$73,MATCH(N$5,DedListItem,0),0,1,1)="Taxable",SUMPRODUCT((PayEmp=$C155)*(PayDate&lt;=$AC155)*(PayEarnCode=N$2)*(PayEarnTax)*(PayEarnValues)),SUMPRODUCT((PayEmp=$C155)*(PayDate&lt;=$AC155)*(PayEarnCode=N$2)*(PayEarnValues)))*IF(COUNTIFS(EmpNo,$C155,OFFSET(Emp!$R$4,1,MATCH(N$5,DedListItem,0)-1,EmpCount,1),"&lt;&gt;")&gt;0,VLOOKUP($C155,EmpAll,COLUMN(Emp!$R$4)+MATCH(N$5,DedListItem,0)-1,0),OFFSET(Setup!$E$73,MATCH(N$5,DedListItem,0),0,1,1)),(MIN(IF(OFFSET(Setup!$G$73,MATCH(N$5,DedListItem,0),0,1,1)="Taxable",SUMPRODUCT((PayEmp=$C155)*(PayDate&lt;=$AC155)*(ISERROR(SEARCH(PayEarnCode,N$4)))*(PayEarnTax)*(PayEarnValues)),SUMPRODUCT((PayEmp=$C155)*(PayDate&lt;=$AC155)*(ISERROR(SEARCH(PayEarnCode,N$4)))*(PayEarnValues))),IF(ISNUMBER(N$3),N$3/12*$AA155,IgnoreMin)))*IF(COUNTIFS(EmpNo,$C155,OFFSET(Emp!$R$4,1,MATCH(N$5,DedListItem,0)-1,EmpCount,1),"&lt;&gt;")&gt;0,VLOOKUP($C155,EmpAll,COLUMN(Emp!$R$4)+MATCH(N$5,DedListItem,0)-1,0),OFFSET(Setup!$E$73,MATCH(N$5,DedListItem,0),0,1,1)))-SUMIFS(OFFSET(N$6,1,0,PayCount,1),PayDate,"&lt;"&amp;$AC155,PayEmp,$C155))))))</f>
        <v>177.11999999999989</v>
      </c>
      <c r="O155" s="133" cm="1">
        <f t="array" aca="1" ref="O155" ca="1">IF($F155="Terminated",0,IF($AA155=0,0,IF(ISNA(MATCH(O$5,DedListItem,0)),0,IF(COUNTIFS(OverEmp,$C155,OverDeduct,O$5,OverDate,"&lt;"&amp;DATE(YEAR($AC155),MONTH($AC155)+1,1),OverEnd,"&gt;="&amp;DATE(YEAR($AC155),MONTH($AC155),1))&gt;0,SUMIFS(OverValue,OverEmp,$C155,OverDeduct,O$5,OverDate,"&lt;"&amp;DATE(YEAR($AC155),MONTH($AC155)+1,1),OverEnd,"&gt;="&amp;DATE(YEAR($AC155),MONTH($AC155),1)),IF(OR(O$2="Fixed",O$2="Not Used"),(IF(COUNTIFS(EmpNo,$C155,OFFSET(Emp!$R$4,1,MATCH(O$5,DedListItem,0)-1,EmpCount,1),"&lt;&gt;")&gt;0,VLOOKUP($C155,EmpAll,COLUMN(Emp!$R$4)+MATCH(O$5,DedListItem,0)-1,0),OFFSET(Setup!$E$73,MATCH(O$5,DedListItem,0),0,1,1))*$AA155)-SUMIFS(OFFSET(O$6,1,0,PayCount,1),PayDate,"&lt;"&amp;$AC155,PayEmp,$C155),IF(ISNA(MATCH(O$2,EarnListItem,0))=FALSE,IF(OFFSET(Setup!$G$73,MATCH(O$5,DedListItem,0),0,1,1)="Taxable",SUMPRODUCT((PayEmp=$C155)*(PayDate&lt;=$AC155)*(PayEarnCode=O$2)*(PayEarnTax)*(PayEarnValues)),SUMPRODUCT((PayEmp=$C155)*(PayDate&lt;=$AC155)*(PayEarnCode=O$2)*(PayEarnValues)))*IF(COUNTIFS(EmpNo,$C155,OFFSET(Emp!$R$4,1,MATCH(O$5,DedListItem,0)-1,EmpCount,1),"&lt;&gt;")&gt;0,VLOOKUP($C155,EmpAll,COLUMN(Emp!$R$4)+MATCH(O$5,DedListItem,0)-1,0),OFFSET(Setup!$E$73,MATCH(O$5,DedListItem,0),0,1,1)),(MIN(IF(OFFSET(Setup!$G$73,MATCH(O$5,DedListItem,0),0,1,1)="Taxable",SUMPRODUCT((PayEmp=$C155)*(PayDate&lt;=$AC155)*(ISERROR(SEARCH(PayEarnCode,O$4)))*(PayEarnTax)*(PayEarnValues)),SUMPRODUCT((PayEmp=$C155)*(PayDate&lt;=$AC155)*(ISERROR(SEARCH(PayEarnCode,O$4)))*(PayEarnValues))),IF(ISNUMBER(O$3),O$3/12*$AA155,IgnoreMin)))*IF(COUNTIFS(EmpNo,$C155,OFFSET(Emp!$R$4,1,MATCH(O$5,DedListItem,0)-1,EmpCount,1),"&lt;&gt;")&gt;0,VLOOKUP($C155,EmpAll,COLUMN(Emp!$R$4)+MATCH(O$5,DedListItem,0)-1,0),OFFSET(Setup!$E$73,MATCH(O$5,DedListItem,0),0,1,1)))-SUMIFS(OFFSET(O$6,1,0,PayCount,1),PayDate,"&lt;"&amp;$AC155,PayEmp,$C155))))))</f>
        <v>0</v>
      </c>
      <c r="P155" s="133" cm="1">
        <f t="array" aca="1" ref="P155" ca="1">IF($F155="Terminated",0,IF($AA155=0,0,IF(ISNA(MATCH(P$5,DedListItem,0)),0,IF(COUNTIFS(OverEmp,$C155,OverDeduct,P$5,OverDate,"&lt;"&amp;DATE(YEAR($AC155),MONTH($AC155)+1,1),OverEnd,"&gt;="&amp;DATE(YEAR($AC155),MONTH($AC155),1))&gt;0,SUMIFS(OverValue,OverEmp,$C155,OverDeduct,P$5,OverDate,"&lt;"&amp;DATE(YEAR($AC155),MONTH($AC155)+1,1),OverEnd,"&gt;="&amp;DATE(YEAR($AC155),MONTH($AC155),1)),IF(OR(P$2="Fixed",P$2="Not Used"),(IF(COUNTIFS(EmpNo,$C155,OFFSET(Emp!$R$4,1,MATCH(P$5,DedListItem,0)-1,EmpCount,1),"&lt;&gt;")&gt;0,VLOOKUP($C155,EmpAll,COLUMN(Emp!$R$4)+MATCH(P$5,DedListItem,0)-1,0),OFFSET(Setup!$E$73,MATCH(P$5,DedListItem,0),0,1,1))*$AA155)-SUMIFS(OFFSET(P$6,1,0,PayCount,1),PayDate,"&lt;"&amp;$AC155,PayEmp,$C155),IF(ISNA(MATCH(P$2,EarnListItem,0))=FALSE,IF(OFFSET(Setup!$G$73,MATCH(P$5,DedListItem,0),0,1,1)="Taxable",SUMPRODUCT((PayEmp=$C155)*(PayDate&lt;=$AC155)*(PayEarnCode=P$2)*(PayEarnTax)*(PayEarnValues)),SUMPRODUCT((PayEmp=$C155)*(PayDate&lt;=$AC155)*(PayEarnCode=P$2)*(PayEarnValues)))*IF(COUNTIFS(EmpNo,$C155,OFFSET(Emp!$R$4,1,MATCH(P$5,DedListItem,0)-1,EmpCount,1),"&lt;&gt;")&gt;0,VLOOKUP($C155,EmpAll,COLUMN(Emp!$R$4)+MATCH(P$5,DedListItem,0)-1,0),OFFSET(Setup!$E$73,MATCH(P$5,DedListItem,0),0,1,1)),(MIN(IF(OFFSET(Setup!$G$73,MATCH(P$5,DedListItem,0),0,1,1)="Taxable",SUMPRODUCT((PayEmp=$C155)*(PayDate&lt;=$AC155)*(ISERROR(SEARCH(PayEarnCode,P$4)))*(PayEarnTax)*(PayEarnValues)),SUMPRODUCT((PayEmp=$C155)*(PayDate&lt;=$AC155)*(ISERROR(SEARCH(PayEarnCode,P$4)))*(PayEarnValues))),IF(ISNUMBER(P$3),P$3/12*$AA155,IgnoreMin)))*IF(COUNTIFS(EmpNo,$C155,OFFSET(Emp!$R$4,1,MATCH(P$5,DedListItem,0)-1,EmpCount,1),"&lt;&gt;")&gt;0,VLOOKUP($C155,EmpAll,COLUMN(Emp!$R$4)+MATCH(P$5,DedListItem,0)-1,0),OFFSET(Setup!$E$73,MATCH(P$5,DedListItem,0),0,1,1)))-SUMIFS(OFFSET(P$6,1,0,PayCount,1),PayDate,"&lt;"&amp;$AC155,PayEmp,$C155))))))</f>
        <v>0</v>
      </c>
      <c r="Q155" s="133" cm="1">
        <f t="array" aca="1" ref="Q155" ca="1">IF($F155="Terminated",0,IF($AA155=0,0,IF(ISNA(MATCH(Q$5,DedListItem,0)),0,IF(COUNTIFS(OverEmp,$C155,OverDeduct,Q$5,OverDate,"&lt;"&amp;DATE(YEAR($AC155),MONTH($AC155)+1,1),OverEnd,"&gt;="&amp;DATE(YEAR($AC155),MONTH($AC155),1))&gt;0,SUMIFS(OverValue,OverEmp,$C155,OverDeduct,Q$5,OverDate,"&lt;"&amp;DATE(YEAR($AC155),MONTH($AC155)+1,1),OverEnd,"&gt;="&amp;DATE(YEAR($AC155),MONTH($AC155),1)),IF(OR(Q$2="Fixed",Q$2="Not Used"),(IF(COUNTIFS(EmpNo,$C155,OFFSET(Emp!$R$4,1,MATCH(Q$5,DedListItem,0)-1,EmpCount,1),"&lt;&gt;")&gt;0,VLOOKUP($C155,EmpAll,COLUMN(Emp!$R$4)+MATCH(Q$5,DedListItem,0)-1,0),OFFSET(Setup!$E$73,MATCH(Q$5,DedListItem,0),0,1,1))*$AA155)-SUMIFS(OFFSET(Q$6,1,0,PayCount,1),PayDate,"&lt;"&amp;$AC155,PayEmp,$C155),IF(ISNA(MATCH(Q$2,EarnListItem,0))=FALSE,IF(OFFSET(Setup!$G$73,MATCH(Q$5,DedListItem,0),0,1,1)="Taxable",SUMPRODUCT((PayEmp=$C155)*(PayDate&lt;=$AC155)*(PayEarnCode=Q$2)*(PayEarnTax)*(PayEarnValues)),SUMPRODUCT((PayEmp=$C155)*(PayDate&lt;=$AC155)*(PayEarnCode=Q$2)*(PayEarnValues)))*IF(COUNTIFS(EmpNo,$C155,OFFSET(Emp!$R$4,1,MATCH(Q$5,DedListItem,0)-1,EmpCount,1),"&lt;&gt;")&gt;0,VLOOKUP($C155,EmpAll,COLUMN(Emp!$R$4)+MATCH(Q$5,DedListItem,0)-1,0),OFFSET(Setup!$E$73,MATCH(Q$5,DedListItem,0),0,1,1)),(MIN(IF(OFFSET(Setup!$G$73,MATCH(Q$5,DedListItem,0),0,1,1)="Taxable",SUMPRODUCT((PayEmp=$C155)*(PayDate&lt;=$AC155)*(ISERROR(SEARCH(PayEarnCode,Q$4)))*(PayEarnTax)*(PayEarnValues)),SUMPRODUCT((PayEmp=$C155)*(PayDate&lt;=$AC155)*(ISERROR(SEARCH(PayEarnCode,Q$4)))*(PayEarnValues))),IF(ISNUMBER(Q$3),Q$3/12*$AA155,IgnoreMin)))*IF(COUNTIFS(EmpNo,$C155,OFFSET(Emp!$R$4,1,MATCH(Q$5,DedListItem,0)-1,EmpCount,1),"&lt;&gt;")&gt;0,VLOOKUP($C155,EmpAll,COLUMN(Emp!$R$4)+MATCH(Q$5,DedListItem,0)-1,0),OFFSET(Setup!$E$73,MATCH(Q$5,DedListItem,0),0,1,1)))-SUMIFS(OFFSET(Q$6,1,0,PayCount,1),PayDate,"&lt;"&amp;$AC155,PayEmp,$C155))))))</f>
        <v>0</v>
      </c>
      <c r="R155" s="185">
        <f t="shared" ca="1" si="67"/>
        <v>4739.203333333332</v>
      </c>
      <c r="S155" s="139">
        <f t="shared" ca="1" si="68"/>
        <v>24410.799999999999</v>
      </c>
      <c r="T155" s="133" cm="1">
        <f t="array" aca="1" ref="T155" ca="1">IF($F155="Terminated",0,IF($AA155=0,0,IF(ISNA(MATCH(T$5,CompListItem,0)),0,IF(COUNTIFS(OverEmp,$C155,OverComp,T$5,OverDate,"&lt;"&amp;DATE(YEAR($AC155),MONTH($AC155)+1,1),OverEnd,"&gt;="&amp;DATE(YEAR($AC155),MONTH($AC155),1))&gt;0,SUMIFS(OverValue,OverEmp,$C155,OverComp,T$5,OverDate,"&lt;"&amp;DATE(YEAR($AC155),MONTH($AC155)+1,1),OverEnd,"&gt;="&amp;DATE(YEAR($AC155),MONTH($AC155),1)),IF(OR(T$2="Fixed",T$2="Not Used"),(OFFSET(Setup!$E$81,MATCH(T$5,CompListItem,0),0,1,1)*$AA155)-SUMIFS(OFFSET(T$6,1,0,PayCount,1),PayDate,"&lt;"&amp;$AC155,PayEmp,$C155),IF(ISNA(MATCH(T$2,DedListItem,0))=FALSE,(SUMPRODUCT((PayEmp=$C155)*(PayDate&lt;=$AC155)*(PayDedList=T$2)*(PayDedValues))*OFFSET(Setup!$E$81,MATCH(T$5,CompListItem,0),0,1,1))-SUMIFS(OFFSET(T$6,1,0,PayCount,1),PayDate,"&lt;"&amp;$AC155,PayEmp,$C155),(MIN(IF(OFFSET(Setup!$G$81,MATCH(T$5,CompListItem,0),0,1,1)="Taxable",SUMPRODUCT((PayEmp=$C155)*(PayDate&lt;=$AC155)*(ISERROR(SEARCH(PayEarnCode,T$4)))*(PayEarnTax)*(PayEarnValues)),SUMPRODUCT((PayEmp=$C155)*(PayDate&lt;=$AC155)*(ISERROR(SEARCH(PayEarnCode,T$4)))*(PayEarnValues))),IF(ISNUMBER(T$3),T$3/12*$AA155,IgnoreMin)))*OFFSET(Setup!$E$81,MATCH(T$5,CompListItem,0),0,1,1)-SUMIFS(OFFSET(T$6,1,0,PayCount,1),PayDate,"&lt;"&amp;$AC155,PayEmp,$C155)))))))</f>
        <v>177.11999999999989</v>
      </c>
      <c r="U155" s="133" cm="1">
        <f t="array" aca="1" ref="U155" ca="1">IF($F155="Terminated",0,IF($AA155=0,0,IF(ISNA(MATCH(U$5,CompListItem,0)),0,IF(COUNTIFS(OverEmp,$C155,OverComp,U$5,OverDate,"&lt;"&amp;DATE(YEAR($AC155),MONTH($AC155)+1,1),OverEnd,"&gt;="&amp;DATE(YEAR($AC155),MONTH($AC155),1))&gt;0,SUMIFS(OverValue,OverEmp,$C155,OverComp,U$5,OverDate,"&lt;"&amp;DATE(YEAR($AC155),MONTH($AC155)+1,1),OverEnd,"&gt;="&amp;DATE(YEAR($AC155),MONTH($AC155),1)),IF(OR(U$2="Fixed",U$2="Not Used"),(OFFSET(Setup!$E$81,MATCH(U$5,CompListItem,0),0,1,1)*$AA155)-SUMIFS(OFFSET(U$6,1,0,PayCount,1),PayDate,"&lt;"&amp;$AC155,PayEmp,$C155),IF(ISNA(MATCH(U$2,DedListItem,0))=FALSE,(SUMPRODUCT((PayEmp=$C155)*(PayDate&lt;=$AC155)*(PayDedList=U$2)*(PayDedValues))*OFFSET(Setup!$E$81,MATCH(U$5,CompListItem,0),0,1,1))-SUMIFS(OFFSET(U$6,1,0,PayCount,1),PayDate,"&lt;"&amp;$AC155,PayEmp,$C155),(MIN(IF(OFFSET(Setup!$G$81,MATCH(U$5,CompListItem,0),0,1,1)="Taxable",SUMPRODUCT((PayEmp=$C155)*(PayDate&lt;=$AC155)*(ISERROR(SEARCH(PayEarnCode,U$4)))*(PayEarnTax)*(PayEarnValues)),SUMPRODUCT((PayEmp=$C155)*(PayDate&lt;=$AC155)*(ISERROR(SEARCH(PayEarnCode,U$4)))*(PayEarnValues))),IF(ISNUMBER(U$3),U$3/12*$AA155,IgnoreMin)))*OFFSET(Setup!$E$81,MATCH(U$5,CompListItem,0),0,1,1)-SUMIFS(OFFSET(U$6,1,0,PayCount,1),PayDate,"&lt;"&amp;$AC155,PayEmp,$C155)))))))</f>
        <v>291.5</v>
      </c>
      <c r="V155" s="133" cm="1">
        <f t="array" aca="1" ref="V155" ca="1">IF($F155="Terminated",0,IF($AA155=0,0,IF(ISNA(MATCH(V$5,CompListItem,0)),0,IF(COUNTIFS(OverEmp,$C155,OverComp,V$5,OverDate,"&lt;"&amp;DATE(YEAR($AC155),MONTH($AC155)+1,1),OverEnd,"&gt;="&amp;DATE(YEAR($AC155),MONTH($AC155),1))&gt;0,SUMIFS(OverValue,OverEmp,$C155,OverComp,V$5,OverDate,"&lt;"&amp;DATE(YEAR($AC155),MONTH($AC155)+1,1),OverEnd,"&gt;="&amp;DATE(YEAR($AC155),MONTH($AC155),1)),IF(OR(V$2="Fixed",V$2="Not Used"),(OFFSET(Setup!$E$81,MATCH(V$5,CompListItem,0),0,1,1)*$AA155)-SUMIFS(OFFSET(V$6,1,0,PayCount,1),PayDate,"&lt;"&amp;$AC155,PayEmp,$C155),IF(ISNA(MATCH(V$2,DedListItem,0))=FALSE,(SUMPRODUCT((PayEmp=$C155)*(PayDate&lt;=$AC155)*(PayDedList=V$2)*(PayDedValues))*OFFSET(Setup!$E$81,MATCH(V$5,CompListItem,0),0,1,1))-SUMIFS(OFFSET(V$6,1,0,PayCount,1),PayDate,"&lt;"&amp;$AC155,PayEmp,$C155),(MIN(IF(OFFSET(Setup!$G$81,MATCH(V$5,CompListItem,0),0,1,1)="Taxable",SUMPRODUCT((PayEmp=$C155)*(PayDate&lt;=$AC155)*(ISERROR(SEARCH(PayEarnCode,V$4)))*(PayEarnTax)*(PayEarnValues)),SUMPRODUCT((PayEmp=$C155)*(PayDate&lt;=$AC155)*(ISERROR(SEARCH(PayEarnCode,V$4)))*(PayEarnValues))),IF(ISNUMBER(V$3),V$3/12*$AA155,IgnoreMin)))*OFFSET(Setup!$E$81,MATCH(V$5,CompListItem,0),0,1,1)-SUMIFS(OFFSET(V$6,1,0,PayCount,1),PayDate,"&lt;"&amp;$AC155,PayEmp,$C155)))))))</f>
        <v>0</v>
      </c>
      <c r="W155" s="133" cm="1">
        <f t="array" aca="1" ref="W155" ca="1">IF($F155="Terminated",0,IF($AA155=0,0,IF(ISNA(MATCH(W$5,CompListItem,0)),0,IF(COUNTIFS(OverEmp,$C155,OverComp,W$5,OverDate,"&lt;"&amp;DATE(YEAR($AC155),MONTH($AC155)+1,1),OverEnd,"&gt;="&amp;DATE(YEAR($AC155),MONTH($AC155),1))&gt;0,SUMIFS(OverValue,OverEmp,$C155,OverComp,W$5,OverDate,"&lt;"&amp;DATE(YEAR($AC155),MONTH($AC155)+1,1),OverEnd,"&gt;="&amp;DATE(YEAR($AC155),MONTH($AC155),1)),IF(OR(W$2="Fixed",W$2="Not Used"),(OFFSET(Setup!$E$81,MATCH(W$5,CompListItem,0),0,1,1)*$AA155)-SUMIFS(OFFSET(W$6,1,0,PayCount,1),PayDate,"&lt;"&amp;$AC155,PayEmp,$C155),IF(ISNA(MATCH(W$2,DedListItem,0))=FALSE,(SUMPRODUCT((PayEmp=$C155)*(PayDate&lt;=$AC155)*(PayDedList=W$2)*(PayDedValues))*OFFSET(Setup!$E$81,MATCH(W$5,CompListItem,0),0,1,1))-SUMIFS(OFFSET(W$6,1,0,PayCount,1),PayDate,"&lt;"&amp;$AC155,PayEmp,$C155),(MIN(IF(OFFSET(Setup!$G$81,MATCH(W$5,CompListItem,0),0,1,1)="Taxable",SUMPRODUCT((PayEmp=$C155)*(PayDate&lt;=$AC155)*(ISERROR(SEARCH(PayEarnCode,W$4)))*(PayEarnTax)*(PayEarnValues)),SUMPRODUCT((PayEmp=$C155)*(PayDate&lt;=$AC155)*(ISERROR(SEARCH(PayEarnCode,W$4)))*(PayEarnValues))),IF(ISNUMBER(W$3),W$3/12*$AA155,IgnoreMin)))*OFFSET(Setup!$E$81,MATCH(W$5,CompListItem,0),0,1,1)-SUMIFS(OFFSET(W$6,1,0,PayCount,1),PayDate,"&lt;"&amp;$AC155,PayEmp,$C155)))))))</f>
        <v>0</v>
      </c>
      <c r="X155" s="185">
        <f t="shared" ca="1" si="60"/>
        <v>468.61999999999989</v>
      </c>
      <c r="Y155" s="139">
        <f t="shared" ca="1" si="69"/>
        <v>29618.62</v>
      </c>
      <c r="Z155" s="139">
        <f t="shared" ca="1" si="61"/>
        <v>5207.82</v>
      </c>
      <c r="AA155" s="146">
        <f ca="1">IF(OR($B155&lt;=Setup!$E$12,$B155&gt;=Setup!$D$12+1),0,IF($F155&lt;&gt;"Active",0,IF($AE155="Yes",$AB155,((YEAR($AC155)*12)+MONTH($AC155))-((YEAR($AD155)*12)+MONTH($AD155)-1))))</f>
        <v>7</v>
      </c>
      <c r="AB155" s="146">
        <f ca="1">IF(OR($B155&lt;=Setup!$E$12,$B155&gt;=Setup!$D$12+1),0,((YEAR($AC155)*12)+MONTH($AC155))-((YEAR(Setup!$E$12)*12)+MONTH(Setup!$E$12)))</f>
        <v>10</v>
      </c>
      <c r="AC155" s="186">
        <f t="shared" ca="1" si="62"/>
        <v>45285</v>
      </c>
      <c r="AD155" s="144">
        <f ca="1">IF(ISNA(VLOOKUP($C155,EmpAll,COLUMN(Emp!$E$4),0)),$AC155,IF(VLOOKUP($C155,EmpAll,COLUMN(Emp!$E$4),0)&lt;=Setup!$E$12,DATE(YEAR(Setup!$E$12),MONTH(Setup!$E$12)+1,1),VLOOKUP($C155,EmpAll,COLUMN(Emp!$E$4),0)))</f>
        <v>45102</v>
      </c>
      <c r="AE155" s="144" t="str">
        <f ca="1">IF(ISNA(VLOOKUP($C155,EmpAll,COLUMN(Emp!$G$1),0)),"-",IF(VLOOKUP($C155,EmpAll,COLUMN(Emp!$G$1),0)=0,"-",VLOOKUP($C155,EmpAll,COLUMN(Emp!$G$1),0)))</f>
        <v>-</v>
      </c>
      <c r="AF155" s="145">
        <f ca="1">IF(A155=PaySlip!$G$3,1,0)</f>
        <v>0</v>
      </c>
      <c r="AG155" s="130" cm="1">
        <f t="array" aca="1" ref="AG155" ca="1">IF(COUNTIFS(OverEmp,$C155,OverMed,"MED",OverDate,"&lt;"&amp;DATE(YEAR($AC155),MONTH($AC155)+1,1),OverEnd,"&gt;="&amp;DATE(YEAR($AC155),MONTH($AC155),1))&gt;0,SUMIFS(OverValue,OverEmp,$C155,OverMed,"MED",OverDate,"&lt;"&amp;DATE(YEAR($AC155),MONTH($AC155)+1,1),OverEnd,"&gt;="&amp;DATE(YEAR($AC155),MONTH($AC155),1)),IF(ISNA(VLOOKUP($C155,EmpAll,COLUMN(Emp!$N$4),0)),0,VLOOKUP($C155,EmpAll,COLUMN(Emp!$N$4),0)))</f>
        <v>0</v>
      </c>
      <c r="AH155" s="146">
        <f ca="1">VLOOKUP($AG155,MedList,COLUMN(Setup!$C$49),1)</f>
        <v>0</v>
      </c>
      <c r="AI155" s="146">
        <f t="shared" ca="1" si="70"/>
        <v>0</v>
      </c>
      <c r="AJ155" s="101" t="str">
        <f ca="1">IF(ISNA(VLOOKUP($C155,EmpAll,COLUMN(Emp!$L$4),0)),"None!",VLOOKUP($C155,EmpAll,COLUMN(Emp!$L$4),0))</f>
        <v>A</v>
      </c>
      <c r="AK155" s="147">
        <f t="shared" ca="1" si="63"/>
        <v>17235</v>
      </c>
      <c r="AL155" s="101" t="str">
        <f ca="1">IF(ISNA(VLOOKUP($C155,Employees[],COLUMN(Emp!$M$4),0))=TRUE,"Error!",IF(VLOOKUP($C155,Employees[],COLUMN(Emp!$M$4),0)=0,"Yes",VLOOKUP($C155,Employees[],COLUMN(Emp!$M$4),0)))</f>
        <v>A</v>
      </c>
      <c r="AM155" s="148">
        <f t="shared" ca="1" si="71"/>
        <v>349800</v>
      </c>
      <c r="AN155" s="148" cm="1">
        <f t="array" aca="1" ref="AN155" ca="1">-IF($F155="Terminated",0,IF($AA155=0,0,IF(ISNA(MATCH(AN$5,PayDedList,0)),0,MIN(IF(COUNTIFS(OverEmp,$C155,OverDeduct,AN$5,OverDate,"&lt;"&amp;DATE(YEAR($AC155),MONTH($AC155)+1,1),OverEnd,"&gt;="&amp;DATE(YEAR($AC155),MONTH($AC155),1))&gt;0,SUMPRODUCT((PayEmp=$C155)*(PayDate&lt;=$AC155)*(OFFSET($N$6,1,MATCH(AN$5,PayDedList,0)-1,PayCount,1)))/$AA155*12*AN$3,IF(OR(AN$1="Fixed",AN$1="Not Used"),SUMPRODUCT((PayEmp=$C155)*(PayDate&lt;=$AC155)*(OFFSET($N$6,1,MATCH(AN$5,PayDedList,0)-1,PayCount,1)))/$AA155*12*AN$3,IF(ISNA(MATCH(AN$1,EarnListItem,0))=FALSE,SUMPRODUCT((PayEmp=$C155)*(PayDate&lt;=$AC155)*(OFFSET($N$6,1,MATCH(AN$5,PayDedList,0)-1,PayCount,1)))/$AA155*12*AN$3,(MIN(((SUMPRODUCT((PayEmp=$C155)*(PayDate&lt;=$AC155)*(ISERROR(SEARCH(PayEarnCode,AN$2)))*(PayEarnType="Monthly")*(PayEarnValues))/$AA155*12)+(SUMPRODUCT((PayEmp=$C155)*(PayDate&lt;=$AC155)*(ISERROR(SEARCH(PayEarnCode,AN$2)))*(PayEarnType="Quarterly")*(PayEarnValues))/MAX(1,ROUNDDOWN($AB155/3,0))*4)+(SUMPRODUCT((PayEmp=$C155)*(PayDate&lt;=$AC155)*(ISERROR(SEARCH(PayEarnCode,AN$2)))*(PayEarnType="Bi-Annual")*(PayEarnValues))/MAX(1,ROUNDDOWN($AB155/6,0))*2)+(SUMPRODUCT((PayEmp=$C155)*(PayDate&lt;=$AC155)*(ISERROR(SEARCH(PayEarnCode,AN$2)))*(PayEarnType="Annual")*(PayEarnValues)))),IF(ISNUMBER(OFFSET($N$3,0,MATCH(AN$5,PayDedList,0)-1,1,1)),OFFSET($N$3,0,MATCH(AN$5,PayDedList,0)-1,1,1),IgnoreMin)))*IF(COUNTIFS(EmpNo,$C155,OFFSET(Emp!$R$4,1,MATCH(AN$5,DedListItem,0)-1,EmpCount,1),"&lt;&gt;")&gt;0,VLOOKUP($C155,EmpAll,COLUMN(Emp!$R$4)+MATCH(AN$5,DedListItem,0)-1,0),OFFSET(Setup!$E$73,MATCH(AN$5,DedListItem,0),0,1,1))*AN$3))),IF(ISNUMBER(AN$4),AN$4,IgnoreMin)))))</f>
        <v>0</v>
      </c>
      <c r="AO155" s="148" cm="1">
        <f t="array" aca="1" ref="AO155" ca="1">-IF($F155="Terminated",0,IF($AA155=0,0,IF(ISNA(MATCH(AO$5,PayDedList,0)),0,MIN(IF(COUNTIFS(OverEmp,$C155,OverDeduct,AO$5,OverDate,"&lt;"&amp;DATE(YEAR($AC155),MONTH($AC155)+1,1),OverEnd,"&gt;="&amp;DATE(YEAR($AC155),MONTH($AC155),1))&gt;0,SUMPRODUCT((PayEmp=$C155)*(PayDate&lt;=$AC155)*(OFFSET($N$6,1,MATCH(AO$5,PayDedList,0)-1,PayCount,1)))/$AA155*12*AO$3,IF(OR(AO$1="Fixed",AO$1="Not Used"),SUMPRODUCT((PayEmp=$C155)*(PayDate&lt;=$AC155)*(OFFSET($N$6,1,MATCH(AO$5,PayDedList,0)-1,PayCount,1)))/$AA155*12*AO$3,IF(ISNA(MATCH(AO$1,EarnListItem,0))=FALSE,SUMPRODUCT((PayEmp=$C155)*(PayDate&lt;=$AC155)*(OFFSET($N$6,1,MATCH(AO$5,PayDedList,0)-1,PayCount,1)))/$AA155*12*AO$3,(MIN(((SUMPRODUCT((PayEmp=$C155)*(PayDate&lt;=$AC155)*(ISERROR(SEARCH(PayEarnCode,AO$2)))*(PayEarnType="Monthly")*(PayEarnValues))/$AA155*12)+(SUMPRODUCT((PayEmp=$C155)*(PayDate&lt;=$AC155)*(ISERROR(SEARCH(PayEarnCode,AO$2)))*(PayEarnType="Quarterly")*(PayEarnValues))/MAX(1,ROUNDDOWN($AB155/3,0))*4)+(SUMPRODUCT((PayEmp=$C155)*(PayDate&lt;=$AC155)*(ISERROR(SEARCH(PayEarnCode,AO$2)))*(PayEarnType="Bi-Annual")*(PayEarnValues))/MAX(1,ROUNDDOWN($AB155/6,0))*2)+(SUMPRODUCT((PayEmp=$C155)*(PayDate&lt;=$AC155)*(ISERROR(SEARCH(PayEarnCode,AO$2)))*(PayEarnType="Annual")*(PayEarnValues)))),IF(ISNUMBER(OFFSET($N$3,0,MATCH(AO$5,PayDedList,0)-1,1,1)),OFFSET($N$3,0,MATCH(AO$5,PayDedList,0)-1,1,1),IgnoreMin)))*IF(COUNTIFS(EmpNo,$C155,OFFSET(Emp!$R$4,1,MATCH(AO$5,DedListItem,0)-1,EmpCount,1),"&lt;&gt;")&gt;0,VLOOKUP($C155,EmpAll,COLUMN(Emp!$R$4)+MATCH(AO$5,DedListItem,0)-1,0),OFFSET(Setup!$E$73,MATCH(AO$5,DedListItem,0),0,1,1))*AO$3))),IF(ISNUMBER(AO$4),AO$4,IgnoreMin)))))</f>
        <v>0</v>
      </c>
      <c r="AP155" s="148" cm="1">
        <f t="array" aca="1" ref="AP155" ca="1">-IF($F155="Terminated",0,IF($AA155=0,0,IF(ISNA(MATCH(AP$5,PayDedList,0)),0,MIN(IF(COUNTIFS(OverEmp,$C155,OverDeduct,AP$5,OverDate,"&lt;"&amp;DATE(YEAR($AC155),MONTH($AC155)+1,1),OverEnd,"&gt;="&amp;DATE(YEAR($AC155),MONTH($AC155),1))&gt;0,SUMPRODUCT((PayEmp=$C155)*(PayDate&lt;=$AC155)*(OFFSET($N$6,1,MATCH(AP$5,PayDedList,0)-1,PayCount,1)))/$AA155*12*AP$3,IF(OR(AP$1="Fixed",AP$1="Not Used"),SUMPRODUCT((PayEmp=$C155)*(PayDate&lt;=$AC155)*(OFFSET($N$6,1,MATCH(AP$5,PayDedList,0)-1,PayCount,1)))/$AA155*12*AP$3,IF(ISNA(MATCH(AP$1,EarnListItem,0))=FALSE,SUMPRODUCT((PayEmp=$C155)*(PayDate&lt;=$AC155)*(OFFSET($N$6,1,MATCH(AP$5,PayDedList,0)-1,PayCount,1)))/$AA155*12*AP$3,(MIN(((SUMPRODUCT((PayEmp=$C155)*(PayDate&lt;=$AC155)*(ISERROR(SEARCH(PayEarnCode,AP$2)))*(PayEarnType="Monthly")*(PayEarnValues))/$AA155*12)+(SUMPRODUCT((PayEmp=$C155)*(PayDate&lt;=$AC155)*(ISERROR(SEARCH(PayEarnCode,AP$2)))*(PayEarnType="Quarterly")*(PayEarnValues))/MAX(1,ROUNDDOWN($AB155/3,0))*4)+(SUMPRODUCT((PayEmp=$C155)*(PayDate&lt;=$AC155)*(ISERROR(SEARCH(PayEarnCode,AP$2)))*(PayEarnType="Bi-Annual")*(PayEarnValues))/MAX(1,ROUNDDOWN($AB155/6,0))*2)+(SUMPRODUCT((PayEmp=$C155)*(PayDate&lt;=$AC155)*(ISERROR(SEARCH(PayEarnCode,AP$2)))*(PayEarnType="Annual")*(PayEarnValues)))),IF(ISNUMBER(OFFSET($N$3,0,MATCH(AP$5,PayDedList,0)-1,1,1)),OFFSET($N$3,0,MATCH(AP$5,PayDedList,0)-1,1,1),IgnoreMin)))*IF(COUNTIFS(EmpNo,$C155,OFFSET(Emp!$R$4,1,MATCH(AP$5,DedListItem,0)-1,EmpCount,1),"&lt;&gt;")&gt;0,VLOOKUP($C155,EmpAll,COLUMN(Emp!$R$4)+MATCH(AP$5,DedListItem,0)-1,0),OFFSET(Setup!$E$73,MATCH(AP$5,DedListItem,0),0,1,1))*AP$3))),IF(ISNUMBER(AP$4),AP$4,IgnoreMin)))))</f>
        <v>0</v>
      </c>
      <c r="AQ155" s="148" cm="1">
        <f t="array" aca="1" ref="AQ155" ca="1">-IF($F155="Terminated",0,IF($AA155=0,0,IF(ISNA(MATCH(AQ$5,PayDedList,0)),0,MIN(IF(COUNTIFS(OverEmp,$C155,OverDeduct,AQ$5,OverDate,"&lt;"&amp;DATE(YEAR($AC155),MONTH($AC155)+1,1),OverEnd,"&gt;="&amp;DATE(YEAR($AC155),MONTH($AC155),1))&gt;0,SUMPRODUCT((PayEmp=$C155)*(PayDate&lt;=$AC155)*(OFFSET($N$6,1,MATCH(AQ$5,PayDedList,0)-1,PayCount,1)))/$AA155*12*AQ$3,IF(OR(AQ$1="Fixed",AQ$1="Not Used"),SUMPRODUCT((PayEmp=$C155)*(PayDate&lt;=$AC155)*(OFFSET($N$6,1,MATCH(AQ$5,PayDedList,0)-1,PayCount,1)))/$AA155*12*AQ$3,IF(ISNA(MATCH(AQ$1,EarnListItem,0))=FALSE,SUMPRODUCT((PayEmp=$C155)*(PayDate&lt;=$AC155)*(OFFSET($N$6,1,MATCH(AQ$5,PayDedList,0)-1,PayCount,1)))/$AA155*12*AQ$3,(MIN(((SUMPRODUCT((PayEmp=$C155)*(PayDate&lt;=$AC155)*(ISERROR(SEARCH(PayEarnCode,AQ$2)))*(PayEarnType="Monthly")*(PayEarnValues))/$AA155*12)+(SUMPRODUCT((PayEmp=$C155)*(PayDate&lt;=$AC155)*(ISERROR(SEARCH(PayEarnCode,AQ$2)))*(PayEarnType="Quarterly")*(PayEarnValues))/MAX(1,ROUNDDOWN($AB155/3,0))*4)+(SUMPRODUCT((PayEmp=$C155)*(PayDate&lt;=$AC155)*(ISERROR(SEARCH(PayEarnCode,AQ$2)))*(PayEarnType="Bi-Annual")*(PayEarnValues))/MAX(1,ROUNDDOWN($AB155/6,0))*2)+(SUMPRODUCT((PayEmp=$C155)*(PayDate&lt;=$AC155)*(ISERROR(SEARCH(PayEarnCode,AQ$2)))*(PayEarnType="Annual")*(PayEarnValues)))),IF(ISNUMBER(OFFSET($N$3,0,MATCH(AQ$5,PayDedList,0)-1,1,1)),OFFSET($N$3,0,MATCH(AQ$5,PayDedList,0)-1,1,1),IgnoreMin)))*IF(COUNTIFS(EmpNo,$C155,OFFSET(Emp!$R$4,1,MATCH(AQ$5,DedListItem,0)-1,EmpCount,1),"&lt;&gt;")&gt;0,VLOOKUP($C155,EmpAll,COLUMN(Emp!$R$4)+MATCH(AQ$5,DedListItem,0)-1,0),OFFSET(Setup!$E$73,MATCH(AQ$5,DedListItem,0),0,1,1))*AQ$3))),IF(ISNUMBER(AQ$4),AQ$4,IgnoreMin)))))</f>
        <v>0</v>
      </c>
      <c r="AR155" s="148">
        <f t="shared" ca="1" si="64"/>
        <v>349800</v>
      </c>
      <c r="AS155" s="148">
        <f t="shared" ca="1" si="72"/>
        <v>349800</v>
      </c>
      <c r="AT155" s="148" cm="1">
        <f t="array" aca="1" ref="AT155" ca="1">-IF($F155="Terminated",0,IF($AA155=0,0,IF(ISNA(MATCH(AT$5,PayDedList,0)),0,MIN(IF(COUNTIFS(OverEmp,$C155,OverDeduct,AT$5,OverDate,"&lt;"&amp;DATE(YEAR($AC155),MONTH($AC155)+1,1),OverEnd,"&gt;="&amp;DATE(YEAR($AC155),MONTH($AC155),1))&gt;0,SUMPRODUCT((PayEmp=$C155)*(PayDate&lt;=$AC155)*(OFFSET($N$6,1,MATCH(AT$5,PayDedList,0)-1,PayCount,1)))/$AA155*12*AT$3,IF(OR(AT$1="Fixed",AT$1="Not Used"),SUMPRODUCT((PayEmp=$C155)*(PayDate&lt;=$AC155)*(OFFSET($N$6,1,MATCH(AT$5,PayDedList,0)-1,PayCount,1)))/$AA155*12*AT$3,IF(ISNA(MATCH(OFFSET($N$2,0,MATCH(AT$5,PayDedList,0)-1,1,1),EarnListItem,0))=FALSE,SUMPRODUCT((PayEmp=$C155)*(PayDate&lt;=$AC155)*(OFFSET($N$6,1,MATCH(AT$5,PayDedList,0)-1,PayCount,1)))/$AA155*12*AT$3,(MIN(SUMPRODUCT((PayEmp=$C155)*(PayDate&lt;=$AC155)*(ISERROR(SEARCH(PayEarnCode,AT$2)))*(PayEarnType="Monthly")*(PayEarnValues))/$AA155*12,IF(ISNUMBER(OFFSET($N$3,0,MATCH(AT$5,PayDedList,0)-1,1,1)),OFFSET($N$3,0,MATCH(AT$5,PayDedList,0)-1,1,1),IgnoreMin)))*IF(COUNTIFS(EmpNo,$C155,OFFSET(Emp!$R$4,1,MATCH(AT$5,DedListItem,0)-1,EmpCount,1),"&lt;&gt;")&gt;0,VLOOKUP($C155,EmpAll,COLUMN(Emp!$R$4)+MATCH(AT$5,DedListItem,0)-1,0),OFFSET(Setup!$E$73,MATCH(AT$5,DedListItem,0),0,1,1))*AT$3))),IF(ISNUMBER(AT$4),AT$4,IgnoreMin)))))</f>
        <v>0</v>
      </c>
      <c r="AU155" s="148" cm="1">
        <f t="array" aca="1" ref="AU155" ca="1">-IF($F155="Terminated",0,IF($AA155=0,0,IF(ISNA(MATCH(AU$5,PayDedList,0)),0,MIN(IF(COUNTIFS(OverEmp,$C155,OverDeduct,AU$5,OverDate,"&lt;"&amp;DATE(YEAR($AC155),MONTH($AC155)+1,1),OverEnd,"&gt;="&amp;DATE(YEAR($AC155),MONTH($AC155),1))&gt;0,SUMPRODUCT((PayEmp=$C155)*(PayDate&lt;=$AC155)*(OFFSET($N$6,1,MATCH(AU$5,PayDedList,0)-1,PayCount,1)))/$AA155*12*AU$3,IF(OR(AU$1="Fixed",AU$1="Not Used"),SUMPRODUCT((PayEmp=$C155)*(PayDate&lt;=$AC155)*(OFFSET($N$6,1,MATCH(AU$5,PayDedList,0)-1,PayCount,1)))/$AA155*12*AU$3,IF(ISNA(MATCH(OFFSET($N$2,0,MATCH(AU$5,PayDedList,0)-1,1,1),EarnListItem,0))=FALSE,SUMPRODUCT((PayEmp=$C155)*(PayDate&lt;=$AC155)*(OFFSET($N$6,1,MATCH(AU$5,PayDedList,0)-1,PayCount,1)))/$AA155*12*AU$3,(MIN(SUMPRODUCT((PayEmp=$C155)*(PayDate&lt;=$AC155)*(ISERROR(SEARCH(PayEarnCode,AU$2)))*(PayEarnType="Monthly")*(PayEarnValues))/$AA155*12,IF(ISNUMBER(OFFSET($N$3,0,MATCH(AU$5,PayDedList,0)-1,1,1)),OFFSET($N$3,0,MATCH(AU$5,PayDedList,0)-1,1,1),IgnoreMin)))*IF(COUNTIFS(EmpNo,$C155,OFFSET(Emp!$R$4,1,MATCH(AU$5,DedListItem,0)-1,EmpCount,1),"&lt;&gt;")&gt;0,VLOOKUP($C155,EmpAll,COLUMN(Emp!$R$4)+MATCH(AU$5,DedListItem,0)-1,0),OFFSET(Setup!$E$73,MATCH(AU$5,DedListItem,0),0,1,1))*AU$3))),IF(ISNUMBER(AU$4),AU$4,IgnoreMin)))))</f>
        <v>0</v>
      </c>
      <c r="AV155" s="148" cm="1">
        <f t="array" aca="1" ref="AV155" ca="1">-IF($F155="Terminated",0,IF($AA155=0,0,IF(ISNA(MATCH(AV$5,PayDedList,0)),0,MIN(IF(COUNTIFS(OverEmp,$C155,OverDeduct,AV$5,OverDate,"&lt;"&amp;DATE(YEAR($AC155),MONTH($AC155)+1,1),OverEnd,"&gt;="&amp;DATE(YEAR($AC155),MONTH($AC155),1))&gt;0,SUMPRODUCT((PayEmp=$C155)*(PayDate&lt;=$AC155)*(OFFSET($N$6,1,MATCH(AV$5,PayDedList,0)-1,PayCount,1)))/$AA155*12*AV$3,IF(OR(AV$1="Fixed",AV$1="Not Used"),SUMPRODUCT((PayEmp=$C155)*(PayDate&lt;=$AC155)*(OFFSET($N$6,1,MATCH(AV$5,PayDedList,0)-1,PayCount,1)))/$AA155*12*AV$3,IF(ISNA(MATCH(OFFSET($N$2,0,MATCH(AV$5,PayDedList,0)-1,1,1),EarnListItem,0))=FALSE,SUMPRODUCT((PayEmp=$C155)*(PayDate&lt;=$AC155)*(OFFSET($N$6,1,MATCH(AV$5,PayDedList,0)-1,PayCount,1)))/$AA155*12*AV$3,(MIN(SUMPRODUCT((PayEmp=$C155)*(PayDate&lt;=$AC155)*(ISERROR(SEARCH(PayEarnCode,AV$2)))*(PayEarnType="Monthly")*(PayEarnValues))/$AA155*12,IF(ISNUMBER(OFFSET($N$3,0,MATCH(AV$5,PayDedList,0)-1,1,1)),OFFSET($N$3,0,MATCH(AV$5,PayDedList,0)-1,1,1),IgnoreMin)))*IF(COUNTIFS(EmpNo,$C155,OFFSET(Emp!$R$4,1,MATCH(AV$5,DedListItem,0)-1,EmpCount,1),"&lt;&gt;")&gt;0,VLOOKUP($C155,EmpAll,COLUMN(Emp!$R$4)+MATCH(AV$5,DedListItem,0)-1,0),OFFSET(Setup!$E$73,MATCH(AV$5,DedListItem,0),0,1,1))*AV$3))),IF(ISNUMBER(AV$4),AV$4,IgnoreMin)))))</f>
        <v>0</v>
      </c>
      <c r="AW155" s="148" cm="1">
        <f t="array" aca="1" ref="AW155" ca="1">-IF($F155="Terminated",0,IF($AA155=0,0,IF(ISNA(MATCH(AW$5,PayDedList,0)),0,MIN(IF(COUNTIFS(OverEmp,$C155,OverDeduct,AW$5,OverDate,"&lt;"&amp;DATE(YEAR($AC155),MONTH($AC155)+1,1),OverEnd,"&gt;="&amp;DATE(YEAR($AC155),MONTH($AC155),1))&gt;0,SUMPRODUCT((PayEmp=$C155)*(PayDate&lt;=$AC155)*(OFFSET($N$6,1,MATCH(AW$5,PayDedList,0)-1,PayCount,1)))/$AA155*12*AW$3,IF(OR(AW$1="Fixed",AW$1="Not Used"),SUMPRODUCT((PayEmp=$C155)*(PayDate&lt;=$AC155)*(OFFSET($N$6,1,MATCH(AW$5,PayDedList,0)-1,PayCount,1)))/$AA155*12*AW$3,IF(ISNA(MATCH(OFFSET($N$2,0,MATCH(AW$5,PayDedList,0)-1,1,1),EarnListItem,0))=FALSE,SUMPRODUCT((PayEmp=$C155)*(PayDate&lt;=$AC155)*(OFFSET($N$6,1,MATCH(AW$5,PayDedList,0)-1,PayCount,1)))/$AA155*12*AW$3,(MIN(SUMPRODUCT((PayEmp=$C155)*(PayDate&lt;=$AC155)*(ISERROR(SEARCH(PayEarnCode,AW$2)))*(PayEarnType="Monthly")*(PayEarnValues))/$AA155*12,IF(ISNUMBER(OFFSET($N$3,0,MATCH(AW$5,PayDedList,0)-1,1,1)),OFFSET($N$3,0,MATCH(AW$5,PayDedList,0)-1,1,1),IgnoreMin)))*IF(COUNTIFS(EmpNo,$C155,OFFSET(Emp!$R$4,1,MATCH(AW$5,DedListItem,0)-1,EmpCount,1),"&lt;&gt;")&gt;0,VLOOKUP($C155,EmpAll,COLUMN(Emp!$R$4)+MATCH(AW$5,DedListItem,0)-1,0),OFFSET(Setup!$E$73,MATCH(AW$5,DedListItem,0),0,1,1))*AW$3))),IF(ISNUMBER(AW$4),AW$4,IgnoreMin)))))</f>
        <v>0</v>
      </c>
      <c r="AX155" s="148">
        <f t="shared" ca="1" si="73"/>
        <v>349800</v>
      </c>
      <c r="AY155" s="148">
        <f t="shared" ca="1" si="74"/>
        <v>0</v>
      </c>
      <c r="AZ155" s="148">
        <f ca="1">IF(ISNUMBER($AL155),($AR155*$AL155)-$AI155-$AK155,MAX(0,IF($AL155="B",IF($AR155&lt;Setup!$C$32,($AR155*Setup!$D$32)-$AI155-$AK155,(($AR155-VLOOKUP($AR155,TaxAll2,1,1))*OFFSET(Setup!$D$32,MATCH($AR155,TaxBracket2,1),0,1,1))+OFFSET(Setup!$E$31,MATCH($AR155,TaxBracket2,1),0,1,1)-$AI155-$AK155),IF($AR155&lt;Setup!$C$21,($AR155*Setup!$D$21)-$AI155-$AK155,(($AR155-VLOOKUP($AR155,TaxAll1,1,1))*OFFSET(Setup!$D$21,MATCH($AR155,TaxBracket1,1),0,1,1))+OFFSET(Setup!$E$20,MATCH($AR155,TaxBracket1,1),0,1,1)-$AI155-$AK155))))</f>
        <v>54745</v>
      </c>
      <c r="BA155" s="148">
        <f ca="1">IF(ISNUMBER($AL155),($AX155*$AL155)-$AI155-$AK155,MAX(0,IF($AL155="B",IF($AX155&lt;Setup!$C$32,($AX155*Setup!$D$32)-$AI155-$AK155,(($AX155-VLOOKUP($AX155,TaxAll2,1,1))*OFFSET(Setup!$D$32,MATCH($AX155,TaxBracket2,1),0,1,1))+OFFSET(Setup!$E$31,MATCH($AX155,TaxBracket2,1),0,1,1)-$AI155-$AK155),IF($AX155&lt;Setup!$C$21,($AX155*Setup!$D$21)-$AI155-$AK155,(($AX155-VLOOKUP($AX155,TaxAll1,1,1))*OFFSET(Setup!$D$21,MATCH($AX155,TaxBracket1,1),0,1,1))+OFFSET(Setup!$E$20,MATCH($AX155,TaxBracket1,1),0,1,1)-$AI155-$AK155))))</f>
        <v>54745</v>
      </c>
      <c r="BB155" s="148">
        <f t="shared" ca="1" si="65"/>
        <v>0</v>
      </c>
      <c r="BC155" s="150">
        <f t="shared" ca="1" si="75"/>
        <v>1</v>
      </c>
      <c r="BD155" s="150">
        <f t="shared" ca="1" si="76"/>
        <v>0</v>
      </c>
      <c r="BE155" s="148">
        <f t="shared" ca="1" si="77"/>
        <v>349800</v>
      </c>
    </row>
    <row r="156" spans="1:57" ht="16.149999999999999" customHeight="1" x14ac:dyDescent="0.25">
      <c r="A156" s="10" t="str" cm="1">
        <f t="array" aca="1" ref="A156" ca="1">IF(ROW($A156)-ROW($A$6)&gt;EmpCount*12,"-",TEXT($B156,"yyyy")&amp;TEXT($B156,"mm")&amp;"-"&amp;$C156)</f>
        <v>202312-EXS015</v>
      </c>
      <c r="B156" s="137" cm="1">
        <f t="array" aca="1" ref="B156" ca="1">IF(ROW($A156)-ROW($A$6)&gt;EmpCount*12,Setup!$D$12,DATE(YEAR(Setup!$F$12),MONTH(Setup!$F$12)+ROUNDDOWN((ROW($A156)-ROW($A$6)-1)/EmpCount,0),IF(Setup!$C$14&gt;DAY(DATE(YEAR(Setup!$F$12),MONTH(Setup!$F$12)+ROUNDDOWN((ROW($A156)-ROW($A$6)-1)/EmpCount,0)+1,0)),DAY(DATE(YEAR(Setup!$F$12),MONTH(Setup!$F$12)+ROUNDDOWN((ROW($A156)-ROW($A$6)-1)/EmpCount,0)+1,0)),Setup!$C$14)))</f>
        <v>45285</v>
      </c>
      <c r="C156" s="101" t="str" cm="1">
        <f t="array" aca="1" ref="C156" ca="1">IF(ROW($A156)-ROW($A$6)&gt;EmpCount*12,"-",OFFSET(Emp!$A$4,ROW($A156)-ROW($A$6)-IF(ROW($A156)-ROW($A$6)&gt;EmpCount,ROUNDDOWN((ROW($A156)-ROW($A$6)-1)/EmpCount,0)*EmpCount,0),0,1,1))</f>
        <v>EXS015</v>
      </c>
      <c r="D156" s="10" t="str">
        <f ca="1">IF(ISNA(VLOOKUP($C156,EmpAll,COLUMN(Emp!$B$4),0)),"-",VLOOKUP($C156,EmpAll,COLUMN(Emp!$B$4),0))</f>
        <v>Graham L</v>
      </c>
      <c r="E156" s="145" t="str">
        <f ca="1">IF(ISNA(VLOOKUP($C156,EmpAll,COLUMN(Emp!$C$4),0)),"-",VLOOKUP($C156,EmpAll,COLUMN(Emp!$C$4),0))</f>
        <v>S</v>
      </c>
      <c r="F156" s="101" t="str">
        <f ca="1">IF(ISNA(VLOOKUP($C156,EmpAll,COLUMN(Emp!$A$4),0)),"-",IF(AND(VLOOKUP($C156,EmpAll,COLUMN(Emp!$E$4),0)&lt;&gt;0,VLOOKUP($C156,EmpAll,COLUMN(Emp!$E$4),0)&gt;=DATE(YEAR($AC156),MONTH($AC156)+1,0)),"Inactive",IF(AND(VLOOKUP($C156,EmpAll,COLUMN(Emp!$F$4),0)&lt;&gt;0,VLOOKUP($C156,EmpAll,COLUMN(Emp!$F$4),0)&lt;=DATE(YEAR($AC156),MONTH($AC156),0)),"Terminated","Active")))</f>
        <v>Inactive</v>
      </c>
      <c r="G156" s="133" cm="1">
        <f t="array" aca="1" ref="G156" ca="1">IF($F156&lt;&gt;"Active",0,IF(COUNTIFS(OverEmp,$C156,OverEarn,G$2,OverDate,"&lt;"&amp;DATE(YEAR($AC156),MONTH($AC156)+1,1),OverEnd,"&gt;="&amp;DATE(YEAR($AC156),MONTH($AC156),1))&gt;0,SUMIFS(OverValue,OverEmp,$C156,OverEarn,G$2,OverDate,"&lt;"&amp;DATE(YEAR($AC156),MONTH($AC156)+1,1),OverEnd,"&gt;="&amp;DATE(YEAR($AC156),MONTH($AC156),1)),IF(AND($AC156&gt;=Setup!$E$10,SUMIFS(EmpIncrease,EmpCode,$C156)&gt;0),SUMIFS(EmpIncrease,EmpCode,$C156),SUMIFS(EmpSalary,EmpCode,$C156))))</f>
        <v>0</v>
      </c>
      <c r="H156" s="133" cm="1">
        <f t="array" aca="1" ref="H156" ca="1">IF($F156&lt;&gt;"Active",0,IF(COUNTIFS(OverEmp,$C156,OverEarn,H$2,OverDate,"&lt;"&amp;DATE(YEAR($AC156),MONTH($AC156)+1,1),OverEnd,"&gt;="&amp;DATE(YEAR($AC156),MONTH($AC156),1))&gt;0,SUMIFS(OverValue,OverEmp,$C156,OverEarn,H$2,OverDate,"&lt;"&amp;DATE(YEAR($AC156),MONTH($AC156)+1,1),OverEnd,"&gt;="&amp;DATE(YEAR($AC156),MONTH($AC156),1)),0))</f>
        <v>0</v>
      </c>
      <c r="I156" s="133" cm="1">
        <f t="array" aca="1" ref="I156" ca="1">IF($F156&lt;&gt;"Active",0,IF(COUNTIFS(OverEmp,$C156,OverEarn,I$2,OverDate,"&lt;"&amp;DATE(YEAR($AC156),MONTH($AC156)+1,1),OverEnd,"&gt;="&amp;DATE(YEAR($AC156),MONTH($AC156),1))&gt;0,SUMIFS(OverValue,OverEmp,$C156,OverEarn,I$2,OverDate,"&lt;"&amp;DATE(YEAR($AC156),MONTH($AC156)+1,1),OverEnd,"&gt;="&amp;DATE(YEAR($AC156),MONTH($AC156),1)),IF(MONTH(B156)=Setup!$C$15,SUMIFS(EmpBonus,EmpCode,$C156),0)))</f>
        <v>0</v>
      </c>
      <c r="J156" s="133" cm="1">
        <f t="array" aca="1" ref="J156" ca="1">IF($F156&lt;&gt;"Active",0,IF(COUNTIFS(OverEmp,$C156,OverEarn,J$2,OverDate,"&lt;"&amp;DATE(YEAR($AC156),MONTH($AC156)+1,1),OverEnd,"&gt;="&amp;DATE(YEAR($AC156),MONTH($AC156),1))&gt;0,SUMIFS(OverValue,OverEmp,$C156,OverEarn,J$2,OverDate,"&lt;"&amp;DATE(YEAR($AC156),MONTH($AC156)+1,1),OverEnd,"&gt;="&amp;DATE(YEAR($AC156),MONTH($AC156),1)),0))</f>
        <v>0</v>
      </c>
      <c r="K156" s="133" cm="1">
        <f t="array" aca="1" ref="K156" ca="1">IF($F156&lt;&gt;"Active",0,IF(COUNTIFS(OverEmp,$C156,OverEarn,K$2,OverDate,"&lt;"&amp;DATE(YEAR($AC156),MONTH($AC156)+1,1),OverEnd,"&gt;="&amp;DATE(YEAR($AC156),MONTH($AC156),1))&gt;0,SUMIFS(OverValue,OverEmp,$C156,OverEarn,K$2,OverDate,"&lt;"&amp;DATE(YEAR($AC156),MONTH($AC156)+1,1),OverEnd,"&gt;="&amp;DATE(YEAR($AC156),MONTH($AC156),1)),0))</f>
        <v>0</v>
      </c>
      <c r="L156" s="185">
        <f t="shared" ca="1" si="66"/>
        <v>0</v>
      </c>
      <c r="M156" s="182" cm="1">
        <f t="array" aca="1" ref="M156" ca="1">IF(COUNTIFS(OverEmp,$C156,OverTax,M$5,OverDate,"&lt;"&amp;DATE(YEAR($AC156),MONTH($AC156)+1,1),OverEnd,"&gt;="&amp;DATE(YEAR($AC156),MONTH($AC156),1))&gt;0,SUMIFS(OverValue,OverEmp,$C156,OverTax,M$5,OverDate,"&lt;"&amp;DATE(YEAR($AC156),MONTH($AC156)+1,1),OverEnd,"&gt;="&amp;DATE(YEAR($AC156),MONTH($AC156),1)),(($BA156/12*$AA156)+(BB156*IF(1-$BC156=0,0,BD156/(1-$BC156))))-IF($F156="Terminated",0,SUMIFS(PayTaxDeduct,PayDate,"&lt;"&amp;$AC156,PayEmp,$C156)))</f>
        <v>0</v>
      </c>
      <c r="N156" s="133" cm="1">
        <f t="array" aca="1" ref="N156" ca="1">IF($F156="Terminated",0,IF($AA156=0,0,IF(ISNA(MATCH(N$5,DedListItem,0)),0,IF(COUNTIFS(OverEmp,$C156,OverDeduct,N$5,OverDate,"&lt;"&amp;DATE(YEAR($AC156),MONTH($AC156)+1,1),OverEnd,"&gt;="&amp;DATE(YEAR($AC156),MONTH($AC156),1))&gt;0,SUMIFS(OverValue,OverEmp,$C156,OverDeduct,N$5,OverDate,"&lt;"&amp;DATE(YEAR($AC156),MONTH($AC156)+1,1),OverEnd,"&gt;="&amp;DATE(YEAR($AC156),MONTH($AC156),1)),IF(OR(N$2="Fixed",N$2="Not Used"),(IF(COUNTIFS(EmpNo,$C156,OFFSET(Emp!$R$4,1,MATCH(N$5,DedListItem,0)-1,EmpCount,1),"&lt;&gt;")&gt;0,VLOOKUP($C156,EmpAll,COLUMN(Emp!$R$4)+MATCH(N$5,DedListItem,0)-1,0),OFFSET(Setup!$E$73,MATCH(N$5,DedListItem,0),0,1,1))*$AA156)-SUMIFS(OFFSET(N$6,1,0,PayCount,1),PayDate,"&lt;"&amp;$AC156,PayEmp,$C156),IF(ISNA(MATCH(N$2,EarnListItem,0))=FALSE,IF(OFFSET(Setup!$G$73,MATCH(N$5,DedListItem,0),0,1,1)="Taxable",SUMPRODUCT((PayEmp=$C156)*(PayDate&lt;=$AC156)*(PayEarnCode=N$2)*(PayEarnTax)*(PayEarnValues)),SUMPRODUCT((PayEmp=$C156)*(PayDate&lt;=$AC156)*(PayEarnCode=N$2)*(PayEarnValues)))*IF(COUNTIFS(EmpNo,$C156,OFFSET(Emp!$R$4,1,MATCH(N$5,DedListItem,0)-1,EmpCount,1),"&lt;&gt;")&gt;0,VLOOKUP($C156,EmpAll,COLUMN(Emp!$R$4)+MATCH(N$5,DedListItem,0)-1,0),OFFSET(Setup!$E$73,MATCH(N$5,DedListItem,0),0,1,1)),(MIN(IF(OFFSET(Setup!$G$73,MATCH(N$5,DedListItem,0),0,1,1)="Taxable",SUMPRODUCT((PayEmp=$C156)*(PayDate&lt;=$AC156)*(ISERROR(SEARCH(PayEarnCode,N$4)))*(PayEarnTax)*(PayEarnValues)),SUMPRODUCT((PayEmp=$C156)*(PayDate&lt;=$AC156)*(ISERROR(SEARCH(PayEarnCode,N$4)))*(PayEarnValues))),IF(ISNUMBER(N$3),N$3/12*$AA156,IgnoreMin)))*IF(COUNTIFS(EmpNo,$C156,OFFSET(Emp!$R$4,1,MATCH(N$5,DedListItem,0)-1,EmpCount,1),"&lt;&gt;")&gt;0,VLOOKUP($C156,EmpAll,COLUMN(Emp!$R$4)+MATCH(N$5,DedListItem,0)-1,0),OFFSET(Setup!$E$73,MATCH(N$5,DedListItem,0),0,1,1)))-SUMIFS(OFFSET(N$6,1,0,PayCount,1),PayDate,"&lt;"&amp;$AC156,PayEmp,$C156))))))</f>
        <v>0</v>
      </c>
      <c r="O156" s="133" cm="1">
        <f t="array" aca="1" ref="O156" ca="1">IF($F156="Terminated",0,IF($AA156=0,0,IF(ISNA(MATCH(O$5,DedListItem,0)),0,IF(COUNTIFS(OverEmp,$C156,OverDeduct,O$5,OverDate,"&lt;"&amp;DATE(YEAR($AC156),MONTH($AC156)+1,1),OverEnd,"&gt;="&amp;DATE(YEAR($AC156),MONTH($AC156),1))&gt;0,SUMIFS(OverValue,OverEmp,$C156,OverDeduct,O$5,OverDate,"&lt;"&amp;DATE(YEAR($AC156),MONTH($AC156)+1,1),OverEnd,"&gt;="&amp;DATE(YEAR($AC156),MONTH($AC156),1)),IF(OR(O$2="Fixed",O$2="Not Used"),(IF(COUNTIFS(EmpNo,$C156,OFFSET(Emp!$R$4,1,MATCH(O$5,DedListItem,0)-1,EmpCount,1),"&lt;&gt;")&gt;0,VLOOKUP($C156,EmpAll,COLUMN(Emp!$R$4)+MATCH(O$5,DedListItem,0)-1,0),OFFSET(Setup!$E$73,MATCH(O$5,DedListItem,0),0,1,1))*$AA156)-SUMIFS(OFFSET(O$6,1,0,PayCount,1),PayDate,"&lt;"&amp;$AC156,PayEmp,$C156),IF(ISNA(MATCH(O$2,EarnListItem,0))=FALSE,IF(OFFSET(Setup!$G$73,MATCH(O$5,DedListItem,0),0,1,1)="Taxable",SUMPRODUCT((PayEmp=$C156)*(PayDate&lt;=$AC156)*(PayEarnCode=O$2)*(PayEarnTax)*(PayEarnValues)),SUMPRODUCT((PayEmp=$C156)*(PayDate&lt;=$AC156)*(PayEarnCode=O$2)*(PayEarnValues)))*IF(COUNTIFS(EmpNo,$C156,OFFSET(Emp!$R$4,1,MATCH(O$5,DedListItem,0)-1,EmpCount,1),"&lt;&gt;")&gt;0,VLOOKUP($C156,EmpAll,COLUMN(Emp!$R$4)+MATCH(O$5,DedListItem,0)-1,0),OFFSET(Setup!$E$73,MATCH(O$5,DedListItem,0),0,1,1)),(MIN(IF(OFFSET(Setup!$G$73,MATCH(O$5,DedListItem,0),0,1,1)="Taxable",SUMPRODUCT((PayEmp=$C156)*(PayDate&lt;=$AC156)*(ISERROR(SEARCH(PayEarnCode,O$4)))*(PayEarnTax)*(PayEarnValues)),SUMPRODUCT((PayEmp=$C156)*(PayDate&lt;=$AC156)*(ISERROR(SEARCH(PayEarnCode,O$4)))*(PayEarnValues))),IF(ISNUMBER(O$3),O$3/12*$AA156,IgnoreMin)))*IF(COUNTIFS(EmpNo,$C156,OFFSET(Emp!$R$4,1,MATCH(O$5,DedListItem,0)-1,EmpCount,1),"&lt;&gt;")&gt;0,VLOOKUP($C156,EmpAll,COLUMN(Emp!$R$4)+MATCH(O$5,DedListItem,0)-1,0),OFFSET(Setup!$E$73,MATCH(O$5,DedListItem,0),0,1,1)))-SUMIFS(OFFSET(O$6,1,0,PayCount,1),PayDate,"&lt;"&amp;$AC156,PayEmp,$C156))))))</f>
        <v>0</v>
      </c>
      <c r="P156" s="133" cm="1">
        <f t="array" aca="1" ref="P156" ca="1">IF($F156="Terminated",0,IF($AA156=0,0,IF(ISNA(MATCH(P$5,DedListItem,0)),0,IF(COUNTIFS(OverEmp,$C156,OverDeduct,P$5,OverDate,"&lt;"&amp;DATE(YEAR($AC156),MONTH($AC156)+1,1),OverEnd,"&gt;="&amp;DATE(YEAR($AC156),MONTH($AC156),1))&gt;0,SUMIFS(OverValue,OverEmp,$C156,OverDeduct,P$5,OverDate,"&lt;"&amp;DATE(YEAR($AC156),MONTH($AC156)+1,1),OverEnd,"&gt;="&amp;DATE(YEAR($AC156),MONTH($AC156),1)),IF(OR(P$2="Fixed",P$2="Not Used"),(IF(COUNTIFS(EmpNo,$C156,OFFSET(Emp!$R$4,1,MATCH(P$5,DedListItem,0)-1,EmpCount,1),"&lt;&gt;")&gt;0,VLOOKUP($C156,EmpAll,COLUMN(Emp!$R$4)+MATCH(P$5,DedListItem,0)-1,0),OFFSET(Setup!$E$73,MATCH(P$5,DedListItem,0),0,1,1))*$AA156)-SUMIFS(OFFSET(P$6,1,0,PayCount,1),PayDate,"&lt;"&amp;$AC156,PayEmp,$C156),IF(ISNA(MATCH(P$2,EarnListItem,0))=FALSE,IF(OFFSET(Setup!$G$73,MATCH(P$5,DedListItem,0),0,1,1)="Taxable",SUMPRODUCT((PayEmp=$C156)*(PayDate&lt;=$AC156)*(PayEarnCode=P$2)*(PayEarnTax)*(PayEarnValues)),SUMPRODUCT((PayEmp=$C156)*(PayDate&lt;=$AC156)*(PayEarnCode=P$2)*(PayEarnValues)))*IF(COUNTIFS(EmpNo,$C156,OFFSET(Emp!$R$4,1,MATCH(P$5,DedListItem,0)-1,EmpCount,1),"&lt;&gt;")&gt;0,VLOOKUP($C156,EmpAll,COLUMN(Emp!$R$4)+MATCH(P$5,DedListItem,0)-1,0),OFFSET(Setup!$E$73,MATCH(P$5,DedListItem,0),0,1,1)),(MIN(IF(OFFSET(Setup!$G$73,MATCH(P$5,DedListItem,0),0,1,1)="Taxable",SUMPRODUCT((PayEmp=$C156)*(PayDate&lt;=$AC156)*(ISERROR(SEARCH(PayEarnCode,P$4)))*(PayEarnTax)*(PayEarnValues)),SUMPRODUCT((PayEmp=$C156)*(PayDate&lt;=$AC156)*(ISERROR(SEARCH(PayEarnCode,P$4)))*(PayEarnValues))),IF(ISNUMBER(P$3),P$3/12*$AA156,IgnoreMin)))*IF(COUNTIFS(EmpNo,$C156,OFFSET(Emp!$R$4,1,MATCH(P$5,DedListItem,0)-1,EmpCount,1),"&lt;&gt;")&gt;0,VLOOKUP($C156,EmpAll,COLUMN(Emp!$R$4)+MATCH(P$5,DedListItem,0)-1,0),OFFSET(Setup!$E$73,MATCH(P$5,DedListItem,0),0,1,1)))-SUMIFS(OFFSET(P$6,1,0,PayCount,1),PayDate,"&lt;"&amp;$AC156,PayEmp,$C156))))))</f>
        <v>0</v>
      </c>
      <c r="Q156" s="133" cm="1">
        <f t="array" aca="1" ref="Q156" ca="1">IF($F156="Terminated",0,IF($AA156=0,0,IF(ISNA(MATCH(Q$5,DedListItem,0)),0,IF(COUNTIFS(OverEmp,$C156,OverDeduct,Q$5,OverDate,"&lt;"&amp;DATE(YEAR($AC156),MONTH($AC156)+1,1),OverEnd,"&gt;="&amp;DATE(YEAR($AC156),MONTH($AC156),1))&gt;0,SUMIFS(OverValue,OverEmp,$C156,OverDeduct,Q$5,OverDate,"&lt;"&amp;DATE(YEAR($AC156),MONTH($AC156)+1,1),OverEnd,"&gt;="&amp;DATE(YEAR($AC156),MONTH($AC156),1)),IF(OR(Q$2="Fixed",Q$2="Not Used"),(IF(COUNTIFS(EmpNo,$C156,OFFSET(Emp!$R$4,1,MATCH(Q$5,DedListItem,0)-1,EmpCount,1),"&lt;&gt;")&gt;0,VLOOKUP($C156,EmpAll,COLUMN(Emp!$R$4)+MATCH(Q$5,DedListItem,0)-1,0),OFFSET(Setup!$E$73,MATCH(Q$5,DedListItem,0),0,1,1))*$AA156)-SUMIFS(OFFSET(Q$6,1,0,PayCount,1),PayDate,"&lt;"&amp;$AC156,PayEmp,$C156),IF(ISNA(MATCH(Q$2,EarnListItem,0))=FALSE,IF(OFFSET(Setup!$G$73,MATCH(Q$5,DedListItem,0),0,1,1)="Taxable",SUMPRODUCT((PayEmp=$C156)*(PayDate&lt;=$AC156)*(PayEarnCode=Q$2)*(PayEarnTax)*(PayEarnValues)),SUMPRODUCT((PayEmp=$C156)*(PayDate&lt;=$AC156)*(PayEarnCode=Q$2)*(PayEarnValues)))*IF(COUNTIFS(EmpNo,$C156,OFFSET(Emp!$R$4,1,MATCH(Q$5,DedListItem,0)-1,EmpCount,1),"&lt;&gt;")&gt;0,VLOOKUP($C156,EmpAll,COLUMN(Emp!$R$4)+MATCH(Q$5,DedListItem,0)-1,0),OFFSET(Setup!$E$73,MATCH(Q$5,DedListItem,0),0,1,1)),(MIN(IF(OFFSET(Setup!$G$73,MATCH(Q$5,DedListItem,0),0,1,1)="Taxable",SUMPRODUCT((PayEmp=$C156)*(PayDate&lt;=$AC156)*(ISERROR(SEARCH(PayEarnCode,Q$4)))*(PayEarnTax)*(PayEarnValues)),SUMPRODUCT((PayEmp=$C156)*(PayDate&lt;=$AC156)*(ISERROR(SEARCH(PayEarnCode,Q$4)))*(PayEarnValues))),IF(ISNUMBER(Q$3),Q$3/12*$AA156,IgnoreMin)))*IF(COUNTIFS(EmpNo,$C156,OFFSET(Emp!$R$4,1,MATCH(Q$5,DedListItem,0)-1,EmpCount,1),"&lt;&gt;")&gt;0,VLOOKUP($C156,EmpAll,COLUMN(Emp!$R$4)+MATCH(Q$5,DedListItem,0)-1,0),OFFSET(Setup!$E$73,MATCH(Q$5,DedListItem,0),0,1,1)))-SUMIFS(OFFSET(Q$6,1,0,PayCount,1),PayDate,"&lt;"&amp;$AC156,PayEmp,$C156))))))</f>
        <v>0</v>
      </c>
      <c r="R156" s="185">
        <f t="shared" ca="1" si="67"/>
        <v>0</v>
      </c>
      <c r="S156" s="139">
        <f t="shared" ca="1" si="68"/>
        <v>0</v>
      </c>
      <c r="T156" s="133" cm="1">
        <f t="array" aca="1" ref="T156" ca="1">IF($F156="Terminated",0,IF($AA156=0,0,IF(ISNA(MATCH(T$5,CompListItem,0)),0,IF(COUNTIFS(OverEmp,$C156,OverComp,T$5,OverDate,"&lt;"&amp;DATE(YEAR($AC156),MONTH($AC156)+1,1),OverEnd,"&gt;="&amp;DATE(YEAR($AC156),MONTH($AC156),1))&gt;0,SUMIFS(OverValue,OverEmp,$C156,OverComp,T$5,OverDate,"&lt;"&amp;DATE(YEAR($AC156),MONTH($AC156)+1,1),OverEnd,"&gt;="&amp;DATE(YEAR($AC156),MONTH($AC156),1)),IF(OR(T$2="Fixed",T$2="Not Used"),(OFFSET(Setup!$E$81,MATCH(T$5,CompListItem,0),0,1,1)*$AA156)-SUMIFS(OFFSET(T$6,1,0,PayCount,1),PayDate,"&lt;"&amp;$AC156,PayEmp,$C156),IF(ISNA(MATCH(T$2,DedListItem,0))=FALSE,(SUMPRODUCT((PayEmp=$C156)*(PayDate&lt;=$AC156)*(PayDedList=T$2)*(PayDedValues))*OFFSET(Setup!$E$81,MATCH(T$5,CompListItem,0),0,1,1))-SUMIFS(OFFSET(T$6,1,0,PayCount,1),PayDate,"&lt;"&amp;$AC156,PayEmp,$C156),(MIN(IF(OFFSET(Setup!$G$81,MATCH(T$5,CompListItem,0),0,1,1)="Taxable",SUMPRODUCT((PayEmp=$C156)*(PayDate&lt;=$AC156)*(ISERROR(SEARCH(PayEarnCode,T$4)))*(PayEarnTax)*(PayEarnValues)),SUMPRODUCT((PayEmp=$C156)*(PayDate&lt;=$AC156)*(ISERROR(SEARCH(PayEarnCode,T$4)))*(PayEarnValues))),IF(ISNUMBER(T$3),T$3/12*$AA156,IgnoreMin)))*OFFSET(Setup!$E$81,MATCH(T$5,CompListItem,0),0,1,1)-SUMIFS(OFFSET(T$6,1,0,PayCount,1),PayDate,"&lt;"&amp;$AC156,PayEmp,$C156)))))))</f>
        <v>0</v>
      </c>
      <c r="U156" s="133" cm="1">
        <f t="array" aca="1" ref="U156" ca="1">IF($F156="Terminated",0,IF($AA156=0,0,IF(ISNA(MATCH(U$5,CompListItem,0)),0,IF(COUNTIFS(OverEmp,$C156,OverComp,U$5,OverDate,"&lt;"&amp;DATE(YEAR($AC156),MONTH($AC156)+1,1),OverEnd,"&gt;="&amp;DATE(YEAR($AC156),MONTH($AC156),1))&gt;0,SUMIFS(OverValue,OverEmp,$C156,OverComp,U$5,OverDate,"&lt;"&amp;DATE(YEAR($AC156),MONTH($AC156)+1,1),OverEnd,"&gt;="&amp;DATE(YEAR($AC156),MONTH($AC156),1)),IF(OR(U$2="Fixed",U$2="Not Used"),(OFFSET(Setup!$E$81,MATCH(U$5,CompListItem,0),0,1,1)*$AA156)-SUMIFS(OFFSET(U$6,1,0,PayCount,1),PayDate,"&lt;"&amp;$AC156,PayEmp,$C156),IF(ISNA(MATCH(U$2,DedListItem,0))=FALSE,(SUMPRODUCT((PayEmp=$C156)*(PayDate&lt;=$AC156)*(PayDedList=U$2)*(PayDedValues))*OFFSET(Setup!$E$81,MATCH(U$5,CompListItem,0),0,1,1))-SUMIFS(OFFSET(U$6,1,0,PayCount,1),PayDate,"&lt;"&amp;$AC156,PayEmp,$C156),(MIN(IF(OFFSET(Setup!$G$81,MATCH(U$5,CompListItem,0),0,1,1)="Taxable",SUMPRODUCT((PayEmp=$C156)*(PayDate&lt;=$AC156)*(ISERROR(SEARCH(PayEarnCode,U$4)))*(PayEarnTax)*(PayEarnValues)),SUMPRODUCT((PayEmp=$C156)*(PayDate&lt;=$AC156)*(ISERROR(SEARCH(PayEarnCode,U$4)))*(PayEarnValues))),IF(ISNUMBER(U$3),U$3/12*$AA156,IgnoreMin)))*OFFSET(Setup!$E$81,MATCH(U$5,CompListItem,0),0,1,1)-SUMIFS(OFFSET(U$6,1,0,PayCount,1),PayDate,"&lt;"&amp;$AC156,PayEmp,$C156)))))))</f>
        <v>0</v>
      </c>
      <c r="V156" s="133" cm="1">
        <f t="array" aca="1" ref="V156" ca="1">IF($F156="Terminated",0,IF($AA156=0,0,IF(ISNA(MATCH(V$5,CompListItem,0)),0,IF(COUNTIFS(OverEmp,$C156,OverComp,V$5,OverDate,"&lt;"&amp;DATE(YEAR($AC156),MONTH($AC156)+1,1),OverEnd,"&gt;="&amp;DATE(YEAR($AC156),MONTH($AC156),1))&gt;0,SUMIFS(OverValue,OverEmp,$C156,OverComp,V$5,OverDate,"&lt;"&amp;DATE(YEAR($AC156),MONTH($AC156)+1,1),OverEnd,"&gt;="&amp;DATE(YEAR($AC156),MONTH($AC156),1)),IF(OR(V$2="Fixed",V$2="Not Used"),(OFFSET(Setup!$E$81,MATCH(V$5,CompListItem,0),0,1,1)*$AA156)-SUMIFS(OFFSET(V$6,1,0,PayCount,1),PayDate,"&lt;"&amp;$AC156,PayEmp,$C156),IF(ISNA(MATCH(V$2,DedListItem,0))=FALSE,(SUMPRODUCT((PayEmp=$C156)*(PayDate&lt;=$AC156)*(PayDedList=V$2)*(PayDedValues))*OFFSET(Setup!$E$81,MATCH(V$5,CompListItem,0),0,1,1))-SUMIFS(OFFSET(V$6,1,0,PayCount,1),PayDate,"&lt;"&amp;$AC156,PayEmp,$C156),(MIN(IF(OFFSET(Setup!$G$81,MATCH(V$5,CompListItem,0),0,1,1)="Taxable",SUMPRODUCT((PayEmp=$C156)*(PayDate&lt;=$AC156)*(ISERROR(SEARCH(PayEarnCode,V$4)))*(PayEarnTax)*(PayEarnValues)),SUMPRODUCT((PayEmp=$C156)*(PayDate&lt;=$AC156)*(ISERROR(SEARCH(PayEarnCode,V$4)))*(PayEarnValues))),IF(ISNUMBER(V$3),V$3/12*$AA156,IgnoreMin)))*OFFSET(Setup!$E$81,MATCH(V$5,CompListItem,0),0,1,1)-SUMIFS(OFFSET(V$6,1,0,PayCount,1),PayDate,"&lt;"&amp;$AC156,PayEmp,$C156)))))))</f>
        <v>0</v>
      </c>
      <c r="W156" s="133" cm="1">
        <f t="array" aca="1" ref="W156" ca="1">IF($F156="Terminated",0,IF($AA156=0,0,IF(ISNA(MATCH(W$5,CompListItem,0)),0,IF(COUNTIFS(OverEmp,$C156,OverComp,W$5,OverDate,"&lt;"&amp;DATE(YEAR($AC156),MONTH($AC156)+1,1),OverEnd,"&gt;="&amp;DATE(YEAR($AC156),MONTH($AC156),1))&gt;0,SUMIFS(OverValue,OverEmp,$C156,OverComp,W$5,OverDate,"&lt;"&amp;DATE(YEAR($AC156),MONTH($AC156)+1,1),OverEnd,"&gt;="&amp;DATE(YEAR($AC156),MONTH($AC156),1)),IF(OR(W$2="Fixed",W$2="Not Used"),(OFFSET(Setup!$E$81,MATCH(W$5,CompListItem,0),0,1,1)*$AA156)-SUMIFS(OFFSET(W$6,1,0,PayCount,1),PayDate,"&lt;"&amp;$AC156,PayEmp,$C156),IF(ISNA(MATCH(W$2,DedListItem,0))=FALSE,(SUMPRODUCT((PayEmp=$C156)*(PayDate&lt;=$AC156)*(PayDedList=W$2)*(PayDedValues))*OFFSET(Setup!$E$81,MATCH(W$5,CompListItem,0),0,1,1))-SUMIFS(OFFSET(W$6,1,0,PayCount,1),PayDate,"&lt;"&amp;$AC156,PayEmp,$C156),(MIN(IF(OFFSET(Setup!$G$81,MATCH(W$5,CompListItem,0),0,1,1)="Taxable",SUMPRODUCT((PayEmp=$C156)*(PayDate&lt;=$AC156)*(ISERROR(SEARCH(PayEarnCode,W$4)))*(PayEarnTax)*(PayEarnValues)),SUMPRODUCT((PayEmp=$C156)*(PayDate&lt;=$AC156)*(ISERROR(SEARCH(PayEarnCode,W$4)))*(PayEarnValues))),IF(ISNUMBER(W$3),W$3/12*$AA156,IgnoreMin)))*OFFSET(Setup!$E$81,MATCH(W$5,CompListItem,0),0,1,1)-SUMIFS(OFFSET(W$6,1,0,PayCount,1),PayDate,"&lt;"&amp;$AC156,PayEmp,$C156)))))))</f>
        <v>0</v>
      </c>
      <c r="X156" s="185">
        <f t="shared" ca="1" si="60"/>
        <v>0</v>
      </c>
      <c r="Y156" s="139">
        <f t="shared" ca="1" si="69"/>
        <v>0</v>
      </c>
      <c r="Z156" s="139">
        <f t="shared" ca="1" si="61"/>
        <v>0</v>
      </c>
      <c r="AA156" s="146">
        <f ca="1">IF(OR($B156&lt;=Setup!$E$12,$B156&gt;=Setup!$D$12+1),0,IF($F156&lt;&gt;"Active",0,IF($AE156="Yes",$AB156,((YEAR($AC156)*12)+MONTH($AC156))-((YEAR($AD156)*12)+MONTH($AD156)-1))))</f>
        <v>0</v>
      </c>
      <c r="AB156" s="146">
        <f ca="1">IF(OR($B156&lt;=Setup!$E$12,$B156&gt;=Setup!$D$12+1),0,((YEAR($AC156)*12)+MONTH($AC156))-((YEAR(Setup!$E$12)*12)+MONTH(Setup!$E$12)))</f>
        <v>10</v>
      </c>
      <c r="AC156" s="186">
        <f t="shared" ca="1" si="62"/>
        <v>45285</v>
      </c>
      <c r="AD156" s="144">
        <f ca="1">IF(ISNA(VLOOKUP($C156,EmpAll,COLUMN(Emp!$E$4),0)),$AC156,IF(VLOOKUP($C156,EmpAll,COLUMN(Emp!$E$4),0)&lt;=Setup!$E$12,DATE(YEAR(Setup!$E$12),MONTH(Setup!$E$12)+1,1),VLOOKUP($C156,EmpAll,COLUMN(Emp!$E$4),0)))</f>
        <v>45316</v>
      </c>
      <c r="AE156" s="144" t="str">
        <f ca="1">IF(ISNA(VLOOKUP($C156,EmpAll,COLUMN(Emp!$G$1),0)),"-",IF(VLOOKUP($C156,EmpAll,COLUMN(Emp!$G$1),0)=0,"-",VLOOKUP($C156,EmpAll,COLUMN(Emp!$G$1),0)))</f>
        <v>-</v>
      </c>
      <c r="AF156" s="145">
        <f ca="1">IF(A156=PaySlip!$G$3,1,0)</f>
        <v>0</v>
      </c>
      <c r="AG156" s="130" cm="1">
        <f t="array" aca="1" ref="AG156" ca="1">IF(COUNTIFS(OverEmp,$C156,OverMed,"MED",OverDate,"&lt;"&amp;DATE(YEAR($AC156),MONTH($AC156)+1,1),OverEnd,"&gt;="&amp;DATE(YEAR($AC156),MONTH($AC156),1))&gt;0,SUMIFS(OverValue,OverEmp,$C156,OverMed,"MED",OverDate,"&lt;"&amp;DATE(YEAR($AC156),MONTH($AC156)+1,1),OverEnd,"&gt;="&amp;DATE(YEAR($AC156),MONTH($AC156),1)),IF(ISNA(VLOOKUP($C156,EmpAll,COLUMN(Emp!$N$4),0)),0,VLOOKUP($C156,EmpAll,COLUMN(Emp!$N$4),0)))</f>
        <v>1</v>
      </c>
      <c r="AH156" s="146">
        <f ca="1">VLOOKUP($AG156,MedList,COLUMN(Setup!$C$49),1)</f>
        <v>364</v>
      </c>
      <c r="AI156" s="146">
        <f t="shared" ca="1" si="70"/>
        <v>8008</v>
      </c>
      <c r="AJ156" s="101" t="str">
        <f ca="1">IF(ISNA(VLOOKUP($C156,EmpAll,COLUMN(Emp!$L$4),0)),"None!",VLOOKUP($C156,EmpAll,COLUMN(Emp!$L$4),0))</f>
        <v>A</v>
      </c>
      <c r="AK156" s="147">
        <f t="shared" ca="1" si="63"/>
        <v>17235</v>
      </c>
      <c r="AL156" s="101" t="str">
        <f ca="1">IF(ISNA(VLOOKUP($C156,Employees[],COLUMN(Emp!$M$4),0))=TRUE,"Error!",IF(VLOOKUP($C156,Employees[],COLUMN(Emp!$M$4),0)=0,"Yes",VLOOKUP($C156,Employees[],COLUMN(Emp!$M$4),0)))</f>
        <v>A</v>
      </c>
      <c r="AM156" s="148">
        <f t="shared" ca="1" si="71"/>
        <v>0</v>
      </c>
      <c r="AN156" s="148" cm="1">
        <f t="array" aca="1" ref="AN156" ca="1">-IF($F156="Terminated",0,IF($AA156=0,0,IF(ISNA(MATCH(AN$5,PayDedList,0)),0,MIN(IF(COUNTIFS(OverEmp,$C156,OverDeduct,AN$5,OverDate,"&lt;"&amp;DATE(YEAR($AC156),MONTH($AC156)+1,1),OverEnd,"&gt;="&amp;DATE(YEAR($AC156),MONTH($AC156),1))&gt;0,SUMPRODUCT((PayEmp=$C156)*(PayDate&lt;=$AC156)*(OFFSET($N$6,1,MATCH(AN$5,PayDedList,0)-1,PayCount,1)))/$AA156*12*AN$3,IF(OR(AN$1="Fixed",AN$1="Not Used"),SUMPRODUCT((PayEmp=$C156)*(PayDate&lt;=$AC156)*(OFFSET($N$6,1,MATCH(AN$5,PayDedList,0)-1,PayCount,1)))/$AA156*12*AN$3,IF(ISNA(MATCH(AN$1,EarnListItem,0))=FALSE,SUMPRODUCT((PayEmp=$C156)*(PayDate&lt;=$AC156)*(OFFSET($N$6,1,MATCH(AN$5,PayDedList,0)-1,PayCount,1)))/$AA156*12*AN$3,(MIN(((SUMPRODUCT((PayEmp=$C156)*(PayDate&lt;=$AC156)*(ISERROR(SEARCH(PayEarnCode,AN$2)))*(PayEarnType="Monthly")*(PayEarnValues))/$AA156*12)+(SUMPRODUCT((PayEmp=$C156)*(PayDate&lt;=$AC156)*(ISERROR(SEARCH(PayEarnCode,AN$2)))*(PayEarnType="Quarterly")*(PayEarnValues))/MAX(1,ROUNDDOWN($AB156/3,0))*4)+(SUMPRODUCT((PayEmp=$C156)*(PayDate&lt;=$AC156)*(ISERROR(SEARCH(PayEarnCode,AN$2)))*(PayEarnType="Bi-Annual")*(PayEarnValues))/MAX(1,ROUNDDOWN($AB156/6,0))*2)+(SUMPRODUCT((PayEmp=$C156)*(PayDate&lt;=$AC156)*(ISERROR(SEARCH(PayEarnCode,AN$2)))*(PayEarnType="Annual")*(PayEarnValues)))),IF(ISNUMBER(OFFSET($N$3,0,MATCH(AN$5,PayDedList,0)-1,1,1)),OFFSET($N$3,0,MATCH(AN$5,PayDedList,0)-1,1,1),IgnoreMin)))*IF(COUNTIFS(EmpNo,$C156,OFFSET(Emp!$R$4,1,MATCH(AN$5,DedListItem,0)-1,EmpCount,1),"&lt;&gt;")&gt;0,VLOOKUP($C156,EmpAll,COLUMN(Emp!$R$4)+MATCH(AN$5,DedListItem,0)-1,0),OFFSET(Setup!$E$73,MATCH(AN$5,DedListItem,0),0,1,1))*AN$3))),IF(ISNUMBER(AN$4),AN$4,IgnoreMin)))))</f>
        <v>0</v>
      </c>
      <c r="AO156" s="148" cm="1">
        <f t="array" aca="1" ref="AO156" ca="1">-IF($F156="Terminated",0,IF($AA156=0,0,IF(ISNA(MATCH(AO$5,PayDedList,0)),0,MIN(IF(COUNTIFS(OverEmp,$C156,OverDeduct,AO$5,OverDate,"&lt;"&amp;DATE(YEAR($AC156),MONTH($AC156)+1,1),OverEnd,"&gt;="&amp;DATE(YEAR($AC156),MONTH($AC156),1))&gt;0,SUMPRODUCT((PayEmp=$C156)*(PayDate&lt;=$AC156)*(OFFSET($N$6,1,MATCH(AO$5,PayDedList,0)-1,PayCount,1)))/$AA156*12*AO$3,IF(OR(AO$1="Fixed",AO$1="Not Used"),SUMPRODUCT((PayEmp=$C156)*(PayDate&lt;=$AC156)*(OFFSET($N$6,1,MATCH(AO$5,PayDedList,0)-1,PayCount,1)))/$AA156*12*AO$3,IF(ISNA(MATCH(AO$1,EarnListItem,0))=FALSE,SUMPRODUCT((PayEmp=$C156)*(PayDate&lt;=$AC156)*(OFFSET($N$6,1,MATCH(AO$5,PayDedList,0)-1,PayCount,1)))/$AA156*12*AO$3,(MIN(((SUMPRODUCT((PayEmp=$C156)*(PayDate&lt;=$AC156)*(ISERROR(SEARCH(PayEarnCode,AO$2)))*(PayEarnType="Monthly")*(PayEarnValues))/$AA156*12)+(SUMPRODUCT((PayEmp=$C156)*(PayDate&lt;=$AC156)*(ISERROR(SEARCH(PayEarnCode,AO$2)))*(PayEarnType="Quarterly")*(PayEarnValues))/MAX(1,ROUNDDOWN($AB156/3,0))*4)+(SUMPRODUCT((PayEmp=$C156)*(PayDate&lt;=$AC156)*(ISERROR(SEARCH(PayEarnCode,AO$2)))*(PayEarnType="Bi-Annual")*(PayEarnValues))/MAX(1,ROUNDDOWN($AB156/6,0))*2)+(SUMPRODUCT((PayEmp=$C156)*(PayDate&lt;=$AC156)*(ISERROR(SEARCH(PayEarnCode,AO$2)))*(PayEarnType="Annual")*(PayEarnValues)))),IF(ISNUMBER(OFFSET($N$3,0,MATCH(AO$5,PayDedList,0)-1,1,1)),OFFSET($N$3,0,MATCH(AO$5,PayDedList,0)-1,1,1),IgnoreMin)))*IF(COUNTIFS(EmpNo,$C156,OFFSET(Emp!$R$4,1,MATCH(AO$5,DedListItem,0)-1,EmpCount,1),"&lt;&gt;")&gt;0,VLOOKUP($C156,EmpAll,COLUMN(Emp!$R$4)+MATCH(AO$5,DedListItem,0)-1,0),OFFSET(Setup!$E$73,MATCH(AO$5,DedListItem,0),0,1,1))*AO$3))),IF(ISNUMBER(AO$4),AO$4,IgnoreMin)))))</f>
        <v>0</v>
      </c>
      <c r="AP156" s="148" cm="1">
        <f t="array" aca="1" ref="AP156" ca="1">-IF($F156="Terminated",0,IF($AA156=0,0,IF(ISNA(MATCH(AP$5,PayDedList,0)),0,MIN(IF(COUNTIFS(OverEmp,$C156,OverDeduct,AP$5,OverDate,"&lt;"&amp;DATE(YEAR($AC156),MONTH($AC156)+1,1),OverEnd,"&gt;="&amp;DATE(YEAR($AC156),MONTH($AC156),1))&gt;0,SUMPRODUCT((PayEmp=$C156)*(PayDate&lt;=$AC156)*(OFFSET($N$6,1,MATCH(AP$5,PayDedList,0)-1,PayCount,1)))/$AA156*12*AP$3,IF(OR(AP$1="Fixed",AP$1="Not Used"),SUMPRODUCT((PayEmp=$C156)*(PayDate&lt;=$AC156)*(OFFSET($N$6,1,MATCH(AP$5,PayDedList,0)-1,PayCount,1)))/$AA156*12*AP$3,IF(ISNA(MATCH(AP$1,EarnListItem,0))=FALSE,SUMPRODUCT((PayEmp=$C156)*(PayDate&lt;=$AC156)*(OFFSET($N$6,1,MATCH(AP$5,PayDedList,0)-1,PayCount,1)))/$AA156*12*AP$3,(MIN(((SUMPRODUCT((PayEmp=$C156)*(PayDate&lt;=$AC156)*(ISERROR(SEARCH(PayEarnCode,AP$2)))*(PayEarnType="Monthly")*(PayEarnValues))/$AA156*12)+(SUMPRODUCT((PayEmp=$C156)*(PayDate&lt;=$AC156)*(ISERROR(SEARCH(PayEarnCode,AP$2)))*(PayEarnType="Quarterly")*(PayEarnValues))/MAX(1,ROUNDDOWN($AB156/3,0))*4)+(SUMPRODUCT((PayEmp=$C156)*(PayDate&lt;=$AC156)*(ISERROR(SEARCH(PayEarnCode,AP$2)))*(PayEarnType="Bi-Annual")*(PayEarnValues))/MAX(1,ROUNDDOWN($AB156/6,0))*2)+(SUMPRODUCT((PayEmp=$C156)*(PayDate&lt;=$AC156)*(ISERROR(SEARCH(PayEarnCode,AP$2)))*(PayEarnType="Annual")*(PayEarnValues)))),IF(ISNUMBER(OFFSET($N$3,0,MATCH(AP$5,PayDedList,0)-1,1,1)),OFFSET($N$3,0,MATCH(AP$5,PayDedList,0)-1,1,1),IgnoreMin)))*IF(COUNTIFS(EmpNo,$C156,OFFSET(Emp!$R$4,1,MATCH(AP$5,DedListItem,0)-1,EmpCount,1),"&lt;&gt;")&gt;0,VLOOKUP($C156,EmpAll,COLUMN(Emp!$R$4)+MATCH(AP$5,DedListItem,0)-1,0),OFFSET(Setup!$E$73,MATCH(AP$5,DedListItem,0),0,1,1))*AP$3))),IF(ISNUMBER(AP$4),AP$4,IgnoreMin)))))</f>
        <v>0</v>
      </c>
      <c r="AQ156" s="148" cm="1">
        <f t="array" aca="1" ref="AQ156" ca="1">-IF($F156="Terminated",0,IF($AA156=0,0,IF(ISNA(MATCH(AQ$5,PayDedList,0)),0,MIN(IF(COUNTIFS(OverEmp,$C156,OverDeduct,AQ$5,OverDate,"&lt;"&amp;DATE(YEAR($AC156),MONTH($AC156)+1,1),OverEnd,"&gt;="&amp;DATE(YEAR($AC156),MONTH($AC156),1))&gt;0,SUMPRODUCT((PayEmp=$C156)*(PayDate&lt;=$AC156)*(OFFSET($N$6,1,MATCH(AQ$5,PayDedList,0)-1,PayCount,1)))/$AA156*12*AQ$3,IF(OR(AQ$1="Fixed",AQ$1="Not Used"),SUMPRODUCT((PayEmp=$C156)*(PayDate&lt;=$AC156)*(OFFSET($N$6,1,MATCH(AQ$5,PayDedList,0)-1,PayCount,1)))/$AA156*12*AQ$3,IF(ISNA(MATCH(AQ$1,EarnListItem,0))=FALSE,SUMPRODUCT((PayEmp=$C156)*(PayDate&lt;=$AC156)*(OFFSET($N$6,1,MATCH(AQ$5,PayDedList,0)-1,PayCount,1)))/$AA156*12*AQ$3,(MIN(((SUMPRODUCT((PayEmp=$C156)*(PayDate&lt;=$AC156)*(ISERROR(SEARCH(PayEarnCode,AQ$2)))*(PayEarnType="Monthly")*(PayEarnValues))/$AA156*12)+(SUMPRODUCT((PayEmp=$C156)*(PayDate&lt;=$AC156)*(ISERROR(SEARCH(PayEarnCode,AQ$2)))*(PayEarnType="Quarterly")*(PayEarnValues))/MAX(1,ROUNDDOWN($AB156/3,0))*4)+(SUMPRODUCT((PayEmp=$C156)*(PayDate&lt;=$AC156)*(ISERROR(SEARCH(PayEarnCode,AQ$2)))*(PayEarnType="Bi-Annual")*(PayEarnValues))/MAX(1,ROUNDDOWN($AB156/6,0))*2)+(SUMPRODUCT((PayEmp=$C156)*(PayDate&lt;=$AC156)*(ISERROR(SEARCH(PayEarnCode,AQ$2)))*(PayEarnType="Annual")*(PayEarnValues)))),IF(ISNUMBER(OFFSET($N$3,0,MATCH(AQ$5,PayDedList,0)-1,1,1)),OFFSET($N$3,0,MATCH(AQ$5,PayDedList,0)-1,1,1),IgnoreMin)))*IF(COUNTIFS(EmpNo,$C156,OFFSET(Emp!$R$4,1,MATCH(AQ$5,DedListItem,0)-1,EmpCount,1),"&lt;&gt;")&gt;0,VLOOKUP($C156,EmpAll,COLUMN(Emp!$R$4)+MATCH(AQ$5,DedListItem,0)-1,0),OFFSET(Setup!$E$73,MATCH(AQ$5,DedListItem,0),0,1,1))*AQ$3))),IF(ISNUMBER(AQ$4),AQ$4,IgnoreMin)))))</f>
        <v>0</v>
      </c>
      <c r="AR156" s="148">
        <f t="shared" ca="1" si="64"/>
        <v>0</v>
      </c>
      <c r="AS156" s="148">
        <f t="shared" ca="1" si="72"/>
        <v>0</v>
      </c>
      <c r="AT156" s="148" cm="1">
        <f t="array" aca="1" ref="AT156" ca="1">-IF($F156="Terminated",0,IF($AA156=0,0,IF(ISNA(MATCH(AT$5,PayDedList,0)),0,MIN(IF(COUNTIFS(OverEmp,$C156,OverDeduct,AT$5,OverDate,"&lt;"&amp;DATE(YEAR($AC156),MONTH($AC156)+1,1),OverEnd,"&gt;="&amp;DATE(YEAR($AC156),MONTH($AC156),1))&gt;0,SUMPRODUCT((PayEmp=$C156)*(PayDate&lt;=$AC156)*(OFFSET($N$6,1,MATCH(AT$5,PayDedList,0)-1,PayCount,1)))/$AA156*12*AT$3,IF(OR(AT$1="Fixed",AT$1="Not Used"),SUMPRODUCT((PayEmp=$C156)*(PayDate&lt;=$AC156)*(OFFSET($N$6,1,MATCH(AT$5,PayDedList,0)-1,PayCount,1)))/$AA156*12*AT$3,IF(ISNA(MATCH(OFFSET($N$2,0,MATCH(AT$5,PayDedList,0)-1,1,1),EarnListItem,0))=FALSE,SUMPRODUCT((PayEmp=$C156)*(PayDate&lt;=$AC156)*(OFFSET($N$6,1,MATCH(AT$5,PayDedList,0)-1,PayCount,1)))/$AA156*12*AT$3,(MIN(SUMPRODUCT((PayEmp=$C156)*(PayDate&lt;=$AC156)*(ISERROR(SEARCH(PayEarnCode,AT$2)))*(PayEarnType="Monthly")*(PayEarnValues))/$AA156*12,IF(ISNUMBER(OFFSET($N$3,0,MATCH(AT$5,PayDedList,0)-1,1,1)),OFFSET($N$3,0,MATCH(AT$5,PayDedList,0)-1,1,1),IgnoreMin)))*IF(COUNTIFS(EmpNo,$C156,OFFSET(Emp!$R$4,1,MATCH(AT$5,DedListItem,0)-1,EmpCount,1),"&lt;&gt;")&gt;0,VLOOKUP($C156,EmpAll,COLUMN(Emp!$R$4)+MATCH(AT$5,DedListItem,0)-1,0),OFFSET(Setup!$E$73,MATCH(AT$5,DedListItem,0),0,1,1))*AT$3))),IF(ISNUMBER(AT$4),AT$4,IgnoreMin)))))</f>
        <v>0</v>
      </c>
      <c r="AU156" s="148" cm="1">
        <f t="array" aca="1" ref="AU156" ca="1">-IF($F156="Terminated",0,IF($AA156=0,0,IF(ISNA(MATCH(AU$5,PayDedList,0)),0,MIN(IF(COUNTIFS(OverEmp,$C156,OverDeduct,AU$5,OverDate,"&lt;"&amp;DATE(YEAR($AC156),MONTH($AC156)+1,1),OverEnd,"&gt;="&amp;DATE(YEAR($AC156),MONTH($AC156),1))&gt;0,SUMPRODUCT((PayEmp=$C156)*(PayDate&lt;=$AC156)*(OFFSET($N$6,1,MATCH(AU$5,PayDedList,0)-1,PayCount,1)))/$AA156*12*AU$3,IF(OR(AU$1="Fixed",AU$1="Not Used"),SUMPRODUCT((PayEmp=$C156)*(PayDate&lt;=$AC156)*(OFFSET($N$6,1,MATCH(AU$5,PayDedList,0)-1,PayCount,1)))/$AA156*12*AU$3,IF(ISNA(MATCH(OFFSET($N$2,0,MATCH(AU$5,PayDedList,0)-1,1,1),EarnListItem,0))=FALSE,SUMPRODUCT((PayEmp=$C156)*(PayDate&lt;=$AC156)*(OFFSET($N$6,1,MATCH(AU$5,PayDedList,0)-1,PayCount,1)))/$AA156*12*AU$3,(MIN(SUMPRODUCT((PayEmp=$C156)*(PayDate&lt;=$AC156)*(ISERROR(SEARCH(PayEarnCode,AU$2)))*(PayEarnType="Monthly")*(PayEarnValues))/$AA156*12,IF(ISNUMBER(OFFSET($N$3,0,MATCH(AU$5,PayDedList,0)-1,1,1)),OFFSET($N$3,0,MATCH(AU$5,PayDedList,0)-1,1,1),IgnoreMin)))*IF(COUNTIFS(EmpNo,$C156,OFFSET(Emp!$R$4,1,MATCH(AU$5,DedListItem,0)-1,EmpCount,1),"&lt;&gt;")&gt;0,VLOOKUP($C156,EmpAll,COLUMN(Emp!$R$4)+MATCH(AU$5,DedListItem,0)-1,0),OFFSET(Setup!$E$73,MATCH(AU$5,DedListItem,0),0,1,1))*AU$3))),IF(ISNUMBER(AU$4),AU$4,IgnoreMin)))))</f>
        <v>0</v>
      </c>
      <c r="AV156" s="148" cm="1">
        <f t="array" aca="1" ref="AV156" ca="1">-IF($F156="Terminated",0,IF($AA156=0,0,IF(ISNA(MATCH(AV$5,PayDedList,0)),0,MIN(IF(COUNTIFS(OverEmp,$C156,OverDeduct,AV$5,OverDate,"&lt;"&amp;DATE(YEAR($AC156),MONTH($AC156)+1,1),OverEnd,"&gt;="&amp;DATE(YEAR($AC156),MONTH($AC156),1))&gt;0,SUMPRODUCT((PayEmp=$C156)*(PayDate&lt;=$AC156)*(OFFSET($N$6,1,MATCH(AV$5,PayDedList,0)-1,PayCount,1)))/$AA156*12*AV$3,IF(OR(AV$1="Fixed",AV$1="Not Used"),SUMPRODUCT((PayEmp=$C156)*(PayDate&lt;=$AC156)*(OFFSET($N$6,1,MATCH(AV$5,PayDedList,0)-1,PayCount,1)))/$AA156*12*AV$3,IF(ISNA(MATCH(OFFSET($N$2,0,MATCH(AV$5,PayDedList,0)-1,1,1),EarnListItem,0))=FALSE,SUMPRODUCT((PayEmp=$C156)*(PayDate&lt;=$AC156)*(OFFSET($N$6,1,MATCH(AV$5,PayDedList,0)-1,PayCount,1)))/$AA156*12*AV$3,(MIN(SUMPRODUCT((PayEmp=$C156)*(PayDate&lt;=$AC156)*(ISERROR(SEARCH(PayEarnCode,AV$2)))*(PayEarnType="Monthly")*(PayEarnValues))/$AA156*12,IF(ISNUMBER(OFFSET($N$3,0,MATCH(AV$5,PayDedList,0)-1,1,1)),OFFSET($N$3,0,MATCH(AV$5,PayDedList,0)-1,1,1),IgnoreMin)))*IF(COUNTIFS(EmpNo,$C156,OFFSET(Emp!$R$4,1,MATCH(AV$5,DedListItem,0)-1,EmpCount,1),"&lt;&gt;")&gt;0,VLOOKUP($C156,EmpAll,COLUMN(Emp!$R$4)+MATCH(AV$5,DedListItem,0)-1,0),OFFSET(Setup!$E$73,MATCH(AV$5,DedListItem,0),0,1,1))*AV$3))),IF(ISNUMBER(AV$4),AV$4,IgnoreMin)))))</f>
        <v>0</v>
      </c>
      <c r="AW156" s="148" cm="1">
        <f t="array" aca="1" ref="AW156" ca="1">-IF($F156="Terminated",0,IF($AA156=0,0,IF(ISNA(MATCH(AW$5,PayDedList,0)),0,MIN(IF(COUNTIFS(OverEmp,$C156,OverDeduct,AW$5,OverDate,"&lt;"&amp;DATE(YEAR($AC156),MONTH($AC156)+1,1),OverEnd,"&gt;="&amp;DATE(YEAR($AC156),MONTH($AC156),1))&gt;0,SUMPRODUCT((PayEmp=$C156)*(PayDate&lt;=$AC156)*(OFFSET($N$6,1,MATCH(AW$5,PayDedList,0)-1,PayCount,1)))/$AA156*12*AW$3,IF(OR(AW$1="Fixed",AW$1="Not Used"),SUMPRODUCT((PayEmp=$C156)*(PayDate&lt;=$AC156)*(OFFSET($N$6,1,MATCH(AW$5,PayDedList,0)-1,PayCount,1)))/$AA156*12*AW$3,IF(ISNA(MATCH(OFFSET($N$2,0,MATCH(AW$5,PayDedList,0)-1,1,1),EarnListItem,0))=FALSE,SUMPRODUCT((PayEmp=$C156)*(PayDate&lt;=$AC156)*(OFFSET($N$6,1,MATCH(AW$5,PayDedList,0)-1,PayCount,1)))/$AA156*12*AW$3,(MIN(SUMPRODUCT((PayEmp=$C156)*(PayDate&lt;=$AC156)*(ISERROR(SEARCH(PayEarnCode,AW$2)))*(PayEarnType="Monthly")*(PayEarnValues))/$AA156*12,IF(ISNUMBER(OFFSET($N$3,0,MATCH(AW$5,PayDedList,0)-1,1,1)),OFFSET($N$3,0,MATCH(AW$5,PayDedList,0)-1,1,1),IgnoreMin)))*IF(COUNTIFS(EmpNo,$C156,OFFSET(Emp!$R$4,1,MATCH(AW$5,DedListItem,0)-1,EmpCount,1),"&lt;&gt;")&gt;0,VLOOKUP($C156,EmpAll,COLUMN(Emp!$R$4)+MATCH(AW$5,DedListItem,0)-1,0),OFFSET(Setup!$E$73,MATCH(AW$5,DedListItem,0),0,1,1))*AW$3))),IF(ISNUMBER(AW$4),AW$4,IgnoreMin)))))</f>
        <v>0</v>
      </c>
      <c r="AX156" s="148">
        <f t="shared" ca="1" si="73"/>
        <v>0</v>
      </c>
      <c r="AY156" s="148">
        <f t="shared" ca="1" si="74"/>
        <v>0</v>
      </c>
      <c r="AZ156" s="148">
        <f ca="1">IF(ISNUMBER($AL156),($AR156*$AL156)-$AI156-$AK156,MAX(0,IF($AL156="B",IF($AR156&lt;Setup!$C$32,($AR156*Setup!$D$32)-$AI156-$AK156,(($AR156-VLOOKUP($AR156,TaxAll2,1,1))*OFFSET(Setup!$D$32,MATCH($AR156,TaxBracket2,1),0,1,1))+OFFSET(Setup!$E$31,MATCH($AR156,TaxBracket2,1),0,1,1)-$AI156-$AK156),IF($AR156&lt;Setup!$C$21,($AR156*Setup!$D$21)-$AI156-$AK156,(($AR156-VLOOKUP($AR156,TaxAll1,1,1))*OFFSET(Setup!$D$21,MATCH($AR156,TaxBracket1,1),0,1,1))+OFFSET(Setup!$E$20,MATCH($AR156,TaxBracket1,1),0,1,1)-$AI156-$AK156))))</f>
        <v>0</v>
      </c>
      <c r="BA156" s="148">
        <f ca="1">IF(ISNUMBER($AL156),($AX156*$AL156)-$AI156-$AK156,MAX(0,IF($AL156="B",IF($AX156&lt;Setup!$C$32,($AX156*Setup!$D$32)-$AI156-$AK156,(($AX156-VLOOKUP($AX156,TaxAll2,1,1))*OFFSET(Setup!$D$32,MATCH($AX156,TaxBracket2,1),0,1,1))+OFFSET(Setup!$E$31,MATCH($AX156,TaxBracket2,1),0,1,1)-$AI156-$AK156),IF($AX156&lt;Setup!$C$21,($AX156*Setup!$D$21)-$AI156-$AK156,(($AX156-VLOOKUP($AX156,TaxAll1,1,1))*OFFSET(Setup!$D$21,MATCH($AX156,TaxBracket1,1),0,1,1))+OFFSET(Setup!$E$20,MATCH($AX156,TaxBracket1,1),0,1,1)-$AI156-$AK156))))</f>
        <v>0</v>
      </c>
      <c r="BB156" s="148">
        <f t="shared" ca="1" si="65"/>
        <v>0</v>
      </c>
      <c r="BC156" s="150">
        <f t="shared" ca="1" si="75"/>
        <v>0</v>
      </c>
      <c r="BD156" s="150">
        <f t="shared" ca="1" si="76"/>
        <v>0</v>
      </c>
      <c r="BE156" s="148">
        <f t="shared" ca="1" si="77"/>
        <v>0</v>
      </c>
    </row>
    <row r="157" spans="1:57" ht="16.149999999999999" customHeight="1" x14ac:dyDescent="0.25">
      <c r="A157" s="10" t="str" cm="1">
        <f t="array" aca="1" ref="A157" ca="1">IF(ROW($A157)-ROW($A$6)&gt;EmpCount*12,"-",TEXT($B157,"yyyy")&amp;TEXT($B157,"mm")&amp;"-"&amp;$C157)</f>
        <v>202401-EXS001</v>
      </c>
      <c r="B157" s="137" cm="1">
        <f t="array" aca="1" ref="B157" ca="1">IF(ROW($A157)-ROW($A$6)&gt;EmpCount*12,Setup!$D$12,DATE(YEAR(Setup!$F$12),MONTH(Setup!$F$12)+ROUNDDOWN((ROW($A157)-ROW($A$6)-1)/EmpCount,0),IF(Setup!$C$14&gt;DAY(DATE(YEAR(Setup!$F$12),MONTH(Setup!$F$12)+ROUNDDOWN((ROW($A157)-ROW($A$6)-1)/EmpCount,0)+1,0)),DAY(DATE(YEAR(Setup!$F$12),MONTH(Setup!$F$12)+ROUNDDOWN((ROW($A157)-ROW($A$6)-1)/EmpCount,0)+1,0)),Setup!$C$14)))</f>
        <v>45316</v>
      </c>
      <c r="C157" s="101" t="str" cm="1">
        <f t="array" aca="1" ref="C157" ca="1">IF(ROW($A157)-ROW($A$6)&gt;EmpCount*12,"-",OFFSET(Emp!$A$4,ROW($A157)-ROW($A$6)-IF(ROW($A157)-ROW($A$6)&gt;EmpCount,ROUNDDOWN((ROW($A157)-ROW($A$6)-1)/EmpCount,0)*EmpCount,0),0,1,1))</f>
        <v>EXS001</v>
      </c>
      <c r="D157" s="10" t="str">
        <f ca="1">IF(ISNA(VLOOKUP($C157,EmpAll,COLUMN(Emp!$B$4),0)),"-",VLOOKUP($C157,EmpAll,COLUMN(Emp!$B$4),0))</f>
        <v>Taylor AE</v>
      </c>
      <c r="E157" s="145" t="str">
        <f ca="1">IF(ISNA(VLOOKUP($C157,EmpAll,COLUMN(Emp!$C$4),0)),"-",VLOOKUP($C157,EmpAll,COLUMN(Emp!$C$4),0))</f>
        <v>M</v>
      </c>
      <c r="F157" s="101" t="str">
        <f ca="1">IF(ISNA(VLOOKUP($C157,EmpAll,COLUMN(Emp!$A$4),0)),"-",IF(AND(VLOOKUP($C157,EmpAll,COLUMN(Emp!$E$4),0)&lt;&gt;0,VLOOKUP($C157,EmpAll,COLUMN(Emp!$E$4),0)&gt;=DATE(YEAR($AC157),MONTH($AC157)+1,0)),"Inactive",IF(AND(VLOOKUP($C157,EmpAll,COLUMN(Emp!$F$4),0)&lt;&gt;0,VLOOKUP($C157,EmpAll,COLUMN(Emp!$F$4),0)&lt;=DATE(YEAR($AC157),MONTH($AC157),0)),"Terminated","Active")))</f>
        <v>Active</v>
      </c>
      <c r="G157" s="133" cm="1">
        <f t="array" aca="1" ref="G157" ca="1">IF($F157&lt;&gt;"Active",0,IF(COUNTIFS(OverEmp,$C157,OverEarn,G$2,OverDate,"&lt;"&amp;DATE(YEAR($AC157),MONTH($AC157)+1,1),OverEnd,"&gt;="&amp;DATE(YEAR($AC157),MONTH($AC157),1))&gt;0,SUMIFS(OverValue,OverEmp,$C157,OverEarn,G$2,OverDate,"&lt;"&amp;DATE(YEAR($AC157),MONTH($AC157)+1,1),OverEnd,"&gt;="&amp;DATE(YEAR($AC157),MONTH($AC157),1)),IF(AND($AC157&gt;=Setup!$E$10,SUMIFS(EmpIncrease,EmpCode,$C157)&gt;0),SUMIFS(EmpIncrease,EmpCode,$C157),SUMIFS(EmpSalary,EmpCode,$C157))))</f>
        <v>165000</v>
      </c>
      <c r="H157" s="133" cm="1">
        <f t="array" aca="1" ref="H157" ca="1">IF($F157&lt;&gt;"Active",0,IF(COUNTIFS(OverEmp,$C157,OverEarn,H$2,OverDate,"&lt;"&amp;DATE(YEAR($AC157),MONTH($AC157)+1,1),OverEnd,"&gt;="&amp;DATE(YEAR($AC157),MONTH($AC157),1))&gt;0,SUMIFS(OverValue,OverEmp,$C157,OverEarn,H$2,OverDate,"&lt;"&amp;DATE(YEAR($AC157),MONTH($AC157)+1,1),OverEnd,"&gt;="&amp;DATE(YEAR($AC157),MONTH($AC157),1)),0))</f>
        <v>0</v>
      </c>
      <c r="I157" s="133" cm="1">
        <f t="array" aca="1" ref="I157" ca="1">IF($F157&lt;&gt;"Active",0,IF(COUNTIFS(OverEmp,$C157,OverEarn,I$2,OverDate,"&lt;"&amp;DATE(YEAR($AC157),MONTH($AC157)+1,1),OverEnd,"&gt;="&amp;DATE(YEAR($AC157),MONTH($AC157),1))&gt;0,SUMIFS(OverValue,OverEmp,$C157,OverEarn,I$2,OverDate,"&lt;"&amp;DATE(YEAR($AC157),MONTH($AC157)+1,1),OverEnd,"&gt;="&amp;DATE(YEAR($AC157),MONTH($AC157),1)),IF(MONTH(B157)=Setup!$C$15,SUMIFS(EmpBonus,EmpCode,$C157),0)))</f>
        <v>0</v>
      </c>
      <c r="J157" s="133" cm="1">
        <f t="array" aca="1" ref="J157" ca="1">IF($F157&lt;&gt;"Active",0,IF(COUNTIFS(OverEmp,$C157,OverEarn,J$2,OverDate,"&lt;"&amp;DATE(YEAR($AC157),MONTH($AC157)+1,1),OverEnd,"&gt;="&amp;DATE(YEAR($AC157),MONTH($AC157),1))&gt;0,SUMIFS(OverValue,OverEmp,$C157,OverEarn,J$2,OverDate,"&lt;"&amp;DATE(YEAR($AC157),MONTH($AC157)+1,1),OverEnd,"&gt;="&amp;DATE(YEAR($AC157),MONTH($AC157),1)),0))</f>
        <v>0</v>
      </c>
      <c r="K157" s="133" cm="1">
        <f t="array" aca="1" ref="K157" ca="1">IF($F157&lt;&gt;"Active",0,IF(COUNTIFS(OverEmp,$C157,OverEarn,K$2,OverDate,"&lt;"&amp;DATE(YEAR($AC157),MONTH($AC157)+1,1),OverEnd,"&gt;="&amp;DATE(YEAR($AC157),MONTH($AC157),1))&gt;0,SUMIFS(OverValue,OverEmp,$C157,OverEarn,K$2,OverDate,"&lt;"&amp;DATE(YEAR($AC157),MONTH($AC157)+1,1),OverEnd,"&gt;="&amp;DATE(YEAR($AC157),MONTH($AC157),1)),0))</f>
        <v>0</v>
      </c>
      <c r="L157" s="185">
        <f t="shared" ca="1" si="66"/>
        <v>165000</v>
      </c>
      <c r="M157" s="182" cm="1">
        <f t="array" aca="1" ref="M157" ca="1">IF(COUNTIFS(OverEmp,$C157,OverTax,M$5,OverDate,"&lt;"&amp;DATE(YEAR($AC157),MONTH($AC157)+1,1),OverEnd,"&gt;="&amp;DATE(YEAR($AC157),MONTH($AC157),1))&gt;0,SUMIFS(OverValue,OverEmp,$C157,OverTax,M$5,OverDate,"&lt;"&amp;DATE(YEAR($AC157),MONTH($AC157)+1,1),OverEnd,"&gt;="&amp;DATE(YEAR($AC157),MONTH($AC157),1)),(($BA157/12*$AA157)+(BB157*IF(1-$BC157=0,0,BD157/(1-$BC157))))-IF($F157="Terminated",0,SUMIFS(PayTaxDeduct,PayDate,"&lt;"&amp;$AC157,PayEmp,$C157)))</f>
        <v>51376.037878787669</v>
      </c>
      <c r="N157" s="133" cm="1">
        <f t="array" aca="1" ref="N157" ca="1">IF($F157="Terminated",0,IF($AA157=0,0,IF(ISNA(MATCH(N$5,DedListItem,0)),0,IF(COUNTIFS(OverEmp,$C157,OverDeduct,N$5,OverDate,"&lt;"&amp;DATE(YEAR($AC157),MONTH($AC157)+1,1),OverEnd,"&gt;="&amp;DATE(YEAR($AC157),MONTH($AC157),1))&gt;0,SUMIFS(OverValue,OverEmp,$C157,OverDeduct,N$5,OverDate,"&lt;"&amp;DATE(YEAR($AC157),MONTH($AC157)+1,1),OverEnd,"&gt;="&amp;DATE(YEAR($AC157),MONTH($AC157),1)),IF(OR(N$2="Fixed",N$2="Not Used"),(IF(COUNTIFS(EmpNo,$C157,OFFSET(Emp!$R$4,1,MATCH(N$5,DedListItem,0)-1,EmpCount,1),"&lt;&gt;")&gt;0,VLOOKUP($C157,EmpAll,COLUMN(Emp!$R$4)+MATCH(N$5,DedListItem,0)-1,0),OFFSET(Setup!$E$73,MATCH(N$5,DedListItem,0),0,1,1))*$AA157)-SUMIFS(OFFSET(N$6,1,0,PayCount,1),PayDate,"&lt;"&amp;$AC157,PayEmp,$C157),IF(ISNA(MATCH(N$2,EarnListItem,0))=FALSE,IF(OFFSET(Setup!$G$73,MATCH(N$5,DedListItem,0),0,1,1)="Taxable",SUMPRODUCT((PayEmp=$C157)*(PayDate&lt;=$AC157)*(PayEarnCode=N$2)*(PayEarnTax)*(PayEarnValues)),SUMPRODUCT((PayEmp=$C157)*(PayDate&lt;=$AC157)*(PayEarnCode=N$2)*(PayEarnValues)))*IF(COUNTIFS(EmpNo,$C157,OFFSET(Emp!$R$4,1,MATCH(N$5,DedListItem,0)-1,EmpCount,1),"&lt;&gt;")&gt;0,VLOOKUP($C157,EmpAll,COLUMN(Emp!$R$4)+MATCH(N$5,DedListItem,0)-1,0),OFFSET(Setup!$E$73,MATCH(N$5,DedListItem,0),0,1,1)),(MIN(IF(OFFSET(Setup!$G$73,MATCH(N$5,DedListItem,0),0,1,1)="Taxable",SUMPRODUCT((PayEmp=$C157)*(PayDate&lt;=$AC157)*(ISERROR(SEARCH(PayEarnCode,N$4)))*(PayEarnTax)*(PayEarnValues)),SUMPRODUCT((PayEmp=$C157)*(PayDate&lt;=$AC157)*(ISERROR(SEARCH(PayEarnCode,N$4)))*(PayEarnValues))),IF(ISNUMBER(N$3),N$3/12*$AA157,IgnoreMin)))*IF(COUNTIFS(EmpNo,$C157,OFFSET(Emp!$R$4,1,MATCH(N$5,DedListItem,0)-1,EmpCount,1),"&lt;&gt;")&gt;0,VLOOKUP($C157,EmpAll,COLUMN(Emp!$R$4)+MATCH(N$5,DedListItem,0)-1,0),OFFSET(Setup!$E$73,MATCH(N$5,DedListItem,0),0,1,1)))-SUMIFS(OFFSET(N$6,1,0,PayCount,1),PayDate,"&lt;"&amp;$AC157,PayEmp,$C157))))))</f>
        <v>177.11999999999989</v>
      </c>
      <c r="O157" s="133" cm="1">
        <f t="array" aca="1" ref="O157" ca="1">IF($F157="Terminated",0,IF($AA157=0,0,IF(ISNA(MATCH(O$5,DedListItem,0)),0,IF(COUNTIFS(OverEmp,$C157,OverDeduct,O$5,OverDate,"&lt;"&amp;DATE(YEAR($AC157),MONTH($AC157)+1,1),OverEnd,"&gt;="&amp;DATE(YEAR($AC157),MONTH($AC157),1))&gt;0,SUMIFS(OverValue,OverEmp,$C157,OverDeduct,O$5,OverDate,"&lt;"&amp;DATE(YEAR($AC157),MONTH($AC157)+1,1),OverEnd,"&gt;="&amp;DATE(YEAR($AC157),MONTH($AC157),1)),IF(OR(O$2="Fixed",O$2="Not Used"),(IF(COUNTIFS(EmpNo,$C157,OFFSET(Emp!$R$4,1,MATCH(O$5,DedListItem,0)-1,EmpCount,1),"&lt;&gt;")&gt;0,VLOOKUP($C157,EmpAll,COLUMN(Emp!$R$4)+MATCH(O$5,DedListItem,0)-1,0),OFFSET(Setup!$E$73,MATCH(O$5,DedListItem,0),0,1,1))*$AA157)-SUMIFS(OFFSET(O$6,1,0,PayCount,1),PayDate,"&lt;"&amp;$AC157,PayEmp,$C157),IF(ISNA(MATCH(O$2,EarnListItem,0))=FALSE,IF(OFFSET(Setup!$G$73,MATCH(O$5,DedListItem,0),0,1,1)="Taxable",SUMPRODUCT((PayEmp=$C157)*(PayDate&lt;=$AC157)*(PayEarnCode=O$2)*(PayEarnTax)*(PayEarnValues)),SUMPRODUCT((PayEmp=$C157)*(PayDate&lt;=$AC157)*(PayEarnCode=O$2)*(PayEarnValues)))*IF(COUNTIFS(EmpNo,$C157,OFFSET(Emp!$R$4,1,MATCH(O$5,DedListItem,0)-1,EmpCount,1),"&lt;&gt;")&gt;0,VLOOKUP($C157,EmpAll,COLUMN(Emp!$R$4)+MATCH(O$5,DedListItem,0)-1,0),OFFSET(Setup!$E$73,MATCH(O$5,DedListItem,0),0,1,1)),(MIN(IF(OFFSET(Setup!$G$73,MATCH(O$5,DedListItem,0),0,1,1)="Taxable",SUMPRODUCT((PayEmp=$C157)*(PayDate&lt;=$AC157)*(ISERROR(SEARCH(PayEarnCode,O$4)))*(PayEarnTax)*(PayEarnValues)),SUMPRODUCT((PayEmp=$C157)*(PayDate&lt;=$AC157)*(ISERROR(SEARCH(PayEarnCode,O$4)))*(PayEarnValues))),IF(ISNUMBER(O$3),O$3/12*$AA157,IgnoreMin)))*IF(COUNTIFS(EmpNo,$C157,OFFSET(Emp!$R$4,1,MATCH(O$5,DedListItem,0)-1,EmpCount,1),"&lt;&gt;")&gt;0,VLOOKUP($C157,EmpAll,COLUMN(Emp!$R$4)+MATCH(O$5,DedListItem,0)-1,0),OFFSET(Setup!$E$73,MATCH(O$5,DedListItem,0),0,1,1)))-SUMIFS(OFFSET(O$6,1,0,PayCount,1),PayDate,"&lt;"&amp;$AC157,PayEmp,$C157))))))</f>
        <v>12375</v>
      </c>
      <c r="P157" s="133" cm="1">
        <f t="array" aca="1" ref="P157" ca="1">IF($F157="Terminated",0,IF($AA157=0,0,IF(ISNA(MATCH(P$5,DedListItem,0)),0,IF(COUNTIFS(OverEmp,$C157,OverDeduct,P$5,OverDate,"&lt;"&amp;DATE(YEAR($AC157),MONTH($AC157)+1,1),OverEnd,"&gt;="&amp;DATE(YEAR($AC157),MONTH($AC157),1))&gt;0,SUMIFS(OverValue,OverEmp,$C157,OverDeduct,P$5,OverDate,"&lt;"&amp;DATE(YEAR($AC157),MONTH($AC157)+1,1),OverEnd,"&gt;="&amp;DATE(YEAR($AC157),MONTH($AC157),1)),IF(OR(P$2="Fixed",P$2="Not Used"),(IF(COUNTIFS(EmpNo,$C157,OFFSET(Emp!$R$4,1,MATCH(P$5,DedListItem,0)-1,EmpCount,1),"&lt;&gt;")&gt;0,VLOOKUP($C157,EmpAll,COLUMN(Emp!$R$4)+MATCH(P$5,DedListItem,0)-1,0),OFFSET(Setup!$E$73,MATCH(P$5,DedListItem,0),0,1,1))*$AA157)-SUMIFS(OFFSET(P$6,1,0,PayCount,1),PayDate,"&lt;"&amp;$AC157,PayEmp,$C157),IF(ISNA(MATCH(P$2,EarnListItem,0))=FALSE,IF(OFFSET(Setup!$G$73,MATCH(P$5,DedListItem,0),0,1,1)="Taxable",SUMPRODUCT((PayEmp=$C157)*(PayDate&lt;=$AC157)*(PayEarnCode=P$2)*(PayEarnTax)*(PayEarnValues)),SUMPRODUCT((PayEmp=$C157)*(PayDate&lt;=$AC157)*(PayEarnCode=P$2)*(PayEarnValues)))*IF(COUNTIFS(EmpNo,$C157,OFFSET(Emp!$R$4,1,MATCH(P$5,DedListItem,0)-1,EmpCount,1),"&lt;&gt;")&gt;0,VLOOKUP($C157,EmpAll,COLUMN(Emp!$R$4)+MATCH(P$5,DedListItem,0)-1,0),OFFSET(Setup!$E$73,MATCH(P$5,DedListItem,0),0,1,1)),(MIN(IF(OFFSET(Setup!$G$73,MATCH(P$5,DedListItem,0),0,1,1)="Taxable",SUMPRODUCT((PayEmp=$C157)*(PayDate&lt;=$AC157)*(ISERROR(SEARCH(PayEarnCode,P$4)))*(PayEarnTax)*(PayEarnValues)),SUMPRODUCT((PayEmp=$C157)*(PayDate&lt;=$AC157)*(ISERROR(SEARCH(PayEarnCode,P$4)))*(PayEarnValues))),IF(ISNUMBER(P$3),P$3/12*$AA157,IgnoreMin)))*IF(COUNTIFS(EmpNo,$C157,OFFSET(Emp!$R$4,1,MATCH(P$5,DedListItem,0)-1,EmpCount,1),"&lt;&gt;")&gt;0,VLOOKUP($C157,EmpAll,COLUMN(Emp!$R$4)+MATCH(P$5,DedListItem,0)-1,0),OFFSET(Setup!$E$73,MATCH(P$5,DedListItem,0),0,1,1)))-SUMIFS(OFFSET(P$6,1,0,PayCount,1),PayDate,"&lt;"&amp;$AC157,PayEmp,$C157))))))</f>
        <v>0</v>
      </c>
      <c r="Q157" s="133" cm="1">
        <f t="array" aca="1" ref="Q157" ca="1">IF($F157="Terminated",0,IF($AA157=0,0,IF(ISNA(MATCH(Q$5,DedListItem,0)),0,IF(COUNTIFS(OverEmp,$C157,OverDeduct,Q$5,OverDate,"&lt;"&amp;DATE(YEAR($AC157),MONTH($AC157)+1,1),OverEnd,"&gt;="&amp;DATE(YEAR($AC157),MONTH($AC157),1))&gt;0,SUMIFS(OverValue,OverEmp,$C157,OverDeduct,Q$5,OverDate,"&lt;"&amp;DATE(YEAR($AC157),MONTH($AC157)+1,1),OverEnd,"&gt;="&amp;DATE(YEAR($AC157),MONTH($AC157),1)),IF(OR(Q$2="Fixed",Q$2="Not Used"),(IF(COUNTIFS(EmpNo,$C157,OFFSET(Emp!$R$4,1,MATCH(Q$5,DedListItem,0)-1,EmpCount,1),"&lt;&gt;")&gt;0,VLOOKUP($C157,EmpAll,COLUMN(Emp!$R$4)+MATCH(Q$5,DedListItem,0)-1,0),OFFSET(Setup!$E$73,MATCH(Q$5,DedListItem,0),0,1,1))*$AA157)-SUMIFS(OFFSET(Q$6,1,0,PayCount,1),PayDate,"&lt;"&amp;$AC157,PayEmp,$C157),IF(ISNA(MATCH(Q$2,EarnListItem,0))=FALSE,IF(OFFSET(Setup!$G$73,MATCH(Q$5,DedListItem,0),0,1,1)="Taxable",SUMPRODUCT((PayEmp=$C157)*(PayDate&lt;=$AC157)*(PayEarnCode=Q$2)*(PayEarnTax)*(PayEarnValues)),SUMPRODUCT((PayEmp=$C157)*(PayDate&lt;=$AC157)*(PayEarnCode=Q$2)*(PayEarnValues)))*IF(COUNTIFS(EmpNo,$C157,OFFSET(Emp!$R$4,1,MATCH(Q$5,DedListItem,0)-1,EmpCount,1),"&lt;&gt;")&gt;0,VLOOKUP($C157,EmpAll,COLUMN(Emp!$R$4)+MATCH(Q$5,DedListItem,0)-1,0),OFFSET(Setup!$E$73,MATCH(Q$5,DedListItem,0),0,1,1)),(MIN(IF(OFFSET(Setup!$G$73,MATCH(Q$5,DedListItem,0),0,1,1)="Taxable",SUMPRODUCT((PayEmp=$C157)*(PayDate&lt;=$AC157)*(ISERROR(SEARCH(PayEarnCode,Q$4)))*(PayEarnTax)*(PayEarnValues)),SUMPRODUCT((PayEmp=$C157)*(PayDate&lt;=$AC157)*(ISERROR(SEARCH(PayEarnCode,Q$4)))*(PayEarnValues))),IF(ISNUMBER(Q$3),Q$3/12*$AA157,IgnoreMin)))*IF(COUNTIFS(EmpNo,$C157,OFFSET(Emp!$R$4,1,MATCH(Q$5,DedListItem,0)-1,EmpCount,1),"&lt;&gt;")&gt;0,VLOOKUP($C157,EmpAll,COLUMN(Emp!$R$4)+MATCH(Q$5,DedListItem,0)-1,0),OFFSET(Setup!$E$73,MATCH(Q$5,DedListItem,0),0,1,1)))-SUMIFS(OFFSET(Q$6,1,0,PayCount,1),PayDate,"&lt;"&amp;$AC157,PayEmp,$C157))))))</f>
        <v>0</v>
      </c>
      <c r="R157" s="185">
        <f t="shared" ca="1" si="67"/>
        <v>63928.157878787672</v>
      </c>
      <c r="S157" s="139">
        <f t="shared" ca="1" si="68"/>
        <v>101071.84</v>
      </c>
      <c r="T157" s="133" cm="1">
        <f t="array" aca="1" ref="T157" ca="1">IF($F157="Terminated",0,IF($AA157=0,0,IF(ISNA(MATCH(T$5,CompListItem,0)),0,IF(COUNTIFS(OverEmp,$C157,OverComp,T$5,OverDate,"&lt;"&amp;DATE(YEAR($AC157),MONTH($AC157)+1,1),OverEnd,"&gt;="&amp;DATE(YEAR($AC157),MONTH($AC157),1))&gt;0,SUMIFS(OverValue,OverEmp,$C157,OverComp,T$5,OverDate,"&lt;"&amp;DATE(YEAR($AC157),MONTH($AC157)+1,1),OverEnd,"&gt;="&amp;DATE(YEAR($AC157),MONTH($AC157),1)),IF(OR(T$2="Fixed",T$2="Not Used"),(OFFSET(Setup!$E$81,MATCH(T$5,CompListItem,0),0,1,1)*$AA157)-SUMIFS(OFFSET(T$6,1,0,PayCount,1),PayDate,"&lt;"&amp;$AC157,PayEmp,$C157),IF(ISNA(MATCH(T$2,DedListItem,0))=FALSE,(SUMPRODUCT((PayEmp=$C157)*(PayDate&lt;=$AC157)*(PayDedList=T$2)*(PayDedValues))*OFFSET(Setup!$E$81,MATCH(T$5,CompListItem,0),0,1,1))-SUMIFS(OFFSET(T$6,1,0,PayCount,1),PayDate,"&lt;"&amp;$AC157,PayEmp,$C157),(MIN(IF(OFFSET(Setup!$G$81,MATCH(T$5,CompListItem,0),0,1,1)="Taxable",SUMPRODUCT((PayEmp=$C157)*(PayDate&lt;=$AC157)*(ISERROR(SEARCH(PayEarnCode,T$4)))*(PayEarnTax)*(PayEarnValues)),SUMPRODUCT((PayEmp=$C157)*(PayDate&lt;=$AC157)*(ISERROR(SEARCH(PayEarnCode,T$4)))*(PayEarnValues))),IF(ISNUMBER(T$3),T$3/12*$AA157,IgnoreMin)))*OFFSET(Setup!$E$81,MATCH(T$5,CompListItem,0),0,1,1)-SUMIFS(OFFSET(T$6,1,0,PayCount,1),PayDate,"&lt;"&amp;$AC157,PayEmp,$C157)))))))</f>
        <v>177.11999999999989</v>
      </c>
      <c r="U157" s="133" cm="1">
        <f t="array" aca="1" ref="U157" ca="1">IF($F157="Terminated",0,IF($AA157=0,0,IF(ISNA(MATCH(U$5,CompListItem,0)),0,IF(COUNTIFS(OverEmp,$C157,OverComp,U$5,OverDate,"&lt;"&amp;DATE(YEAR($AC157),MONTH($AC157)+1,1),OverEnd,"&gt;="&amp;DATE(YEAR($AC157),MONTH($AC157),1))&gt;0,SUMIFS(OverValue,OverEmp,$C157,OverComp,U$5,OverDate,"&lt;"&amp;DATE(YEAR($AC157),MONTH($AC157)+1,1),OverEnd,"&gt;="&amp;DATE(YEAR($AC157),MONTH($AC157),1)),IF(OR(U$2="Fixed",U$2="Not Used"),(OFFSET(Setup!$E$81,MATCH(U$5,CompListItem,0),0,1,1)*$AA157)-SUMIFS(OFFSET(U$6,1,0,PayCount,1),PayDate,"&lt;"&amp;$AC157,PayEmp,$C157),IF(ISNA(MATCH(U$2,DedListItem,0))=FALSE,(SUMPRODUCT((PayEmp=$C157)*(PayDate&lt;=$AC157)*(PayDedList=U$2)*(PayDedValues))*OFFSET(Setup!$E$81,MATCH(U$5,CompListItem,0),0,1,1))-SUMIFS(OFFSET(U$6,1,0,PayCount,1),PayDate,"&lt;"&amp;$AC157,PayEmp,$C157),(MIN(IF(OFFSET(Setup!$G$81,MATCH(U$5,CompListItem,0),0,1,1)="Taxable",SUMPRODUCT((PayEmp=$C157)*(PayDate&lt;=$AC157)*(ISERROR(SEARCH(PayEarnCode,U$4)))*(PayEarnTax)*(PayEarnValues)),SUMPRODUCT((PayEmp=$C157)*(PayDate&lt;=$AC157)*(ISERROR(SEARCH(PayEarnCode,U$4)))*(PayEarnValues))),IF(ISNUMBER(U$3),U$3/12*$AA157,IgnoreMin)))*OFFSET(Setup!$E$81,MATCH(U$5,CompListItem,0),0,1,1)-SUMIFS(OFFSET(U$6,1,0,PayCount,1),PayDate,"&lt;"&amp;$AC157,PayEmp,$C157)))))))</f>
        <v>1650</v>
      </c>
      <c r="V157" s="133" cm="1">
        <f t="array" aca="1" ref="V157" ca="1">IF($F157="Terminated",0,IF($AA157=0,0,IF(ISNA(MATCH(V$5,CompListItem,0)),0,IF(COUNTIFS(OverEmp,$C157,OverComp,V$5,OverDate,"&lt;"&amp;DATE(YEAR($AC157),MONTH($AC157)+1,1),OverEnd,"&gt;="&amp;DATE(YEAR($AC157),MONTH($AC157),1))&gt;0,SUMIFS(OverValue,OverEmp,$C157,OverComp,V$5,OverDate,"&lt;"&amp;DATE(YEAR($AC157),MONTH($AC157)+1,1),OverEnd,"&gt;="&amp;DATE(YEAR($AC157),MONTH($AC157),1)),IF(OR(V$2="Fixed",V$2="Not Used"),(OFFSET(Setup!$E$81,MATCH(V$5,CompListItem,0),0,1,1)*$AA157)-SUMIFS(OFFSET(V$6,1,0,PayCount,1),PayDate,"&lt;"&amp;$AC157,PayEmp,$C157),IF(ISNA(MATCH(V$2,DedListItem,0))=FALSE,(SUMPRODUCT((PayEmp=$C157)*(PayDate&lt;=$AC157)*(PayDedList=V$2)*(PayDedValues))*OFFSET(Setup!$E$81,MATCH(V$5,CompListItem,0),0,1,1))-SUMIFS(OFFSET(V$6,1,0,PayCount,1),PayDate,"&lt;"&amp;$AC157,PayEmp,$C157),(MIN(IF(OFFSET(Setup!$G$81,MATCH(V$5,CompListItem,0),0,1,1)="Taxable",SUMPRODUCT((PayEmp=$C157)*(PayDate&lt;=$AC157)*(ISERROR(SEARCH(PayEarnCode,V$4)))*(PayEarnTax)*(PayEarnValues)),SUMPRODUCT((PayEmp=$C157)*(PayDate&lt;=$AC157)*(ISERROR(SEARCH(PayEarnCode,V$4)))*(PayEarnValues))),IF(ISNUMBER(V$3),V$3/12*$AA157,IgnoreMin)))*OFFSET(Setup!$E$81,MATCH(V$5,CompListItem,0),0,1,1)-SUMIFS(OFFSET(V$6,1,0,PayCount,1),PayDate,"&lt;"&amp;$AC157,PayEmp,$C157)))))))</f>
        <v>0</v>
      </c>
      <c r="W157" s="133" cm="1">
        <f t="array" aca="1" ref="W157" ca="1">IF($F157="Terminated",0,IF($AA157=0,0,IF(ISNA(MATCH(W$5,CompListItem,0)),0,IF(COUNTIFS(OverEmp,$C157,OverComp,W$5,OverDate,"&lt;"&amp;DATE(YEAR($AC157),MONTH($AC157)+1,1),OverEnd,"&gt;="&amp;DATE(YEAR($AC157),MONTH($AC157),1))&gt;0,SUMIFS(OverValue,OverEmp,$C157,OverComp,W$5,OverDate,"&lt;"&amp;DATE(YEAR($AC157),MONTH($AC157)+1,1),OverEnd,"&gt;="&amp;DATE(YEAR($AC157),MONTH($AC157),1)),IF(OR(W$2="Fixed",W$2="Not Used"),(OFFSET(Setup!$E$81,MATCH(W$5,CompListItem,0),0,1,1)*$AA157)-SUMIFS(OFFSET(W$6,1,0,PayCount,1),PayDate,"&lt;"&amp;$AC157,PayEmp,$C157),IF(ISNA(MATCH(W$2,DedListItem,0))=FALSE,(SUMPRODUCT((PayEmp=$C157)*(PayDate&lt;=$AC157)*(PayDedList=W$2)*(PayDedValues))*OFFSET(Setup!$E$81,MATCH(W$5,CompListItem,0),0,1,1))-SUMIFS(OFFSET(W$6,1,0,PayCount,1),PayDate,"&lt;"&amp;$AC157,PayEmp,$C157),(MIN(IF(OFFSET(Setup!$G$81,MATCH(W$5,CompListItem,0),0,1,1)="Taxable",SUMPRODUCT((PayEmp=$C157)*(PayDate&lt;=$AC157)*(ISERROR(SEARCH(PayEarnCode,W$4)))*(PayEarnTax)*(PayEarnValues)),SUMPRODUCT((PayEmp=$C157)*(PayDate&lt;=$AC157)*(ISERROR(SEARCH(PayEarnCode,W$4)))*(PayEarnValues))),IF(ISNUMBER(W$3),W$3/12*$AA157,IgnoreMin)))*OFFSET(Setup!$E$81,MATCH(W$5,CompListItem,0),0,1,1)-SUMIFS(OFFSET(W$6,1,0,PayCount,1),PayDate,"&lt;"&amp;$AC157,PayEmp,$C157)))))))</f>
        <v>0</v>
      </c>
      <c r="X157" s="185">
        <f t="shared" ca="1" si="60"/>
        <v>1827.12</v>
      </c>
      <c r="Y157" s="139">
        <f t="shared" ca="1" si="69"/>
        <v>166827.12</v>
      </c>
      <c r="Z157" s="139">
        <f t="shared" ca="1" si="61"/>
        <v>65755.28</v>
      </c>
      <c r="AA157" s="146">
        <f ca="1">IF(OR($B157&lt;=Setup!$E$12,$B157&gt;=Setup!$D$12+1),0,IF($F157&lt;&gt;"Active",0,IF($AE157="Yes",$AB157,((YEAR($AC157)*12)+MONTH($AC157))-((YEAR($AD157)*12)+MONTH($AD157)-1))))</f>
        <v>11</v>
      </c>
      <c r="AB157" s="146">
        <f ca="1">IF(OR($B157&lt;=Setup!$E$12,$B157&gt;=Setup!$D$12+1),0,((YEAR($AC157)*12)+MONTH($AC157))-((YEAR(Setup!$E$12)*12)+MONTH(Setup!$E$12)))</f>
        <v>11</v>
      </c>
      <c r="AC157" s="186">
        <f t="shared" ca="1" si="62"/>
        <v>45316</v>
      </c>
      <c r="AD157" s="144">
        <f ca="1">IF(ISNA(VLOOKUP($C157,EmpAll,COLUMN(Emp!$E$4),0)),$AC157,IF(VLOOKUP($C157,EmpAll,COLUMN(Emp!$E$4),0)&lt;=Setup!$E$12,DATE(YEAR(Setup!$E$12),MONTH(Setup!$E$12)+1,1),VLOOKUP($C157,EmpAll,COLUMN(Emp!$E$4),0)))</f>
        <v>44986</v>
      </c>
      <c r="AE157" s="144" t="str">
        <f ca="1">IF(ISNA(VLOOKUP($C157,EmpAll,COLUMN(Emp!$G$1),0)),"-",IF(VLOOKUP($C157,EmpAll,COLUMN(Emp!$G$1),0)=0,"-",VLOOKUP($C157,EmpAll,COLUMN(Emp!$G$1),0)))</f>
        <v>-</v>
      </c>
      <c r="AF157" s="145">
        <f ca="1">IF(A157=PaySlip!$G$3,1,0)</f>
        <v>0</v>
      </c>
      <c r="AG157" s="130" cm="1">
        <f t="array" aca="1" ref="AG157" ca="1">IF(COUNTIFS(OverEmp,$C157,OverMed,"MED",OverDate,"&lt;"&amp;DATE(YEAR($AC157),MONTH($AC157)+1,1),OverEnd,"&gt;="&amp;DATE(YEAR($AC157),MONTH($AC157),1))&gt;0,SUMIFS(OverValue,OverEmp,$C157,OverMed,"MED",OverDate,"&lt;"&amp;DATE(YEAR($AC157),MONTH($AC157)+1,1),OverEnd,"&gt;="&amp;DATE(YEAR($AC157),MONTH($AC157),1)),IF(ISNA(VLOOKUP($C157,EmpAll,COLUMN(Emp!$N$4),0)),0,VLOOKUP($C157,EmpAll,COLUMN(Emp!$N$4),0)))</f>
        <v>5</v>
      </c>
      <c r="AH157" s="146">
        <f ca="1">VLOOKUP($AG157,MedList,COLUMN(Setup!$C$49),1)</f>
        <v>1466</v>
      </c>
      <c r="AI157" s="146">
        <f t="shared" ca="1" si="70"/>
        <v>17592</v>
      </c>
      <c r="AJ157" s="101" t="str">
        <f ca="1">IF(ISNA(VLOOKUP($C157,EmpAll,COLUMN(Emp!$L$4),0)),"None!",VLOOKUP($C157,EmpAll,COLUMN(Emp!$L$4),0))</f>
        <v>A</v>
      </c>
      <c r="AK157" s="147">
        <f t="shared" ca="1" si="63"/>
        <v>17235</v>
      </c>
      <c r="AL157" s="101" t="str">
        <f ca="1">IF(ISNA(VLOOKUP($C157,Employees[],COLUMN(Emp!$M$4),0))=TRUE,"Error!",IF(VLOOKUP($C157,Employees[],COLUMN(Emp!$M$4),0)=0,"Yes",VLOOKUP($C157,Employees[],COLUMN(Emp!$M$4),0)))</f>
        <v>A</v>
      </c>
      <c r="AM157" s="148">
        <f t="shared" ca="1" si="71"/>
        <v>1966363.6363636362</v>
      </c>
      <c r="AN157" s="148" cm="1">
        <f t="array" aca="1" ref="AN157" ca="1">-IF($F157="Terminated",0,IF($AA157=0,0,IF(ISNA(MATCH(AN$5,PayDedList,0)),0,MIN(IF(COUNTIFS(OverEmp,$C157,OverDeduct,AN$5,OverDate,"&lt;"&amp;DATE(YEAR($AC157),MONTH($AC157)+1,1),OverEnd,"&gt;="&amp;DATE(YEAR($AC157),MONTH($AC157),1))&gt;0,SUMPRODUCT((PayEmp=$C157)*(PayDate&lt;=$AC157)*(OFFSET($N$6,1,MATCH(AN$5,PayDedList,0)-1,PayCount,1)))/$AA157*12*AN$3,IF(OR(AN$1="Fixed",AN$1="Not Used"),SUMPRODUCT((PayEmp=$C157)*(PayDate&lt;=$AC157)*(OFFSET($N$6,1,MATCH(AN$5,PayDedList,0)-1,PayCount,1)))/$AA157*12*AN$3,IF(ISNA(MATCH(AN$1,EarnListItem,0))=FALSE,SUMPRODUCT((PayEmp=$C157)*(PayDate&lt;=$AC157)*(OFFSET($N$6,1,MATCH(AN$5,PayDedList,0)-1,PayCount,1)))/$AA157*12*AN$3,(MIN(((SUMPRODUCT((PayEmp=$C157)*(PayDate&lt;=$AC157)*(ISERROR(SEARCH(PayEarnCode,AN$2)))*(PayEarnType="Monthly")*(PayEarnValues))/$AA157*12)+(SUMPRODUCT((PayEmp=$C157)*(PayDate&lt;=$AC157)*(ISERROR(SEARCH(PayEarnCode,AN$2)))*(PayEarnType="Quarterly")*(PayEarnValues))/MAX(1,ROUNDDOWN($AB157/3,0))*4)+(SUMPRODUCT((PayEmp=$C157)*(PayDate&lt;=$AC157)*(ISERROR(SEARCH(PayEarnCode,AN$2)))*(PayEarnType="Bi-Annual")*(PayEarnValues))/MAX(1,ROUNDDOWN($AB157/6,0))*2)+(SUMPRODUCT((PayEmp=$C157)*(PayDate&lt;=$AC157)*(ISERROR(SEARCH(PayEarnCode,AN$2)))*(PayEarnType="Annual")*(PayEarnValues)))),IF(ISNUMBER(OFFSET($N$3,0,MATCH(AN$5,PayDedList,0)-1,1,1)),OFFSET($N$3,0,MATCH(AN$5,PayDedList,0)-1,1,1),IgnoreMin)))*IF(COUNTIFS(EmpNo,$C157,OFFSET(Emp!$R$4,1,MATCH(AN$5,DedListItem,0)-1,EmpCount,1),"&lt;&gt;")&gt;0,VLOOKUP($C157,EmpAll,COLUMN(Emp!$R$4)+MATCH(AN$5,DedListItem,0)-1,0),OFFSET(Setup!$E$73,MATCH(AN$5,DedListItem,0),0,1,1))*AN$3))),IF(ISNUMBER(AN$4),AN$4,IgnoreMin)))))</f>
        <v>0</v>
      </c>
      <c r="AO157" s="148" cm="1">
        <f t="array" aca="1" ref="AO157" ca="1">-IF($F157="Terminated",0,IF($AA157=0,0,IF(ISNA(MATCH(AO$5,PayDedList,0)),0,MIN(IF(COUNTIFS(OverEmp,$C157,OverDeduct,AO$5,OverDate,"&lt;"&amp;DATE(YEAR($AC157),MONTH($AC157)+1,1),OverEnd,"&gt;="&amp;DATE(YEAR($AC157),MONTH($AC157),1))&gt;0,SUMPRODUCT((PayEmp=$C157)*(PayDate&lt;=$AC157)*(OFFSET($N$6,1,MATCH(AO$5,PayDedList,0)-1,PayCount,1)))/$AA157*12*AO$3,IF(OR(AO$1="Fixed",AO$1="Not Used"),SUMPRODUCT((PayEmp=$C157)*(PayDate&lt;=$AC157)*(OFFSET($N$6,1,MATCH(AO$5,PayDedList,0)-1,PayCount,1)))/$AA157*12*AO$3,IF(ISNA(MATCH(AO$1,EarnListItem,0))=FALSE,SUMPRODUCT((PayEmp=$C157)*(PayDate&lt;=$AC157)*(OFFSET($N$6,1,MATCH(AO$5,PayDedList,0)-1,PayCount,1)))/$AA157*12*AO$3,(MIN(((SUMPRODUCT((PayEmp=$C157)*(PayDate&lt;=$AC157)*(ISERROR(SEARCH(PayEarnCode,AO$2)))*(PayEarnType="Monthly")*(PayEarnValues))/$AA157*12)+(SUMPRODUCT((PayEmp=$C157)*(PayDate&lt;=$AC157)*(ISERROR(SEARCH(PayEarnCode,AO$2)))*(PayEarnType="Quarterly")*(PayEarnValues))/MAX(1,ROUNDDOWN($AB157/3,0))*4)+(SUMPRODUCT((PayEmp=$C157)*(PayDate&lt;=$AC157)*(ISERROR(SEARCH(PayEarnCode,AO$2)))*(PayEarnType="Bi-Annual")*(PayEarnValues))/MAX(1,ROUNDDOWN($AB157/6,0))*2)+(SUMPRODUCT((PayEmp=$C157)*(PayDate&lt;=$AC157)*(ISERROR(SEARCH(PayEarnCode,AO$2)))*(PayEarnType="Annual")*(PayEarnValues)))),IF(ISNUMBER(OFFSET($N$3,0,MATCH(AO$5,PayDedList,0)-1,1,1)),OFFSET($N$3,0,MATCH(AO$5,PayDedList,0)-1,1,1),IgnoreMin)))*IF(COUNTIFS(EmpNo,$C157,OFFSET(Emp!$R$4,1,MATCH(AO$5,DedListItem,0)-1,EmpCount,1),"&lt;&gt;")&gt;0,VLOOKUP($C157,EmpAll,COLUMN(Emp!$R$4)+MATCH(AO$5,DedListItem,0)-1,0),OFFSET(Setup!$E$73,MATCH(AO$5,DedListItem,0),0,1,1))*AO$3))),IF(ISNUMBER(AO$4),AO$4,IgnoreMin)))))</f>
        <v>-147477.27272727271</v>
      </c>
      <c r="AP157" s="148" cm="1">
        <f t="array" aca="1" ref="AP157" ca="1">-IF($F157="Terminated",0,IF($AA157=0,0,IF(ISNA(MATCH(AP$5,PayDedList,0)),0,MIN(IF(COUNTIFS(OverEmp,$C157,OverDeduct,AP$5,OverDate,"&lt;"&amp;DATE(YEAR($AC157),MONTH($AC157)+1,1),OverEnd,"&gt;="&amp;DATE(YEAR($AC157),MONTH($AC157),1))&gt;0,SUMPRODUCT((PayEmp=$C157)*(PayDate&lt;=$AC157)*(OFFSET($N$6,1,MATCH(AP$5,PayDedList,0)-1,PayCount,1)))/$AA157*12*AP$3,IF(OR(AP$1="Fixed",AP$1="Not Used"),SUMPRODUCT((PayEmp=$C157)*(PayDate&lt;=$AC157)*(OFFSET($N$6,1,MATCH(AP$5,PayDedList,0)-1,PayCount,1)))/$AA157*12*AP$3,IF(ISNA(MATCH(AP$1,EarnListItem,0))=FALSE,SUMPRODUCT((PayEmp=$C157)*(PayDate&lt;=$AC157)*(OFFSET($N$6,1,MATCH(AP$5,PayDedList,0)-1,PayCount,1)))/$AA157*12*AP$3,(MIN(((SUMPRODUCT((PayEmp=$C157)*(PayDate&lt;=$AC157)*(ISERROR(SEARCH(PayEarnCode,AP$2)))*(PayEarnType="Monthly")*(PayEarnValues))/$AA157*12)+(SUMPRODUCT((PayEmp=$C157)*(PayDate&lt;=$AC157)*(ISERROR(SEARCH(PayEarnCode,AP$2)))*(PayEarnType="Quarterly")*(PayEarnValues))/MAX(1,ROUNDDOWN($AB157/3,0))*4)+(SUMPRODUCT((PayEmp=$C157)*(PayDate&lt;=$AC157)*(ISERROR(SEARCH(PayEarnCode,AP$2)))*(PayEarnType="Bi-Annual")*(PayEarnValues))/MAX(1,ROUNDDOWN($AB157/6,0))*2)+(SUMPRODUCT((PayEmp=$C157)*(PayDate&lt;=$AC157)*(ISERROR(SEARCH(PayEarnCode,AP$2)))*(PayEarnType="Annual")*(PayEarnValues)))),IF(ISNUMBER(OFFSET($N$3,0,MATCH(AP$5,PayDedList,0)-1,1,1)),OFFSET($N$3,0,MATCH(AP$5,PayDedList,0)-1,1,1),IgnoreMin)))*IF(COUNTIFS(EmpNo,$C157,OFFSET(Emp!$R$4,1,MATCH(AP$5,DedListItem,0)-1,EmpCount,1),"&lt;&gt;")&gt;0,VLOOKUP($C157,EmpAll,COLUMN(Emp!$R$4)+MATCH(AP$5,DedListItem,0)-1,0),OFFSET(Setup!$E$73,MATCH(AP$5,DedListItem,0),0,1,1))*AP$3))),IF(ISNUMBER(AP$4),AP$4,IgnoreMin)))))</f>
        <v>0</v>
      </c>
      <c r="AQ157" s="148" cm="1">
        <f t="array" aca="1" ref="AQ157" ca="1">-IF($F157="Terminated",0,IF($AA157=0,0,IF(ISNA(MATCH(AQ$5,PayDedList,0)),0,MIN(IF(COUNTIFS(OverEmp,$C157,OverDeduct,AQ$5,OverDate,"&lt;"&amp;DATE(YEAR($AC157),MONTH($AC157)+1,1),OverEnd,"&gt;="&amp;DATE(YEAR($AC157),MONTH($AC157),1))&gt;0,SUMPRODUCT((PayEmp=$C157)*(PayDate&lt;=$AC157)*(OFFSET($N$6,1,MATCH(AQ$5,PayDedList,0)-1,PayCount,1)))/$AA157*12*AQ$3,IF(OR(AQ$1="Fixed",AQ$1="Not Used"),SUMPRODUCT((PayEmp=$C157)*(PayDate&lt;=$AC157)*(OFFSET($N$6,1,MATCH(AQ$5,PayDedList,0)-1,PayCount,1)))/$AA157*12*AQ$3,IF(ISNA(MATCH(AQ$1,EarnListItem,0))=FALSE,SUMPRODUCT((PayEmp=$C157)*(PayDate&lt;=$AC157)*(OFFSET($N$6,1,MATCH(AQ$5,PayDedList,0)-1,PayCount,1)))/$AA157*12*AQ$3,(MIN(((SUMPRODUCT((PayEmp=$C157)*(PayDate&lt;=$AC157)*(ISERROR(SEARCH(PayEarnCode,AQ$2)))*(PayEarnType="Monthly")*(PayEarnValues))/$AA157*12)+(SUMPRODUCT((PayEmp=$C157)*(PayDate&lt;=$AC157)*(ISERROR(SEARCH(PayEarnCode,AQ$2)))*(PayEarnType="Quarterly")*(PayEarnValues))/MAX(1,ROUNDDOWN($AB157/3,0))*4)+(SUMPRODUCT((PayEmp=$C157)*(PayDate&lt;=$AC157)*(ISERROR(SEARCH(PayEarnCode,AQ$2)))*(PayEarnType="Bi-Annual")*(PayEarnValues))/MAX(1,ROUNDDOWN($AB157/6,0))*2)+(SUMPRODUCT((PayEmp=$C157)*(PayDate&lt;=$AC157)*(ISERROR(SEARCH(PayEarnCode,AQ$2)))*(PayEarnType="Annual")*(PayEarnValues)))),IF(ISNUMBER(OFFSET($N$3,0,MATCH(AQ$5,PayDedList,0)-1,1,1)),OFFSET($N$3,0,MATCH(AQ$5,PayDedList,0)-1,1,1),IgnoreMin)))*IF(COUNTIFS(EmpNo,$C157,OFFSET(Emp!$R$4,1,MATCH(AQ$5,DedListItem,0)-1,EmpCount,1),"&lt;&gt;")&gt;0,VLOOKUP($C157,EmpAll,COLUMN(Emp!$R$4)+MATCH(AQ$5,DedListItem,0)-1,0),OFFSET(Setup!$E$73,MATCH(AQ$5,DedListItem,0),0,1,1))*AQ$3))),IF(ISNUMBER(AQ$4),AQ$4,IgnoreMin)))))</f>
        <v>0</v>
      </c>
      <c r="AR157" s="148">
        <f t="shared" ca="1" si="64"/>
        <v>1818886.3636363635</v>
      </c>
      <c r="AS157" s="148">
        <f t="shared" ca="1" si="72"/>
        <v>1816363.6363636362</v>
      </c>
      <c r="AT157" s="148" cm="1">
        <f t="array" aca="1" ref="AT157" ca="1">-IF($F157="Terminated",0,IF($AA157=0,0,IF(ISNA(MATCH(AT$5,PayDedList,0)),0,MIN(IF(COUNTIFS(OverEmp,$C157,OverDeduct,AT$5,OverDate,"&lt;"&amp;DATE(YEAR($AC157),MONTH($AC157)+1,1),OverEnd,"&gt;="&amp;DATE(YEAR($AC157),MONTH($AC157),1))&gt;0,SUMPRODUCT((PayEmp=$C157)*(PayDate&lt;=$AC157)*(OFFSET($N$6,1,MATCH(AT$5,PayDedList,0)-1,PayCount,1)))/$AA157*12*AT$3,IF(OR(AT$1="Fixed",AT$1="Not Used"),SUMPRODUCT((PayEmp=$C157)*(PayDate&lt;=$AC157)*(OFFSET($N$6,1,MATCH(AT$5,PayDedList,0)-1,PayCount,1)))/$AA157*12*AT$3,IF(ISNA(MATCH(OFFSET($N$2,0,MATCH(AT$5,PayDedList,0)-1,1,1),EarnListItem,0))=FALSE,SUMPRODUCT((PayEmp=$C157)*(PayDate&lt;=$AC157)*(OFFSET($N$6,1,MATCH(AT$5,PayDedList,0)-1,PayCount,1)))/$AA157*12*AT$3,(MIN(SUMPRODUCT((PayEmp=$C157)*(PayDate&lt;=$AC157)*(ISERROR(SEARCH(PayEarnCode,AT$2)))*(PayEarnType="Monthly")*(PayEarnValues))/$AA157*12,IF(ISNUMBER(OFFSET($N$3,0,MATCH(AT$5,PayDedList,0)-1,1,1)),OFFSET($N$3,0,MATCH(AT$5,PayDedList,0)-1,1,1),IgnoreMin)))*IF(COUNTIFS(EmpNo,$C157,OFFSET(Emp!$R$4,1,MATCH(AT$5,DedListItem,0)-1,EmpCount,1),"&lt;&gt;")&gt;0,VLOOKUP($C157,EmpAll,COLUMN(Emp!$R$4)+MATCH(AT$5,DedListItem,0)-1,0),OFFSET(Setup!$E$73,MATCH(AT$5,DedListItem,0),0,1,1))*AT$3))),IF(ISNUMBER(AT$4),AT$4,IgnoreMin)))))</f>
        <v>0</v>
      </c>
      <c r="AU157" s="148" cm="1">
        <f t="array" aca="1" ref="AU157" ca="1">-IF($F157="Terminated",0,IF($AA157=0,0,IF(ISNA(MATCH(AU$5,PayDedList,0)),0,MIN(IF(COUNTIFS(OverEmp,$C157,OverDeduct,AU$5,OverDate,"&lt;"&amp;DATE(YEAR($AC157),MONTH($AC157)+1,1),OverEnd,"&gt;="&amp;DATE(YEAR($AC157),MONTH($AC157),1))&gt;0,SUMPRODUCT((PayEmp=$C157)*(PayDate&lt;=$AC157)*(OFFSET($N$6,1,MATCH(AU$5,PayDedList,0)-1,PayCount,1)))/$AA157*12*AU$3,IF(OR(AU$1="Fixed",AU$1="Not Used"),SUMPRODUCT((PayEmp=$C157)*(PayDate&lt;=$AC157)*(OFFSET($N$6,1,MATCH(AU$5,PayDedList,0)-1,PayCount,1)))/$AA157*12*AU$3,IF(ISNA(MATCH(OFFSET($N$2,0,MATCH(AU$5,PayDedList,0)-1,1,1),EarnListItem,0))=FALSE,SUMPRODUCT((PayEmp=$C157)*(PayDate&lt;=$AC157)*(OFFSET($N$6,1,MATCH(AU$5,PayDedList,0)-1,PayCount,1)))/$AA157*12*AU$3,(MIN(SUMPRODUCT((PayEmp=$C157)*(PayDate&lt;=$AC157)*(ISERROR(SEARCH(PayEarnCode,AU$2)))*(PayEarnType="Monthly")*(PayEarnValues))/$AA157*12,IF(ISNUMBER(OFFSET($N$3,0,MATCH(AU$5,PayDedList,0)-1,1,1)),OFFSET($N$3,0,MATCH(AU$5,PayDedList,0)-1,1,1),IgnoreMin)))*IF(COUNTIFS(EmpNo,$C157,OFFSET(Emp!$R$4,1,MATCH(AU$5,DedListItem,0)-1,EmpCount,1),"&lt;&gt;")&gt;0,VLOOKUP($C157,EmpAll,COLUMN(Emp!$R$4)+MATCH(AU$5,DedListItem,0)-1,0),OFFSET(Setup!$E$73,MATCH(AU$5,DedListItem,0),0,1,1))*AU$3))),IF(ISNUMBER(AU$4),AU$4,IgnoreMin)))))</f>
        <v>-136227.27272727271</v>
      </c>
      <c r="AV157" s="148" cm="1">
        <f t="array" aca="1" ref="AV157" ca="1">-IF($F157="Terminated",0,IF($AA157=0,0,IF(ISNA(MATCH(AV$5,PayDedList,0)),0,MIN(IF(COUNTIFS(OverEmp,$C157,OverDeduct,AV$5,OverDate,"&lt;"&amp;DATE(YEAR($AC157),MONTH($AC157)+1,1),OverEnd,"&gt;="&amp;DATE(YEAR($AC157),MONTH($AC157),1))&gt;0,SUMPRODUCT((PayEmp=$C157)*(PayDate&lt;=$AC157)*(OFFSET($N$6,1,MATCH(AV$5,PayDedList,0)-1,PayCount,1)))/$AA157*12*AV$3,IF(OR(AV$1="Fixed",AV$1="Not Used"),SUMPRODUCT((PayEmp=$C157)*(PayDate&lt;=$AC157)*(OFFSET($N$6,1,MATCH(AV$5,PayDedList,0)-1,PayCount,1)))/$AA157*12*AV$3,IF(ISNA(MATCH(OFFSET($N$2,0,MATCH(AV$5,PayDedList,0)-1,1,1),EarnListItem,0))=FALSE,SUMPRODUCT((PayEmp=$C157)*(PayDate&lt;=$AC157)*(OFFSET($N$6,1,MATCH(AV$5,PayDedList,0)-1,PayCount,1)))/$AA157*12*AV$3,(MIN(SUMPRODUCT((PayEmp=$C157)*(PayDate&lt;=$AC157)*(ISERROR(SEARCH(PayEarnCode,AV$2)))*(PayEarnType="Monthly")*(PayEarnValues))/$AA157*12,IF(ISNUMBER(OFFSET($N$3,0,MATCH(AV$5,PayDedList,0)-1,1,1)),OFFSET($N$3,0,MATCH(AV$5,PayDedList,0)-1,1,1),IgnoreMin)))*IF(COUNTIFS(EmpNo,$C157,OFFSET(Emp!$R$4,1,MATCH(AV$5,DedListItem,0)-1,EmpCount,1),"&lt;&gt;")&gt;0,VLOOKUP($C157,EmpAll,COLUMN(Emp!$R$4)+MATCH(AV$5,DedListItem,0)-1,0),OFFSET(Setup!$E$73,MATCH(AV$5,DedListItem,0),0,1,1))*AV$3))),IF(ISNUMBER(AV$4),AV$4,IgnoreMin)))))</f>
        <v>0</v>
      </c>
      <c r="AW157" s="148" cm="1">
        <f t="array" aca="1" ref="AW157" ca="1">-IF($F157="Terminated",0,IF($AA157=0,0,IF(ISNA(MATCH(AW$5,PayDedList,0)),0,MIN(IF(COUNTIFS(OverEmp,$C157,OverDeduct,AW$5,OverDate,"&lt;"&amp;DATE(YEAR($AC157),MONTH($AC157)+1,1),OverEnd,"&gt;="&amp;DATE(YEAR($AC157),MONTH($AC157),1))&gt;0,SUMPRODUCT((PayEmp=$C157)*(PayDate&lt;=$AC157)*(OFFSET($N$6,1,MATCH(AW$5,PayDedList,0)-1,PayCount,1)))/$AA157*12*AW$3,IF(OR(AW$1="Fixed",AW$1="Not Used"),SUMPRODUCT((PayEmp=$C157)*(PayDate&lt;=$AC157)*(OFFSET($N$6,1,MATCH(AW$5,PayDedList,0)-1,PayCount,1)))/$AA157*12*AW$3,IF(ISNA(MATCH(OFFSET($N$2,0,MATCH(AW$5,PayDedList,0)-1,1,1),EarnListItem,0))=FALSE,SUMPRODUCT((PayEmp=$C157)*(PayDate&lt;=$AC157)*(OFFSET($N$6,1,MATCH(AW$5,PayDedList,0)-1,PayCount,1)))/$AA157*12*AW$3,(MIN(SUMPRODUCT((PayEmp=$C157)*(PayDate&lt;=$AC157)*(ISERROR(SEARCH(PayEarnCode,AW$2)))*(PayEarnType="Monthly")*(PayEarnValues))/$AA157*12,IF(ISNUMBER(OFFSET($N$3,0,MATCH(AW$5,PayDedList,0)-1,1,1)),OFFSET($N$3,0,MATCH(AW$5,PayDedList,0)-1,1,1),IgnoreMin)))*IF(COUNTIFS(EmpNo,$C157,OFFSET(Emp!$R$4,1,MATCH(AW$5,DedListItem,0)-1,EmpCount,1),"&lt;&gt;")&gt;0,VLOOKUP($C157,EmpAll,COLUMN(Emp!$R$4)+MATCH(AW$5,DedListItem,0)-1,0),OFFSET(Setup!$E$73,MATCH(AW$5,DedListItem,0),0,1,1))*AW$3))),IF(ISNUMBER(AW$4),AW$4,IgnoreMin)))))</f>
        <v>0</v>
      </c>
      <c r="AX157" s="148">
        <f t="shared" ca="1" si="73"/>
        <v>1680136.3636363635</v>
      </c>
      <c r="AY157" s="148">
        <f t="shared" ca="1" si="74"/>
        <v>138750</v>
      </c>
      <c r="AZ157" s="148">
        <f ca="1">IF(ISNUMBER($AL157),($AR157*$AL157)-$AI157-$AK157,MAX(0,IF($AL157="B",IF($AR157&lt;Setup!$C$32,($AR157*Setup!$D$32)-$AI157-$AK157,(($AR157-VLOOKUP($AR157,TaxAll2,1,1))*OFFSET(Setup!$D$32,MATCH($AR157,TaxBracket2,1),0,1,1))+OFFSET(Setup!$E$31,MATCH($AR157,TaxBracket2,1),0,1,1)-$AI157-$AK157),IF($AR157&lt;Setup!$C$21,($AR157*Setup!$D$21)-$AI157-$AK157,(($AR157-VLOOKUP($AR157,TaxAll1,1,1))*OFFSET(Setup!$D$21,MATCH($AR157,TaxBracket1,1),0,1,1))+OFFSET(Setup!$E$20,MATCH($AR157,TaxBracket1,1),0,1,1)-$AI157-$AK157))))</f>
        <v>610510.86363636353</v>
      </c>
      <c r="BA157" s="148">
        <f ca="1">IF(ISNUMBER($AL157),($AX157*$AL157)-$AI157-$AK157,MAX(0,IF($AL157="B",IF($AX157&lt;Setup!$C$32,($AX157*Setup!$D$32)-$AI157-$AK157,(($AX157-VLOOKUP($AX157,TaxAll2,1,1))*OFFSET(Setup!$D$32,MATCH($AX157,TaxBracket2,1),0,1,1))+OFFSET(Setup!$E$31,MATCH($AX157,TaxBracket2,1),0,1,1)-$AI157-$AK157),IF($AX157&lt;Setup!$C$21,($AX157*Setup!$D$21)-$AI157-$AK157,(($AX157-VLOOKUP($AX157,TaxAll1,1,1))*OFFSET(Setup!$D$21,MATCH($AX157,TaxBracket1,1),0,1,1))+OFFSET(Setup!$E$20,MATCH($AX157,TaxBracket1,1),0,1,1)-$AI157-$AK157))))</f>
        <v>553547.90909090894</v>
      </c>
      <c r="BB157" s="148">
        <f t="shared" ca="1" si="65"/>
        <v>56962.954545454588</v>
      </c>
      <c r="BC157" s="150">
        <f t="shared" ca="1" si="75"/>
        <v>0.92371705963938977</v>
      </c>
      <c r="BD157" s="150">
        <f t="shared" ca="1" si="76"/>
        <v>7.6282940360610271E-2</v>
      </c>
      <c r="BE157" s="148">
        <f t="shared" ca="1" si="77"/>
        <v>1966363.6363636362</v>
      </c>
    </row>
    <row r="158" spans="1:57" ht="16.149999999999999" customHeight="1" x14ac:dyDescent="0.25">
      <c r="A158" s="10" t="str" cm="1">
        <f t="array" aca="1" ref="A158" ca="1">IF(ROW($A158)-ROW($A$6)&gt;EmpCount*12,"-",TEXT($B158,"yyyy")&amp;TEXT($B158,"mm")&amp;"-"&amp;$C158)</f>
        <v>202401-EXS002</v>
      </c>
      <c r="B158" s="137" cm="1">
        <f t="array" aca="1" ref="B158" ca="1">IF(ROW($A158)-ROW($A$6)&gt;EmpCount*12,Setup!$D$12,DATE(YEAR(Setup!$F$12),MONTH(Setup!$F$12)+ROUNDDOWN((ROW($A158)-ROW($A$6)-1)/EmpCount,0),IF(Setup!$C$14&gt;DAY(DATE(YEAR(Setup!$F$12),MONTH(Setup!$F$12)+ROUNDDOWN((ROW($A158)-ROW($A$6)-1)/EmpCount,0)+1,0)),DAY(DATE(YEAR(Setup!$F$12),MONTH(Setup!$F$12)+ROUNDDOWN((ROW($A158)-ROW($A$6)-1)/EmpCount,0)+1,0)),Setup!$C$14)))</f>
        <v>45316</v>
      </c>
      <c r="C158" s="101" t="str" cm="1">
        <f t="array" aca="1" ref="C158" ca="1">IF(ROW($A158)-ROW($A$6)&gt;EmpCount*12,"-",OFFSET(Emp!$A$4,ROW($A158)-ROW($A$6)-IF(ROW($A158)-ROW($A$6)&gt;EmpCount,ROUNDDOWN((ROW($A158)-ROW($A$6)-1)/EmpCount,0)*EmpCount,0),0,1,1))</f>
        <v>EXS002</v>
      </c>
      <c r="D158" s="10" t="str">
        <f ca="1">IF(ISNA(VLOOKUP($C158,EmpAll,COLUMN(Emp!$B$4),0)),"-",VLOOKUP($C158,EmpAll,COLUMN(Emp!$B$4),0))</f>
        <v>Smith F</v>
      </c>
      <c r="E158" s="145" t="str">
        <f ca="1">IF(ISNA(VLOOKUP($C158,EmpAll,COLUMN(Emp!$C$4),0)),"-",VLOOKUP($C158,EmpAll,COLUMN(Emp!$C$4),0))</f>
        <v>M</v>
      </c>
      <c r="F158" s="101" t="str">
        <f ca="1">IF(ISNA(VLOOKUP($C158,EmpAll,COLUMN(Emp!$A$4),0)),"-",IF(AND(VLOOKUP($C158,EmpAll,COLUMN(Emp!$E$4),0)&lt;&gt;0,VLOOKUP($C158,EmpAll,COLUMN(Emp!$E$4),0)&gt;=DATE(YEAR($AC158),MONTH($AC158)+1,0)),"Inactive",IF(AND(VLOOKUP($C158,EmpAll,COLUMN(Emp!$F$4),0)&lt;&gt;0,VLOOKUP($C158,EmpAll,COLUMN(Emp!$F$4),0)&lt;=DATE(YEAR($AC158),MONTH($AC158),0)),"Terminated","Active")))</f>
        <v>Active</v>
      </c>
      <c r="G158" s="133" cm="1">
        <f t="array" aca="1" ref="G158" ca="1">IF($F158&lt;&gt;"Active",0,IF(COUNTIFS(OverEmp,$C158,OverEarn,G$2,OverDate,"&lt;"&amp;DATE(YEAR($AC158),MONTH($AC158)+1,1),OverEnd,"&gt;="&amp;DATE(YEAR($AC158),MONTH($AC158),1))&gt;0,SUMIFS(OverValue,OverEmp,$C158,OverEarn,G$2,OverDate,"&lt;"&amp;DATE(YEAR($AC158),MONTH($AC158)+1,1),OverEnd,"&gt;="&amp;DATE(YEAR($AC158),MONTH($AC158),1)),IF(AND($AC158&gt;=Setup!$E$10,SUMIFS(EmpIncrease,EmpCode,$C158)&gt;0),SUMIFS(EmpIncrease,EmpCode,$C158),SUMIFS(EmpSalary,EmpCode,$C158))))</f>
        <v>132000</v>
      </c>
      <c r="H158" s="133" cm="1">
        <f t="array" aca="1" ref="H158" ca="1">IF($F158&lt;&gt;"Active",0,IF(COUNTIFS(OverEmp,$C158,OverEarn,H$2,OverDate,"&lt;"&amp;DATE(YEAR($AC158),MONTH($AC158)+1,1),OverEnd,"&gt;="&amp;DATE(YEAR($AC158),MONTH($AC158),1))&gt;0,SUMIFS(OverValue,OverEmp,$C158,OverEarn,H$2,OverDate,"&lt;"&amp;DATE(YEAR($AC158),MONTH($AC158)+1,1),OverEnd,"&gt;="&amp;DATE(YEAR($AC158),MONTH($AC158),1)),0))</f>
        <v>0</v>
      </c>
      <c r="I158" s="133" cm="1">
        <f t="array" aca="1" ref="I158" ca="1">IF($F158&lt;&gt;"Active",0,IF(COUNTIFS(OverEmp,$C158,OverEarn,I$2,OverDate,"&lt;"&amp;DATE(YEAR($AC158),MONTH($AC158)+1,1),OverEnd,"&gt;="&amp;DATE(YEAR($AC158),MONTH($AC158),1))&gt;0,SUMIFS(OverValue,OverEmp,$C158,OverEarn,I$2,OverDate,"&lt;"&amp;DATE(YEAR($AC158),MONTH($AC158)+1,1),OverEnd,"&gt;="&amp;DATE(YEAR($AC158),MONTH($AC158),1)),IF(MONTH(B158)=Setup!$C$15,SUMIFS(EmpBonus,EmpCode,$C158),0)))</f>
        <v>0</v>
      </c>
      <c r="J158" s="133" cm="1">
        <f t="array" aca="1" ref="J158" ca="1">IF($F158&lt;&gt;"Active",0,IF(COUNTIFS(OverEmp,$C158,OverEarn,J$2,OverDate,"&lt;"&amp;DATE(YEAR($AC158),MONTH($AC158)+1,1),OverEnd,"&gt;="&amp;DATE(YEAR($AC158),MONTH($AC158),1))&gt;0,SUMIFS(OverValue,OverEmp,$C158,OverEarn,J$2,OverDate,"&lt;"&amp;DATE(YEAR($AC158),MONTH($AC158)+1,1),OverEnd,"&gt;="&amp;DATE(YEAR($AC158),MONTH($AC158),1)),0))</f>
        <v>0</v>
      </c>
      <c r="K158" s="133" cm="1">
        <f t="array" aca="1" ref="K158" ca="1">IF($F158&lt;&gt;"Active",0,IF(COUNTIFS(OverEmp,$C158,OverEarn,K$2,OverDate,"&lt;"&amp;DATE(YEAR($AC158),MONTH($AC158)+1,1),OverEnd,"&gt;="&amp;DATE(YEAR($AC158),MONTH($AC158),1))&gt;0,SUMIFS(OverValue,OverEmp,$C158,OverEarn,K$2,OverDate,"&lt;"&amp;DATE(YEAR($AC158),MONTH($AC158)+1,1),OverEnd,"&gt;="&amp;DATE(YEAR($AC158),MONTH($AC158),1)),0))</f>
        <v>0</v>
      </c>
      <c r="L158" s="185">
        <f t="shared" ca="1" si="66"/>
        <v>132000</v>
      </c>
      <c r="M158" s="182" cm="1">
        <f t="array" aca="1" ref="M158" ca="1">IF(COUNTIFS(OverEmp,$C158,OverTax,M$5,OverDate,"&lt;"&amp;DATE(YEAR($AC158),MONTH($AC158)+1,1),OverEnd,"&gt;="&amp;DATE(YEAR($AC158),MONTH($AC158),1))&gt;0,SUMIFS(OverValue,OverEmp,$C158,OverTax,M$5,OverDate,"&lt;"&amp;DATE(YEAR($AC158),MONTH($AC158)+1,1),OverEnd,"&gt;="&amp;DATE(YEAR($AC158),MONTH($AC158),1)),(($BA158/12*$AA158)+(BB158*IF(1-$BC158=0,0,BD158/(1-$BC158))))-IF($F158="Terminated",0,SUMIFS(PayTaxDeduct,PayDate,"&lt;"&amp;$AC158,PayEmp,$C158)))</f>
        <v>43418.333333333198</v>
      </c>
      <c r="N158" s="133" cm="1">
        <f t="array" aca="1" ref="N158" ca="1">IF($F158="Terminated",0,IF($AA158=0,0,IF(ISNA(MATCH(N$5,DedListItem,0)),0,IF(COUNTIFS(OverEmp,$C158,OverDeduct,N$5,OverDate,"&lt;"&amp;DATE(YEAR($AC158),MONTH($AC158)+1,1),OverEnd,"&gt;="&amp;DATE(YEAR($AC158),MONTH($AC158),1))&gt;0,SUMIFS(OverValue,OverEmp,$C158,OverDeduct,N$5,OverDate,"&lt;"&amp;DATE(YEAR($AC158),MONTH($AC158)+1,1),OverEnd,"&gt;="&amp;DATE(YEAR($AC158),MONTH($AC158),1)),IF(OR(N$2="Fixed",N$2="Not Used"),(IF(COUNTIFS(EmpNo,$C158,OFFSET(Emp!$R$4,1,MATCH(N$5,DedListItem,0)-1,EmpCount,1),"&lt;&gt;")&gt;0,VLOOKUP($C158,EmpAll,COLUMN(Emp!$R$4)+MATCH(N$5,DedListItem,0)-1,0),OFFSET(Setup!$E$73,MATCH(N$5,DedListItem,0),0,1,1))*$AA158)-SUMIFS(OFFSET(N$6,1,0,PayCount,1),PayDate,"&lt;"&amp;$AC158,PayEmp,$C158),IF(ISNA(MATCH(N$2,EarnListItem,0))=FALSE,IF(OFFSET(Setup!$G$73,MATCH(N$5,DedListItem,0),0,1,1)="Taxable",SUMPRODUCT((PayEmp=$C158)*(PayDate&lt;=$AC158)*(PayEarnCode=N$2)*(PayEarnTax)*(PayEarnValues)),SUMPRODUCT((PayEmp=$C158)*(PayDate&lt;=$AC158)*(PayEarnCode=N$2)*(PayEarnValues)))*IF(COUNTIFS(EmpNo,$C158,OFFSET(Emp!$R$4,1,MATCH(N$5,DedListItem,0)-1,EmpCount,1),"&lt;&gt;")&gt;0,VLOOKUP($C158,EmpAll,COLUMN(Emp!$R$4)+MATCH(N$5,DedListItem,0)-1,0),OFFSET(Setup!$E$73,MATCH(N$5,DedListItem,0),0,1,1)),(MIN(IF(OFFSET(Setup!$G$73,MATCH(N$5,DedListItem,0),0,1,1)="Taxable",SUMPRODUCT((PayEmp=$C158)*(PayDate&lt;=$AC158)*(ISERROR(SEARCH(PayEarnCode,N$4)))*(PayEarnTax)*(PayEarnValues)),SUMPRODUCT((PayEmp=$C158)*(PayDate&lt;=$AC158)*(ISERROR(SEARCH(PayEarnCode,N$4)))*(PayEarnValues))),IF(ISNUMBER(N$3),N$3/12*$AA158,IgnoreMin)))*IF(COUNTIFS(EmpNo,$C158,OFFSET(Emp!$R$4,1,MATCH(N$5,DedListItem,0)-1,EmpCount,1),"&lt;&gt;")&gt;0,VLOOKUP($C158,EmpAll,COLUMN(Emp!$R$4)+MATCH(N$5,DedListItem,0)-1,0),OFFSET(Setup!$E$73,MATCH(N$5,DedListItem,0),0,1,1)))-SUMIFS(OFFSET(N$6,1,0,PayCount,1),PayDate,"&lt;"&amp;$AC158,PayEmp,$C158))))))</f>
        <v>177.11999999999989</v>
      </c>
      <c r="O158" s="133" cm="1">
        <f t="array" aca="1" ref="O158" ca="1">IF($F158="Terminated",0,IF($AA158=0,0,IF(ISNA(MATCH(O$5,DedListItem,0)),0,IF(COUNTIFS(OverEmp,$C158,OverDeduct,O$5,OverDate,"&lt;"&amp;DATE(YEAR($AC158),MONTH($AC158)+1,1),OverEnd,"&gt;="&amp;DATE(YEAR($AC158),MONTH($AC158),1))&gt;0,SUMIFS(OverValue,OverEmp,$C158,OverDeduct,O$5,OverDate,"&lt;"&amp;DATE(YEAR($AC158),MONTH($AC158)+1,1),OverEnd,"&gt;="&amp;DATE(YEAR($AC158),MONTH($AC158),1)),IF(OR(O$2="Fixed",O$2="Not Used"),(IF(COUNTIFS(EmpNo,$C158,OFFSET(Emp!$R$4,1,MATCH(O$5,DedListItem,0)-1,EmpCount,1),"&lt;&gt;")&gt;0,VLOOKUP($C158,EmpAll,COLUMN(Emp!$R$4)+MATCH(O$5,DedListItem,0)-1,0),OFFSET(Setup!$E$73,MATCH(O$5,DedListItem,0),0,1,1))*$AA158)-SUMIFS(OFFSET(O$6,1,0,PayCount,1),PayDate,"&lt;"&amp;$AC158,PayEmp,$C158),IF(ISNA(MATCH(O$2,EarnListItem,0))=FALSE,IF(OFFSET(Setup!$G$73,MATCH(O$5,DedListItem,0),0,1,1)="Taxable",SUMPRODUCT((PayEmp=$C158)*(PayDate&lt;=$AC158)*(PayEarnCode=O$2)*(PayEarnTax)*(PayEarnValues)),SUMPRODUCT((PayEmp=$C158)*(PayDate&lt;=$AC158)*(PayEarnCode=O$2)*(PayEarnValues)))*IF(COUNTIFS(EmpNo,$C158,OFFSET(Emp!$R$4,1,MATCH(O$5,DedListItem,0)-1,EmpCount,1),"&lt;&gt;")&gt;0,VLOOKUP($C158,EmpAll,COLUMN(Emp!$R$4)+MATCH(O$5,DedListItem,0)-1,0),OFFSET(Setup!$E$73,MATCH(O$5,DedListItem,0),0,1,1)),(MIN(IF(OFFSET(Setup!$G$73,MATCH(O$5,DedListItem,0),0,1,1)="Taxable",SUMPRODUCT((PayEmp=$C158)*(PayDate&lt;=$AC158)*(ISERROR(SEARCH(PayEarnCode,O$4)))*(PayEarnTax)*(PayEarnValues)),SUMPRODUCT((PayEmp=$C158)*(PayDate&lt;=$AC158)*(ISERROR(SEARCH(PayEarnCode,O$4)))*(PayEarnValues))),IF(ISNUMBER(O$3),O$3/12*$AA158,IgnoreMin)))*IF(COUNTIFS(EmpNo,$C158,OFFSET(Emp!$R$4,1,MATCH(O$5,DedListItem,0)-1,EmpCount,1),"&lt;&gt;")&gt;0,VLOOKUP($C158,EmpAll,COLUMN(Emp!$R$4)+MATCH(O$5,DedListItem,0)-1,0),OFFSET(Setup!$E$73,MATCH(O$5,DedListItem,0),0,1,1)))-SUMIFS(OFFSET(O$6,1,0,PayCount,1),PayDate,"&lt;"&amp;$AC158,PayEmp,$C158))))))</f>
        <v>0</v>
      </c>
      <c r="P158" s="133" cm="1">
        <f t="array" aca="1" ref="P158" ca="1">IF($F158="Terminated",0,IF($AA158=0,0,IF(ISNA(MATCH(P$5,DedListItem,0)),0,IF(COUNTIFS(OverEmp,$C158,OverDeduct,P$5,OverDate,"&lt;"&amp;DATE(YEAR($AC158),MONTH($AC158)+1,1),OverEnd,"&gt;="&amp;DATE(YEAR($AC158),MONTH($AC158),1))&gt;0,SUMIFS(OverValue,OverEmp,$C158,OverDeduct,P$5,OverDate,"&lt;"&amp;DATE(YEAR($AC158),MONTH($AC158)+1,1),OverEnd,"&gt;="&amp;DATE(YEAR($AC158),MONTH($AC158),1)),IF(OR(P$2="Fixed",P$2="Not Used"),(IF(COUNTIFS(EmpNo,$C158,OFFSET(Emp!$R$4,1,MATCH(P$5,DedListItem,0)-1,EmpCount,1),"&lt;&gt;")&gt;0,VLOOKUP($C158,EmpAll,COLUMN(Emp!$R$4)+MATCH(P$5,DedListItem,0)-1,0),OFFSET(Setup!$E$73,MATCH(P$5,DedListItem,0),0,1,1))*$AA158)-SUMIFS(OFFSET(P$6,1,0,PayCount,1),PayDate,"&lt;"&amp;$AC158,PayEmp,$C158),IF(ISNA(MATCH(P$2,EarnListItem,0))=FALSE,IF(OFFSET(Setup!$G$73,MATCH(P$5,DedListItem,0),0,1,1)="Taxable",SUMPRODUCT((PayEmp=$C158)*(PayDate&lt;=$AC158)*(PayEarnCode=P$2)*(PayEarnTax)*(PayEarnValues)),SUMPRODUCT((PayEmp=$C158)*(PayDate&lt;=$AC158)*(PayEarnCode=P$2)*(PayEarnValues)))*IF(COUNTIFS(EmpNo,$C158,OFFSET(Emp!$R$4,1,MATCH(P$5,DedListItem,0)-1,EmpCount,1),"&lt;&gt;")&gt;0,VLOOKUP($C158,EmpAll,COLUMN(Emp!$R$4)+MATCH(P$5,DedListItem,0)-1,0),OFFSET(Setup!$E$73,MATCH(P$5,DedListItem,0),0,1,1)),(MIN(IF(OFFSET(Setup!$G$73,MATCH(P$5,DedListItem,0),0,1,1)="Taxable",SUMPRODUCT((PayEmp=$C158)*(PayDate&lt;=$AC158)*(ISERROR(SEARCH(PayEarnCode,P$4)))*(PayEarnTax)*(PayEarnValues)),SUMPRODUCT((PayEmp=$C158)*(PayDate&lt;=$AC158)*(ISERROR(SEARCH(PayEarnCode,P$4)))*(PayEarnValues))),IF(ISNUMBER(P$3),P$3/12*$AA158,IgnoreMin)))*IF(COUNTIFS(EmpNo,$C158,OFFSET(Emp!$R$4,1,MATCH(P$5,DedListItem,0)-1,EmpCount,1),"&lt;&gt;")&gt;0,VLOOKUP($C158,EmpAll,COLUMN(Emp!$R$4)+MATCH(P$5,DedListItem,0)-1,0),OFFSET(Setup!$E$73,MATCH(P$5,DedListItem,0),0,1,1)))-SUMIFS(OFFSET(P$6,1,0,PayCount,1),PayDate,"&lt;"&amp;$AC158,PayEmp,$C158))))))</f>
        <v>0</v>
      </c>
      <c r="Q158" s="133" cm="1">
        <f t="array" aca="1" ref="Q158" ca="1">IF($F158="Terminated",0,IF($AA158=0,0,IF(ISNA(MATCH(Q$5,DedListItem,0)),0,IF(COUNTIFS(OverEmp,$C158,OverDeduct,Q$5,OverDate,"&lt;"&amp;DATE(YEAR($AC158),MONTH($AC158)+1,1),OverEnd,"&gt;="&amp;DATE(YEAR($AC158),MONTH($AC158),1))&gt;0,SUMIFS(OverValue,OverEmp,$C158,OverDeduct,Q$5,OverDate,"&lt;"&amp;DATE(YEAR($AC158),MONTH($AC158)+1,1),OverEnd,"&gt;="&amp;DATE(YEAR($AC158),MONTH($AC158),1)),IF(OR(Q$2="Fixed",Q$2="Not Used"),(IF(COUNTIFS(EmpNo,$C158,OFFSET(Emp!$R$4,1,MATCH(Q$5,DedListItem,0)-1,EmpCount,1),"&lt;&gt;")&gt;0,VLOOKUP($C158,EmpAll,COLUMN(Emp!$R$4)+MATCH(Q$5,DedListItem,0)-1,0),OFFSET(Setup!$E$73,MATCH(Q$5,DedListItem,0),0,1,1))*$AA158)-SUMIFS(OFFSET(Q$6,1,0,PayCount,1),PayDate,"&lt;"&amp;$AC158,PayEmp,$C158),IF(ISNA(MATCH(Q$2,EarnListItem,0))=FALSE,IF(OFFSET(Setup!$G$73,MATCH(Q$5,DedListItem,0),0,1,1)="Taxable",SUMPRODUCT((PayEmp=$C158)*(PayDate&lt;=$AC158)*(PayEarnCode=Q$2)*(PayEarnTax)*(PayEarnValues)),SUMPRODUCT((PayEmp=$C158)*(PayDate&lt;=$AC158)*(PayEarnCode=Q$2)*(PayEarnValues)))*IF(COUNTIFS(EmpNo,$C158,OFFSET(Emp!$R$4,1,MATCH(Q$5,DedListItem,0)-1,EmpCount,1),"&lt;&gt;")&gt;0,VLOOKUP($C158,EmpAll,COLUMN(Emp!$R$4)+MATCH(Q$5,DedListItem,0)-1,0),OFFSET(Setup!$E$73,MATCH(Q$5,DedListItem,0),0,1,1)),(MIN(IF(OFFSET(Setup!$G$73,MATCH(Q$5,DedListItem,0),0,1,1)="Taxable",SUMPRODUCT((PayEmp=$C158)*(PayDate&lt;=$AC158)*(ISERROR(SEARCH(PayEarnCode,Q$4)))*(PayEarnTax)*(PayEarnValues)),SUMPRODUCT((PayEmp=$C158)*(PayDate&lt;=$AC158)*(ISERROR(SEARCH(PayEarnCode,Q$4)))*(PayEarnValues))),IF(ISNUMBER(Q$3),Q$3/12*$AA158,IgnoreMin)))*IF(COUNTIFS(EmpNo,$C158,OFFSET(Emp!$R$4,1,MATCH(Q$5,DedListItem,0)-1,EmpCount,1),"&lt;&gt;")&gt;0,VLOOKUP($C158,EmpAll,COLUMN(Emp!$R$4)+MATCH(Q$5,DedListItem,0)-1,0),OFFSET(Setup!$E$73,MATCH(Q$5,DedListItem,0),0,1,1)))-SUMIFS(OFFSET(Q$6,1,0,PayCount,1),PayDate,"&lt;"&amp;$AC158,PayEmp,$C158))))))</f>
        <v>0</v>
      </c>
      <c r="R158" s="185">
        <f t="shared" ca="1" si="67"/>
        <v>43595.4533333332</v>
      </c>
      <c r="S158" s="139">
        <f t="shared" ca="1" si="68"/>
        <v>88404.55</v>
      </c>
      <c r="T158" s="133" cm="1">
        <f t="array" aca="1" ref="T158" ca="1">IF($F158="Terminated",0,IF($AA158=0,0,IF(ISNA(MATCH(T$5,CompListItem,0)),0,IF(COUNTIFS(OverEmp,$C158,OverComp,T$5,OverDate,"&lt;"&amp;DATE(YEAR($AC158),MONTH($AC158)+1,1),OverEnd,"&gt;="&amp;DATE(YEAR($AC158),MONTH($AC158),1))&gt;0,SUMIFS(OverValue,OverEmp,$C158,OverComp,T$5,OverDate,"&lt;"&amp;DATE(YEAR($AC158),MONTH($AC158)+1,1),OverEnd,"&gt;="&amp;DATE(YEAR($AC158),MONTH($AC158),1)),IF(OR(T$2="Fixed",T$2="Not Used"),(OFFSET(Setup!$E$81,MATCH(T$5,CompListItem,0),0,1,1)*$AA158)-SUMIFS(OFFSET(T$6,1,0,PayCount,1),PayDate,"&lt;"&amp;$AC158,PayEmp,$C158),IF(ISNA(MATCH(T$2,DedListItem,0))=FALSE,(SUMPRODUCT((PayEmp=$C158)*(PayDate&lt;=$AC158)*(PayDedList=T$2)*(PayDedValues))*OFFSET(Setup!$E$81,MATCH(T$5,CompListItem,0),0,1,1))-SUMIFS(OFFSET(T$6,1,0,PayCount,1),PayDate,"&lt;"&amp;$AC158,PayEmp,$C158),(MIN(IF(OFFSET(Setup!$G$81,MATCH(T$5,CompListItem,0),0,1,1)="Taxable",SUMPRODUCT((PayEmp=$C158)*(PayDate&lt;=$AC158)*(ISERROR(SEARCH(PayEarnCode,T$4)))*(PayEarnTax)*(PayEarnValues)),SUMPRODUCT((PayEmp=$C158)*(PayDate&lt;=$AC158)*(ISERROR(SEARCH(PayEarnCode,T$4)))*(PayEarnValues))),IF(ISNUMBER(T$3),T$3/12*$AA158,IgnoreMin)))*OFFSET(Setup!$E$81,MATCH(T$5,CompListItem,0),0,1,1)-SUMIFS(OFFSET(T$6,1,0,PayCount,1),PayDate,"&lt;"&amp;$AC158,PayEmp,$C158)))))))</f>
        <v>177.11999999999989</v>
      </c>
      <c r="U158" s="133" cm="1">
        <f t="array" aca="1" ref="U158" ca="1">IF($F158="Terminated",0,IF($AA158=0,0,IF(ISNA(MATCH(U$5,CompListItem,0)),0,IF(COUNTIFS(OverEmp,$C158,OverComp,U$5,OverDate,"&lt;"&amp;DATE(YEAR($AC158),MONTH($AC158)+1,1),OverEnd,"&gt;="&amp;DATE(YEAR($AC158),MONTH($AC158),1))&gt;0,SUMIFS(OverValue,OverEmp,$C158,OverComp,U$5,OverDate,"&lt;"&amp;DATE(YEAR($AC158),MONTH($AC158)+1,1),OverEnd,"&gt;="&amp;DATE(YEAR($AC158),MONTH($AC158),1)),IF(OR(U$2="Fixed",U$2="Not Used"),(OFFSET(Setup!$E$81,MATCH(U$5,CompListItem,0),0,1,1)*$AA158)-SUMIFS(OFFSET(U$6,1,0,PayCount,1),PayDate,"&lt;"&amp;$AC158,PayEmp,$C158),IF(ISNA(MATCH(U$2,DedListItem,0))=FALSE,(SUMPRODUCT((PayEmp=$C158)*(PayDate&lt;=$AC158)*(PayDedList=U$2)*(PayDedValues))*OFFSET(Setup!$E$81,MATCH(U$5,CompListItem,0),0,1,1))-SUMIFS(OFFSET(U$6,1,0,PayCount,1),PayDate,"&lt;"&amp;$AC158,PayEmp,$C158),(MIN(IF(OFFSET(Setup!$G$81,MATCH(U$5,CompListItem,0),0,1,1)="Taxable",SUMPRODUCT((PayEmp=$C158)*(PayDate&lt;=$AC158)*(ISERROR(SEARCH(PayEarnCode,U$4)))*(PayEarnTax)*(PayEarnValues)),SUMPRODUCT((PayEmp=$C158)*(PayDate&lt;=$AC158)*(ISERROR(SEARCH(PayEarnCode,U$4)))*(PayEarnValues))),IF(ISNUMBER(U$3),U$3/12*$AA158,IgnoreMin)))*OFFSET(Setup!$E$81,MATCH(U$5,CompListItem,0),0,1,1)-SUMIFS(OFFSET(U$6,1,0,PayCount,1),PayDate,"&lt;"&amp;$AC158,PayEmp,$C158)))))))</f>
        <v>1320</v>
      </c>
      <c r="V158" s="133" cm="1">
        <f t="array" aca="1" ref="V158" ca="1">IF($F158="Terminated",0,IF($AA158=0,0,IF(ISNA(MATCH(V$5,CompListItem,0)),0,IF(COUNTIFS(OverEmp,$C158,OverComp,V$5,OverDate,"&lt;"&amp;DATE(YEAR($AC158),MONTH($AC158)+1,1),OverEnd,"&gt;="&amp;DATE(YEAR($AC158),MONTH($AC158),1))&gt;0,SUMIFS(OverValue,OverEmp,$C158,OverComp,V$5,OverDate,"&lt;"&amp;DATE(YEAR($AC158),MONTH($AC158)+1,1),OverEnd,"&gt;="&amp;DATE(YEAR($AC158),MONTH($AC158),1)),IF(OR(V$2="Fixed",V$2="Not Used"),(OFFSET(Setup!$E$81,MATCH(V$5,CompListItem,0),0,1,1)*$AA158)-SUMIFS(OFFSET(V$6,1,0,PayCount,1),PayDate,"&lt;"&amp;$AC158,PayEmp,$C158),IF(ISNA(MATCH(V$2,DedListItem,0))=FALSE,(SUMPRODUCT((PayEmp=$C158)*(PayDate&lt;=$AC158)*(PayDedList=V$2)*(PayDedValues))*OFFSET(Setup!$E$81,MATCH(V$5,CompListItem,0),0,1,1))-SUMIFS(OFFSET(V$6,1,0,PayCount,1),PayDate,"&lt;"&amp;$AC158,PayEmp,$C158),(MIN(IF(OFFSET(Setup!$G$81,MATCH(V$5,CompListItem,0),0,1,1)="Taxable",SUMPRODUCT((PayEmp=$C158)*(PayDate&lt;=$AC158)*(ISERROR(SEARCH(PayEarnCode,V$4)))*(PayEarnTax)*(PayEarnValues)),SUMPRODUCT((PayEmp=$C158)*(PayDate&lt;=$AC158)*(ISERROR(SEARCH(PayEarnCode,V$4)))*(PayEarnValues))),IF(ISNUMBER(V$3),V$3/12*$AA158,IgnoreMin)))*OFFSET(Setup!$E$81,MATCH(V$5,CompListItem,0),0,1,1)-SUMIFS(OFFSET(V$6,1,0,PayCount,1),PayDate,"&lt;"&amp;$AC158,PayEmp,$C158)))))))</f>
        <v>0</v>
      </c>
      <c r="W158" s="133" cm="1">
        <f t="array" aca="1" ref="W158" ca="1">IF($F158="Terminated",0,IF($AA158=0,0,IF(ISNA(MATCH(W$5,CompListItem,0)),0,IF(COUNTIFS(OverEmp,$C158,OverComp,W$5,OverDate,"&lt;"&amp;DATE(YEAR($AC158),MONTH($AC158)+1,1),OverEnd,"&gt;="&amp;DATE(YEAR($AC158),MONTH($AC158),1))&gt;0,SUMIFS(OverValue,OverEmp,$C158,OverComp,W$5,OverDate,"&lt;"&amp;DATE(YEAR($AC158),MONTH($AC158)+1,1),OverEnd,"&gt;="&amp;DATE(YEAR($AC158),MONTH($AC158),1)),IF(OR(W$2="Fixed",W$2="Not Used"),(OFFSET(Setup!$E$81,MATCH(W$5,CompListItem,0),0,1,1)*$AA158)-SUMIFS(OFFSET(W$6,1,0,PayCount,1),PayDate,"&lt;"&amp;$AC158,PayEmp,$C158),IF(ISNA(MATCH(W$2,DedListItem,0))=FALSE,(SUMPRODUCT((PayEmp=$C158)*(PayDate&lt;=$AC158)*(PayDedList=W$2)*(PayDedValues))*OFFSET(Setup!$E$81,MATCH(W$5,CompListItem,0),0,1,1))-SUMIFS(OFFSET(W$6,1,0,PayCount,1),PayDate,"&lt;"&amp;$AC158,PayEmp,$C158),(MIN(IF(OFFSET(Setup!$G$81,MATCH(W$5,CompListItem,0),0,1,1)="Taxable",SUMPRODUCT((PayEmp=$C158)*(PayDate&lt;=$AC158)*(ISERROR(SEARCH(PayEarnCode,W$4)))*(PayEarnTax)*(PayEarnValues)),SUMPRODUCT((PayEmp=$C158)*(PayDate&lt;=$AC158)*(ISERROR(SEARCH(PayEarnCode,W$4)))*(PayEarnValues))),IF(ISNUMBER(W$3),W$3/12*$AA158,IgnoreMin)))*OFFSET(Setup!$E$81,MATCH(W$5,CompListItem,0),0,1,1)-SUMIFS(OFFSET(W$6,1,0,PayCount,1),PayDate,"&lt;"&amp;$AC158,PayEmp,$C158)))))))</f>
        <v>0</v>
      </c>
      <c r="X158" s="185">
        <f t="shared" ca="1" si="60"/>
        <v>1497.12</v>
      </c>
      <c r="Y158" s="139">
        <f t="shared" ca="1" si="69"/>
        <v>133497.12</v>
      </c>
      <c r="Z158" s="139">
        <f t="shared" ca="1" si="61"/>
        <v>45092.57</v>
      </c>
      <c r="AA158" s="146">
        <f ca="1">IF(OR($B158&lt;=Setup!$E$12,$B158&gt;=Setup!$D$12+1),0,IF($F158&lt;&gt;"Active",0,IF($AE158="Yes",$AB158,((YEAR($AC158)*12)+MONTH($AC158))-((YEAR($AD158)*12)+MONTH($AD158)-1))))</f>
        <v>11</v>
      </c>
      <c r="AB158" s="146">
        <f ca="1">IF(OR($B158&lt;=Setup!$E$12,$B158&gt;=Setup!$D$12+1),0,((YEAR($AC158)*12)+MONTH($AC158))-((YEAR(Setup!$E$12)*12)+MONTH(Setup!$E$12)))</f>
        <v>11</v>
      </c>
      <c r="AC158" s="186">
        <f t="shared" ca="1" si="62"/>
        <v>45316</v>
      </c>
      <c r="AD158" s="144">
        <f ca="1">IF(ISNA(VLOOKUP($C158,EmpAll,COLUMN(Emp!$E$4),0)),$AC158,IF(VLOOKUP($C158,EmpAll,COLUMN(Emp!$E$4),0)&lt;=Setup!$E$12,DATE(YEAR(Setup!$E$12),MONTH(Setup!$E$12)+1,1),VLOOKUP($C158,EmpAll,COLUMN(Emp!$E$4),0)))</f>
        <v>44986</v>
      </c>
      <c r="AE158" s="144" t="str">
        <f ca="1">IF(ISNA(VLOOKUP($C158,EmpAll,COLUMN(Emp!$G$1),0)),"-",IF(VLOOKUP($C158,EmpAll,COLUMN(Emp!$G$1),0)=0,"-",VLOOKUP($C158,EmpAll,COLUMN(Emp!$G$1),0)))</f>
        <v>-</v>
      </c>
      <c r="AF158" s="145">
        <f ca="1">IF(A158=PaySlip!$G$3,1,0)</f>
        <v>0</v>
      </c>
      <c r="AG158" s="130" cm="1">
        <f t="array" aca="1" ref="AG158" ca="1">IF(COUNTIFS(OverEmp,$C158,OverMed,"MED",OverDate,"&lt;"&amp;DATE(YEAR($AC158),MONTH($AC158)+1,1),OverEnd,"&gt;="&amp;DATE(YEAR($AC158),MONTH($AC158),1))&gt;0,SUMIFS(OverValue,OverEmp,$C158,OverMed,"MED",OverDate,"&lt;"&amp;DATE(YEAR($AC158),MONTH($AC158)+1,1),OverEnd,"&gt;="&amp;DATE(YEAR($AC158),MONTH($AC158),1)),IF(ISNA(VLOOKUP($C158,EmpAll,COLUMN(Emp!$N$4),0)),0,VLOOKUP($C158,EmpAll,COLUMN(Emp!$N$4),0)))</f>
        <v>3</v>
      </c>
      <c r="AH158" s="146">
        <f ca="1">VLOOKUP($AG158,MedList,COLUMN(Setup!$C$49),1)</f>
        <v>974</v>
      </c>
      <c r="AI158" s="146">
        <f t="shared" ca="1" si="70"/>
        <v>10704</v>
      </c>
      <c r="AJ158" s="101" t="str">
        <f ca="1">IF(ISNA(VLOOKUP($C158,EmpAll,COLUMN(Emp!$L$4),0)),"None!",VLOOKUP($C158,EmpAll,COLUMN(Emp!$L$4),0))</f>
        <v>A</v>
      </c>
      <c r="AK158" s="147">
        <f t="shared" ca="1" si="63"/>
        <v>17235</v>
      </c>
      <c r="AL158" s="101" t="str">
        <f ca="1">IF(ISNA(VLOOKUP($C158,Employees[],COLUMN(Emp!$M$4),0))=TRUE,"Error!",IF(VLOOKUP($C158,Employees[],COLUMN(Emp!$M$4),0)=0,"Yes",VLOOKUP($C158,Employees[],COLUMN(Emp!$M$4),0)))</f>
        <v>A</v>
      </c>
      <c r="AM158" s="148">
        <f t="shared" ca="1" si="71"/>
        <v>1573090.9090909092</v>
      </c>
      <c r="AN158" s="148" cm="1">
        <f t="array" aca="1" ref="AN158" ca="1">-IF($F158="Terminated",0,IF($AA158=0,0,IF(ISNA(MATCH(AN$5,PayDedList,0)),0,MIN(IF(COUNTIFS(OverEmp,$C158,OverDeduct,AN$5,OverDate,"&lt;"&amp;DATE(YEAR($AC158),MONTH($AC158)+1,1),OverEnd,"&gt;="&amp;DATE(YEAR($AC158),MONTH($AC158),1))&gt;0,SUMPRODUCT((PayEmp=$C158)*(PayDate&lt;=$AC158)*(OFFSET($N$6,1,MATCH(AN$5,PayDedList,0)-1,PayCount,1)))/$AA158*12*AN$3,IF(OR(AN$1="Fixed",AN$1="Not Used"),SUMPRODUCT((PayEmp=$C158)*(PayDate&lt;=$AC158)*(OFFSET($N$6,1,MATCH(AN$5,PayDedList,0)-1,PayCount,1)))/$AA158*12*AN$3,IF(ISNA(MATCH(AN$1,EarnListItem,0))=FALSE,SUMPRODUCT((PayEmp=$C158)*(PayDate&lt;=$AC158)*(OFFSET($N$6,1,MATCH(AN$5,PayDedList,0)-1,PayCount,1)))/$AA158*12*AN$3,(MIN(((SUMPRODUCT((PayEmp=$C158)*(PayDate&lt;=$AC158)*(ISERROR(SEARCH(PayEarnCode,AN$2)))*(PayEarnType="Monthly")*(PayEarnValues))/$AA158*12)+(SUMPRODUCT((PayEmp=$C158)*(PayDate&lt;=$AC158)*(ISERROR(SEARCH(PayEarnCode,AN$2)))*(PayEarnType="Quarterly")*(PayEarnValues))/MAX(1,ROUNDDOWN($AB158/3,0))*4)+(SUMPRODUCT((PayEmp=$C158)*(PayDate&lt;=$AC158)*(ISERROR(SEARCH(PayEarnCode,AN$2)))*(PayEarnType="Bi-Annual")*(PayEarnValues))/MAX(1,ROUNDDOWN($AB158/6,0))*2)+(SUMPRODUCT((PayEmp=$C158)*(PayDate&lt;=$AC158)*(ISERROR(SEARCH(PayEarnCode,AN$2)))*(PayEarnType="Annual")*(PayEarnValues)))),IF(ISNUMBER(OFFSET($N$3,0,MATCH(AN$5,PayDedList,0)-1,1,1)),OFFSET($N$3,0,MATCH(AN$5,PayDedList,0)-1,1,1),IgnoreMin)))*IF(COUNTIFS(EmpNo,$C158,OFFSET(Emp!$R$4,1,MATCH(AN$5,DedListItem,0)-1,EmpCount,1),"&lt;&gt;")&gt;0,VLOOKUP($C158,EmpAll,COLUMN(Emp!$R$4)+MATCH(AN$5,DedListItem,0)-1,0),OFFSET(Setup!$E$73,MATCH(AN$5,DedListItem,0),0,1,1))*AN$3))),IF(ISNUMBER(AN$4),AN$4,IgnoreMin)))))</f>
        <v>0</v>
      </c>
      <c r="AO158" s="148" cm="1">
        <f t="array" aca="1" ref="AO158" ca="1">-IF($F158="Terminated",0,IF($AA158=0,0,IF(ISNA(MATCH(AO$5,PayDedList,0)),0,MIN(IF(COUNTIFS(OverEmp,$C158,OverDeduct,AO$5,OverDate,"&lt;"&amp;DATE(YEAR($AC158),MONTH($AC158)+1,1),OverEnd,"&gt;="&amp;DATE(YEAR($AC158),MONTH($AC158),1))&gt;0,SUMPRODUCT((PayEmp=$C158)*(PayDate&lt;=$AC158)*(OFFSET($N$6,1,MATCH(AO$5,PayDedList,0)-1,PayCount,1)))/$AA158*12*AO$3,IF(OR(AO$1="Fixed",AO$1="Not Used"),SUMPRODUCT((PayEmp=$C158)*(PayDate&lt;=$AC158)*(OFFSET($N$6,1,MATCH(AO$5,PayDedList,0)-1,PayCount,1)))/$AA158*12*AO$3,IF(ISNA(MATCH(AO$1,EarnListItem,0))=FALSE,SUMPRODUCT((PayEmp=$C158)*(PayDate&lt;=$AC158)*(OFFSET($N$6,1,MATCH(AO$5,PayDedList,0)-1,PayCount,1)))/$AA158*12*AO$3,(MIN(((SUMPRODUCT((PayEmp=$C158)*(PayDate&lt;=$AC158)*(ISERROR(SEARCH(PayEarnCode,AO$2)))*(PayEarnType="Monthly")*(PayEarnValues))/$AA158*12)+(SUMPRODUCT((PayEmp=$C158)*(PayDate&lt;=$AC158)*(ISERROR(SEARCH(PayEarnCode,AO$2)))*(PayEarnType="Quarterly")*(PayEarnValues))/MAX(1,ROUNDDOWN($AB158/3,0))*4)+(SUMPRODUCT((PayEmp=$C158)*(PayDate&lt;=$AC158)*(ISERROR(SEARCH(PayEarnCode,AO$2)))*(PayEarnType="Bi-Annual")*(PayEarnValues))/MAX(1,ROUNDDOWN($AB158/6,0))*2)+(SUMPRODUCT((PayEmp=$C158)*(PayDate&lt;=$AC158)*(ISERROR(SEARCH(PayEarnCode,AO$2)))*(PayEarnType="Annual")*(PayEarnValues)))),IF(ISNUMBER(OFFSET($N$3,0,MATCH(AO$5,PayDedList,0)-1,1,1)),OFFSET($N$3,0,MATCH(AO$5,PayDedList,0)-1,1,1),IgnoreMin)))*IF(COUNTIFS(EmpNo,$C158,OFFSET(Emp!$R$4,1,MATCH(AO$5,DedListItem,0)-1,EmpCount,1),"&lt;&gt;")&gt;0,VLOOKUP($C158,EmpAll,COLUMN(Emp!$R$4)+MATCH(AO$5,DedListItem,0)-1,0),OFFSET(Setup!$E$73,MATCH(AO$5,DedListItem,0),0,1,1))*AO$3))),IF(ISNUMBER(AO$4),AO$4,IgnoreMin)))))</f>
        <v>0</v>
      </c>
      <c r="AP158" s="148" cm="1">
        <f t="array" aca="1" ref="AP158" ca="1">-IF($F158="Terminated",0,IF($AA158=0,0,IF(ISNA(MATCH(AP$5,PayDedList,0)),0,MIN(IF(COUNTIFS(OverEmp,$C158,OverDeduct,AP$5,OverDate,"&lt;"&amp;DATE(YEAR($AC158),MONTH($AC158)+1,1),OverEnd,"&gt;="&amp;DATE(YEAR($AC158),MONTH($AC158),1))&gt;0,SUMPRODUCT((PayEmp=$C158)*(PayDate&lt;=$AC158)*(OFFSET($N$6,1,MATCH(AP$5,PayDedList,0)-1,PayCount,1)))/$AA158*12*AP$3,IF(OR(AP$1="Fixed",AP$1="Not Used"),SUMPRODUCT((PayEmp=$C158)*(PayDate&lt;=$AC158)*(OFFSET($N$6,1,MATCH(AP$5,PayDedList,0)-1,PayCount,1)))/$AA158*12*AP$3,IF(ISNA(MATCH(AP$1,EarnListItem,0))=FALSE,SUMPRODUCT((PayEmp=$C158)*(PayDate&lt;=$AC158)*(OFFSET($N$6,1,MATCH(AP$5,PayDedList,0)-1,PayCount,1)))/$AA158*12*AP$3,(MIN(((SUMPRODUCT((PayEmp=$C158)*(PayDate&lt;=$AC158)*(ISERROR(SEARCH(PayEarnCode,AP$2)))*(PayEarnType="Monthly")*(PayEarnValues))/$AA158*12)+(SUMPRODUCT((PayEmp=$C158)*(PayDate&lt;=$AC158)*(ISERROR(SEARCH(PayEarnCode,AP$2)))*(PayEarnType="Quarterly")*(PayEarnValues))/MAX(1,ROUNDDOWN($AB158/3,0))*4)+(SUMPRODUCT((PayEmp=$C158)*(PayDate&lt;=$AC158)*(ISERROR(SEARCH(PayEarnCode,AP$2)))*(PayEarnType="Bi-Annual")*(PayEarnValues))/MAX(1,ROUNDDOWN($AB158/6,0))*2)+(SUMPRODUCT((PayEmp=$C158)*(PayDate&lt;=$AC158)*(ISERROR(SEARCH(PayEarnCode,AP$2)))*(PayEarnType="Annual")*(PayEarnValues)))),IF(ISNUMBER(OFFSET($N$3,0,MATCH(AP$5,PayDedList,0)-1,1,1)),OFFSET($N$3,0,MATCH(AP$5,PayDedList,0)-1,1,1),IgnoreMin)))*IF(COUNTIFS(EmpNo,$C158,OFFSET(Emp!$R$4,1,MATCH(AP$5,DedListItem,0)-1,EmpCount,1),"&lt;&gt;")&gt;0,VLOOKUP($C158,EmpAll,COLUMN(Emp!$R$4)+MATCH(AP$5,DedListItem,0)-1,0),OFFSET(Setup!$E$73,MATCH(AP$5,DedListItem,0),0,1,1))*AP$3))),IF(ISNUMBER(AP$4),AP$4,IgnoreMin)))))</f>
        <v>0</v>
      </c>
      <c r="AQ158" s="148" cm="1">
        <f t="array" aca="1" ref="AQ158" ca="1">-IF($F158="Terminated",0,IF($AA158=0,0,IF(ISNA(MATCH(AQ$5,PayDedList,0)),0,MIN(IF(COUNTIFS(OverEmp,$C158,OverDeduct,AQ$5,OverDate,"&lt;"&amp;DATE(YEAR($AC158),MONTH($AC158)+1,1),OverEnd,"&gt;="&amp;DATE(YEAR($AC158),MONTH($AC158),1))&gt;0,SUMPRODUCT((PayEmp=$C158)*(PayDate&lt;=$AC158)*(OFFSET($N$6,1,MATCH(AQ$5,PayDedList,0)-1,PayCount,1)))/$AA158*12*AQ$3,IF(OR(AQ$1="Fixed",AQ$1="Not Used"),SUMPRODUCT((PayEmp=$C158)*(PayDate&lt;=$AC158)*(OFFSET($N$6,1,MATCH(AQ$5,PayDedList,0)-1,PayCount,1)))/$AA158*12*AQ$3,IF(ISNA(MATCH(AQ$1,EarnListItem,0))=FALSE,SUMPRODUCT((PayEmp=$C158)*(PayDate&lt;=$AC158)*(OFFSET($N$6,1,MATCH(AQ$5,PayDedList,0)-1,PayCount,1)))/$AA158*12*AQ$3,(MIN(((SUMPRODUCT((PayEmp=$C158)*(PayDate&lt;=$AC158)*(ISERROR(SEARCH(PayEarnCode,AQ$2)))*(PayEarnType="Monthly")*(PayEarnValues))/$AA158*12)+(SUMPRODUCT((PayEmp=$C158)*(PayDate&lt;=$AC158)*(ISERROR(SEARCH(PayEarnCode,AQ$2)))*(PayEarnType="Quarterly")*(PayEarnValues))/MAX(1,ROUNDDOWN($AB158/3,0))*4)+(SUMPRODUCT((PayEmp=$C158)*(PayDate&lt;=$AC158)*(ISERROR(SEARCH(PayEarnCode,AQ$2)))*(PayEarnType="Bi-Annual")*(PayEarnValues))/MAX(1,ROUNDDOWN($AB158/6,0))*2)+(SUMPRODUCT((PayEmp=$C158)*(PayDate&lt;=$AC158)*(ISERROR(SEARCH(PayEarnCode,AQ$2)))*(PayEarnType="Annual")*(PayEarnValues)))),IF(ISNUMBER(OFFSET($N$3,0,MATCH(AQ$5,PayDedList,0)-1,1,1)),OFFSET($N$3,0,MATCH(AQ$5,PayDedList,0)-1,1,1),IgnoreMin)))*IF(COUNTIFS(EmpNo,$C158,OFFSET(Emp!$R$4,1,MATCH(AQ$5,DedListItem,0)-1,EmpCount,1),"&lt;&gt;")&gt;0,VLOOKUP($C158,EmpAll,COLUMN(Emp!$R$4)+MATCH(AQ$5,DedListItem,0)-1,0),OFFSET(Setup!$E$73,MATCH(AQ$5,DedListItem,0),0,1,1))*AQ$3))),IF(ISNUMBER(AQ$4),AQ$4,IgnoreMin)))))</f>
        <v>0</v>
      </c>
      <c r="AR158" s="148">
        <f t="shared" ca="1" si="64"/>
        <v>1573090.9090909092</v>
      </c>
      <c r="AS158" s="148">
        <f t="shared" ca="1" si="72"/>
        <v>1453090.9090909092</v>
      </c>
      <c r="AT158" s="148" cm="1">
        <f t="array" aca="1" ref="AT158" ca="1">-IF($F158="Terminated",0,IF($AA158=0,0,IF(ISNA(MATCH(AT$5,PayDedList,0)),0,MIN(IF(COUNTIFS(OverEmp,$C158,OverDeduct,AT$5,OverDate,"&lt;"&amp;DATE(YEAR($AC158),MONTH($AC158)+1,1),OverEnd,"&gt;="&amp;DATE(YEAR($AC158),MONTH($AC158),1))&gt;0,SUMPRODUCT((PayEmp=$C158)*(PayDate&lt;=$AC158)*(OFFSET($N$6,1,MATCH(AT$5,PayDedList,0)-1,PayCount,1)))/$AA158*12*AT$3,IF(OR(AT$1="Fixed",AT$1="Not Used"),SUMPRODUCT((PayEmp=$C158)*(PayDate&lt;=$AC158)*(OFFSET($N$6,1,MATCH(AT$5,PayDedList,0)-1,PayCount,1)))/$AA158*12*AT$3,IF(ISNA(MATCH(OFFSET($N$2,0,MATCH(AT$5,PayDedList,0)-1,1,1),EarnListItem,0))=FALSE,SUMPRODUCT((PayEmp=$C158)*(PayDate&lt;=$AC158)*(OFFSET($N$6,1,MATCH(AT$5,PayDedList,0)-1,PayCount,1)))/$AA158*12*AT$3,(MIN(SUMPRODUCT((PayEmp=$C158)*(PayDate&lt;=$AC158)*(ISERROR(SEARCH(PayEarnCode,AT$2)))*(PayEarnType="Monthly")*(PayEarnValues))/$AA158*12,IF(ISNUMBER(OFFSET($N$3,0,MATCH(AT$5,PayDedList,0)-1,1,1)),OFFSET($N$3,0,MATCH(AT$5,PayDedList,0)-1,1,1),IgnoreMin)))*IF(COUNTIFS(EmpNo,$C158,OFFSET(Emp!$R$4,1,MATCH(AT$5,DedListItem,0)-1,EmpCount,1),"&lt;&gt;")&gt;0,VLOOKUP($C158,EmpAll,COLUMN(Emp!$R$4)+MATCH(AT$5,DedListItem,0)-1,0),OFFSET(Setup!$E$73,MATCH(AT$5,DedListItem,0),0,1,1))*AT$3))),IF(ISNUMBER(AT$4),AT$4,IgnoreMin)))))</f>
        <v>0</v>
      </c>
      <c r="AU158" s="148" cm="1">
        <f t="array" aca="1" ref="AU158" ca="1">-IF($F158="Terminated",0,IF($AA158=0,0,IF(ISNA(MATCH(AU$5,PayDedList,0)),0,MIN(IF(COUNTIFS(OverEmp,$C158,OverDeduct,AU$5,OverDate,"&lt;"&amp;DATE(YEAR($AC158),MONTH($AC158)+1,1),OverEnd,"&gt;="&amp;DATE(YEAR($AC158),MONTH($AC158),1))&gt;0,SUMPRODUCT((PayEmp=$C158)*(PayDate&lt;=$AC158)*(OFFSET($N$6,1,MATCH(AU$5,PayDedList,0)-1,PayCount,1)))/$AA158*12*AU$3,IF(OR(AU$1="Fixed",AU$1="Not Used"),SUMPRODUCT((PayEmp=$C158)*(PayDate&lt;=$AC158)*(OFFSET($N$6,1,MATCH(AU$5,PayDedList,0)-1,PayCount,1)))/$AA158*12*AU$3,IF(ISNA(MATCH(OFFSET($N$2,0,MATCH(AU$5,PayDedList,0)-1,1,1),EarnListItem,0))=FALSE,SUMPRODUCT((PayEmp=$C158)*(PayDate&lt;=$AC158)*(OFFSET($N$6,1,MATCH(AU$5,PayDedList,0)-1,PayCount,1)))/$AA158*12*AU$3,(MIN(SUMPRODUCT((PayEmp=$C158)*(PayDate&lt;=$AC158)*(ISERROR(SEARCH(PayEarnCode,AU$2)))*(PayEarnType="Monthly")*(PayEarnValues))/$AA158*12,IF(ISNUMBER(OFFSET($N$3,0,MATCH(AU$5,PayDedList,0)-1,1,1)),OFFSET($N$3,0,MATCH(AU$5,PayDedList,0)-1,1,1),IgnoreMin)))*IF(COUNTIFS(EmpNo,$C158,OFFSET(Emp!$R$4,1,MATCH(AU$5,DedListItem,0)-1,EmpCount,1),"&lt;&gt;")&gt;0,VLOOKUP($C158,EmpAll,COLUMN(Emp!$R$4)+MATCH(AU$5,DedListItem,0)-1,0),OFFSET(Setup!$E$73,MATCH(AU$5,DedListItem,0),0,1,1))*AU$3))),IF(ISNUMBER(AU$4),AU$4,IgnoreMin)))))</f>
        <v>0</v>
      </c>
      <c r="AV158" s="148" cm="1">
        <f t="array" aca="1" ref="AV158" ca="1">-IF($F158="Terminated",0,IF($AA158=0,0,IF(ISNA(MATCH(AV$5,PayDedList,0)),0,MIN(IF(COUNTIFS(OverEmp,$C158,OverDeduct,AV$5,OverDate,"&lt;"&amp;DATE(YEAR($AC158),MONTH($AC158)+1,1),OverEnd,"&gt;="&amp;DATE(YEAR($AC158),MONTH($AC158),1))&gt;0,SUMPRODUCT((PayEmp=$C158)*(PayDate&lt;=$AC158)*(OFFSET($N$6,1,MATCH(AV$5,PayDedList,0)-1,PayCount,1)))/$AA158*12*AV$3,IF(OR(AV$1="Fixed",AV$1="Not Used"),SUMPRODUCT((PayEmp=$C158)*(PayDate&lt;=$AC158)*(OFFSET($N$6,1,MATCH(AV$5,PayDedList,0)-1,PayCount,1)))/$AA158*12*AV$3,IF(ISNA(MATCH(OFFSET($N$2,0,MATCH(AV$5,PayDedList,0)-1,1,1),EarnListItem,0))=FALSE,SUMPRODUCT((PayEmp=$C158)*(PayDate&lt;=$AC158)*(OFFSET($N$6,1,MATCH(AV$5,PayDedList,0)-1,PayCount,1)))/$AA158*12*AV$3,(MIN(SUMPRODUCT((PayEmp=$C158)*(PayDate&lt;=$AC158)*(ISERROR(SEARCH(PayEarnCode,AV$2)))*(PayEarnType="Monthly")*(PayEarnValues))/$AA158*12,IF(ISNUMBER(OFFSET($N$3,0,MATCH(AV$5,PayDedList,0)-1,1,1)),OFFSET($N$3,0,MATCH(AV$5,PayDedList,0)-1,1,1),IgnoreMin)))*IF(COUNTIFS(EmpNo,$C158,OFFSET(Emp!$R$4,1,MATCH(AV$5,DedListItem,0)-1,EmpCount,1),"&lt;&gt;")&gt;0,VLOOKUP($C158,EmpAll,COLUMN(Emp!$R$4)+MATCH(AV$5,DedListItem,0)-1,0),OFFSET(Setup!$E$73,MATCH(AV$5,DedListItem,0),0,1,1))*AV$3))),IF(ISNUMBER(AV$4),AV$4,IgnoreMin)))))</f>
        <v>0</v>
      </c>
      <c r="AW158" s="148" cm="1">
        <f t="array" aca="1" ref="AW158" ca="1">-IF($F158="Terminated",0,IF($AA158=0,0,IF(ISNA(MATCH(AW$5,PayDedList,0)),0,MIN(IF(COUNTIFS(OverEmp,$C158,OverDeduct,AW$5,OverDate,"&lt;"&amp;DATE(YEAR($AC158),MONTH($AC158)+1,1),OverEnd,"&gt;="&amp;DATE(YEAR($AC158),MONTH($AC158),1))&gt;0,SUMPRODUCT((PayEmp=$C158)*(PayDate&lt;=$AC158)*(OFFSET($N$6,1,MATCH(AW$5,PayDedList,0)-1,PayCount,1)))/$AA158*12*AW$3,IF(OR(AW$1="Fixed",AW$1="Not Used"),SUMPRODUCT((PayEmp=$C158)*(PayDate&lt;=$AC158)*(OFFSET($N$6,1,MATCH(AW$5,PayDedList,0)-1,PayCount,1)))/$AA158*12*AW$3,IF(ISNA(MATCH(OFFSET($N$2,0,MATCH(AW$5,PayDedList,0)-1,1,1),EarnListItem,0))=FALSE,SUMPRODUCT((PayEmp=$C158)*(PayDate&lt;=$AC158)*(OFFSET($N$6,1,MATCH(AW$5,PayDedList,0)-1,PayCount,1)))/$AA158*12*AW$3,(MIN(SUMPRODUCT((PayEmp=$C158)*(PayDate&lt;=$AC158)*(ISERROR(SEARCH(PayEarnCode,AW$2)))*(PayEarnType="Monthly")*(PayEarnValues))/$AA158*12,IF(ISNUMBER(OFFSET($N$3,0,MATCH(AW$5,PayDedList,0)-1,1,1)),OFFSET($N$3,0,MATCH(AW$5,PayDedList,0)-1,1,1),IgnoreMin)))*IF(COUNTIFS(EmpNo,$C158,OFFSET(Emp!$R$4,1,MATCH(AW$5,DedListItem,0)-1,EmpCount,1),"&lt;&gt;")&gt;0,VLOOKUP($C158,EmpAll,COLUMN(Emp!$R$4)+MATCH(AW$5,DedListItem,0)-1,0),OFFSET(Setup!$E$73,MATCH(AW$5,DedListItem,0),0,1,1))*AW$3))),IF(ISNUMBER(AW$4),AW$4,IgnoreMin)))))</f>
        <v>0</v>
      </c>
      <c r="AX158" s="148">
        <f t="shared" ca="1" si="73"/>
        <v>1453090.9090909092</v>
      </c>
      <c r="AY158" s="148">
        <f t="shared" ca="1" si="74"/>
        <v>120000</v>
      </c>
      <c r="AZ158" s="148">
        <f ca="1">IF(ISNUMBER($AL158),($AR158*$AL158)-$AI158-$AK158,MAX(0,IF($AL158="B",IF($AR158&lt;Setup!$C$32,($AR158*Setup!$D$32)-$AI158-$AK158,(($AR158-VLOOKUP($AR158,TaxAll2,1,1))*OFFSET(Setup!$D$32,MATCH($AR158,TaxBracket2,1),0,1,1))+OFFSET(Setup!$E$31,MATCH($AR158,TaxBracket2,1),0,1,1)-$AI158-$AK158),IF($AR158&lt;Setup!$C$21,($AR158*Setup!$D$21)-$AI158-$AK158,(($AR158-VLOOKUP($AR158,TaxAll1,1,1))*OFFSET(Setup!$D$21,MATCH($AR158,TaxBracket1,1),0,1,1))+OFFSET(Setup!$E$20,MATCH($AR158,TaxBracket1,1),0,1,1)-$AI158-$AK158))))</f>
        <v>516547.27272727271</v>
      </c>
      <c r="BA158" s="148">
        <f ca="1">IF(ISNUMBER($AL158),($AX158*$AL158)-$AI158-$AK158,MAX(0,IF($AL158="B",IF($AX158&lt;Setup!$C$32,($AX158*Setup!$D$32)-$AI158-$AK158,(($AX158-VLOOKUP($AX158,TaxAll2,1,1))*OFFSET(Setup!$D$32,MATCH($AX158,TaxBracket2,1),0,1,1))+OFFSET(Setup!$E$31,MATCH($AX158,TaxBracket2,1),0,1,1)-$AI158-$AK158),IF($AX158&lt;Setup!$C$21,($AX158*Setup!$D$21)-$AI158-$AK158,(($AX158-VLOOKUP($AX158,TaxAll1,1,1))*OFFSET(Setup!$D$21,MATCH($AX158,TaxBracket1,1),0,1,1))+OFFSET(Setup!$E$20,MATCH($AX158,TaxBracket1,1),0,1,1)-$AI158-$AK158))))</f>
        <v>467347.27272727271</v>
      </c>
      <c r="BB158" s="148">
        <f t="shared" ca="1" si="65"/>
        <v>49200</v>
      </c>
      <c r="BC158" s="150">
        <f t="shared" ca="1" si="75"/>
        <v>0.92371705963938977</v>
      </c>
      <c r="BD158" s="150">
        <f t="shared" ca="1" si="76"/>
        <v>7.6282940360610257E-2</v>
      </c>
      <c r="BE158" s="148">
        <f t="shared" ca="1" si="77"/>
        <v>1573090.9090909092</v>
      </c>
    </row>
    <row r="159" spans="1:57" ht="16.149999999999999" customHeight="1" x14ac:dyDescent="0.25">
      <c r="A159" s="10" t="str" cm="1">
        <f t="array" aca="1" ref="A159" ca="1">IF(ROW($A159)-ROW($A$6)&gt;EmpCount*12,"-",TEXT($B159,"yyyy")&amp;TEXT($B159,"mm")&amp;"-"&amp;$C159)</f>
        <v>202401-EXS003</v>
      </c>
      <c r="B159" s="137" cm="1">
        <f t="array" aca="1" ref="B159" ca="1">IF(ROW($A159)-ROW($A$6)&gt;EmpCount*12,Setup!$D$12,DATE(YEAR(Setup!$F$12),MONTH(Setup!$F$12)+ROUNDDOWN((ROW($A159)-ROW($A$6)-1)/EmpCount,0),IF(Setup!$C$14&gt;DAY(DATE(YEAR(Setup!$F$12),MONTH(Setup!$F$12)+ROUNDDOWN((ROW($A159)-ROW($A$6)-1)/EmpCount,0)+1,0)),DAY(DATE(YEAR(Setup!$F$12),MONTH(Setup!$F$12)+ROUNDDOWN((ROW($A159)-ROW($A$6)-1)/EmpCount,0)+1,0)),Setup!$C$14)))</f>
        <v>45316</v>
      </c>
      <c r="C159" s="101" t="str" cm="1">
        <f t="array" aca="1" ref="C159" ca="1">IF(ROW($A159)-ROW($A$6)&gt;EmpCount*12,"-",OFFSET(Emp!$A$4,ROW($A159)-ROW($A$6)-IF(ROW($A159)-ROW($A$6)&gt;EmpCount,ROUNDDOWN((ROW($A159)-ROW($A$6)-1)/EmpCount,0)*EmpCount,0),0,1,1))</f>
        <v>EXS003</v>
      </c>
      <c r="D159" s="10" t="str">
        <f ca="1">IF(ISNA(VLOOKUP($C159,EmpAll,COLUMN(Emp!$B$4),0)),"-",VLOOKUP($C159,EmpAll,COLUMN(Emp!$B$4),0))</f>
        <v>Wilson PG</v>
      </c>
      <c r="E159" s="145" t="str">
        <f ca="1">IF(ISNA(VLOOKUP($C159,EmpAll,COLUMN(Emp!$C$4),0)),"-",VLOOKUP($C159,EmpAll,COLUMN(Emp!$C$4),0))</f>
        <v>S</v>
      </c>
      <c r="F159" s="101" t="str">
        <f ca="1">IF(ISNA(VLOOKUP($C159,EmpAll,COLUMN(Emp!$A$4),0)),"-",IF(AND(VLOOKUP($C159,EmpAll,COLUMN(Emp!$E$4),0)&lt;&gt;0,VLOOKUP($C159,EmpAll,COLUMN(Emp!$E$4),0)&gt;=DATE(YEAR($AC159),MONTH($AC159)+1,0)),"Inactive",IF(AND(VLOOKUP($C159,EmpAll,COLUMN(Emp!$F$4),0)&lt;&gt;0,VLOOKUP($C159,EmpAll,COLUMN(Emp!$F$4),0)&lt;=DATE(YEAR($AC159),MONTH($AC159),0)),"Terminated","Active")))</f>
        <v>Active</v>
      </c>
      <c r="G159" s="133" cm="1">
        <f t="array" aca="1" ref="G159" ca="1">IF($F159&lt;&gt;"Active",0,IF(COUNTIFS(OverEmp,$C159,OverEarn,G$2,OverDate,"&lt;"&amp;DATE(YEAR($AC159),MONTH($AC159)+1,1),OverEnd,"&gt;="&amp;DATE(YEAR($AC159),MONTH($AC159),1))&gt;0,SUMIFS(OverValue,OverEmp,$C159,OverEarn,G$2,OverDate,"&lt;"&amp;DATE(YEAR($AC159),MONTH($AC159)+1,1),OverEnd,"&gt;="&amp;DATE(YEAR($AC159),MONTH($AC159),1)),IF(AND($AC159&gt;=Setup!$E$10,SUMIFS(EmpIncrease,EmpCode,$C159)&gt;0),SUMIFS(EmpIncrease,EmpCode,$C159),SUMIFS(EmpSalary,EmpCode,$C159))))</f>
        <v>16500</v>
      </c>
      <c r="H159" s="133" cm="1">
        <f t="array" aca="1" ref="H159" ca="1">IF($F159&lt;&gt;"Active",0,IF(COUNTIFS(OverEmp,$C159,OverEarn,H$2,OverDate,"&lt;"&amp;DATE(YEAR($AC159),MONTH($AC159)+1,1),OverEnd,"&gt;="&amp;DATE(YEAR($AC159),MONTH($AC159),1))&gt;0,SUMIFS(OverValue,OverEmp,$C159,OverEarn,H$2,OverDate,"&lt;"&amp;DATE(YEAR($AC159),MONTH($AC159)+1,1),OverEnd,"&gt;="&amp;DATE(YEAR($AC159),MONTH($AC159),1)),0))</f>
        <v>0</v>
      </c>
      <c r="I159" s="133" cm="1">
        <f t="array" aca="1" ref="I159" ca="1">IF($F159&lt;&gt;"Active",0,IF(COUNTIFS(OverEmp,$C159,OverEarn,I$2,OverDate,"&lt;"&amp;DATE(YEAR($AC159),MONTH($AC159)+1,1),OverEnd,"&gt;="&amp;DATE(YEAR($AC159),MONTH($AC159),1))&gt;0,SUMIFS(OverValue,OverEmp,$C159,OverEarn,I$2,OverDate,"&lt;"&amp;DATE(YEAR($AC159),MONTH($AC159)+1,1),OverEnd,"&gt;="&amp;DATE(YEAR($AC159),MONTH($AC159),1)),IF(MONTH(B159)=Setup!$C$15,SUMIFS(EmpBonus,EmpCode,$C159),0)))</f>
        <v>0</v>
      </c>
      <c r="J159" s="133" cm="1">
        <f t="array" aca="1" ref="J159" ca="1">IF($F159&lt;&gt;"Active",0,IF(COUNTIFS(OverEmp,$C159,OverEarn,J$2,OverDate,"&lt;"&amp;DATE(YEAR($AC159),MONTH($AC159)+1,1),OverEnd,"&gt;="&amp;DATE(YEAR($AC159),MONTH($AC159),1))&gt;0,SUMIFS(OverValue,OverEmp,$C159,OverEarn,J$2,OverDate,"&lt;"&amp;DATE(YEAR($AC159),MONTH($AC159)+1,1),OverEnd,"&gt;="&amp;DATE(YEAR($AC159),MONTH($AC159),1)),0))</f>
        <v>0</v>
      </c>
      <c r="K159" s="133" cm="1">
        <f t="array" aca="1" ref="K159" ca="1">IF($F159&lt;&gt;"Active",0,IF(COUNTIFS(OverEmp,$C159,OverEarn,K$2,OverDate,"&lt;"&amp;DATE(YEAR($AC159),MONTH($AC159)+1,1),OverEnd,"&gt;="&amp;DATE(YEAR($AC159),MONTH($AC159),1))&gt;0,SUMIFS(OverValue,OverEmp,$C159,OverEarn,K$2,OverDate,"&lt;"&amp;DATE(YEAR($AC159),MONTH($AC159)+1,1),OverEnd,"&gt;="&amp;DATE(YEAR($AC159),MONTH($AC159),1)),0))</f>
        <v>0</v>
      </c>
      <c r="L159" s="185">
        <f t="shared" ca="1" si="66"/>
        <v>16500</v>
      </c>
      <c r="M159" s="182" cm="1">
        <f t="array" aca="1" ref="M159" ca="1">IF(COUNTIFS(OverEmp,$C159,OverTax,M$5,OverDate,"&lt;"&amp;DATE(YEAR($AC159),MONTH($AC159)+1,1),OverEnd,"&gt;="&amp;DATE(YEAR($AC159),MONTH($AC159),1))&gt;0,SUMIFS(OverValue,OverEmp,$C159,OverTax,M$5,OverDate,"&lt;"&amp;DATE(YEAR($AC159),MONTH($AC159)+1,1),OverEnd,"&gt;="&amp;DATE(YEAR($AC159),MONTH($AC159),1)),(($BA159/12*$AA159)+(BB159*IF(1-$BC159=0,0,BD159/(1-$BC159))))-IF($F159="Terminated",0,SUMIFS(PayTaxDeduct,PayDate,"&lt;"&amp;$AC159,PayEmp,$C159)))</f>
        <v>1169.75</v>
      </c>
      <c r="N159" s="133" cm="1">
        <f t="array" aca="1" ref="N159" ca="1">IF($F159="Terminated",0,IF($AA159=0,0,IF(ISNA(MATCH(N$5,DedListItem,0)),0,IF(COUNTIFS(OverEmp,$C159,OverDeduct,N$5,OverDate,"&lt;"&amp;DATE(YEAR($AC159),MONTH($AC159)+1,1),OverEnd,"&gt;="&amp;DATE(YEAR($AC159),MONTH($AC159),1))&gt;0,SUMIFS(OverValue,OverEmp,$C159,OverDeduct,N$5,OverDate,"&lt;"&amp;DATE(YEAR($AC159),MONTH($AC159)+1,1),OverEnd,"&gt;="&amp;DATE(YEAR($AC159),MONTH($AC159),1)),IF(OR(N$2="Fixed",N$2="Not Used"),(IF(COUNTIFS(EmpNo,$C159,OFFSET(Emp!$R$4,1,MATCH(N$5,DedListItem,0)-1,EmpCount,1),"&lt;&gt;")&gt;0,VLOOKUP($C159,EmpAll,COLUMN(Emp!$R$4)+MATCH(N$5,DedListItem,0)-1,0),OFFSET(Setup!$E$73,MATCH(N$5,DedListItem,0),0,1,1))*$AA159)-SUMIFS(OFFSET(N$6,1,0,PayCount,1),PayDate,"&lt;"&amp;$AC159,PayEmp,$C159),IF(ISNA(MATCH(N$2,EarnListItem,0))=FALSE,IF(OFFSET(Setup!$G$73,MATCH(N$5,DedListItem,0),0,1,1)="Taxable",SUMPRODUCT((PayEmp=$C159)*(PayDate&lt;=$AC159)*(PayEarnCode=N$2)*(PayEarnTax)*(PayEarnValues)),SUMPRODUCT((PayEmp=$C159)*(PayDate&lt;=$AC159)*(PayEarnCode=N$2)*(PayEarnValues)))*IF(COUNTIFS(EmpNo,$C159,OFFSET(Emp!$R$4,1,MATCH(N$5,DedListItem,0)-1,EmpCount,1),"&lt;&gt;")&gt;0,VLOOKUP($C159,EmpAll,COLUMN(Emp!$R$4)+MATCH(N$5,DedListItem,0)-1,0),OFFSET(Setup!$E$73,MATCH(N$5,DedListItem,0),0,1,1)),(MIN(IF(OFFSET(Setup!$G$73,MATCH(N$5,DedListItem,0),0,1,1)="Taxable",SUMPRODUCT((PayEmp=$C159)*(PayDate&lt;=$AC159)*(ISERROR(SEARCH(PayEarnCode,N$4)))*(PayEarnTax)*(PayEarnValues)),SUMPRODUCT((PayEmp=$C159)*(PayDate&lt;=$AC159)*(ISERROR(SEARCH(PayEarnCode,N$4)))*(PayEarnValues))),IF(ISNUMBER(N$3),N$3/12*$AA159,IgnoreMin)))*IF(COUNTIFS(EmpNo,$C159,OFFSET(Emp!$R$4,1,MATCH(N$5,DedListItem,0)-1,EmpCount,1),"&lt;&gt;")&gt;0,VLOOKUP($C159,EmpAll,COLUMN(Emp!$R$4)+MATCH(N$5,DedListItem,0)-1,0),OFFSET(Setup!$E$73,MATCH(N$5,DedListItem,0),0,1,1)))-SUMIFS(OFFSET(N$6,1,0,PayCount,1),PayDate,"&lt;"&amp;$AC159,PayEmp,$C159))))))</f>
        <v>165</v>
      </c>
      <c r="O159" s="133" cm="1">
        <f t="array" aca="1" ref="O159" ca="1">IF($F159="Terminated",0,IF($AA159=0,0,IF(ISNA(MATCH(O$5,DedListItem,0)),0,IF(COUNTIFS(OverEmp,$C159,OverDeduct,O$5,OverDate,"&lt;"&amp;DATE(YEAR($AC159),MONTH($AC159)+1,1),OverEnd,"&gt;="&amp;DATE(YEAR($AC159),MONTH($AC159),1))&gt;0,SUMIFS(OverValue,OverEmp,$C159,OverDeduct,O$5,OverDate,"&lt;"&amp;DATE(YEAR($AC159),MONTH($AC159)+1,1),OverEnd,"&gt;="&amp;DATE(YEAR($AC159),MONTH($AC159),1)),IF(OR(O$2="Fixed",O$2="Not Used"),(IF(COUNTIFS(EmpNo,$C159,OFFSET(Emp!$R$4,1,MATCH(O$5,DedListItem,0)-1,EmpCount,1),"&lt;&gt;")&gt;0,VLOOKUP($C159,EmpAll,COLUMN(Emp!$R$4)+MATCH(O$5,DedListItem,0)-1,0),OFFSET(Setup!$E$73,MATCH(O$5,DedListItem,0),0,1,1))*$AA159)-SUMIFS(OFFSET(O$6,1,0,PayCount,1),PayDate,"&lt;"&amp;$AC159,PayEmp,$C159),IF(ISNA(MATCH(O$2,EarnListItem,0))=FALSE,IF(OFFSET(Setup!$G$73,MATCH(O$5,DedListItem,0),0,1,1)="Taxable",SUMPRODUCT((PayEmp=$C159)*(PayDate&lt;=$AC159)*(PayEarnCode=O$2)*(PayEarnTax)*(PayEarnValues)),SUMPRODUCT((PayEmp=$C159)*(PayDate&lt;=$AC159)*(PayEarnCode=O$2)*(PayEarnValues)))*IF(COUNTIFS(EmpNo,$C159,OFFSET(Emp!$R$4,1,MATCH(O$5,DedListItem,0)-1,EmpCount,1),"&lt;&gt;")&gt;0,VLOOKUP($C159,EmpAll,COLUMN(Emp!$R$4)+MATCH(O$5,DedListItem,0)-1,0),OFFSET(Setup!$E$73,MATCH(O$5,DedListItem,0),0,1,1)),(MIN(IF(OFFSET(Setup!$G$73,MATCH(O$5,DedListItem,0),0,1,1)="Taxable",SUMPRODUCT((PayEmp=$C159)*(PayDate&lt;=$AC159)*(ISERROR(SEARCH(PayEarnCode,O$4)))*(PayEarnTax)*(PayEarnValues)),SUMPRODUCT((PayEmp=$C159)*(PayDate&lt;=$AC159)*(ISERROR(SEARCH(PayEarnCode,O$4)))*(PayEarnValues))),IF(ISNUMBER(O$3),O$3/12*$AA159,IgnoreMin)))*IF(COUNTIFS(EmpNo,$C159,OFFSET(Emp!$R$4,1,MATCH(O$5,DedListItem,0)-1,EmpCount,1),"&lt;&gt;")&gt;0,VLOOKUP($C159,EmpAll,COLUMN(Emp!$R$4)+MATCH(O$5,DedListItem,0)-1,0),OFFSET(Setup!$E$73,MATCH(O$5,DedListItem,0),0,1,1)))-SUMIFS(OFFSET(O$6,1,0,PayCount,1),PayDate,"&lt;"&amp;$AC159,PayEmp,$C159))))))</f>
        <v>0</v>
      </c>
      <c r="P159" s="133" cm="1">
        <f t="array" aca="1" ref="P159" ca="1">IF($F159="Terminated",0,IF($AA159=0,0,IF(ISNA(MATCH(P$5,DedListItem,0)),0,IF(COUNTIFS(OverEmp,$C159,OverDeduct,P$5,OverDate,"&lt;"&amp;DATE(YEAR($AC159),MONTH($AC159)+1,1),OverEnd,"&gt;="&amp;DATE(YEAR($AC159),MONTH($AC159),1))&gt;0,SUMIFS(OverValue,OverEmp,$C159,OverDeduct,P$5,OverDate,"&lt;"&amp;DATE(YEAR($AC159),MONTH($AC159)+1,1),OverEnd,"&gt;="&amp;DATE(YEAR($AC159),MONTH($AC159),1)),IF(OR(P$2="Fixed",P$2="Not Used"),(IF(COUNTIFS(EmpNo,$C159,OFFSET(Emp!$R$4,1,MATCH(P$5,DedListItem,0)-1,EmpCount,1),"&lt;&gt;")&gt;0,VLOOKUP($C159,EmpAll,COLUMN(Emp!$R$4)+MATCH(P$5,DedListItem,0)-1,0),OFFSET(Setup!$E$73,MATCH(P$5,DedListItem,0),0,1,1))*$AA159)-SUMIFS(OFFSET(P$6,1,0,PayCount,1),PayDate,"&lt;"&amp;$AC159,PayEmp,$C159),IF(ISNA(MATCH(P$2,EarnListItem,0))=FALSE,IF(OFFSET(Setup!$G$73,MATCH(P$5,DedListItem,0),0,1,1)="Taxable",SUMPRODUCT((PayEmp=$C159)*(PayDate&lt;=$AC159)*(PayEarnCode=P$2)*(PayEarnTax)*(PayEarnValues)),SUMPRODUCT((PayEmp=$C159)*(PayDate&lt;=$AC159)*(PayEarnCode=P$2)*(PayEarnValues)))*IF(COUNTIFS(EmpNo,$C159,OFFSET(Emp!$R$4,1,MATCH(P$5,DedListItem,0)-1,EmpCount,1),"&lt;&gt;")&gt;0,VLOOKUP($C159,EmpAll,COLUMN(Emp!$R$4)+MATCH(P$5,DedListItem,0)-1,0),OFFSET(Setup!$E$73,MATCH(P$5,DedListItem,0),0,1,1)),(MIN(IF(OFFSET(Setup!$G$73,MATCH(P$5,DedListItem,0),0,1,1)="Taxable",SUMPRODUCT((PayEmp=$C159)*(PayDate&lt;=$AC159)*(ISERROR(SEARCH(PayEarnCode,P$4)))*(PayEarnTax)*(PayEarnValues)),SUMPRODUCT((PayEmp=$C159)*(PayDate&lt;=$AC159)*(ISERROR(SEARCH(PayEarnCode,P$4)))*(PayEarnValues))),IF(ISNUMBER(P$3),P$3/12*$AA159,IgnoreMin)))*IF(COUNTIFS(EmpNo,$C159,OFFSET(Emp!$R$4,1,MATCH(P$5,DedListItem,0)-1,EmpCount,1),"&lt;&gt;")&gt;0,VLOOKUP($C159,EmpAll,COLUMN(Emp!$R$4)+MATCH(P$5,DedListItem,0)-1,0),OFFSET(Setup!$E$73,MATCH(P$5,DedListItem,0),0,1,1)))-SUMIFS(OFFSET(P$6,1,0,PayCount,1),PayDate,"&lt;"&amp;$AC159,PayEmp,$C159))))))</f>
        <v>2000</v>
      </c>
      <c r="Q159" s="133" cm="1">
        <f t="array" aca="1" ref="Q159" ca="1">IF($F159="Terminated",0,IF($AA159=0,0,IF(ISNA(MATCH(Q$5,DedListItem,0)),0,IF(COUNTIFS(OverEmp,$C159,OverDeduct,Q$5,OverDate,"&lt;"&amp;DATE(YEAR($AC159),MONTH($AC159)+1,1),OverEnd,"&gt;="&amp;DATE(YEAR($AC159),MONTH($AC159),1))&gt;0,SUMIFS(OverValue,OverEmp,$C159,OverDeduct,Q$5,OverDate,"&lt;"&amp;DATE(YEAR($AC159),MONTH($AC159)+1,1),OverEnd,"&gt;="&amp;DATE(YEAR($AC159),MONTH($AC159),1)),IF(OR(Q$2="Fixed",Q$2="Not Used"),(IF(COUNTIFS(EmpNo,$C159,OFFSET(Emp!$R$4,1,MATCH(Q$5,DedListItem,0)-1,EmpCount,1),"&lt;&gt;")&gt;0,VLOOKUP($C159,EmpAll,COLUMN(Emp!$R$4)+MATCH(Q$5,DedListItem,0)-1,0),OFFSET(Setup!$E$73,MATCH(Q$5,DedListItem,0),0,1,1))*$AA159)-SUMIFS(OFFSET(Q$6,1,0,PayCount,1),PayDate,"&lt;"&amp;$AC159,PayEmp,$C159),IF(ISNA(MATCH(Q$2,EarnListItem,0))=FALSE,IF(OFFSET(Setup!$G$73,MATCH(Q$5,DedListItem,0),0,1,1)="Taxable",SUMPRODUCT((PayEmp=$C159)*(PayDate&lt;=$AC159)*(PayEarnCode=Q$2)*(PayEarnTax)*(PayEarnValues)),SUMPRODUCT((PayEmp=$C159)*(PayDate&lt;=$AC159)*(PayEarnCode=Q$2)*(PayEarnValues)))*IF(COUNTIFS(EmpNo,$C159,OFFSET(Emp!$R$4,1,MATCH(Q$5,DedListItem,0)-1,EmpCount,1),"&lt;&gt;")&gt;0,VLOOKUP($C159,EmpAll,COLUMN(Emp!$R$4)+MATCH(Q$5,DedListItem,0)-1,0),OFFSET(Setup!$E$73,MATCH(Q$5,DedListItem,0),0,1,1)),(MIN(IF(OFFSET(Setup!$G$73,MATCH(Q$5,DedListItem,0),0,1,1)="Taxable",SUMPRODUCT((PayEmp=$C159)*(PayDate&lt;=$AC159)*(ISERROR(SEARCH(PayEarnCode,Q$4)))*(PayEarnTax)*(PayEarnValues)),SUMPRODUCT((PayEmp=$C159)*(PayDate&lt;=$AC159)*(ISERROR(SEARCH(PayEarnCode,Q$4)))*(PayEarnValues))),IF(ISNUMBER(Q$3),Q$3/12*$AA159,IgnoreMin)))*IF(COUNTIFS(EmpNo,$C159,OFFSET(Emp!$R$4,1,MATCH(Q$5,DedListItem,0)-1,EmpCount,1),"&lt;&gt;")&gt;0,VLOOKUP($C159,EmpAll,COLUMN(Emp!$R$4)+MATCH(Q$5,DedListItem,0)-1,0),OFFSET(Setup!$E$73,MATCH(Q$5,DedListItem,0),0,1,1)))-SUMIFS(OFFSET(Q$6,1,0,PayCount,1),PayDate,"&lt;"&amp;$AC159,PayEmp,$C159))))))</f>
        <v>0</v>
      </c>
      <c r="R159" s="185">
        <f t="shared" ca="1" si="67"/>
        <v>3334.75</v>
      </c>
      <c r="S159" s="139">
        <f t="shared" ca="1" si="68"/>
        <v>13165.25</v>
      </c>
      <c r="T159" s="133" cm="1">
        <f t="array" aca="1" ref="T159" ca="1">IF($F159="Terminated",0,IF($AA159=0,0,IF(ISNA(MATCH(T$5,CompListItem,0)),0,IF(COUNTIFS(OverEmp,$C159,OverComp,T$5,OverDate,"&lt;"&amp;DATE(YEAR($AC159),MONTH($AC159)+1,1),OverEnd,"&gt;="&amp;DATE(YEAR($AC159),MONTH($AC159),1))&gt;0,SUMIFS(OverValue,OverEmp,$C159,OverComp,T$5,OverDate,"&lt;"&amp;DATE(YEAR($AC159),MONTH($AC159)+1,1),OverEnd,"&gt;="&amp;DATE(YEAR($AC159),MONTH($AC159),1)),IF(OR(T$2="Fixed",T$2="Not Used"),(OFFSET(Setup!$E$81,MATCH(T$5,CompListItem,0),0,1,1)*$AA159)-SUMIFS(OFFSET(T$6,1,0,PayCount,1),PayDate,"&lt;"&amp;$AC159,PayEmp,$C159),IF(ISNA(MATCH(T$2,DedListItem,0))=FALSE,(SUMPRODUCT((PayEmp=$C159)*(PayDate&lt;=$AC159)*(PayDedList=T$2)*(PayDedValues))*OFFSET(Setup!$E$81,MATCH(T$5,CompListItem,0),0,1,1))-SUMIFS(OFFSET(T$6,1,0,PayCount,1),PayDate,"&lt;"&amp;$AC159,PayEmp,$C159),(MIN(IF(OFFSET(Setup!$G$81,MATCH(T$5,CompListItem,0),0,1,1)="Taxable",SUMPRODUCT((PayEmp=$C159)*(PayDate&lt;=$AC159)*(ISERROR(SEARCH(PayEarnCode,T$4)))*(PayEarnTax)*(PayEarnValues)),SUMPRODUCT((PayEmp=$C159)*(PayDate&lt;=$AC159)*(ISERROR(SEARCH(PayEarnCode,T$4)))*(PayEarnValues))),IF(ISNUMBER(T$3),T$3/12*$AA159,IgnoreMin)))*OFFSET(Setup!$E$81,MATCH(T$5,CompListItem,0),0,1,1)-SUMIFS(OFFSET(T$6,1,0,PayCount,1),PayDate,"&lt;"&amp;$AC159,PayEmp,$C159)))))))</f>
        <v>165</v>
      </c>
      <c r="U159" s="133" cm="1">
        <f t="array" aca="1" ref="U159" ca="1">IF($F159="Terminated",0,IF($AA159=0,0,IF(ISNA(MATCH(U$5,CompListItem,0)),0,IF(COUNTIFS(OverEmp,$C159,OverComp,U$5,OverDate,"&lt;"&amp;DATE(YEAR($AC159),MONTH($AC159)+1,1),OverEnd,"&gt;="&amp;DATE(YEAR($AC159),MONTH($AC159),1))&gt;0,SUMIFS(OverValue,OverEmp,$C159,OverComp,U$5,OverDate,"&lt;"&amp;DATE(YEAR($AC159),MONTH($AC159)+1,1),OverEnd,"&gt;="&amp;DATE(YEAR($AC159),MONTH($AC159),1)),IF(OR(U$2="Fixed",U$2="Not Used"),(OFFSET(Setup!$E$81,MATCH(U$5,CompListItem,0),0,1,1)*$AA159)-SUMIFS(OFFSET(U$6,1,0,PayCount,1),PayDate,"&lt;"&amp;$AC159,PayEmp,$C159),IF(ISNA(MATCH(U$2,DedListItem,0))=FALSE,(SUMPRODUCT((PayEmp=$C159)*(PayDate&lt;=$AC159)*(PayDedList=U$2)*(PayDedValues))*OFFSET(Setup!$E$81,MATCH(U$5,CompListItem,0),0,1,1))-SUMIFS(OFFSET(U$6,1,0,PayCount,1),PayDate,"&lt;"&amp;$AC159,PayEmp,$C159),(MIN(IF(OFFSET(Setup!$G$81,MATCH(U$5,CompListItem,0),0,1,1)="Taxable",SUMPRODUCT((PayEmp=$C159)*(PayDate&lt;=$AC159)*(ISERROR(SEARCH(PayEarnCode,U$4)))*(PayEarnTax)*(PayEarnValues)),SUMPRODUCT((PayEmp=$C159)*(PayDate&lt;=$AC159)*(ISERROR(SEARCH(PayEarnCode,U$4)))*(PayEarnValues))),IF(ISNUMBER(U$3),U$3/12*$AA159,IgnoreMin)))*OFFSET(Setup!$E$81,MATCH(U$5,CompListItem,0),0,1,1)-SUMIFS(OFFSET(U$6,1,0,PayCount,1),PayDate,"&lt;"&amp;$AC159,PayEmp,$C159)))))))</f>
        <v>165</v>
      </c>
      <c r="V159" s="133" cm="1">
        <f t="array" aca="1" ref="V159" ca="1">IF($F159="Terminated",0,IF($AA159=0,0,IF(ISNA(MATCH(V$5,CompListItem,0)),0,IF(COUNTIFS(OverEmp,$C159,OverComp,V$5,OverDate,"&lt;"&amp;DATE(YEAR($AC159),MONTH($AC159)+1,1),OverEnd,"&gt;="&amp;DATE(YEAR($AC159),MONTH($AC159),1))&gt;0,SUMIFS(OverValue,OverEmp,$C159,OverComp,V$5,OverDate,"&lt;"&amp;DATE(YEAR($AC159),MONTH($AC159)+1,1),OverEnd,"&gt;="&amp;DATE(YEAR($AC159),MONTH($AC159),1)),IF(OR(V$2="Fixed",V$2="Not Used"),(OFFSET(Setup!$E$81,MATCH(V$5,CompListItem,0),0,1,1)*$AA159)-SUMIFS(OFFSET(V$6,1,0,PayCount,1),PayDate,"&lt;"&amp;$AC159,PayEmp,$C159),IF(ISNA(MATCH(V$2,DedListItem,0))=FALSE,(SUMPRODUCT((PayEmp=$C159)*(PayDate&lt;=$AC159)*(PayDedList=V$2)*(PayDedValues))*OFFSET(Setup!$E$81,MATCH(V$5,CompListItem,0),0,1,1))-SUMIFS(OFFSET(V$6,1,0,PayCount,1),PayDate,"&lt;"&amp;$AC159,PayEmp,$C159),(MIN(IF(OFFSET(Setup!$G$81,MATCH(V$5,CompListItem,0),0,1,1)="Taxable",SUMPRODUCT((PayEmp=$C159)*(PayDate&lt;=$AC159)*(ISERROR(SEARCH(PayEarnCode,V$4)))*(PayEarnTax)*(PayEarnValues)),SUMPRODUCT((PayEmp=$C159)*(PayDate&lt;=$AC159)*(ISERROR(SEARCH(PayEarnCode,V$4)))*(PayEarnValues))),IF(ISNUMBER(V$3),V$3/12*$AA159,IgnoreMin)))*OFFSET(Setup!$E$81,MATCH(V$5,CompListItem,0),0,1,1)-SUMIFS(OFFSET(V$6,1,0,PayCount,1),PayDate,"&lt;"&amp;$AC159,PayEmp,$C159)))))))</f>
        <v>0</v>
      </c>
      <c r="W159" s="133" cm="1">
        <f t="array" aca="1" ref="W159" ca="1">IF($F159="Terminated",0,IF($AA159=0,0,IF(ISNA(MATCH(W$5,CompListItem,0)),0,IF(COUNTIFS(OverEmp,$C159,OverComp,W$5,OverDate,"&lt;"&amp;DATE(YEAR($AC159),MONTH($AC159)+1,1),OverEnd,"&gt;="&amp;DATE(YEAR($AC159),MONTH($AC159),1))&gt;0,SUMIFS(OverValue,OverEmp,$C159,OverComp,W$5,OverDate,"&lt;"&amp;DATE(YEAR($AC159),MONTH($AC159)+1,1),OverEnd,"&gt;="&amp;DATE(YEAR($AC159),MONTH($AC159),1)),IF(OR(W$2="Fixed",W$2="Not Used"),(OFFSET(Setup!$E$81,MATCH(W$5,CompListItem,0),0,1,1)*$AA159)-SUMIFS(OFFSET(W$6,1,0,PayCount,1),PayDate,"&lt;"&amp;$AC159,PayEmp,$C159),IF(ISNA(MATCH(W$2,DedListItem,0))=FALSE,(SUMPRODUCT((PayEmp=$C159)*(PayDate&lt;=$AC159)*(PayDedList=W$2)*(PayDedValues))*OFFSET(Setup!$E$81,MATCH(W$5,CompListItem,0),0,1,1))-SUMIFS(OFFSET(W$6,1,0,PayCount,1),PayDate,"&lt;"&amp;$AC159,PayEmp,$C159),(MIN(IF(OFFSET(Setup!$G$81,MATCH(W$5,CompListItem,0),0,1,1)="Taxable",SUMPRODUCT((PayEmp=$C159)*(PayDate&lt;=$AC159)*(ISERROR(SEARCH(PayEarnCode,W$4)))*(PayEarnTax)*(PayEarnValues)),SUMPRODUCT((PayEmp=$C159)*(PayDate&lt;=$AC159)*(ISERROR(SEARCH(PayEarnCode,W$4)))*(PayEarnValues))),IF(ISNUMBER(W$3),W$3/12*$AA159,IgnoreMin)))*OFFSET(Setup!$E$81,MATCH(W$5,CompListItem,0),0,1,1)-SUMIFS(OFFSET(W$6,1,0,PayCount,1),PayDate,"&lt;"&amp;$AC159,PayEmp,$C159)))))))</f>
        <v>0</v>
      </c>
      <c r="X159" s="185">
        <f t="shared" ca="1" si="60"/>
        <v>330</v>
      </c>
      <c r="Y159" s="139">
        <f t="shared" ca="1" si="69"/>
        <v>16830</v>
      </c>
      <c r="Z159" s="139">
        <f t="shared" ca="1" si="61"/>
        <v>3664.75</v>
      </c>
      <c r="AA159" s="146">
        <f ca="1">IF(OR($B159&lt;=Setup!$E$12,$B159&gt;=Setup!$D$12+1),0,IF($F159&lt;&gt;"Active",0,IF($AE159="Yes",$AB159,((YEAR($AC159)*12)+MONTH($AC159))-((YEAR($AD159)*12)+MONTH($AD159)-1))))</f>
        <v>11</v>
      </c>
      <c r="AB159" s="146">
        <f ca="1">IF(OR($B159&lt;=Setup!$E$12,$B159&gt;=Setup!$D$12+1),0,((YEAR($AC159)*12)+MONTH($AC159))-((YEAR(Setup!$E$12)*12)+MONTH(Setup!$E$12)))</f>
        <v>11</v>
      </c>
      <c r="AC159" s="186">
        <f t="shared" ca="1" si="62"/>
        <v>45316</v>
      </c>
      <c r="AD159" s="144">
        <f ca="1">IF(ISNA(VLOOKUP($C159,EmpAll,COLUMN(Emp!$E$4),0)),$AC159,IF(VLOOKUP($C159,EmpAll,COLUMN(Emp!$E$4),0)&lt;=Setup!$E$12,DATE(YEAR(Setup!$E$12),MONTH(Setup!$E$12)+1,1),VLOOKUP($C159,EmpAll,COLUMN(Emp!$E$4),0)))</f>
        <v>44986</v>
      </c>
      <c r="AE159" s="144" t="str">
        <f ca="1">IF(ISNA(VLOOKUP($C159,EmpAll,COLUMN(Emp!$G$1),0)),"-",IF(VLOOKUP($C159,EmpAll,COLUMN(Emp!$G$1),0)=0,"-",VLOOKUP($C159,EmpAll,COLUMN(Emp!$G$1),0)))</f>
        <v>-</v>
      </c>
      <c r="AF159" s="145">
        <f ca="1">IF(A159=PaySlip!$G$3,1,0)</f>
        <v>0</v>
      </c>
      <c r="AG159" s="130" cm="1">
        <f t="array" aca="1" ref="AG159" ca="1">IF(COUNTIFS(OverEmp,$C159,OverMed,"MED",OverDate,"&lt;"&amp;DATE(YEAR($AC159),MONTH($AC159)+1,1),OverEnd,"&gt;="&amp;DATE(YEAR($AC159),MONTH($AC159),1))&gt;0,SUMIFS(OverValue,OverEmp,$C159,OverMed,"MED",OverDate,"&lt;"&amp;DATE(YEAR($AC159),MONTH($AC159)+1,1),OverEnd,"&gt;="&amp;DATE(YEAR($AC159),MONTH($AC159),1)),IF(ISNA(VLOOKUP($C159,EmpAll,COLUMN(Emp!$N$4),0)),0,VLOOKUP($C159,EmpAll,COLUMN(Emp!$N$4),0)))</f>
        <v>1</v>
      </c>
      <c r="AH159" s="146">
        <f ca="1">VLOOKUP($AG159,MedList,COLUMN(Setup!$C$49),1)</f>
        <v>364</v>
      </c>
      <c r="AI159" s="146">
        <f t="shared" ca="1" si="70"/>
        <v>4368</v>
      </c>
      <c r="AJ159" s="101" t="str">
        <f ca="1">IF(ISNA(VLOOKUP($C159,EmpAll,COLUMN(Emp!$L$4),0)),"None!",VLOOKUP($C159,EmpAll,COLUMN(Emp!$L$4),0))</f>
        <v>A</v>
      </c>
      <c r="AK159" s="147">
        <f t="shared" ca="1" si="63"/>
        <v>17235</v>
      </c>
      <c r="AL159" s="101" t="str">
        <f ca="1">IF(ISNA(VLOOKUP($C159,Employees[],COLUMN(Emp!$M$4),0))=TRUE,"Error!",IF(VLOOKUP($C159,Employees[],COLUMN(Emp!$M$4),0)=0,"Yes",VLOOKUP($C159,Employees[],COLUMN(Emp!$M$4),0)))</f>
        <v>A</v>
      </c>
      <c r="AM159" s="148">
        <f t="shared" ca="1" si="71"/>
        <v>196636.36363636365</v>
      </c>
      <c r="AN159" s="148" cm="1">
        <f t="array" aca="1" ref="AN159" ca="1">-IF($F159="Terminated",0,IF($AA159=0,0,IF(ISNA(MATCH(AN$5,PayDedList,0)),0,MIN(IF(COUNTIFS(OverEmp,$C159,OverDeduct,AN$5,OverDate,"&lt;"&amp;DATE(YEAR($AC159),MONTH($AC159)+1,1),OverEnd,"&gt;="&amp;DATE(YEAR($AC159),MONTH($AC159),1))&gt;0,SUMPRODUCT((PayEmp=$C159)*(PayDate&lt;=$AC159)*(OFFSET($N$6,1,MATCH(AN$5,PayDedList,0)-1,PayCount,1)))/$AA159*12*AN$3,IF(OR(AN$1="Fixed",AN$1="Not Used"),SUMPRODUCT((PayEmp=$C159)*(PayDate&lt;=$AC159)*(OFFSET($N$6,1,MATCH(AN$5,PayDedList,0)-1,PayCount,1)))/$AA159*12*AN$3,IF(ISNA(MATCH(AN$1,EarnListItem,0))=FALSE,SUMPRODUCT((PayEmp=$C159)*(PayDate&lt;=$AC159)*(OFFSET($N$6,1,MATCH(AN$5,PayDedList,0)-1,PayCount,1)))/$AA159*12*AN$3,(MIN(((SUMPRODUCT((PayEmp=$C159)*(PayDate&lt;=$AC159)*(ISERROR(SEARCH(PayEarnCode,AN$2)))*(PayEarnType="Monthly")*(PayEarnValues))/$AA159*12)+(SUMPRODUCT((PayEmp=$C159)*(PayDate&lt;=$AC159)*(ISERROR(SEARCH(PayEarnCode,AN$2)))*(PayEarnType="Quarterly")*(PayEarnValues))/MAX(1,ROUNDDOWN($AB159/3,0))*4)+(SUMPRODUCT((PayEmp=$C159)*(PayDate&lt;=$AC159)*(ISERROR(SEARCH(PayEarnCode,AN$2)))*(PayEarnType="Bi-Annual")*(PayEarnValues))/MAX(1,ROUNDDOWN($AB159/6,0))*2)+(SUMPRODUCT((PayEmp=$C159)*(PayDate&lt;=$AC159)*(ISERROR(SEARCH(PayEarnCode,AN$2)))*(PayEarnType="Annual")*(PayEarnValues)))),IF(ISNUMBER(OFFSET($N$3,0,MATCH(AN$5,PayDedList,0)-1,1,1)),OFFSET($N$3,0,MATCH(AN$5,PayDedList,0)-1,1,1),IgnoreMin)))*IF(COUNTIFS(EmpNo,$C159,OFFSET(Emp!$R$4,1,MATCH(AN$5,DedListItem,0)-1,EmpCount,1),"&lt;&gt;")&gt;0,VLOOKUP($C159,EmpAll,COLUMN(Emp!$R$4)+MATCH(AN$5,DedListItem,0)-1,0),OFFSET(Setup!$E$73,MATCH(AN$5,DedListItem,0),0,1,1))*AN$3))),IF(ISNUMBER(AN$4),AN$4,IgnoreMin)))))</f>
        <v>0</v>
      </c>
      <c r="AO159" s="148" cm="1">
        <f t="array" aca="1" ref="AO159" ca="1">-IF($F159="Terminated",0,IF($AA159=0,0,IF(ISNA(MATCH(AO$5,PayDedList,0)),0,MIN(IF(COUNTIFS(OverEmp,$C159,OverDeduct,AO$5,OverDate,"&lt;"&amp;DATE(YEAR($AC159),MONTH($AC159)+1,1),OverEnd,"&gt;="&amp;DATE(YEAR($AC159),MONTH($AC159),1))&gt;0,SUMPRODUCT((PayEmp=$C159)*(PayDate&lt;=$AC159)*(OFFSET($N$6,1,MATCH(AO$5,PayDedList,0)-1,PayCount,1)))/$AA159*12*AO$3,IF(OR(AO$1="Fixed",AO$1="Not Used"),SUMPRODUCT((PayEmp=$C159)*(PayDate&lt;=$AC159)*(OFFSET($N$6,1,MATCH(AO$5,PayDedList,0)-1,PayCount,1)))/$AA159*12*AO$3,IF(ISNA(MATCH(AO$1,EarnListItem,0))=FALSE,SUMPRODUCT((PayEmp=$C159)*(PayDate&lt;=$AC159)*(OFFSET($N$6,1,MATCH(AO$5,PayDedList,0)-1,PayCount,1)))/$AA159*12*AO$3,(MIN(((SUMPRODUCT((PayEmp=$C159)*(PayDate&lt;=$AC159)*(ISERROR(SEARCH(PayEarnCode,AO$2)))*(PayEarnType="Monthly")*(PayEarnValues))/$AA159*12)+(SUMPRODUCT((PayEmp=$C159)*(PayDate&lt;=$AC159)*(ISERROR(SEARCH(PayEarnCode,AO$2)))*(PayEarnType="Quarterly")*(PayEarnValues))/MAX(1,ROUNDDOWN($AB159/3,0))*4)+(SUMPRODUCT((PayEmp=$C159)*(PayDate&lt;=$AC159)*(ISERROR(SEARCH(PayEarnCode,AO$2)))*(PayEarnType="Bi-Annual")*(PayEarnValues))/MAX(1,ROUNDDOWN($AB159/6,0))*2)+(SUMPRODUCT((PayEmp=$C159)*(PayDate&lt;=$AC159)*(ISERROR(SEARCH(PayEarnCode,AO$2)))*(PayEarnType="Annual")*(PayEarnValues)))),IF(ISNUMBER(OFFSET($N$3,0,MATCH(AO$5,PayDedList,0)-1,1,1)),OFFSET($N$3,0,MATCH(AO$5,PayDedList,0)-1,1,1),IgnoreMin)))*IF(COUNTIFS(EmpNo,$C159,OFFSET(Emp!$R$4,1,MATCH(AO$5,DedListItem,0)-1,EmpCount,1),"&lt;&gt;")&gt;0,VLOOKUP($C159,EmpAll,COLUMN(Emp!$R$4)+MATCH(AO$5,DedListItem,0)-1,0),OFFSET(Setup!$E$73,MATCH(AO$5,DedListItem,0),0,1,1))*AO$3))),IF(ISNUMBER(AO$4),AO$4,IgnoreMin)))))</f>
        <v>0</v>
      </c>
      <c r="AP159" s="148" cm="1">
        <f t="array" aca="1" ref="AP159" ca="1">-IF($F159="Terminated",0,IF($AA159=0,0,IF(ISNA(MATCH(AP$5,PayDedList,0)),0,MIN(IF(COUNTIFS(OverEmp,$C159,OverDeduct,AP$5,OverDate,"&lt;"&amp;DATE(YEAR($AC159),MONTH($AC159)+1,1),OverEnd,"&gt;="&amp;DATE(YEAR($AC159),MONTH($AC159),1))&gt;0,SUMPRODUCT((PayEmp=$C159)*(PayDate&lt;=$AC159)*(OFFSET($N$6,1,MATCH(AP$5,PayDedList,0)-1,PayCount,1)))/$AA159*12*AP$3,IF(OR(AP$1="Fixed",AP$1="Not Used"),SUMPRODUCT((PayEmp=$C159)*(PayDate&lt;=$AC159)*(OFFSET($N$6,1,MATCH(AP$5,PayDedList,0)-1,PayCount,1)))/$AA159*12*AP$3,IF(ISNA(MATCH(AP$1,EarnListItem,0))=FALSE,SUMPRODUCT((PayEmp=$C159)*(PayDate&lt;=$AC159)*(OFFSET($N$6,1,MATCH(AP$5,PayDedList,0)-1,PayCount,1)))/$AA159*12*AP$3,(MIN(((SUMPRODUCT((PayEmp=$C159)*(PayDate&lt;=$AC159)*(ISERROR(SEARCH(PayEarnCode,AP$2)))*(PayEarnType="Monthly")*(PayEarnValues))/$AA159*12)+(SUMPRODUCT((PayEmp=$C159)*(PayDate&lt;=$AC159)*(ISERROR(SEARCH(PayEarnCode,AP$2)))*(PayEarnType="Quarterly")*(PayEarnValues))/MAX(1,ROUNDDOWN($AB159/3,0))*4)+(SUMPRODUCT((PayEmp=$C159)*(PayDate&lt;=$AC159)*(ISERROR(SEARCH(PayEarnCode,AP$2)))*(PayEarnType="Bi-Annual")*(PayEarnValues))/MAX(1,ROUNDDOWN($AB159/6,0))*2)+(SUMPRODUCT((PayEmp=$C159)*(PayDate&lt;=$AC159)*(ISERROR(SEARCH(PayEarnCode,AP$2)))*(PayEarnType="Annual")*(PayEarnValues)))),IF(ISNUMBER(OFFSET($N$3,0,MATCH(AP$5,PayDedList,0)-1,1,1)),OFFSET($N$3,0,MATCH(AP$5,PayDedList,0)-1,1,1),IgnoreMin)))*IF(COUNTIFS(EmpNo,$C159,OFFSET(Emp!$R$4,1,MATCH(AP$5,DedListItem,0)-1,EmpCount,1),"&lt;&gt;")&gt;0,VLOOKUP($C159,EmpAll,COLUMN(Emp!$R$4)+MATCH(AP$5,DedListItem,0)-1,0),OFFSET(Setup!$E$73,MATCH(AP$5,DedListItem,0),0,1,1))*AP$3))),IF(ISNUMBER(AP$4),AP$4,IgnoreMin)))))</f>
        <v>0</v>
      </c>
      <c r="AQ159" s="148" cm="1">
        <f t="array" aca="1" ref="AQ159" ca="1">-IF($F159="Terminated",0,IF($AA159=0,0,IF(ISNA(MATCH(AQ$5,PayDedList,0)),0,MIN(IF(COUNTIFS(OverEmp,$C159,OverDeduct,AQ$5,OverDate,"&lt;"&amp;DATE(YEAR($AC159),MONTH($AC159)+1,1),OverEnd,"&gt;="&amp;DATE(YEAR($AC159),MONTH($AC159),1))&gt;0,SUMPRODUCT((PayEmp=$C159)*(PayDate&lt;=$AC159)*(OFFSET($N$6,1,MATCH(AQ$5,PayDedList,0)-1,PayCount,1)))/$AA159*12*AQ$3,IF(OR(AQ$1="Fixed",AQ$1="Not Used"),SUMPRODUCT((PayEmp=$C159)*(PayDate&lt;=$AC159)*(OFFSET($N$6,1,MATCH(AQ$5,PayDedList,0)-1,PayCount,1)))/$AA159*12*AQ$3,IF(ISNA(MATCH(AQ$1,EarnListItem,0))=FALSE,SUMPRODUCT((PayEmp=$C159)*(PayDate&lt;=$AC159)*(OFFSET($N$6,1,MATCH(AQ$5,PayDedList,0)-1,PayCount,1)))/$AA159*12*AQ$3,(MIN(((SUMPRODUCT((PayEmp=$C159)*(PayDate&lt;=$AC159)*(ISERROR(SEARCH(PayEarnCode,AQ$2)))*(PayEarnType="Monthly")*(PayEarnValues))/$AA159*12)+(SUMPRODUCT((PayEmp=$C159)*(PayDate&lt;=$AC159)*(ISERROR(SEARCH(PayEarnCode,AQ$2)))*(PayEarnType="Quarterly")*(PayEarnValues))/MAX(1,ROUNDDOWN($AB159/3,0))*4)+(SUMPRODUCT((PayEmp=$C159)*(PayDate&lt;=$AC159)*(ISERROR(SEARCH(PayEarnCode,AQ$2)))*(PayEarnType="Bi-Annual")*(PayEarnValues))/MAX(1,ROUNDDOWN($AB159/6,0))*2)+(SUMPRODUCT((PayEmp=$C159)*(PayDate&lt;=$AC159)*(ISERROR(SEARCH(PayEarnCode,AQ$2)))*(PayEarnType="Annual")*(PayEarnValues)))),IF(ISNUMBER(OFFSET($N$3,0,MATCH(AQ$5,PayDedList,0)-1,1,1)),OFFSET($N$3,0,MATCH(AQ$5,PayDedList,0)-1,1,1),IgnoreMin)))*IF(COUNTIFS(EmpNo,$C159,OFFSET(Emp!$R$4,1,MATCH(AQ$5,DedListItem,0)-1,EmpCount,1),"&lt;&gt;")&gt;0,VLOOKUP($C159,EmpAll,COLUMN(Emp!$R$4)+MATCH(AQ$5,DedListItem,0)-1,0),OFFSET(Setup!$E$73,MATCH(AQ$5,DedListItem,0),0,1,1))*AQ$3))),IF(ISNUMBER(AQ$4),AQ$4,IgnoreMin)))))</f>
        <v>0</v>
      </c>
      <c r="AR159" s="148">
        <f t="shared" ca="1" si="64"/>
        <v>196636.36363636365</v>
      </c>
      <c r="AS159" s="148">
        <f t="shared" ca="1" si="72"/>
        <v>181636.36363636365</v>
      </c>
      <c r="AT159" s="148" cm="1">
        <f t="array" aca="1" ref="AT159" ca="1">-IF($F159="Terminated",0,IF($AA159=0,0,IF(ISNA(MATCH(AT$5,PayDedList,0)),0,MIN(IF(COUNTIFS(OverEmp,$C159,OverDeduct,AT$5,OverDate,"&lt;"&amp;DATE(YEAR($AC159),MONTH($AC159)+1,1),OverEnd,"&gt;="&amp;DATE(YEAR($AC159),MONTH($AC159),1))&gt;0,SUMPRODUCT((PayEmp=$C159)*(PayDate&lt;=$AC159)*(OFFSET($N$6,1,MATCH(AT$5,PayDedList,0)-1,PayCount,1)))/$AA159*12*AT$3,IF(OR(AT$1="Fixed",AT$1="Not Used"),SUMPRODUCT((PayEmp=$C159)*(PayDate&lt;=$AC159)*(OFFSET($N$6,1,MATCH(AT$5,PayDedList,0)-1,PayCount,1)))/$AA159*12*AT$3,IF(ISNA(MATCH(OFFSET($N$2,0,MATCH(AT$5,PayDedList,0)-1,1,1),EarnListItem,0))=FALSE,SUMPRODUCT((PayEmp=$C159)*(PayDate&lt;=$AC159)*(OFFSET($N$6,1,MATCH(AT$5,PayDedList,0)-1,PayCount,1)))/$AA159*12*AT$3,(MIN(SUMPRODUCT((PayEmp=$C159)*(PayDate&lt;=$AC159)*(ISERROR(SEARCH(PayEarnCode,AT$2)))*(PayEarnType="Monthly")*(PayEarnValues))/$AA159*12,IF(ISNUMBER(OFFSET($N$3,0,MATCH(AT$5,PayDedList,0)-1,1,1)),OFFSET($N$3,0,MATCH(AT$5,PayDedList,0)-1,1,1),IgnoreMin)))*IF(COUNTIFS(EmpNo,$C159,OFFSET(Emp!$R$4,1,MATCH(AT$5,DedListItem,0)-1,EmpCount,1),"&lt;&gt;")&gt;0,VLOOKUP($C159,EmpAll,COLUMN(Emp!$R$4)+MATCH(AT$5,DedListItem,0)-1,0),OFFSET(Setup!$E$73,MATCH(AT$5,DedListItem,0),0,1,1))*AT$3))),IF(ISNUMBER(AT$4),AT$4,IgnoreMin)))))</f>
        <v>0</v>
      </c>
      <c r="AU159" s="148" cm="1">
        <f t="array" aca="1" ref="AU159" ca="1">-IF($F159="Terminated",0,IF($AA159=0,0,IF(ISNA(MATCH(AU$5,PayDedList,0)),0,MIN(IF(COUNTIFS(OverEmp,$C159,OverDeduct,AU$5,OverDate,"&lt;"&amp;DATE(YEAR($AC159),MONTH($AC159)+1,1),OverEnd,"&gt;="&amp;DATE(YEAR($AC159),MONTH($AC159),1))&gt;0,SUMPRODUCT((PayEmp=$C159)*(PayDate&lt;=$AC159)*(OFFSET($N$6,1,MATCH(AU$5,PayDedList,0)-1,PayCount,1)))/$AA159*12*AU$3,IF(OR(AU$1="Fixed",AU$1="Not Used"),SUMPRODUCT((PayEmp=$C159)*(PayDate&lt;=$AC159)*(OFFSET($N$6,1,MATCH(AU$5,PayDedList,0)-1,PayCount,1)))/$AA159*12*AU$3,IF(ISNA(MATCH(OFFSET($N$2,0,MATCH(AU$5,PayDedList,0)-1,1,1),EarnListItem,0))=FALSE,SUMPRODUCT((PayEmp=$C159)*(PayDate&lt;=$AC159)*(OFFSET($N$6,1,MATCH(AU$5,PayDedList,0)-1,PayCount,1)))/$AA159*12*AU$3,(MIN(SUMPRODUCT((PayEmp=$C159)*(PayDate&lt;=$AC159)*(ISERROR(SEARCH(PayEarnCode,AU$2)))*(PayEarnType="Monthly")*(PayEarnValues))/$AA159*12,IF(ISNUMBER(OFFSET($N$3,0,MATCH(AU$5,PayDedList,0)-1,1,1)),OFFSET($N$3,0,MATCH(AU$5,PayDedList,0)-1,1,1),IgnoreMin)))*IF(COUNTIFS(EmpNo,$C159,OFFSET(Emp!$R$4,1,MATCH(AU$5,DedListItem,0)-1,EmpCount,1),"&lt;&gt;")&gt;0,VLOOKUP($C159,EmpAll,COLUMN(Emp!$R$4)+MATCH(AU$5,DedListItem,0)-1,0),OFFSET(Setup!$E$73,MATCH(AU$5,DedListItem,0),0,1,1))*AU$3))),IF(ISNUMBER(AU$4),AU$4,IgnoreMin)))))</f>
        <v>0</v>
      </c>
      <c r="AV159" s="148" cm="1">
        <f t="array" aca="1" ref="AV159" ca="1">-IF($F159="Terminated",0,IF($AA159=0,0,IF(ISNA(MATCH(AV$5,PayDedList,0)),0,MIN(IF(COUNTIFS(OverEmp,$C159,OverDeduct,AV$5,OverDate,"&lt;"&amp;DATE(YEAR($AC159),MONTH($AC159)+1,1),OverEnd,"&gt;="&amp;DATE(YEAR($AC159),MONTH($AC159),1))&gt;0,SUMPRODUCT((PayEmp=$C159)*(PayDate&lt;=$AC159)*(OFFSET($N$6,1,MATCH(AV$5,PayDedList,0)-1,PayCount,1)))/$AA159*12*AV$3,IF(OR(AV$1="Fixed",AV$1="Not Used"),SUMPRODUCT((PayEmp=$C159)*(PayDate&lt;=$AC159)*(OFFSET($N$6,1,MATCH(AV$5,PayDedList,0)-1,PayCount,1)))/$AA159*12*AV$3,IF(ISNA(MATCH(OFFSET($N$2,0,MATCH(AV$5,PayDedList,0)-1,1,1),EarnListItem,0))=FALSE,SUMPRODUCT((PayEmp=$C159)*(PayDate&lt;=$AC159)*(OFFSET($N$6,1,MATCH(AV$5,PayDedList,0)-1,PayCount,1)))/$AA159*12*AV$3,(MIN(SUMPRODUCT((PayEmp=$C159)*(PayDate&lt;=$AC159)*(ISERROR(SEARCH(PayEarnCode,AV$2)))*(PayEarnType="Monthly")*(PayEarnValues))/$AA159*12,IF(ISNUMBER(OFFSET($N$3,0,MATCH(AV$5,PayDedList,0)-1,1,1)),OFFSET($N$3,0,MATCH(AV$5,PayDedList,0)-1,1,1),IgnoreMin)))*IF(COUNTIFS(EmpNo,$C159,OFFSET(Emp!$R$4,1,MATCH(AV$5,DedListItem,0)-1,EmpCount,1),"&lt;&gt;")&gt;0,VLOOKUP($C159,EmpAll,COLUMN(Emp!$R$4)+MATCH(AV$5,DedListItem,0)-1,0),OFFSET(Setup!$E$73,MATCH(AV$5,DedListItem,0),0,1,1))*AV$3))),IF(ISNUMBER(AV$4),AV$4,IgnoreMin)))))</f>
        <v>0</v>
      </c>
      <c r="AW159" s="148" cm="1">
        <f t="array" aca="1" ref="AW159" ca="1">-IF($F159="Terminated",0,IF($AA159=0,0,IF(ISNA(MATCH(AW$5,PayDedList,0)),0,MIN(IF(COUNTIFS(OverEmp,$C159,OverDeduct,AW$5,OverDate,"&lt;"&amp;DATE(YEAR($AC159),MONTH($AC159)+1,1),OverEnd,"&gt;="&amp;DATE(YEAR($AC159),MONTH($AC159),1))&gt;0,SUMPRODUCT((PayEmp=$C159)*(PayDate&lt;=$AC159)*(OFFSET($N$6,1,MATCH(AW$5,PayDedList,0)-1,PayCount,1)))/$AA159*12*AW$3,IF(OR(AW$1="Fixed",AW$1="Not Used"),SUMPRODUCT((PayEmp=$C159)*(PayDate&lt;=$AC159)*(OFFSET($N$6,1,MATCH(AW$5,PayDedList,0)-1,PayCount,1)))/$AA159*12*AW$3,IF(ISNA(MATCH(OFFSET($N$2,0,MATCH(AW$5,PayDedList,0)-1,1,1),EarnListItem,0))=FALSE,SUMPRODUCT((PayEmp=$C159)*(PayDate&lt;=$AC159)*(OFFSET($N$6,1,MATCH(AW$5,PayDedList,0)-1,PayCount,1)))/$AA159*12*AW$3,(MIN(SUMPRODUCT((PayEmp=$C159)*(PayDate&lt;=$AC159)*(ISERROR(SEARCH(PayEarnCode,AW$2)))*(PayEarnType="Monthly")*(PayEarnValues))/$AA159*12,IF(ISNUMBER(OFFSET($N$3,0,MATCH(AW$5,PayDedList,0)-1,1,1)),OFFSET($N$3,0,MATCH(AW$5,PayDedList,0)-1,1,1),IgnoreMin)))*IF(COUNTIFS(EmpNo,$C159,OFFSET(Emp!$R$4,1,MATCH(AW$5,DedListItem,0)-1,EmpCount,1),"&lt;&gt;")&gt;0,VLOOKUP($C159,EmpAll,COLUMN(Emp!$R$4)+MATCH(AW$5,DedListItem,0)-1,0),OFFSET(Setup!$E$73,MATCH(AW$5,DedListItem,0),0,1,1))*AW$3))),IF(ISNUMBER(AW$4),AW$4,IgnoreMin)))))</f>
        <v>0</v>
      </c>
      <c r="AX159" s="148">
        <f t="shared" ca="1" si="73"/>
        <v>181636.36363636365</v>
      </c>
      <c r="AY159" s="148">
        <f t="shared" ca="1" si="74"/>
        <v>15000</v>
      </c>
      <c r="AZ159" s="148">
        <f ca="1">IF(ISNUMBER($AL159),($AR159*$AL159)-$AI159-$AK159,MAX(0,IF($AL159="B",IF($AR159&lt;Setup!$C$32,($AR159*Setup!$D$32)-$AI159-$AK159,(($AR159-VLOOKUP($AR159,TaxAll2,1,1))*OFFSET(Setup!$D$32,MATCH($AR159,TaxBracket2,1),0,1,1))+OFFSET(Setup!$E$31,MATCH($AR159,TaxBracket2,1),0,1,1)-$AI159-$AK159),IF($AR159&lt;Setup!$C$21,($AR159*Setup!$D$21)-$AI159-$AK159,(($AR159-VLOOKUP($AR159,TaxAll1,1,1))*OFFSET(Setup!$D$21,MATCH($AR159,TaxBracket1,1),0,1,1))+OFFSET(Setup!$E$20,MATCH($AR159,TaxBracket1,1),0,1,1)-$AI159-$AK159))))</f>
        <v>13791.545454545456</v>
      </c>
      <c r="BA159" s="148">
        <f ca="1">IF(ISNUMBER($AL159),($AX159*$AL159)-$AI159-$AK159,MAX(0,IF($AL159="B",IF($AX159&lt;Setup!$C$32,($AX159*Setup!$D$32)-$AI159-$AK159,(($AX159-VLOOKUP($AX159,TaxAll2,1,1))*OFFSET(Setup!$D$32,MATCH($AX159,TaxBracket2,1),0,1,1))+OFFSET(Setup!$E$31,MATCH($AX159,TaxBracket2,1),0,1,1)-$AI159-$AK159),IF($AX159&lt;Setup!$C$21,($AX159*Setup!$D$21)-$AI159-$AK159,(($AX159-VLOOKUP($AX159,TaxAll1,1,1))*OFFSET(Setup!$D$21,MATCH($AX159,TaxBracket1,1),0,1,1))+OFFSET(Setup!$E$20,MATCH($AX159,TaxBracket1,1),0,1,1)-$AI159-$AK159))))</f>
        <v>11091.545454545456</v>
      </c>
      <c r="BB159" s="148">
        <f t="shared" ca="1" si="65"/>
        <v>2700</v>
      </c>
      <c r="BC159" s="150">
        <f t="shared" ca="1" si="75"/>
        <v>0.92371705963938977</v>
      </c>
      <c r="BD159" s="150">
        <f t="shared" ca="1" si="76"/>
        <v>7.6282940360610257E-2</v>
      </c>
      <c r="BE159" s="148">
        <f t="shared" ca="1" si="77"/>
        <v>196636.36363636365</v>
      </c>
    </row>
    <row r="160" spans="1:57" ht="16.149999999999999" customHeight="1" x14ac:dyDescent="0.25">
      <c r="A160" s="10" t="str" cm="1">
        <f t="array" aca="1" ref="A160" ca="1">IF(ROW($A160)-ROW($A$6)&gt;EmpCount*12,"-",TEXT($B160,"yyyy")&amp;TEXT($B160,"mm")&amp;"-"&amp;$C160)</f>
        <v>202401-EXS004</v>
      </c>
      <c r="B160" s="137" cm="1">
        <f t="array" aca="1" ref="B160" ca="1">IF(ROW($A160)-ROW($A$6)&gt;EmpCount*12,Setup!$D$12,DATE(YEAR(Setup!$F$12),MONTH(Setup!$F$12)+ROUNDDOWN((ROW($A160)-ROW($A$6)-1)/EmpCount,0),IF(Setup!$C$14&gt;DAY(DATE(YEAR(Setup!$F$12),MONTH(Setup!$F$12)+ROUNDDOWN((ROW($A160)-ROW($A$6)-1)/EmpCount,0)+1,0)),DAY(DATE(YEAR(Setup!$F$12),MONTH(Setup!$F$12)+ROUNDDOWN((ROW($A160)-ROW($A$6)-1)/EmpCount,0)+1,0)),Setup!$C$14)))</f>
        <v>45316</v>
      </c>
      <c r="C160" s="101" t="str" cm="1">
        <f t="array" aca="1" ref="C160" ca="1">IF(ROW($A160)-ROW($A$6)&gt;EmpCount*12,"-",OFFSET(Emp!$A$4,ROW($A160)-ROW($A$6)-IF(ROW($A160)-ROW($A$6)&gt;EmpCount,ROUNDDOWN((ROW($A160)-ROW($A$6)-1)/EmpCount,0)*EmpCount,0),0,1,1))</f>
        <v>EXS004</v>
      </c>
      <c r="D160" s="10" t="str">
        <f ca="1">IF(ISNA(VLOOKUP($C160,EmpAll,COLUMN(Emp!$B$4),0)),"-",VLOOKUP($C160,EmpAll,COLUMN(Emp!$B$4),0))</f>
        <v>Osborne S</v>
      </c>
      <c r="E160" s="145" t="str">
        <f ca="1">IF(ISNA(VLOOKUP($C160,EmpAll,COLUMN(Emp!$C$4),0)),"-",VLOOKUP($C160,EmpAll,COLUMN(Emp!$C$4),0))</f>
        <v>S</v>
      </c>
      <c r="F160" s="101" t="str">
        <f ca="1">IF(ISNA(VLOOKUP($C160,EmpAll,COLUMN(Emp!$A$4),0)),"-",IF(AND(VLOOKUP($C160,EmpAll,COLUMN(Emp!$E$4),0)&lt;&gt;0,VLOOKUP($C160,EmpAll,COLUMN(Emp!$E$4),0)&gt;=DATE(YEAR($AC160),MONTH($AC160)+1,0)),"Inactive",IF(AND(VLOOKUP($C160,EmpAll,COLUMN(Emp!$F$4),0)&lt;&gt;0,VLOOKUP($C160,EmpAll,COLUMN(Emp!$F$4),0)&lt;=DATE(YEAR($AC160),MONTH($AC160),0)),"Terminated","Active")))</f>
        <v>Active</v>
      </c>
      <c r="G160" s="133" cm="1">
        <f t="array" aca="1" ref="G160" ca="1">IF($F160&lt;&gt;"Active",0,IF(COUNTIFS(OverEmp,$C160,OverEarn,G$2,OverDate,"&lt;"&amp;DATE(YEAR($AC160),MONTH($AC160)+1,1),OverEnd,"&gt;="&amp;DATE(YEAR($AC160),MONTH($AC160),1))&gt;0,SUMIFS(OverValue,OverEmp,$C160,OverEarn,G$2,OverDate,"&lt;"&amp;DATE(YEAR($AC160),MONTH($AC160)+1,1),OverEnd,"&gt;="&amp;DATE(YEAR($AC160),MONTH($AC160),1)),IF(AND($AC160&gt;=Setup!$E$10,SUMIFS(EmpIncrease,EmpCode,$C160)&gt;0),SUMIFS(EmpIncrease,EmpCode,$C160),SUMIFS(EmpSalary,EmpCode,$C160))))</f>
        <v>16500</v>
      </c>
      <c r="H160" s="133" cm="1">
        <f t="array" aca="1" ref="H160" ca="1">IF($F160&lt;&gt;"Active",0,IF(COUNTIFS(OverEmp,$C160,OverEarn,H$2,OverDate,"&lt;"&amp;DATE(YEAR($AC160),MONTH($AC160)+1,1),OverEnd,"&gt;="&amp;DATE(YEAR($AC160),MONTH($AC160),1))&gt;0,SUMIFS(OverValue,OverEmp,$C160,OverEarn,H$2,OverDate,"&lt;"&amp;DATE(YEAR($AC160),MONTH($AC160)+1,1),OverEnd,"&gt;="&amp;DATE(YEAR($AC160),MONTH($AC160),1)),0))</f>
        <v>0</v>
      </c>
      <c r="I160" s="133" cm="1">
        <f t="array" aca="1" ref="I160" ca="1">IF($F160&lt;&gt;"Active",0,IF(COUNTIFS(OverEmp,$C160,OverEarn,I$2,OverDate,"&lt;"&amp;DATE(YEAR($AC160),MONTH($AC160)+1,1),OverEnd,"&gt;="&amp;DATE(YEAR($AC160),MONTH($AC160),1))&gt;0,SUMIFS(OverValue,OverEmp,$C160,OverEarn,I$2,OverDate,"&lt;"&amp;DATE(YEAR($AC160),MONTH($AC160)+1,1),OverEnd,"&gt;="&amp;DATE(YEAR($AC160),MONTH($AC160),1)),IF(MONTH(B160)=Setup!$C$15,SUMIFS(EmpBonus,EmpCode,$C160),0)))</f>
        <v>0</v>
      </c>
      <c r="J160" s="133" cm="1">
        <f t="array" aca="1" ref="J160" ca="1">IF($F160&lt;&gt;"Active",0,IF(COUNTIFS(OverEmp,$C160,OverEarn,J$2,OverDate,"&lt;"&amp;DATE(YEAR($AC160),MONTH($AC160)+1,1),OverEnd,"&gt;="&amp;DATE(YEAR($AC160),MONTH($AC160),1))&gt;0,SUMIFS(OverValue,OverEmp,$C160,OverEarn,J$2,OverDate,"&lt;"&amp;DATE(YEAR($AC160),MONTH($AC160)+1,1),OverEnd,"&gt;="&amp;DATE(YEAR($AC160),MONTH($AC160),1)),0))</f>
        <v>0</v>
      </c>
      <c r="K160" s="133" cm="1">
        <f t="array" aca="1" ref="K160" ca="1">IF($F160&lt;&gt;"Active",0,IF(COUNTIFS(OverEmp,$C160,OverEarn,K$2,OverDate,"&lt;"&amp;DATE(YEAR($AC160),MONTH($AC160)+1,1),OverEnd,"&gt;="&amp;DATE(YEAR($AC160),MONTH($AC160),1))&gt;0,SUMIFS(OverValue,OverEmp,$C160,OverEarn,K$2,OverDate,"&lt;"&amp;DATE(YEAR($AC160),MONTH($AC160)+1,1),OverEnd,"&gt;="&amp;DATE(YEAR($AC160),MONTH($AC160),1)),0))</f>
        <v>0</v>
      </c>
      <c r="L160" s="185">
        <f t="shared" ca="1" si="66"/>
        <v>16500</v>
      </c>
      <c r="M160" s="182" cm="1">
        <f t="array" aca="1" ref="M160" ca="1">IF(COUNTIFS(OverEmp,$C160,OverTax,M$5,OverDate,"&lt;"&amp;DATE(YEAR($AC160),MONTH($AC160)+1,1),OverEnd,"&gt;="&amp;DATE(YEAR($AC160),MONTH($AC160),1))&gt;0,SUMIFS(OverValue,OverEmp,$C160,OverTax,M$5,OverDate,"&lt;"&amp;DATE(YEAR($AC160),MONTH($AC160)+1,1),OverEnd,"&gt;="&amp;DATE(YEAR($AC160),MONTH($AC160),1)),(($BA160/12*$AA160)+(BB160*IF(1-$BC160=0,0,BD160/(1-$BC160))))-IF($F160="Terminated",0,SUMIFS(PayTaxDeduct,PayDate,"&lt;"&amp;$AC160,PayEmp,$C160)))</f>
        <v>1169.7499999999982</v>
      </c>
      <c r="N160" s="133" cm="1">
        <f t="array" aca="1" ref="N160" ca="1">IF($F160="Terminated",0,IF($AA160=0,0,IF(ISNA(MATCH(N$5,DedListItem,0)),0,IF(COUNTIFS(OverEmp,$C160,OverDeduct,N$5,OverDate,"&lt;"&amp;DATE(YEAR($AC160),MONTH($AC160)+1,1),OverEnd,"&gt;="&amp;DATE(YEAR($AC160),MONTH($AC160),1))&gt;0,SUMIFS(OverValue,OverEmp,$C160,OverDeduct,N$5,OverDate,"&lt;"&amp;DATE(YEAR($AC160),MONTH($AC160)+1,1),OverEnd,"&gt;="&amp;DATE(YEAR($AC160),MONTH($AC160),1)),IF(OR(N$2="Fixed",N$2="Not Used"),(IF(COUNTIFS(EmpNo,$C160,OFFSET(Emp!$R$4,1,MATCH(N$5,DedListItem,0)-1,EmpCount,1),"&lt;&gt;")&gt;0,VLOOKUP($C160,EmpAll,COLUMN(Emp!$R$4)+MATCH(N$5,DedListItem,0)-1,0),OFFSET(Setup!$E$73,MATCH(N$5,DedListItem,0),0,1,1))*$AA160)-SUMIFS(OFFSET(N$6,1,0,PayCount,1),PayDate,"&lt;"&amp;$AC160,PayEmp,$C160),IF(ISNA(MATCH(N$2,EarnListItem,0))=FALSE,IF(OFFSET(Setup!$G$73,MATCH(N$5,DedListItem,0),0,1,1)="Taxable",SUMPRODUCT((PayEmp=$C160)*(PayDate&lt;=$AC160)*(PayEarnCode=N$2)*(PayEarnTax)*(PayEarnValues)),SUMPRODUCT((PayEmp=$C160)*(PayDate&lt;=$AC160)*(PayEarnCode=N$2)*(PayEarnValues)))*IF(COUNTIFS(EmpNo,$C160,OFFSET(Emp!$R$4,1,MATCH(N$5,DedListItem,0)-1,EmpCount,1),"&lt;&gt;")&gt;0,VLOOKUP($C160,EmpAll,COLUMN(Emp!$R$4)+MATCH(N$5,DedListItem,0)-1,0),OFFSET(Setup!$E$73,MATCH(N$5,DedListItem,0),0,1,1)),(MIN(IF(OFFSET(Setup!$G$73,MATCH(N$5,DedListItem,0),0,1,1)="Taxable",SUMPRODUCT((PayEmp=$C160)*(PayDate&lt;=$AC160)*(ISERROR(SEARCH(PayEarnCode,N$4)))*(PayEarnTax)*(PayEarnValues)),SUMPRODUCT((PayEmp=$C160)*(PayDate&lt;=$AC160)*(ISERROR(SEARCH(PayEarnCode,N$4)))*(PayEarnValues))),IF(ISNUMBER(N$3),N$3/12*$AA160,IgnoreMin)))*IF(COUNTIFS(EmpNo,$C160,OFFSET(Emp!$R$4,1,MATCH(N$5,DedListItem,0)-1,EmpCount,1),"&lt;&gt;")&gt;0,VLOOKUP($C160,EmpAll,COLUMN(Emp!$R$4)+MATCH(N$5,DedListItem,0)-1,0),OFFSET(Setup!$E$73,MATCH(N$5,DedListItem,0),0,1,1)))-SUMIFS(OFFSET(N$6,1,0,PayCount,1),PayDate,"&lt;"&amp;$AC160,PayEmp,$C160))))))</f>
        <v>165</v>
      </c>
      <c r="O160" s="133" cm="1">
        <f t="array" aca="1" ref="O160" ca="1">IF($F160="Terminated",0,IF($AA160=0,0,IF(ISNA(MATCH(O$5,DedListItem,0)),0,IF(COUNTIFS(OverEmp,$C160,OverDeduct,O$5,OverDate,"&lt;"&amp;DATE(YEAR($AC160),MONTH($AC160)+1,1),OverEnd,"&gt;="&amp;DATE(YEAR($AC160),MONTH($AC160),1))&gt;0,SUMIFS(OverValue,OverEmp,$C160,OverDeduct,O$5,OverDate,"&lt;"&amp;DATE(YEAR($AC160),MONTH($AC160)+1,1),OverEnd,"&gt;="&amp;DATE(YEAR($AC160),MONTH($AC160),1)),IF(OR(O$2="Fixed",O$2="Not Used"),(IF(COUNTIFS(EmpNo,$C160,OFFSET(Emp!$R$4,1,MATCH(O$5,DedListItem,0)-1,EmpCount,1),"&lt;&gt;")&gt;0,VLOOKUP($C160,EmpAll,COLUMN(Emp!$R$4)+MATCH(O$5,DedListItem,0)-1,0),OFFSET(Setup!$E$73,MATCH(O$5,DedListItem,0),0,1,1))*$AA160)-SUMIFS(OFFSET(O$6,1,0,PayCount,1),PayDate,"&lt;"&amp;$AC160,PayEmp,$C160),IF(ISNA(MATCH(O$2,EarnListItem,0))=FALSE,IF(OFFSET(Setup!$G$73,MATCH(O$5,DedListItem,0),0,1,1)="Taxable",SUMPRODUCT((PayEmp=$C160)*(PayDate&lt;=$AC160)*(PayEarnCode=O$2)*(PayEarnTax)*(PayEarnValues)),SUMPRODUCT((PayEmp=$C160)*(PayDate&lt;=$AC160)*(PayEarnCode=O$2)*(PayEarnValues)))*IF(COUNTIFS(EmpNo,$C160,OFFSET(Emp!$R$4,1,MATCH(O$5,DedListItem,0)-1,EmpCount,1),"&lt;&gt;")&gt;0,VLOOKUP($C160,EmpAll,COLUMN(Emp!$R$4)+MATCH(O$5,DedListItem,0)-1,0),OFFSET(Setup!$E$73,MATCH(O$5,DedListItem,0),0,1,1)),(MIN(IF(OFFSET(Setup!$G$73,MATCH(O$5,DedListItem,0),0,1,1)="Taxable",SUMPRODUCT((PayEmp=$C160)*(PayDate&lt;=$AC160)*(ISERROR(SEARCH(PayEarnCode,O$4)))*(PayEarnTax)*(PayEarnValues)),SUMPRODUCT((PayEmp=$C160)*(PayDate&lt;=$AC160)*(ISERROR(SEARCH(PayEarnCode,O$4)))*(PayEarnValues))),IF(ISNUMBER(O$3),O$3/12*$AA160,IgnoreMin)))*IF(COUNTIFS(EmpNo,$C160,OFFSET(Emp!$R$4,1,MATCH(O$5,DedListItem,0)-1,EmpCount,1),"&lt;&gt;")&gt;0,VLOOKUP($C160,EmpAll,COLUMN(Emp!$R$4)+MATCH(O$5,DedListItem,0)-1,0),OFFSET(Setup!$E$73,MATCH(O$5,DedListItem,0),0,1,1)))-SUMIFS(OFFSET(O$6,1,0,PayCount,1),PayDate,"&lt;"&amp;$AC160,PayEmp,$C160))))))</f>
        <v>0</v>
      </c>
      <c r="P160" s="133" cm="1">
        <f t="array" aca="1" ref="P160" ca="1">IF($F160="Terminated",0,IF($AA160=0,0,IF(ISNA(MATCH(P$5,DedListItem,0)),0,IF(COUNTIFS(OverEmp,$C160,OverDeduct,P$5,OverDate,"&lt;"&amp;DATE(YEAR($AC160),MONTH($AC160)+1,1),OverEnd,"&gt;="&amp;DATE(YEAR($AC160),MONTH($AC160),1))&gt;0,SUMIFS(OverValue,OverEmp,$C160,OverDeduct,P$5,OverDate,"&lt;"&amp;DATE(YEAR($AC160),MONTH($AC160)+1,1),OverEnd,"&gt;="&amp;DATE(YEAR($AC160),MONTH($AC160),1)),IF(OR(P$2="Fixed",P$2="Not Used"),(IF(COUNTIFS(EmpNo,$C160,OFFSET(Emp!$R$4,1,MATCH(P$5,DedListItem,0)-1,EmpCount,1),"&lt;&gt;")&gt;0,VLOOKUP($C160,EmpAll,COLUMN(Emp!$R$4)+MATCH(P$5,DedListItem,0)-1,0),OFFSET(Setup!$E$73,MATCH(P$5,DedListItem,0),0,1,1))*$AA160)-SUMIFS(OFFSET(P$6,1,0,PayCount,1),PayDate,"&lt;"&amp;$AC160,PayEmp,$C160),IF(ISNA(MATCH(P$2,EarnListItem,0))=FALSE,IF(OFFSET(Setup!$G$73,MATCH(P$5,DedListItem,0),0,1,1)="Taxable",SUMPRODUCT((PayEmp=$C160)*(PayDate&lt;=$AC160)*(PayEarnCode=P$2)*(PayEarnTax)*(PayEarnValues)),SUMPRODUCT((PayEmp=$C160)*(PayDate&lt;=$AC160)*(PayEarnCode=P$2)*(PayEarnValues)))*IF(COUNTIFS(EmpNo,$C160,OFFSET(Emp!$R$4,1,MATCH(P$5,DedListItem,0)-1,EmpCount,1),"&lt;&gt;")&gt;0,VLOOKUP($C160,EmpAll,COLUMN(Emp!$R$4)+MATCH(P$5,DedListItem,0)-1,0),OFFSET(Setup!$E$73,MATCH(P$5,DedListItem,0),0,1,1)),(MIN(IF(OFFSET(Setup!$G$73,MATCH(P$5,DedListItem,0),0,1,1)="Taxable",SUMPRODUCT((PayEmp=$C160)*(PayDate&lt;=$AC160)*(ISERROR(SEARCH(PayEarnCode,P$4)))*(PayEarnTax)*(PayEarnValues)),SUMPRODUCT((PayEmp=$C160)*(PayDate&lt;=$AC160)*(ISERROR(SEARCH(PayEarnCode,P$4)))*(PayEarnValues))),IF(ISNUMBER(P$3),P$3/12*$AA160,IgnoreMin)))*IF(COUNTIFS(EmpNo,$C160,OFFSET(Emp!$R$4,1,MATCH(P$5,DedListItem,0)-1,EmpCount,1),"&lt;&gt;")&gt;0,VLOOKUP($C160,EmpAll,COLUMN(Emp!$R$4)+MATCH(P$5,DedListItem,0)-1,0),OFFSET(Setup!$E$73,MATCH(P$5,DedListItem,0),0,1,1)))-SUMIFS(OFFSET(P$6,1,0,PayCount,1),PayDate,"&lt;"&amp;$AC160,PayEmp,$C160))))))</f>
        <v>500</v>
      </c>
      <c r="Q160" s="133" cm="1">
        <f t="array" aca="1" ref="Q160" ca="1">IF($F160="Terminated",0,IF($AA160=0,0,IF(ISNA(MATCH(Q$5,DedListItem,0)),0,IF(COUNTIFS(OverEmp,$C160,OverDeduct,Q$5,OverDate,"&lt;"&amp;DATE(YEAR($AC160),MONTH($AC160)+1,1),OverEnd,"&gt;="&amp;DATE(YEAR($AC160),MONTH($AC160),1))&gt;0,SUMIFS(OverValue,OverEmp,$C160,OverDeduct,Q$5,OverDate,"&lt;"&amp;DATE(YEAR($AC160),MONTH($AC160)+1,1),OverEnd,"&gt;="&amp;DATE(YEAR($AC160),MONTH($AC160),1)),IF(OR(Q$2="Fixed",Q$2="Not Used"),(IF(COUNTIFS(EmpNo,$C160,OFFSET(Emp!$R$4,1,MATCH(Q$5,DedListItem,0)-1,EmpCount,1),"&lt;&gt;")&gt;0,VLOOKUP($C160,EmpAll,COLUMN(Emp!$R$4)+MATCH(Q$5,DedListItem,0)-1,0),OFFSET(Setup!$E$73,MATCH(Q$5,DedListItem,0),0,1,1))*$AA160)-SUMIFS(OFFSET(Q$6,1,0,PayCount,1),PayDate,"&lt;"&amp;$AC160,PayEmp,$C160),IF(ISNA(MATCH(Q$2,EarnListItem,0))=FALSE,IF(OFFSET(Setup!$G$73,MATCH(Q$5,DedListItem,0),0,1,1)="Taxable",SUMPRODUCT((PayEmp=$C160)*(PayDate&lt;=$AC160)*(PayEarnCode=Q$2)*(PayEarnTax)*(PayEarnValues)),SUMPRODUCT((PayEmp=$C160)*(PayDate&lt;=$AC160)*(PayEarnCode=Q$2)*(PayEarnValues)))*IF(COUNTIFS(EmpNo,$C160,OFFSET(Emp!$R$4,1,MATCH(Q$5,DedListItem,0)-1,EmpCount,1),"&lt;&gt;")&gt;0,VLOOKUP($C160,EmpAll,COLUMN(Emp!$R$4)+MATCH(Q$5,DedListItem,0)-1,0),OFFSET(Setup!$E$73,MATCH(Q$5,DedListItem,0),0,1,1)),(MIN(IF(OFFSET(Setup!$G$73,MATCH(Q$5,DedListItem,0),0,1,1)="Taxable",SUMPRODUCT((PayEmp=$C160)*(PayDate&lt;=$AC160)*(ISERROR(SEARCH(PayEarnCode,Q$4)))*(PayEarnTax)*(PayEarnValues)),SUMPRODUCT((PayEmp=$C160)*(PayDate&lt;=$AC160)*(ISERROR(SEARCH(PayEarnCode,Q$4)))*(PayEarnValues))),IF(ISNUMBER(Q$3),Q$3/12*$AA160,IgnoreMin)))*IF(COUNTIFS(EmpNo,$C160,OFFSET(Emp!$R$4,1,MATCH(Q$5,DedListItem,0)-1,EmpCount,1),"&lt;&gt;")&gt;0,VLOOKUP($C160,EmpAll,COLUMN(Emp!$R$4)+MATCH(Q$5,DedListItem,0)-1,0),OFFSET(Setup!$E$73,MATCH(Q$5,DedListItem,0),0,1,1)))-SUMIFS(OFFSET(Q$6,1,0,PayCount,1),PayDate,"&lt;"&amp;$AC160,PayEmp,$C160))))))</f>
        <v>0</v>
      </c>
      <c r="R160" s="185">
        <f t="shared" ca="1" si="67"/>
        <v>1834.7499999999982</v>
      </c>
      <c r="S160" s="139">
        <f t="shared" ca="1" si="68"/>
        <v>14665.25</v>
      </c>
      <c r="T160" s="133" cm="1">
        <f t="array" aca="1" ref="T160" ca="1">IF($F160="Terminated",0,IF($AA160=0,0,IF(ISNA(MATCH(T$5,CompListItem,0)),0,IF(COUNTIFS(OverEmp,$C160,OverComp,T$5,OverDate,"&lt;"&amp;DATE(YEAR($AC160),MONTH($AC160)+1,1),OverEnd,"&gt;="&amp;DATE(YEAR($AC160),MONTH($AC160),1))&gt;0,SUMIFS(OverValue,OverEmp,$C160,OverComp,T$5,OverDate,"&lt;"&amp;DATE(YEAR($AC160),MONTH($AC160)+1,1),OverEnd,"&gt;="&amp;DATE(YEAR($AC160),MONTH($AC160),1)),IF(OR(T$2="Fixed",T$2="Not Used"),(OFFSET(Setup!$E$81,MATCH(T$5,CompListItem,0),0,1,1)*$AA160)-SUMIFS(OFFSET(T$6,1,0,PayCount,1),PayDate,"&lt;"&amp;$AC160,PayEmp,$C160),IF(ISNA(MATCH(T$2,DedListItem,0))=FALSE,(SUMPRODUCT((PayEmp=$C160)*(PayDate&lt;=$AC160)*(PayDedList=T$2)*(PayDedValues))*OFFSET(Setup!$E$81,MATCH(T$5,CompListItem,0),0,1,1))-SUMIFS(OFFSET(T$6,1,0,PayCount,1),PayDate,"&lt;"&amp;$AC160,PayEmp,$C160),(MIN(IF(OFFSET(Setup!$G$81,MATCH(T$5,CompListItem,0),0,1,1)="Taxable",SUMPRODUCT((PayEmp=$C160)*(PayDate&lt;=$AC160)*(ISERROR(SEARCH(PayEarnCode,T$4)))*(PayEarnTax)*(PayEarnValues)),SUMPRODUCT((PayEmp=$C160)*(PayDate&lt;=$AC160)*(ISERROR(SEARCH(PayEarnCode,T$4)))*(PayEarnValues))),IF(ISNUMBER(T$3),T$3/12*$AA160,IgnoreMin)))*OFFSET(Setup!$E$81,MATCH(T$5,CompListItem,0),0,1,1)-SUMIFS(OFFSET(T$6,1,0,PayCount,1),PayDate,"&lt;"&amp;$AC160,PayEmp,$C160)))))))</f>
        <v>165</v>
      </c>
      <c r="U160" s="133" cm="1">
        <f t="array" aca="1" ref="U160" ca="1">IF($F160="Terminated",0,IF($AA160=0,0,IF(ISNA(MATCH(U$5,CompListItem,0)),0,IF(COUNTIFS(OverEmp,$C160,OverComp,U$5,OverDate,"&lt;"&amp;DATE(YEAR($AC160),MONTH($AC160)+1,1),OverEnd,"&gt;="&amp;DATE(YEAR($AC160),MONTH($AC160),1))&gt;0,SUMIFS(OverValue,OverEmp,$C160,OverComp,U$5,OverDate,"&lt;"&amp;DATE(YEAR($AC160),MONTH($AC160)+1,1),OverEnd,"&gt;="&amp;DATE(YEAR($AC160),MONTH($AC160),1)),IF(OR(U$2="Fixed",U$2="Not Used"),(OFFSET(Setup!$E$81,MATCH(U$5,CompListItem,0),0,1,1)*$AA160)-SUMIFS(OFFSET(U$6,1,0,PayCount,1),PayDate,"&lt;"&amp;$AC160,PayEmp,$C160),IF(ISNA(MATCH(U$2,DedListItem,0))=FALSE,(SUMPRODUCT((PayEmp=$C160)*(PayDate&lt;=$AC160)*(PayDedList=U$2)*(PayDedValues))*OFFSET(Setup!$E$81,MATCH(U$5,CompListItem,0),0,1,1))-SUMIFS(OFFSET(U$6,1,0,PayCount,1),PayDate,"&lt;"&amp;$AC160,PayEmp,$C160),(MIN(IF(OFFSET(Setup!$G$81,MATCH(U$5,CompListItem,0),0,1,1)="Taxable",SUMPRODUCT((PayEmp=$C160)*(PayDate&lt;=$AC160)*(ISERROR(SEARCH(PayEarnCode,U$4)))*(PayEarnTax)*(PayEarnValues)),SUMPRODUCT((PayEmp=$C160)*(PayDate&lt;=$AC160)*(ISERROR(SEARCH(PayEarnCode,U$4)))*(PayEarnValues))),IF(ISNUMBER(U$3),U$3/12*$AA160,IgnoreMin)))*OFFSET(Setup!$E$81,MATCH(U$5,CompListItem,0),0,1,1)-SUMIFS(OFFSET(U$6,1,0,PayCount,1),PayDate,"&lt;"&amp;$AC160,PayEmp,$C160)))))))</f>
        <v>165</v>
      </c>
      <c r="V160" s="133" cm="1">
        <f t="array" aca="1" ref="V160" ca="1">IF($F160="Terminated",0,IF($AA160=0,0,IF(ISNA(MATCH(V$5,CompListItem,0)),0,IF(COUNTIFS(OverEmp,$C160,OverComp,V$5,OverDate,"&lt;"&amp;DATE(YEAR($AC160),MONTH($AC160)+1,1),OverEnd,"&gt;="&amp;DATE(YEAR($AC160),MONTH($AC160),1))&gt;0,SUMIFS(OverValue,OverEmp,$C160,OverComp,V$5,OverDate,"&lt;"&amp;DATE(YEAR($AC160),MONTH($AC160)+1,1),OverEnd,"&gt;="&amp;DATE(YEAR($AC160),MONTH($AC160),1)),IF(OR(V$2="Fixed",V$2="Not Used"),(OFFSET(Setup!$E$81,MATCH(V$5,CompListItem,0),0,1,1)*$AA160)-SUMIFS(OFFSET(V$6,1,0,PayCount,1),PayDate,"&lt;"&amp;$AC160,PayEmp,$C160),IF(ISNA(MATCH(V$2,DedListItem,0))=FALSE,(SUMPRODUCT((PayEmp=$C160)*(PayDate&lt;=$AC160)*(PayDedList=V$2)*(PayDedValues))*OFFSET(Setup!$E$81,MATCH(V$5,CompListItem,0),0,1,1))-SUMIFS(OFFSET(V$6,1,0,PayCount,1),PayDate,"&lt;"&amp;$AC160,PayEmp,$C160),(MIN(IF(OFFSET(Setup!$G$81,MATCH(V$5,CompListItem,0),0,1,1)="Taxable",SUMPRODUCT((PayEmp=$C160)*(PayDate&lt;=$AC160)*(ISERROR(SEARCH(PayEarnCode,V$4)))*(PayEarnTax)*(PayEarnValues)),SUMPRODUCT((PayEmp=$C160)*(PayDate&lt;=$AC160)*(ISERROR(SEARCH(PayEarnCode,V$4)))*(PayEarnValues))),IF(ISNUMBER(V$3),V$3/12*$AA160,IgnoreMin)))*OFFSET(Setup!$E$81,MATCH(V$5,CompListItem,0),0,1,1)-SUMIFS(OFFSET(V$6,1,0,PayCount,1),PayDate,"&lt;"&amp;$AC160,PayEmp,$C160)))))))</f>
        <v>0</v>
      </c>
      <c r="W160" s="133" cm="1">
        <f t="array" aca="1" ref="W160" ca="1">IF($F160="Terminated",0,IF($AA160=0,0,IF(ISNA(MATCH(W$5,CompListItem,0)),0,IF(COUNTIFS(OverEmp,$C160,OverComp,W$5,OverDate,"&lt;"&amp;DATE(YEAR($AC160),MONTH($AC160)+1,1),OverEnd,"&gt;="&amp;DATE(YEAR($AC160),MONTH($AC160),1))&gt;0,SUMIFS(OverValue,OverEmp,$C160,OverComp,W$5,OverDate,"&lt;"&amp;DATE(YEAR($AC160),MONTH($AC160)+1,1),OverEnd,"&gt;="&amp;DATE(YEAR($AC160),MONTH($AC160),1)),IF(OR(W$2="Fixed",W$2="Not Used"),(OFFSET(Setup!$E$81,MATCH(W$5,CompListItem,0),0,1,1)*$AA160)-SUMIFS(OFFSET(W$6,1,0,PayCount,1),PayDate,"&lt;"&amp;$AC160,PayEmp,$C160),IF(ISNA(MATCH(W$2,DedListItem,0))=FALSE,(SUMPRODUCT((PayEmp=$C160)*(PayDate&lt;=$AC160)*(PayDedList=W$2)*(PayDedValues))*OFFSET(Setup!$E$81,MATCH(W$5,CompListItem,0),0,1,1))-SUMIFS(OFFSET(W$6,1,0,PayCount,1),PayDate,"&lt;"&amp;$AC160,PayEmp,$C160),(MIN(IF(OFFSET(Setup!$G$81,MATCH(W$5,CompListItem,0),0,1,1)="Taxable",SUMPRODUCT((PayEmp=$C160)*(PayDate&lt;=$AC160)*(ISERROR(SEARCH(PayEarnCode,W$4)))*(PayEarnTax)*(PayEarnValues)),SUMPRODUCT((PayEmp=$C160)*(PayDate&lt;=$AC160)*(ISERROR(SEARCH(PayEarnCode,W$4)))*(PayEarnValues))),IF(ISNUMBER(W$3),W$3/12*$AA160,IgnoreMin)))*OFFSET(Setup!$E$81,MATCH(W$5,CompListItem,0),0,1,1)-SUMIFS(OFFSET(W$6,1,0,PayCount,1),PayDate,"&lt;"&amp;$AC160,PayEmp,$C160)))))))</f>
        <v>0</v>
      </c>
      <c r="X160" s="185">
        <f t="shared" ca="1" si="60"/>
        <v>330</v>
      </c>
      <c r="Y160" s="139">
        <f t="shared" ca="1" si="69"/>
        <v>16830</v>
      </c>
      <c r="Z160" s="139">
        <f t="shared" ca="1" si="61"/>
        <v>2164.75</v>
      </c>
      <c r="AA160" s="146">
        <f ca="1">IF(OR($B160&lt;=Setup!$E$12,$B160&gt;=Setup!$D$12+1),0,IF($F160&lt;&gt;"Active",0,IF($AE160="Yes",$AB160,((YEAR($AC160)*12)+MONTH($AC160))-((YEAR($AD160)*12)+MONTH($AD160)-1))))</f>
        <v>11</v>
      </c>
      <c r="AB160" s="146">
        <f ca="1">IF(OR($B160&lt;=Setup!$E$12,$B160&gt;=Setup!$D$12+1),0,((YEAR($AC160)*12)+MONTH($AC160))-((YEAR(Setup!$E$12)*12)+MONTH(Setup!$E$12)))</f>
        <v>11</v>
      </c>
      <c r="AC160" s="186">
        <f t="shared" ca="1" si="62"/>
        <v>45316</v>
      </c>
      <c r="AD160" s="144">
        <f ca="1">IF(ISNA(VLOOKUP($C160,EmpAll,COLUMN(Emp!$E$4),0)),$AC160,IF(VLOOKUP($C160,EmpAll,COLUMN(Emp!$E$4),0)&lt;=Setup!$E$12,DATE(YEAR(Setup!$E$12),MONTH(Setup!$E$12)+1,1),VLOOKUP($C160,EmpAll,COLUMN(Emp!$E$4),0)))</f>
        <v>44986</v>
      </c>
      <c r="AE160" s="144" t="str">
        <f ca="1">IF(ISNA(VLOOKUP($C160,EmpAll,COLUMN(Emp!$G$1),0)),"-",IF(VLOOKUP($C160,EmpAll,COLUMN(Emp!$G$1),0)=0,"-",VLOOKUP($C160,EmpAll,COLUMN(Emp!$G$1),0)))</f>
        <v>-</v>
      </c>
      <c r="AF160" s="145">
        <f ca="1">IF(A160=PaySlip!$G$3,1,0)</f>
        <v>0</v>
      </c>
      <c r="AG160" s="130" cm="1">
        <f t="array" aca="1" ref="AG160" ca="1">IF(COUNTIFS(OverEmp,$C160,OverMed,"MED",OverDate,"&lt;"&amp;DATE(YEAR($AC160),MONTH($AC160)+1,1),OverEnd,"&gt;="&amp;DATE(YEAR($AC160),MONTH($AC160),1))&gt;0,SUMIFS(OverValue,OverEmp,$C160,OverMed,"MED",OverDate,"&lt;"&amp;DATE(YEAR($AC160),MONTH($AC160)+1,1),OverEnd,"&gt;="&amp;DATE(YEAR($AC160),MONTH($AC160),1)),IF(ISNA(VLOOKUP($C160,EmpAll,COLUMN(Emp!$N$4),0)),0,VLOOKUP($C160,EmpAll,COLUMN(Emp!$N$4),0)))</f>
        <v>1</v>
      </c>
      <c r="AH160" s="146">
        <f ca="1">VLOOKUP($AG160,MedList,COLUMN(Setup!$C$49),1)</f>
        <v>364</v>
      </c>
      <c r="AI160" s="146">
        <f t="shared" ca="1" si="70"/>
        <v>4368</v>
      </c>
      <c r="AJ160" s="101" t="str">
        <f ca="1">IF(ISNA(VLOOKUP($C160,EmpAll,COLUMN(Emp!$L$4),0)),"None!",VLOOKUP($C160,EmpAll,COLUMN(Emp!$L$4),0))</f>
        <v>A</v>
      </c>
      <c r="AK160" s="147">
        <f t="shared" ca="1" si="63"/>
        <v>17235</v>
      </c>
      <c r="AL160" s="101" t="str">
        <f ca="1">IF(ISNA(VLOOKUP($C160,Employees[],COLUMN(Emp!$M$4),0))=TRUE,"Error!",IF(VLOOKUP($C160,Employees[],COLUMN(Emp!$M$4),0)=0,"Yes",VLOOKUP($C160,Employees[],COLUMN(Emp!$M$4),0)))</f>
        <v>A</v>
      </c>
      <c r="AM160" s="148">
        <f t="shared" ca="1" si="71"/>
        <v>200236.36363636365</v>
      </c>
      <c r="AN160" s="148" cm="1">
        <f t="array" aca="1" ref="AN160" ca="1">-IF($F160="Terminated",0,IF($AA160=0,0,IF(ISNA(MATCH(AN$5,PayDedList,0)),0,MIN(IF(COUNTIFS(OverEmp,$C160,OverDeduct,AN$5,OverDate,"&lt;"&amp;DATE(YEAR($AC160),MONTH($AC160)+1,1),OverEnd,"&gt;="&amp;DATE(YEAR($AC160),MONTH($AC160),1))&gt;0,SUMPRODUCT((PayEmp=$C160)*(PayDate&lt;=$AC160)*(OFFSET($N$6,1,MATCH(AN$5,PayDedList,0)-1,PayCount,1)))/$AA160*12*AN$3,IF(OR(AN$1="Fixed",AN$1="Not Used"),SUMPRODUCT((PayEmp=$C160)*(PayDate&lt;=$AC160)*(OFFSET($N$6,1,MATCH(AN$5,PayDedList,0)-1,PayCount,1)))/$AA160*12*AN$3,IF(ISNA(MATCH(AN$1,EarnListItem,0))=FALSE,SUMPRODUCT((PayEmp=$C160)*(PayDate&lt;=$AC160)*(OFFSET($N$6,1,MATCH(AN$5,PayDedList,0)-1,PayCount,1)))/$AA160*12*AN$3,(MIN(((SUMPRODUCT((PayEmp=$C160)*(PayDate&lt;=$AC160)*(ISERROR(SEARCH(PayEarnCode,AN$2)))*(PayEarnType="Monthly")*(PayEarnValues))/$AA160*12)+(SUMPRODUCT((PayEmp=$C160)*(PayDate&lt;=$AC160)*(ISERROR(SEARCH(PayEarnCode,AN$2)))*(PayEarnType="Quarterly")*(PayEarnValues))/MAX(1,ROUNDDOWN($AB160/3,0))*4)+(SUMPRODUCT((PayEmp=$C160)*(PayDate&lt;=$AC160)*(ISERROR(SEARCH(PayEarnCode,AN$2)))*(PayEarnType="Bi-Annual")*(PayEarnValues))/MAX(1,ROUNDDOWN($AB160/6,0))*2)+(SUMPRODUCT((PayEmp=$C160)*(PayDate&lt;=$AC160)*(ISERROR(SEARCH(PayEarnCode,AN$2)))*(PayEarnType="Annual")*(PayEarnValues)))),IF(ISNUMBER(OFFSET($N$3,0,MATCH(AN$5,PayDedList,0)-1,1,1)),OFFSET($N$3,0,MATCH(AN$5,PayDedList,0)-1,1,1),IgnoreMin)))*IF(COUNTIFS(EmpNo,$C160,OFFSET(Emp!$R$4,1,MATCH(AN$5,DedListItem,0)-1,EmpCount,1),"&lt;&gt;")&gt;0,VLOOKUP($C160,EmpAll,COLUMN(Emp!$R$4)+MATCH(AN$5,DedListItem,0)-1,0),OFFSET(Setup!$E$73,MATCH(AN$5,DedListItem,0),0,1,1))*AN$3))),IF(ISNUMBER(AN$4),AN$4,IgnoreMin)))))</f>
        <v>0</v>
      </c>
      <c r="AO160" s="148" cm="1">
        <f t="array" aca="1" ref="AO160" ca="1">-IF($F160="Terminated",0,IF($AA160=0,0,IF(ISNA(MATCH(AO$5,PayDedList,0)),0,MIN(IF(COUNTIFS(OverEmp,$C160,OverDeduct,AO$5,OverDate,"&lt;"&amp;DATE(YEAR($AC160),MONTH($AC160)+1,1),OverEnd,"&gt;="&amp;DATE(YEAR($AC160),MONTH($AC160),1))&gt;0,SUMPRODUCT((PayEmp=$C160)*(PayDate&lt;=$AC160)*(OFFSET($N$6,1,MATCH(AO$5,PayDedList,0)-1,PayCount,1)))/$AA160*12*AO$3,IF(OR(AO$1="Fixed",AO$1="Not Used"),SUMPRODUCT((PayEmp=$C160)*(PayDate&lt;=$AC160)*(OFFSET($N$6,1,MATCH(AO$5,PayDedList,0)-1,PayCount,1)))/$AA160*12*AO$3,IF(ISNA(MATCH(AO$1,EarnListItem,0))=FALSE,SUMPRODUCT((PayEmp=$C160)*(PayDate&lt;=$AC160)*(OFFSET($N$6,1,MATCH(AO$5,PayDedList,0)-1,PayCount,1)))/$AA160*12*AO$3,(MIN(((SUMPRODUCT((PayEmp=$C160)*(PayDate&lt;=$AC160)*(ISERROR(SEARCH(PayEarnCode,AO$2)))*(PayEarnType="Monthly")*(PayEarnValues))/$AA160*12)+(SUMPRODUCT((PayEmp=$C160)*(PayDate&lt;=$AC160)*(ISERROR(SEARCH(PayEarnCode,AO$2)))*(PayEarnType="Quarterly")*(PayEarnValues))/MAX(1,ROUNDDOWN($AB160/3,0))*4)+(SUMPRODUCT((PayEmp=$C160)*(PayDate&lt;=$AC160)*(ISERROR(SEARCH(PayEarnCode,AO$2)))*(PayEarnType="Bi-Annual")*(PayEarnValues))/MAX(1,ROUNDDOWN($AB160/6,0))*2)+(SUMPRODUCT((PayEmp=$C160)*(PayDate&lt;=$AC160)*(ISERROR(SEARCH(PayEarnCode,AO$2)))*(PayEarnType="Annual")*(PayEarnValues)))),IF(ISNUMBER(OFFSET($N$3,0,MATCH(AO$5,PayDedList,0)-1,1,1)),OFFSET($N$3,0,MATCH(AO$5,PayDedList,0)-1,1,1),IgnoreMin)))*IF(COUNTIFS(EmpNo,$C160,OFFSET(Emp!$R$4,1,MATCH(AO$5,DedListItem,0)-1,EmpCount,1),"&lt;&gt;")&gt;0,VLOOKUP($C160,EmpAll,COLUMN(Emp!$R$4)+MATCH(AO$5,DedListItem,0)-1,0),OFFSET(Setup!$E$73,MATCH(AO$5,DedListItem,0),0,1,1))*AO$3))),IF(ISNUMBER(AO$4),AO$4,IgnoreMin)))))</f>
        <v>0</v>
      </c>
      <c r="AP160" s="148" cm="1">
        <f t="array" aca="1" ref="AP160" ca="1">-IF($F160="Terminated",0,IF($AA160=0,0,IF(ISNA(MATCH(AP$5,PayDedList,0)),0,MIN(IF(COUNTIFS(OverEmp,$C160,OverDeduct,AP$5,OverDate,"&lt;"&amp;DATE(YEAR($AC160),MONTH($AC160)+1,1),OverEnd,"&gt;="&amp;DATE(YEAR($AC160),MONTH($AC160),1))&gt;0,SUMPRODUCT((PayEmp=$C160)*(PayDate&lt;=$AC160)*(OFFSET($N$6,1,MATCH(AP$5,PayDedList,0)-1,PayCount,1)))/$AA160*12*AP$3,IF(OR(AP$1="Fixed",AP$1="Not Used"),SUMPRODUCT((PayEmp=$C160)*(PayDate&lt;=$AC160)*(OFFSET($N$6,1,MATCH(AP$5,PayDedList,0)-1,PayCount,1)))/$AA160*12*AP$3,IF(ISNA(MATCH(AP$1,EarnListItem,0))=FALSE,SUMPRODUCT((PayEmp=$C160)*(PayDate&lt;=$AC160)*(OFFSET($N$6,1,MATCH(AP$5,PayDedList,0)-1,PayCount,1)))/$AA160*12*AP$3,(MIN(((SUMPRODUCT((PayEmp=$C160)*(PayDate&lt;=$AC160)*(ISERROR(SEARCH(PayEarnCode,AP$2)))*(PayEarnType="Monthly")*(PayEarnValues))/$AA160*12)+(SUMPRODUCT((PayEmp=$C160)*(PayDate&lt;=$AC160)*(ISERROR(SEARCH(PayEarnCode,AP$2)))*(PayEarnType="Quarterly")*(PayEarnValues))/MAX(1,ROUNDDOWN($AB160/3,0))*4)+(SUMPRODUCT((PayEmp=$C160)*(PayDate&lt;=$AC160)*(ISERROR(SEARCH(PayEarnCode,AP$2)))*(PayEarnType="Bi-Annual")*(PayEarnValues))/MAX(1,ROUNDDOWN($AB160/6,0))*2)+(SUMPRODUCT((PayEmp=$C160)*(PayDate&lt;=$AC160)*(ISERROR(SEARCH(PayEarnCode,AP$2)))*(PayEarnType="Annual")*(PayEarnValues)))),IF(ISNUMBER(OFFSET($N$3,0,MATCH(AP$5,PayDedList,0)-1,1,1)),OFFSET($N$3,0,MATCH(AP$5,PayDedList,0)-1,1,1),IgnoreMin)))*IF(COUNTIFS(EmpNo,$C160,OFFSET(Emp!$R$4,1,MATCH(AP$5,DedListItem,0)-1,EmpCount,1),"&lt;&gt;")&gt;0,VLOOKUP($C160,EmpAll,COLUMN(Emp!$R$4)+MATCH(AP$5,DedListItem,0)-1,0),OFFSET(Setup!$E$73,MATCH(AP$5,DedListItem,0),0,1,1))*AP$3))),IF(ISNUMBER(AP$4),AP$4,IgnoreMin)))))</f>
        <v>0</v>
      </c>
      <c r="AQ160" s="148" cm="1">
        <f t="array" aca="1" ref="AQ160" ca="1">-IF($F160="Terminated",0,IF($AA160=0,0,IF(ISNA(MATCH(AQ$5,PayDedList,0)),0,MIN(IF(COUNTIFS(OverEmp,$C160,OverDeduct,AQ$5,OverDate,"&lt;"&amp;DATE(YEAR($AC160),MONTH($AC160)+1,1),OverEnd,"&gt;="&amp;DATE(YEAR($AC160),MONTH($AC160),1))&gt;0,SUMPRODUCT((PayEmp=$C160)*(PayDate&lt;=$AC160)*(OFFSET($N$6,1,MATCH(AQ$5,PayDedList,0)-1,PayCount,1)))/$AA160*12*AQ$3,IF(OR(AQ$1="Fixed",AQ$1="Not Used"),SUMPRODUCT((PayEmp=$C160)*(PayDate&lt;=$AC160)*(OFFSET($N$6,1,MATCH(AQ$5,PayDedList,0)-1,PayCount,1)))/$AA160*12*AQ$3,IF(ISNA(MATCH(AQ$1,EarnListItem,0))=FALSE,SUMPRODUCT((PayEmp=$C160)*(PayDate&lt;=$AC160)*(OFFSET($N$6,1,MATCH(AQ$5,PayDedList,0)-1,PayCount,1)))/$AA160*12*AQ$3,(MIN(((SUMPRODUCT((PayEmp=$C160)*(PayDate&lt;=$AC160)*(ISERROR(SEARCH(PayEarnCode,AQ$2)))*(PayEarnType="Monthly")*(PayEarnValues))/$AA160*12)+(SUMPRODUCT((PayEmp=$C160)*(PayDate&lt;=$AC160)*(ISERROR(SEARCH(PayEarnCode,AQ$2)))*(PayEarnType="Quarterly")*(PayEarnValues))/MAX(1,ROUNDDOWN($AB160/3,0))*4)+(SUMPRODUCT((PayEmp=$C160)*(PayDate&lt;=$AC160)*(ISERROR(SEARCH(PayEarnCode,AQ$2)))*(PayEarnType="Bi-Annual")*(PayEarnValues))/MAX(1,ROUNDDOWN($AB160/6,0))*2)+(SUMPRODUCT((PayEmp=$C160)*(PayDate&lt;=$AC160)*(ISERROR(SEARCH(PayEarnCode,AQ$2)))*(PayEarnType="Annual")*(PayEarnValues)))),IF(ISNUMBER(OFFSET($N$3,0,MATCH(AQ$5,PayDedList,0)-1,1,1)),OFFSET($N$3,0,MATCH(AQ$5,PayDedList,0)-1,1,1),IgnoreMin)))*IF(COUNTIFS(EmpNo,$C160,OFFSET(Emp!$R$4,1,MATCH(AQ$5,DedListItem,0)-1,EmpCount,1),"&lt;&gt;")&gt;0,VLOOKUP($C160,EmpAll,COLUMN(Emp!$R$4)+MATCH(AQ$5,DedListItem,0)-1,0),OFFSET(Setup!$E$73,MATCH(AQ$5,DedListItem,0),0,1,1))*AQ$3))),IF(ISNUMBER(AQ$4),AQ$4,IgnoreMin)))))</f>
        <v>0</v>
      </c>
      <c r="AR160" s="148">
        <f t="shared" ca="1" si="64"/>
        <v>200236.36363636365</v>
      </c>
      <c r="AS160" s="148">
        <f t="shared" ca="1" si="72"/>
        <v>181636.36363636365</v>
      </c>
      <c r="AT160" s="148" cm="1">
        <f t="array" aca="1" ref="AT160" ca="1">-IF($F160="Terminated",0,IF($AA160=0,0,IF(ISNA(MATCH(AT$5,PayDedList,0)),0,MIN(IF(COUNTIFS(OverEmp,$C160,OverDeduct,AT$5,OverDate,"&lt;"&amp;DATE(YEAR($AC160),MONTH($AC160)+1,1),OverEnd,"&gt;="&amp;DATE(YEAR($AC160),MONTH($AC160),1))&gt;0,SUMPRODUCT((PayEmp=$C160)*(PayDate&lt;=$AC160)*(OFFSET($N$6,1,MATCH(AT$5,PayDedList,0)-1,PayCount,1)))/$AA160*12*AT$3,IF(OR(AT$1="Fixed",AT$1="Not Used"),SUMPRODUCT((PayEmp=$C160)*(PayDate&lt;=$AC160)*(OFFSET($N$6,1,MATCH(AT$5,PayDedList,0)-1,PayCount,1)))/$AA160*12*AT$3,IF(ISNA(MATCH(OFFSET($N$2,0,MATCH(AT$5,PayDedList,0)-1,1,1),EarnListItem,0))=FALSE,SUMPRODUCT((PayEmp=$C160)*(PayDate&lt;=$AC160)*(OFFSET($N$6,1,MATCH(AT$5,PayDedList,0)-1,PayCount,1)))/$AA160*12*AT$3,(MIN(SUMPRODUCT((PayEmp=$C160)*(PayDate&lt;=$AC160)*(ISERROR(SEARCH(PayEarnCode,AT$2)))*(PayEarnType="Monthly")*(PayEarnValues))/$AA160*12,IF(ISNUMBER(OFFSET($N$3,0,MATCH(AT$5,PayDedList,0)-1,1,1)),OFFSET($N$3,0,MATCH(AT$5,PayDedList,0)-1,1,1),IgnoreMin)))*IF(COUNTIFS(EmpNo,$C160,OFFSET(Emp!$R$4,1,MATCH(AT$5,DedListItem,0)-1,EmpCount,1),"&lt;&gt;")&gt;0,VLOOKUP($C160,EmpAll,COLUMN(Emp!$R$4)+MATCH(AT$5,DedListItem,0)-1,0),OFFSET(Setup!$E$73,MATCH(AT$5,DedListItem,0),0,1,1))*AT$3))),IF(ISNUMBER(AT$4),AT$4,IgnoreMin)))))</f>
        <v>0</v>
      </c>
      <c r="AU160" s="148" cm="1">
        <f t="array" aca="1" ref="AU160" ca="1">-IF($F160="Terminated",0,IF($AA160=0,0,IF(ISNA(MATCH(AU$5,PayDedList,0)),0,MIN(IF(COUNTIFS(OverEmp,$C160,OverDeduct,AU$5,OverDate,"&lt;"&amp;DATE(YEAR($AC160),MONTH($AC160)+1,1),OverEnd,"&gt;="&amp;DATE(YEAR($AC160),MONTH($AC160),1))&gt;0,SUMPRODUCT((PayEmp=$C160)*(PayDate&lt;=$AC160)*(OFFSET($N$6,1,MATCH(AU$5,PayDedList,0)-1,PayCount,1)))/$AA160*12*AU$3,IF(OR(AU$1="Fixed",AU$1="Not Used"),SUMPRODUCT((PayEmp=$C160)*(PayDate&lt;=$AC160)*(OFFSET($N$6,1,MATCH(AU$5,PayDedList,0)-1,PayCount,1)))/$AA160*12*AU$3,IF(ISNA(MATCH(OFFSET($N$2,0,MATCH(AU$5,PayDedList,0)-1,1,1),EarnListItem,0))=FALSE,SUMPRODUCT((PayEmp=$C160)*(PayDate&lt;=$AC160)*(OFFSET($N$6,1,MATCH(AU$5,PayDedList,0)-1,PayCount,1)))/$AA160*12*AU$3,(MIN(SUMPRODUCT((PayEmp=$C160)*(PayDate&lt;=$AC160)*(ISERROR(SEARCH(PayEarnCode,AU$2)))*(PayEarnType="Monthly")*(PayEarnValues))/$AA160*12,IF(ISNUMBER(OFFSET($N$3,0,MATCH(AU$5,PayDedList,0)-1,1,1)),OFFSET($N$3,0,MATCH(AU$5,PayDedList,0)-1,1,1),IgnoreMin)))*IF(COUNTIFS(EmpNo,$C160,OFFSET(Emp!$R$4,1,MATCH(AU$5,DedListItem,0)-1,EmpCount,1),"&lt;&gt;")&gt;0,VLOOKUP($C160,EmpAll,COLUMN(Emp!$R$4)+MATCH(AU$5,DedListItem,0)-1,0),OFFSET(Setup!$E$73,MATCH(AU$5,DedListItem,0),0,1,1))*AU$3))),IF(ISNUMBER(AU$4),AU$4,IgnoreMin)))))</f>
        <v>0</v>
      </c>
      <c r="AV160" s="148" cm="1">
        <f t="array" aca="1" ref="AV160" ca="1">-IF($F160="Terminated",0,IF($AA160=0,0,IF(ISNA(MATCH(AV$5,PayDedList,0)),0,MIN(IF(COUNTIFS(OverEmp,$C160,OverDeduct,AV$5,OverDate,"&lt;"&amp;DATE(YEAR($AC160),MONTH($AC160)+1,1),OverEnd,"&gt;="&amp;DATE(YEAR($AC160),MONTH($AC160),1))&gt;0,SUMPRODUCT((PayEmp=$C160)*(PayDate&lt;=$AC160)*(OFFSET($N$6,1,MATCH(AV$5,PayDedList,0)-1,PayCount,1)))/$AA160*12*AV$3,IF(OR(AV$1="Fixed",AV$1="Not Used"),SUMPRODUCT((PayEmp=$C160)*(PayDate&lt;=$AC160)*(OFFSET($N$6,1,MATCH(AV$5,PayDedList,0)-1,PayCount,1)))/$AA160*12*AV$3,IF(ISNA(MATCH(OFFSET($N$2,0,MATCH(AV$5,PayDedList,0)-1,1,1),EarnListItem,0))=FALSE,SUMPRODUCT((PayEmp=$C160)*(PayDate&lt;=$AC160)*(OFFSET($N$6,1,MATCH(AV$5,PayDedList,0)-1,PayCount,1)))/$AA160*12*AV$3,(MIN(SUMPRODUCT((PayEmp=$C160)*(PayDate&lt;=$AC160)*(ISERROR(SEARCH(PayEarnCode,AV$2)))*(PayEarnType="Monthly")*(PayEarnValues))/$AA160*12,IF(ISNUMBER(OFFSET($N$3,0,MATCH(AV$5,PayDedList,0)-1,1,1)),OFFSET($N$3,0,MATCH(AV$5,PayDedList,0)-1,1,1),IgnoreMin)))*IF(COUNTIFS(EmpNo,$C160,OFFSET(Emp!$R$4,1,MATCH(AV$5,DedListItem,0)-1,EmpCount,1),"&lt;&gt;")&gt;0,VLOOKUP($C160,EmpAll,COLUMN(Emp!$R$4)+MATCH(AV$5,DedListItem,0)-1,0),OFFSET(Setup!$E$73,MATCH(AV$5,DedListItem,0),0,1,1))*AV$3))),IF(ISNUMBER(AV$4),AV$4,IgnoreMin)))))</f>
        <v>0</v>
      </c>
      <c r="AW160" s="148" cm="1">
        <f t="array" aca="1" ref="AW160" ca="1">-IF($F160="Terminated",0,IF($AA160=0,0,IF(ISNA(MATCH(AW$5,PayDedList,0)),0,MIN(IF(COUNTIFS(OverEmp,$C160,OverDeduct,AW$5,OverDate,"&lt;"&amp;DATE(YEAR($AC160),MONTH($AC160)+1,1),OverEnd,"&gt;="&amp;DATE(YEAR($AC160),MONTH($AC160),1))&gt;0,SUMPRODUCT((PayEmp=$C160)*(PayDate&lt;=$AC160)*(OFFSET($N$6,1,MATCH(AW$5,PayDedList,0)-1,PayCount,1)))/$AA160*12*AW$3,IF(OR(AW$1="Fixed",AW$1="Not Used"),SUMPRODUCT((PayEmp=$C160)*(PayDate&lt;=$AC160)*(OFFSET($N$6,1,MATCH(AW$5,PayDedList,0)-1,PayCount,1)))/$AA160*12*AW$3,IF(ISNA(MATCH(OFFSET($N$2,0,MATCH(AW$5,PayDedList,0)-1,1,1),EarnListItem,0))=FALSE,SUMPRODUCT((PayEmp=$C160)*(PayDate&lt;=$AC160)*(OFFSET($N$6,1,MATCH(AW$5,PayDedList,0)-1,PayCount,1)))/$AA160*12*AW$3,(MIN(SUMPRODUCT((PayEmp=$C160)*(PayDate&lt;=$AC160)*(ISERROR(SEARCH(PayEarnCode,AW$2)))*(PayEarnType="Monthly")*(PayEarnValues))/$AA160*12,IF(ISNUMBER(OFFSET($N$3,0,MATCH(AW$5,PayDedList,0)-1,1,1)),OFFSET($N$3,0,MATCH(AW$5,PayDedList,0)-1,1,1),IgnoreMin)))*IF(COUNTIFS(EmpNo,$C160,OFFSET(Emp!$R$4,1,MATCH(AW$5,DedListItem,0)-1,EmpCount,1),"&lt;&gt;")&gt;0,VLOOKUP($C160,EmpAll,COLUMN(Emp!$R$4)+MATCH(AW$5,DedListItem,0)-1,0),OFFSET(Setup!$E$73,MATCH(AW$5,DedListItem,0),0,1,1))*AW$3))),IF(ISNUMBER(AW$4),AW$4,IgnoreMin)))))</f>
        <v>0</v>
      </c>
      <c r="AX160" s="148">
        <f t="shared" ca="1" si="73"/>
        <v>181636.36363636365</v>
      </c>
      <c r="AY160" s="148">
        <f t="shared" ca="1" si="74"/>
        <v>18600</v>
      </c>
      <c r="AZ160" s="148">
        <f ca="1">IF(ISNUMBER($AL160),($AR160*$AL160)-$AI160-$AK160,MAX(0,IF($AL160="B",IF($AR160&lt;Setup!$C$32,($AR160*Setup!$D$32)-$AI160-$AK160,(($AR160-VLOOKUP($AR160,TaxAll2,1,1))*OFFSET(Setup!$D$32,MATCH($AR160,TaxBracket2,1),0,1,1))+OFFSET(Setup!$E$31,MATCH($AR160,TaxBracket2,1),0,1,1)-$AI160-$AK160),IF($AR160&lt;Setup!$C$21,($AR160*Setup!$D$21)-$AI160-$AK160,(($AR160-VLOOKUP($AR160,TaxAll1,1,1))*OFFSET(Setup!$D$21,MATCH($AR160,TaxBracket1,1),0,1,1))+OFFSET(Setup!$E$20,MATCH($AR160,TaxBracket1,1),0,1,1)-$AI160-$AK160))))</f>
        <v>14439.545454545456</v>
      </c>
      <c r="BA160" s="148">
        <f ca="1">IF(ISNUMBER($AL160),($AX160*$AL160)-$AI160-$AK160,MAX(0,IF($AL160="B",IF($AX160&lt;Setup!$C$32,($AX160*Setup!$D$32)-$AI160-$AK160,(($AX160-VLOOKUP($AX160,TaxAll2,1,1))*OFFSET(Setup!$D$32,MATCH($AX160,TaxBracket2,1),0,1,1))+OFFSET(Setup!$E$31,MATCH($AX160,TaxBracket2,1),0,1,1)-$AI160-$AK160),IF($AX160&lt;Setup!$C$21,($AX160*Setup!$D$21)-$AI160-$AK160,(($AX160-VLOOKUP($AX160,TaxAll1,1,1))*OFFSET(Setup!$D$21,MATCH($AX160,TaxBracket1,1),0,1,1))+OFFSET(Setup!$E$20,MATCH($AX160,TaxBracket1,1),0,1,1)-$AI160-$AK160))))</f>
        <v>11091.545454545456</v>
      </c>
      <c r="BB160" s="148">
        <f t="shared" ca="1" si="65"/>
        <v>3348</v>
      </c>
      <c r="BC160" s="150">
        <f t="shared" ca="1" si="75"/>
        <v>0.90710977935167525</v>
      </c>
      <c r="BD160" s="150">
        <f t="shared" ca="1" si="76"/>
        <v>9.2890220648324709E-2</v>
      </c>
      <c r="BE160" s="148">
        <f t="shared" ca="1" si="77"/>
        <v>200236.36363636365</v>
      </c>
    </row>
    <row r="161" spans="1:57" ht="16.149999999999999" customHeight="1" x14ac:dyDescent="0.25">
      <c r="A161" s="10" t="str" cm="1">
        <f t="array" aca="1" ref="A161" ca="1">IF(ROW($A161)-ROW($A$6)&gt;EmpCount*12,"-",TEXT($B161,"yyyy")&amp;TEXT($B161,"mm")&amp;"-"&amp;$C161)</f>
        <v>202401-EXS005</v>
      </c>
      <c r="B161" s="137" cm="1">
        <f t="array" aca="1" ref="B161" ca="1">IF(ROW($A161)-ROW($A$6)&gt;EmpCount*12,Setup!$D$12,DATE(YEAR(Setup!$F$12),MONTH(Setup!$F$12)+ROUNDDOWN((ROW($A161)-ROW($A$6)-1)/EmpCount,0),IF(Setup!$C$14&gt;DAY(DATE(YEAR(Setup!$F$12),MONTH(Setup!$F$12)+ROUNDDOWN((ROW($A161)-ROW($A$6)-1)/EmpCount,0)+1,0)),DAY(DATE(YEAR(Setup!$F$12),MONTH(Setup!$F$12)+ROUNDDOWN((ROW($A161)-ROW($A$6)-1)/EmpCount,0)+1,0)),Setup!$C$14)))</f>
        <v>45316</v>
      </c>
      <c r="C161" s="101" t="str" cm="1">
        <f t="array" aca="1" ref="C161" ca="1">IF(ROW($A161)-ROW($A$6)&gt;EmpCount*12,"-",OFFSET(Emp!$A$4,ROW($A161)-ROW($A$6)-IF(ROW($A161)-ROW($A$6)&gt;EmpCount,ROUNDDOWN((ROW($A161)-ROW($A$6)-1)/EmpCount,0)*EmpCount,0),0,1,1))</f>
        <v>EXS005</v>
      </c>
      <c r="D161" s="10" t="str">
        <f ca="1">IF(ISNA(VLOOKUP($C161,EmpAll,COLUMN(Emp!$B$4),0)),"-",VLOOKUP($C161,EmpAll,COLUMN(Emp!$B$4),0))</f>
        <v>Miller R</v>
      </c>
      <c r="E161" s="145" t="str">
        <f ca="1">IF(ISNA(VLOOKUP($C161,EmpAll,COLUMN(Emp!$C$4),0)),"-",VLOOKUP($C161,EmpAll,COLUMN(Emp!$C$4),0))</f>
        <v>S</v>
      </c>
      <c r="F161" s="101" t="str">
        <f ca="1">IF(ISNA(VLOOKUP($C161,EmpAll,COLUMN(Emp!$A$4),0)),"-",IF(AND(VLOOKUP($C161,EmpAll,COLUMN(Emp!$E$4),0)&lt;&gt;0,VLOOKUP($C161,EmpAll,COLUMN(Emp!$E$4),0)&gt;=DATE(YEAR($AC161),MONTH($AC161)+1,0)),"Inactive",IF(AND(VLOOKUP($C161,EmpAll,COLUMN(Emp!$F$4),0)&lt;&gt;0,VLOOKUP($C161,EmpAll,COLUMN(Emp!$F$4),0)&lt;=DATE(YEAR($AC161),MONTH($AC161),0)),"Terminated","Active")))</f>
        <v>Terminated</v>
      </c>
      <c r="G161" s="133" cm="1">
        <f t="array" aca="1" ref="G161" ca="1">IF($F161&lt;&gt;"Active",0,IF(COUNTIFS(OverEmp,$C161,OverEarn,G$2,OverDate,"&lt;"&amp;DATE(YEAR($AC161),MONTH($AC161)+1,1),OverEnd,"&gt;="&amp;DATE(YEAR($AC161),MONTH($AC161),1))&gt;0,SUMIFS(OverValue,OverEmp,$C161,OverEarn,G$2,OverDate,"&lt;"&amp;DATE(YEAR($AC161),MONTH($AC161)+1,1),OverEnd,"&gt;="&amp;DATE(YEAR($AC161),MONTH($AC161),1)),IF(AND($AC161&gt;=Setup!$E$10,SUMIFS(EmpIncrease,EmpCode,$C161)&gt;0),SUMIFS(EmpIncrease,EmpCode,$C161),SUMIFS(EmpSalary,EmpCode,$C161))))</f>
        <v>0</v>
      </c>
      <c r="H161" s="133" cm="1">
        <f t="array" aca="1" ref="H161" ca="1">IF($F161&lt;&gt;"Active",0,IF(COUNTIFS(OverEmp,$C161,OverEarn,H$2,OverDate,"&lt;"&amp;DATE(YEAR($AC161),MONTH($AC161)+1,1),OverEnd,"&gt;="&amp;DATE(YEAR($AC161),MONTH($AC161),1))&gt;0,SUMIFS(OverValue,OverEmp,$C161,OverEarn,H$2,OverDate,"&lt;"&amp;DATE(YEAR($AC161),MONTH($AC161)+1,1),OverEnd,"&gt;="&amp;DATE(YEAR($AC161),MONTH($AC161),1)),0))</f>
        <v>0</v>
      </c>
      <c r="I161" s="133" cm="1">
        <f t="array" aca="1" ref="I161" ca="1">IF($F161&lt;&gt;"Active",0,IF(COUNTIFS(OverEmp,$C161,OverEarn,I$2,OverDate,"&lt;"&amp;DATE(YEAR($AC161),MONTH($AC161)+1,1),OverEnd,"&gt;="&amp;DATE(YEAR($AC161),MONTH($AC161),1))&gt;0,SUMIFS(OverValue,OverEmp,$C161,OverEarn,I$2,OverDate,"&lt;"&amp;DATE(YEAR($AC161),MONTH($AC161)+1,1),OverEnd,"&gt;="&amp;DATE(YEAR($AC161),MONTH($AC161),1)),IF(MONTH(B161)=Setup!$C$15,SUMIFS(EmpBonus,EmpCode,$C161),0)))</f>
        <v>0</v>
      </c>
      <c r="J161" s="133" cm="1">
        <f t="array" aca="1" ref="J161" ca="1">IF($F161&lt;&gt;"Active",0,IF(COUNTIFS(OverEmp,$C161,OverEarn,J$2,OverDate,"&lt;"&amp;DATE(YEAR($AC161),MONTH($AC161)+1,1),OverEnd,"&gt;="&amp;DATE(YEAR($AC161),MONTH($AC161),1))&gt;0,SUMIFS(OverValue,OverEmp,$C161,OverEarn,J$2,OverDate,"&lt;"&amp;DATE(YEAR($AC161),MONTH($AC161)+1,1),OverEnd,"&gt;="&amp;DATE(YEAR($AC161),MONTH($AC161),1)),0))</f>
        <v>0</v>
      </c>
      <c r="K161" s="133" cm="1">
        <f t="array" aca="1" ref="K161" ca="1">IF($F161&lt;&gt;"Active",0,IF(COUNTIFS(OverEmp,$C161,OverEarn,K$2,OverDate,"&lt;"&amp;DATE(YEAR($AC161),MONTH($AC161)+1,1),OverEnd,"&gt;="&amp;DATE(YEAR($AC161),MONTH($AC161),1))&gt;0,SUMIFS(OverValue,OverEmp,$C161,OverEarn,K$2,OverDate,"&lt;"&amp;DATE(YEAR($AC161),MONTH($AC161)+1,1),OverEnd,"&gt;="&amp;DATE(YEAR($AC161),MONTH($AC161),1)),0))</f>
        <v>0</v>
      </c>
      <c r="L161" s="185">
        <f t="shared" ca="1" si="66"/>
        <v>0</v>
      </c>
      <c r="M161" s="182" cm="1">
        <f t="array" aca="1" ref="M161" ca="1">IF(COUNTIFS(OverEmp,$C161,OverTax,M$5,OverDate,"&lt;"&amp;DATE(YEAR($AC161),MONTH($AC161)+1,1),OverEnd,"&gt;="&amp;DATE(YEAR($AC161),MONTH($AC161),1))&gt;0,SUMIFS(OverValue,OverEmp,$C161,OverTax,M$5,OverDate,"&lt;"&amp;DATE(YEAR($AC161),MONTH($AC161)+1,1),OverEnd,"&gt;="&amp;DATE(YEAR($AC161),MONTH($AC161),1)),(($BA161/12*$AA161)+(BB161*IF(1-$BC161=0,0,BD161/(1-$BC161))))-IF($F161="Terminated",0,SUMIFS(PayTaxDeduct,PayDate,"&lt;"&amp;$AC161,PayEmp,$C161)))</f>
        <v>0</v>
      </c>
      <c r="N161" s="133" cm="1">
        <f t="array" aca="1" ref="N161" ca="1">IF($F161="Terminated",0,IF($AA161=0,0,IF(ISNA(MATCH(N$5,DedListItem,0)),0,IF(COUNTIFS(OverEmp,$C161,OverDeduct,N$5,OverDate,"&lt;"&amp;DATE(YEAR($AC161),MONTH($AC161)+1,1),OverEnd,"&gt;="&amp;DATE(YEAR($AC161),MONTH($AC161),1))&gt;0,SUMIFS(OverValue,OverEmp,$C161,OverDeduct,N$5,OverDate,"&lt;"&amp;DATE(YEAR($AC161),MONTH($AC161)+1,1),OverEnd,"&gt;="&amp;DATE(YEAR($AC161),MONTH($AC161),1)),IF(OR(N$2="Fixed",N$2="Not Used"),(IF(COUNTIFS(EmpNo,$C161,OFFSET(Emp!$R$4,1,MATCH(N$5,DedListItem,0)-1,EmpCount,1),"&lt;&gt;")&gt;0,VLOOKUP($C161,EmpAll,COLUMN(Emp!$R$4)+MATCH(N$5,DedListItem,0)-1,0),OFFSET(Setup!$E$73,MATCH(N$5,DedListItem,0),0,1,1))*$AA161)-SUMIFS(OFFSET(N$6,1,0,PayCount,1),PayDate,"&lt;"&amp;$AC161,PayEmp,$C161),IF(ISNA(MATCH(N$2,EarnListItem,0))=FALSE,IF(OFFSET(Setup!$G$73,MATCH(N$5,DedListItem,0),0,1,1)="Taxable",SUMPRODUCT((PayEmp=$C161)*(PayDate&lt;=$AC161)*(PayEarnCode=N$2)*(PayEarnTax)*(PayEarnValues)),SUMPRODUCT((PayEmp=$C161)*(PayDate&lt;=$AC161)*(PayEarnCode=N$2)*(PayEarnValues)))*IF(COUNTIFS(EmpNo,$C161,OFFSET(Emp!$R$4,1,MATCH(N$5,DedListItem,0)-1,EmpCount,1),"&lt;&gt;")&gt;0,VLOOKUP($C161,EmpAll,COLUMN(Emp!$R$4)+MATCH(N$5,DedListItem,0)-1,0),OFFSET(Setup!$E$73,MATCH(N$5,DedListItem,0),0,1,1)),(MIN(IF(OFFSET(Setup!$G$73,MATCH(N$5,DedListItem,0),0,1,1)="Taxable",SUMPRODUCT((PayEmp=$C161)*(PayDate&lt;=$AC161)*(ISERROR(SEARCH(PayEarnCode,N$4)))*(PayEarnTax)*(PayEarnValues)),SUMPRODUCT((PayEmp=$C161)*(PayDate&lt;=$AC161)*(ISERROR(SEARCH(PayEarnCode,N$4)))*(PayEarnValues))),IF(ISNUMBER(N$3),N$3/12*$AA161,IgnoreMin)))*IF(COUNTIFS(EmpNo,$C161,OFFSET(Emp!$R$4,1,MATCH(N$5,DedListItem,0)-1,EmpCount,1),"&lt;&gt;")&gt;0,VLOOKUP($C161,EmpAll,COLUMN(Emp!$R$4)+MATCH(N$5,DedListItem,0)-1,0),OFFSET(Setup!$E$73,MATCH(N$5,DedListItem,0),0,1,1)))-SUMIFS(OFFSET(N$6,1,0,PayCount,1),PayDate,"&lt;"&amp;$AC161,PayEmp,$C161))))))</f>
        <v>0</v>
      </c>
      <c r="O161" s="133" cm="1">
        <f t="array" aca="1" ref="O161" ca="1">IF($F161="Terminated",0,IF($AA161=0,0,IF(ISNA(MATCH(O$5,DedListItem,0)),0,IF(COUNTIFS(OverEmp,$C161,OverDeduct,O$5,OverDate,"&lt;"&amp;DATE(YEAR($AC161),MONTH($AC161)+1,1),OverEnd,"&gt;="&amp;DATE(YEAR($AC161),MONTH($AC161),1))&gt;0,SUMIFS(OverValue,OverEmp,$C161,OverDeduct,O$5,OverDate,"&lt;"&amp;DATE(YEAR($AC161),MONTH($AC161)+1,1),OverEnd,"&gt;="&amp;DATE(YEAR($AC161),MONTH($AC161),1)),IF(OR(O$2="Fixed",O$2="Not Used"),(IF(COUNTIFS(EmpNo,$C161,OFFSET(Emp!$R$4,1,MATCH(O$5,DedListItem,0)-1,EmpCount,1),"&lt;&gt;")&gt;0,VLOOKUP($C161,EmpAll,COLUMN(Emp!$R$4)+MATCH(O$5,DedListItem,0)-1,0),OFFSET(Setup!$E$73,MATCH(O$5,DedListItem,0),0,1,1))*$AA161)-SUMIFS(OFFSET(O$6,1,0,PayCount,1),PayDate,"&lt;"&amp;$AC161,PayEmp,$C161),IF(ISNA(MATCH(O$2,EarnListItem,0))=FALSE,IF(OFFSET(Setup!$G$73,MATCH(O$5,DedListItem,0),0,1,1)="Taxable",SUMPRODUCT((PayEmp=$C161)*(PayDate&lt;=$AC161)*(PayEarnCode=O$2)*(PayEarnTax)*(PayEarnValues)),SUMPRODUCT((PayEmp=$C161)*(PayDate&lt;=$AC161)*(PayEarnCode=O$2)*(PayEarnValues)))*IF(COUNTIFS(EmpNo,$C161,OFFSET(Emp!$R$4,1,MATCH(O$5,DedListItem,0)-1,EmpCount,1),"&lt;&gt;")&gt;0,VLOOKUP($C161,EmpAll,COLUMN(Emp!$R$4)+MATCH(O$5,DedListItem,0)-1,0),OFFSET(Setup!$E$73,MATCH(O$5,DedListItem,0),0,1,1)),(MIN(IF(OFFSET(Setup!$G$73,MATCH(O$5,DedListItem,0),0,1,1)="Taxable",SUMPRODUCT((PayEmp=$C161)*(PayDate&lt;=$AC161)*(ISERROR(SEARCH(PayEarnCode,O$4)))*(PayEarnTax)*(PayEarnValues)),SUMPRODUCT((PayEmp=$C161)*(PayDate&lt;=$AC161)*(ISERROR(SEARCH(PayEarnCode,O$4)))*(PayEarnValues))),IF(ISNUMBER(O$3),O$3/12*$AA161,IgnoreMin)))*IF(COUNTIFS(EmpNo,$C161,OFFSET(Emp!$R$4,1,MATCH(O$5,DedListItem,0)-1,EmpCount,1),"&lt;&gt;")&gt;0,VLOOKUP($C161,EmpAll,COLUMN(Emp!$R$4)+MATCH(O$5,DedListItem,0)-1,0),OFFSET(Setup!$E$73,MATCH(O$5,DedListItem,0),0,1,1)))-SUMIFS(OFFSET(O$6,1,0,PayCount,1),PayDate,"&lt;"&amp;$AC161,PayEmp,$C161))))))</f>
        <v>0</v>
      </c>
      <c r="P161" s="133" cm="1">
        <f t="array" aca="1" ref="P161" ca="1">IF($F161="Terminated",0,IF($AA161=0,0,IF(ISNA(MATCH(P$5,DedListItem,0)),0,IF(COUNTIFS(OverEmp,$C161,OverDeduct,P$5,OverDate,"&lt;"&amp;DATE(YEAR($AC161),MONTH($AC161)+1,1),OverEnd,"&gt;="&amp;DATE(YEAR($AC161),MONTH($AC161),1))&gt;0,SUMIFS(OverValue,OverEmp,$C161,OverDeduct,P$5,OverDate,"&lt;"&amp;DATE(YEAR($AC161),MONTH($AC161)+1,1),OverEnd,"&gt;="&amp;DATE(YEAR($AC161),MONTH($AC161),1)),IF(OR(P$2="Fixed",P$2="Not Used"),(IF(COUNTIFS(EmpNo,$C161,OFFSET(Emp!$R$4,1,MATCH(P$5,DedListItem,0)-1,EmpCount,1),"&lt;&gt;")&gt;0,VLOOKUP($C161,EmpAll,COLUMN(Emp!$R$4)+MATCH(P$5,DedListItem,0)-1,0),OFFSET(Setup!$E$73,MATCH(P$5,DedListItem,0),0,1,1))*$AA161)-SUMIFS(OFFSET(P$6,1,0,PayCount,1),PayDate,"&lt;"&amp;$AC161,PayEmp,$C161),IF(ISNA(MATCH(P$2,EarnListItem,0))=FALSE,IF(OFFSET(Setup!$G$73,MATCH(P$5,DedListItem,0),0,1,1)="Taxable",SUMPRODUCT((PayEmp=$C161)*(PayDate&lt;=$AC161)*(PayEarnCode=P$2)*(PayEarnTax)*(PayEarnValues)),SUMPRODUCT((PayEmp=$C161)*(PayDate&lt;=$AC161)*(PayEarnCode=P$2)*(PayEarnValues)))*IF(COUNTIFS(EmpNo,$C161,OFFSET(Emp!$R$4,1,MATCH(P$5,DedListItem,0)-1,EmpCount,1),"&lt;&gt;")&gt;0,VLOOKUP($C161,EmpAll,COLUMN(Emp!$R$4)+MATCH(P$5,DedListItem,0)-1,0),OFFSET(Setup!$E$73,MATCH(P$5,DedListItem,0),0,1,1)),(MIN(IF(OFFSET(Setup!$G$73,MATCH(P$5,DedListItem,0),0,1,1)="Taxable",SUMPRODUCT((PayEmp=$C161)*(PayDate&lt;=$AC161)*(ISERROR(SEARCH(PayEarnCode,P$4)))*(PayEarnTax)*(PayEarnValues)),SUMPRODUCT((PayEmp=$C161)*(PayDate&lt;=$AC161)*(ISERROR(SEARCH(PayEarnCode,P$4)))*(PayEarnValues))),IF(ISNUMBER(P$3),P$3/12*$AA161,IgnoreMin)))*IF(COUNTIFS(EmpNo,$C161,OFFSET(Emp!$R$4,1,MATCH(P$5,DedListItem,0)-1,EmpCount,1),"&lt;&gt;")&gt;0,VLOOKUP($C161,EmpAll,COLUMN(Emp!$R$4)+MATCH(P$5,DedListItem,0)-1,0),OFFSET(Setup!$E$73,MATCH(P$5,DedListItem,0),0,1,1)))-SUMIFS(OFFSET(P$6,1,0,PayCount,1),PayDate,"&lt;"&amp;$AC161,PayEmp,$C161))))))</f>
        <v>0</v>
      </c>
      <c r="Q161" s="133" cm="1">
        <f t="array" aca="1" ref="Q161" ca="1">IF($F161="Terminated",0,IF($AA161=0,0,IF(ISNA(MATCH(Q$5,DedListItem,0)),0,IF(COUNTIFS(OverEmp,$C161,OverDeduct,Q$5,OverDate,"&lt;"&amp;DATE(YEAR($AC161),MONTH($AC161)+1,1),OverEnd,"&gt;="&amp;DATE(YEAR($AC161),MONTH($AC161),1))&gt;0,SUMIFS(OverValue,OverEmp,$C161,OverDeduct,Q$5,OverDate,"&lt;"&amp;DATE(YEAR($AC161),MONTH($AC161)+1,1),OverEnd,"&gt;="&amp;DATE(YEAR($AC161),MONTH($AC161),1)),IF(OR(Q$2="Fixed",Q$2="Not Used"),(IF(COUNTIFS(EmpNo,$C161,OFFSET(Emp!$R$4,1,MATCH(Q$5,DedListItem,0)-1,EmpCount,1),"&lt;&gt;")&gt;0,VLOOKUP($C161,EmpAll,COLUMN(Emp!$R$4)+MATCH(Q$5,DedListItem,0)-1,0),OFFSET(Setup!$E$73,MATCH(Q$5,DedListItem,0),0,1,1))*$AA161)-SUMIFS(OFFSET(Q$6,1,0,PayCount,1),PayDate,"&lt;"&amp;$AC161,PayEmp,$C161),IF(ISNA(MATCH(Q$2,EarnListItem,0))=FALSE,IF(OFFSET(Setup!$G$73,MATCH(Q$5,DedListItem,0),0,1,1)="Taxable",SUMPRODUCT((PayEmp=$C161)*(PayDate&lt;=$AC161)*(PayEarnCode=Q$2)*(PayEarnTax)*(PayEarnValues)),SUMPRODUCT((PayEmp=$C161)*(PayDate&lt;=$AC161)*(PayEarnCode=Q$2)*(PayEarnValues)))*IF(COUNTIFS(EmpNo,$C161,OFFSET(Emp!$R$4,1,MATCH(Q$5,DedListItem,0)-1,EmpCount,1),"&lt;&gt;")&gt;0,VLOOKUP($C161,EmpAll,COLUMN(Emp!$R$4)+MATCH(Q$5,DedListItem,0)-1,0),OFFSET(Setup!$E$73,MATCH(Q$5,DedListItem,0),0,1,1)),(MIN(IF(OFFSET(Setup!$G$73,MATCH(Q$5,DedListItem,0),0,1,1)="Taxable",SUMPRODUCT((PayEmp=$C161)*(PayDate&lt;=$AC161)*(ISERROR(SEARCH(PayEarnCode,Q$4)))*(PayEarnTax)*(PayEarnValues)),SUMPRODUCT((PayEmp=$C161)*(PayDate&lt;=$AC161)*(ISERROR(SEARCH(PayEarnCode,Q$4)))*(PayEarnValues))),IF(ISNUMBER(Q$3),Q$3/12*$AA161,IgnoreMin)))*IF(COUNTIFS(EmpNo,$C161,OFFSET(Emp!$R$4,1,MATCH(Q$5,DedListItem,0)-1,EmpCount,1),"&lt;&gt;")&gt;0,VLOOKUP($C161,EmpAll,COLUMN(Emp!$R$4)+MATCH(Q$5,DedListItem,0)-1,0),OFFSET(Setup!$E$73,MATCH(Q$5,DedListItem,0),0,1,1)))-SUMIFS(OFFSET(Q$6,1,0,PayCount,1),PayDate,"&lt;"&amp;$AC161,PayEmp,$C161))))))</f>
        <v>0</v>
      </c>
      <c r="R161" s="185">
        <f t="shared" ca="1" si="67"/>
        <v>0</v>
      </c>
      <c r="S161" s="139">
        <f t="shared" ca="1" si="68"/>
        <v>0</v>
      </c>
      <c r="T161" s="133" cm="1">
        <f t="array" aca="1" ref="T161" ca="1">IF($F161="Terminated",0,IF($AA161=0,0,IF(ISNA(MATCH(T$5,CompListItem,0)),0,IF(COUNTIFS(OverEmp,$C161,OverComp,T$5,OverDate,"&lt;"&amp;DATE(YEAR($AC161),MONTH($AC161)+1,1),OverEnd,"&gt;="&amp;DATE(YEAR($AC161),MONTH($AC161),1))&gt;0,SUMIFS(OverValue,OverEmp,$C161,OverComp,T$5,OverDate,"&lt;"&amp;DATE(YEAR($AC161),MONTH($AC161)+1,1),OverEnd,"&gt;="&amp;DATE(YEAR($AC161),MONTH($AC161),1)),IF(OR(T$2="Fixed",T$2="Not Used"),(OFFSET(Setup!$E$81,MATCH(T$5,CompListItem,0),0,1,1)*$AA161)-SUMIFS(OFFSET(T$6,1,0,PayCount,1),PayDate,"&lt;"&amp;$AC161,PayEmp,$C161),IF(ISNA(MATCH(T$2,DedListItem,0))=FALSE,(SUMPRODUCT((PayEmp=$C161)*(PayDate&lt;=$AC161)*(PayDedList=T$2)*(PayDedValues))*OFFSET(Setup!$E$81,MATCH(T$5,CompListItem,0),0,1,1))-SUMIFS(OFFSET(T$6,1,0,PayCount,1),PayDate,"&lt;"&amp;$AC161,PayEmp,$C161),(MIN(IF(OFFSET(Setup!$G$81,MATCH(T$5,CompListItem,0),0,1,1)="Taxable",SUMPRODUCT((PayEmp=$C161)*(PayDate&lt;=$AC161)*(ISERROR(SEARCH(PayEarnCode,T$4)))*(PayEarnTax)*(PayEarnValues)),SUMPRODUCT((PayEmp=$C161)*(PayDate&lt;=$AC161)*(ISERROR(SEARCH(PayEarnCode,T$4)))*(PayEarnValues))),IF(ISNUMBER(T$3),T$3/12*$AA161,IgnoreMin)))*OFFSET(Setup!$E$81,MATCH(T$5,CompListItem,0),0,1,1)-SUMIFS(OFFSET(T$6,1,0,PayCount,1),PayDate,"&lt;"&amp;$AC161,PayEmp,$C161)))))))</f>
        <v>0</v>
      </c>
      <c r="U161" s="133" cm="1">
        <f t="array" aca="1" ref="U161" ca="1">IF($F161="Terminated",0,IF($AA161=0,0,IF(ISNA(MATCH(U$5,CompListItem,0)),0,IF(COUNTIFS(OverEmp,$C161,OverComp,U$5,OverDate,"&lt;"&amp;DATE(YEAR($AC161),MONTH($AC161)+1,1),OverEnd,"&gt;="&amp;DATE(YEAR($AC161),MONTH($AC161),1))&gt;0,SUMIFS(OverValue,OverEmp,$C161,OverComp,U$5,OverDate,"&lt;"&amp;DATE(YEAR($AC161),MONTH($AC161)+1,1),OverEnd,"&gt;="&amp;DATE(YEAR($AC161),MONTH($AC161),1)),IF(OR(U$2="Fixed",U$2="Not Used"),(OFFSET(Setup!$E$81,MATCH(U$5,CompListItem,0),0,1,1)*$AA161)-SUMIFS(OFFSET(U$6,1,0,PayCount,1),PayDate,"&lt;"&amp;$AC161,PayEmp,$C161),IF(ISNA(MATCH(U$2,DedListItem,0))=FALSE,(SUMPRODUCT((PayEmp=$C161)*(PayDate&lt;=$AC161)*(PayDedList=U$2)*(PayDedValues))*OFFSET(Setup!$E$81,MATCH(U$5,CompListItem,0),0,1,1))-SUMIFS(OFFSET(U$6,1,0,PayCount,1),PayDate,"&lt;"&amp;$AC161,PayEmp,$C161),(MIN(IF(OFFSET(Setup!$G$81,MATCH(U$5,CompListItem,0),0,1,1)="Taxable",SUMPRODUCT((PayEmp=$C161)*(PayDate&lt;=$AC161)*(ISERROR(SEARCH(PayEarnCode,U$4)))*(PayEarnTax)*(PayEarnValues)),SUMPRODUCT((PayEmp=$C161)*(PayDate&lt;=$AC161)*(ISERROR(SEARCH(PayEarnCode,U$4)))*(PayEarnValues))),IF(ISNUMBER(U$3),U$3/12*$AA161,IgnoreMin)))*OFFSET(Setup!$E$81,MATCH(U$5,CompListItem,0),0,1,1)-SUMIFS(OFFSET(U$6,1,0,PayCount,1),PayDate,"&lt;"&amp;$AC161,PayEmp,$C161)))))))</f>
        <v>0</v>
      </c>
      <c r="V161" s="133" cm="1">
        <f t="array" aca="1" ref="V161" ca="1">IF($F161="Terminated",0,IF($AA161=0,0,IF(ISNA(MATCH(V$5,CompListItem,0)),0,IF(COUNTIFS(OverEmp,$C161,OverComp,V$5,OverDate,"&lt;"&amp;DATE(YEAR($AC161),MONTH($AC161)+1,1),OverEnd,"&gt;="&amp;DATE(YEAR($AC161),MONTH($AC161),1))&gt;0,SUMIFS(OverValue,OverEmp,$C161,OverComp,V$5,OverDate,"&lt;"&amp;DATE(YEAR($AC161),MONTH($AC161)+1,1),OverEnd,"&gt;="&amp;DATE(YEAR($AC161),MONTH($AC161),1)),IF(OR(V$2="Fixed",V$2="Not Used"),(OFFSET(Setup!$E$81,MATCH(V$5,CompListItem,0),0,1,1)*$AA161)-SUMIFS(OFFSET(V$6,1,0,PayCount,1),PayDate,"&lt;"&amp;$AC161,PayEmp,$C161),IF(ISNA(MATCH(V$2,DedListItem,0))=FALSE,(SUMPRODUCT((PayEmp=$C161)*(PayDate&lt;=$AC161)*(PayDedList=V$2)*(PayDedValues))*OFFSET(Setup!$E$81,MATCH(V$5,CompListItem,0),0,1,1))-SUMIFS(OFFSET(V$6,1,0,PayCount,1),PayDate,"&lt;"&amp;$AC161,PayEmp,$C161),(MIN(IF(OFFSET(Setup!$G$81,MATCH(V$5,CompListItem,0),0,1,1)="Taxable",SUMPRODUCT((PayEmp=$C161)*(PayDate&lt;=$AC161)*(ISERROR(SEARCH(PayEarnCode,V$4)))*(PayEarnTax)*(PayEarnValues)),SUMPRODUCT((PayEmp=$C161)*(PayDate&lt;=$AC161)*(ISERROR(SEARCH(PayEarnCode,V$4)))*(PayEarnValues))),IF(ISNUMBER(V$3),V$3/12*$AA161,IgnoreMin)))*OFFSET(Setup!$E$81,MATCH(V$5,CompListItem,0),0,1,1)-SUMIFS(OFFSET(V$6,1,0,PayCount,1),PayDate,"&lt;"&amp;$AC161,PayEmp,$C161)))))))</f>
        <v>0</v>
      </c>
      <c r="W161" s="133" cm="1">
        <f t="array" aca="1" ref="W161" ca="1">IF($F161="Terminated",0,IF($AA161=0,0,IF(ISNA(MATCH(W$5,CompListItem,0)),0,IF(COUNTIFS(OverEmp,$C161,OverComp,W$5,OverDate,"&lt;"&amp;DATE(YEAR($AC161),MONTH($AC161)+1,1),OverEnd,"&gt;="&amp;DATE(YEAR($AC161),MONTH($AC161),1))&gt;0,SUMIFS(OverValue,OverEmp,$C161,OverComp,W$5,OverDate,"&lt;"&amp;DATE(YEAR($AC161),MONTH($AC161)+1,1),OverEnd,"&gt;="&amp;DATE(YEAR($AC161),MONTH($AC161),1)),IF(OR(W$2="Fixed",W$2="Not Used"),(OFFSET(Setup!$E$81,MATCH(W$5,CompListItem,0),0,1,1)*$AA161)-SUMIFS(OFFSET(W$6,1,0,PayCount,1),PayDate,"&lt;"&amp;$AC161,PayEmp,$C161),IF(ISNA(MATCH(W$2,DedListItem,0))=FALSE,(SUMPRODUCT((PayEmp=$C161)*(PayDate&lt;=$AC161)*(PayDedList=W$2)*(PayDedValues))*OFFSET(Setup!$E$81,MATCH(W$5,CompListItem,0),0,1,1))-SUMIFS(OFFSET(W$6,1,0,PayCount,1),PayDate,"&lt;"&amp;$AC161,PayEmp,$C161),(MIN(IF(OFFSET(Setup!$G$81,MATCH(W$5,CompListItem,0),0,1,1)="Taxable",SUMPRODUCT((PayEmp=$C161)*(PayDate&lt;=$AC161)*(ISERROR(SEARCH(PayEarnCode,W$4)))*(PayEarnTax)*(PayEarnValues)),SUMPRODUCT((PayEmp=$C161)*(PayDate&lt;=$AC161)*(ISERROR(SEARCH(PayEarnCode,W$4)))*(PayEarnValues))),IF(ISNUMBER(W$3),W$3/12*$AA161,IgnoreMin)))*OFFSET(Setup!$E$81,MATCH(W$5,CompListItem,0),0,1,1)-SUMIFS(OFFSET(W$6,1,0,PayCount,1),PayDate,"&lt;"&amp;$AC161,PayEmp,$C161)))))))</f>
        <v>0</v>
      </c>
      <c r="X161" s="185">
        <f t="shared" ref="X161:X243" ca="1" si="78">SUM(OFFSET($T161,0,0,1,COLUMN($X$6)-COLUMN($T$7)))</f>
        <v>0</v>
      </c>
      <c r="Y161" s="139">
        <f t="shared" ca="1" si="69"/>
        <v>0</v>
      </c>
      <c r="Z161" s="139">
        <f t="shared" ref="Z161:Z243" ca="1" si="79">ROUND(SUM(R161,X161),2)</f>
        <v>0</v>
      </c>
      <c r="AA161" s="146">
        <f ca="1">IF(OR($B161&lt;=Setup!$E$12,$B161&gt;=Setup!$D$12+1),0,IF($F161&lt;&gt;"Active",0,IF($AE161="Yes",$AB161,((YEAR($AC161)*12)+MONTH($AC161))-((YEAR($AD161)*12)+MONTH($AD161)-1))))</f>
        <v>0</v>
      </c>
      <c r="AB161" s="146">
        <f ca="1">IF(OR($B161&lt;=Setup!$E$12,$B161&gt;=Setup!$D$12+1),0,((YEAR($AC161)*12)+MONTH($AC161))-((YEAR(Setup!$E$12)*12)+MONTH(Setup!$E$12)))</f>
        <v>11</v>
      </c>
      <c r="AC161" s="186">
        <f t="shared" ca="1" si="62"/>
        <v>45316</v>
      </c>
      <c r="AD161" s="144">
        <f ca="1">IF(ISNA(VLOOKUP($C161,EmpAll,COLUMN(Emp!$E$4),0)),$AC161,IF(VLOOKUP($C161,EmpAll,COLUMN(Emp!$E$4),0)&lt;=Setup!$E$12,DATE(YEAR(Setup!$E$12),MONTH(Setup!$E$12)+1,1),VLOOKUP($C161,EmpAll,COLUMN(Emp!$E$4),0)))</f>
        <v>44986</v>
      </c>
      <c r="AE161" s="144" t="str">
        <f ca="1">IF(ISNA(VLOOKUP($C161,EmpAll,COLUMN(Emp!$G$1),0)),"-",IF(VLOOKUP($C161,EmpAll,COLUMN(Emp!$G$1),0)=0,"-",VLOOKUP($C161,EmpAll,COLUMN(Emp!$G$1),0)))</f>
        <v>-</v>
      </c>
      <c r="AF161" s="145">
        <f ca="1">IF(A161=PaySlip!$G$3,1,0)</f>
        <v>0</v>
      </c>
      <c r="AG161" s="130" cm="1">
        <f t="array" aca="1" ref="AG161" ca="1">IF(COUNTIFS(OverEmp,$C161,OverMed,"MED",OverDate,"&lt;"&amp;DATE(YEAR($AC161),MONTH($AC161)+1,1),OverEnd,"&gt;="&amp;DATE(YEAR($AC161),MONTH($AC161),1))&gt;0,SUMIFS(OverValue,OverEmp,$C161,OverMed,"MED",OverDate,"&lt;"&amp;DATE(YEAR($AC161),MONTH($AC161)+1,1),OverEnd,"&gt;="&amp;DATE(YEAR($AC161),MONTH($AC161),1)),IF(ISNA(VLOOKUP($C161,EmpAll,COLUMN(Emp!$N$4),0)),0,VLOOKUP($C161,EmpAll,COLUMN(Emp!$N$4),0)))</f>
        <v>1</v>
      </c>
      <c r="AH161" s="146">
        <f ca="1">VLOOKUP($AG161,MedList,COLUMN(Setup!$C$49),1)</f>
        <v>364</v>
      </c>
      <c r="AI161" s="146">
        <f t="shared" ca="1" si="70"/>
        <v>8372</v>
      </c>
      <c r="AJ161" s="101" t="str">
        <f ca="1">IF(ISNA(VLOOKUP($C161,EmpAll,COLUMN(Emp!$L$4),0)),"None!",VLOOKUP($C161,EmpAll,COLUMN(Emp!$L$4),0))</f>
        <v>A</v>
      </c>
      <c r="AK161" s="147">
        <f t="shared" ref="AK161:AK243" ca="1" si="80">IF(ISNA(VLOOKUP($AJ161,RebateList,4,0)),VLOOKUP("A",RebateList,3,0),VLOOKUP($AJ161,RebateList,4,0))</f>
        <v>17235</v>
      </c>
      <c r="AL161" s="101" t="str">
        <f ca="1">IF(ISNA(VLOOKUP($C161,Employees[],COLUMN(Emp!$M$4),0))=TRUE,"Error!",IF(VLOOKUP($C161,Employees[],COLUMN(Emp!$M$4),0)=0,"Yes",VLOOKUP($C161,Employees[],COLUMN(Emp!$M$4),0)))</f>
        <v>A</v>
      </c>
      <c r="AM161" s="148">
        <f t="shared" ca="1" si="71"/>
        <v>0</v>
      </c>
      <c r="AN161" s="148" cm="1">
        <f t="array" aca="1" ref="AN161" ca="1">-IF($F161="Terminated",0,IF($AA161=0,0,IF(ISNA(MATCH(AN$5,PayDedList,0)),0,MIN(IF(COUNTIFS(OverEmp,$C161,OverDeduct,AN$5,OverDate,"&lt;"&amp;DATE(YEAR($AC161),MONTH($AC161)+1,1),OverEnd,"&gt;="&amp;DATE(YEAR($AC161),MONTH($AC161),1))&gt;0,SUMPRODUCT((PayEmp=$C161)*(PayDate&lt;=$AC161)*(OFFSET($N$6,1,MATCH(AN$5,PayDedList,0)-1,PayCount,1)))/$AA161*12*AN$3,IF(OR(AN$1="Fixed",AN$1="Not Used"),SUMPRODUCT((PayEmp=$C161)*(PayDate&lt;=$AC161)*(OFFSET($N$6,1,MATCH(AN$5,PayDedList,0)-1,PayCount,1)))/$AA161*12*AN$3,IF(ISNA(MATCH(AN$1,EarnListItem,0))=FALSE,SUMPRODUCT((PayEmp=$C161)*(PayDate&lt;=$AC161)*(OFFSET($N$6,1,MATCH(AN$5,PayDedList,0)-1,PayCount,1)))/$AA161*12*AN$3,(MIN(((SUMPRODUCT((PayEmp=$C161)*(PayDate&lt;=$AC161)*(ISERROR(SEARCH(PayEarnCode,AN$2)))*(PayEarnType="Monthly")*(PayEarnValues))/$AA161*12)+(SUMPRODUCT((PayEmp=$C161)*(PayDate&lt;=$AC161)*(ISERROR(SEARCH(PayEarnCode,AN$2)))*(PayEarnType="Quarterly")*(PayEarnValues))/MAX(1,ROUNDDOWN($AB161/3,0))*4)+(SUMPRODUCT((PayEmp=$C161)*(PayDate&lt;=$AC161)*(ISERROR(SEARCH(PayEarnCode,AN$2)))*(PayEarnType="Bi-Annual")*(PayEarnValues))/MAX(1,ROUNDDOWN($AB161/6,0))*2)+(SUMPRODUCT((PayEmp=$C161)*(PayDate&lt;=$AC161)*(ISERROR(SEARCH(PayEarnCode,AN$2)))*(PayEarnType="Annual")*(PayEarnValues)))),IF(ISNUMBER(OFFSET($N$3,0,MATCH(AN$5,PayDedList,0)-1,1,1)),OFFSET($N$3,0,MATCH(AN$5,PayDedList,0)-1,1,1),IgnoreMin)))*IF(COUNTIFS(EmpNo,$C161,OFFSET(Emp!$R$4,1,MATCH(AN$5,DedListItem,0)-1,EmpCount,1),"&lt;&gt;")&gt;0,VLOOKUP($C161,EmpAll,COLUMN(Emp!$R$4)+MATCH(AN$5,DedListItem,0)-1,0),OFFSET(Setup!$E$73,MATCH(AN$5,DedListItem,0),0,1,1))*AN$3))),IF(ISNUMBER(AN$4),AN$4,IgnoreMin)))))</f>
        <v>0</v>
      </c>
      <c r="AO161" s="148" cm="1">
        <f t="array" aca="1" ref="AO161" ca="1">-IF($F161="Terminated",0,IF($AA161=0,0,IF(ISNA(MATCH(AO$5,PayDedList,0)),0,MIN(IF(COUNTIFS(OverEmp,$C161,OverDeduct,AO$5,OverDate,"&lt;"&amp;DATE(YEAR($AC161),MONTH($AC161)+1,1),OverEnd,"&gt;="&amp;DATE(YEAR($AC161),MONTH($AC161),1))&gt;0,SUMPRODUCT((PayEmp=$C161)*(PayDate&lt;=$AC161)*(OFFSET($N$6,1,MATCH(AO$5,PayDedList,0)-1,PayCount,1)))/$AA161*12*AO$3,IF(OR(AO$1="Fixed",AO$1="Not Used"),SUMPRODUCT((PayEmp=$C161)*(PayDate&lt;=$AC161)*(OFFSET($N$6,1,MATCH(AO$5,PayDedList,0)-1,PayCount,1)))/$AA161*12*AO$3,IF(ISNA(MATCH(AO$1,EarnListItem,0))=FALSE,SUMPRODUCT((PayEmp=$C161)*(PayDate&lt;=$AC161)*(OFFSET($N$6,1,MATCH(AO$5,PayDedList,0)-1,PayCount,1)))/$AA161*12*AO$3,(MIN(((SUMPRODUCT((PayEmp=$C161)*(PayDate&lt;=$AC161)*(ISERROR(SEARCH(PayEarnCode,AO$2)))*(PayEarnType="Monthly")*(PayEarnValues))/$AA161*12)+(SUMPRODUCT((PayEmp=$C161)*(PayDate&lt;=$AC161)*(ISERROR(SEARCH(PayEarnCode,AO$2)))*(PayEarnType="Quarterly")*(PayEarnValues))/MAX(1,ROUNDDOWN($AB161/3,0))*4)+(SUMPRODUCT((PayEmp=$C161)*(PayDate&lt;=$AC161)*(ISERROR(SEARCH(PayEarnCode,AO$2)))*(PayEarnType="Bi-Annual")*(PayEarnValues))/MAX(1,ROUNDDOWN($AB161/6,0))*2)+(SUMPRODUCT((PayEmp=$C161)*(PayDate&lt;=$AC161)*(ISERROR(SEARCH(PayEarnCode,AO$2)))*(PayEarnType="Annual")*(PayEarnValues)))),IF(ISNUMBER(OFFSET($N$3,0,MATCH(AO$5,PayDedList,0)-1,1,1)),OFFSET($N$3,0,MATCH(AO$5,PayDedList,0)-1,1,1),IgnoreMin)))*IF(COUNTIFS(EmpNo,$C161,OFFSET(Emp!$R$4,1,MATCH(AO$5,DedListItem,0)-1,EmpCount,1),"&lt;&gt;")&gt;0,VLOOKUP($C161,EmpAll,COLUMN(Emp!$R$4)+MATCH(AO$5,DedListItem,0)-1,0),OFFSET(Setup!$E$73,MATCH(AO$5,DedListItem,0),0,1,1))*AO$3))),IF(ISNUMBER(AO$4),AO$4,IgnoreMin)))))</f>
        <v>0</v>
      </c>
      <c r="AP161" s="148" cm="1">
        <f t="array" aca="1" ref="AP161" ca="1">-IF($F161="Terminated",0,IF($AA161=0,0,IF(ISNA(MATCH(AP$5,PayDedList,0)),0,MIN(IF(COUNTIFS(OverEmp,$C161,OverDeduct,AP$5,OverDate,"&lt;"&amp;DATE(YEAR($AC161),MONTH($AC161)+1,1),OverEnd,"&gt;="&amp;DATE(YEAR($AC161),MONTH($AC161),1))&gt;0,SUMPRODUCT((PayEmp=$C161)*(PayDate&lt;=$AC161)*(OFFSET($N$6,1,MATCH(AP$5,PayDedList,0)-1,PayCount,1)))/$AA161*12*AP$3,IF(OR(AP$1="Fixed",AP$1="Not Used"),SUMPRODUCT((PayEmp=$C161)*(PayDate&lt;=$AC161)*(OFFSET($N$6,1,MATCH(AP$5,PayDedList,0)-1,PayCount,1)))/$AA161*12*AP$3,IF(ISNA(MATCH(AP$1,EarnListItem,0))=FALSE,SUMPRODUCT((PayEmp=$C161)*(PayDate&lt;=$AC161)*(OFFSET($N$6,1,MATCH(AP$5,PayDedList,0)-1,PayCount,1)))/$AA161*12*AP$3,(MIN(((SUMPRODUCT((PayEmp=$C161)*(PayDate&lt;=$AC161)*(ISERROR(SEARCH(PayEarnCode,AP$2)))*(PayEarnType="Monthly")*(PayEarnValues))/$AA161*12)+(SUMPRODUCT((PayEmp=$C161)*(PayDate&lt;=$AC161)*(ISERROR(SEARCH(PayEarnCode,AP$2)))*(PayEarnType="Quarterly")*(PayEarnValues))/MAX(1,ROUNDDOWN($AB161/3,0))*4)+(SUMPRODUCT((PayEmp=$C161)*(PayDate&lt;=$AC161)*(ISERROR(SEARCH(PayEarnCode,AP$2)))*(PayEarnType="Bi-Annual")*(PayEarnValues))/MAX(1,ROUNDDOWN($AB161/6,0))*2)+(SUMPRODUCT((PayEmp=$C161)*(PayDate&lt;=$AC161)*(ISERROR(SEARCH(PayEarnCode,AP$2)))*(PayEarnType="Annual")*(PayEarnValues)))),IF(ISNUMBER(OFFSET($N$3,0,MATCH(AP$5,PayDedList,0)-1,1,1)),OFFSET($N$3,0,MATCH(AP$5,PayDedList,0)-1,1,1),IgnoreMin)))*IF(COUNTIFS(EmpNo,$C161,OFFSET(Emp!$R$4,1,MATCH(AP$5,DedListItem,0)-1,EmpCount,1),"&lt;&gt;")&gt;0,VLOOKUP($C161,EmpAll,COLUMN(Emp!$R$4)+MATCH(AP$5,DedListItem,0)-1,0),OFFSET(Setup!$E$73,MATCH(AP$5,DedListItem,0),0,1,1))*AP$3))),IF(ISNUMBER(AP$4),AP$4,IgnoreMin)))))</f>
        <v>0</v>
      </c>
      <c r="AQ161" s="148" cm="1">
        <f t="array" aca="1" ref="AQ161" ca="1">-IF($F161="Terminated",0,IF($AA161=0,0,IF(ISNA(MATCH(AQ$5,PayDedList,0)),0,MIN(IF(COUNTIFS(OverEmp,$C161,OverDeduct,AQ$5,OverDate,"&lt;"&amp;DATE(YEAR($AC161),MONTH($AC161)+1,1),OverEnd,"&gt;="&amp;DATE(YEAR($AC161),MONTH($AC161),1))&gt;0,SUMPRODUCT((PayEmp=$C161)*(PayDate&lt;=$AC161)*(OFFSET($N$6,1,MATCH(AQ$5,PayDedList,0)-1,PayCount,1)))/$AA161*12*AQ$3,IF(OR(AQ$1="Fixed",AQ$1="Not Used"),SUMPRODUCT((PayEmp=$C161)*(PayDate&lt;=$AC161)*(OFFSET($N$6,1,MATCH(AQ$5,PayDedList,0)-1,PayCount,1)))/$AA161*12*AQ$3,IF(ISNA(MATCH(AQ$1,EarnListItem,0))=FALSE,SUMPRODUCT((PayEmp=$C161)*(PayDate&lt;=$AC161)*(OFFSET($N$6,1,MATCH(AQ$5,PayDedList,0)-1,PayCount,1)))/$AA161*12*AQ$3,(MIN(((SUMPRODUCT((PayEmp=$C161)*(PayDate&lt;=$AC161)*(ISERROR(SEARCH(PayEarnCode,AQ$2)))*(PayEarnType="Monthly")*(PayEarnValues))/$AA161*12)+(SUMPRODUCT((PayEmp=$C161)*(PayDate&lt;=$AC161)*(ISERROR(SEARCH(PayEarnCode,AQ$2)))*(PayEarnType="Quarterly")*(PayEarnValues))/MAX(1,ROUNDDOWN($AB161/3,0))*4)+(SUMPRODUCT((PayEmp=$C161)*(PayDate&lt;=$AC161)*(ISERROR(SEARCH(PayEarnCode,AQ$2)))*(PayEarnType="Bi-Annual")*(PayEarnValues))/MAX(1,ROUNDDOWN($AB161/6,0))*2)+(SUMPRODUCT((PayEmp=$C161)*(PayDate&lt;=$AC161)*(ISERROR(SEARCH(PayEarnCode,AQ$2)))*(PayEarnType="Annual")*(PayEarnValues)))),IF(ISNUMBER(OFFSET($N$3,0,MATCH(AQ$5,PayDedList,0)-1,1,1)),OFFSET($N$3,0,MATCH(AQ$5,PayDedList,0)-1,1,1),IgnoreMin)))*IF(COUNTIFS(EmpNo,$C161,OFFSET(Emp!$R$4,1,MATCH(AQ$5,DedListItem,0)-1,EmpCount,1),"&lt;&gt;")&gt;0,VLOOKUP($C161,EmpAll,COLUMN(Emp!$R$4)+MATCH(AQ$5,DedListItem,0)-1,0),OFFSET(Setup!$E$73,MATCH(AQ$5,DedListItem,0),0,1,1))*AQ$3))),IF(ISNUMBER(AQ$4),AQ$4,IgnoreMin)))))</f>
        <v>0</v>
      </c>
      <c r="AR161" s="148">
        <f t="shared" ref="AR161:AR243" ca="1" si="81">$AM161+SUM(OFFSET($AM161,0,1,1,COLUMN($AR$2)-COLUMN($AM$2)-1))</f>
        <v>0</v>
      </c>
      <c r="AS161" s="148">
        <f t="shared" ca="1" si="72"/>
        <v>0</v>
      </c>
      <c r="AT161" s="148" cm="1">
        <f t="array" aca="1" ref="AT161" ca="1">-IF($F161="Terminated",0,IF($AA161=0,0,IF(ISNA(MATCH(AT$5,PayDedList,0)),0,MIN(IF(COUNTIFS(OverEmp,$C161,OverDeduct,AT$5,OverDate,"&lt;"&amp;DATE(YEAR($AC161),MONTH($AC161)+1,1),OverEnd,"&gt;="&amp;DATE(YEAR($AC161),MONTH($AC161),1))&gt;0,SUMPRODUCT((PayEmp=$C161)*(PayDate&lt;=$AC161)*(OFFSET($N$6,1,MATCH(AT$5,PayDedList,0)-1,PayCount,1)))/$AA161*12*AT$3,IF(OR(AT$1="Fixed",AT$1="Not Used"),SUMPRODUCT((PayEmp=$C161)*(PayDate&lt;=$AC161)*(OFFSET($N$6,1,MATCH(AT$5,PayDedList,0)-1,PayCount,1)))/$AA161*12*AT$3,IF(ISNA(MATCH(OFFSET($N$2,0,MATCH(AT$5,PayDedList,0)-1,1,1),EarnListItem,0))=FALSE,SUMPRODUCT((PayEmp=$C161)*(PayDate&lt;=$AC161)*(OFFSET($N$6,1,MATCH(AT$5,PayDedList,0)-1,PayCount,1)))/$AA161*12*AT$3,(MIN(SUMPRODUCT((PayEmp=$C161)*(PayDate&lt;=$AC161)*(ISERROR(SEARCH(PayEarnCode,AT$2)))*(PayEarnType="Monthly")*(PayEarnValues))/$AA161*12,IF(ISNUMBER(OFFSET($N$3,0,MATCH(AT$5,PayDedList,0)-1,1,1)),OFFSET($N$3,0,MATCH(AT$5,PayDedList,0)-1,1,1),IgnoreMin)))*IF(COUNTIFS(EmpNo,$C161,OFFSET(Emp!$R$4,1,MATCH(AT$5,DedListItem,0)-1,EmpCount,1),"&lt;&gt;")&gt;0,VLOOKUP($C161,EmpAll,COLUMN(Emp!$R$4)+MATCH(AT$5,DedListItem,0)-1,0),OFFSET(Setup!$E$73,MATCH(AT$5,DedListItem,0),0,1,1))*AT$3))),IF(ISNUMBER(AT$4),AT$4,IgnoreMin)))))</f>
        <v>0</v>
      </c>
      <c r="AU161" s="148" cm="1">
        <f t="array" aca="1" ref="AU161" ca="1">-IF($F161="Terminated",0,IF($AA161=0,0,IF(ISNA(MATCH(AU$5,PayDedList,0)),0,MIN(IF(COUNTIFS(OverEmp,$C161,OverDeduct,AU$5,OverDate,"&lt;"&amp;DATE(YEAR($AC161),MONTH($AC161)+1,1),OverEnd,"&gt;="&amp;DATE(YEAR($AC161),MONTH($AC161),1))&gt;0,SUMPRODUCT((PayEmp=$C161)*(PayDate&lt;=$AC161)*(OFFSET($N$6,1,MATCH(AU$5,PayDedList,0)-1,PayCount,1)))/$AA161*12*AU$3,IF(OR(AU$1="Fixed",AU$1="Not Used"),SUMPRODUCT((PayEmp=$C161)*(PayDate&lt;=$AC161)*(OFFSET($N$6,1,MATCH(AU$5,PayDedList,0)-1,PayCount,1)))/$AA161*12*AU$3,IF(ISNA(MATCH(OFFSET($N$2,0,MATCH(AU$5,PayDedList,0)-1,1,1),EarnListItem,0))=FALSE,SUMPRODUCT((PayEmp=$C161)*(PayDate&lt;=$AC161)*(OFFSET($N$6,1,MATCH(AU$5,PayDedList,0)-1,PayCount,1)))/$AA161*12*AU$3,(MIN(SUMPRODUCT((PayEmp=$C161)*(PayDate&lt;=$AC161)*(ISERROR(SEARCH(PayEarnCode,AU$2)))*(PayEarnType="Monthly")*(PayEarnValues))/$AA161*12,IF(ISNUMBER(OFFSET($N$3,0,MATCH(AU$5,PayDedList,0)-1,1,1)),OFFSET($N$3,0,MATCH(AU$5,PayDedList,0)-1,1,1),IgnoreMin)))*IF(COUNTIFS(EmpNo,$C161,OFFSET(Emp!$R$4,1,MATCH(AU$5,DedListItem,0)-1,EmpCount,1),"&lt;&gt;")&gt;0,VLOOKUP($C161,EmpAll,COLUMN(Emp!$R$4)+MATCH(AU$5,DedListItem,0)-1,0),OFFSET(Setup!$E$73,MATCH(AU$5,DedListItem,0),0,1,1))*AU$3))),IF(ISNUMBER(AU$4),AU$4,IgnoreMin)))))</f>
        <v>0</v>
      </c>
      <c r="AV161" s="148" cm="1">
        <f t="array" aca="1" ref="AV161" ca="1">-IF($F161="Terminated",0,IF($AA161=0,0,IF(ISNA(MATCH(AV$5,PayDedList,0)),0,MIN(IF(COUNTIFS(OverEmp,$C161,OverDeduct,AV$5,OverDate,"&lt;"&amp;DATE(YEAR($AC161),MONTH($AC161)+1,1),OverEnd,"&gt;="&amp;DATE(YEAR($AC161),MONTH($AC161),1))&gt;0,SUMPRODUCT((PayEmp=$C161)*(PayDate&lt;=$AC161)*(OFFSET($N$6,1,MATCH(AV$5,PayDedList,0)-1,PayCount,1)))/$AA161*12*AV$3,IF(OR(AV$1="Fixed",AV$1="Not Used"),SUMPRODUCT((PayEmp=$C161)*(PayDate&lt;=$AC161)*(OFFSET($N$6,1,MATCH(AV$5,PayDedList,0)-1,PayCount,1)))/$AA161*12*AV$3,IF(ISNA(MATCH(OFFSET($N$2,0,MATCH(AV$5,PayDedList,0)-1,1,1),EarnListItem,0))=FALSE,SUMPRODUCT((PayEmp=$C161)*(PayDate&lt;=$AC161)*(OFFSET($N$6,1,MATCH(AV$5,PayDedList,0)-1,PayCount,1)))/$AA161*12*AV$3,(MIN(SUMPRODUCT((PayEmp=$C161)*(PayDate&lt;=$AC161)*(ISERROR(SEARCH(PayEarnCode,AV$2)))*(PayEarnType="Monthly")*(PayEarnValues))/$AA161*12,IF(ISNUMBER(OFFSET($N$3,0,MATCH(AV$5,PayDedList,0)-1,1,1)),OFFSET($N$3,0,MATCH(AV$5,PayDedList,0)-1,1,1),IgnoreMin)))*IF(COUNTIFS(EmpNo,$C161,OFFSET(Emp!$R$4,1,MATCH(AV$5,DedListItem,0)-1,EmpCount,1),"&lt;&gt;")&gt;0,VLOOKUP($C161,EmpAll,COLUMN(Emp!$R$4)+MATCH(AV$5,DedListItem,0)-1,0),OFFSET(Setup!$E$73,MATCH(AV$5,DedListItem,0),0,1,1))*AV$3))),IF(ISNUMBER(AV$4),AV$4,IgnoreMin)))))</f>
        <v>0</v>
      </c>
      <c r="AW161" s="148" cm="1">
        <f t="array" aca="1" ref="AW161" ca="1">-IF($F161="Terminated",0,IF($AA161=0,0,IF(ISNA(MATCH(AW$5,PayDedList,0)),0,MIN(IF(COUNTIFS(OverEmp,$C161,OverDeduct,AW$5,OverDate,"&lt;"&amp;DATE(YEAR($AC161),MONTH($AC161)+1,1),OverEnd,"&gt;="&amp;DATE(YEAR($AC161),MONTH($AC161),1))&gt;0,SUMPRODUCT((PayEmp=$C161)*(PayDate&lt;=$AC161)*(OFFSET($N$6,1,MATCH(AW$5,PayDedList,0)-1,PayCount,1)))/$AA161*12*AW$3,IF(OR(AW$1="Fixed",AW$1="Not Used"),SUMPRODUCT((PayEmp=$C161)*(PayDate&lt;=$AC161)*(OFFSET($N$6,1,MATCH(AW$5,PayDedList,0)-1,PayCount,1)))/$AA161*12*AW$3,IF(ISNA(MATCH(OFFSET($N$2,0,MATCH(AW$5,PayDedList,0)-1,1,1),EarnListItem,0))=FALSE,SUMPRODUCT((PayEmp=$C161)*(PayDate&lt;=$AC161)*(OFFSET($N$6,1,MATCH(AW$5,PayDedList,0)-1,PayCount,1)))/$AA161*12*AW$3,(MIN(SUMPRODUCT((PayEmp=$C161)*(PayDate&lt;=$AC161)*(ISERROR(SEARCH(PayEarnCode,AW$2)))*(PayEarnType="Monthly")*(PayEarnValues))/$AA161*12,IF(ISNUMBER(OFFSET($N$3,0,MATCH(AW$5,PayDedList,0)-1,1,1)),OFFSET($N$3,0,MATCH(AW$5,PayDedList,0)-1,1,1),IgnoreMin)))*IF(COUNTIFS(EmpNo,$C161,OFFSET(Emp!$R$4,1,MATCH(AW$5,DedListItem,0)-1,EmpCount,1),"&lt;&gt;")&gt;0,VLOOKUP($C161,EmpAll,COLUMN(Emp!$R$4)+MATCH(AW$5,DedListItem,0)-1,0),OFFSET(Setup!$E$73,MATCH(AW$5,DedListItem,0),0,1,1))*AW$3))),IF(ISNUMBER(AW$4),AW$4,IgnoreMin)))))</f>
        <v>0</v>
      </c>
      <c r="AX161" s="148">
        <f t="shared" ca="1" si="73"/>
        <v>0</v>
      </c>
      <c r="AY161" s="148">
        <f t="shared" ca="1" si="74"/>
        <v>0</v>
      </c>
      <c r="AZ161" s="148">
        <f ca="1">IF(ISNUMBER($AL161),($AR161*$AL161)-$AI161-$AK161,MAX(0,IF($AL161="B",IF($AR161&lt;Setup!$C$32,($AR161*Setup!$D$32)-$AI161-$AK161,(($AR161-VLOOKUP($AR161,TaxAll2,1,1))*OFFSET(Setup!$D$32,MATCH($AR161,TaxBracket2,1),0,1,1))+OFFSET(Setup!$E$31,MATCH($AR161,TaxBracket2,1),0,1,1)-$AI161-$AK161),IF($AR161&lt;Setup!$C$21,($AR161*Setup!$D$21)-$AI161-$AK161,(($AR161-VLOOKUP($AR161,TaxAll1,1,1))*OFFSET(Setup!$D$21,MATCH($AR161,TaxBracket1,1),0,1,1))+OFFSET(Setup!$E$20,MATCH($AR161,TaxBracket1,1),0,1,1)-$AI161-$AK161))))</f>
        <v>0</v>
      </c>
      <c r="BA161" s="148">
        <f ca="1">IF(ISNUMBER($AL161),($AX161*$AL161)-$AI161-$AK161,MAX(0,IF($AL161="B",IF($AX161&lt;Setup!$C$32,($AX161*Setup!$D$32)-$AI161-$AK161,(($AX161-VLOOKUP($AX161,TaxAll2,1,1))*OFFSET(Setup!$D$32,MATCH($AX161,TaxBracket2,1),0,1,1))+OFFSET(Setup!$E$31,MATCH($AX161,TaxBracket2,1),0,1,1)-$AI161-$AK161),IF($AX161&lt;Setup!$C$21,($AX161*Setup!$D$21)-$AI161-$AK161,(($AX161-VLOOKUP($AX161,TaxAll1,1,1))*OFFSET(Setup!$D$21,MATCH($AX161,TaxBracket1,1),0,1,1))+OFFSET(Setup!$E$20,MATCH($AX161,TaxBracket1,1),0,1,1)-$AI161-$AK161))))</f>
        <v>0</v>
      </c>
      <c r="BB161" s="148">
        <f t="shared" ref="BB161:BB243" ca="1" si="82">AZ161-BA161</f>
        <v>0</v>
      </c>
      <c r="BC161" s="150">
        <f t="shared" ca="1" si="75"/>
        <v>0</v>
      </c>
      <c r="BD161" s="150">
        <f t="shared" ca="1" si="76"/>
        <v>0</v>
      </c>
      <c r="BE161" s="148">
        <f t="shared" ca="1" si="77"/>
        <v>0</v>
      </c>
    </row>
    <row r="162" spans="1:57" ht="16.149999999999999" customHeight="1" x14ac:dyDescent="0.25">
      <c r="A162" s="10" t="str" cm="1">
        <f t="array" aca="1" ref="A162" ca="1">IF(ROW($A162)-ROW($A$6)&gt;EmpCount*12,"-",TEXT($B162,"yyyy")&amp;TEXT($B162,"mm")&amp;"-"&amp;$C162)</f>
        <v>202401-EXS006</v>
      </c>
      <c r="B162" s="137" cm="1">
        <f t="array" aca="1" ref="B162" ca="1">IF(ROW($A162)-ROW($A$6)&gt;EmpCount*12,Setup!$D$12,DATE(YEAR(Setup!$F$12),MONTH(Setup!$F$12)+ROUNDDOWN((ROW($A162)-ROW($A$6)-1)/EmpCount,0),IF(Setup!$C$14&gt;DAY(DATE(YEAR(Setup!$F$12),MONTH(Setup!$F$12)+ROUNDDOWN((ROW($A162)-ROW($A$6)-1)/EmpCount,0)+1,0)),DAY(DATE(YEAR(Setup!$F$12),MONTH(Setup!$F$12)+ROUNDDOWN((ROW($A162)-ROW($A$6)-1)/EmpCount,0)+1,0)),Setup!$C$14)))</f>
        <v>45316</v>
      </c>
      <c r="C162" s="101" t="str" cm="1">
        <f t="array" aca="1" ref="C162" ca="1">IF(ROW($A162)-ROW($A$6)&gt;EmpCount*12,"-",OFFSET(Emp!$A$4,ROW($A162)-ROW($A$6)-IF(ROW($A162)-ROW($A$6)&gt;EmpCount,ROUNDDOWN((ROW($A162)-ROW($A$6)-1)/EmpCount,0)*EmpCount,0),0,1,1))</f>
        <v>EXS006</v>
      </c>
      <c r="D162" s="10" t="str">
        <f ca="1">IF(ISNA(VLOOKUP($C162,EmpAll,COLUMN(Emp!$B$4),0)),"-",VLOOKUP($C162,EmpAll,COLUMN(Emp!$B$4),0))</f>
        <v>Andrews MS</v>
      </c>
      <c r="E162" s="145" t="str">
        <f ca="1">IF(ISNA(VLOOKUP($C162,EmpAll,COLUMN(Emp!$C$4),0)),"-",VLOOKUP($C162,EmpAll,COLUMN(Emp!$C$4),0))</f>
        <v>S</v>
      </c>
      <c r="F162" s="101" t="str">
        <f ca="1">IF(ISNA(VLOOKUP($C162,EmpAll,COLUMN(Emp!$A$4),0)),"-",IF(AND(VLOOKUP($C162,EmpAll,COLUMN(Emp!$E$4),0)&lt;&gt;0,VLOOKUP($C162,EmpAll,COLUMN(Emp!$E$4),0)&gt;=DATE(YEAR($AC162),MONTH($AC162)+1,0)),"Inactive",IF(AND(VLOOKUP($C162,EmpAll,COLUMN(Emp!$F$4),0)&lt;&gt;0,VLOOKUP($C162,EmpAll,COLUMN(Emp!$F$4),0)&lt;=DATE(YEAR($AC162),MONTH($AC162),0)),"Terminated","Active")))</f>
        <v>Active</v>
      </c>
      <c r="G162" s="133" cm="1">
        <f t="array" aca="1" ref="G162" ca="1">IF($F162&lt;&gt;"Active",0,IF(COUNTIFS(OverEmp,$C162,OverEarn,G$2,OverDate,"&lt;"&amp;DATE(YEAR($AC162),MONTH($AC162)+1,1),OverEnd,"&gt;="&amp;DATE(YEAR($AC162),MONTH($AC162),1))&gt;0,SUMIFS(OverValue,OverEmp,$C162,OverEarn,G$2,OverDate,"&lt;"&amp;DATE(YEAR($AC162),MONTH($AC162)+1,1),OverEnd,"&gt;="&amp;DATE(YEAR($AC162),MONTH($AC162),1)),IF(AND($AC162&gt;=Setup!$E$10,SUMIFS(EmpIncrease,EmpCode,$C162)&gt;0),SUMIFS(EmpIncrease,EmpCode,$C162),SUMIFS(EmpSalary,EmpCode,$C162))))</f>
        <v>11000</v>
      </c>
      <c r="H162" s="133" cm="1">
        <f t="array" aca="1" ref="H162" ca="1">IF($F162&lt;&gt;"Active",0,IF(COUNTIFS(OverEmp,$C162,OverEarn,H$2,OverDate,"&lt;"&amp;DATE(YEAR($AC162),MONTH($AC162)+1,1),OverEnd,"&gt;="&amp;DATE(YEAR($AC162),MONTH($AC162),1))&gt;0,SUMIFS(OverValue,OverEmp,$C162,OverEarn,H$2,OverDate,"&lt;"&amp;DATE(YEAR($AC162),MONTH($AC162)+1,1),OverEnd,"&gt;="&amp;DATE(YEAR($AC162),MONTH($AC162),1)),0))</f>
        <v>0</v>
      </c>
      <c r="I162" s="133" cm="1">
        <f t="array" aca="1" ref="I162" ca="1">IF($F162&lt;&gt;"Active",0,IF(COUNTIFS(OverEmp,$C162,OverEarn,I$2,OverDate,"&lt;"&amp;DATE(YEAR($AC162),MONTH($AC162)+1,1),OverEnd,"&gt;="&amp;DATE(YEAR($AC162),MONTH($AC162),1))&gt;0,SUMIFS(OverValue,OverEmp,$C162,OverEarn,I$2,OverDate,"&lt;"&amp;DATE(YEAR($AC162),MONTH($AC162)+1,1),OverEnd,"&gt;="&amp;DATE(YEAR($AC162),MONTH($AC162),1)),IF(MONTH(B162)=Setup!$C$15,SUMIFS(EmpBonus,EmpCode,$C162),0)))</f>
        <v>0</v>
      </c>
      <c r="J162" s="133" cm="1">
        <f t="array" aca="1" ref="J162" ca="1">IF($F162&lt;&gt;"Active",0,IF(COUNTIFS(OverEmp,$C162,OverEarn,J$2,OverDate,"&lt;"&amp;DATE(YEAR($AC162),MONTH($AC162)+1,1),OverEnd,"&gt;="&amp;DATE(YEAR($AC162),MONTH($AC162),1))&gt;0,SUMIFS(OverValue,OverEmp,$C162,OverEarn,J$2,OverDate,"&lt;"&amp;DATE(YEAR($AC162),MONTH($AC162)+1,1),OverEnd,"&gt;="&amp;DATE(YEAR($AC162),MONTH($AC162),1)),0))</f>
        <v>0</v>
      </c>
      <c r="K162" s="133" cm="1">
        <f t="array" aca="1" ref="K162" ca="1">IF($F162&lt;&gt;"Active",0,IF(COUNTIFS(OverEmp,$C162,OverEarn,K$2,OverDate,"&lt;"&amp;DATE(YEAR($AC162),MONTH($AC162)+1,1),OverEnd,"&gt;="&amp;DATE(YEAR($AC162),MONTH($AC162),1))&gt;0,SUMIFS(OverValue,OverEmp,$C162,OverEarn,K$2,OverDate,"&lt;"&amp;DATE(YEAR($AC162),MONTH($AC162)+1,1),OverEnd,"&gt;="&amp;DATE(YEAR($AC162),MONTH($AC162),1)),0))</f>
        <v>0</v>
      </c>
      <c r="L162" s="185">
        <f t="shared" ca="1" si="66"/>
        <v>11000</v>
      </c>
      <c r="M162" s="182" cm="1">
        <f t="array" aca="1" ref="M162" ca="1">IF(COUNTIFS(OverEmp,$C162,OverTax,M$5,OverDate,"&lt;"&amp;DATE(YEAR($AC162),MONTH($AC162)+1,1),OverEnd,"&gt;="&amp;DATE(YEAR($AC162),MONTH($AC162),1))&gt;0,SUMIFS(OverValue,OverEmp,$C162,OverTax,M$5,OverDate,"&lt;"&amp;DATE(YEAR($AC162),MONTH($AC162)+1,1),OverEnd,"&gt;="&amp;DATE(YEAR($AC162),MONTH($AC162),1)),(($BA162/12*$AA162)+(BB162*IF(1-$BC162=0,0,BD162/(1-$BC162))))-IF($F162="Terminated",0,SUMIFS(PayTaxDeduct,PayDate,"&lt;"&amp;$AC162,PayEmp,$C162)))</f>
        <v>180.24999999999955</v>
      </c>
      <c r="N162" s="133" cm="1">
        <f t="array" aca="1" ref="N162" ca="1">IF($F162="Terminated",0,IF($AA162=0,0,IF(ISNA(MATCH(N$5,DedListItem,0)),0,IF(COUNTIFS(OverEmp,$C162,OverDeduct,N$5,OverDate,"&lt;"&amp;DATE(YEAR($AC162),MONTH($AC162)+1,1),OverEnd,"&gt;="&amp;DATE(YEAR($AC162),MONTH($AC162),1))&gt;0,SUMIFS(OverValue,OverEmp,$C162,OverDeduct,N$5,OverDate,"&lt;"&amp;DATE(YEAR($AC162),MONTH($AC162)+1,1),OverEnd,"&gt;="&amp;DATE(YEAR($AC162),MONTH($AC162),1)),IF(OR(N$2="Fixed",N$2="Not Used"),(IF(COUNTIFS(EmpNo,$C162,OFFSET(Emp!$R$4,1,MATCH(N$5,DedListItem,0)-1,EmpCount,1),"&lt;&gt;")&gt;0,VLOOKUP($C162,EmpAll,COLUMN(Emp!$R$4)+MATCH(N$5,DedListItem,0)-1,0),OFFSET(Setup!$E$73,MATCH(N$5,DedListItem,0),0,1,1))*$AA162)-SUMIFS(OFFSET(N$6,1,0,PayCount,1),PayDate,"&lt;"&amp;$AC162,PayEmp,$C162),IF(ISNA(MATCH(N$2,EarnListItem,0))=FALSE,IF(OFFSET(Setup!$G$73,MATCH(N$5,DedListItem,0),0,1,1)="Taxable",SUMPRODUCT((PayEmp=$C162)*(PayDate&lt;=$AC162)*(PayEarnCode=N$2)*(PayEarnTax)*(PayEarnValues)),SUMPRODUCT((PayEmp=$C162)*(PayDate&lt;=$AC162)*(PayEarnCode=N$2)*(PayEarnValues)))*IF(COUNTIFS(EmpNo,$C162,OFFSET(Emp!$R$4,1,MATCH(N$5,DedListItem,0)-1,EmpCount,1),"&lt;&gt;")&gt;0,VLOOKUP($C162,EmpAll,COLUMN(Emp!$R$4)+MATCH(N$5,DedListItem,0)-1,0),OFFSET(Setup!$E$73,MATCH(N$5,DedListItem,0),0,1,1)),(MIN(IF(OFFSET(Setup!$G$73,MATCH(N$5,DedListItem,0),0,1,1)="Taxable",SUMPRODUCT((PayEmp=$C162)*(PayDate&lt;=$AC162)*(ISERROR(SEARCH(PayEarnCode,N$4)))*(PayEarnTax)*(PayEarnValues)),SUMPRODUCT((PayEmp=$C162)*(PayDate&lt;=$AC162)*(ISERROR(SEARCH(PayEarnCode,N$4)))*(PayEarnValues))),IF(ISNUMBER(N$3),N$3/12*$AA162,IgnoreMin)))*IF(COUNTIFS(EmpNo,$C162,OFFSET(Emp!$R$4,1,MATCH(N$5,DedListItem,0)-1,EmpCount,1),"&lt;&gt;")&gt;0,VLOOKUP($C162,EmpAll,COLUMN(Emp!$R$4)+MATCH(N$5,DedListItem,0)-1,0),OFFSET(Setup!$E$73,MATCH(N$5,DedListItem,0),0,1,1)))-SUMIFS(OFFSET(N$6,1,0,PayCount,1),PayDate,"&lt;"&amp;$AC162,PayEmp,$C162))))))</f>
        <v>110</v>
      </c>
      <c r="O162" s="133" cm="1">
        <f t="array" aca="1" ref="O162" ca="1">IF($F162="Terminated",0,IF($AA162=0,0,IF(ISNA(MATCH(O$5,DedListItem,0)),0,IF(COUNTIFS(OverEmp,$C162,OverDeduct,O$5,OverDate,"&lt;"&amp;DATE(YEAR($AC162),MONTH($AC162)+1,1),OverEnd,"&gt;="&amp;DATE(YEAR($AC162),MONTH($AC162),1))&gt;0,SUMIFS(OverValue,OverEmp,$C162,OverDeduct,O$5,OverDate,"&lt;"&amp;DATE(YEAR($AC162),MONTH($AC162)+1,1),OverEnd,"&gt;="&amp;DATE(YEAR($AC162),MONTH($AC162),1)),IF(OR(O$2="Fixed",O$2="Not Used"),(IF(COUNTIFS(EmpNo,$C162,OFFSET(Emp!$R$4,1,MATCH(O$5,DedListItem,0)-1,EmpCount,1),"&lt;&gt;")&gt;0,VLOOKUP($C162,EmpAll,COLUMN(Emp!$R$4)+MATCH(O$5,DedListItem,0)-1,0),OFFSET(Setup!$E$73,MATCH(O$5,DedListItem,0),0,1,1))*$AA162)-SUMIFS(OFFSET(O$6,1,0,PayCount,1),PayDate,"&lt;"&amp;$AC162,PayEmp,$C162),IF(ISNA(MATCH(O$2,EarnListItem,0))=FALSE,IF(OFFSET(Setup!$G$73,MATCH(O$5,DedListItem,0),0,1,1)="Taxable",SUMPRODUCT((PayEmp=$C162)*(PayDate&lt;=$AC162)*(PayEarnCode=O$2)*(PayEarnTax)*(PayEarnValues)),SUMPRODUCT((PayEmp=$C162)*(PayDate&lt;=$AC162)*(PayEarnCode=O$2)*(PayEarnValues)))*IF(COUNTIFS(EmpNo,$C162,OFFSET(Emp!$R$4,1,MATCH(O$5,DedListItem,0)-1,EmpCount,1),"&lt;&gt;")&gt;0,VLOOKUP($C162,EmpAll,COLUMN(Emp!$R$4)+MATCH(O$5,DedListItem,0)-1,0),OFFSET(Setup!$E$73,MATCH(O$5,DedListItem,0),0,1,1)),(MIN(IF(OFFSET(Setup!$G$73,MATCH(O$5,DedListItem,0),0,1,1)="Taxable",SUMPRODUCT((PayEmp=$C162)*(PayDate&lt;=$AC162)*(ISERROR(SEARCH(PayEarnCode,O$4)))*(PayEarnTax)*(PayEarnValues)),SUMPRODUCT((PayEmp=$C162)*(PayDate&lt;=$AC162)*(ISERROR(SEARCH(PayEarnCode,O$4)))*(PayEarnValues))),IF(ISNUMBER(O$3),O$3/12*$AA162,IgnoreMin)))*IF(COUNTIFS(EmpNo,$C162,OFFSET(Emp!$R$4,1,MATCH(O$5,DedListItem,0)-1,EmpCount,1),"&lt;&gt;")&gt;0,VLOOKUP($C162,EmpAll,COLUMN(Emp!$R$4)+MATCH(O$5,DedListItem,0)-1,0),OFFSET(Setup!$E$73,MATCH(O$5,DedListItem,0),0,1,1)))-SUMIFS(OFFSET(O$6,1,0,PayCount,1),PayDate,"&lt;"&amp;$AC162,PayEmp,$C162))))))</f>
        <v>0</v>
      </c>
      <c r="P162" s="133" cm="1">
        <f t="array" aca="1" ref="P162" ca="1">IF($F162="Terminated",0,IF($AA162=0,0,IF(ISNA(MATCH(P$5,DedListItem,0)),0,IF(COUNTIFS(OverEmp,$C162,OverDeduct,P$5,OverDate,"&lt;"&amp;DATE(YEAR($AC162),MONTH($AC162)+1,1),OverEnd,"&gt;="&amp;DATE(YEAR($AC162),MONTH($AC162),1))&gt;0,SUMIFS(OverValue,OverEmp,$C162,OverDeduct,P$5,OverDate,"&lt;"&amp;DATE(YEAR($AC162),MONTH($AC162)+1,1),OverEnd,"&gt;="&amp;DATE(YEAR($AC162),MONTH($AC162),1)),IF(OR(P$2="Fixed",P$2="Not Used"),(IF(COUNTIFS(EmpNo,$C162,OFFSET(Emp!$R$4,1,MATCH(P$5,DedListItem,0)-1,EmpCount,1),"&lt;&gt;")&gt;0,VLOOKUP($C162,EmpAll,COLUMN(Emp!$R$4)+MATCH(P$5,DedListItem,0)-1,0),OFFSET(Setup!$E$73,MATCH(P$5,DedListItem,0),0,1,1))*$AA162)-SUMIFS(OFFSET(P$6,1,0,PayCount,1),PayDate,"&lt;"&amp;$AC162,PayEmp,$C162),IF(ISNA(MATCH(P$2,EarnListItem,0))=FALSE,IF(OFFSET(Setup!$G$73,MATCH(P$5,DedListItem,0),0,1,1)="Taxable",SUMPRODUCT((PayEmp=$C162)*(PayDate&lt;=$AC162)*(PayEarnCode=P$2)*(PayEarnTax)*(PayEarnValues)),SUMPRODUCT((PayEmp=$C162)*(PayDate&lt;=$AC162)*(PayEarnCode=P$2)*(PayEarnValues)))*IF(COUNTIFS(EmpNo,$C162,OFFSET(Emp!$R$4,1,MATCH(P$5,DedListItem,0)-1,EmpCount,1),"&lt;&gt;")&gt;0,VLOOKUP($C162,EmpAll,COLUMN(Emp!$R$4)+MATCH(P$5,DedListItem,0)-1,0),OFFSET(Setup!$E$73,MATCH(P$5,DedListItem,0),0,1,1)),(MIN(IF(OFFSET(Setup!$G$73,MATCH(P$5,DedListItem,0),0,1,1)="Taxable",SUMPRODUCT((PayEmp=$C162)*(PayDate&lt;=$AC162)*(ISERROR(SEARCH(PayEarnCode,P$4)))*(PayEarnTax)*(PayEarnValues)),SUMPRODUCT((PayEmp=$C162)*(PayDate&lt;=$AC162)*(ISERROR(SEARCH(PayEarnCode,P$4)))*(PayEarnValues))),IF(ISNUMBER(P$3),P$3/12*$AA162,IgnoreMin)))*IF(COUNTIFS(EmpNo,$C162,OFFSET(Emp!$R$4,1,MATCH(P$5,DedListItem,0)-1,EmpCount,1),"&lt;&gt;")&gt;0,VLOOKUP($C162,EmpAll,COLUMN(Emp!$R$4)+MATCH(P$5,DedListItem,0)-1,0),OFFSET(Setup!$E$73,MATCH(P$5,DedListItem,0),0,1,1)))-SUMIFS(OFFSET(P$6,1,0,PayCount,1),PayDate,"&lt;"&amp;$AC162,PayEmp,$C162))))))</f>
        <v>0</v>
      </c>
      <c r="Q162" s="133" cm="1">
        <f t="array" aca="1" ref="Q162" ca="1">IF($F162="Terminated",0,IF($AA162=0,0,IF(ISNA(MATCH(Q$5,DedListItem,0)),0,IF(COUNTIFS(OverEmp,$C162,OverDeduct,Q$5,OverDate,"&lt;"&amp;DATE(YEAR($AC162),MONTH($AC162)+1,1),OverEnd,"&gt;="&amp;DATE(YEAR($AC162),MONTH($AC162),1))&gt;0,SUMIFS(OverValue,OverEmp,$C162,OverDeduct,Q$5,OverDate,"&lt;"&amp;DATE(YEAR($AC162),MONTH($AC162)+1,1),OverEnd,"&gt;="&amp;DATE(YEAR($AC162),MONTH($AC162),1)),IF(OR(Q$2="Fixed",Q$2="Not Used"),(IF(COUNTIFS(EmpNo,$C162,OFFSET(Emp!$R$4,1,MATCH(Q$5,DedListItem,0)-1,EmpCount,1),"&lt;&gt;")&gt;0,VLOOKUP($C162,EmpAll,COLUMN(Emp!$R$4)+MATCH(Q$5,DedListItem,0)-1,0),OFFSET(Setup!$E$73,MATCH(Q$5,DedListItem,0),0,1,1))*$AA162)-SUMIFS(OFFSET(Q$6,1,0,PayCount,1),PayDate,"&lt;"&amp;$AC162,PayEmp,$C162),IF(ISNA(MATCH(Q$2,EarnListItem,0))=FALSE,IF(OFFSET(Setup!$G$73,MATCH(Q$5,DedListItem,0),0,1,1)="Taxable",SUMPRODUCT((PayEmp=$C162)*(PayDate&lt;=$AC162)*(PayEarnCode=Q$2)*(PayEarnTax)*(PayEarnValues)),SUMPRODUCT((PayEmp=$C162)*(PayDate&lt;=$AC162)*(PayEarnCode=Q$2)*(PayEarnValues)))*IF(COUNTIFS(EmpNo,$C162,OFFSET(Emp!$R$4,1,MATCH(Q$5,DedListItem,0)-1,EmpCount,1),"&lt;&gt;")&gt;0,VLOOKUP($C162,EmpAll,COLUMN(Emp!$R$4)+MATCH(Q$5,DedListItem,0)-1,0),OFFSET(Setup!$E$73,MATCH(Q$5,DedListItem,0),0,1,1)),(MIN(IF(OFFSET(Setup!$G$73,MATCH(Q$5,DedListItem,0),0,1,1)="Taxable",SUMPRODUCT((PayEmp=$C162)*(PayDate&lt;=$AC162)*(ISERROR(SEARCH(PayEarnCode,Q$4)))*(PayEarnTax)*(PayEarnValues)),SUMPRODUCT((PayEmp=$C162)*(PayDate&lt;=$AC162)*(ISERROR(SEARCH(PayEarnCode,Q$4)))*(PayEarnValues))),IF(ISNUMBER(Q$3),Q$3/12*$AA162,IgnoreMin)))*IF(COUNTIFS(EmpNo,$C162,OFFSET(Emp!$R$4,1,MATCH(Q$5,DedListItem,0)-1,EmpCount,1),"&lt;&gt;")&gt;0,VLOOKUP($C162,EmpAll,COLUMN(Emp!$R$4)+MATCH(Q$5,DedListItem,0)-1,0),OFFSET(Setup!$E$73,MATCH(Q$5,DedListItem,0),0,1,1)))-SUMIFS(OFFSET(Q$6,1,0,PayCount,1),PayDate,"&lt;"&amp;$AC162,PayEmp,$C162))))))</f>
        <v>0</v>
      </c>
      <c r="R162" s="185">
        <f t="shared" ca="1" si="67"/>
        <v>290.24999999999955</v>
      </c>
      <c r="S162" s="139">
        <f t="shared" ca="1" si="68"/>
        <v>10709.75</v>
      </c>
      <c r="T162" s="133" cm="1">
        <f t="array" aca="1" ref="T162" ca="1">IF($F162="Terminated",0,IF($AA162=0,0,IF(ISNA(MATCH(T$5,CompListItem,0)),0,IF(COUNTIFS(OverEmp,$C162,OverComp,T$5,OverDate,"&lt;"&amp;DATE(YEAR($AC162),MONTH($AC162)+1,1),OverEnd,"&gt;="&amp;DATE(YEAR($AC162),MONTH($AC162),1))&gt;0,SUMIFS(OverValue,OverEmp,$C162,OverComp,T$5,OverDate,"&lt;"&amp;DATE(YEAR($AC162),MONTH($AC162)+1,1),OverEnd,"&gt;="&amp;DATE(YEAR($AC162),MONTH($AC162),1)),IF(OR(T$2="Fixed",T$2="Not Used"),(OFFSET(Setup!$E$81,MATCH(T$5,CompListItem,0),0,1,1)*$AA162)-SUMIFS(OFFSET(T$6,1,0,PayCount,1),PayDate,"&lt;"&amp;$AC162,PayEmp,$C162),IF(ISNA(MATCH(T$2,DedListItem,0))=FALSE,(SUMPRODUCT((PayEmp=$C162)*(PayDate&lt;=$AC162)*(PayDedList=T$2)*(PayDedValues))*OFFSET(Setup!$E$81,MATCH(T$5,CompListItem,0),0,1,1))-SUMIFS(OFFSET(T$6,1,0,PayCount,1),PayDate,"&lt;"&amp;$AC162,PayEmp,$C162),(MIN(IF(OFFSET(Setup!$G$81,MATCH(T$5,CompListItem,0),0,1,1)="Taxable",SUMPRODUCT((PayEmp=$C162)*(PayDate&lt;=$AC162)*(ISERROR(SEARCH(PayEarnCode,T$4)))*(PayEarnTax)*(PayEarnValues)),SUMPRODUCT((PayEmp=$C162)*(PayDate&lt;=$AC162)*(ISERROR(SEARCH(PayEarnCode,T$4)))*(PayEarnValues))),IF(ISNUMBER(T$3),T$3/12*$AA162,IgnoreMin)))*OFFSET(Setup!$E$81,MATCH(T$5,CompListItem,0),0,1,1)-SUMIFS(OFFSET(T$6,1,0,PayCount,1),PayDate,"&lt;"&amp;$AC162,PayEmp,$C162)))))))</f>
        <v>110</v>
      </c>
      <c r="U162" s="133" cm="1">
        <f t="array" aca="1" ref="U162" ca="1">IF($F162="Terminated",0,IF($AA162=0,0,IF(ISNA(MATCH(U$5,CompListItem,0)),0,IF(COUNTIFS(OverEmp,$C162,OverComp,U$5,OverDate,"&lt;"&amp;DATE(YEAR($AC162),MONTH($AC162)+1,1),OverEnd,"&gt;="&amp;DATE(YEAR($AC162),MONTH($AC162),1))&gt;0,SUMIFS(OverValue,OverEmp,$C162,OverComp,U$5,OverDate,"&lt;"&amp;DATE(YEAR($AC162),MONTH($AC162)+1,1),OverEnd,"&gt;="&amp;DATE(YEAR($AC162),MONTH($AC162),1)),IF(OR(U$2="Fixed",U$2="Not Used"),(OFFSET(Setup!$E$81,MATCH(U$5,CompListItem,0),0,1,1)*$AA162)-SUMIFS(OFFSET(U$6,1,0,PayCount,1),PayDate,"&lt;"&amp;$AC162,PayEmp,$C162),IF(ISNA(MATCH(U$2,DedListItem,0))=FALSE,(SUMPRODUCT((PayEmp=$C162)*(PayDate&lt;=$AC162)*(PayDedList=U$2)*(PayDedValues))*OFFSET(Setup!$E$81,MATCH(U$5,CompListItem,0),0,1,1))-SUMIFS(OFFSET(U$6,1,0,PayCount,1),PayDate,"&lt;"&amp;$AC162,PayEmp,$C162),(MIN(IF(OFFSET(Setup!$G$81,MATCH(U$5,CompListItem,0),0,1,1)="Taxable",SUMPRODUCT((PayEmp=$C162)*(PayDate&lt;=$AC162)*(ISERROR(SEARCH(PayEarnCode,U$4)))*(PayEarnTax)*(PayEarnValues)),SUMPRODUCT((PayEmp=$C162)*(PayDate&lt;=$AC162)*(ISERROR(SEARCH(PayEarnCode,U$4)))*(PayEarnValues))),IF(ISNUMBER(U$3),U$3/12*$AA162,IgnoreMin)))*OFFSET(Setup!$E$81,MATCH(U$5,CompListItem,0),0,1,1)-SUMIFS(OFFSET(U$6,1,0,PayCount,1),PayDate,"&lt;"&amp;$AC162,PayEmp,$C162)))))))</f>
        <v>110</v>
      </c>
      <c r="V162" s="133" cm="1">
        <f t="array" aca="1" ref="V162" ca="1">IF($F162="Terminated",0,IF($AA162=0,0,IF(ISNA(MATCH(V$5,CompListItem,0)),0,IF(COUNTIFS(OverEmp,$C162,OverComp,V$5,OverDate,"&lt;"&amp;DATE(YEAR($AC162),MONTH($AC162)+1,1),OverEnd,"&gt;="&amp;DATE(YEAR($AC162),MONTH($AC162),1))&gt;0,SUMIFS(OverValue,OverEmp,$C162,OverComp,V$5,OverDate,"&lt;"&amp;DATE(YEAR($AC162),MONTH($AC162)+1,1),OverEnd,"&gt;="&amp;DATE(YEAR($AC162),MONTH($AC162),1)),IF(OR(V$2="Fixed",V$2="Not Used"),(OFFSET(Setup!$E$81,MATCH(V$5,CompListItem,0),0,1,1)*$AA162)-SUMIFS(OFFSET(V$6,1,0,PayCount,1),PayDate,"&lt;"&amp;$AC162,PayEmp,$C162),IF(ISNA(MATCH(V$2,DedListItem,0))=FALSE,(SUMPRODUCT((PayEmp=$C162)*(PayDate&lt;=$AC162)*(PayDedList=V$2)*(PayDedValues))*OFFSET(Setup!$E$81,MATCH(V$5,CompListItem,0),0,1,1))-SUMIFS(OFFSET(V$6,1,0,PayCount,1),PayDate,"&lt;"&amp;$AC162,PayEmp,$C162),(MIN(IF(OFFSET(Setup!$G$81,MATCH(V$5,CompListItem,0),0,1,1)="Taxable",SUMPRODUCT((PayEmp=$C162)*(PayDate&lt;=$AC162)*(ISERROR(SEARCH(PayEarnCode,V$4)))*(PayEarnTax)*(PayEarnValues)),SUMPRODUCT((PayEmp=$C162)*(PayDate&lt;=$AC162)*(ISERROR(SEARCH(PayEarnCode,V$4)))*(PayEarnValues))),IF(ISNUMBER(V$3),V$3/12*$AA162,IgnoreMin)))*OFFSET(Setup!$E$81,MATCH(V$5,CompListItem,0),0,1,1)-SUMIFS(OFFSET(V$6,1,0,PayCount,1),PayDate,"&lt;"&amp;$AC162,PayEmp,$C162)))))))</f>
        <v>0</v>
      </c>
      <c r="W162" s="133" cm="1">
        <f t="array" aca="1" ref="W162" ca="1">IF($F162="Terminated",0,IF($AA162=0,0,IF(ISNA(MATCH(W$5,CompListItem,0)),0,IF(COUNTIFS(OverEmp,$C162,OverComp,W$5,OverDate,"&lt;"&amp;DATE(YEAR($AC162),MONTH($AC162)+1,1),OverEnd,"&gt;="&amp;DATE(YEAR($AC162),MONTH($AC162),1))&gt;0,SUMIFS(OverValue,OverEmp,$C162,OverComp,W$5,OverDate,"&lt;"&amp;DATE(YEAR($AC162),MONTH($AC162)+1,1),OverEnd,"&gt;="&amp;DATE(YEAR($AC162),MONTH($AC162),1)),IF(OR(W$2="Fixed",W$2="Not Used"),(OFFSET(Setup!$E$81,MATCH(W$5,CompListItem,0),0,1,1)*$AA162)-SUMIFS(OFFSET(W$6,1,0,PayCount,1),PayDate,"&lt;"&amp;$AC162,PayEmp,$C162),IF(ISNA(MATCH(W$2,DedListItem,0))=FALSE,(SUMPRODUCT((PayEmp=$C162)*(PayDate&lt;=$AC162)*(PayDedList=W$2)*(PayDedValues))*OFFSET(Setup!$E$81,MATCH(W$5,CompListItem,0),0,1,1))-SUMIFS(OFFSET(W$6,1,0,PayCount,1),PayDate,"&lt;"&amp;$AC162,PayEmp,$C162),(MIN(IF(OFFSET(Setup!$G$81,MATCH(W$5,CompListItem,0),0,1,1)="Taxable",SUMPRODUCT((PayEmp=$C162)*(PayDate&lt;=$AC162)*(ISERROR(SEARCH(PayEarnCode,W$4)))*(PayEarnTax)*(PayEarnValues)),SUMPRODUCT((PayEmp=$C162)*(PayDate&lt;=$AC162)*(ISERROR(SEARCH(PayEarnCode,W$4)))*(PayEarnValues))),IF(ISNUMBER(W$3),W$3/12*$AA162,IgnoreMin)))*OFFSET(Setup!$E$81,MATCH(W$5,CompListItem,0),0,1,1)-SUMIFS(OFFSET(W$6,1,0,PayCount,1),PayDate,"&lt;"&amp;$AC162,PayEmp,$C162)))))))</f>
        <v>0</v>
      </c>
      <c r="X162" s="185">
        <f t="shared" ca="1" si="78"/>
        <v>220</v>
      </c>
      <c r="Y162" s="139">
        <f t="shared" ca="1" si="69"/>
        <v>11220</v>
      </c>
      <c r="Z162" s="139">
        <f t="shared" ca="1" si="79"/>
        <v>510.25</v>
      </c>
      <c r="AA162" s="146">
        <f ca="1">IF(OR($B162&lt;=Setup!$E$12,$B162&gt;=Setup!$D$12+1),0,IF($F162&lt;&gt;"Active",0,IF($AE162="Yes",$AB162,((YEAR($AC162)*12)+MONTH($AC162))-((YEAR($AD162)*12)+MONTH($AD162)-1))))</f>
        <v>11</v>
      </c>
      <c r="AB162" s="146">
        <f ca="1">IF(OR($B162&lt;=Setup!$E$12,$B162&gt;=Setup!$D$12+1),0,((YEAR($AC162)*12)+MONTH($AC162))-((YEAR(Setup!$E$12)*12)+MONTH(Setup!$E$12)))</f>
        <v>11</v>
      </c>
      <c r="AC162" s="186">
        <f t="shared" ca="1" si="62"/>
        <v>45316</v>
      </c>
      <c r="AD162" s="144">
        <f ca="1">IF(ISNA(VLOOKUP($C162,EmpAll,COLUMN(Emp!$E$4),0)),$AC162,IF(VLOOKUP($C162,EmpAll,COLUMN(Emp!$E$4),0)&lt;=Setup!$E$12,DATE(YEAR(Setup!$E$12),MONTH(Setup!$E$12)+1,1),VLOOKUP($C162,EmpAll,COLUMN(Emp!$E$4),0)))</f>
        <v>44986</v>
      </c>
      <c r="AE162" s="144" t="str">
        <f ca="1">IF(ISNA(VLOOKUP($C162,EmpAll,COLUMN(Emp!$G$1),0)),"-",IF(VLOOKUP($C162,EmpAll,COLUMN(Emp!$G$1),0)=0,"-",VLOOKUP($C162,EmpAll,COLUMN(Emp!$G$1),0)))</f>
        <v>-</v>
      </c>
      <c r="AF162" s="145">
        <f ca="1">IF(A162=PaySlip!$G$3,1,0)</f>
        <v>0</v>
      </c>
      <c r="AG162" s="130" cm="1">
        <f t="array" aca="1" ref="AG162" ca="1">IF(COUNTIFS(OverEmp,$C162,OverMed,"MED",OverDate,"&lt;"&amp;DATE(YEAR($AC162),MONTH($AC162)+1,1),OverEnd,"&gt;="&amp;DATE(YEAR($AC162),MONTH($AC162),1))&gt;0,SUMIFS(OverValue,OverEmp,$C162,OverMed,"MED",OverDate,"&lt;"&amp;DATE(YEAR($AC162),MONTH($AC162)+1,1),OverEnd,"&gt;="&amp;DATE(YEAR($AC162),MONTH($AC162),1)),IF(ISNA(VLOOKUP($C162,EmpAll,COLUMN(Emp!$N$4),0)),0,VLOOKUP($C162,EmpAll,COLUMN(Emp!$N$4),0)))</f>
        <v>1</v>
      </c>
      <c r="AH162" s="146">
        <f ca="1">VLOOKUP($AG162,MedList,COLUMN(Setup!$C$49),1)</f>
        <v>364</v>
      </c>
      <c r="AI162" s="146">
        <f t="shared" ca="1" si="70"/>
        <v>4368</v>
      </c>
      <c r="AJ162" s="101" t="str">
        <f ca="1">IF(ISNA(VLOOKUP($C162,EmpAll,COLUMN(Emp!$L$4),0)),"None!",VLOOKUP($C162,EmpAll,COLUMN(Emp!$L$4),0))</f>
        <v>A</v>
      </c>
      <c r="AK162" s="147">
        <f t="shared" ca="1" si="80"/>
        <v>17235</v>
      </c>
      <c r="AL162" s="101" t="str">
        <f ca="1">IF(ISNA(VLOOKUP($C162,Employees[],COLUMN(Emp!$M$4),0))=TRUE,"Error!",IF(VLOOKUP($C162,Employees[],COLUMN(Emp!$M$4),0)=0,"Yes",VLOOKUP($C162,Employees[],COLUMN(Emp!$M$4),0)))</f>
        <v>A</v>
      </c>
      <c r="AM162" s="148">
        <f t="shared" ca="1" si="71"/>
        <v>131090.90909090909</v>
      </c>
      <c r="AN162" s="148" cm="1">
        <f t="array" aca="1" ref="AN162" ca="1">-IF($F162="Terminated",0,IF($AA162=0,0,IF(ISNA(MATCH(AN$5,PayDedList,0)),0,MIN(IF(COUNTIFS(OverEmp,$C162,OverDeduct,AN$5,OverDate,"&lt;"&amp;DATE(YEAR($AC162),MONTH($AC162)+1,1),OverEnd,"&gt;="&amp;DATE(YEAR($AC162),MONTH($AC162),1))&gt;0,SUMPRODUCT((PayEmp=$C162)*(PayDate&lt;=$AC162)*(OFFSET($N$6,1,MATCH(AN$5,PayDedList,0)-1,PayCount,1)))/$AA162*12*AN$3,IF(OR(AN$1="Fixed",AN$1="Not Used"),SUMPRODUCT((PayEmp=$C162)*(PayDate&lt;=$AC162)*(OFFSET($N$6,1,MATCH(AN$5,PayDedList,0)-1,PayCount,1)))/$AA162*12*AN$3,IF(ISNA(MATCH(AN$1,EarnListItem,0))=FALSE,SUMPRODUCT((PayEmp=$C162)*(PayDate&lt;=$AC162)*(OFFSET($N$6,1,MATCH(AN$5,PayDedList,0)-1,PayCount,1)))/$AA162*12*AN$3,(MIN(((SUMPRODUCT((PayEmp=$C162)*(PayDate&lt;=$AC162)*(ISERROR(SEARCH(PayEarnCode,AN$2)))*(PayEarnType="Monthly")*(PayEarnValues))/$AA162*12)+(SUMPRODUCT((PayEmp=$C162)*(PayDate&lt;=$AC162)*(ISERROR(SEARCH(PayEarnCode,AN$2)))*(PayEarnType="Quarterly")*(PayEarnValues))/MAX(1,ROUNDDOWN($AB162/3,0))*4)+(SUMPRODUCT((PayEmp=$C162)*(PayDate&lt;=$AC162)*(ISERROR(SEARCH(PayEarnCode,AN$2)))*(PayEarnType="Bi-Annual")*(PayEarnValues))/MAX(1,ROUNDDOWN($AB162/6,0))*2)+(SUMPRODUCT((PayEmp=$C162)*(PayDate&lt;=$AC162)*(ISERROR(SEARCH(PayEarnCode,AN$2)))*(PayEarnType="Annual")*(PayEarnValues)))),IF(ISNUMBER(OFFSET($N$3,0,MATCH(AN$5,PayDedList,0)-1,1,1)),OFFSET($N$3,0,MATCH(AN$5,PayDedList,0)-1,1,1),IgnoreMin)))*IF(COUNTIFS(EmpNo,$C162,OFFSET(Emp!$R$4,1,MATCH(AN$5,DedListItem,0)-1,EmpCount,1),"&lt;&gt;")&gt;0,VLOOKUP($C162,EmpAll,COLUMN(Emp!$R$4)+MATCH(AN$5,DedListItem,0)-1,0),OFFSET(Setup!$E$73,MATCH(AN$5,DedListItem,0),0,1,1))*AN$3))),IF(ISNUMBER(AN$4),AN$4,IgnoreMin)))))</f>
        <v>0</v>
      </c>
      <c r="AO162" s="148" cm="1">
        <f t="array" aca="1" ref="AO162" ca="1">-IF($F162="Terminated",0,IF($AA162=0,0,IF(ISNA(MATCH(AO$5,PayDedList,0)),0,MIN(IF(COUNTIFS(OverEmp,$C162,OverDeduct,AO$5,OverDate,"&lt;"&amp;DATE(YEAR($AC162),MONTH($AC162)+1,1),OverEnd,"&gt;="&amp;DATE(YEAR($AC162),MONTH($AC162),1))&gt;0,SUMPRODUCT((PayEmp=$C162)*(PayDate&lt;=$AC162)*(OFFSET($N$6,1,MATCH(AO$5,PayDedList,0)-1,PayCount,1)))/$AA162*12*AO$3,IF(OR(AO$1="Fixed",AO$1="Not Used"),SUMPRODUCT((PayEmp=$C162)*(PayDate&lt;=$AC162)*(OFFSET($N$6,1,MATCH(AO$5,PayDedList,0)-1,PayCount,1)))/$AA162*12*AO$3,IF(ISNA(MATCH(AO$1,EarnListItem,0))=FALSE,SUMPRODUCT((PayEmp=$C162)*(PayDate&lt;=$AC162)*(OFFSET($N$6,1,MATCH(AO$5,PayDedList,0)-1,PayCount,1)))/$AA162*12*AO$3,(MIN(((SUMPRODUCT((PayEmp=$C162)*(PayDate&lt;=$AC162)*(ISERROR(SEARCH(PayEarnCode,AO$2)))*(PayEarnType="Monthly")*(PayEarnValues))/$AA162*12)+(SUMPRODUCT((PayEmp=$C162)*(PayDate&lt;=$AC162)*(ISERROR(SEARCH(PayEarnCode,AO$2)))*(PayEarnType="Quarterly")*(PayEarnValues))/MAX(1,ROUNDDOWN($AB162/3,0))*4)+(SUMPRODUCT((PayEmp=$C162)*(PayDate&lt;=$AC162)*(ISERROR(SEARCH(PayEarnCode,AO$2)))*(PayEarnType="Bi-Annual")*(PayEarnValues))/MAX(1,ROUNDDOWN($AB162/6,0))*2)+(SUMPRODUCT((PayEmp=$C162)*(PayDate&lt;=$AC162)*(ISERROR(SEARCH(PayEarnCode,AO$2)))*(PayEarnType="Annual")*(PayEarnValues)))),IF(ISNUMBER(OFFSET($N$3,0,MATCH(AO$5,PayDedList,0)-1,1,1)),OFFSET($N$3,0,MATCH(AO$5,PayDedList,0)-1,1,1),IgnoreMin)))*IF(COUNTIFS(EmpNo,$C162,OFFSET(Emp!$R$4,1,MATCH(AO$5,DedListItem,0)-1,EmpCount,1),"&lt;&gt;")&gt;0,VLOOKUP($C162,EmpAll,COLUMN(Emp!$R$4)+MATCH(AO$5,DedListItem,0)-1,0),OFFSET(Setup!$E$73,MATCH(AO$5,DedListItem,0),0,1,1))*AO$3))),IF(ISNUMBER(AO$4),AO$4,IgnoreMin)))))</f>
        <v>0</v>
      </c>
      <c r="AP162" s="148" cm="1">
        <f t="array" aca="1" ref="AP162" ca="1">-IF($F162="Terminated",0,IF($AA162=0,0,IF(ISNA(MATCH(AP$5,PayDedList,0)),0,MIN(IF(COUNTIFS(OverEmp,$C162,OverDeduct,AP$5,OverDate,"&lt;"&amp;DATE(YEAR($AC162),MONTH($AC162)+1,1),OverEnd,"&gt;="&amp;DATE(YEAR($AC162),MONTH($AC162),1))&gt;0,SUMPRODUCT((PayEmp=$C162)*(PayDate&lt;=$AC162)*(OFFSET($N$6,1,MATCH(AP$5,PayDedList,0)-1,PayCount,1)))/$AA162*12*AP$3,IF(OR(AP$1="Fixed",AP$1="Not Used"),SUMPRODUCT((PayEmp=$C162)*(PayDate&lt;=$AC162)*(OFFSET($N$6,1,MATCH(AP$5,PayDedList,0)-1,PayCount,1)))/$AA162*12*AP$3,IF(ISNA(MATCH(AP$1,EarnListItem,0))=FALSE,SUMPRODUCT((PayEmp=$C162)*(PayDate&lt;=$AC162)*(OFFSET($N$6,1,MATCH(AP$5,PayDedList,0)-1,PayCount,1)))/$AA162*12*AP$3,(MIN(((SUMPRODUCT((PayEmp=$C162)*(PayDate&lt;=$AC162)*(ISERROR(SEARCH(PayEarnCode,AP$2)))*(PayEarnType="Monthly")*(PayEarnValues))/$AA162*12)+(SUMPRODUCT((PayEmp=$C162)*(PayDate&lt;=$AC162)*(ISERROR(SEARCH(PayEarnCode,AP$2)))*(PayEarnType="Quarterly")*(PayEarnValues))/MAX(1,ROUNDDOWN($AB162/3,0))*4)+(SUMPRODUCT((PayEmp=$C162)*(PayDate&lt;=$AC162)*(ISERROR(SEARCH(PayEarnCode,AP$2)))*(PayEarnType="Bi-Annual")*(PayEarnValues))/MAX(1,ROUNDDOWN($AB162/6,0))*2)+(SUMPRODUCT((PayEmp=$C162)*(PayDate&lt;=$AC162)*(ISERROR(SEARCH(PayEarnCode,AP$2)))*(PayEarnType="Annual")*(PayEarnValues)))),IF(ISNUMBER(OFFSET($N$3,0,MATCH(AP$5,PayDedList,0)-1,1,1)),OFFSET($N$3,0,MATCH(AP$5,PayDedList,0)-1,1,1),IgnoreMin)))*IF(COUNTIFS(EmpNo,$C162,OFFSET(Emp!$R$4,1,MATCH(AP$5,DedListItem,0)-1,EmpCount,1),"&lt;&gt;")&gt;0,VLOOKUP($C162,EmpAll,COLUMN(Emp!$R$4)+MATCH(AP$5,DedListItem,0)-1,0),OFFSET(Setup!$E$73,MATCH(AP$5,DedListItem,0),0,1,1))*AP$3))),IF(ISNUMBER(AP$4),AP$4,IgnoreMin)))))</f>
        <v>0</v>
      </c>
      <c r="AQ162" s="148" cm="1">
        <f t="array" aca="1" ref="AQ162" ca="1">-IF($F162="Terminated",0,IF($AA162=0,0,IF(ISNA(MATCH(AQ$5,PayDedList,0)),0,MIN(IF(COUNTIFS(OverEmp,$C162,OverDeduct,AQ$5,OverDate,"&lt;"&amp;DATE(YEAR($AC162),MONTH($AC162)+1,1),OverEnd,"&gt;="&amp;DATE(YEAR($AC162),MONTH($AC162),1))&gt;0,SUMPRODUCT((PayEmp=$C162)*(PayDate&lt;=$AC162)*(OFFSET($N$6,1,MATCH(AQ$5,PayDedList,0)-1,PayCount,1)))/$AA162*12*AQ$3,IF(OR(AQ$1="Fixed",AQ$1="Not Used"),SUMPRODUCT((PayEmp=$C162)*(PayDate&lt;=$AC162)*(OFFSET($N$6,1,MATCH(AQ$5,PayDedList,0)-1,PayCount,1)))/$AA162*12*AQ$3,IF(ISNA(MATCH(AQ$1,EarnListItem,0))=FALSE,SUMPRODUCT((PayEmp=$C162)*(PayDate&lt;=$AC162)*(OFFSET($N$6,1,MATCH(AQ$5,PayDedList,0)-1,PayCount,1)))/$AA162*12*AQ$3,(MIN(((SUMPRODUCT((PayEmp=$C162)*(PayDate&lt;=$AC162)*(ISERROR(SEARCH(PayEarnCode,AQ$2)))*(PayEarnType="Monthly")*(PayEarnValues))/$AA162*12)+(SUMPRODUCT((PayEmp=$C162)*(PayDate&lt;=$AC162)*(ISERROR(SEARCH(PayEarnCode,AQ$2)))*(PayEarnType="Quarterly")*(PayEarnValues))/MAX(1,ROUNDDOWN($AB162/3,0))*4)+(SUMPRODUCT((PayEmp=$C162)*(PayDate&lt;=$AC162)*(ISERROR(SEARCH(PayEarnCode,AQ$2)))*(PayEarnType="Bi-Annual")*(PayEarnValues))/MAX(1,ROUNDDOWN($AB162/6,0))*2)+(SUMPRODUCT((PayEmp=$C162)*(PayDate&lt;=$AC162)*(ISERROR(SEARCH(PayEarnCode,AQ$2)))*(PayEarnType="Annual")*(PayEarnValues)))),IF(ISNUMBER(OFFSET($N$3,0,MATCH(AQ$5,PayDedList,0)-1,1,1)),OFFSET($N$3,0,MATCH(AQ$5,PayDedList,0)-1,1,1),IgnoreMin)))*IF(COUNTIFS(EmpNo,$C162,OFFSET(Emp!$R$4,1,MATCH(AQ$5,DedListItem,0)-1,EmpCount,1),"&lt;&gt;")&gt;0,VLOOKUP($C162,EmpAll,COLUMN(Emp!$R$4)+MATCH(AQ$5,DedListItem,0)-1,0),OFFSET(Setup!$E$73,MATCH(AQ$5,DedListItem,0),0,1,1))*AQ$3))),IF(ISNUMBER(AQ$4),AQ$4,IgnoreMin)))))</f>
        <v>0</v>
      </c>
      <c r="AR162" s="148">
        <f t="shared" ca="1" si="81"/>
        <v>131090.90909090909</v>
      </c>
      <c r="AS162" s="148">
        <f t="shared" ca="1" si="72"/>
        <v>121090.90909090909</v>
      </c>
      <c r="AT162" s="148" cm="1">
        <f t="array" aca="1" ref="AT162" ca="1">-IF($F162="Terminated",0,IF($AA162=0,0,IF(ISNA(MATCH(AT$5,PayDedList,0)),0,MIN(IF(COUNTIFS(OverEmp,$C162,OverDeduct,AT$5,OverDate,"&lt;"&amp;DATE(YEAR($AC162),MONTH($AC162)+1,1),OverEnd,"&gt;="&amp;DATE(YEAR($AC162),MONTH($AC162),1))&gt;0,SUMPRODUCT((PayEmp=$C162)*(PayDate&lt;=$AC162)*(OFFSET($N$6,1,MATCH(AT$5,PayDedList,0)-1,PayCount,1)))/$AA162*12*AT$3,IF(OR(AT$1="Fixed",AT$1="Not Used"),SUMPRODUCT((PayEmp=$C162)*(PayDate&lt;=$AC162)*(OFFSET($N$6,1,MATCH(AT$5,PayDedList,0)-1,PayCount,1)))/$AA162*12*AT$3,IF(ISNA(MATCH(OFFSET($N$2,0,MATCH(AT$5,PayDedList,0)-1,1,1),EarnListItem,0))=FALSE,SUMPRODUCT((PayEmp=$C162)*(PayDate&lt;=$AC162)*(OFFSET($N$6,1,MATCH(AT$5,PayDedList,0)-1,PayCount,1)))/$AA162*12*AT$3,(MIN(SUMPRODUCT((PayEmp=$C162)*(PayDate&lt;=$AC162)*(ISERROR(SEARCH(PayEarnCode,AT$2)))*(PayEarnType="Monthly")*(PayEarnValues))/$AA162*12,IF(ISNUMBER(OFFSET($N$3,0,MATCH(AT$5,PayDedList,0)-1,1,1)),OFFSET($N$3,0,MATCH(AT$5,PayDedList,0)-1,1,1),IgnoreMin)))*IF(COUNTIFS(EmpNo,$C162,OFFSET(Emp!$R$4,1,MATCH(AT$5,DedListItem,0)-1,EmpCount,1),"&lt;&gt;")&gt;0,VLOOKUP($C162,EmpAll,COLUMN(Emp!$R$4)+MATCH(AT$5,DedListItem,0)-1,0),OFFSET(Setup!$E$73,MATCH(AT$5,DedListItem,0),0,1,1))*AT$3))),IF(ISNUMBER(AT$4),AT$4,IgnoreMin)))))</f>
        <v>0</v>
      </c>
      <c r="AU162" s="148" cm="1">
        <f t="array" aca="1" ref="AU162" ca="1">-IF($F162="Terminated",0,IF($AA162=0,0,IF(ISNA(MATCH(AU$5,PayDedList,0)),0,MIN(IF(COUNTIFS(OverEmp,$C162,OverDeduct,AU$5,OverDate,"&lt;"&amp;DATE(YEAR($AC162),MONTH($AC162)+1,1),OverEnd,"&gt;="&amp;DATE(YEAR($AC162),MONTH($AC162),1))&gt;0,SUMPRODUCT((PayEmp=$C162)*(PayDate&lt;=$AC162)*(OFFSET($N$6,1,MATCH(AU$5,PayDedList,0)-1,PayCount,1)))/$AA162*12*AU$3,IF(OR(AU$1="Fixed",AU$1="Not Used"),SUMPRODUCT((PayEmp=$C162)*(PayDate&lt;=$AC162)*(OFFSET($N$6,1,MATCH(AU$5,PayDedList,0)-1,PayCount,1)))/$AA162*12*AU$3,IF(ISNA(MATCH(OFFSET($N$2,0,MATCH(AU$5,PayDedList,0)-1,1,1),EarnListItem,0))=FALSE,SUMPRODUCT((PayEmp=$C162)*(PayDate&lt;=$AC162)*(OFFSET($N$6,1,MATCH(AU$5,PayDedList,0)-1,PayCount,1)))/$AA162*12*AU$3,(MIN(SUMPRODUCT((PayEmp=$C162)*(PayDate&lt;=$AC162)*(ISERROR(SEARCH(PayEarnCode,AU$2)))*(PayEarnType="Monthly")*(PayEarnValues))/$AA162*12,IF(ISNUMBER(OFFSET($N$3,0,MATCH(AU$5,PayDedList,0)-1,1,1)),OFFSET($N$3,0,MATCH(AU$5,PayDedList,0)-1,1,1),IgnoreMin)))*IF(COUNTIFS(EmpNo,$C162,OFFSET(Emp!$R$4,1,MATCH(AU$5,DedListItem,0)-1,EmpCount,1),"&lt;&gt;")&gt;0,VLOOKUP($C162,EmpAll,COLUMN(Emp!$R$4)+MATCH(AU$5,DedListItem,0)-1,0),OFFSET(Setup!$E$73,MATCH(AU$5,DedListItem,0),0,1,1))*AU$3))),IF(ISNUMBER(AU$4),AU$4,IgnoreMin)))))</f>
        <v>0</v>
      </c>
      <c r="AV162" s="148" cm="1">
        <f t="array" aca="1" ref="AV162" ca="1">-IF($F162="Terminated",0,IF($AA162=0,0,IF(ISNA(MATCH(AV$5,PayDedList,0)),0,MIN(IF(COUNTIFS(OverEmp,$C162,OverDeduct,AV$5,OverDate,"&lt;"&amp;DATE(YEAR($AC162),MONTH($AC162)+1,1),OverEnd,"&gt;="&amp;DATE(YEAR($AC162),MONTH($AC162),1))&gt;0,SUMPRODUCT((PayEmp=$C162)*(PayDate&lt;=$AC162)*(OFFSET($N$6,1,MATCH(AV$5,PayDedList,0)-1,PayCount,1)))/$AA162*12*AV$3,IF(OR(AV$1="Fixed",AV$1="Not Used"),SUMPRODUCT((PayEmp=$C162)*(PayDate&lt;=$AC162)*(OFFSET($N$6,1,MATCH(AV$5,PayDedList,0)-1,PayCount,1)))/$AA162*12*AV$3,IF(ISNA(MATCH(OFFSET($N$2,0,MATCH(AV$5,PayDedList,0)-1,1,1),EarnListItem,0))=FALSE,SUMPRODUCT((PayEmp=$C162)*(PayDate&lt;=$AC162)*(OFFSET($N$6,1,MATCH(AV$5,PayDedList,0)-1,PayCount,1)))/$AA162*12*AV$3,(MIN(SUMPRODUCT((PayEmp=$C162)*(PayDate&lt;=$AC162)*(ISERROR(SEARCH(PayEarnCode,AV$2)))*(PayEarnType="Monthly")*(PayEarnValues))/$AA162*12,IF(ISNUMBER(OFFSET($N$3,0,MATCH(AV$5,PayDedList,0)-1,1,1)),OFFSET($N$3,0,MATCH(AV$5,PayDedList,0)-1,1,1),IgnoreMin)))*IF(COUNTIFS(EmpNo,$C162,OFFSET(Emp!$R$4,1,MATCH(AV$5,DedListItem,0)-1,EmpCount,1),"&lt;&gt;")&gt;0,VLOOKUP($C162,EmpAll,COLUMN(Emp!$R$4)+MATCH(AV$5,DedListItem,0)-1,0),OFFSET(Setup!$E$73,MATCH(AV$5,DedListItem,0),0,1,1))*AV$3))),IF(ISNUMBER(AV$4),AV$4,IgnoreMin)))))</f>
        <v>0</v>
      </c>
      <c r="AW162" s="148" cm="1">
        <f t="array" aca="1" ref="AW162" ca="1">-IF($F162="Terminated",0,IF($AA162=0,0,IF(ISNA(MATCH(AW$5,PayDedList,0)),0,MIN(IF(COUNTIFS(OverEmp,$C162,OverDeduct,AW$5,OverDate,"&lt;"&amp;DATE(YEAR($AC162),MONTH($AC162)+1,1),OverEnd,"&gt;="&amp;DATE(YEAR($AC162),MONTH($AC162),1))&gt;0,SUMPRODUCT((PayEmp=$C162)*(PayDate&lt;=$AC162)*(OFFSET($N$6,1,MATCH(AW$5,PayDedList,0)-1,PayCount,1)))/$AA162*12*AW$3,IF(OR(AW$1="Fixed",AW$1="Not Used"),SUMPRODUCT((PayEmp=$C162)*(PayDate&lt;=$AC162)*(OFFSET($N$6,1,MATCH(AW$5,PayDedList,0)-1,PayCount,1)))/$AA162*12*AW$3,IF(ISNA(MATCH(OFFSET($N$2,0,MATCH(AW$5,PayDedList,0)-1,1,1),EarnListItem,0))=FALSE,SUMPRODUCT((PayEmp=$C162)*(PayDate&lt;=$AC162)*(OFFSET($N$6,1,MATCH(AW$5,PayDedList,0)-1,PayCount,1)))/$AA162*12*AW$3,(MIN(SUMPRODUCT((PayEmp=$C162)*(PayDate&lt;=$AC162)*(ISERROR(SEARCH(PayEarnCode,AW$2)))*(PayEarnType="Monthly")*(PayEarnValues))/$AA162*12,IF(ISNUMBER(OFFSET($N$3,0,MATCH(AW$5,PayDedList,0)-1,1,1)),OFFSET($N$3,0,MATCH(AW$5,PayDedList,0)-1,1,1),IgnoreMin)))*IF(COUNTIFS(EmpNo,$C162,OFFSET(Emp!$R$4,1,MATCH(AW$5,DedListItem,0)-1,EmpCount,1),"&lt;&gt;")&gt;0,VLOOKUP($C162,EmpAll,COLUMN(Emp!$R$4)+MATCH(AW$5,DedListItem,0)-1,0),OFFSET(Setup!$E$73,MATCH(AW$5,DedListItem,0),0,1,1))*AW$3))),IF(ISNUMBER(AW$4),AW$4,IgnoreMin)))))</f>
        <v>0</v>
      </c>
      <c r="AX162" s="148">
        <f t="shared" ca="1" si="73"/>
        <v>121090.90909090909</v>
      </c>
      <c r="AY162" s="148">
        <f t="shared" ca="1" si="74"/>
        <v>10000</v>
      </c>
      <c r="AZ162" s="148">
        <f ca="1">IF(ISNUMBER($AL162),($AR162*$AL162)-$AI162-$AK162,MAX(0,IF($AL162="B",IF($AR162&lt;Setup!$C$32,($AR162*Setup!$D$32)-$AI162-$AK162,(($AR162-VLOOKUP($AR162,TaxAll2,1,1))*OFFSET(Setup!$D$32,MATCH($AR162,TaxBracket2,1),0,1,1))+OFFSET(Setup!$E$31,MATCH($AR162,TaxBracket2,1),0,1,1)-$AI162-$AK162),IF($AR162&lt;Setup!$C$21,($AR162*Setup!$D$21)-$AI162-$AK162,(($AR162-VLOOKUP($AR162,TaxAll1,1,1))*OFFSET(Setup!$D$21,MATCH($AR162,TaxBracket1,1),0,1,1))+OFFSET(Setup!$E$20,MATCH($AR162,TaxBracket1,1),0,1,1)-$AI162-$AK162))))</f>
        <v>1993.363636363636</v>
      </c>
      <c r="BA162" s="148">
        <f ca="1">IF(ISNUMBER($AL162),($AX162*$AL162)-$AI162-$AK162,MAX(0,IF($AL162="B",IF($AX162&lt;Setup!$C$32,($AX162*Setup!$D$32)-$AI162-$AK162,(($AX162-VLOOKUP($AX162,TaxAll2,1,1))*OFFSET(Setup!$D$32,MATCH($AX162,TaxBracket2,1),0,1,1))+OFFSET(Setup!$E$31,MATCH($AX162,TaxBracket2,1),0,1,1)-$AI162-$AK162),IF($AX162&lt;Setup!$C$21,($AX162*Setup!$D$21)-$AI162-$AK162,(($AX162-VLOOKUP($AX162,TaxAll1,1,1))*OFFSET(Setup!$D$21,MATCH($AX162,TaxBracket1,1),0,1,1))+OFFSET(Setup!$E$20,MATCH($AX162,TaxBracket1,1),0,1,1)-$AI162-$AK162))))</f>
        <v>193.36363636363603</v>
      </c>
      <c r="BB162" s="148">
        <f t="shared" ca="1" si="82"/>
        <v>1800</v>
      </c>
      <c r="BC162" s="150">
        <f t="shared" ca="1" si="75"/>
        <v>0.92371705963938977</v>
      </c>
      <c r="BD162" s="150">
        <f t="shared" ca="1" si="76"/>
        <v>7.6282940360610271E-2</v>
      </c>
      <c r="BE162" s="148">
        <f t="shared" ca="1" si="77"/>
        <v>131090.90909090909</v>
      </c>
    </row>
    <row r="163" spans="1:57" ht="16.149999999999999" customHeight="1" x14ac:dyDescent="0.25">
      <c r="A163" s="10" t="str" cm="1">
        <f t="array" aca="1" ref="A163" ca="1">IF(ROW($A163)-ROW($A$6)&gt;EmpCount*12,"-",TEXT($B163,"yyyy")&amp;TEXT($B163,"mm")&amp;"-"&amp;$C163)</f>
        <v>202401-EXS007</v>
      </c>
      <c r="B163" s="137" cm="1">
        <f t="array" aca="1" ref="B163" ca="1">IF(ROW($A163)-ROW($A$6)&gt;EmpCount*12,Setup!$D$12,DATE(YEAR(Setup!$F$12),MONTH(Setup!$F$12)+ROUNDDOWN((ROW($A163)-ROW($A$6)-1)/EmpCount,0),IF(Setup!$C$14&gt;DAY(DATE(YEAR(Setup!$F$12),MONTH(Setup!$F$12)+ROUNDDOWN((ROW($A163)-ROW($A$6)-1)/EmpCount,0)+1,0)),DAY(DATE(YEAR(Setup!$F$12),MONTH(Setup!$F$12)+ROUNDDOWN((ROW($A163)-ROW($A$6)-1)/EmpCount,0)+1,0)),Setup!$C$14)))</f>
        <v>45316</v>
      </c>
      <c r="C163" s="101" t="str" cm="1">
        <f t="array" aca="1" ref="C163" ca="1">IF(ROW($A163)-ROW($A$6)&gt;EmpCount*12,"-",OFFSET(Emp!$A$4,ROW($A163)-ROW($A$6)-IF(ROW($A163)-ROW($A$6)&gt;EmpCount,ROUNDDOWN((ROW($A163)-ROW($A$6)-1)/EmpCount,0)*EmpCount,0),0,1,1))</f>
        <v>EXS007</v>
      </c>
      <c r="D163" s="10" t="str">
        <f ca="1">IF(ISNA(VLOOKUP($C163,EmpAll,COLUMN(Emp!$B$4),0)),"-",VLOOKUP($C163,EmpAll,COLUMN(Emp!$B$4),0))</f>
        <v>Phillips KE</v>
      </c>
      <c r="E163" s="145" t="str">
        <f ca="1">IF(ISNA(VLOOKUP($C163,EmpAll,COLUMN(Emp!$C$4),0)),"-",VLOOKUP($C163,EmpAll,COLUMN(Emp!$C$4),0))</f>
        <v>A</v>
      </c>
      <c r="F163" s="101" t="str">
        <f ca="1">IF(ISNA(VLOOKUP($C163,EmpAll,COLUMN(Emp!$A$4),0)),"-",IF(AND(VLOOKUP($C163,EmpAll,COLUMN(Emp!$E$4),0)&lt;&gt;0,VLOOKUP($C163,EmpAll,COLUMN(Emp!$E$4),0)&gt;=DATE(YEAR($AC163),MONTH($AC163)+1,0)),"Inactive",IF(AND(VLOOKUP($C163,EmpAll,COLUMN(Emp!$F$4),0)&lt;&gt;0,VLOOKUP($C163,EmpAll,COLUMN(Emp!$F$4),0)&lt;=DATE(YEAR($AC163),MONTH($AC163),0)),"Terminated","Active")))</f>
        <v>Terminated</v>
      </c>
      <c r="G163" s="133" cm="1">
        <f t="array" aca="1" ref="G163" ca="1">IF($F163&lt;&gt;"Active",0,IF(COUNTIFS(OverEmp,$C163,OverEarn,G$2,OverDate,"&lt;"&amp;DATE(YEAR($AC163),MONTH($AC163)+1,1),OverEnd,"&gt;="&amp;DATE(YEAR($AC163),MONTH($AC163),1))&gt;0,SUMIFS(OverValue,OverEmp,$C163,OverEarn,G$2,OverDate,"&lt;"&amp;DATE(YEAR($AC163),MONTH($AC163)+1,1),OverEnd,"&gt;="&amp;DATE(YEAR($AC163),MONTH($AC163),1)),IF(AND($AC163&gt;=Setup!$E$10,SUMIFS(EmpIncrease,EmpCode,$C163)&gt;0),SUMIFS(EmpIncrease,EmpCode,$C163),SUMIFS(EmpSalary,EmpCode,$C163))))</f>
        <v>0</v>
      </c>
      <c r="H163" s="133" cm="1">
        <f t="array" aca="1" ref="H163" ca="1">IF($F163&lt;&gt;"Active",0,IF(COUNTIFS(OverEmp,$C163,OverEarn,H$2,OverDate,"&lt;"&amp;DATE(YEAR($AC163),MONTH($AC163)+1,1),OverEnd,"&gt;="&amp;DATE(YEAR($AC163),MONTH($AC163),1))&gt;0,SUMIFS(OverValue,OverEmp,$C163,OverEarn,H$2,OverDate,"&lt;"&amp;DATE(YEAR($AC163),MONTH($AC163)+1,1),OverEnd,"&gt;="&amp;DATE(YEAR($AC163),MONTH($AC163),1)),0))</f>
        <v>0</v>
      </c>
      <c r="I163" s="133" cm="1">
        <f t="array" aca="1" ref="I163" ca="1">IF($F163&lt;&gt;"Active",0,IF(COUNTIFS(OverEmp,$C163,OverEarn,I$2,OverDate,"&lt;"&amp;DATE(YEAR($AC163),MONTH($AC163)+1,1),OverEnd,"&gt;="&amp;DATE(YEAR($AC163),MONTH($AC163),1))&gt;0,SUMIFS(OverValue,OverEmp,$C163,OverEarn,I$2,OverDate,"&lt;"&amp;DATE(YEAR($AC163),MONTH($AC163)+1,1),OverEnd,"&gt;="&amp;DATE(YEAR($AC163),MONTH($AC163),1)),IF(MONTH(B163)=Setup!$C$15,SUMIFS(EmpBonus,EmpCode,$C163),0)))</f>
        <v>0</v>
      </c>
      <c r="J163" s="133" cm="1">
        <f t="array" aca="1" ref="J163" ca="1">IF($F163&lt;&gt;"Active",0,IF(COUNTIFS(OverEmp,$C163,OverEarn,J$2,OverDate,"&lt;"&amp;DATE(YEAR($AC163),MONTH($AC163)+1,1),OverEnd,"&gt;="&amp;DATE(YEAR($AC163),MONTH($AC163),1))&gt;0,SUMIFS(OverValue,OverEmp,$C163,OverEarn,J$2,OverDate,"&lt;"&amp;DATE(YEAR($AC163),MONTH($AC163)+1,1),OverEnd,"&gt;="&amp;DATE(YEAR($AC163),MONTH($AC163),1)),0))</f>
        <v>0</v>
      </c>
      <c r="K163" s="133" cm="1">
        <f t="array" aca="1" ref="K163" ca="1">IF($F163&lt;&gt;"Active",0,IF(COUNTIFS(OverEmp,$C163,OverEarn,K$2,OverDate,"&lt;"&amp;DATE(YEAR($AC163),MONTH($AC163)+1,1),OverEnd,"&gt;="&amp;DATE(YEAR($AC163),MONTH($AC163),1))&gt;0,SUMIFS(OverValue,OverEmp,$C163,OverEarn,K$2,OverDate,"&lt;"&amp;DATE(YEAR($AC163),MONTH($AC163)+1,1),OverEnd,"&gt;="&amp;DATE(YEAR($AC163),MONTH($AC163),1)),0))</f>
        <v>0</v>
      </c>
      <c r="L163" s="185">
        <f t="shared" ca="1" si="66"/>
        <v>0</v>
      </c>
      <c r="M163" s="182" cm="1">
        <f t="array" aca="1" ref="M163" ca="1">IF(COUNTIFS(OverEmp,$C163,OverTax,M$5,OverDate,"&lt;"&amp;DATE(YEAR($AC163),MONTH($AC163)+1,1),OverEnd,"&gt;="&amp;DATE(YEAR($AC163),MONTH($AC163),1))&gt;0,SUMIFS(OverValue,OverEmp,$C163,OverTax,M$5,OverDate,"&lt;"&amp;DATE(YEAR($AC163),MONTH($AC163)+1,1),OverEnd,"&gt;="&amp;DATE(YEAR($AC163),MONTH($AC163),1)),(($BA163/12*$AA163)+(BB163*IF(1-$BC163=0,0,BD163/(1-$BC163))))-IF($F163="Terminated",0,SUMIFS(PayTaxDeduct,PayDate,"&lt;"&amp;$AC163,PayEmp,$C163)))</f>
        <v>0</v>
      </c>
      <c r="N163" s="133" cm="1">
        <f t="array" aca="1" ref="N163" ca="1">IF($F163="Terminated",0,IF($AA163=0,0,IF(ISNA(MATCH(N$5,DedListItem,0)),0,IF(COUNTIFS(OverEmp,$C163,OverDeduct,N$5,OverDate,"&lt;"&amp;DATE(YEAR($AC163),MONTH($AC163)+1,1),OverEnd,"&gt;="&amp;DATE(YEAR($AC163),MONTH($AC163),1))&gt;0,SUMIFS(OverValue,OverEmp,$C163,OverDeduct,N$5,OverDate,"&lt;"&amp;DATE(YEAR($AC163),MONTH($AC163)+1,1),OverEnd,"&gt;="&amp;DATE(YEAR($AC163),MONTH($AC163),1)),IF(OR(N$2="Fixed",N$2="Not Used"),(IF(COUNTIFS(EmpNo,$C163,OFFSET(Emp!$R$4,1,MATCH(N$5,DedListItem,0)-1,EmpCount,1),"&lt;&gt;")&gt;0,VLOOKUP($C163,EmpAll,COLUMN(Emp!$R$4)+MATCH(N$5,DedListItem,0)-1,0),OFFSET(Setup!$E$73,MATCH(N$5,DedListItem,0),0,1,1))*$AA163)-SUMIFS(OFFSET(N$6,1,0,PayCount,1),PayDate,"&lt;"&amp;$AC163,PayEmp,$C163),IF(ISNA(MATCH(N$2,EarnListItem,0))=FALSE,IF(OFFSET(Setup!$G$73,MATCH(N$5,DedListItem,0),0,1,1)="Taxable",SUMPRODUCT((PayEmp=$C163)*(PayDate&lt;=$AC163)*(PayEarnCode=N$2)*(PayEarnTax)*(PayEarnValues)),SUMPRODUCT((PayEmp=$C163)*(PayDate&lt;=$AC163)*(PayEarnCode=N$2)*(PayEarnValues)))*IF(COUNTIFS(EmpNo,$C163,OFFSET(Emp!$R$4,1,MATCH(N$5,DedListItem,0)-1,EmpCount,1),"&lt;&gt;")&gt;0,VLOOKUP($C163,EmpAll,COLUMN(Emp!$R$4)+MATCH(N$5,DedListItem,0)-1,0),OFFSET(Setup!$E$73,MATCH(N$5,DedListItem,0),0,1,1)),(MIN(IF(OFFSET(Setup!$G$73,MATCH(N$5,DedListItem,0),0,1,1)="Taxable",SUMPRODUCT((PayEmp=$C163)*(PayDate&lt;=$AC163)*(ISERROR(SEARCH(PayEarnCode,N$4)))*(PayEarnTax)*(PayEarnValues)),SUMPRODUCT((PayEmp=$C163)*(PayDate&lt;=$AC163)*(ISERROR(SEARCH(PayEarnCode,N$4)))*(PayEarnValues))),IF(ISNUMBER(N$3),N$3/12*$AA163,IgnoreMin)))*IF(COUNTIFS(EmpNo,$C163,OFFSET(Emp!$R$4,1,MATCH(N$5,DedListItem,0)-1,EmpCount,1),"&lt;&gt;")&gt;0,VLOOKUP($C163,EmpAll,COLUMN(Emp!$R$4)+MATCH(N$5,DedListItem,0)-1,0),OFFSET(Setup!$E$73,MATCH(N$5,DedListItem,0),0,1,1)))-SUMIFS(OFFSET(N$6,1,0,PayCount,1),PayDate,"&lt;"&amp;$AC163,PayEmp,$C163))))))</f>
        <v>0</v>
      </c>
      <c r="O163" s="133" cm="1">
        <f t="array" aca="1" ref="O163" ca="1">IF($F163="Terminated",0,IF($AA163=0,0,IF(ISNA(MATCH(O$5,DedListItem,0)),0,IF(COUNTIFS(OverEmp,$C163,OverDeduct,O$5,OverDate,"&lt;"&amp;DATE(YEAR($AC163),MONTH($AC163)+1,1),OverEnd,"&gt;="&amp;DATE(YEAR($AC163),MONTH($AC163),1))&gt;0,SUMIFS(OverValue,OverEmp,$C163,OverDeduct,O$5,OverDate,"&lt;"&amp;DATE(YEAR($AC163),MONTH($AC163)+1,1),OverEnd,"&gt;="&amp;DATE(YEAR($AC163),MONTH($AC163),1)),IF(OR(O$2="Fixed",O$2="Not Used"),(IF(COUNTIFS(EmpNo,$C163,OFFSET(Emp!$R$4,1,MATCH(O$5,DedListItem,0)-1,EmpCount,1),"&lt;&gt;")&gt;0,VLOOKUP($C163,EmpAll,COLUMN(Emp!$R$4)+MATCH(O$5,DedListItem,0)-1,0),OFFSET(Setup!$E$73,MATCH(O$5,DedListItem,0),0,1,1))*$AA163)-SUMIFS(OFFSET(O$6,1,0,PayCount,1),PayDate,"&lt;"&amp;$AC163,PayEmp,$C163),IF(ISNA(MATCH(O$2,EarnListItem,0))=FALSE,IF(OFFSET(Setup!$G$73,MATCH(O$5,DedListItem,0),0,1,1)="Taxable",SUMPRODUCT((PayEmp=$C163)*(PayDate&lt;=$AC163)*(PayEarnCode=O$2)*(PayEarnTax)*(PayEarnValues)),SUMPRODUCT((PayEmp=$C163)*(PayDate&lt;=$AC163)*(PayEarnCode=O$2)*(PayEarnValues)))*IF(COUNTIFS(EmpNo,$C163,OFFSET(Emp!$R$4,1,MATCH(O$5,DedListItem,0)-1,EmpCount,1),"&lt;&gt;")&gt;0,VLOOKUP($C163,EmpAll,COLUMN(Emp!$R$4)+MATCH(O$5,DedListItem,0)-1,0),OFFSET(Setup!$E$73,MATCH(O$5,DedListItem,0),0,1,1)),(MIN(IF(OFFSET(Setup!$G$73,MATCH(O$5,DedListItem,0),0,1,1)="Taxable",SUMPRODUCT((PayEmp=$C163)*(PayDate&lt;=$AC163)*(ISERROR(SEARCH(PayEarnCode,O$4)))*(PayEarnTax)*(PayEarnValues)),SUMPRODUCT((PayEmp=$C163)*(PayDate&lt;=$AC163)*(ISERROR(SEARCH(PayEarnCode,O$4)))*(PayEarnValues))),IF(ISNUMBER(O$3),O$3/12*$AA163,IgnoreMin)))*IF(COUNTIFS(EmpNo,$C163,OFFSET(Emp!$R$4,1,MATCH(O$5,DedListItem,0)-1,EmpCount,1),"&lt;&gt;")&gt;0,VLOOKUP($C163,EmpAll,COLUMN(Emp!$R$4)+MATCH(O$5,DedListItem,0)-1,0),OFFSET(Setup!$E$73,MATCH(O$5,DedListItem,0),0,1,1)))-SUMIFS(OFFSET(O$6,1,0,PayCount,1),PayDate,"&lt;"&amp;$AC163,PayEmp,$C163))))))</f>
        <v>0</v>
      </c>
      <c r="P163" s="133" cm="1">
        <f t="array" aca="1" ref="P163" ca="1">IF($F163="Terminated",0,IF($AA163=0,0,IF(ISNA(MATCH(P$5,DedListItem,0)),0,IF(COUNTIFS(OverEmp,$C163,OverDeduct,P$5,OverDate,"&lt;"&amp;DATE(YEAR($AC163),MONTH($AC163)+1,1),OverEnd,"&gt;="&amp;DATE(YEAR($AC163),MONTH($AC163),1))&gt;0,SUMIFS(OverValue,OverEmp,$C163,OverDeduct,P$5,OverDate,"&lt;"&amp;DATE(YEAR($AC163),MONTH($AC163)+1,1),OverEnd,"&gt;="&amp;DATE(YEAR($AC163),MONTH($AC163),1)),IF(OR(P$2="Fixed",P$2="Not Used"),(IF(COUNTIFS(EmpNo,$C163,OFFSET(Emp!$R$4,1,MATCH(P$5,DedListItem,0)-1,EmpCount,1),"&lt;&gt;")&gt;0,VLOOKUP($C163,EmpAll,COLUMN(Emp!$R$4)+MATCH(P$5,DedListItem,0)-1,0),OFFSET(Setup!$E$73,MATCH(P$5,DedListItem,0),0,1,1))*$AA163)-SUMIFS(OFFSET(P$6,1,0,PayCount,1),PayDate,"&lt;"&amp;$AC163,PayEmp,$C163),IF(ISNA(MATCH(P$2,EarnListItem,0))=FALSE,IF(OFFSET(Setup!$G$73,MATCH(P$5,DedListItem,0),0,1,1)="Taxable",SUMPRODUCT((PayEmp=$C163)*(PayDate&lt;=$AC163)*(PayEarnCode=P$2)*(PayEarnTax)*(PayEarnValues)),SUMPRODUCT((PayEmp=$C163)*(PayDate&lt;=$AC163)*(PayEarnCode=P$2)*(PayEarnValues)))*IF(COUNTIFS(EmpNo,$C163,OFFSET(Emp!$R$4,1,MATCH(P$5,DedListItem,0)-1,EmpCount,1),"&lt;&gt;")&gt;0,VLOOKUP($C163,EmpAll,COLUMN(Emp!$R$4)+MATCH(P$5,DedListItem,0)-1,0),OFFSET(Setup!$E$73,MATCH(P$5,DedListItem,0),0,1,1)),(MIN(IF(OFFSET(Setup!$G$73,MATCH(P$5,DedListItem,0),0,1,1)="Taxable",SUMPRODUCT((PayEmp=$C163)*(PayDate&lt;=$AC163)*(ISERROR(SEARCH(PayEarnCode,P$4)))*(PayEarnTax)*(PayEarnValues)),SUMPRODUCT((PayEmp=$C163)*(PayDate&lt;=$AC163)*(ISERROR(SEARCH(PayEarnCode,P$4)))*(PayEarnValues))),IF(ISNUMBER(P$3),P$3/12*$AA163,IgnoreMin)))*IF(COUNTIFS(EmpNo,$C163,OFFSET(Emp!$R$4,1,MATCH(P$5,DedListItem,0)-1,EmpCount,1),"&lt;&gt;")&gt;0,VLOOKUP($C163,EmpAll,COLUMN(Emp!$R$4)+MATCH(P$5,DedListItem,0)-1,0),OFFSET(Setup!$E$73,MATCH(P$5,DedListItem,0),0,1,1)))-SUMIFS(OFFSET(P$6,1,0,PayCount,1),PayDate,"&lt;"&amp;$AC163,PayEmp,$C163))))))</f>
        <v>0</v>
      </c>
      <c r="Q163" s="133" cm="1">
        <f t="array" aca="1" ref="Q163" ca="1">IF($F163="Terminated",0,IF($AA163=0,0,IF(ISNA(MATCH(Q$5,DedListItem,0)),0,IF(COUNTIFS(OverEmp,$C163,OverDeduct,Q$5,OverDate,"&lt;"&amp;DATE(YEAR($AC163),MONTH($AC163)+1,1),OverEnd,"&gt;="&amp;DATE(YEAR($AC163),MONTH($AC163),1))&gt;0,SUMIFS(OverValue,OverEmp,$C163,OverDeduct,Q$5,OverDate,"&lt;"&amp;DATE(YEAR($AC163),MONTH($AC163)+1,1),OverEnd,"&gt;="&amp;DATE(YEAR($AC163),MONTH($AC163),1)),IF(OR(Q$2="Fixed",Q$2="Not Used"),(IF(COUNTIFS(EmpNo,$C163,OFFSET(Emp!$R$4,1,MATCH(Q$5,DedListItem,0)-1,EmpCount,1),"&lt;&gt;")&gt;0,VLOOKUP($C163,EmpAll,COLUMN(Emp!$R$4)+MATCH(Q$5,DedListItem,0)-1,0),OFFSET(Setup!$E$73,MATCH(Q$5,DedListItem,0),0,1,1))*$AA163)-SUMIFS(OFFSET(Q$6,1,0,PayCount,1),PayDate,"&lt;"&amp;$AC163,PayEmp,$C163),IF(ISNA(MATCH(Q$2,EarnListItem,0))=FALSE,IF(OFFSET(Setup!$G$73,MATCH(Q$5,DedListItem,0),0,1,1)="Taxable",SUMPRODUCT((PayEmp=$C163)*(PayDate&lt;=$AC163)*(PayEarnCode=Q$2)*(PayEarnTax)*(PayEarnValues)),SUMPRODUCT((PayEmp=$C163)*(PayDate&lt;=$AC163)*(PayEarnCode=Q$2)*(PayEarnValues)))*IF(COUNTIFS(EmpNo,$C163,OFFSET(Emp!$R$4,1,MATCH(Q$5,DedListItem,0)-1,EmpCount,1),"&lt;&gt;")&gt;0,VLOOKUP($C163,EmpAll,COLUMN(Emp!$R$4)+MATCH(Q$5,DedListItem,0)-1,0),OFFSET(Setup!$E$73,MATCH(Q$5,DedListItem,0),0,1,1)),(MIN(IF(OFFSET(Setup!$G$73,MATCH(Q$5,DedListItem,0),0,1,1)="Taxable",SUMPRODUCT((PayEmp=$C163)*(PayDate&lt;=$AC163)*(ISERROR(SEARCH(PayEarnCode,Q$4)))*(PayEarnTax)*(PayEarnValues)),SUMPRODUCT((PayEmp=$C163)*(PayDate&lt;=$AC163)*(ISERROR(SEARCH(PayEarnCode,Q$4)))*(PayEarnValues))),IF(ISNUMBER(Q$3),Q$3/12*$AA163,IgnoreMin)))*IF(COUNTIFS(EmpNo,$C163,OFFSET(Emp!$R$4,1,MATCH(Q$5,DedListItem,0)-1,EmpCount,1),"&lt;&gt;")&gt;0,VLOOKUP($C163,EmpAll,COLUMN(Emp!$R$4)+MATCH(Q$5,DedListItem,0)-1,0),OFFSET(Setup!$E$73,MATCH(Q$5,DedListItem,0),0,1,1)))-SUMIFS(OFFSET(Q$6,1,0,PayCount,1),PayDate,"&lt;"&amp;$AC163,PayEmp,$C163))))))</f>
        <v>0</v>
      </c>
      <c r="R163" s="185">
        <f t="shared" ca="1" si="67"/>
        <v>0</v>
      </c>
      <c r="S163" s="139">
        <f t="shared" ca="1" si="68"/>
        <v>0</v>
      </c>
      <c r="T163" s="133" cm="1">
        <f t="array" aca="1" ref="T163" ca="1">IF($F163="Terminated",0,IF($AA163=0,0,IF(ISNA(MATCH(T$5,CompListItem,0)),0,IF(COUNTIFS(OverEmp,$C163,OverComp,T$5,OverDate,"&lt;"&amp;DATE(YEAR($AC163),MONTH($AC163)+1,1),OverEnd,"&gt;="&amp;DATE(YEAR($AC163),MONTH($AC163),1))&gt;0,SUMIFS(OverValue,OverEmp,$C163,OverComp,T$5,OverDate,"&lt;"&amp;DATE(YEAR($AC163),MONTH($AC163)+1,1),OverEnd,"&gt;="&amp;DATE(YEAR($AC163),MONTH($AC163),1)),IF(OR(T$2="Fixed",T$2="Not Used"),(OFFSET(Setup!$E$81,MATCH(T$5,CompListItem,0),0,1,1)*$AA163)-SUMIFS(OFFSET(T$6,1,0,PayCount,1),PayDate,"&lt;"&amp;$AC163,PayEmp,$C163),IF(ISNA(MATCH(T$2,DedListItem,0))=FALSE,(SUMPRODUCT((PayEmp=$C163)*(PayDate&lt;=$AC163)*(PayDedList=T$2)*(PayDedValues))*OFFSET(Setup!$E$81,MATCH(T$5,CompListItem,0),0,1,1))-SUMIFS(OFFSET(T$6,1,0,PayCount,1),PayDate,"&lt;"&amp;$AC163,PayEmp,$C163),(MIN(IF(OFFSET(Setup!$G$81,MATCH(T$5,CompListItem,0),0,1,1)="Taxable",SUMPRODUCT((PayEmp=$C163)*(PayDate&lt;=$AC163)*(ISERROR(SEARCH(PayEarnCode,T$4)))*(PayEarnTax)*(PayEarnValues)),SUMPRODUCT((PayEmp=$C163)*(PayDate&lt;=$AC163)*(ISERROR(SEARCH(PayEarnCode,T$4)))*(PayEarnValues))),IF(ISNUMBER(T$3),T$3/12*$AA163,IgnoreMin)))*OFFSET(Setup!$E$81,MATCH(T$5,CompListItem,0),0,1,1)-SUMIFS(OFFSET(T$6,1,0,PayCount,1),PayDate,"&lt;"&amp;$AC163,PayEmp,$C163)))))))</f>
        <v>0</v>
      </c>
      <c r="U163" s="133" cm="1">
        <f t="array" aca="1" ref="U163" ca="1">IF($F163="Terminated",0,IF($AA163=0,0,IF(ISNA(MATCH(U$5,CompListItem,0)),0,IF(COUNTIFS(OverEmp,$C163,OverComp,U$5,OverDate,"&lt;"&amp;DATE(YEAR($AC163),MONTH($AC163)+1,1),OverEnd,"&gt;="&amp;DATE(YEAR($AC163),MONTH($AC163),1))&gt;0,SUMIFS(OverValue,OverEmp,$C163,OverComp,U$5,OverDate,"&lt;"&amp;DATE(YEAR($AC163),MONTH($AC163)+1,1),OverEnd,"&gt;="&amp;DATE(YEAR($AC163),MONTH($AC163),1)),IF(OR(U$2="Fixed",U$2="Not Used"),(OFFSET(Setup!$E$81,MATCH(U$5,CompListItem,0),0,1,1)*$AA163)-SUMIFS(OFFSET(U$6,1,0,PayCount,1),PayDate,"&lt;"&amp;$AC163,PayEmp,$C163),IF(ISNA(MATCH(U$2,DedListItem,0))=FALSE,(SUMPRODUCT((PayEmp=$C163)*(PayDate&lt;=$AC163)*(PayDedList=U$2)*(PayDedValues))*OFFSET(Setup!$E$81,MATCH(U$5,CompListItem,0),0,1,1))-SUMIFS(OFFSET(U$6,1,0,PayCount,1),PayDate,"&lt;"&amp;$AC163,PayEmp,$C163),(MIN(IF(OFFSET(Setup!$G$81,MATCH(U$5,CompListItem,0),0,1,1)="Taxable",SUMPRODUCT((PayEmp=$C163)*(PayDate&lt;=$AC163)*(ISERROR(SEARCH(PayEarnCode,U$4)))*(PayEarnTax)*(PayEarnValues)),SUMPRODUCT((PayEmp=$C163)*(PayDate&lt;=$AC163)*(ISERROR(SEARCH(PayEarnCode,U$4)))*(PayEarnValues))),IF(ISNUMBER(U$3),U$3/12*$AA163,IgnoreMin)))*OFFSET(Setup!$E$81,MATCH(U$5,CompListItem,0),0,1,1)-SUMIFS(OFFSET(U$6,1,0,PayCount,1),PayDate,"&lt;"&amp;$AC163,PayEmp,$C163)))))))</f>
        <v>0</v>
      </c>
      <c r="V163" s="133" cm="1">
        <f t="array" aca="1" ref="V163" ca="1">IF($F163="Terminated",0,IF($AA163=0,0,IF(ISNA(MATCH(V$5,CompListItem,0)),0,IF(COUNTIFS(OverEmp,$C163,OverComp,V$5,OverDate,"&lt;"&amp;DATE(YEAR($AC163),MONTH($AC163)+1,1),OverEnd,"&gt;="&amp;DATE(YEAR($AC163),MONTH($AC163),1))&gt;0,SUMIFS(OverValue,OverEmp,$C163,OverComp,V$5,OverDate,"&lt;"&amp;DATE(YEAR($AC163),MONTH($AC163)+1,1),OverEnd,"&gt;="&amp;DATE(YEAR($AC163),MONTH($AC163),1)),IF(OR(V$2="Fixed",V$2="Not Used"),(OFFSET(Setup!$E$81,MATCH(V$5,CompListItem,0),0,1,1)*$AA163)-SUMIFS(OFFSET(V$6,1,0,PayCount,1),PayDate,"&lt;"&amp;$AC163,PayEmp,$C163),IF(ISNA(MATCH(V$2,DedListItem,0))=FALSE,(SUMPRODUCT((PayEmp=$C163)*(PayDate&lt;=$AC163)*(PayDedList=V$2)*(PayDedValues))*OFFSET(Setup!$E$81,MATCH(V$5,CompListItem,0),0,1,1))-SUMIFS(OFFSET(V$6,1,0,PayCount,1),PayDate,"&lt;"&amp;$AC163,PayEmp,$C163),(MIN(IF(OFFSET(Setup!$G$81,MATCH(V$5,CompListItem,0),0,1,1)="Taxable",SUMPRODUCT((PayEmp=$C163)*(PayDate&lt;=$AC163)*(ISERROR(SEARCH(PayEarnCode,V$4)))*(PayEarnTax)*(PayEarnValues)),SUMPRODUCT((PayEmp=$C163)*(PayDate&lt;=$AC163)*(ISERROR(SEARCH(PayEarnCode,V$4)))*(PayEarnValues))),IF(ISNUMBER(V$3),V$3/12*$AA163,IgnoreMin)))*OFFSET(Setup!$E$81,MATCH(V$5,CompListItem,0),0,1,1)-SUMIFS(OFFSET(V$6,1,0,PayCount,1),PayDate,"&lt;"&amp;$AC163,PayEmp,$C163)))))))</f>
        <v>0</v>
      </c>
      <c r="W163" s="133" cm="1">
        <f t="array" aca="1" ref="W163" ca="1">IF($F163="Terminated",0,IF($AA163=0,0,IF(ISNA(MATCH(W$5,CompListItem,0)),0,IF(COUNTIFS(OverEmp,$C163,OverComp,W$5,OverDate,"&lt;"&amp;DATE(YEAR($AC163),MONTH($AC163)+1,1),OverEnd,"&gt;="&amp;DATE(YEAR($AC163),MONTH($AC163),1))&gt;0,SUMIFS(OverValue,OverEmp,$C163,OverComp,W$5,OverDate,"&lt;"&amp;DATE(YEAR($AC163),MONTH($AC163)+1,1),OverEnd,"&gt;="&amp;DATE(YEAR($AC163),MONTH($AC163),1)),IF(OR(W$2="Fixed",W$2="Not Used"),(OFFSET(Setup!$E$81,MATCH(W$5,CompListItem,0),0,1,1)*$AA163)-SUMIFS(OFFSET(W$6,1,0,PayCount,1),PayDate,"&lt;"&amp;$AC163,PayEmp,$C163),IF(ISNA(MATCH(W$2,DedListItem,0))=FALSE,(SUMPRODUCT((PayEmp=$C163)*(PayDate&lt;=$AC163)*(PayDedList=W$2)*(PayDedValues))*OFFSET(Setup!$E$81,MATCH(W$5,CompListItem,0),0,1,1))-SUMIFS(OFFSET(W$6,1,0,PayCount,1),PayDate,"&lt;"&amp;$AC163,PayEmp,$C163),(MIN(IF(OFFSET(Setup!$G$81,MATCH(W$5,CompListItem,0),0,1,1)="Taxable",SUMPRODUCT((PayEmp=$C163)*(PayDate&lt;=$AC163)*(ISERROR(SEARCH(PayEarnCode,W$4)))*(PayEarnTax)*(PayEarnValues)),SUMPRODUCT((PayEmp=$C163)*(PayDate&lt;=$AC163)*(ISERROR(SEARCH(PayEarnCode,W$4)))*(PayEarnValues))),IF(ISNUMBER(W$3),W$3/12*$AA163,IgnoreMin)))*OFFSET(Setup!$E$81,MATCH(W$5,CompListItem,0),0,1,1)-SUMIFS(OFFSET(W$6,1,0,PayCount,1),PayDate,"&lt;"&amp;$AC163,PayEmp,$C163)))))))</f>
        <v>0</v>
      </c>
      <c r="X163" s="185">
        <f t="shared" ca="1" si="78"/>
        <v>0</v>
      </c>
      <c r="Y163" s="139">
        <f t="shared" ca="1" si="69"/>
        <v>0</v>
      </c>
      <c r="Z163" s="139">
        <f t="shared" ca="1" si="79"/>
        <v>0</v>
      </c>
      <c r="AA163" s="146">
        <f ca="1">IF(OR($B163&lt;=Setup!$E$12,$B163&gt;=Setup!$D$12+1),0,IF($F163&lt;&gt;"Active",0,IF($AE163="Yes",$AB163,((YEAR($AC163)*12)+MONTH($AC163))-((YEAR($AD163)*12)+MONTH($AD163)-1))))</f>
        <v>0</v>
      </c>
      <c r="AB163" s="146">
        <f ca="1">IF(OR($B163&lt;=Setup!$E$12,$B163&gt;=Setup!$D$12+1),0,((YEAR($AC163)*12)+MONTH($AC163))-((YEAR(Setup!$E$12)*12)+MONTH(Setup!$E$12)))</f>
        <v>11</v>
      </c>
      <c r="AC163" s="186">
        <f t="shared" ca="1" si="62"/>
        <v>45316</v>
      </c>
      <c r="AD163" s="144">
        <f ca="1">IF(ISNA(VLOOKUP($C163,EmpAll,COLUMN(Emp!$E$4),0)),$AC163,IF(VLOOKUP($C163,EmpAll,COLUMN(Emp!$E$4),0)&lt;=Setup!$E$12,DATE(YEAR(Setup!$E$12),MONTH(Setup!$E$12)+1,1),VLOOKUP($C163,EmpAll,COLUMN(Emp!$E$4),0)))</f>
        <v>44986</v>
      </c>
      <c r="AE163" s="144" t="str">
        <f ca="1">IF(ISNA(VLOOKUP($C163,EmpAll,COLUMN(Emp!$G$1),0)),"-",IF(VLOOKUP($C163,EmpAll,COLUMN(Emp!$G$1),0)=0,"-",VLOOKUP($C163,EmpAll,COLUMN(Emp!$G$1),0)))</f>
        <v>-</v>
      </c>
      <c r="AF163" s="145">
        <f ca="1">IF(A163=PaySlip!$G$3,1,0)</f>
        <v>0</v>
      </c>
      <c r="AG163" s="130" cm="1">
        <f t="array" aca="1" ref="AG163" ca="1">IF(COUNTIFS(OverEmp,$C163,OverMed,"MED",OverDate,"&lt;"&amp;DATE(YEAR($AC163),MONTH($AC163)+1,1),OverEnd,"&gt;="&amp;DATE(YEAR($AC163),MONTH($AC163),1))&gt;0,SUMIFS(OverValue,OverEmp,$C163,OverMed,"MED",OverDate,"&lt;"&amp;DATE(YEAR($AC163),MONTH($AC163)+1,1),OverEnd,"&gt;="&amp;DATE(YEAR($AC163),MONTH($AC163),1)),IF(ISNA(VLOOKUP($C163,EmpAll,COLUMN(Emp!$N$4),0)),0,VLOOKUP($C163,EmpAll,COLUMN(Emp!$N$4),0)))</f>
        <v>0</v>
      </c>
      <c r="AH163" s="146">
        <f ca="1">VLOOKUP($AG163,MedList,COLUMN(Setup!$C$49),1)</f>
        <v>0</v>
      </c>
      <c r="AI163" s="146">
        <f t="shared" ca="1" si="70"/>
        <v>0</v>
      </c>
      <c r="AJ163" s="101" t="str">
        <f ca="1">IF(ISNA(VLOOKUP($C163,EmpAll,COLUMN(Emp!$L$4),0)),"None!",VLOOKUP($C163,EmpAll,COLUMN(Emp!$L$4),0))</f>
        <v>A</v>
      </c>
      <c r="AK163" s="147">
        <f t="shared" ca="1" si="80"/>
        <v>17235</v>
      </c>
      <c r="AL163" s="101" t="str">
        <f ca="1">IF(ISNA(VLOOKUP($C163,Employees[],COLUMN(Emp!$M$4),0))=TRUE,"Error!",IF(VLOOKUP($C163,Employees[],COLUMN(Emp!$M$4),0)=0,"Yes",VLOOKUP($C163,Employees[],COLUMN(Emp!$M$4),0)))</f>
        <v>A</v>
      </c>
      <c r="AM163" s="148">
        <f t="shared" ca="1" si="71"/>
        <v>0</v>
      </c>
      <c r="AN163" s="148" cm="1">
        <f t="array" aca="1" ref="AN163" ca="1">-IF($F163="Terminated",0,IF($AA163=0,0,IF(ISNA(MATCH(AN$5,PayDedList,0)),0,MIN(IF(COUNTIFS(OverEmp,$C163,OverDeduct,AN$5,OverDate,"&lt;"&amp;DATE(YEAR($AC163),MONTH($AC163)+1,1),OverEnd,"&gt;="&amp;DATE(YEAR($AC163),MONTH($AC163),1))&gt;0,SUMPRODUCT((PayEmp=$C163)*(PayDate&lt;=$AC163)*(OFFSET($N$6,1,MATCH(AN$5,PayDedList,0)-1,PayCount,1)))/$AA163*12*AN$3,IF(OR(AN$1="Fixed",AN$1="Not Used"),SUMPRODUCT((PayEmp=$C163)*(PayDate&lt;=$AC163)*(OFFSET($N$6,1,MATCH(AN$5,PayDedList,0)-1,PayCount,1)))/$AA163*12*AN$3,IF(ISNA(MATCH(AN$1,EarnListItem,0))=FALSE,SUMPRODUCT((PayEmp=$C163)*(PayDate&lt;=$AC163)*(OFFSET($N$6,1,MATCH(AN$5,PayDedList,0)-1,PayCount,1)))/$AA163*12*AN$3,(MIN(((SUMPRODUCT((PayEmp=$C163)*(PayDate&lt;=$AC163)*(ISERROR(SEARCH(PayEarnCode,AN$2)))*(PayEarnType="Monthly")*(PayEarnValues))/$AA163*12)+(SUMPRODUCT((PayEmp=$C163)*(PayDate&lt;=$AC163)*(ISERROR(SEARCH(PayEarnCode,AN$2)))*(PayEarnType="Quarterly")*(PayEarnValues))/MAX(1,ROUNDDOWN($AB163/3,0))*4)+(SUMPRODUCT((PayEmp=$C163)*(PayDate&lt;=$AC163)*(ISERROR(SEARCH(PayEarnCode,AN$2)))*(PayEarnType="Bi-Annual")*(PayEarnValues))/MAX(1,ROUNDDOWN($AB163/6,0))*2)+(SUMPRODUCT((PayEmp=$C163)*(PayDate&lt;=$AC163)*(ISERROR(SEARCH(PayEarnCode,AN$2)))*(PayEarnType="Annual")*(PayEarnValues)))),IF(ISNUMBER(OFFSET($N$3,0,MATCH(AN$5,PayDedList,0)-1,1,1)),OFFSET($N$3,0,MATCH(AN$5,PayDedList,0)-1,1,1),IgnoreMin)))*IF(COUNTIFS(EmpNo,$C163,OFFSET(Emp!$R$4,1,MATCH(AN$5,DedListItem,0)-1,EmpCount,1),"&lt;&gt;")&gt;0,VLOOKUP($C163,EmpAll,COLUMN(Emp!$R$4)+MATCH(AN$5,DedListItem,0)-1,0),OFFSET(Setup!$E$73,MATCH(AN$5,DedListItem,0),0,1,1))*AN$3))),IF(ISNUMBER(AN$4),AN$4,IgnoreMin)))))</f>
        <v>0</v>
      </c>
      <c r="AO163" s="148" cm="1">
        <f t="array" aca="1" ref="AO163" ca="1">-IF($F163="Terminated",0,IF($AA163=0,0,IF(ISNA(MATCH(AO$5,PayDedList,0)),0,MIN(IF(COUNTIFS(OverEmp,$C163,OverDeduct,AO$5,OverDate,"&lt;"&amp;DATE(YEAR($AC163),MONTH($AC163)+1,1),OverEnd,"&gt;="&amp;DATE(YEAR($AC163),MONTH($AC163),1))&gt;0,SUMPRODUCT((PayEmp=$C163)*(PayDate&lt;=$AC163)*(OFFSET($N$6,1,MATCH(AO$5,PayDedList,0)-1,PayCount,1)))/$AA163*12*AO$3,IF(OR(AO$1="Fixed",AO$1="Not Used"),SUMPRODUCT((PayEmp=$C163)*(PayDate&lt;=$AC163)*(OFFSET($N$6,1,MATCH(AO$5,PayDedList,0)-1,PayCount,1)))/$AA163*12*AO$3,IF(ISNA(MATCH(AO$1,EarnListItem,0))=FALSE,SUMPRODUCT((PayEmp=$C163)*(PayDate&lt;=$AC163)*(OFFSET($N$6,1,MATCH(AO$5,PayDedList,0)-1,PayCount,1)))/$AA163*12*AO$3,(MIN(((SUMPRODUCT((PayEmp=$C163)*(PayDate&lt;=$AC163)*(ISERROR(SEARCH(PayEarnCode,AO$2)))*(PayEarnType="Monthly")*(PayEarnValues))/$AA163*12)+(SUMPRODUCT((PayEmp=$C163)*(PayDate&lt;=$AC163)*(ISERROR(SEARCH(PayEarnCode,AO$2)))*(PayEarnType="Quarterly")*(PayEarnValues))/MAX(1,ROUNDDOWN($AB163/3,0))*4)+(SUMPRODUCT((PayEmp=$C163)*(PayDate&lt;=$AC163)*(ISERROR(SEARCH(PayEarnCode,AO$2)))*(PayEarnType="Bi-Annual")*(PayEarnValues))/MAX(1,ROUNDDOWN($AB163/6,0))*2)+(SUMPRODUCT((PayEmp=$C163)*(PayDate&lt;=$AC163)*(ISERROR(SEARCH(PayEarnCode,AO$2)))*(PayEarnType="Annual")*(PayEarnValues)))),IF(ISNUMBER(OFFSET($N$3,0,MATCH(AO$5,PayDedList,0)-1,1,1)),OFFSET($N$3,0,MATCH(AO$5,PayDedList,0)-1,1,1),IgnoreMin)))*IF(COUNTIFS(EmpNo,$C163,OFFSET(Emp!$R$4,1,MATCH(AO$5,DedListItem,0)-1,EmpCount,1),"&lt;&gt;")&gt;0,VLOOKUP($C163,EmpAll,COLUMN(Emp!$R$4)+MATCH(AO$5,DedListItem,0)-1,0),OFFSET(Setup!$E$73,MATCH(AO$5,DedListItem,0),0,1,1))*AO$3))),IF(ISNUMBER(AO$4),AO$4,IgnoreMin)))))</f>
        <v>0</v>
      </c>
      <c r="AP163" s="148" cm="1">
        <f t="array" aca="1" ref="AP163" ca="1">-IF($F163="Terminated",0,IF($AA163=0,0,IF(ISNA(MATCH(AP$5,PayDedList,0)),0,MIN(IF(COUNTIFS(OverEmp,$C163,OverDeduct,AP$5,OverDate,"&lt;"&amp;DATE(YEAR($AC163),MONTH($AC163)+1,1),OverEnd,"&gt;="&amp;DATE(YEAR($AC163),MONTH($AC163),1))&gt;0,SUMPRODUCT((PayEmp=$C163)*(PayDate&lt;=$AC163)*(OFFSET($N$6,1,MATCH(AP$5,PayDedList,0)-1,PayCount,1)))/$AA163*12*AP$3,IF(OR(AP$1="Fixed",AP$1="Not Used"),SUMPRODUCT((PayEmp=$C163)*(PayDate&lt;=$AC163)*(OFFSET($N$6,1,MATCH(AP$5,PayDedList,0)-1,PayCount,1)))/$AA163*12*AP$3,IF(ISNA(MATCH(AP$1,EarnListItem,0))=FALSE,SUMPRODUCT((PayEmp=$C163)*(PayDate&lt;=$AC163)*(OFFSET($N$6,1,MATCH(AP$5,PayDedList,0)-1,PayCount,1)))/$AA163*12*AP$3,(MIN(((SUMPRODUCT((PayEmp=$C163)*(PayDate&lt;=$AC163)*(ISERROR(SEARCH(PayEarnCode,AP$2)))*(PayEarnType="Monthly")*(PayEarnValues))/$AA163*12)+(SUMPRODUCT((PayEmp=$C163)*(PayDate&lt;=$AC163)*(ISERROR(SEARCH(PayEarnCode,AP$2)))*(PayEarnType="Quarterly")*(PayEarnValues))/MAX(1,ROUNDDOWN($AB163/3,0))*4)+(SUMPRODUCT((PayEmp=$C163)*(PayDate&lt;=$AC163)*(ISERROR(SEARCH(PayEarnCode,AP$2)))*(PayEarnType="Bi-Annual")*(PayEarnValues))/MAX(1,ROUNDDOWN($AB163/6,0))*2)+(SUMPRODUCT((PayEmp=$C163)*(PayDate&lt;=$AC163)*(ISERROR(SEARCH(PayEarnCode,AP$2)))*(PayEarnType="Annual")*(PayEarnValues)))),IF(ISNUMBER(OFFSET($N$3,0,MATCH(AP$5,PayDedList,0)-1,1,1)),OFFSET($N$3,0,MATCH(AP$5,PayDedList,0)-1,1,1),IgnoreMin)))*IF(COUNTIFS(EmpNo,$C163,OFFSET(Emp!$R$4,1,MATCH(AP$5,DedListItem,0)-1,EmpCount,1),"&lt;&gt;")&gt;0,VLOOKUP($C163,EmpAll,COLUMN(Emp!$R$4)+MATCH(AP$5,DedListItem,0)-1,0),OFFSET(Setup!$E$73,MATCH(AP$5,DedListItem,0),0,1,1))*AP$3))),IF(ISNUMBER(AP$4),AP$4,IgnoreMin)))))</f>
        <v>0</v>
      </c>
      <c r="AQ163" s="148" cm="1">
        <f t="array" aca="1" ref="AQ163" ca="1">-IF($F163="Terminated",0,IF($AA163=0,0,IF(ISNA(MATCH(AQ$5,PayDedList,0)),0,MIN(IF(COUNTIFS(OverEmp,$C163,OverDeduct,AQ$5,OverDate,"&lt;"&amp;DATE(YEAR($AC163),MONTH($AC163)+1,1),OverEnd,"&gt;="&amp;DATE(YEAR($AC163),MONTH($AC163),1))&gt;0,SUMPRODUCT((PayEmp=$C163)*(PayDate&lt;=$AC163)*(OFFSET($N$6,1,MATCH(AQ$5,PayDedList,0)-1,PayCount,1)))/$AA163*12*AQ$3,IF(OR(AQ$1="Fixed",AQ$1="Not Used"),SUMPRODUCT((PayEmp=$C163)*(PayDate&lt;=$AC163)*(OFFSET($N$6,1,MATCH(AQ$5,PayDedList,0)-1,PayCount,1)))/$AA163*12*AQ$3,IF(ISNA(MATCH(AQ$1,EarnListItem,0))=FALSE,SUMPRODUCT((PayEmp=$C163)*(PayDate&lt;=$AC163)*(OFFSET($N$6,1,MATCH(AQ$5,PayDedList,0)-1,PayCount,1)))/$AA163*12*AQ$3,(MIN(((SUMPRODUCT((PayEmp=$C163)*(PayDate&lt;=$AC163)*(ISERROR(SEARCH(PayEarnCode,AQ$2)))*(PayEarnType="Monthly")*(PayEarnValues))/$AA163*12)+(SUMPRODUCT((PayEmp=$C163)*(PayDate&lt;=$AC163)*(ISERROR(SEARCH(PayEarnCode,AQ$2)))*(PayEarnType="Quarterly")*(PayEarnValues))/MAX(1,ROUNDDOWN($AB163/3,0))*4)+(SUMPRODUCT((PayEmp=$C163)*(PayDate&lt;=$AC163)*(ISERROR(SEARCH(PayEarnCode,AQ$2)))*(PayEarnType="Bi-Annual")*(PayEarnValues))/MAX(1,ROUNDDOWN($AB163/6,0))*2)+(SUMPRODUCT((PayEmp=$C163)*(PayDate&lt;=$AC163)*(ISERROR(SEARCH(PayEarnCode,AQ$2)))*(PayEarnType="Annual")*(PayEarnValues)))),IF(ISNUMBER(OFFSET($N$3,0,MATCH(AQ$5,PayDedList,0)-1,1,1)),OFFSET($N$3,0,MATCH(AQ$5,PayDedList,0)-1,1,1),IgnoreMin)))*IF(COUNTIFS(EmpNo,$C163,OFFSET(Emp!$R$4,1,MATCH(AQ$5,DedListItem,0)-1,EmpCount,1),"&lt;&gt;")&gt;0,VLOOKUP($C163,EmpAll,COLUMN(Emp!$R$4)+MATCH(AQ$5,DedListItem,0)-1,0),OFFSET(Setup!$E$73,MATCH(AQ$5,DedListItem,0),0,1,1))*AQ$3))),IF(ISNUMBER(AQ$4),AQ$4,IgnoreMin)))))</f>
        <v>0</v>
      </c>
      <c r="AR163" s="148">
        <f t="shared" ca="1" si="81"/>
        <v>0</v>
      </c>
      <c r="AS163" s="148">
        <f t="shared" ca="1" si="72"/>
        <v>0</v>
      </c>
      <c r="AT163" s="148" cm="1">
        <f t="array" aca="1" ref="AT163" ca="1">-IF($F163="Terminated",0,IF($AA163=0,0,IF(ISNA(MATCH(AT$5,PayDedList,0)),0,MIN(IF(COUNTIFS(OverEmp,$C163,OverDeduct,AT$5,OverDate,"&lt;"&amp;DATE(YEAR($AC163),MONTH($AC163)+1,1),OverEnd,"&gt;="&amp;DATE(YEAR($AC163),MONTH($AC163),1))&gt;0,SUMPRODUCT((PayEmp=$C163)*(PayDate&lt;=$AC163)*(OFFSET($N$6,1,MATCH(AT$5,PayDedList,0)-1,PayCount,1)))/$AA163*12*AT$3,IF(OR(AT$1="Fixed",AT$1="Not Used"),SUMPRODUCT((PayEmp=$C163)*(PayDate&lt;=$AC163)*(OFFSET($N$6,1,MATCH(AT$5,PayDedList,0)-1,PayCount,1)))/$AA163*12*AT$3,IF(ISNA(MATCH(OFFSET($N$2,0,MATCH(AT$5,PayDedList,0)-1,1,1),EarnListItem,0))=FALSE,SUMPRODUCT((PayEmp=$C163)*(PayDate&lt;=$AC163)*(OFFSET($N$6,1,MATCH(AT$5,PayDedList,0)-1,PayCount,1)))/$AA163*12*AT$3,(MIN(SUMPRODUCT((PayEmp=$C163)*(PayDate&lt;=$AC163)*(ISERROR(SEARCH(PayEarnCode,AT$2)))*(PayEarnType="Monthly")*(PayEarnValues))/$AA163*12,IF(ISNUMBER(OFFSET($N$3,0,MATCH(AT$5,PayDedList,0)-1,1,1)),OFFSET($N$3,0,MATCH(AT$5,PayDedList,0)-1,1,1),IgnoreMin)))*IF(COUNTIFS(EmpNo,$C163,OFFSET(Emp!$R$4,1,MATCH(AT$5,DedListItem,0)-1,EmpCount,1),"&lt;&gt;")&gt;0,VLOOKUP($C163,EmpAll,COLUMN(Emp!$R$4)+MATCH(AT$5,DedListItem,0)-1,0),OFFSET(Setup!$E$73,MATCH(AT$5,DedListItem,0),0,1,1))*AT$3))),IF(ISNUMBER(AT$4),AT$4,IgnoreMin)))))</f>
        <v>0</v>
      </c>
      <c r="AU163" s="148" cm="1">
        <f t="array" aca="1" ref="AU163" ca="1">-IF($F163="Terminated",0,IF($AA163=0,0,IF(ISNA(MATCH(AU$5,PayDedList,0)),0,MIN(IF(COUNTIFS(OverEmp,$C163,OverDeduct,AU$5,OverDate,"&lt;"&amp;DATE(YEAR($AC163),MONTH($AC163)+1,1),OverEnd,"&gt;="&amp;DATE(YEAR($AC163),MONTH($AC163),1))&gt;0,SUMPRODUCT((PayEmp=$C163)*(PayDate&lt;=$AC163)*(OFFSET($N$6,1,MATCH(AU$5,PayDedList,0)-1,PayCount,1)))/$AA163*12*AU$3,IF(OR(AU$1="Fixed",AU$1="Not Used"),SUMPRODUCT((PayEmp=$C163)*(PayDate&lt;=$AC163)*(OFFSET($N$6,1,MATCH(AU$5,PayDedList,0)-1,PayCount,1)))/$AA163*12*AU$3,IF(ISNA(MATCH(OFFSET($N$2,0,MATCH(AU$5,PayDedList,0)-1,1,1),EarnListItem,0))=FALSE,SUMPRODUCT((PayEmp=$C163)*(PayDate&lt;=$AC163)*(OFFSET($N$6,1,MATCH(AU$5,PayDedList,0)-1,PayCount,1)))/$AA163*12*AU$3,(MIN(SUMPRODUCT((PayEmp=$C163)*(PayDate&lt;=$AC163)*(ISERROR(SEARCH(PayEarnCode,AU$2)))*(PayEarnType="Monthly")*(PayEarnValues))/$AA163*12,IF(ISNUMBER(OFFSET($N$3,0,MATCH(AU$5,PayDedList,0)-1,1,1)),OFFSET($N$3,0,MATCH(AU$5,PayDedList,0)-1,1,1),IgnoreMin)))*IF(COUNTIFS(EmpNo,$C163,OFFSET(Emp!$R$4,1,MATCH(AU$5,DedListItem,0)-1,EmpCount,1),"&lt;&gt;")&gt;0,VLOOKUP($C163,EmpAll,COLUMN(Emp!$R$4)+MATCH(AU$5,DedListItem,0)-1,0),OFFSET(Setup!$E$73,MATCH(AU$5,DedListItem,0),0,1,1))*AU$3))),IF(ISNUMBER(AU$4),AU$4,IgnoreMin)))))</f>
        <v>0</v>
      </c>
      <c r="AV163" s="148" cm="1">
        <f t="array" aca="1" ref="AV163" ca="1">-IF($F163="Terminated",0,IF($AA163=0,0,IF(ISNA(MATCH(AV$5,PayDedList,0)),0,MIN(IF(COUNTIFS(OverEmp,$C163,OverDeduct,AV$5,OverDate,"&lt;"&amp;DATE(YEAR($AC163),MONTH($AC163)+1,1),OverEnd,"&gt;="&amp;DATE(YEAR($AC163),MONTH($AC163),1))&gt;0,SUMPRODUCT((PayEmp=$C163)*(PayDate&lt;=$AC163)*(OFFSET($N$6,1,MATCH(AV$5,PayDedList,0)-1,PayCount,1)))/$AA163*12*AV$3,IF(OR(AV$1="Fixed",AV$1="Not Used"),SUMPRODUCT((PayEmp=$C163)*(PayDate&lt;=$AC163)*(OFFSET($N$6,1,MATCH(AV$5,PayDedList,0)-1,PayCount,1)))/$AA163*12*AV$3,IF(ISNA(MATCH(OFFSET($N$2,0,MATCH(AV$5,PayDedList,0)-1,1,1),EarnListItem,0))=FALSE,SUMPRODUCT((PayEmp=$C163)*(PayDate&lt;=$AC163)*(OFFSET($N$6,1,MATCH(AV$5,PayDedList,0)-1,PayCount,1)))/$AA163*12*AV$3,(MIN(SUMPRODUCT((PayEmp=$C163)*(PayDate&lt;=$AC163)*(ISERROR(SEARCH(PayEarnCode,AV$2)))*(PayEarnType="Monthly")*(PayEarnValues))/$AA163*12,IF(ISNUMBER(OFFSET($N$3,0,MATCH(AV$5,PayDedList,0)-1,1,1)),OFFSET($N$3,0,MATCH(AV$5,PayDedList,0)-1,1,1),IgnoreMin)))*IF(COUNTIFS(EmpNo,$C163,OFFSET(Emp!$R$4,1,MATCH(AV$5,DedListItem,0)-1,EmpCount,1),"&lt;&gt;")&gt;0,VLOOKUP($C163,EmpAll,COLUMN(Emp!$R$4)+MATCH(AV$5,DedListItem,0)-1,0),OFFSET(Setup!$E$73,MATCH(AV$5,DedListItem,0),0,1,1))*AV$3))),IF(ISNUMBER(AV$4),AV$4,IgnoreMin)))))</f>
        <v>0</v>
      </c>
      <c r="AW163" s="148" cm="1">
        <f t="array" aca="1" ref="AW163" ca="1">-IF($F163="Terminated",0,IF($AA163=0,0,IF(ISNA(MATCH(AW$5,PayDedList,0)),0,MIN(IF(COUNTIFS(OverEmp,$C163,OverDeduct,AW$5,OverDate,"&lt;"&amp;DATE(YEAR($AC163),MONTH($AC163)+1,1),OverEnd,"&gt;="&amp;DATE(YEAR($AC163),MONTH($AC163),1))&gt;0,SUMPRODUCT((PayEmp=$C163)*(PayDate&lt;=$AC163)*(OFFSET($N$6,1,MATCH(AW$5,PayDedList,0)-1,PayCount,1)))/$AA163*12*AW$3,IF(OR(AW$1="Fixed",AW$1="Not Used"),SUMPRODUCT((PayEmp=$C163)*(PayDate&lt;=$AC163)*(OFFSET($N$6,1,MATCH(AW$5,PayDedList,0)-1,PayCount,1)))/$AA163*12*AW$3,IF(ISNA(MATCH(OFFSET($N$2,0,MATCH(AW$5,PayDedList,0)-1,1,1),EarnListItem,0))=FALSE,SUMPRODUCT((PayEmp=$C163)*(PayDate&lt;=$AC163)*(OFFSET($N$6,1,MATCH(AW$5,PayDedList,0)-1,PayCount,1)))/$AA163*12*AW$3,(MIN(SUMPRODUCT((PayEmp=$C163)*(PayDate&lt;=$AC163)*(ISERROR(SEARCH(PayEarnCode,AW$2)))*(PayEarnType="Monthly")*(PayEarnValues))/$AA163*12,IF(ISNUMBER(OFFSET($N$3,0,MATCH(AW$5,PayDedList,0)-1,1,1)),OFFSET($N$3,0,MATCH(AW$5,PayDedList,0)-1,1,1),IgnoreMin)))*IF(COUNTIFS(EmpNo,$C163,OFFSET(Emp!$R$4,1,MATCH(AW$5,DedListItem,0)-1,EmpCount,1),"&lt;&gt;")&gt;0,VLOOKUP($C163,EmpAll,COLUMN(Emp!$R$4)+MATCH(AW$5,DedListItem,0)-1,0),OFFSET(Setup!$E$73,MATCH(AW$5,DedListItem,0),0,1,1))*AW$3))),IF(ISNUMBER(AW$4),AW$4,IgnoreMin)))))</f>
        <v>0</v>
      </c>
      <c r="AX163" s="148">
        <f t="shared" ca="1" si="73"/>
        <v>0</v>
      </c>
      <c r="AY163" s="148">
        <f t="shared" ca="1" si="74"/>
        <v>0</v>
      </c>
      <c r="AZ163" s="148">
        <f ca="1">IF(ISNUMBER($AL163),($AR163*$AL163)-$AI163-$AK163,MAX(0,IF($AL163="B",IF($AR163&lt;Setup!$C$32,($AR163*Setup!$D$32)-$AI163-$AK163,(($AR163-VLOOKUP($AR163,TaxAll2,1,1))*OFFSET(Setup!$D$32,MATCH($AR163,TaxBracket2,1),0,1,1))+OFFSET(Setup!$E$31,MATCH($AR163,TaxBracket2,1),0,1,1)-$AI163-$AK163),IF($AR163&lt;Setup!$C$21,($AR163*Setup!$D$21)-$AI163-$AK163,(($AR163-VLOOKUP($AR163,TaxAll1,1,1))*OFFSET(Setup!$D$21,MATCH($AR163,TaxBracket1,1),0,1,1))+OFFSET(Setup!$E$20,MATCH($AR163,TaxBracket1,1),0,1,1)-$AI163-$AK163))))</f>
        <v>0</v>
      </c>
      <c r="BA163" s="148">
        <f ca="1">IF(ISNUMBER($AL163),($AX163*$AL163)-$AI163-$AK163,MAX(0,IF($AL163="B",IF($AX163&lt;Setup!$C$32,($AX163*Setup!$D$32)-$AI163-$AK163,(($AX163-VLOOKUP($AX163,TaxAll2,1,1))*OFFSET(Setup!$D$32,MATCH($AX163,TaxBracket2,1),0,1,1))+OFFSET(Setup!$E$31,MATCH($AX163,TaxBracket2,1),0,1,1)-$AI163-$AK163),IF($AX163&lt;Setup!$C$21,($AX163*Setup!$D$21)-$AI163-$AK163,(($AX163-VLOOKUP($AX163,TaxAll1,1,1))*OFFSET(Setup!$D$21,MATCH($AX163,TaxBracket1,1),0,1,1))+OFFSET(Setup!$E$20,MATCH($AX163,TaxBracket1,1),0,1,1)-$AI163-$AK163))))</f>
        <v>0</v>
      </c>
      <c r="BB163" s="148">
        <f t="shared" ca="1" si="82"/>
        <v>0</v>
      </c>
      <c r="BC163" s="150">
        <f t="shared" ca="1" si="75"/>
        <v>0</v>
      </c>
      <c r="BD163" s="150">
        <f t="shared" ca="1" si="76"/>
        <v>0</v>
      </c>
      <c r="BE163" s="148">
        <f t="shared" ca="1" si="77"/>
        <v>0</v>
      </c>
    </row>
    <row r="164" spans="1:57" ht="16.149999999999999" customHeight="1" x14ac:dyDescent="0.25">
      <c r="A164" s="10" t="str" cm="1">
        <f t="array" aca="1" ref="A164" ca="1">IF(ROW($A164)-ROW($A$6)&gt;EmpCount*12,"-",TEXT($B164,"yyyy")&amp;TEXT($B164,"mm")&amp;"-"&amp;$C164)</f>
        <v>202401-EXS008</v>
      </c>
      <c r="B164" s="137" cm="1">
        <f t="array" aca="1" ref="B164" ca="1">IF(ROW($A164)-ROW($A$6)&gt;EmpCount*12,Setup!$D$12,DATE(YEAR(Setup!$F$12),MONTH(Setup!$F$12)+ROUNDDOWN((ROW($A164)-ROW($A$6)-1)/EmpCount,0),IF(Setup!$C$14&gt;DAY(DATE(YEAR(Setup!$F$12),MONTH(Setup!$F$12)+ROUNDDOWN((ROW($A164)-ROW($A$6)-1)/EmpCount,0)+1,0)),DAY(DATE(YEAR(Setup!$F$12),MONTH(Setup!$F$12)+ROUNDDOWN((ROW($A164)-ROW($A$6)-1)/EmpCount,0)+1,0)),Setup!$C$14)))</f>
        <v>45316</v>
      </c>
      <c r="C164" s="101" t="str" cm="1">
        <f t="array" aca="1" ref="C164" ca="1">IF(ROW($A164)-ROW($A$6)&gt;EmpCount*12,"-",OFFSET(Emp!$A$4,ROW($A164)-ROW($A$6)-IF(ROW($A164)-ROW($A$6)&gt;EmpCount,ROUNDDOWN((ROW($A164)-ROW($A$6)-1)/EmpCount,0)*EmpCount,0),0,1,1))</f>
        <v>EXS008</v>
      </c>
      <c r="D164" s="10" t="str">
        <f ca="1">IF(ISNA(VLOOKUP($C164,EmpAll,COLUMN(Emp!$B$4),0)),"-",VLOOKUP($C164,EmpAll,COLUMN(Emp!$B$4),0))</f>
        <v>Matthews B</v>
      </c>
      <c r="E164" s="145" t="str">
        <f ca="1">IF(ISNA(VLOOKUP($C164,EmpAll,COLUMN(Emp!$C$4),0)),"-",VLOOKUP($C164,EmpAll,COLUMN(Emp!$C$4),0))</f>
        <v>A</v>
      </c>
      <c r="F164" s="101" t="str">
        <f ca="1">IF(ISNA(VLOOKUP($C164,EmpAll,COLUMN(Emp!$A$4),0)),"-",IF(AND(VLOOKUP($C164,EmpAll,COLUMN(Emp!$E$4),0)&lt;&gt;0,VLOOKUP($C164,EmpAll,COLUMN(Emp!$E$4),0)&gt;=DATE(YEAR($AC164),MONTH($AC164)+1,0)),"Inactive",IF(AND(VLOOKUP($C164,EmpAll,COLUMN(Emp!$F$4),0)&lt;&gt;0,VLOOKUP($C164,EmpAll,COLUMN(Emp!$F$4),0)&lt;=DATE(YEAR($AC164),MONTH($AC164),0)),"Terminated","Active")))</f>
        <v>Active</v>
      </c>
      <c r="G164" s="133" cm="1">
        <f t="array" aca="1" ref="G164" ca="1">IF($F164&lt;&gt;"Active",0,IF(COUNTIFS(OverEmp,$C164,OverEarn,G$2,OverDate,"&lt;"&amp;DATE(YEAR($AC164),MONTH($AC164)+1,1),OverEnd,"&gt;="&amp;DATE(YEAR($AC164),MONTH($AC164),1))&gt;0,SUMIFS(OverValue,OverEmp,$C164,OverEarn,G$2,OverDate,"&lt;"&amp;DATE(YEAR($AC164),MONTH($AC164)+1,1),OverEnd,"&gt;="&amp;DATE(YEAR($AC164),MONTH($AC164),1)),IF(AND($AC164&gt;=Setup!$E$10,SUMIFS(EmpIncrease,EmpCode,$C164)&gt;0),SUMIFS(EmpIncrease,EmpCode,$C164),SUMIFS(EmpSalary,EmpCode,$C164))))</f>
        <v>10000</v>
      </c>
      <c r="H164" s="133" cm="1">
        <f t="array" aca="1" ref="H164" ca="1">IF($F164&lt;&gt;"Active",0,IF(COUNTIFS(OverEmp,$C164,OverEarn,H$2,OverDate,"&lt;"&amp;DATE(YEAR($AC164),MONTH($AC164)+1,1),OverEnd,"&gt;="&amp;DATE(YEAR($AC164),MONTH($AC164),1))&gt;0,SUMIFS(OverValue,OverEmp,$C164,OverEarn,H$2,OverDate,"&lt;"&amp;DATE(YEAR($AC164),MONTH($AC164)+1,1),OverEnd,"&gt;="&amp;DATE(YEAR($AC164),MONTH($AC164),1)),0))</f>
        <v>0</v>
      </c>
      <c r="I164" s="133" cm="1">
        <f t="array" aca="1" ref="I164" ca="1">IF($F164&lt;&gt;"Active",0,IF(COUNTIFS(OverEmp,$C164,OverEarn,I$2,OverDate,"&lt;"&amp;DATE(YEAR($AC164),MONTH($AC164)+1,1),OverEnd,"&gt;="&amp;DATE(YEAR($AC164),MONTH($AC164),1))&gt;0,SUMIFS(OverValue,OverEmp,$C164,OverEarn,I$2,OverDate,"&lt;"&amp;DATE(YEAR($AC164),MONTH($AC164)+1,1),OverEnd,"&gt;="&amp;DATE(YEAR($AC164),MONTH($AC164),1)),IF(MONTH(B164)=Setup!$C$15,SUMIFS(EmpBonus,EmpCode,$C164),0)))</f>
        <v>0</v>
      </c>
      <c r="J164" s="133" cm="1">
        <f t="array" aca="1" ref="J164" ca="1">IF($F164&lt;&gt;"Active",0,IF(COUNTIFS(OverEmp,$C164,OverEarn,J$2,OverDate,"&lt;"&amp;DATE(YEAR($AC164),MONTH($AC164)+1,1),OverEnd,"&gt;="&amp;DATE(YEAR($AC164),MONTH($AC164),1))&gt;0,SUMIFS(OverValue,OverEmp,$C164,OverEarn,J$2,OverDate,"&lt;"&amp;DATE(YEAR($AC164),MONTH($AC164)+1,1),OverEnd,"&gt;="&amp;DATE(YEAR($AC164),MONTH($AC164),1)),0))</f>
        <v>0</v>
      </c>
      <c r="K164" s="133" cm="1">
        <f t="array" aca="1" ref="K164" ca="1">IF($F164&lt;&gt;"Active",0,IF(COUNTIFS(OverEmp,$C164,OverEarn,K$2,OverDate,"&lt;"&amp;DATE(YEAR($AC164),MONTH($AC164)+1,1),OverEnd,"&gt;="&amp;DATE(YEAR($AC164),MONTH($AC164),1))&gt;0,SUMIFS(OverValue,OverEmp,$C164,OverEarn,K$2,OverDate,"&lt;"&amp;DATE(YEAR($AC164),MONTH($AC164)+1,1),OverEnd,"&gt;="&amp;DATE(YEAR($AC164),MONTH($AC164),1)),0))</f>
        <v>0</v>
      </c>
      <c r="L164" s="185">
        <f t="shared" ca="1" si="66"/>
        <v>10000</v>
      </c>
      <c r="M164" s="182" cm="1">
        <f t="array" aca="1" ref="M164" ca="1">IF(COUNTIFS(OverEmp,$C164,OverTax,M$5,OverDate,"&lt;"&amp;DATE(YEAR($AC164),MONTH($AC164)+1,1),OverEnd,"&gt;="&amp;DATE(YEAR($AC164),MONTH($AC164),1))&gt;0,SUMIFS(OverValue,OverEmp,$C164,OverTax,M$5,OverDate,"&lt;"&amp;DATE(YEAR($AC164),MONTH($AC164)+1,1),OverEnd,"&gt;="&amp;DATE(YEAR($AC164),MONTH($AC164),1)),(($BA164/12*$AA164)+(BB164*IF(1-$BC164=0,0,BD164/(1-$BC164))))-IF($F164="Terminated",0,SUMIFS(PayTaxDeduct,PayDate,"&lt;"&amp;$AC164,PayEmp,$C164)))</f>
        <v>363.74999999999864</v>
      </c>
      <c r="N164" s="133" cm="1">
        <f t="array" aca="1" ref="N164" ca="1">IF($F164="Terminated",0,IF($AA164=0,0,IF(ISNA(MATCH(N$5,DedListItem,0)),0,IF(COUNTIFS(OverEmp,$C164,OverDeduct,N$5,OverDate,"&lt;"&amp;DATE(YEAR($AC164),MONTH($AC164)+1,1),OverEnd,"&gt;="&amp;DATE(YEAR($AC164),MONTH($AC164),1))&gt;0,SUMIFS(OverValue,OverEmp,$C164,OverDeduct,N$5,OverDate,"&lt;"&amp;DATE(YEAR($AC164),MONTH($AC164)+1,1),OverEnd,"&gt;="&amp;DATE(YEAR($AC164),MONTH($AC164),1)),IF(OR(N$2="Fixed",N$2="Not Used"),(IF(COUNTIFS(EmpNo,$C164,OFFSET(Emp!$R$4,1,MATCH(N$5,DedListItem,0)-1,EmpCount,1),"&lt;&gt;")&gt;0,VLOOKUP($C164,EmpAll,COLUMN(Emp!$R$4)+MATCH(N$5,DedListItem,0)-1,0),OFFSET(Setup!$E$73,MATCH(N$5,DedListItem,0),0,1,1))*$AA164)-SUMIFS(OFFSET(N$6,1,0,PayCount,1),PayDate,"&lt;"&amp;$AC164,PayEmp,$C164),IF(ISNA(MATCH(N$2,EarnListItem,0))=FALSE,IF(OFFSET(Setup!$G$73,MATCH(N$5,DedListItem,0),0,1,1)="Taxable",SUMPRODUCT((PayEmp=$C164)*(PayDate&lt;=$AC164)*(PayEarnCode=N$2)*(PayEarnTax)*(PayEarnValues)),SUMPRODUCT((PayEmp=$C164)*(PayDate&lt;=$AC164)*(PayEarnCode=N$2)*(PayEarnValues)))*IF(COUNTIFS(EmpNo,$C164,OFFSET(Emp!$R$4,1,MATCH(N$5,DedListItem,0)-1,EmpCount,1),"&lt;&gt;")&gt;0,VLOOKUP($C164,EmpAll,COLUMN(Emp!$R$4)+MATCH(N$5,DedListItem,0)-1,0),OFFSET(Setup!$E$73,MATCH(N$5,DedListItem,0),0,1,1)),(MIN(IF(OFFSET(Setup!$G$73,MATCH(N$5,DedListItem,0),0,1,1)="Taxable",SUMPRODUCT((PayEmp=$C164)*(PayDate&lt;=$AC164)*(ISERROR(SEARCH(PayEarnCode,N$4)))*(PayEarnTax)*(PayEarnValues)),SUMPRODUCT((PayEmp=$C164)*(PayDate&lt;=$AC164)*(ISERROR(SEARCH(PayEarnCode,N$4)))*(PayEarnValues))),IF(ISNUMBER(N$3),N$3/12*$AA164,IgnoreMin)))*IF(COUNTIFS(EmpNo,$C164,OFFSET(Emp!$R$4,1,MATCH(N$5,DedListItem,0)-1,EmpCount,1),"&lt;&gt;")&gt;0,VLOOKUP($C164,EmpAll,COLUMN(Emp!$R$4)+MATCH(N$5,DedListItem,0)-1,0),OFFSET(Setup!$E$73,MATCH(N$5,DedListItem,0),0,1,1)))-SUMIFS(OFFSET(N$6,1,0,PayCount,1),PayDate,"&lt;"&amp;$AC164,PayEmp,$C164))))))</f>
        <v>100</v>
      </c>
      <c r="O164" s="133" cm="1">
        <f t="array" aca="1" ref="O164" ca="1">IF($F164="Terminated",0,IF($AA164=0,0,IF(ISNA(MATCH(O$5,DedListItem,0)),0,IF(COUNTIFS(OverEmp,$C164,OverDeduct,O$5,OverDate,"&lt;"&amp;DATE(YEAR($AC164),MONTH($AC164)+1,1),OverEnd,"&gt;="&amp;DATE(YEAR($AC164),MONTH($AC164),1))&gt;0,SUMIFS(OverValue,OverEmp,$C164,OverDeduct,O$5,OverDate,"&lt;"&amp;DATE(YEAR($AC164),MONTH($AC164)+1,1),OverEnd,"&gt;="&amp;DATE(YEAR($AC164),MONTH($AC164),1)),IF(OR(O$2="Fixed",O$2="Not Used"),(IF(COUNTIFS(EmpNo,$C164,OFFSET(Emp!$R$4,1,MATCH(O$5,DedListItem,0)-1,EmpCount,1),"&lt;&gt;")&gt;0,VLOOKUP($C164,EmpAll,COLUMN(Emp!$R$4)+MATCH(O$5,DedListItem,0)-1,0),OFFSET(Setup!$E$73,MATCH(O$5,DedListItem,0),0,1,1))*$AA164)-SUMIFS(OFFSET(O$6,1,0,PayCount,1),PayDate,"&lt;"&amp;$AC164,PayEmp,$C164),IF(ISNA(MATCH(O$2,EarnListItem,0))=FALSE,IF(OFFSET(Setup!$G$73,MATCH(O$5,DedListItem,0),0,1,1)="Taxable",SUMPRODUCT((PayEmp=$C164)*(PayDate&lt;=$AC164)*(PayEarnCode=O$2)*(PayEarnTax)*(PayEarnValues)),SUMPRODUCT((PayEmp=$C164)*(PayDate&lt;=$AC164)*(PayEarnCode=O$2)*(PayEarnValues)))*IF(COUNTIFS(EmpNo,$C164,OFFSET(Emp!$R$4,1,MATCH(O$5,DedListItem,0)-1,EmpCount,1),"&lt;&gt;")&gt;0,VLOOKUP($C164,EmpAll,COLUMN(Emp!$R$4)+MATCH(O$5,DedListItem,0)-1,0),OFFSET(Setup!$E$73,MATCH(O$5,DedListItem,0),0,1,1)),(MIN(IF(OFFSET(Setup!$G$73,MATCH(O$5,DedListItem,0),0,1,1)="Taxable",SUMPRODUCT((PayEmp=$C164)*(PayDate&lt;=$AC164)*(ISERROR(SEARCH(PayEarnCode,O$4)))*(PayEarnTax)*(PayEarnValues)),SUMPRODUCT((PayEmp=$C164)*(PayDate&lt;=$AC164)*(ISERROR(SEARCH(PayEarnCode,O$4)))*(PayEarnValues))),IF(ISNUMBER(O$3),O$3/12*$AA164,IgnoreMin)))*IF(COUNTIFS(EmpNo,$C164,OFFSET(Emp!$R$4,1,MATCH(O$5,DedListItem,0)-1,EmpCount,1),"&lt;&gt;")&gt;0,VLOOKUP($C164,EmpAll,COLUMN(Emp!$R$4)+MATCH(O$5,DedListItem,0)-1,0),OFFSET(Setup!$E$73,MATCH(O$5,DedListItem,0),0,1,1)))-SUMIFS(OFFSET(O$6,1,0,PayCount,1),PayDate,"&lt;"&amp;$AC164,PayEmp,$C164))))))</f>
        <v>0</v>
      </c>
      <c r="P164" s="133" cm="1">
        <f t="array" aca="1" ref="P164" ca="1">IF($F164="Terminated",0,IF($AA164=0,0,IF(ISNA(MATCH(P$5,DedListItem,0)),0,IF(COUNTIFS(OverEmp,$C164,OverDeduct,P$5,OverDate,"&lt;"&amp;DATE(YEAR($AC164),MONTH($AC164)+1,1),OverEnd,"&gt;="&amp;DATE(YEAR($AC164),MONTH($AC164),1))&gt;0,SUMIFS(OverValue,OverEmp,$C164,OverDeduct,P$5,OverDate,"&lt;"&amp;DATE(YEAR($AC164),MONTH($AC164)+1,1),OverEnd,"&gt;="&amp;DATE(YEAR($AC164),MONTH($AC164),1)),IF(OR(P$2="Fixed",P$2="Not Used"),(IF(COUNTIFS(EmpNo,$C164,OFFSET(Emp!$R$4,1,MATCH(P$5,DedListItem,0)-1,EmpCount,1),"&lt;&gt;")&gt;0,VLOOKUP($C164,EmpAll,COLUMN(Emp!$R$4)+MATCH(P$5,DedListItem,0)-1,0),OFFSET(Setup!$E$73,MATCH(P$5,DedListItem,0),0,1,1))*$AA164)-SUMIFS(OFFSET(P$6,1,0,PayCount,1),PayDate,"&lt;"&amp;$AC164,PayEmp,$C164),IF(ISNA(MATCH(P$2,EarnListItem,0))=FALSE,IF(OFFSET(Setup!$G$73,MATCH(P$5,DedListItem,0),0,1,1)="Taxable",SUMPRODUCT((PayEmp=$C164)*(PayDate&lt;=$AC164)*(PayEarnCode=P$2)*(PayEarnTax)*(PayEarnValues)),SUMPRODUCT((PayEmp=$C164)*(PayDate&lt;=$AC164)*(PayEarnCode=P$2)*(PayEarnValues)))*IF(COUNTIFS(EmpNo,$C164,OFFSET(Emp!$R$4,1,MATCH(P$5,DedListItem,0)-1,EmpCount,1),"&lt;&gt;")&gt;0,VLOOKUP($C164,EmpAll,COLUMN(Emp!$R$4)+MATCH(P$5,DedListItem,0)-1,0),OFFSET(Setup!$E$73,MATCH(P$5,DedListItem,0),0,1,1)),(MIN(IF(OFFSET(Setup!$G$73,MATCH(P$5,DedListItem,0),0,1,1)="Taxable",SUMPRODUCT((PayEmp=$C164)*(PayDate&lt;=$AC164)*(ISERROR(SEARCH(PayEarnCode,P$4)))*(PayEarnTax)*(PayEarnValues)),SUMPRODUCT((PayEmp=$C164)*(PayDate&lt;=$AC164)*(ISERROR(SEARCH(PayEarnCode,P$4)))*(PayEarnValues))),IF(ISNUMBER(P$3),P$3/12*$AA164,IgnoreMin)))*IF(COUNTIFS(EmpNo,$C164,OFFSET(Emp!$R$4,1,MATCH(P$5,DedListItem,0)-1,EmpCount,1),"&lt;&gt;")&gt;0,VLOOKUP($C164,EmpAll,COLUMN(Emp!$R$4)+MATCH(P$5,DedListItem,0)-1,0),OFFSET(Setup!$E$73,MATCH(P$5,DedListItem,0),0,1,1)))-SUMIFS(OFFSET(P$6,1,0,PayCount,1),PayDate,"&lt;"&amp;$AC164,PayEmp,$C164))))))</f>
        <v>0</v>
      </c>
      <c r="Q164" s="133" cm="1">
        <f t="array" aca="1" ref="Q164" ca="1">IF($F164="Terminated",0,IF($AA164=0,0,IF(ISNA(MATCH(Q$5,DedListItem,0)),0,IF(COUNTIFS(OverEmp,$C164,OverDeduct,Q$5,OverDate,"&lt;"&amp;DATE(YEAR($AC164),MONTH($AC164)+1,1),OverEnd,"&gt;="&amp;DATE(YEAR($AC164),MONTH($AC164),1))&gt;0,SUMIFS(OverValue,OverEmp,$C164,OverDeduct,Q$5,OverDate,"&lt;"&amp;DATE(YEAR($AC164),MONTH($AC164)+1,1),OverEnd,"&gt;="&amp;DATE(YEAR($AC164),MONTH($AC164),1)),IF(OR(Q$2="Fixed",Q$2="Not Used"),(IF(COUNTIFS(EmpNo,$C164,OFFSET(Emp!$R$4,1,MATCH(Q$5,DedListItem,0)-1,EmpCount,1),"&lt;&gt;")&gt;0,VLOOKUP($C164,EmpAll,COLUMN(Emp!$R$4)+MATCH(Q$5,DedListItem,0)-1,0),OFFSET(Setup!$E$73,MATCH(Q$5,DedListItem,0),0,1,1))*$AA164)-SUMIFS(OFFSET(Q$6,1,0,PayCount,1),PayDate,"&lt;"&amp;$AC164,PayEmp,$C164),IF(ISNA(MATCH(Q$2,EarnListItem,0))=FALSE,IF(OFFSET(Setup!$G$73,MATCH(Q$5,DedListItem,0),0,1,1)="Taxable",SUMPRODUCT((PayEmp=$C164)*(PayDate&lt;=$AC164)*(PayEarnCode=Q$2)*(PayEarnTax)*(PayEarnValues)),SUMPRODUCT((PayEmp=$C164)*(PayDate&lt;=$AC164)*(PayEarnCode=Q$2)*(PayEarnValues)))*IF(COUNTIFS(EmpNo,$C164,OFFSET(Emp!$R$4,1,MATCH(Q$5,DedListItem,0)-1,EmpCount,1),"&lt;&gt;")&gt;0,VLOOKUP($C164,EmpAll,COLUMN(Emp!$R$4)+MATCH(Q$5,DedListItem,0)-1,0),OFFSET(Setup!$E$73,MATCH(Q$5,DedListItem,0),0,1,1)),(MIN(IF(OFFSET(Setup!$G$73,MATCH(Q$5,DedListItem,0),0,1,1)="Taxable",SUMPRODUCT((PayEmp=$C164)*(PayDate&lt;=$AC164)*(ISERROR(SEARCH(PayEarnCode,Q$4)))*(PayEarnTax)*(PayEarnValues)),SUMPRODUCT((PayEmp=$C164)*(PayDate&lt;=$AC164)*(ISERROR(SEARCH(PayEarnCode,Q$4)))*(PayEarnValues))),IF(ISNUMBER(Q$3),Q$3/12*$AA164,IgnoreMin)))*IF(COUNTIFS(EmpNo,$C164,OFFSET(Emp!$R$4,1,MATCH(Q$5,DedListItem,0)-1,EmpCount,1),"&lt;&gt;")&gt;0,VLOOKUP($C164,EmpAll,COLUMN(Emp!$R$4)+MATCH(Q$5,DedListItem,0)-1,0),OFFSET(Setup!$E$73,MATCH(Q$5,DedListItem,0),0,1,1)))-SUMIFS(OFFSET(Q$6,1,0,PayCount,1),PayDate,"&lt;"&amp;$AC164,PayEmp,$C164))))))</f>
        <v>0</v>
      </c>
      <c r="R164" s="185">
        <f t="shared" ca="1" si="67"/>
        <v>463.74999999999864</v>
      </c>
      <c r="S164" s="139">
        <f t="shared" ca="1" si="68"/>
        <v>9536.25</v>
      </c>
      <c r="T164" s="133" cm="1">
        <f t="array" aca="1" ref="T164" ca="1">IF($F164="Terminated",0,IF($AA164=0,0,IF(ISNA(MATCH(T$5,CompListItem,0)),0,IF(COUNTIFS(OverEmp,$C164,OverComp,T$5,OverDate,"&lt;"&amp;DATE(YEAR($AC164),MONTH($AC164)+1,1),OverEnd,"&gt;="&amp;DATE(YEAR($AC164),MONTH($AC164),1))&gt;0,SUMIFS(OverValue,OverEmp,$C164,OverComp,T$5,OverDate,"&lt;"&amp;DATE(YEAR($AC164),MONTH($AC164)+1,1),OverEnd,"&gt;="&amp;DATE(YEAR($AC164),MONTH($AC164),1)),IF(OR(T$2="Fixed",T$2="Not Used"),(OFFSET(Setup!$E$81,MATCH(T$5,CompListItem,0),0,1,1)*$AA164)-SUMIFS(OFFSET(T$6,1,0,PayCount,1),PayDate,"&lt;"&amp;$AC164,PayEmp,$C164),IF(ISNA(MATCH(T$2,DedListItem,0))=FALSE,(SUMPRODUCT((PayEmp=$C164)*(PayDate&lt;=$AC164)*(PayDedList=T$2)*(PayDedValues))*OFFSET(Setup!$E$81,MATCH(T$5,CompListItem,0),0,1,1))-SUMIFS(OFFSET(T$6,1,0,PayCount,1),PayDate,"&lt;"&amp;$AC164,PayEmp,$C164),(MIN(IF(OFFSET(Setup!$G$81,MATCH(T$5,CompListItem,0),0,1,1)="Taxable",SUMPRODUCT((PayEmp=$C164)*(PayDate&lt;=$AC164)*(ISERROR(SEARCH(PayEarnCode,T$4)))*(PayEarnTax)*(PayEarnValues)),SUMPRODUCT((PayEmp=$C164)*(PayDate&lt;=$AC164)*(ISERROR(SEARCH(PayEarnCode,T$4)))*(PayEarnValues))),IF(ISNUMBER(T$3),T$3/12*$AA164,IgnoreMin)))*OFFSET(Setup!$E$81,MATCH(T$5,CompListItem,0),0,1,1)-SUMIFS(OFFSET(T$6,1,0,PayCount,1),PayDate,"&lt;"&amp;$AC164,PayEmp,$C164)))))))</f>
        <v>100</v>
      </c>
      <c r="U164" s="133" cm="1">
        <f t="array" aca="1" ref="U164" ca="1">IF($F164="Terminated",0,IF($AA164=0,0,IF(ISNA(MATCH(U$5,CompListItem,0)),0,IF(COUNTIFS(OverEmp,$C164,OverComp,U$5,OverDate,"&lt;"&amp;DATE(YEAR($AC164),MONTH($AC164)+1,1),OverEnd,"&gt;="&amp;DATE(YEAR($AC164),MONTH($AC164),1))&gt;0,SUMIFS(OverValue,OverEmp,$C164,OverComp,U$5,OverDate,"&lt;"&amp;DATE(YEAR($AC164),MONTH($AC164)+1,1),OverEnd,"&gt;="&amp;DATE(YEAR($AC164),MONTH($AC164),1)),IF(OR(U$2="Fixed",U$2="Not Used"),(OFFSET(Setup!$E$81,MATCH(U$5,CompListItem,0),0,1,1)*$AA164)-SUMIFS(OFFSET(U$6,1,0,PayCount,1),PayDate,"&lt;"&amp;$AC164,PayEmp,$C164),IF(ISNA(MATCH(U$2,DedListItem,0))=FALSE,(SUMPRODUCT((PayEmp=$C164)*(PayDate&lt;=$AC164)*(PayDedList=U$2)*(PayDedValues))*OFFSET(Setup!$E$81,MATCH(U$5,CompListItem,0),0,1,1))-SUMIFS(OFFSET(U$6,1,0,PayCount,1),PayDate,"&lt;"&amp;$AC164,PayEmp,$C164),(MIN(IF(OFFSET(Setup!$G$81,MATCH(U$5,CompListItem,0),0,1,1)="Taxable",SUMPRODUCT((PayEmp=$C164)*(PayDate&lt;=$AC164)*(ISERROR(SEARCH(PayEarnCode,U$4)))*(PayEarnTax)*(PayEarnValues)),SUMPRODUCT((PayEmp=$C164)*(PayDate&lt;=$AC164)*(ISERROR(SEARCH(PayEarnCode,U$4)))*(PayEarnValues))),IF(ISNUMBER(U$3),U$3/12*$AA164,IgnoreMin)))*OFFSET(Setup!$E$81,MATCH(U$5,CompListItem,0),0,1,1)-SUMIFS(OFFSET(U$6,1,0,PayCount,1),PayDate,"&lt;"&amp;$AC164,PayEmp,$C164)))))))</f>
        <v>100</v>
      </c>
      <c r="V164" s="133" cm="1">
        <f t="array" aca="1" ref="V164" ca="1">IF($F164="Terminated",0,IF($AA164=0,0,IF(ISNA(MATCH(V$5,CompListItem,0)),0,IF(COUNTIFS(OverEmp,$C164,OverComp,V$5,OverDate,"&lt;"&amp;DATE(YEAR($AC164),MONTH($AC164)+1,1),OverEnd,"&gt;="&amp;DATE(YEAR($AC164),MONTH($AC164),1))&gt;0,SUMIFS(OverValue,OverEmp,$C164,OverComp,V$5,OverDate,"&lt;"&amp;DATE(YEAR($AC164),MONTH($AC164)+1,1),OverEnd,"&gt;="&amp;DATE(YEAR($AC164),MONTH($AC164),1)),IF(OR(V$2="Fixed",V$2="Not Used"),(OFFSET(Setup!$E$81,MATCH(V$5,CompListItem,0),0,1,1)*$AA164)-SUMIFS(OFFSET(V$6,1,0,PayCount,1),PayDate,"&lt;"&amp;$AC164,PayEmp,$C164),IF(ISNA(MATCH(V$2,DedListItem,0))=FALSE,(SUMPRODUCT((PayEmp=$C164)*(PayDate&lt;=$AC164)*(PayDedList=V$2)*(PayDedValues))*OFFSET(Setup!$E$81,MATCH(V$5,CompListItem,0),0,1,1))-SUMIFS(OFFSET(V$6,1,0,PayCount,1),PayDate,"&lt;"&amp;$AC164,PayEmp,$C164),(MIN(IF(OFFSET(Setup!$G$81,MATCH(V$5,CompListItem,0),0,1,1)="Taxable",SUMPRODUCT((PayEmp=$C164)*(PayDate&lt;=$AC164)*(ISERROR(SEARCH(PayEarnCode,V$4)))*(PayEarnTax)*(PayEarnValues)),SUMPRODUCT((PayEmp=$C164)*(PayDate&lt;=$AC164)*(ISERROR(SEARCH(PayEarnCode,V$4)))*(PayEarnValues))),IF(ISNUMBER(V$3),V$3/12*$AA164,IgnoreMin)))*OFFSET(Setup!$E$81,MATCH(V$5,CompListItem,0),0,1,1)-SUMIFS(OFFSET(V$6,1,0,PayCount,1),PayDate,"&lt;"&amp;$AC164,PayEmp,$C164)))))))</f>
        <v>0</v>
      </c>
      <c r="W164" s="133" cm="1">
        <f t="array" aca="1" ref="W164" ca="1">IF($F164="Terminated",0,IF($AA164=0,0,IF(ISNA(MATCH(W$5,CompListItem,0)),0,IF(COUNTIFS(OverEmp,$C164,OverComp,W$5,OverDate,"&lt;"&amp;DATE(YEAR($AC164),MONTH($AC164)+1,1),OverEnd,"&gt;="&amp;DATE(YEAR($AC164),MONTH($AC164),1))&gt;0,SUMIFS(OverValue,OverEmp,$C164,OverComp,W$5,OverDate,"&lt;"&amp;DATE(YEAR($AC164),MONTH($AC164)+1,1),OverEnd,"&gt;="&amp;DATE(YEAR($AC164),MONTH($AC164),1)),IF(OR(W$2="Fixed",W$2="Not Used"),(OFFSET(Setup!$E$81,MATCH(W$5,CompListItem,0),0,1,1)*$AA164)-SUMIFS(OFFSET(W$6,1,0,PayCount,1),PayDate,"&lt;"&amp;$AC164,PayEmp,$C164),IF(ISNA(MATCH(W$2,DedListItem,0))=FALSE,(SUMPRODUCT((PayEmp=$C164)*(PayDate&lt;=$AC164)*(PayDedList=W$2)*(PayDedValues))*OFFSET(Setup!$E$81,MATCH(W$5,CompListItem,0),0,1,1))-SUMIFS(OFFSET(W$6,1,0,PayCount,1),PayDate,"&lt;"&amp;$AC164,PayEmp,$C164),(MIN(IF(OFFSET(Setup!$G$81,MATCH(W$5,CompListItem,0),0,1,1)="Taxable",SUMPRODUCT((PayEmp=$C164)*(PayDate&lt;=$AC164)*(ISERROR(SEARCH(PayEarnCode,W$4)))*(PayEarnTax)*(PayEarnValues)),SUMPRODUCT((PayEmp=$C164)*(PayDate&lt;=$AC164)*(ISERROR(SEARCH(PayEarnCode,W$4)))*(PayEarnValues))),IF(ISNUMBER(W$3),W$3/12*$AA164,IgnoreMin)))*OFFSET(Setup!$E$81,MATCH(W$5,CompListItem,0),0,1,1)-SUMIFS(OFFSET(W$6,1,0,PayCount,1),PayDate,"&lt;"&amp;$AC164,PayEmp,$C164)))))))</f>
        <v>0</v>
      </c>
      <c r="X164" s="185">
        <f t="shared" ca="1" si="78"/>
        <v>200</v>
      </c>
      <c r="Y164" s="139">
        <f t="shared" ca="1" si="69"/>
        <v>10200</v>
      </c>
      <c r="Z164" s="139">
        <f t="shared" ca="1" si="79"/>
        <v>663.75</v>
      </c>
      <c r="AA164" s="146">
        <f ca="1">IF(OR($B164&lt;=Setup!$E$12,$B164&gt;=Setup!$D$12+1),0,IF($F164&lt;&gt;"Active",0,IF($AE164="Yes",$AB164,((YEAR($AC164)*12)+MONTH($AC164))-((YEAR($AD164)*12)+MONTH($AD164)-1))))</f>
        <v>11</v>
      </c>
      <c r="AB164" s="146">
        <f ca="1">IF(OR($B164&lt;=Setup!$E$12,$B164&gt;=Setup!$D$12+1),0,((YEAR($AC164)*12)+MONTH($AC164))-((YEAR(Setup!$E$12)*12)+MONTH(Setup!$E$12)))</f>
        <v>11</v>
      </c>
      <c r="AC164" s="186">
        <f t="shared" ca="1" si="62"/>
        <v>45316</v>
      </c>
      <c r="AD164" s="144">
        <f ca="1">IF(ISNA(VLOOKUP($C164,EmpAll,COLUMN(Emp!$E$4),0)),$AC164,IF(VLOOKUP($C164,EmpAll,COLUMN(Emp!$E$4),0)&lt;=Setup!$E$12,DATE(YEAR(Setup!$E$12),MONTH(Setup!$E$12)+1,1),VLOOKUP($C164,EmpAll,COLUMN(Emp!$E$4),0)))</f>
        <v>44986</v>
      </c>
      <c r="AE164" s="144" t="str">
        <f ca="1">IF(ISNA(VLOOKUP($C164,EmpAll,COLUMN(Emp!$G$1),0)),"-",IF(VLOOKUP($C164,EmpAll,COLUMN(Emp!$G$1),0)=0,"-",VLOOKUP($C164,EmpAll,COLUMN(Emp!$G$1),0)))</f>
        <v>-</v>
      </c>
      <c r="AF164" s="145">
        <f ca="1">IF(A164=PaySlip!$G$3,1,0)</f>
        <v>0</v>
      </c>
      <c r="AG164" s="130" cm="1">
        <f t="array" aca="1" ref="AG164" ca="1">IF(COUNTIFS(OverEmp,$C164,OverMed,"MED",OverDate,"&lt;"&amp;DATE(YEAR($AC164),MONTH($AC164)+1,1),OverEnd,"&gt;="&amp;DATE(YEAR($AC164),MONTH($AC164),1))&gt;0,SUMIFS(OverValue,OverEmp,$C164,OverMed,"MED",OverDate,"&lt;"&amp;DATE(YEAR($AC164),MONTH($AC164)+1,1),OverEnd,"&gt;="&amp;DATE(YEAR($AC164),MONTH($AC164),1)),IF(ISNA(VLOOKUP($C164,EmpAll,COLUMN(Emp!$N$4),0)),0,VLOOKUP($C164,EmpAll,COLUMN(Emp!$N$4),0)))</f>
        <v>0</v>
      </c>
      <c r="AH164" s="146">
        <f ca="1">VLOOKUP($AG164,MedList,COLUMN(Setup!$C$49),1)</f>
        <v>0</v>
      </c>
      <c r="AI164" s="146">
        <f t="shared" ca="1" si="70"/>
        <v>0</v>
      </c>
      <c r="AJ164" s="101" t="str">
        <f ca="1">IF(ISNA(VLOOKUP($C164,EmpAll,COLUMN(Emp!$L$4),0)),"None!",VLOOKUP($C164,EmpAll,COLUMN(Emp!$L$4),0))</f>
        <v>A</v>
      </c>
      <c r="AK164" s="147">
        <f t="shared" ca="1" si="80"/>
        <v>17235</v>
      </c>
      <c r="AL164" s="101" t="str">
        <f ca="1">IF(ISNA(VLOOKUP($C164,Employees[],COLUMN(Emp!$M$4),0))=TRUE,"Error!",IF(VLOOKUP($C164,Employees[],COLUMN(Emp!$M$4),0)=0,"Yes",VLOOKUP($C164,Employees[],COLUMN(Emp!$M$4),0)))</f>
        <v>A</v>
      </c>
      <c r="AM164" s="148">
        <f t="shared" ca="1" si="71"/>
        <v>118090.90909090909</v>
      </c>
      <c r="AN164" s="148" cm="1">
        <f t="array" aca="1" ref="AN164" ca="1">-IF($F164="Terminated",0,IF($AA164=0,0,IF(ISNA(MATCH(AN$5,PayDedList,0)),0,MIN(IF(COUNTIFS(OverEmp,$C164,OverDeduct,AN$5,OverDate,"&lt;"&amp;DATE(YEAR($AC164),MONTH($AC164)+1,1),OverEnd,"&gt;="&amp;DATE(YEAR($AC164),MONTH($AC164),1))&gt;0,SUMPRODUCT((PayEmp=$C164)*(PayDate&lt;=$AC164)*(OFFSET($N$6,1,MATCH(AN$5,PayDedList,0)-1,PayCount,1)))/$AA164*12*AN$3,IF(OR(AN$1="Fixed",AN$1="Not Used"),SUMPRODUCT((PayEmp=$C164)*(PayDate&lt;=$AC164)*(OFFSET($N$6,1,MATCH(AN$5,PayDedList,0)-1,PayCount,1)))/$AA164*12*AN$3,IF(ISNA(MATCH(AN$1,EarnListItem,0))=FALSE,SUMPRODUCT((PayEmp=$C164)*(PayDate&lt;=$AC164)*(OFFSET($N$6,1,MATCH(AN$5,PayDedList,0)-1,PayCount,1)))/$AA164*12*AN$3,(MIN(((SUMPRODUCT((PayEmp=$C164)*(PayDate&lt;=$AC164)*(ISERROR(SEARCH(PayEarnCode,AN$2)))*(PayEarnType="Monthly")*(PayEarnValues))/$AA164*12)+(SUMPRODUCT((PayEmp=$C164)*(PayDate&lt;=$AC164)*(ISERROR(SEARCH(PayEarnCode,AN$2)))*(PayEarnType="Quarterly")*(PayEarnValues))/MAX(1,ROUNDDOWN($AB164/3,0))*4)+(SUMPRODUCT((PayEmp=$C164)*(PayDate&lt;=$AC164)*(ISERROR(SEARCH(PayEarnCode,AN$2)))*(PayEarnType="Bi-Annual")*(PayEarnValues))/MAX(1,ROUNDDOWN($AB164/6,0))*2)+(SUMPRODUCT((PayEmp=$C164)*(PayDate&lt;=$AC164)*(ISERROR(SEARCH(PayEarnCode,AN$2)))*(PayEarnType="Annual")*(PayEarnValues)))),IF(ISNUMBER(OFFSET($N$3,0,MATCH(AN$5,PayDedList,0)-1,1,1)),OFFSET($N$3,0,MATCH(AN$5,PayDedList,0)-1,1,1),IgnoreMin)))*IF(COUNTIFS(EmpNo,$C164,OFFSET(Emp!$R$4,1,MATCH(AN$5,DedListItem,0)-1,EmpCount,1),"&lt;&gt;")&gt;0,VLOOKUP($C164,EmpAll,COLUMN(Emp!$R$4)+MATCH(AN$5,DedListItem,0)-1,0),OFFSET(Setup!$E$73,MATCH(AN$5,DedListItem,0),0,1,1))*AN$3))),IF(ISNUMBER(AN$4),AN$4,IgnoreMin)))))</f>
        <v>0</v>
      </c>
      <c r="AO164" s="148" cm="1">
        <f t="array" aca="1" ref="AO164" ca="1">-IF($F164="Terminated",0,IF($AA164=0,0,IF(ISNA(MATCH(AO$5,PayDedList,0)),0,MIN(IF(COUNTIFS(OverEmp,$C164,OverDeduct,AO$5,OverDate,"&lt;"&amp;DATE(YEAR($AC164),MONTH($AC164)+1,1),OverEnd,"&gt;="&amp;DATE(YEAR($AC164),MONTH($AC164),1))&gt;0,SUMPRODUCT((PayEmp=$C164)*(PayDate&lt;=$AC164)*(OFFSET($N$6,1,MATCH(AO$5,PayDedList,0)-1,PayCount,1)))/$AA164*12*AO$3,IF(OR(AO$1="Fixed",AO$1="Not Used"),SUMPRODUCT((PayEmp=$C164)*(PayDate&lt;=$AC164)*(OFFSET($N$6,1,MATCH(AO$5,PayDedList,0)-1,PayCount,1)))/$AA164*12*AO$3,IF(ISNA(MATCH(AO$1,EarnListItem,0))=FALSE,SUMPRODUCT((PayEmp=$C164)*(PayDate&lt;=$AC164)*(OFFSET($N$6,1,MATCH(AO$5,PayDedList,0)-1,PayCount,1)))/$AA164*12*AO$3,(MIN(((SUMPRODUCT((PayEmp=$C164)*(PayDate&lt;=$AC164)*(ISERROR(SEARCH(PayEarnCode,AO$2)))*(PayEarnType="Monthly")*(PayEarnValues))/$AA164*12)+(SUMPRODUCT((PayEmp=$C164)*(PayDate&lt;=$AC164)*(ISERROR(SEARCH(PayEarnCode,AO$2)))*(PayEarnType="Quarterly")*(PayEarnValues))/MAX(1,ROUNDDOWN($AB164/3,0))*4)+(SUMPRODUCT((PayEmp=$C164)*(PayDate&lt;=$AC164)*(ISERROR(SEARCH(PayEarnCode,AO$2)))*(PayEarnType="Bi-Annual")*(PayEarnValues))/MAX(1,ROUNDDOWN($AB164/6,0))*2)+(SUMPRODUCT((PayEmp=$C164)*(PayDate&lt;=$AC164)*(ISERROR(SEARCH(PayEarnCode,AO$2)))*(PayEarnType="Annual")*(PayEarnValues)))),IF(ISNUMBER(OFFSET($N$3,0,MATCH(AO$5,PayDedList,0)-1,1,1)),OFFSET($N$3,0,MATCH(AO$5,PayDedList,0)-1,1,1),IgnoreMin)))*IF(COUNTIFS(EmpNo,$C164,OFFSET(Emp!$R$4,1,MATCH(AO$5,DedListItem,0)-1,EmpCount,1),"&lt;&gt;")&gt;0,VLOOKUP($C164,EmpAll,COLUMN(Emp!$R$4)+MATCH(AO$5,DedListItem,0)-1,0),OFFSET(Setup!$E$73,MATCH(AO$5,DedListItem,0),0,1,1))*AO$3))),IF(ISNUMBER(AO$4),AO$4,IgnoreMin)))))</f>
        <v>0</v>
      </c>
      <c r="AP164" s="148" cm="1">
        <f t="array" aca="1" ref="AP164" ca="1">-IF($F164="Terminated",0,IF($AA164=0,0,IF(ISNA(MATCH(AP$5,PayDedList,0)),0,MIN(IF(COUNTIFS(OverEmp,$C164,OverDeduct,AP$5,OverDate,"&lt;"&amp;DATE(YEAR($AC164),MONTH($AC164)+1,1),OverEnd,"&gt;="&amp;DATE(YEAR($AC164),MONTH($AC164),1))&gt;0,SUMPRODUCT((PayEmp=$C164)*(PayDate&lt;=$AC164)*(OFFSET($N$6,1,MATCH(AP$5,PayDedList,0)-1,PayCount,1)))/$AA164*12*AP$3,IF(OR(AP$1="Fixed",AP$1="Not Used"),SUMPRODUCT((PayEmp=$C164)*(PayDate&lt;=$AC164)*(OFFSET($N$6,1,MATCH(AP$5,PayDedList,0)-1,PayCount,1)))/$AA164*12*AP$3,IF(ISNA(MATCH(AP$1,EarnListItem,0))=FALSE,SUMPRODUCT((PayEmp=$C164)*(PayDate&lt;=$AC164)*(OFFSET($N$6,1,MATCH(AP$5,PayDedList,0)-1,PayCount,1)))/$AA164*12*AP$3,(MIN(((SUMPRODUCT((PayEmp=$C164)*(PayDate&lt;=$AC164)*(ISERROR(SEARCH(PayEarnCode,AP$2)))*(PayEarnType="Monthly")*(PayEarnValues))/$AA164*12)+(SUMPRODUCT((PayEmp=$C164)*(PayDate&lt;=$AC164)*(ISERROR(SEARCH(PayEarnCode,AP$2)))*(PayEarnType="Quarterly")*(PayEarnValues))/MAX(1,ROUNDDOWN($AB164/3,0))*4)+(SUMPRODUCT((PayEmp=$C164)*(PayDate&lt;=$AC164)*(ISERROR(SEARCH(PayEarnCode,AP$2)))*(PayEarnType="Bi-Annual")*(PayEarnValues))/MAX(1,ROUNDDOWN($AB164/6,0))*2)+(SUMPRODUCT((PayEmp=$C164)*(PayDate&lt;=$AC164)*(ISERROR(SEARCH(PayEarnCode,AP$2)))*(PayEarnType="Annual")*(PayEarnValues)))),IF(ISNUMBER(OFFSET($N$3,0,MATCH(AP$5,PayDedList,0)-1,1,1)),OFFSET($N$3,0,MATCH(AP$5,PayDedList,0)-1,1,1),IgnoreMin)))*IF(COUNTIFS(EmpNo,$C164,OFFSET(Emp!$R$4,1,MATCH(AP$5,DedListItem,0)-1,EmpCount,1),"&lt;&gt;")&gt;0,VLOOKUP($C164,EmpAll,COLUMN(Emp!$R$4)+MATCH(AP$5,DedListItem,0)-1,0),OFFSET(Setup!$E$73,MATCH(AP$5,DedListItem,0),0,1,1))*AP$3))),IF(ISNUMBER(AP$4),AP$4,IgnoreMin)))))</f>
        <v>0</v>
      </c>
      <c r="AQ164" s="148" cm="1">
        <f t="array" aca="1" ref="AQ164" ca="1">-IF($F164="Terminated",0,IF($AA164=0,0,IF(ISNA(MATCH(AQ$5,PayDedList,0)),0,MIN(IF(COUNTIFS(OverEmp,$C164,OverDeduct,AQ$5,OverDate,"&lt;"&amp;DATE(YEAR($AC164),MONTH($AC164)+1,1),OverEnd,"&gt;="&amp;DATE(YEAR($AC164),MONTH($AC164),1))&gt;0,SUMPRODUCT((PayEmp=$C164)*(PayDate&lt;=$AC164)*(OFFSET($N$6,1,MATCH(AQ$5,PayDedList,0)-1,PayCount,1)))/$AA164*12*AQ$3,IF(OR(AQ$1="Fixed",AQ$1="Not Used"),SUMPRODUCT((PayEmp=$C164)*(PayDate&lt;=$AC164)*(OFFSET($N$6,1,MATCH(AQ$5,PayDedList,0)-1,PayCount,1)))/$AA164*12*AQ$3,IF(ISNA(MATCH(AQ$1,EarnListItem,0))=FALSE,SUMPRODUCT((PayEmp=$C164)*(PayDate&lt;=$AC164)*(OFFSET($N$6,1,MATCH(AQ$5,PayDedList,0)-1,PayCount,1)))/$AA164*12*AQ$3,(MIN(((SUMPRODUCT((PayEmp=$C164)*(PayDate&lt;=$AC164)*(ISERROR(SEARCH(PayEarnCode,AQ$2)))*(PayEarnType="Monthly")*(PayEarnValues))/$AA164*12)+(SUMPRODUCT((PayEmp=$C164)*(PayDate&lt;=$AC164)*(ISERROR(SEARCH(PayEarnCode,AQ$2)))*(PayEarnType="Quarterly")*(PayEarnValues))/MAX(1,ROUNDDOWN($AB164/3,0))*4)+(SUMPRODUCT((PayEmp=$C164)*(PayDate&lt;=$AC164)*(ISERROR(SEARCH(PayEarnCode,AQ$2)))*(PayEarnType="Bi-Annual")*(PayEarnValues))/MAX(1,ROUNDDOWN($AB164/6,0))*2)+(SUMPRODUCT((PayEmp=$C164)*(PayDate&lt;=$AC164)*(ISERROR(SEARCH(PayEarnCode,AQ$2)))*(PayEarnType="Annual")*(PayEarnValues)))),IF(ISNUMBER(OFFSET($N$3,0,MATCH(AQ$5,PayDedList,0)-1,1,1)),OFFSET($N$3,0,MATCH(AQ$5,PayDedList,0)-1,1,1),IgnoreMin)))*IF(COUNTIFS(EmpNo,$C164,OFFSET(Emp!$R$4,1,MATCH(AQ$5,DedListItem,0)-1,EmpCount,1),"&lt;&gt;")&gt;0,VLOOKUP($C164,EmpAll,COLUMN(Emp!$R$4)+MATCH(AQ$5,DedListItem,0)-1,0),OFFSET(Setup!$E$73,MATCH(AQ$5,DedListItem,0),0,1,1))*AQ$3))),IF(ISNUMBER(AQ$4),AQ$4,IgnoreMin)))))</f>
        <v>0</v>
      </c>
      <c r="AR164" s="148">
        <f t="shared" ca="1" si="81"/>
        <v>118090.90909090909</v>
      </c>
      <c r="AS164" s="148">
        <f t="shared" ca="1" si="72"/>
        <v>109090.90909090909</v>
      </c>
      <c r="AT164" s="148" cm="1">
        <f t="array" aca="1" ref="AT164" ca="1">-IF($F164="Terminated",0,IF($AA164=0,0,IF(ISNA(MATCH(AT$5,PayDedList,0)),0,MIN(IF(COUNTIFS(OverEmp,$C164,OverDeduct,AT$5,OverDate,"&lt;"&amp;DATE(YEAR($AC164),MONTH($AC164)+1,1),OverEnd,"&gt;="&amp;DATE(YEAR($AC164),MONTH($AC164),1))&gt;0,SUMPRODUCT((PayEmp=$C164)*(PayDate&lt;=$AC164)*(OFFSET($N$6,1,MATCH(AT$5,PayDedList,0)-1,PayCount,1)))/$AA164*12*AT$3,IF(OR(AT$1="Fixed",AT$1="Not Used"),SUMPRODUCT((PayEmp=$C164)*(PayDate&lt;=$AC164)*(OFFSET($N$6,1,MATCH(AT$5,PayDedList,0)-1,PayCount,1)))/$AA164*12*AT$3,IF(ISNA(MATCH(OFFSET($N$2,0,MATCH(AT$5,PayDedList,0)-1,1,1),EarnListItem,0))=FALSE,SUMPRODUCT((PayEmp=$C164)*(PayDate&lt;=$AC164)*(OFFSET($N$6,1,MATCH(AT$5,PayDedList,0)-1,PayCount,1)))/$AA164*12*AT$3,(MIN(SUMPRODUCT((PayEmp=$C164)*(PayDate&lt;=$AC164)*(ISERROR(SEARCH(PayEarnCode,AT$2)))*(PayEarnType="Monthly")*(PayEarnValues))/$AA164*12,IF(ISNUMBER(OFFSET($N$3,0,MATCH(AT$5,PayDedList,0)-1,1,1)),OFFSET($N$3,0,MATCH(AT$5,PayDedList,0)-1,1,1),IgnoreMin)))*IF(COUNTIFS(EmpNo,$C164,OFFSET(Emp!$R$4,1,MATCH(AT$5,DedListItem,0)-1,EmpCount,1),"&lt;&gt;")&gt;0,VLOOKUP($C164,EmpAll,COLUMN(Emp!$R$4)+MATCH(AT$5,DedListItem,0)-1,0),OFFSET(Setup!$E$73,MATCH(AT$5,DedListItem,0),0,1,1))*AT$3))),IF(ISNUMBER(AT$4),AT$4,IgnoreMin)))))</f>
        <v>0</v>
      </c>
      <c r="AU164" s="148" cm="1">
        <f t="array" aca="1" ref="AU164" ca="1">-IF($F164="Terminated",0,IF($AA164=0,0,IF(ISNA(MATCH(AU$5,PayDedList,0)),0,MIN(IF(COUNTIFS(OverEmp,$C164,OverDeduct,AU$5,OverDate,"&lt;"&amp;DATE(YEAR($AC164),MONTH($AC164)+1,1),OverEnd,"&gt;="&amp;DATE(YEAR($AC164),MONTH($AC164),1))&gt;0,SUMPRODUCT((PayEmp=$C164)*(PayDate&lt;=$AC164)*(OFFSET($N$6,1,MATCH(AU$5,PayDedList,0)-1,PayCount,1)))/$AA164*12*AU$3,IF(OR(AU$1="Fixed",AU$1="Not Used"),SUMPRODUCT((PayEmp=$C164)*(PayDate&lt;=$AC164)*(OFFSET($N$6,1,MATCH(AU$5,PayDedList,0)-1,PayCount,1)))/$AA164*12*AU$3,IF(ISNA(MATCH(OFFSET($N$2,0,MATCH(AU$5,PayDedList,0)-1,1,1),EarnListItem,0))=FALSE,SUMPRODUCT((PayEmp=$C164)*(PayDate&lt;=$AC164)*(OFFSET($N$6,1,MATCH(AU$5,PayDedList,0)-1,PayCount,1)))/$AA164*12*AU$3,(MIN(SUMPRODUCT((PayEmp=$C164)*(PayDate&lt;=$AC164)*(ISERROR(SEARCH(PayEarnCode,AU$2)))*(PayEarnType="Monthly")*(PayEarnValues))/$AA164*12,IF(ISNUMBER(OFFSET($N$3,0,MATCH(AU$5,PayDedList,0)-1,1,1)),OFFSET($N$3,0,MATCH(AU$5,PayDedList,0)-1,1,1),IgnoreMin)))*IF(COUNTIFS(EmpNo,$C164,OFFSET(Emp!$R$4,1,MATCH(AU$5,DedListItem,0)-1,EmpCount,1),"&lt;&gt;")&gt;0,VLOOKUP($C164,EmpAll,COLUMN(Emp!$R$4)+MATCH(AU$5,DedListItem,0)-1,0),OFFSET(Setup!$E$73,MATCH(AU$5,DedListItem,0),0,1,1))*AU$3))),IF(ISNUMBER(AU$4),AU$4,IgnoreMin)))))</f>
        <v>0</v>
      </c>
      <c r="AV164" s="148" cm="1">
        <f t="array" aca="1" ref="AV164" ca="1">-IF($F164="Terminated",0,IF($AA164=0,0,IF(ISNA(MATCH(AV$5,PayDedList,0)),0,MIN(IF(COUNTIFS(OverEmp,$C164,OverDeduct,AV$5,OverDate,"&lt;"&amp;DATE(YEAR($AC164),MONTH($AC164)+1,1),OverEnd,"&gt;="&amp;DATE(YEAR($AC164),MONTH($AC164),1))&gt;0,SUMPRODUCT((PayEmp=$C164)*(PayDate&lt;=$AC164)*(OFFSET($N$6,1,MATCH(AV$5,PayDedList,0)-1,PayCount,1)))/$AA164*12*AV$3,IF(OR(AV$1="Fixed",AV$1="Not Used"),SUMPRODUCT((PayEmp=$C164)*(PayDate&lt;=$AC164)*(OFFSET($N$6,1,MATCH(AV$5,PayDedList,0)-1,PayCount,1)))/$AA164*12*AV$3,IF(ISNA(MATCH(OFFSET($N$2,0,MATCH(AV$5,PayDedList,0)-1,1,1),EarnListItem,0))=FALSE,SUMPRODUCT((PayEmp=$C164)*(PayDate&lt;=$AC164)*(OFFSET($N$6,1,MATCH(AV$5,PayDedList,0)-1,PayCount,1)))/$AA164*12*AV$3,(MIN(SUMPRODUCT((PayEmp=$C164)*(PayDate&lt;=$AC164)*(ISERROR(SEARCH(PayEarnCode,AV$2)))*(PayEarnType="Monthly")*(PayEarnValues))/$AA164*12,IF(ISNUMBER(OFFSET($N$3,0,MATCH(AV$5,PayDedList,0)-1,1,1)),OFFSET($N$3,0,MATCH(AV$5,PayDedList,0)-1,1,1),IgnoreMin)))*IF(COUNTIFS(EmpNo,$C164,OFFSET(Emp!$R$4,1,MATCH(AV$5,DedListItem,0)-1,EmpCount,1),"&lt;&gt;")&gt;0,VLOOKUP($C164,EmpAll,COLUMN(Emp!$R$4)+MATCH(AV$5,DedListItem,0)-1,0),OFFSET(Setup!$E$73,MATCH(AV$5,DedListItem,0),0,1,1))*AV$3))),IF(ISNUMBER(AV$4),AV$4,IgnoreMin)))))</f>
        <v>0</v>
      </c>
      <c r="AW164" s="148" cm="1">
        <f t="array" aca="1" ref="AW164" ca="1">-IF($F164="Terminated",0,IF($AA164=0,0,IF(ISNA(MATCH(AW$5,PayDedList,0)),0,MIN(IF(COUNTIFS(OverEmp,$C164,OverDeduct,AW$5,OverDate,"&lt;"&amp;DATE(YEAR($AC164),MONTH($AC164)+1,1),OverEnd,"&gt;="&amp;DATE(YEAR($AC164),MONTH($AC164),1))&gt;0,SUMPRODUCT((PayEmp=$C164)*(PayDate&lt;=$AC164)*(OFFSET($N$6,1,MATCH(AW$5,PayDedList,0)-1,PayCount,1)))/$AA164*12*AW$3,IF(OR(AW$1="Fixed",AW$1="Not Used"),SUMPRODUCT((PayEmp=$C164)*(PayDate&lt;=$AC164)*(OFFSET($N$6,1,MATCH(AW$5,PayDedList,0)-1,PayCount,1)))/$AA164*12*AW$3,IF(ISNA(MATCH(OFFSET($N$2,0,MATCH(AW$5,PayDedList,0)-1,1,1),EarnListItem,0))=FALSE,SUMPRODUCT((PayEmp=$C164)*(PayDate&lt;=$AC164)*(OFFSET($N$6,1,MATCH(AW$5,PayDedList,0)-1,PayCount,1)))/$AA164*12*AW$3,(MIN(SUMPRODUCT((PayEmp=$C164)*(PayDate&lt;=$AC164)*(ISERROR(SEARCH(PayEarnCode,AW$2)))*(PayEarnType="Monthly")*(PayEarnValues))/$AA164*12,IF(ISNUMBER(OFFSET($N$3,0,MATCH(AW$5,PayDedList,0)-1,1,1)),OFFSET($N$3,0,MATCH(AW$5,PayDedList,0)-1,1,1),IgnoreMin)))*IF(COUNTIFS(EmpNo,$C164,OFFSET(Emp!$R$4,1,MATCH(AW$5,DedListItem,0)-1,EmpCount,1),"&lt;&gt;")&gt;0,VLOOKUP($C164,EmpAll,COLUMN(Emp!$R$4)+MATCH(AW$5,DedListItem,0)-1,0),OFFSET(Setup!$E$73,MATCH(AW$5,DedListItem,0),0,1,1))*AW$3))),IF(ISNUMBER(AW$4),AW$4,IgnoreMin)))))</f>
        <v>0</v>
      </c>
      <c r="AX164" s="148">
        <f t="shared" ca="1" si="73"/>
        <v>109090.90909090909</v>
      </c>
      <c r="AY164" s="148">
        <f t="shared" ca="1" si="74"/>
        <v>9000</v>
      </c>
      <c r="AZ164" s="148">
        <f ca="1">IF(ISNUMBER($AL164),($AR164*$AL164)-$AI164-$AK164,MAX(0,IF($AL164="B",IF($AR164&lt;Setup!$C$32,($AR164*Setup!$D$32)-$AI164-$AK164,(($AR164-VLOOKUP($AR164,TaxAll2,1,1))*OFFSET(Setup!$D$32,MATCH($AR164,TaxBracket2,1),0,1,1))+OFFSET(Setup!$E$31,MATCH($AR164,TaxBracket2,1),0,1,1)-$AI164-$AK164),IF($AR164&lt;Setup!$C$21,($AR164*Setup!$D$21)-$AI164-$AK164,(($AR164-VLOOKUP($AR164,TaxAll1,1,1))*OFFSET(Setup!$D$21,MATCH($AR164,TaxBracket1,1),0,1,1))+OFFSET(Setup!$E$20,MATCH($AR164,TaxBracket1,1),0,1,1)-$AI164-$AK164))))</f>
        <v>4021.363636363636</v>
      </c>
      <c r="BA164" s="148">
        <f ca="1">IF(ISNUMBER($AL164),($AX164*$AL164)-$AI164-$AK164,MAX(0,IF($AL164="B",IF($AX164&lt;Setup!$C$32,($AX164*Setup!$D$32)-$AI164-$AK164,(($AX164-VLOOKUP($AX164,TaxAll2,1,1))*OFFSET(Setup!$D$32,MATCH($AX164,TaxBracket2,1),0,1,1))+OFFSET(Setup!$E$31,MATCH($AX164,TaxBracket2,1),0,1,1)-$AI164-$AK164),IF($AX164&lt;Setup!$C$21,($AX164*Setup!$D$21)-$AI164-$AK164,(($AX164-VLOOKUP($AX164,TaxAll1,1,1))*OFFSET(Setup!$D$21,MATCH($AX164,TaxBracket1,1),0,1,1))+OFFSET(Setup!$E$20,MATCH($AX164,TaxBracket1,1),0,1,1)-$AI164-$AK164))))</f>
        <v>2401.363636363636</v>
      </c>
      <c r="BB164" s="148">
        <f t="shared" ca="1" si="82"/>
        <v>1620</v>
      </c>
      <c r="BC164" s="150">
        <f t="shared" ca="1" si="75"/>
        <v>0.92378752886836024</v>
      </c>
      <c r="BD164" s="150">
        <f t="shared" ca="1" si="76"/>
        <v>7.6212471131639731E-2</v>
      </c>
      <c r="BE164" s="148">
        <f t="shared" ca="1" si="77"/>
        <v>118090.90909090909</v>
      </c>
    </row>
    <row r="165" spans="1:57" ht="16.149999999999999" customHeight="1" x14ac:dyDescent="0.25">
      <c r="A165" s="10" t="str" cm="1">
        <f t="array" aca="1" ref="A165" ca="1">IF(ROW($A165)-ROW($A$6)&gt;EmpCount*12,"-",TEXT($B165,"yyyy")&amp;TEXT($B165,"mm")&amp;"-"&amp;$C165)</f>
        <v>202401-EXS009</v>
      </c>
      <c r="B165" s="137" cm="1">
        <f t="array" aca="1" ref="B165" ca="1">IF(ROW($A165)-ROW($A$6)&gt;EmpCount*12,Setup!$D$12,DATE(YEAR(Setup!$F$12),MONTH(Setup!$F$12)+ROUNDDOWN((ROW($A165)-ROW($A$6)-1)/EmpCount,0),IF(Setup!$C$14&gt;DAY(DATE(YEAR(Setup!$F$12),MONTH(Setup!$F$12)+ROUNDDOWN((ROW($A165)-ROW($A$6)-1)/EmpCount,0)+1,0)),DAY(DATE(YEAR(Setup!$F$12),MONTH(Setup!$F$12)+ROUNDDOWN((ROW($A165)-ROW($A$6)-1)/EmpCount,0)+1,0)),Setup!$C$14)))</f>
        <v>45316</v>
      </c>
      <c r="C165" s="101" t="str" cm="1">
        <f t="array" aca="1" ref="C165" ca="1">IF(ROW($A165)-ROW($A$6)&gt;EmpCount*12,"-",OFFSET(Emp!$A$4,ROW($A165)-ROW($A$6)-IF(ROW($A165)-ROW($A$6)&gt;EmpCount,ROUNDDOWN((ROW($A165)-ROW($A$6)-1)/EmpCount,0)*EmpCount,0),0,1,1))</f>
        <v>EXS009</v>
      </c>
      <c r="D165" s="10" t="str">
        <f ca="1">IF(ISNA(VLOOKUP($C165,EmpAll,COLUMN(Emp!$B$4),0)),"-",VLOOKUP($C165,EmpAll,COLUMN(Emp!$B$4),0))</f>
        <v>Brown JT</v>
      </c>
      <c r="E165" s="145" t="str">
        <f ca="1">IF(ISNA(VLOOKUP($C165,EmpAll,COLUMN(Emp!$C$4),0)),"-",VLOOKUP($C165,EmpAll,COLUMN(Emp!$C$4),0))</f>
        <v>A</v>
      </c>
      <c r="F165" s="101" t="str">
        <f ca="1">IF(ISNA(VLOOKUP($C165,EmpAll,COLUMN(Emp!$A$4),0)),"-",IF(AND(VLOOKUP($C165,EmpAll,COLUMN(Emp!$E$4),0)&lt;&gt;0,VLOOKUP($C165,EmpAll,COLUMN(Emp!$E$4),0)&gt;=DATE(YEAR($AC165),MONTH($AC165)+1,0)),"Inactive",IF(AND(VLOOKUP($C165,EmpAll,COLUMN(Emp!$F$4),0)&lt;&gt;0,VLOOKUP($C165,EmpAll,COLUMN(Emp!$F$4),0)&lt;=DATE(YEAR($AC165),MONTH($AC165),0)),"Terminated","Active")))</f>
        <v>Active</v>
      </c>
      <c r="G165" s="133" cm="1">
        <f t="array" aca="1" ref="G165" ca="1">IF($F165&lt;&gt;"Active",0,IF(COUNTIFS(OverEmp,$C165,OverEarn,G$2,OverDate,"&lt;"&amp;DATE(YEAR($AC165),MONTH($AC165)+1,1),OverEnd,"&gt;="&amp;DATE(YEAR($AC165),MONTH($AC165),1))&gt;0,SUMIFS(OverValue,OverEmp,$C165,OverEarn,G$2,OverDate,"&lt;"&amp;DATE(YEAR($AC165),MONTH($AC165)+1,1),OverEnd,"&gt;="&amp;DATE(YEAR($AC165),MONTH($AC165),1)),IF(AND($AC165&gt;=Setup!$E$10,SUMIFS(EmpIncrease,EmpCode,$C165)&gt;0),SUMIFS(EmpIncrease,EmpCode,$C165),SUMIFS(EmpSalary,EmpCode,$C165))))</f>
        <v>10000</v>
      </c>
      <c r="H165" s="133" cm="1">
        <f t="array" aca="1" ref="H165" ca="1">IF($F165&lt;&gt;"Active",0,IF(COUNTIFS(OverEmp,$C165,OverEarn,H$2,OverDate,"&lt;"&amp;DATE(YEAR($AC165),MONTH($AC165)+1,1),OverEnd,"&gt;="&amp;DATE(YEAR($AC165),MONTH($AC165),1))&gt;0,SUMIFS(OverValue,OverEmp,$C165,OverEarn,H$2,OverDate,"&lt;"&amp;DATE(YEAR($AC165),MONTH($AC165)+1,1),OverEnd,"&gt;="&amp;DATE(YEAR($AC165),MONTH($AC165),1)),0))</f>
        <v>0</v>
      </c>
      <c r="I165" s="133" cm="1">
        <f t="array" aca="1" ref="I165" ca="1">IF($F165&lt;&gt;"Active",0,IF(COUNTIFS(OverEmp,$C165,OverEarn,I$2,OverDate,"&lt;"&amp;DATE(YEAR($AC165),MONTH($AC165)+1,1),OverEnd,"&gt;="&amp;DATE(YEAR($AC165),MONTH($AC165),1))&gt;0,SUMIFS(OverValue,OverEmp,$C165,OverEarn,I$2,OverDate,"&lt;"&amp;DATE(YEAR($AC165),MONTH($AC165)+1,1),OverEnd,"&gt;="&amp;DATE(YEAR($AC165),MONTH($AC165),1)),IF(MONTH(B165)=Setup!$C$15,SUMIFS(EmpBonus,EmpCode,$C165),0)))</f>
        <v>0</v>
      </c>
      <c r="J165" s="133" cm="1">
        <f t="array" aca="1" ref="J165" ca="1">IF($F165&lt;&gt;"Active",0,IF(COUNTIFS(OverEmp,$C165,OverEarn,J$2,OverDate,"&lt;"&amp;DATE(YEAR($AC165),MONTH($AC165)+1,1),OverEnd,"&gt;="&amp;DATE(YEAR($AC165),MONTH($AC165),1))&gt;0,SUMIFS(OverValue,OverEmp,$C165,OverEarn,J$2,OverDate,"&lt;"&amp;DATE(YEAR($AC165),MONTH($AC165)+1,1),OverEnd,"&gt;="&amp;DATE(YEAR($AC165),MONTH($AC165),1)),0))</f>
        <v>0</v>
      </c>
      <c r="K165" s="133" cm="1">
        <f t="array" aca="1" ref="K165" ca="1">IF($F165&lt;&gt;"Active",0,IF(COUNTIFS(OverEmp,$C165,OverEarn,K$2,OverDate,"&lt;"&amp;DATE(YEAR($AC165),MONTH($AC165)+1,1),OverEnd,"&gt;="&amp;DATE(YEAR($AC165),MONTH($AC165),1))&gt;0,SUMIFS(OverValue,OverEmp,$C165,OverEarn,K$2,OverDate,"&lt;"&amp;DATE(YEAR($AC165),MONTH($AC165)+1,1),OverEnd,"&gt;="&amp;DATE(YEAR($AC165),MONTH($AC165),1)),0))</f>
        <v>0</v>
      </c>
      <c r="L165" s="185">
        <f t="shared" ca="1" si="66"/>
        <v>10000</v>
      </c>
      <c r="M165" s="182" cm="1">
        <f t="array" aca="1" ref="M165" ca="1">IF(COUNTIFS(OverEmp,$C165,OverTax,M$5,OverDate,"&lt;"&amp;DATE(YEAR($AC165),MONTH($AC165)+1,1),OverEnd,"&gt;="&amp;DATE(YEAR($AC165),MONTH($AC165),1))&gt;0,SUMIFS(OverValue,OverEmp,$C165,OverTax,M$5,OverDate,"&lt;"&amp;DATE(YEAR($AC165),MONTH($AC165)+1,1),OverEnd,"&gt;="&amp;DATE(YEAR($AC165),MONTH($AC165),1)),(($BA165/12*$AA165)+(BB165*IF(1-$BC165=0,0,BD165/(1-$BC165))))-IF($F165="Terminated",0,SUMIFS(PayTaxDeduct,PayDate,"&lt;"&amp;$AC165,PayEmp,$C165)))</f>
        <v>363.74999999999864</v>
      </c>
      <c r="N165" s="133" cm="1">
        <f t="array" aca="1" ref="N165" ca="1">IF($F165="Terminated",0,IF($AA165=0,0,IF(ISNA(MATCH(N$5,DedListItem,0)),0,IF(COUNTIFS(OverEmp,$C165,OverDeduct,N$5,OverDate,"&lt;"&amp;DATE(YEAR($AC165),MONTH($AC165)+1,1),OverEnd,"&gt;="&amp;DATE(YEAR($AC165),MONTH($AC165),1))&gt;0,SUMIFS(OverValue,OverEmp,$C165,OverDeduct,N$5,OverDate,"&lt;"&amp;DATE(YEAR($AC165),MONTH($AC165)+1,1),OverEnd,"&gt;="&amp;DATE(YEAR($AC165),MONTH($AC165),1)),IF(OR(N$2="Fixed",N$2="Not Used"),(IF(COUNTIFS(EmpNo,$C165,OFFSET(Emp!$R$4,1,MATCH(N$5,DedListItem,0)-1,EmpCount,1),"&lt;&gt;")&gt;0,VLOOKUP($C165,EmpAll,COLUMN(Emp!$R$4)+MATCH(N$5,DedListItem,0)-1,0),OFFSET(Setup!$E$73,MATCH(N$5,DedListItem,0),0,1,1))*$AA165)-SUMIFS(OFFSET(N$6,1,0,PayCount,1),PayDate,"&lt;"&amp;$AC165,PayEmp,$C165),IF(ISNA(MATCH(N$2,EarnListItem,0))=FALSE,IF(OFFSET(Setup!$G$73,MATCH(N$5,DedListItem,0),0,1,1)="Taxable",SUMPRODUCT((PayEmp=$C165)*(PayDate&lt;=$AC165)*(PayEarnCode=N$2)*(PayEarnTax)*(PayEarnValues)),SUMPRODUCT((PayEmp=$C165)*(PayDate&lt;=$AC165)*(PayEarnCode=N$2)*(PayEarnValues)))*IF(COUNTIFS(EmpNo,$C165,OFFSET(Emp!$R$4,1,MATCH(N$5,DedListItem,0)-1,EmpCount,1),"&lt;&gt;")&gt;0,VLOOKUP($C165,EmpAll,COLUMN(Emp!$R$4)+MATCH(N$5,DedListItem,0)-1,0),OFFSET(Setup!$E$73,MATCH(N$5,DedListItem,0),0,1,1)),(MIN(IF(OFFSET(Setup!$G$73,MATCH(N$5,DedListItem,0),0,1,1)="Taxable",SUMPRODUCT((PayEmp=$C165)*(PayDate&lt;=$AC165)*(ISERROR(SEARCH(PayEarnCode,N$4)))*(PayEarnTax)*(PayEarnValues)),SUMPRODUCT((PayEmp=$C165)*(PayDate&lt;=$AC165)*(ISERROR(SEARCH(PayEarnCode,N$4)))*(PayEarnValues))),IF(ISNUMBER(N$3),N$3/12*$AA165,IgnoreMin)))*IF(COUNTIFS(EmpNo,$C165,OFFSET(Emp!$R$4,1,MATCH(N$5,DedListItem,0)-1,EmpCount,1),"&lt;&gt;")&gt;0,VLOOKUP($C165,EmpAll,COLUMN(Emp!$R$4)+MATCH(N$5,DedListItem,0)-1,0),OFFSET(Setup!$E$73,MATCH(N$5,DedListItem,0),0,1,1)))-SUMIFS(OFFSET(N$6,1,0,PayCount,1),PayDate,"&lt;"&amp;$AC165,PayEmp,$C165))))))</f>
        <v>100</v>
      </c>
      <c r="O165" s="133" cm="1">
        <f t="array" aca="1" ref="O165" ca="1">IF($F165="Terminated",0,IF($AA165=0,0,IF(ISNA(MATCH(O$5,DedListItem,0)),0,IF(COUNTIFS(OverEmp,$C165,OverDeduct,O$5,OverDate,"&lt;"&amp;DATE(YEAR($AC165),MONTH($AC165)+1,1),OverEnd,"&gt;="&amp;DATE(YEAR($AC165),MONTH($AC165),1))&gt;0,SUMIFS(OverValue,OverEmp,$C165,OverDeduct,O$5,OverDate,"&lt;"&amp;DATE(YEAR($AC165),MONTH($AC165)+1,1),OverEnd,"&gt;="&amp;DATE(YEAR($AC165),MONTH($AC165),1)),IF(OR(O$2="Fixed",O$2="Not Used"),(IF(COUNTIFS(EmpNo,$C165,OFFSET(Emp!$R$4,1,MATCH(O$5,DedListItem,0)-1,EmpCount,1),"&lt;&gt;")&gt;0,VLOOKUP($C165,EmpAll,COLUMN(Emp!$R$4)+MATCH(O$5,DedListItem,0)-1,0),OFFSET(Setup!$E$73,MATCH(O$5,DedListItem,0),0,1,1))*$AA165)-SUMIFS(OFFSET(O$6,1,0,PayCount,1),PayDate,"&lt;"&amp;$AC165,PayEmp,$C165),IF(ISNA(MATCH(O$2,EarnListItem,0))=FALSE,IF(OFFSET(Setup!$G$73,MATCH(O$5,DedListItem,0),0,1,1)="Taxable",SUMPRODUCT((PayEmp=$C165)*(PayDate&lt;=$AC165)*(PayEarnCode=O$2)*(PayEarnTax)*(PayEarnValues)),SUMPRODUCT((PayEmp=$C165)*(PayDate&lt;=$AC165)*(PayEarnCode=O$2)*(PayEarnValues)))*IF(COUNTIFS(EmpNo,$C165,OFFSET(Emp!$R$4,1,MATCH(O$5,DedListItem,0)-1,EmpCount,1),"&lt;&gt;")&gt;0,VLOOKUP($C165,EmpAll,COLUMN(Emp!$R$4)+MATCH(O$5,DedListItem,0)-1,0),OFFSET(Setup!$E$73,MATCH(O$5,DedListItem,0),0,1,1)),(MIN(IF(OFFSET(Setup!$G$73,MATCH(O$5,DedListItem,0),0,1,1)="Taxable",SUMPRODUCT((PayEmp=$C165)*(PayDate&lt;=$AC165)*(ISERROR(SEARCH(PayEarnCode,O$4)))*(PayEarnTax)*(PayEarnValues)),SUMPRODUCT((PayEmp=$C165)*(PayDate&lt;=$AC165)*(ISERROR(SEARCH(PayEarnCode,O$4)))*(PayEarnValues))),IF(ISNUMBER(O$3),O$3/12*$AA165,IgnoreMin)))*IF(COUNTIFS(EmpNo,$C165,OFFSET(Emp!$R$4,1,MATCH(O$5,DedListItem,0)-1,EmpCount,1),"&lt;&gt;")&gt;0,VLOOKUP($C165,EmpAll,COLUMN(Emp!$R$4)+MATCH(O$5,DedListItem,0)-1,0),OFFSET(Setup!$E$73,MATCH(O$5,DedListItem,0),0,1,1)))-SUMIFS(OFFSET(O$6,1,0,PayCount,1),PayDate,"&lt;"&amp;$AC165,PayEmp,$C165))))))</f>
        <v>0</v>
      </c>
      <c r="P165" s="133" cm="1">
        <f t="array" aca="1" ref="P165" ca="1">IF($F165="Terminated",0,IF($AA165=0,0,IF(ISNA(MATCH(P$5,DedListItem,0)),0,IF(COUNTIFS(OverEmp,$C165,OverDeduct,P$5,OverDate,"&lt;"&amp;DATE(YEAR($AC165),MONTH($AC165)+1,1),OverEnd,"&gt;="&amp;DATE(YEAR($AC165),MONTH($AC165),1))&gt;0,SUMIFS(OverValue,OverEmp,$C165,OverDeduct,P$5,OverDate,"&lt;"&amp;DATE(YEAR($AC165),MONTH($AC165)+1,1),OverEnd,"&gt;="&amp;DATE(YEAR($AC165),MONTH($AC165),1)),IF(OR(P$2="Fixed",P$2="Not Used"),(IF(COUNTIFS(EmpNo,$C165,OFFSET(Emp!$R$4,1,MATCH(P$5,DedListItem,0)-1,EmpCount,1),"&lt;&gt;")&gt;0,VLOOKUP($C165,EmpAll,COLUMN(Emp!$R$4)+MATCH(P$5,DedListItem,0)-1,0),OFFSET(Setup!$E$73,MATCH(P$5,DedListItem,0),0,1,1))*$AA165)-SUMIFS(OFFSET(P$6,1,0,PayCount,1),PayDate,"&lt;"&amp;$AC165,PayEmp,$C165),IF(ISNA(MATCH(P$2,EarnListItem,0))=FALSE,IF(OFFSET(Setup!$G$73,MATCH(P$5,DedListItem,0),0,1,1)="Taxable",SUMPRODUCT((PayEmp=$C165)*(PayDate&lt;=$AC165)*(PayEarnCode=P$2)*(PayEarnTax)*(PayEarnValues)),SUMPRODUCT((PayEmp=$C165)*(PayDate&lt;=$AC165)*(PayEarnCode=P$2)*(PayEarnValues)))*IF(COUNTIFS(EmpNo,$C165,OFFSET(Emp!$R$4,1,MATCH(P$5,DedListItem,0)-1,EmpCount,1),"&lt;&gt;")&gt;0,VLOOKUP($C165,EmpAll,COLUMN(Emp!$R$4)+MATCH(P$5,DedListItem,0)-1,0),OFFSET(Setup!$E$73,MATCH(P$5,DedListItem,0),0,1,1)),(MIN(IF(OFFSET(Setup!$G$73,MATCH(P$5,DedListItem,0),0,1,1)="Taxable",SUMPRODUCT((PayEmp=$C165)*(PayDate&lt;=$AC165)*(ISERROR(SEARCH(PayEarnCode,P$4)))*(PayEarnTax)*(PayEarnValues)),SUMPRODUCT((PayEmp=$C165)*(PayDate&lt;=$AC165)*(ISERROR(SEARCH(PayEarnCode,P$4)))*(PayEarnValues))),IF(ISNUMBER(P$3),P$3/12*$AA165,IgnoreMin)))*IF(COUNTIFS(EmpNo,$C165,OFFSET(Emp!$R$4,1,MATCH(P$5,DedListItem,0)-1,EmpCount,1),"&lt;&gt;")&gt;0,VLOOKUP($C165,EmpAll,COLUMN(Emp!$R$4)+MATCH(P$5,DedListItem,0)-1,0),OFFSET(Setup!$E$73,MATCH(P$5,DedListItem,0),0,1,1)))-SUMIFS(OFFSET(P$6,1,0,PayCount,1),PayDate,"&lt;"&amp;$AC165,PayEmp,$C165))))))</f>
        <v>0</v>
      </c>
      <c r="Q165" s="133" cm="1">
        <f t="array" aca="1" ref="Q165" ca="1">IF($F165="Terminated",0,IF($AA165=0,0,IF(ISNA(MATCH(Q$5,DedListItem,0)),0,IF(COUNTIFS(OverEmp,$C165,OverDeduct,Q$5,OverDate,"&lt;"&amp;DATE(YEAR($AC165),MONTH($AC165)+1,1),OverEnd,"&gt;="&amp;DATE(YEAR($AC165),MONTH($AC165),1))&gt;0,SUMIFS(OverValue,OverEmp,$C165,OverDeduct,Q$5,OverDate,"&lt;"&amp;DATE(YEAR($AC165),MONTH($AC165)+1,1),OverEnd,"&gt;="&amp;DATE(YEAR($AC165),MONTH($AC165),1)),IF(OR(Q$2="Fixed",Q$2="Not Used"),(IF(COUNTIFS(EmpNo,$C165,OFFSET(Emp!$R$4,1,MATCH(Q$5,DedListItem,0)-1,EmpCount,1),"&lt;&gt;")&gt;0,VLOOKUP($C165,EmpAll,COLUMN(Emp!$R$4)+MATCH(Q$5,DedListItem,0)-1,0),OFFSET(Setup!$E$73,MATCH(Q$5,DedListItem,0),0,1,1))*$AA165)-SUMIFS(OFFSET(Q$6,1,0,PayCount,1),PayDate,"&lt;"&amp;$AC165,PayEmp,$C165),IF(ISNA(MATCH(Q$2,EarnListItem,0))=FALSE,IF(OFFSET(Setup!$G$73,MATCH(Q$5,DedListItem,0),0,1,1)="Taxable",SUMPRODUCT((PayEmp=$C165)*(PayDate&lt;=$AC165)*(PayEarnCode=Q$2)*(PayEarnTax)*(PayEarnValues)),SUMPRODUCT((PayEmp=$C165)*(PayDate&lt;=$AC165)*(PayEarnCode=Q$2)*(PayEarnValues)))*IF(COUNTIFS(EmpNo,$C165,OFFSET(Emp!$R$4,1,MATCH(Q$5,DedListItem,0)-1,EmpCount,1),"&lt;&gt;")&gt;0,VLOOKUP($C165,EmpAll,COLUMN(Emp!$R$4)+MATCH(Q$5,DedListItem,0)-1,0),OFFSET(Setup!$E$73,MATCH(Q$5,DedListItem,0),0,1,1)),(MIN(IF(OFFSET(Setup!$G$73,MATCH(Q$5,DedListItem,0),0,1,1)="Taxable",SUMPRODUCT((PayEmp=$C165)*(PayDate&lt;=$AC165)*(ISERROR(SEARCH(PayEarnCode,Q$4)))*(PayEarnTax)*(PayEarnValues)),SUMPRODUCT((PayEmp=$C165)*(PayDate&lt;=$AC165)*(ISERROR(SEARCH(PayEarnCode,Q$4)))*(PayEarnValues))),IF(ISNUMBER(Q$3),Q$3/12*$AA165,IgnoreMin)))*IF(COUNTIFS(EmpNo,$C165,OFFSET(Emp!$R$4,1,MATCH(Q$5,DedListItem,0)-1,EmpCount,1),"&lt;&gt;")&gt;0,VLOOKUP($C165,EmpAll,COLUMN(Emp!$R$4)+MATCH(Q$5,DedListItem,0)-1,0),OFFSET(Setup!$E$73,MATCH(Q$5,DedListItem,0),0,1,1)))-SUMIFS(OFFSET(Q$6,1,0,PayCount,1),PayDate,"&lt;"&amp;$AC165,PayEmp,$C165))))))</f>
        <v>0</v>
      </c>
      <c r="R165" s="185">
        <f t="shared" ca="1" si="67"/>
        <v>463.74999999999864</v>
      </c>
      <c r="S165" s="139">
        <f t="shared" ca="1" si="68"/>
        <v>9536.25</v>
      </c>
      <c r="T165" s="133" cm="1">
        <f t="array" aca="1" ref="T165" ca="1">IF($F165="Terminated",0,IF($AA165=0,0,IF(ISNA(MATCH(T$5,CompListItem,0)),0,IF(COUNTIFS(OverEmp,$C165,OverComp,T$5,OverDate,"&lt;"&amp;DATE(YEAR($AC165),MONTH($AC165)+1,1),OverEnd,"&gt;="&amp;DATE(YEAR($AC165),MONTH($AC165),1))&gt;0,SUMIFS(OverValue,OverEmp,$C165,OverComp,T$5,OverDate,"&lt;"&amp;DATE(YEAR($AC165),MONTH($AC165)+1,1),OverEnd,"&gt;="&amp;DATE(YEAR($AC165),MONTH($AC165),1)),IF(OR(T$2="Fixed",T$2="Not Used"),(OFFSET(Setup!$E$81,MATCH(T$5,CompListItem,0),0,1,1)*$AA165)-SUMIFS(OFFSET(T$6,1,0,PayCount,1),PayDate,"&lt;"&amp;$AC165,PayEmp,$C165),IF(ISNA(MATCH(T$2,DedListItem,0))=FALSE,(SUMPRODUCT((PayEmp=$C165)*(PayDate&lt;=$AC165)*(PayDedList=T$2)*(PayDedValues))*OFFSET(Setup!$E$81,MATCH(T$5,CompListItem,0),0,1,1))-SUMIFS(OFFSET(T$6,1,0,PayCount,1),PayDate,"&lt;"&amp;$AC165,PayEmp,$C165),(MIN(IF(OFFSET(Setup!$G$81,MATCH(T$5,CompListItem,0),0,1,1)="Taxable",SUMPRODUCT((PayEmp=$C165)*(PayDate&lt;=$AC165)*(ISERROR(SEARCH(PayEarnCode,T$4)))*(PayEarnTax)*(PayEarnValues)),SUMPRODUCT((PayEmp=$C165)*(PayDate&lt;=$AC165)*(ISERROR(SEARCH(PayEarnCode,T$4)))*(PayEarnValues))),IF(ISNUMBER(T$3),T$3/12*$AA165,IgnoreMin)))*OFFSET(Setup!$E$81,MATCH(T$5,CompListItem,0),0,1,1)-SUMIFS(OFFSET(T$6,1,0,PayCount,1),PayDate,"&lt;"&amp;$AC165,PayEmp,$C165)))))))</f>
        <v>100</v>
      </c>
      <c r="U165" s="133" cm="1">
        <f t="array" aca="1" ref="U165" ca="1">IF($F165="Terminated",0,IF($AA165=0,0,IF(ISNA(MATCH(U$5,CompListItem,0)),0,IF(COUNTIFS(OverEmp,$C165,OverComp,U$5,OverDate,"&lt;"&amp;DATE(YEAR($AC165),MONTH($AC165)+1,1),OverEnd,"&gt;="&amp;DATE(YEAR($AC165),MONTH($AC165),1))&gt;0,SUMIFS(OverValue,OverEmp,$C165,OverComp,U$5,OverDate,"&lt;"&amp;DATE(YEAR($AC165),MONTH($AC165)+1,1),OverEnd,"&gt;="&amp;DATE(YEAR($AC165),MONTH($AC165),1)),IF(OR(U$2="Fixed",U$2="Not Used"),(OFFSET(Setup!$E$81,MATCH(U$5,CompListItem,0),0,1,1)*$AA165)-SUMIFS(OFFSET(U$6,1,0,PayCount,1),PayDate,"&lt;"&amp;$AC165,PayEmp,$C165),IF(ISNA(MATCH(U$2,DedListItem,0))=FALSE,(SUMPRODUCT((PayEmp=$C165)*(PayDate&lt;=$AC165)*(PayDedList=U$2)*(PayDedValues))*OFFSET(Setup!$E$81,MATCH(U$5,CompListItem,0),0,1,1))-SUMIFS(OFFSET(U$6,1,0,PayCount,1),PayDate,"&lt;"&amp;$AC165,PayEmp,$C165),(MIN(IF(OFFSET(Setup!$G$81,MATCH(U$5,CompListItem,0),0,1,1)="Taxable",SUMPRODUCT((PayEmp=$C165)*(PayDate&lt;=$AC165)*(ISERROR(SEARCH(PayEarnCode,U$4)))*(PayEarnTax)*(PayEarnValues)),SUMPRODUCT((PayEmp=$C165)*(PayDate&lt;=$AC165)*(ISERROR(SEARCH(PayEarnCode,U$4)))*(PayEarnValues))),IF(ISNUMBER(U$3),U$3/12*$AA165,IgnoreMin)))*OFFSET(Setup!$E$81,MATCH(U$5,CompListItem,0),0,1,1)-SUMIFS(OFFSET(U$6,1,0,PayCount,1),PayDate,"&lt;"&amp;$AC165,PayEmp,$C165)))))))</f>
        <v>100</v>
      </c>
      <c r="V165" s="133" cm="1">
        <f t="array" aca="1" ref="V165" ca="1">IF($F165="Terminated",0,IF($AA165=0,0,IF(ISNA(MATCH(V$5,CompListItem,0)),0,IF(COUNTIFS(OverEmp,$C165,OverComp,V$5,OverDate,"&lt;"&amp;DATE(YEAR($AC165),MONTH($AC165)+1,1),OverEnd,"&gt;="&amp;DATE(YEAR($AC165),MONTH($AC165),1))&gt;0,SUMIFS(OverValue,OverEmp,$C165,OverComp,V$5,OverDate,"&lt;"&amp;DATE(YEAR($AC165),MONTH($AC165)+1,1),OverEnd,"&gt;="&amp;DATE(YEAR($AC165),MONTH($AC165),1)),IF(OR(V$2="Fixed",V$2="Not Used"),(OFFSET(Setup!$E$81,MATCH(V$5,CompListItem,0),0,1,1)*$AA165)-SUMIFS(OFFSET(V$6,1,0,PayCount,1),PayDate,"&lt;"&amp;$AC165,PayEmp,$C165),IF(ISNA(MATCH(V$2,DedListItem,0))=FALSE,(SUMPRODUCT((PayEmp=$C165)*(PayDate&lt;=$AC165)*(PayDedList=V$2)*(PayDedValues))*OFFSET(Setup!$E$81,MATCH(V$5,CompListItem,0),0,1,1))-SUMIFS(OFFSET(V$6,1,0,PayCount,1),PayDate,"&lt;"&amp;$AC165,PayEmp,$C165),(MIN(IF(OFFSET(Setup!$G$81,MATCH(V$5,CompListItem,0),0,1,1)="Taxable",SUMPRODUCT((PayEmp=$C165)*(PayDate&lt;=$AC165)*(ISERROR(SEARCH(PayEarnCode,V$4)))*(PayEarnTax)*(PayEarnValues)),SUMPRODUCT((PayEmp=$C165)*(PayDate&lt;=$AC165)*(ISERROR(SEARCH(PayEarnCode,V$4)))*(PayEarnValues))),IF(ISNUMBER(V$3),V$3/12*$AA165,IgnoreMin)))*OFFSET(Setup!$E$81,MATCH(V$5,CompListItem,0),0,1,1)-SUMIFS(OFFSET(V$6,1,0,PayCount,1),PayDate,"&lt;"&amp;$AC165,PayEmp,$C165)))))))</f>
        <v>0</v>
      </c>
      <c r="W165" s="133" cm="1">
        <f t="array" aca="1" ref="W165" ca="1">IF($F165="Terminated",0,IF($AA165=0,0,IF(ISNA(MATCH(W$5,CompListItem,0)),0,IF(COUNTIFS(OverEmp,$C165,OverComp,W$5,OverDate,"&lt;"&amp;DATE(YEAR($AC165),MONTH($AC165)+1,1),OverEnd,"&gt;="&amp;DATE(YEAR($AC165),MONTH($AC165),1))&gt;0,SUMIFS(OverValue,OverEmp,$C165,OverComp,W$5,OverDate,"&lt;"&amp;DATE(YEAR($AC165),MONTH($AC165)+1,1),OverEnd,"&gt;="&amp;DATE(YEAR($AC165),MONTH($AC165),1)),IF(OR(W$2="Fixed",W$2="Not Used"),(OFFSET(Setup!$E$81,MATCH(W$5,CompListItem,0),0,1,1)*$AA165)-SUMIFS(OFFSET(W$6,1,0,PayCount,1),PayDate,"&lt;"&amp;$AC165,PayEmp,$C165),IF(ISNA(MATCH(W$2,DedListItem,0))=FALSE,(SUMPRODUCT((PayEmp=$C165)*(PayDate&lt;=$AC165)*(PayDedList=W$2)*(PayDedValues))*OFFSET(Setup!$E$81,MATCH(W$5,CompListItem,0),0,1,1))-SUMIFS(OFFSET(W$6,1,0,PayCount,1),PayDate,"&lt;"&amp;$AC165,PayEmp,$C165),(MIN(IF(OFFSET(Setup!$G$81,MATCH(W$5,CompListItem,0),0,1,1)="Taxable",SUMPRODUCT((PayEmp=$C165)*(PayDate&lt;=$AC165)*(ISERROR(SEARCH(PayEarnCode,W$4)))*(PayEarnTax)*(PayEarnValues)),SUMPRODUCT((PayEmp=$C165)*(PayDate&lt;=$AC165)*(ISERROR(SEARCH(PayEarnCode,W$4)))*(PayEarnValues))),IF(ISNUMBER(W$3),W$3/12*$AA165,IgnoreMin)))*OFFSET(Setup!$E$81,MATCH(W$5,CompListItem,0),0,1,1)-SUMIFS(OFFSET(W$6,1,0,PayCount,1),PayDate,"&lt;"&amp;$AC165,PayEmp,$C165)))))))</f>
        <v>0</v>
      </c>
      <c r="X165" s="185">
        <f t="shared" ca="1" si="78"/>
        <v>200</v>
      </c>
      <c r="Y165" s="139">
        <f t="shared" ca="1" si="69"/>
        <v>10200</v>
      </c>
      <c r="Z165" s="139">
        <f t="shared" ca="1" si="79"/>
        <v>663.75</v>
      </c>
      <c r="AA165" s="146">
        <f ca="1">IF(OR($B165&lt;=Setup!$E$12,$B165&gt;=Setup!$D$12+1),0,IF($F165&lt;&gt;"Active",0,IF($AE165="Yes",$AB165,((YEAR($AC165)*12)+MONTH($AC165))-((YEAR($AD165)*12)+MONTH($AD165)-1))))</f>
        <v>11</v>
      </c>
      <c r="AB165" s="146">
        <f ca="1">IF(OR($B165&lt;=Setup!$E$12,$B165&gt;=Setup!$D$12+1),0,((YEAR($AC165)*12)+MONTH($AC165))-((YEAR(Setup!$E$12)*12)+MONTH(Setup!$E$12)))</f>
        <v>11</v>
      </c>
      <c r="AC165" s="186">
        <f t="shared" ref="AC165:AC243" ca="1" si="83">DATE(YEAR($B165),MONTH($B165),DAY($B165))</f>
        <v>45316</v>
      </c>
      <c r="AD165" s="144">
        <f ca="1">IF(ISNA(VLOOKUP($C165,EmpAll,COLUMN(Emp!$E$4),0)),$AC165,IF(VLOOKUP($C165,EmpAll,COLUMN(Emp!$E$4),0)&lt;=Setup!$E$12,DATE(YEAR(Setup!$E$12),MONTH(Setup!$E$12)+1,1),VLOOKUP($C165,EmpAll,COLUMN(Emp!$E$4),0)))</f>
        <v>44986</v>
      </c>
      <c r="AE165" s="144" t="str">
        <f ca="1">IF(ISNA(VLOOKUP($C165,EmpAll,COLUMN(Emp!$G$1),0)),"-",IF(VLOOKUP($C165,EmpAll,COLUMN(Emp!$G$1),0)=0,"-",VLOOKUP($C165,EmpAll,COLUMN(Emp!$G$1),0)))</f>
        <v>-</v>
      </c>
      <c r="AF165" s="145">
        <f ca="1">IF(A165=PaySlip!$G$3,1,0)</f>
        <v>0</v>
      </c>
      <c r="AG165" s="130" cm="1">
        <f t="array" aca="1" ref="AG165" ca="1">IF(COUNTIFS(OverEmp,$C165,OverMed,"MED",OverDate,"&lt;"&amp;DATE(YEAR($AC165),MONTH($AC165)+1,1),OverEnd,"&gt;="&amp;DATE(YEAR($AC165),MONTH($AC165),1))&gt;0,SUMIFS(OverValue,OverEmp,$C165,OverMed,"MED",OverDate,"&lt;"&amp;DATE(YEAR($AC165),MONTH($AC165)+1,1),OverEnd,"&gt;="&amp;DATE(YEAR($AC165),MONTH($AC165),1)),IF(ISNA(VLOOKUP($C165,EmpAll,COLUMN(Emp!$N$4),0)),0,VLOOKUP($C165,EmpAll,COLUMN(Emp!$N$4),0)))</f>
        <v>0</v>
      </c>
      <c r="AH165" s="146">
        <f ca="1">VLOOKUP($AG165,MedList,COLUMN(Setup!$C$49),1)</f>
        <v>0</v>
      </c>
      <c r="AI165" s="146">
        <f t="shared" ca="1" si="70"/>
        <v>0</v>
      </c>
      <c r="AJ165" s="101" t="str">
        <f ca="1">IF(ISNA(VLOOKUP($C165,EmpAll,COLUMN(Emp!$L$4),0)),"None!",VLOOKUP($C165,EmpAll,COLUMN(Emp!$L$4),0))</f>
        <v>A</v>
      </c>
      <c r="AK165" s="147">
        <f t="shared" ca="1" si="80"/>
        <v>17235</v>
      </c>
      <c r="AL165" s="101" t="str">
        <f ca="1">IF(ISNA(VLOOKUP($C165,Employees[],COLUMN(Emp!$M$4),0))=TRUE,"Error!",IF(VLOOKUP($C165,Employees[],COLUMN(Emp!$M$4),0)=0,"Yes",VLOOKUP($C165,Employees[],COLUMN(Emp!$M$4),0)))</f>
        <v>A</v>
      </c>
      <c r="AM165" s="148">
        <f t="shared" ca="1" si="71"/>
        <v>118090.90909090909</v>
      </c>
      <c r="AN165" s="148" cm="1">
        <f t="array" aca="1" ref="AN165" ca="1">-IF($F165="Terminated",0,IF($AA165=0,0,IF(ISNA(MATCH(AN$5,PayDedList,0)),0,MIN(IF(COUNTIFS(OverEmp,$C165,OverDeduct,AN$5,OverDate,"&lt;"&amp;DATE(YEAR($AC165),MONTH($AC165)+1,1),OverEnd,"&gt;="&amp;DATE(YEAR($AC165),MONTH($AC165),1))&gt;0,SUMPRODUCT((PayEmp=$C165)*(PayDate&lt;=$AC165)*(OFFSET($N$6,1,MATCH(AN$5,PayDedList,0)-1,PayCount,1)))/$AA165*12*AN$3,IF(OR(AN$1="Fixed",AN$1="Not Used"),SUMPRODUCT((PayEmp=$C165)*(PayDate&lt;=$AC165)*(OFFSET($N$6,1,MATCH(AN$5,PayDedList,0)-1,PayCount,1)))/$AA165*12*AN$3,IF(ISNA(MATCH(AN$1,EarnListItem,0))=FALSE,SUMPRODUCT((PayEmp=$C165)*(PayDate&lt;=$AC165)*(OFFSET($N$6,1,MATCH(AN$5,PayDedList,0)-1,PayCount,1)))/$AA165*12*AN$3,(MIN(((SUMPRODUCT((PayEmp=$C165)*(PayDate&lt;=$AC165)*(ISERROR(SEARCH(PayEarnCode,AN$2)))*(PayEarnType="Monthly")*(PayEarnValues))/$AA165*12)+(SUMPRODUCT((PayEmp=$C165)*(PayDate&lt;=$AC165)*(ISERROR(SEARCH(PayEarnCode,AN$2)))*(PayEarnType="Quarterly")*(PayEarnValues))/MAX(1,ROUNDDOWN($AB165/3,0))*4)+(SUMPRODUCT((PayEmp=$C165)*(PayDate&lt;=$AC165)*(ISERROR(SEARCH(PayEarnCode,AN$2)))*(PayEarnType="Bi-Annual")*(PayEarnValues))/MAX(1,ROUNDDOWN($AB165/6,0))*2)+(SUMPRODUCT((PayEmp=$C165)*(PayDate&lt;=$AC165)*(ISERROR(SEARCH(PayEarnCode,AN$2)))*(PayEarnType="Annual")*(PayEarnValues)))),IF(ISNUMBER(OFFSET($N$3,0,MATCH(AN$5,PayDedList,0)-1,1,1)),OFFSET($N$3,0,MATCH(AN$5,PayDedList,0)-1,1,1),IgnoreMin)))*IF(COUNTIFS(EmpNo,$C165,OFFSET(Emp!$R$4,1,MATCH(AN$5,DedListItem,0)-1,EmpCount,1),"&lt;&gt;")&gt;0,VLOOKUP($C165,EmpAll,COLUMN(Emp!$R$4)+MATCH(AN$5,DedListItem,0)-1,0),OFFSET(Setup!$E$73,MATCH(AN$5,DedListItem,0),0,1,1))*AN$3))),IF(ISNUMBER(AN$4),AN$4,IgnoreMin)))))</f>
        <v>0</v>
      </c>
      <c r="AO165" s="148" cm="1">
        <f t="array" aca="1" ref="AO165" ca="1">-IF($F165="Terminated",0,IF($AA165=0,0,IF(ISNA(MATCH(AO$5,PayDedList,0)),0,MIN(IF(COUNTIFS(OverEmp,$C165,OverDeduct,AO$5,OverDate,"&lt;"&amp;DATE(YEAR($AC165),MONTH($AC165)+1,1),OverEnd,"&gt;="&amp;DATE(YEAR($AC165),MONTH($AC165),1))&gt;0,SUMPRODUCT((PayEmp=$C165)*(PayDate&lt;=$AC165)*(OFFSET($N$6,1,MATCH(AO$5,PayDedList,0)-1,PayCount,1)))/$AA165*12*AO$3,IF(OR(AO$1="Fixed",AO$1="Not Used"),SUMPRODUCT((PayEmp=$C165)*(PayDate&lt;=$AC165)*(OFFSET($N$6,1,MATCH(AO$5,PayDedList,0)-1,PayCount,1)))/$AA165*12*AO$3,IF(ISNA(MATCH(AO$1,EarnListItem,0))=FALSE,SUMPRODUCT((PayEmp=$C165)*(PayDate&lt;=$AC165)*(OFFSET($N$6,1,MATCH(AO$5,PayDedList,0)-1,PayCount,1)))/$AA165*12*AO$3,(MIN(((SUMPRODUCT((PayEmp=$C165)*(PayDate&lt;=$AC165)*(ISERROR(SEARCH(PayEarnCode,AO$2)))*(PayEarnType="Monthly")*(PayEarnValues))/$AA165*12)+(SUMPRODUCT((PayEmp=$C165)*(PayDate&lt;=$AC165)*(ISERROR(SEARCH(PayEarnCode,AO$2)))*(PayEarnType="Quarterly")*(PayEarnValues))/MAX(1,ROUNDDOWN($AB165/3,0))*4)+(SUMPRODUCT((PayEmp=$C165)*(PayDate&lt;=$AC165)*(ISERROR(SEARCH(PayEarnCode,AO$2)))*(PayEarnType="Bi-Annual")*(PayEarnValues))/MAX(1,ROUNDDOWN($AB165/6,0))*2)+(SUMPRODUCT((PayEmp=$C165)*(PayDate&lt;=$AC165)*(ISERROR(SEARCH(PayEarnCode,AO$2)))*(PayEarnType="Annual")*(PayEarnValues)))),IF(ISNUMBER(OFFSET($N$3,0,MATCH(AO$5,PayDedList,0)-1,1,1)),OFFSET($N$3,0,MATCH(AO$5,PayDedList,0)-1,1,1),IgnoreMin)))*IF(COUNTIFS(EmpNo,$C165,OFFSET(Emp!$R$4,1,MATCH(AO$5,DedListItem,0)-1,EmpCount,1),"&lt;&gt;")&gt;0,VLOOKUP($C165,EmpAll,COLUMN(Emp!$R$4)+MATCH(AO$5,DedListItem,0)-1,0),OFFSET(Setup!$E$73,MATCH(AO$5,DedListItem,0),0,1,1))*AO$3))),IF(ISNUMBER(AO$4),AO$4,IgnoreMin)))))</f>
        <v>0</v>
      </c>
      <c r="AP165" s="148" cm="1">
        <f t="array" aca="1" ref="AP165" ca="1">-IF($F165="Terminated",0,IF($AA165=0,0,IF(ISNA(MATCH(AP$5,PayDedList,0)),0,MIN(IF(COUNTIFS(OverEmp,$C165,OverDeduct,AP$5,OverDate,"&lt;"&amp;DATE(YEAR($AC165),MONTH($AC165)+1,1),OverEnd,"&gt;="&amp;DATE(YEAR($AC165),MONTH($AC165),1))&gt;0,SUMPRODUCT((PayEmp=$C165)*(PayDate&lt;=$AC165)*(OFFSET($N$6,1,MATCH(AP$5,PayDedList,0)-1,PayCount,1)))/$AA165*12*AP$3,IF(OR(AP$1="Fixed",AP$1="Not Used"),SUMPRODUCT((PayEmp=$C165)*(PayDate&lt;=$AC165)*(OFFSET($N$6,1,MATCH(AP$5,PayDedList,0)-1,PayCount,1)))/$AA165*12*AP$3,IF(ISNA(MATCH(AP$1,EarnListItem,0))=FALSE,SUMPRODUCT((PayEmp=$C165)*(PayDate&lt;=$AC165)*(OFFSET($N$6,1,MATCH(AP$5,PayDedList,0)-1,PayCount,1)))/$AA165*12*AP$3,(MIN(((SUMPRODUCT((PayEmp=$C165)*(PayDate&lt;=$AC165)*(ISERROR(SEARCH(PayEarnCode,AP$2)))*(PayEarnType="Monthly")*(PayEarnValues))/$AA165*12)+(SUMPRODUCT((PayEmp=$C165)*(PayDate&lt;=$AC165)*(ISERROR(SEARCH(PayEarnCode,AP$2)))*(PayEarnType="Quarterly")*(PayEarnValues))/MAX(1,ROUNDDOWN($AB165/3,0))*4)+(SUMPRODUCT((PayEmp=$C165)*(PayDate&lt;=$AC165)*(ISERROR(SEARCH(PayEarnCode,AP$2)))*(PayEarnType="Bi-Annual")*(PayEarnValues))/MAX(1,ROUNDDOWN($AB165/6,0))*2)+(SUMPRODUCT((PayEmp=$C165)*(PayDate&lt;=$AC165)*(ISERROR(SEARCH(PayEarnCode,AP$2)))*(PayEarnType="Annual")*(PayEarnValues)))),IF(ISNUMBER(OFFSET($N$3,0,MATCH(AP$5,PayDedList,0)-1,1,1)),OFFSET($N$3,0,MATCH(AP$5,PayDedList,0)-1,1,1),IgnoreMin)))*IF(COUNTIFS(EmpNo,$C165,OFFSET(Emp!$R$4,1,MATCH(AP$5,DedListItem,0)-1,EmpCount,1),"&lt;&gt;")&gt;0,VLOOKUP($C165,EmpAll,COLUMN(Emp!$R$4)+MATCH(AP$5,DedListItem,0)-1,0),OFFSET(Setup!$E$73,MATCH(AP$5,DedListItem,0),0,1,1))*AP$3))),IF(ISNUMBER(AP$4),AP$4,IgnoreMin)))))</f>
        <v>0</v>
      </c>
      <c r="AQ165" s="148" cm="1">
        <f t="array" aca="1" ref="AQ165" ca="1">-IF($F165="Terminated",0,IF($AA165=0,0,IF(ISNA(MATCH(AQ$5,PayDedList,0)),0,MIN(IF(COUNTIFS(OverEmp,$C165,OverDeduct,AQ$5,OverDate,"&lt;"&amp;DATE(YEAR($AC165),MONTH($AC165)+1,1),OverEnd,"&gt;="&amp;DATE(YEAR($AC165),MONTH($AC165),1))&gt;0,SUMPRODUCT((PayEmp=$C165)*(PayDate&lt;=$AC165)*(OFFSET($N$6,1,MATCH(AQ$5,PayDedList,0)-1,PayCount,1)))/$AA165*12*AQ$3,IF(OR(AQ$1="Fixed",AQ$1="Not Used"),SUMPRODUCT((PayEmp=$C165)*(PayDate&lt;=$AC165)*(OFFSET($N$6,1,MATCH(AQ$5,PayDedList,0)-1,PayCount,1)))/$AA165*12*AQ$3,IF(ISNA(MATCH(AQ$1,EarnListItem,0))=FALSE,SUMPRODUCT((PayEmp=$C165)*(PayDate&lt;=$AC165)*(OFFSET($N$6,1,MATCH(AQ$5,PayDedList,0)-1,PayCount,1)))/$AA165*12*AQ$3,(MIN(((SUMPRODUCT((PayEmp=$C165)*(PayDate&lt;=$AC165)*(ISERROR(SEARCH(PayEarnCode,AQ$2)))*(PayEarnType="Monthly")*(PayEarnValues))/$AA165*12)+(SUMPRODUCT((PayEmp=$C165)*(PayDate&lt;=$AC165)*(ISERROR(SEARCH(PayEarnCode,AQ$2)))*(PayEarnType="Quarterly")*(PayEarnValues))/MAX(1,ROUNDDOWN($AB165/3,0))*4)+(SUMPRODUCT((PayEmp=$C165)*(PayDate&lt;=$AC165)*(ISERROR(SEARCH(PayEarnCode,AQ$2)))*(PayEarnType="Bi-Annual")*(PayEarnValues))/MAX(1,ROUNDDOWN($AB165/6,0))*2)+(SUMPRODUCT((PayEmp=$C165)*(PayDate&lt;=$AC165)*(ISERROR(SEARCH(PayEarnCode,AQ$2)))*(PayEarnType="Annual")*(PayEarnValues)))),IF(ISNUMBER(OFFSET($N$3,0,MATCH(AQ$5,PayDedList,0)-1,1,1)),OFFSET($N$3,0,MATCH(AQ$5,PayDedList,0)-1,1,1),IgnoreMin)))*IF(COUNTIFS(EmpNo,$C165,OFFSET(Emp!$R$4,1,MATCH(AQ$5,DedListItem,0)-1,EmpCount,1),"&lt;&gt;")&gt;0,VLOOKUP($C165,EmpAll,COLUMN(Emp!$R$4)+MATCH(AQ$5,DedListItem,0)-1,0),OFFSET(Setup!$E$73,MATCH(AQ$5,DedListItem,0),0,1,1))*AQ$3))),IF(ISNUMBER(AQ$4),AQ$4,IgnoreMin)))))</f>
        <v>0</v>
      </c>
      <c r="AR165" s="148">
        <f t="shared" ca="1" si="81"/>
        <v>118090.90909090909</v>
      </c>
      <c r="AS165" s="148">
        <f t="shared" ca="1" si="72"/>
        <v>109090.90909090909</v>
      </c>
      <c r="AT165" s="148" cm="1">
        <f t="array" aca="1" ref="AT165" ca="1">-IF($F165="Terminated",0,IF($AA165=0,0,IF(ISNA(MATCH(AT$5,PayDedList,0)),0,MIN(IF(COUNTIFS(OverEmp,$C165,OverDeduct,AT$5,OverDate,"&lt;"&amp;DATE(YEAR($AC165),MONTH($AC165)+1,1),OverEnd,"&gt;="&amp;DATE(YEAR($AC165),MONTH($AC165),1))&gt;0,SUMPRODUCT((PayEmp=$C165)*(PayDate&lt;=$AC165)*(OFFSET($N$6,1,MATCH(AT$5,PayDedList,0)-1,PayCount,1)))/$AA165*12*AT$3,IF(OR(AT$1="Fixed",AT$1="Not Used"),SUMPRODUCT((PayEmp=$C165)*(PayDate&lt;=$AC165)*(OFFSET($N$6,1,MATCH(AT$5,PayDedList,0)-1,PayCount,1)))/$AA165*12*AT$3,IF(ISNA(MATCH(OFFSET($N$2,0,MATCH(AT$5,PayDedList,0)-1,1,1),EarnListItem,0))=FALSE,SUMPRODUCT((PayEmp=$C165)*(PayDate&lt;=$AC165)*(OFFSET($N$6,1,MATCH(AT$5,PayDedList,0)-1,PayCount,1)))/$AA165*12*AT$3,(MIN(SUMPRODUCT((PayEmp=$C165)*(PayDate&lt;=$AC165)*(ISERROR(SEARCH(PayEarnCode,AT$2)))*(PayEarnType="Monthly")*(PayEarnValues))/$AA165*12,IF(ISNUMBER(OFFSET($N$3,0,MATCH(AT$5,PayDedList,0)-1,1,1)),OFFSET($N$3,0,MATCH(AT$5,PayDedList,0)-1,1,1),IgnoreMin)))*IF(COUNTIFS(EmpNo,$C165,OFFSET(Emp!$R$4,1,MATCH(AT$5,DedListItem,0)-1,EmpCount,1),"&lt;&gt;")&gt;0,VLOOKUP($C165,EmpAll,COLUMN(Emp!$R$4)+MATCH(AT$5,DedListItem,0)-1,0),OFFSET(Setup!$E$73,MATCH(AT$5,DedListItem,0),0,1,1))*AT$3))),IF(ISNUMBER(AT$4),AT$4,IgnoreMin)))))</f>
        <v>0</v>
      </c>
      <c r="AU165" s="148" cm="1">
        <f t="array" aca="1" ref="AU165" ca="1">-IF($F165="Terminated",0,IF($AA165=0,0,IF(ISNA(MATCH(AU$5,PayDedList,0)),0,MIN(IF(COUNTIFS(OverEmp,$C165,OverDeduct,AU$5,OverDate,"&lt;"&amp;DATE(YEAR($AC165),MONTH($AC165)+1,1),OverEnd,"&gt;="&amp;DATE(YEAR($AC165),MONTH($AC165),1))&gt;0,SUMPRODUCT((PayEmp=$C165)*(PayDate&lt;=$AC165)*(OFFSET($N$6,1,MATCH(AU$5,PayDedList,0)-1,PayCount,1)))/$AA165*12*AU$3,IF(OR(AU$1="Fixed",AU$1="Not Used"),SUMPRODUCT((PayEmp=$C165)*(PayDate&lt;=$AC165)*(OFFSET($N$6,1,MATCH(AU$5,PayDedList,0)-1,PayCount,1)))/$AA165*12*AU$3,IF(ISNA(MATCH(OFFSET($N$2,0,MATCH(AU$5,PayDedList,0)-1,1,1),EarnListItem,0))=FALSE,SUMPRODUCT((PayEmp=$C165)*(PayDate&lt;=$AC165)*(OFFSET($N$6,1,MATCH(AU$5,PayDedList,0)-1,PayCount,1)))/$AA165*12*AU$3,(MIN(SUMPRODUCT((PayEmp=$C165)*(PayDate&lt;=$AC165)*(ISERROR(SEARCH(PayEarnCode,AU$2)))*(PayEarnType="Monthly")*(PayEarnValues))/$AA165*12,IF(ISNUMBER(OFFSET($N$3,0,MATCH(AU$5,PayDedList,0)-1,1,1)),OFFSET($N$3,0,MATCH(AU$5,PayDedList,0)-1,1,1),IgnoreMin)))*IF(COUNTIFS(EmpNo,$C165,OFFSET(Emp!$R$4,1,MATCH(AU$5,DedListItem,0)-1,EmpCount,1),"&lt;&gt;")&gt;0,VLOOKUP($C165,EmpAll,COLUMN(Emp!$R$4)+MATCH(AU$5,DedListItem,0)-1,0),OFFSET(Setup!$E$73,MATCH(AU$5,DedListItem,0),0,1,1))*AU$3))),IF(ISNUMBER(AU$4),AU$4,IgnoreMin)))))</f>
        <v>0</v>
      </c>
      <c r="AV165" s="148" cm="1">
        <f t="array" aca="1" ref="AV165" ca="1">-IF($F165="Terminated",0,IF($AA165=0,0,IF(ISNA(MATCH(AV$5,PayDedList,0)),0,MIN(IF(COUNTIFS(OverEmp,$C165,OverDeduct,AV$5,OverDate,"&lt;"&amp;DATE(YEAR($AC165),MONTH($AC165)+1,1),OverEnd,"&gt;="&amp;DATE(YEAR($AC165),MONTH($AC165),1))&gt;0,SUMPRODUCT((PayEmp=$C165)*(PayDate&lt;=$AC165)*(OFFSET($N$6,1,MATCH(AV$5,PayDedList,0)-1,PayCount,1)))/$AA165*12*AV$3,IF(OR(AV$1="Fixed",AV$1="Not Used"),SUMPRODUCT((PayEmp=$C165)*(PayDate&lt;=$AC165)*(OFFSET($N$6,1,MATCH(AV$5,PayDedList,0)-1,PayCount,1)))/$AA165*12*AV$3,IF(ISNA(MATCH(OFFSET($N$2,0,MATCH(AV$5,PayDedList,0)-1,1,1),EarnListItem,0))=FALSE,SUMPRODUCT((PayEmp=$C165)*(PayDate&lt;=$AC165)*(OFFSET($N$6,1,MATCH(AV$5,PayDedList,0)-1,PayCount,1)))/$AA165*12*AV$3,(MIN(SUMPRODUCT((PayEmp=$C165)*(PayDate&lt;=$AC165)*(ISERROR(SEARCH(PayEarnCode,AV$2)))*(PayEarnType="Monthly")*(PayEarnValues))/$AA165*12,IF(ISNUMBER(OFFSET($N$3,0,MATCH(AV$5,PayDedList,0)-1,1,1)),OFFSET($N$3,0,MATCH(AV$5,PayDedList,0)-1,1,1),IgnoreMin)))*IF(COUNTIFS(EmpNo,$C165,OFFSET(Emp!$R$4,1,MATCH(AV$5,DedListItem,0)-1,EmpCount,1),"&lt;&gt;")&gt;0,VLOOKUP($C165,EmpAll,COLUMN(Emp!$R$4)+MATCH(AV$5,DedListItem,0)-1,0),OFFSET(Setup!$E$73,MATCH(AV$5,DedListItem,0),0,1,1))*AV$3))),IF(ISNUMBER(AV$4),AV$4,IgnoreMin)))))</f>
        <v>0</v>
      </c>
      <c r="AW165" s="148" cm="1">
        <f t="array" aca="1" ref="AW165" ca="1">-IF($F165="Terminated",0,IF($AA165=0,0,IF(ISNA(MATCH(AW$5,PayDedList,0)),0,MIN(IF(COUNTIFS(OverEmp,$C165,OverDeduct,AW$5,OverDate,"&lt;"&amp;DATE(YEAR($AC165),MONTH($AC165)+1,1),OverEnd,"&gt;="&amp;DATE(YEAR($AC165),MONTH($AC165),1))&gt;0,SUMPRODUCT((PayEmp=$C165)*(PayDate&lt;=$AC165)*(OFFSET($N$6,1,MATCH(AW$5,PayDedList,0)-1,PayCount,1)))/$AA165*12*AW$3,IF(OR(AW$1="Fixed",AW$1="Not Used"),SUMPRODUCT((PayEmp=$C165)*(PayDate&lt;=$AC165)*(OFFSET($N$6,1,MATCH(AW$5,PayDedList,0)-1,PayCount,1)))/$AA165*12*AW$3,IF(ISNA(MATCH(OFFSET($N$2,0,MATCH(AW$5,PayDedList,0)-1,1,1),EarnListItem,0))=FALSE,SUMPRODUCT((PayEmp=$C165)*(PayDate&lt;=$AC165)*(OFFSET($N$6,1,MATCH(AW$5,PayDedList,0)-1,PayCount,1)))/$AA165*12*AW$3,(MIN(SUMPRODUCT((PayEmp=$C165)*(PayDate&lt;=$AC165)*(ISERROR(SEARCH(PayEarnCode,AW$2)))*(PayEarnType="Monthly")*(PayEarnValues))/$AA165*12,IF(ISNUMBER(OFFSET($N$3,0,MATCH(AW$5,PayDedList,0)-1,1,1)),OFFSET($N$3,0,MATCH(AW$5,PayDedList,0)-1,1,1),IgnoreMin)))*IF(COUNTIFS(EmpNo,$C165,OFFSET(Emp!$R$4,1,MATCH(AW$5,DedListItem,0)-1,EmpCount,1),"&lt;&gt;")&gt;0,VLOOKUP($C165,EmpAll,COLUMN(Emp!$R$4)+MATCH(AW$5,DedListItem,0)-1,0),OFFSET(Setup!$E$73,MATCH(AW$5,DedListItem,0),0,1,1))*AW$3))),IF(ISNUMBER(AW$4),AW$4,IgnoreMin)))))</f>
        <v>0</v>
      </c>
      <c r="AX165" s="148">
        <f t="shared" ca="1" si="73"/>
        <v>109090.90909090909</v>
      </c>
      <c r="AY165" s="148">
        <f t="shared" ca="1" si="74"/>
        <v>9000</v>
      </c>
      <c r="AZ165" s="148">
        <f ca="1">IF(ISNUMBER($AL165),($AR165*$AL165)-$AI165-$AK165,MAX(0,IF($AL165="B",IF($AR165&lt;Setup!$C$32,($AR165*Setup!$D$32)-$AI165-$AK165,(($AR165-VLOOKUP($AR165,TaxAll2,1,1))*OFFSET(Setup!$D$32,MATCH($AR165,TaxBracket2,1),0,1,1))+OFFSET(Setup!$E$31,MATCH($AR165,TaxBracket2,1),0,1,1)-$AI165-$AK165),IF($AR165&lt;Setup!$C$21,($AR165*Setup!$D$21)-$AI165-$AK165,(($AR165-VLOOKUP($AR165,TaxAll1,1,1))*OFFSET(Setup!$D$21,MATCH($AR165,TaxBracket1,1),0,1,1))+OFFSET(Setup!$E$20,MATCH($AR165,TaxBracket1,1),0,1,1)-$AI165-$AK165))))</f>
        <v>4021.363636363636</v>
      </c>
      <c r="BA165" s="148">
        <f ca="1">IF(ISNUMBER($AL165),($AX165*$AL165)-$AI165-$AK165,MAX(0,IF($AL165="B",IF($AX165&lt;Setup!$C$32,($AX165*Setup!$D$32)-$AI165-$AK165,(($AX165-VLOOKUP($AX165,TaxAll2,1,1))*OFFSET(Setup!$D$32,MATCH($AX165,TaxBracket2,1),0,1,1))+OFFSET(Setup!$E$31,MATCH($AX165,TaxBracket2,1),0,1,1)-$AI165-$AK165),IF($AX165&lt;Setup!$C$21,($AX165*Setup!$D$21)-$AI165-$AK165,(($AX165-VLOOKUP($AX165,TaxAll1,1,1))*OFFSET(Setup!$D$21,MATCH($AX165,TaxBracket1,1),0,1,1))+OFFSET(Setup!$E$20,MATCH($AX165,TaxBracket1,1),0,1,1)-$AI165-$AK165))))</f>
        <v>2401.363636363636</v>
      </c>
      <c r="BB165" s="148">
        <f t="shared" ca="1" si="82"/>
        <v>1620</v>
      </c>
      <c r="BC165" s="150">
        <f t="shared" ca="1" si="75"/>
        <v>0.92378752886836024</v>
      </c>
      <c r="BD165" s="150">
        <f t="shared" ca="1" si="76"/>
        <v>7.6212471131639731E-2</v>
      </c>
      <c r="BE165" s="148">
        <f t="shared" ca="1" si="77"/>
        <v>118090.90909090909</v>
      </c>
    </row>
    <row r="166" spans="1:57" ht="16.149999999999999" customHeight="1" x14ac:dyDescent="0.25">
      <c r="A166" s="10" t="str" cm="1">
        <f t="array" aca="1" ref="A166" ca="1">IF(ROW($A166)-ROW($A$6)&gt;EmpCount*12,"-",TEXT($B166,"yyyy")&amp;TEXT($B166,"mm")&amp;"-"&amp;$C166)</f>
        <v>202401-EXS010</v>
      </c>
      <c r="B166" s="137" cm="1">
        <f t="array" aca="1" ref="B166" ca="1">IF(ROW($A166)-ROW($A$6)&gt;EmpCount*12,Setup!$D$12,DATE(YEAR(Setup!$F$12),MONTH(Setup!$F$12)+ROUNDDOWN((ROW($A166)-ROW($A$6)-1)/EmpCount,0),IF(Setup!$C$14&gt;DAY(DATE(YEAR(Setup!$F$12),MONTH(Setup!$F$12)+ROUNDDOWN((ROW($A166)-ROW($A$6)-1)/EmpCount,0)+1,0)),DAY(DATE(YEAR(Setup!$F$12),MONTH(Setup!$F$12)+ROUNDDOWN((ROW($A166)-ROW($A$6)-1)/EmpCount,0)+1,0)),Setup!$C$14)))</f>
        <v>45316</v>
      </c>
      <c r="C166" s="101" t="str" cm="1">
        <f t="array" aca="1" ref="C166" ca="1">IF(ROW($A166)-ROW($A$6)&gt;EmpCount*12,"-",OFFSET(Emp!$A$4,ROW($A166)-ROW($A$6)-IF(ROW($A166)-ROW($A$6)&gt;EmpCount,ROUNDDOWN((ROW($A166)-ROW($A$6)-1)/EmpCount,0)*EmpCount,0),0,1,1))</f>
        <v>EXS010</v>
      </c>
      <c r="D166" s="10" t="str">
        <f ca="1">IF(ISNA(VLOOKUP($C166,EmpAll,COLUMN(Emp!$B$4),0)),"-",VLOOKUP($C166,EmpAll,COLUMN(Emp!$B$4),0))</f>
        <v>Lewis I</v>
      </c>
      <c r="E166" s="145" t="str">
        <f ca="1">IF(ISNA(VLOOKUP($C166,EmpAll,COLUMN(Emp!$C$4),0)),"-",VLOOKUP($C166,EmpAll,COLUMN(Emp!$C$4),0))</f>
        <v>A</v>
      </c>
      <c r="F166" s="101" t="str">
        <f ca="1">IF(ISNA(VLOOKUP($C166,EmpAll,COLUMN(Emp!$A$4),0)),"-",IF(AND(VLOOKUP($C166,EmpAll,COLUMN(Emp!$E$4),0)&lt;&gt;0,VLOOKUP($C166,EmpAll,COLUMN(Emp!$E$4),0)&gt;=DATE(YEAR($AC166),MONTH($AC166)+1,0)),"Inactive",IF(AND(VLOOKUP($C166,EmpAll,COLUMN(Emp!$F$4),0)&lt;&gt;0,VLOOKUP($C166,EmpAll,COLUMN(Emp!$F$4),0)&lt;=DATE(YEAR($AC166),MONTH($AC166),0)),"Terminated","Active")))</f>
        <v>Active</v>
      </c>
      <c r="G166" s="133" cm="1">
        <f t="array" aca="1" ref="G166" ca="1">IF($F166&lt;&gt;"Active",0,IF(COUNTIFS(OverEmp,$C166,OverEarn,G$2,OverDate,"&lt;"&amp;DATE(YEAR($AC166),MONTH($AC166)+1,1),OverEnd,"&gt;="&amp;DATE(YEAR($AC166),MONTH($AC166),1))&gt;0,SUMIFS(OverValue,OverEmp,$C166,OverEarn,G$2,OverDate,"&lt;"&amp;DATE(YEAR($AC166),MONTH($AC166)+1,1),OverEnd,"&gt;="&amp;DATE(YEAR($AC166),MONTH($AC166),1)),IF(AND($AC166&gt;=Setup!$E$10,SUMIFS(EmpIncrease,EmpCode,$C166)&gt;0),SUMIFS(EmpIncrease,EmpCode,$C166),SUMIFS(EmpSalary,EmpCode,$C166))))</f>
        <v>10000</v>
      </c>
      <c r="H166" s="133" cm="1">
        <f t="array" aca="1" ref="H166" ca="1">IF($F166&lt;&gt;"Active",0,IF(COUNTIFS(OverEmp,$C166,OverEarn,H$2,OverDate,"&lt;"&amp;DATE(YEAR($AC166),MONTH($AC166)+1,1),OverEnd,"&gt;="&amp;DATE(YEAR($AC166),MONTH($AC166),1))&gt;0,SUMIFS(OverValue,OverEmp,$C166,OverEarn,H$2,OverDate,"&lt;"&amp;DATE(YEAR($AC166),MONTH($AC166)+1,1),OverEnd,"&gt;="&amp;DATE(YEAR($AC166),MONTH($AC166),1)),0))</f>
        <v>0</v>
      </c>
      <c r="I166" s="133" cm="1">
        <f t="array" aca="1" ref="I166" ca="1">IF($F166&lt;&gt;"Active",0,IF(COUNTIFS(OverEmp,$C166,OverEarn,I$2,OverDate,"&lt;"&amp;DATE(YEAR($AC166),MONTH($AC166)+1,1),OverEnd,"&gt;="&amp;DATE(YEAR($AC166),MONTH($AC166),1))&gt;0,SUMIFS(OverValue,OverEmp,$C166,OverEarn,I$2,OverDate,"&lt;"&amp;DATE(YEAR($AC166),MONTH($AC166)+1,1),OverEnd,"&gt;="&amp;DATE(YEAR($AC166),MONTH($AC166),1)),IF(MONTH(B166)=Setup!$C$15,SUMIFS(EmpBonus,EmpCode,$C166),0)))</f>
        <v>0</v>
      </c>
      <c r="J166" s="133" cm="1">
        <f t="array" aca="1" ref="J166" ca="1">IF($F166&lt;&gt;"Active",0,IF(COUNTIFS(OverEmp,$C166,OverEarn,J$2,OverDate,"&lt;"&amp;DATE(YEAR($AC166),MONTH($AC166)+1,1),OverEnd,"&gt;="&amp;DATE(YEAR($AC166),MONTH($AC166),1))&gt;0,SUMIFS(OverValue,OverEmp,$C166,OverEarn,J$2,OverDate,"&lt;"&amp;DATE(YEAR($AC166),MONTH($AC166)+1,1),OverEnd,"&gt;="&amp;DATE(YEAR($AC166),MONTH($AC166),1)),0))</f>
        <v>0</v>
      </c>
      <c r="K166" s="133" cm="1">
        <f t="array" aca="1" ref="K166" ca="1">IF($F166&lt;&gt;"Active",0,IF(COUNTIFS(OverEmp,$C166,OverEarn,K$2,OverDate,"&lt;"&amp;DATE(YEAR($AC166),MONTH($AC166)+1,1),OverEnd,"&gt;="&amp;DATE(YEAR($AC166),MONTH($AC166),1))&gt;0,SUMIFS(OverValue,OverEmp,$C166,OverEarn,K$2,OverDate,"&lt;"&amp;DATE(YEAR($AC166),MONTH($AC166)+1,1),OverEnd,"&gt;="&amp;DATE(YEAR($AC166),MONTH($AC166),1)),0))</f>
        <v>0</v>
      </c>
      <c r="L166" s="185">
        <f t="shared" ca="1" si="66"/>
        <v>10000</v>
      </c>
      <c r="M166" s="182" cm="1">
        <f t="array" aca="1" ref="M166" ca="1">IF(COUNTIFS(OverEmp,$C166,OverTax,M$5,OverDate,"&lt;"&amp;DATE(YEAR($AC166),MONTH($AC166)+1,1),OverEnd,"&gt;="&amp;DATE(YEAR($AC166),MONTH($AC166),1))&gt;0,SUMIFS(OverValue,OverEmp,$C166,OverTax,M$5,OverDate,"&lt;"&amp;DATE(YEAR($AC166),MONTH($AC166)+1,1),OverEnd,"&gt;="&amp;DATE(YEAR($AC166),MONTH($AC166),1)),(($BA166/12*$AA166)+(BB166*IF(1-$BC166=0,0,BD166/(1-$BC166))))-IF($F166="Terminated",0,SUMIFS(PayTaxDeduct,PayDate,"&lt;"&amp;$AC166,PayEmp,$C166)))</f>
        <v>363.74999999999864</v>
      </c>
      <c r="N166" s="133" cm="1">
        <f t="array" aca="1" ref="N166" ca="1">IF($F166="Terminated",0,IF($AA166=0,0,IF(ISNA(MATCH(N$5,DedListItem,0)),0,IF(COUNTIFS(OverEmp,$C166,OverDeduct,N$5,OverDate,"&lt;"&amp;DATE(YEAR($AC166),MONTH($AC166)+1,1),OverEnd,"&gt;="&amp;DATE(YEAR($AC166),MONTH($AC166),1))&gt;0,SUMIFS(OverValue,OverEmp,$C166,OverDeduct,N$5,OverDate,"&lt;"&amp;DATE(YEAR($AC166),MONTH($AC166)+1,1),OverEnd,"&gt;="&amp;DATE(YEAR($AC166),MONTH($AC166),1)),IF(OR(N$2="Fixed",N$2="Not Used"),(IF(COUNTIFS(EmpNo,$C166,OFFSET(Emp!$R$4,1,MATCH(N$5,DedListItem,0)-1,EmpCount,1),"&lt;&gt;")&gt;0,VLOOKUP($C166,EmpAll,COLUMN(Emp!$R$4)+MATCH(N$5,DedListItem,0)-1,0),OFFSET(Setup!$E$73,MATCH(N$5,DedListItem,0),0,1,1))*$AA166)-SUMIFS(OFFSET(N$6,1,0,PayCount,1),PayDate,"&lt;"&amp;$AC166,PayEmp,$C166),IF(ISNA(MATCH(N$2,EarnListItem,0))=FALSE,IF(OFFSET(Setup!$G$73,MATCH(N$5,DedListItem,0),0,1,1)="Taxable",SUMPRODUCT((PayEmp=$C166)*(PayDate&lt;=$AC166)*(PayEarnCode=N$2)*(PayEarnTax)*(PayEarnValues)),SUMPRODUCT((PayEmp=$C166)*(PayDate&lt;=$AC166)*(PayEarnCode=N$2)*(PayEarnValues)))*IF(COUNTIFS(EmpNo,$C166,OFFSET(Emp!$R$4,1,MATCH(N$5,DedListItem,0)-1,EmpCount,1),"&lt;&gt;")&gt;0,VLOOKUP($C166,EmpAll,COLUMN(Emp!$R$4)+MATCH(N$5,DedListItem,0)-1,0),OFFSET(Setup!$E$73,MATCH(N$5,DedListItem,0),0,1,1)),(MIN(IF(OFFSET(Setup!$G$73,MATCH(N$5,DedListItem,0),0,1,1)="Taxable",SUMPRODUCT((PayEmp=$C166)*(PayDate&lt;=$AC166)*(ISERROR(SEARCH(PayEarnCode,N$4)))*(PayEarnTax)*(PayEarnValues)),SUMPRODUCT((PayEmp=$C166)*(PayDate&lt;=$AC166)*(ISERROR(SEARCH(PayEarnCode,N$4)))*(PayEarnValues))),IF(ISNUMBER(N$3),N$3/12*$AA166,IgnoreMin)))*IF(COUNTIFS(EmpNo,$C166,OFFSET(Emp!$R$4,1,MATCH(N$5,DedListItem,0)-1,EmpCount,1),"&lt;&gt;")&gt;0,VLOOKUP($C166,EmpAll,COLUMN(Emp!$R$4)+MATCH(N$5,DedListItem,0)-1,0),OFFSET(Setup!$E$73,MATCH(N$5,DedListItem,0),0,1,1)))-SUMIFS(OFFSET(N$6,1,0,PayCount,1),PayDate,"&lt;"&amp;$AC166,PayEmp,$C166))))))</f>
        <v>100</v>
      </c>
      <c r="O166" s="133" cm="1">
        <f t="array" aca="1" ref="O166" ca="1">IF($F166="Terminated",0,IF($AA166=0,0,IF(ISNA(MATCH(O$5,DedListItem,0)),0,IF(COUNTIFS(OverEmp,$C166,OverDeduct,O$5,OverDate,"&lt;"&amp;DATE(YEAR($AC166),MONTH($AC166)+1,1),OverEnd,"&gt;="&amp;DATE(YEAR($AC166),MONTH($AC166),1))&gt;0,SUMIFS(OverValue,OverEmp,$C166,OverDeduct,O$5,OverDate,"&lt;"&amp;DATE(YEAR($AC166),MONTH($AC166)+1,1),OverEnd,"&gt;="&amp;DATE(YEAR($AC166),MONTH($AC166),1)),IF(OR(O$2="Fixed",O$2="Not Used"),(IF(COUNTIFS(EmpNo,$C166,OFFSET(Emp!$R$4,1,MATCH(O$5,DedListItem,0)-1,EmpCount,1),"&lt;&gt;")&gt;0,VLOOKUP($C166,EmpAll,COLUMN(Emp!$R$4)+MATCH(O$5,DedListItem,0)-1,0),OFFSET(Setup!$E$73,MATCH(O$5,DedListItem,0),0,1,1))*$AA166)-SUMIFS(OFFSET(O$6,1,0,PayCount,1),PayDate,"&lt;"&amp;$AC166,PayEmp,$C166),IF(ISNA(MATCH(O$2,EarnListItem,0))=FALSE,IF(OFFSET(Setup!$G$73,MATCH(O$5,DedListItem,0),0,1,1)="Taxable",SUMPRODUCT((PayEmp=$C166)*(PayDate&lt;=$AC166)*(PayEarnCode=O$2)*(PayEarnTax)*(PayEarnValues)),SUMPRODUCT((PayEmp=$C166)*(PayDate&lt;=$AC166)*(PayEarnCode=O$2)*(PayEarnValues)))*IF(COUNTIFS(EmpNo,$C166,OFFSET(Emp!$R$4,1,MATCH(O$5,DedListItem,0)-1,EmpCount,1),"&lt;&gt;")&gt;0,VLOOKUP($C166,EmpAll,COLUMN(Emp!$R$4)+MATCH(O$5,DedListItem,0)-1,0),OFFSET(Setup!$E$73,MATCH(O$5,DedListItem,0),0,1,1)),(MIN(IF(OFFSET(Setup!$G$73,MATCH(O$5,DedListItem,0),0,1,1)="Taxable",SUMPRODUCT((PayEmp=$C166)*(PayDate&lt;=$AC166)*(ISERROR(SEARCH(PayEarnCode,O$4)))*(PayEarnTax)*(PayEarnValues)),SUMPRODUCT((PayEmp=$C166)*(PayDate&lt;=$AC166)*(ISERROR(SEARCH(PayEarnCode,O$4)))*(PayEarnValues))),IF(ISNUMBER(O$3),O$3/12*$AA166,IgnoreMin)))*IF(COUNTIFS(EmpNo,$C166,OFFSET(Emp!$R$4,1,MATCH(O$5,DedListItem,0)-1,EmpCount,1),"&lt;&gt;")&gt;0,VLOOKUP($C166,EmpAll,COLUMN(Emp!$R$4)+MATCH(O$5,DedListItem,0)-1,0),OFFSET(Setup!$E$73,MATCH(O$5,DedListItem,0),0,1,1)))-SUMIFS(OFFSET(O$6,1,0,PayCount,1),PayDate,"&lt;"&amp;$AC166,PayEmp,$C166))))))</f>
        <v>0</v>
      </c>
      <c r="P166" s="133" cm="1">
        <f t="array" aca="1" ref="P166" ca="1">IF($F166="Terminated",0,IF($AA166=0,0,IF(ISNA(MATCH(P$5,DedListItem,0)),0,IF(COUNTIFS(OverEmp,$C166,OverDeduct,P$5,OverDate,"&lt;"&amp;DATE(YEAR($AC166),MONTH($AC166)+1,1),OverEnd,"&gt;="&amp;DATE(YEAR($AC166),MONTH($AC166),1))&gt;0,SUMIFS(OverValue,OverEmp,$C166,OverDeduct,P$5,OverDate,"&lt;"&amp;DATE(YEAR($AC166),MONTH($AC166)+1,1),OverEnd,"&gt;="&amp;DATE(YEAR($AC166),MONTH($AC166),1)),IF(OR(P$2="Fixed",P$2="Not Used"),(IF(COUNTIFS(EmpNo,$C166,OFFSET(Emp!$R$4,1,MATCH(P$5,DedListItem,0)-1,EmpCount,1),"&lt;&gt;")&gt;0,VLOOKUP($C166,EmpAll,COLUMN(Emp!$R$4)+MATCH(P$5,DedListItem,0)-1,0),OFFSET(Setup!$E$73,MATCH(P$5,DedListItem,0),0,1,1))*$AA166)-SUMIFS(OFFSET(P$6,1,0,PayCount,1),PayDate,"&lt;"&amp;$AC166,PayEmp,$C166),IF(ISNA(MATCH(P$2,EarnListItem,0))=FALSE,IF(OFFSET(Setup!$G$73,MATCH(P$5,DedListItem,0),0,1,1)="Taxable",SUMPRODUCT((PayEmp=$C166)*(PayDate&lt;=$AC166)*(PayEarnCode=P$2)*(PayEarnTax)*(PayEarnValues)),SUMPRODUCT((PayEmp=$C166)*(PayDate&lt;=$AC166)*(PayEarnCode=P$2)*(PayEarnValues)))*IF(COUNTIFS(EmpNo,$C166,OFFSET(Emp!$R$4,1,MATCH(P$5,DedListItem,0)-1,EmpCount,1),"&lt;&gt;")&gt;0,VLOOKUP($C166,EmpAll,COLUMN(Emp!$R$4)+MATCH(P$5,DedListItem,0)-1,0),OFFSET(Setup!$E$73,MATCH(P$5,DedListItem,0),0,1,1)),(MIN(IF(OFFSET(Setup!$G$73,MATCH(P$5,DedListItem,0),0,1,1)="Taxable",SUMPRODUCT((PayEmp=$C166)*(PayDate&lt;=$AC166)*(ISERROR(SEARCH(PayEarnCode,P$4)))*(PayEarnTax)*(PayEarnValues)),SUMPRODUCT((PayEmp=$C166)*(PayDate&lt;=$AC166)*(ISERROR(SEARCH(PayEarnCode,P$4)))*(PayEarnValues))),IF(ISNUMBER(P$3),P$3/12*$AA166,IgnoreMin)))*IF(COUNTIFS(EmpNo,$C166,OFFSET(Emp!$R$4,1,MATCH(P$5,DedListItem,0)-1,EmpCount,1),"&lt;&gt;")&gt;0,VLOOKUP($C166,EmpAll,COLUMN(Emp!$R$4)+MATCH(P$5,DedListItem,0)-1,0),OFFSET(Setup!$E$73,MATCH(P$5,DedListItem,0),0,1,1)))-SUMIFS(OFFSET(P$6,1,0,PayCount,1),PayDate,"&lt;"&amp;$AC166,PayEmp,$C166))))))</f>
        <v>0</v>
      </c>
      <c r="Q166" s="133" cm="1">
        <f t="array" aca="1" ref="Q166" ca="1">IF($F166="Terminated",0,IF($AA166=0,0,IF(ISNA(MATCH(Q$5,DedListItem,0)),0,IF(COUNTIFS(OverEmp,$C166,OverDeduct,Q$5,OverDate,"&lt;"&amp;DATE(YEAR($AC166),MONTH($AC166)+1,1),OverEnd,"&gt;="&amp;DATE(YEAR($AC166),MONTH($AC166),1))&gt;0,SUMIFS(OverValue,OverEmp,$C166,OverDeduct,Q$5,OverDate,"&lt;"&amp;DATE(YEAR($AC166),MONTH($AC166)+1,1),OverEnd,"&gt;="&amp;DATE(YEAR($AC166),MONTH($AC166),1)),IF(OR(Q$2="Fixed",Q$2="Not Used"),(IF(COUNTIFS(EmpNo,$C166,OFFSET(Emp!$R$4,1,MATCH(Q$5,DedListItem,0)-1,EmpCount,1),"&lt;&gt;")&gt;0,VLOOKUP($C166,EmpAll,COLUMN(Emp!$R$4)+MATCH(Q$5,DedListItem,0)-1,0),OFFSET(Setup!$E$73,MATCH(Q$5,DedListItem,0),0,1,1))*$AA166)-SUMIFS(OFFSET(Q$6,1,0,PayCount,1),PayDate,"&lt;"&amp;$AC166,PayEmp,$C166),IF(ISNA(MATCH(Q$2,EarnListItem,0))=FALSE,IF(OFFSET(Setup!$G$73,MATCH(Q$5,DedListItem,0),0,1,1)="Taxable",SUMPRODUCT((PayEmp=$C166)*(PayDate&lt;=$AC166)*(PayEarnCode=Q$2)*(PayEarnTax)*(PayEarnValues)),SUMPRODUCT((PayEmp=$C166)*(PayDate&lt;=$AC166)*(PayEarnCode=Q$2)*(PayEarnValues)))*IF(COUNTIFS(EmpNo,$C166,OFFSET(Emp!$R$4,1,MATCH(Q$5,DedListItem,0)-1,EmpCount,1),"&lt;&gt;")&gt;0,VLOOKUP($C166,EmpAll,COLUMN(Emp!$R$4)+MATCH(Q$5,DedListItem,0)-1,0),OFFSET(Setup!$E$73,MATCH(Q$5,DedListItem,0),0,1,1)),(MIN(IF(OFFSET(Setup!$G$73,MATCH(Q$5,DedListItem,0),0,1,1)="Taxable",SUMPRODUCT((PayEmp=$C166)*(PayDate&lt;=$AC166)*(ISERROR(SEARCH(PayEarnCode,Q$4)))*(PayEarnTax)*(PayEarnValues)),SUMPRODUCT((PayEmp=$C166)*(PayDate&lt;=$AC166)*(ISERROR(SEARCH(PayEarnCode,Q$4)))*(PayEarnValues))),IF(ISNUMBER(Q$3),Q$3/12*$AA166,IgnoreMin)))*IF(COUNTIFS(EmpNo,$C166,OFFSET(Emp!$R$4,1,MATCH(Q$5,DedListItem,0)-1,EmpCount,1),"&lt;&gt;")&gt;0,VLOOKUP($C166,EmpAll,COLUMN(Emp!$R$4)+MATCH(Q$5,DedListItem,0)-1,0),OFFSET(Setup!$E$73,MATCH(Q$5,DedListItem,0),0,1,1)))-SUMIFS(OFFSET(Q$6,1,0,PayCount,1),PayDate,"&lt;"&amp;$AC166,PayEmp,$C166))))))</f>
        <v>0</v>
      </c>
      <c r="R166" s="185">
        <f t="shared" ca="1" si="67"/>
        <v>463.74999999999864</v>
      </c>
      <c r="S166" s="139">
        <f t="shared" ca="1" si="68"/>
        <v>9536.25</v>
      </c>
      <c r="T166" s="133" cm="1">
        <f t="array" aca="1" ref="T166" ca="1">IF($F166="Terminated",0,IF($AA166=0,0,IF(ISNA(MATCH(T$5,CompListItem,0)),0,IF(COUNTIFS(OverEmp,$C166,OverComp,T$5,OverDate,"&lt;"&amp;DATE(YEAR($AC166),MONTH($AC166)+1,1),OverEnd,"&gt;="&amp;DATE(YEAR($AC166),MONTH($AC166),1))&gt;0,SUMIFS(OverValue,OverEmp,$C166,OverComp,T$5,OverDate,"&lt;"&amp;DATE(YEAR($AC166),MONTH($AC166)+1,1),OverEnd,"&gt;="&amp;DATE(YEAR($AC166),MONTH($AC166),1)),IF(OR(T$2="Fixed",T$2="Not Used"),(OFFSET(Setup!$E$81,MATCH(T$5,CompListItem,0),0,1,1)*$AA166)-SUMIFS(OFFSET(T$6,1,0,PayCount,1),PayDate,"&lt;"&amp;$AC166,PayEmp,$C166),IF(ISNA(MATCH(T$2,DedListItem,0))=FALSE,(SUMPRODUCT((PayEmp=$C166)*(PayDate&lt;=$AC166)*(PayDedList=T$2)*(PayDedValues))*OFFSET(Setup!$E$81,MATCH(T$5,CompListItem,0),0,1,1))-SUMIFS(OFFSET(T$6,1,0,PayCount,1),PayDate,"&lt;"&amp;$AC166,PayEmp,$C166),(MIN(IF(OFFSET(Setup!$G$81,MATCH(T$5,CompListItem,0),0,1,1)="Taxable",SUMPRODUCT((PayEmp=$C166)*(PayDate&lt;=$AC166)*(ISERROR(SEARCH(PayEarnCode,T$4)))*(PayEarnTax)*(PayEarnValues)),SUMPRODUCT((PayEmp=$C166)*(PayDate&lt;=$AC166)*(ISERROR(SEARCH(PayEarnCode,T$4)))*(PayEarnValues))),IF(ISNUMBER(T$3),T$3/12*$AA166,IgnoreMin)))*OFFSET(Setup!$E$81,MATCH(T$5,CompListItem,0),0,1,1)-SUMIFS(OFFSET(T$6,1,0,PayCount,1),PayDate,"&lt;"&amp;$AC166,PayEmp,$C166)))))))</f>
        <v>100</v>
      </c>
      <c r="U166" s="133" cm="1">
        <f t="array" aca="1" ref="U166" ca="1">IF($F166="Terminated",0,IF($AA166=0,0,IF(ISNA(MATCH(U$5,CompListItem,0)),0,IF(COUNTIFS(OverEmp,$C166,OverComp,U$5,OverDate,"&lt;"&amp;DATE(YEAR($AC166),MONTH($AC166)+1,1),OverEnd,"&gt;="&amp;DATE(YEAR($AC166),MONTH($AC166),1))&gt;0,SUMIFS(OverValue,OverEmp,$C166,OverComp,U$5,OverDate,"&lt;"&amp;DATE(YEAR($AC166),MONTH($AC166)+1,1),OverEnd,"&gt;="&amp;DATE(YEAR($AC166),MONTH($AC166),1)),IF(OR(U$2="Fixed",U$2="Not Used"),(OFFSET(Setup!$E$81,MATCH(U$5,CompListItem,0),0,1,1)*$AA166)-SUMIFS(OFFSET(U$6,1,0,PayCount,1),PayDate,"&lt;"&amp;$AC166,PayEmp,$C166),IF(ISNA(MATCH(U$2,DedListItem,0))=FALSE,(SUMPRODUCT((PayEmp=$C166)*(PayDate&lt;=$AC166)*(PayDedList=U$2)*(PayDedValues))*OFFSET(Setup!$E$81,MATCH(U$5,CompListItem,0),0,1,1))-SUMIFS(OFFSET(U$6,1,0,PayCount,1),PayDate,"&lt;"&amp;$AC166,PayEmp,$C166),(MIN(IF(OFFSET(Setup!$G$81,MATCH(U$5,CompListItem,0),0,1,1)="Taxable",SUMPRODUCT((PayEmp=$C166)*(PayDate&lt;=$AC166)*(ISERROR(SEARCH(PayEarnCode,U$4)))*(PayEarnTax)*(PayEarnValues)),SUMPRODUCT((PayEmp=$C166)*(PayDate&lt;=$AC166)*(ISERROR(SEARCH(PayEarnCode,U$4)))*(PayEarnValues))),IF(ISNUMBER(U$3),U$3/12*$AA166,IgnoreMin)))*OFFSET(Setup!$E$81,MATCH(U$5,CompListItem,0),0,1,1)-SUMIFS(OFFSET(U$6,1,0,PayCount,1),PayDate,"&lt;"&amp;$AC166,PayEmp,$C166)))))))</f>
        <v>100</v>
      </c>
      <c r="V166" s="133" cm="1">
        <f t="array" aca="1" ref="V166" ca="1">IF($F166="Terminated",0,IF($AA166=0,0,IF(ISNA(MATCH(V$5,CompListItem,0)),0,IF(COUNTIFS(OverEmp,$C166,OverComp,V$5,OverDate,"&lt;"&amp;DATE(YEAR($AC166),MONTH($AC166)+1,1),OverEnd,"&gt;="&amp;DATE(YEAR($AC166),MONTH($AC166),1))&gt;0,SUMIFS(OverValue,OverEmp,$C166,OverComp,V$5,OverDate,"&lt;"&amp;DATE(YEAR($AC166),MONTH($AC166)+1,1),OverEnd,"&gt;="&amp;DATE(YEAR($AC166),MONTH($AC166),1)),IF(OR(V$2="Fixed",V$2="Not Used"),(OFFSET(Setup!$E$81,MATCH(V$5,CompListItem,0),0,1,1)*$AA166)-SUMIFS(OFFSET(V$6,1,0,PayCount,1),PayDate,"&lt;"&amp;$AC166,PayEmp,$C166),IF(ISNA(MATCH(V$2,DedListItem,0))=FALSE,(SUMPRODUCT((PayEmp=$C166)*(PayDate&lt;=$AC166)*(PayDedList=V$2)*(PayDedValues))*OFFSET(Setup!$E$81,MATCH(V$5,CompListItem,0),0,1,1))-SUMIFS(OFFSET(V$6,1,0,PayCount,1),PayDate,"&lt;"&amp;$AC166,PayEmp,$C166),(MIN(IF(OFFSET(Setup!$G$81,MATCH(V$5,CompListItem,0),0,1,1)="Taxable",SUMPRODUCT((PayEmp=$C166)*(PayDate&lt;=$AC166)*(ISERROR(SEARCH(PayEarnCode,V$4)))*(PayEarnTax)*(PayEarnValues)),SUMPRODUCT((PayEmp=$C166)*(PayDate&lt;=$AC166)*(ISERROR(SEARCH(PayEarnCode,V$4)))*(PayEarnValues))),IF(ISNUMBER(V$3),V$3/12*$AA166,IgnoreMin)))*OFFSET(Setup!$E$81,MATCH(V$5,CompListItem,0),0,1,1)-SUMIFS(OFFSET(V$6,1,0,PayCount,1),PayDate,"&lt;"&amp;$AC166,PayEmp,$C166)))))))</f>
        <v>0</v>
      </c>
      <c r="W166" s="133" cm="1">
        <f t="array" aca="1" ref="W166" ca="1">IF($F166="Terminated",0,IF($AA166=0,0,IF(ISNA(MATCH(W$5,CompListItem,0)),0,IF(COUNTIFS(OverEmp,$C166,OverComp,W$5,OverDate,"&lt;"&amp;DATE(YEAR($AC166),MONTH($AC166)+1,1),OverEnd,"&gt;="&amp;DATE(YEAR($AC166),MONTH($AC166),1))&gt;0,SUMIFS(OverValue,OverEmp,$C166,OverComp,W$5,OverDate,"&lt;"&amp;DATE(YEAR($AC166),MONTH($AC166)+1,1),OverEnd,"&gt;="&amp;DATE(YEAR($AC166),MONTH($AC166),1)),IF(OR(W$2="Fixed",W$2="Not Used"),(OFFSET(Setup!$E$81,MATCH(W$5,CompListItem,0),0,1,1)*$AA166)-SUMIFS(OFFSET(W$6,1,0,PayCount,1),PayDate,"&lt;"&amp;$AC166,PayEmp,$C166),IF(ISNA(MATCH(W$2,DedListItem,0))=FALSE,(SUMPRODUCT((PayEmp=$C166)*(PayDate&lt;=$AC166)*(PayDedList=W$2)*(PayDedValues))*OFFSET(Setup!$E$81,MATCH(W$5,CompListItem,0),0,1,1))-SUMIFS(OFFSET(W$6,1,0,PayCount,1),PayDate,"&lt;"&amp;$AC166,PayEmp,$C166),(MIN(IF(OFFSET(Setup!$G$81,MATCH(W$5,CompListItem,0),0,1,1)="Taxable",SUMPRODUCT((PayEmp=$C166)*(PayDate&lt;=$AC166)*(ISERROR(SEARCH(PayEarnCode,W$4)))*(PayEarnTax)*(PayEarnValues)),SUMPRODUCT((PayEmp=$C166)*(PayDate&lt;=$AC166)*(ISERROR(SEARCH(PayEarnCode,W$4)))*(PayEarnValues))),IF(ISNUMBER(W$3),W$3/12*$AA166,IgnoreMin)))*OFFSET(Setup!$E$81,MATCH(W$5,CompListItem,0),0,1,1)-SUMIFS(OFFSET(W$6,1,0,PayCount,1),PayDate,"&lt;"&amp;$AC166,PayEmp,$C166)))))))</f>
        <v>0</v>
      </c>
      <c r="X166" s="185">
        <f t="shared" ca="1" si="78"/>
        <v>200</v>
      </c>
      <c r="Y166" s="139">
        <f t="shared" ca="1" si="69"/>
        <v>10200</v>
      </c>
      <c r="Z166" s="139">
        <f t="shared" ca="1" si="79"/>
        <v>663.75</v>
      </c>
      <c r="AA166" s="146">
        <f ca="1">IF(OR($B166&lt;=Setup!$E$12,$B166&gt;=Setup!$D$12+1),0,IF($F166&lt;&gt;"Active",0,IF($AE166="Yes",$AB166,((YEAR($AC166)*12)+MONTH($AC166))-((YEAR($AD166)*12)+MONTH($AD166)-1))))</f>
        <v>11</v>
      </c>
      <c r="AB166" s="146">
        <f ca="1">IF(OR($B166&lt;=Setup!$E$12,$B166&gt;=Setup!$D$12+1),0,((YEAR($AC166)*12)+MONTH($AC166))-((YEAR(Setup!$E$12)*12)+MONTH(Setup!$E$12)))</f>
        <v>11</v>
      </c>
      <c r="AC166" s="186">
        <f t="shared" ca="1" si="83"/>
        <v>45316</v>
      </c>
      <c r="AD166" s="144">
        <f ca="1">IF(ISNA(VLOOKUP($C166,EmpAll,COLUMN(Emp!$E$4),0)),$AC166,IF(VLOOKUP($C166,EmpAll,COLUMN(Emp!$E$4),0)&lt;=Setup!$E$12,DATE(YEAR(Setup!$E$12),MONTH(Setup!$E$12)+1,1),VLOOKUP($C166,EmpAll,COLUMN(Emp!$E$4),0)))</f>
        <v>44986</v>
      </c>
      <c r="AE166" s="144" t="str">
        <f ca="1">IF(ISNA(VLOOKUP($C166,EmpAll,COLUMN(Emp!$G$1),0)),"-",IF(VLOOKUP($C166,EmpAll,COLUMN(Emp!$G$1),0)=0,"-",VLOOKUP($C166,EmpAll,COLUMN(Emp!$G$1),0)))</f>
        <v>-</v>
      </c>
      <c r="AF166" s="145">
        <f ca="1">IF(A166=PaySlip!$G$3,1,0)</f>
        <v>0</v>
      </c>
      <c r="AG166" s="130" cm="1">
        <f t="array" aca="1" ref="AG166" ca="1">IF(COUNTIFS(OverEmp,$C166,OverMed,"MED",OverDate,"&lt;"&amp;DATE(YEAR($AC166),MONTH($AC166)+1,1),OverEnd,"&gt;="&amp;DATE(YEAR($AC166),MONTH($AC166),1))&gt;0,SUMIFS(OverValue,OverEmp,$C166,OverMed,"MED",OverDate,"&lt;"&amp;DATE(YEAR($AC166),MONTH($AC166)+1,1),OverEnd,"&gt;="&amp;DATE(YEAR($AC166),MONTH($AC166),1)),IF(ISNA(VLOOKUP($C166,EmpAll,COLUMN(Emp!$N$4),0)),0,VLOOKUP($C166,EmpAll,COLUMN(Emp!$N$4),0)))</f>
        <v>0</v>
      </c>
      <c r="AH166" s="146">
        <f ca="1">VLOOKUP($AG166,MedList,COLUMN(Setup!$C$49),1)</f>
        <v>0</v>
      </c>
      <c r="AI166" s="146">
        <f t="shared" ca="1" si="70"/>
        <v>0</v>
      </c>
      <c r="AJ166" s="101" t="str">
        <f ca="1">IF(ISNA(VLOOKUP($C166,EmpAll,COLUMN(Emp!$L$4),0)),"None!",VLOOKUP($C166,EmpAll,COLUMN(Emp!$L$4),0))</f>
        <v>A</v>
      </c>
      <c r="AK166" s="147">
        <f t="shared" ca="1" si="80"/>
        <v>17235</v>
      </c>
      <c r="AL166" s="101" t="str">
        <f ca="1">IF(ISNA(VLOOKUP($C166,Employees[],COLUMN(Emp!$M$4),0))=TRUE,"Error!",IF(VLOOKUP($C166,Employees[],COLUMN(Emp!$M$4),0)=0,"Yes",VLOOKUP($C166,Employees[],COLUMN(Emp!$M$4),0)))</f>
        <v>A</v>
      </c>
      <c r="AM166" s="148">
        <f t="shared" ca="1" si="71"/>
        <v>118090.90909090909</v>
      </c>
      <c r="AN166" s="148" cm="1">
        <f t="array" aca="1" ref="AN166" ca="1">-IF($F166="Terminated",0,IF($AA166=0,0,IF(ISNA(MATCH(AN$5,PayDedList,0)),0,MIN(IF(COUNTIFS(OverEmp,$C166,OverDeduct,AN$5,OverDate,"&lt;"&amp;DATE(YEAR($AC166),MONTH($AC166)+1,1),OverEnd,"&gt;="&amp;DATE(YEAR($AC166),MONTH($AC166),1))&gt;0,SUMPRODUCT((PayEmp=$C166)*(PayDate&lt;=$AC166)*(OFFSET($N$6,1,MATCH(AN$5,PayDedList,0)-1,PayCount,1)))/$AA166*12*AN$3,IF(OR(AN$1="Fixed",AN$1="Not Used"),SUMPRODUCT((PayEmp=$C166)*(PayDate&lt;=$AC166)*(OFFSET($N$6,1,MATCH(AN$5,PayDedList,0)-1,PayCount,1)))/$AA166*12*AN$3,IF(ISNA(MATCH(AN$1,EarnListItem,0))=FALSE,SUMPRODUCT((PayEmp=$C166)*(PayDate&lt;=$AC166)*(OFFSET($N$6,1,MATCH(AN$5,PayDedList,0)-1,PayCount,1)))/$AA166*12*AN$3,(MIN(((SUMPRODUCT((PayEmp=$C166)*(PayDate&lt;=$AC166)*(ISERROR(SEARCH(PayEarnCode,AN$2)))*(PayEarnType="Monthly")*(PayEarnValues))/$AA166*12)+(SUMPRODUCT((PayEmp=$C166)*(PayDate&lt;=$AC166)*(ISERROR(SEARCH(PayEarnCode,AN$2)))*(PayEarnType="Quarterly")*(PayEarnValues))/MAX(1,ROUNDDOWN($AB166/3,0))*4)+(SUMPRODUCT((PayEmp=$C166)*(PayDate&lt;=$AC166)*(ISERROR(SEARCH(PayEarnCode,AN$2)))*(PayEarnType="Bi-Annual")*(PayEarnValues))/MAX(1,ROUNDDOWN($AB166/6,0))*2)+(SUMPRODUCT((PayEmp=$C166)*(PayDate&lt;=$AC166)*(ISERROR(SEARCH(PayEarnCode,AN$2)))*(PayEarnType="Annual")*(PayEarnValues)))),IF(ISNUMBER(OFFSET($N$3,0,MATCH(AN$5,PayDedList,0)-1,1,1)),OFFSET($N$3,0,MATCH(AN$5,PayDedList,0)-1,1,1),IgnoreMin)))*IF(COUNTIFS(EmpNo,$C166,OFFSET(Emp!$R$4,1,MATCH(AN$5,DedListItem,0)-1,EmpCount,1),"&lt;&gt;")&gt;0,VLOOKUP($C166,EmpAll,COLUMN(Emp!$R$4)+MATCH(AN$5,DedListItem,0)-1,0),OFFSET(Setup!$E$73,MATCH(AN$5,DedListItem,0),0,1,1))*AN$3))),IF(ISNUMBER(AN$4),AN$4,IgnoreMin)))))</f>
        <v>0</v>
      </c>
      <c r="AO166" s="148" cm="1">
        <f t="array" aca="1" ref="AO166" ca="1">-IF($F166="Terminated",0,IF($AA166=0,0,IF(ISNA(MATCH(AO$5,PayDedList,0)),0,MIN(IF(COUNTIFS(OverEmp,$C166,OverDeduct,AO$5,OverDate,"&lt;"&amp;DATE(YEAR($AC166),MONTH($AC166)+1,1),OverEnd,"&gt;="&amp;DATE(YEAR($AC166),MONTH($AC166),1))&gt;0,SUMPRODUCT((PayEmp=$C166)*(PayDate&lt;=$AC166)*(OFFSET($N$6,1,MATCH(AO$5,PayDedList,0)-1,PayCount,1)))/$AA166*12*AO$3,IF(OR(AO$1="Fixed",AO$1="Not Used"),SUMPRODUCT((PayEmp=$C166)*(PayDate&lt;=$AC166)*(OFFSET($N$6,1,MATCH(AO$5,PayDedList,0)-1,PayCount,1)))/$AA166*12*AO$3,IF(ISNA(MATCH(AO$1,EarnListItem,0))=FALSE,SUMPRODUCT((PayEmp=$C166)*(PayDate&lt;=$AC166)*(OFFSET($N$6,1,MATCH(AO$5,PayDedList,0)-1,PayCount,1)))/$AA166*12*AO$3,(MIN(((SUMPRODUCT((PayEmp=$C166)*(PayDate&lt;=$AC166)*(ISERROR(SEARCH(PayEarnCode,AO$2)))*(PayEarnType="Monthly")*(PayEarnValues))/$AA166*12)+(SUMPRODUCT((PayEmp=$C166)*(PayDate&lt;=$AC166)*(ISERROR(SEARCH(PayEarnCode,AO$2)))*(PayEarnType="Quarterly")*(PayEarnValues))/MAX(1,ROUNDDOWN($AB166/3,0))*4)+(SUMPRODUCT((PayEmp=$C166)*(PayDate&lt;=$AC166)*(ISERROR(SEARCH(PayEarnCode,AO$2)))*(PayEarnType="Bi-Annual")*(PayEarnValues))/MAX(1,ROUNDDOWN($AB166/6,0))*2)+(SUMPRODUCT((PayEmp=$C166)*(PayDate&lt;=$AC166)*(ISERROR(SEARCH(PayEarnCode,AO$2)))*(PayEarnType="Annual")*(PayEarnValues)))),IF(ISNUMBER(OFFSET($N$3,0,MATCH(AO$5,PayDedList,0)-1,1,1)),OFFSET($N$3,0,MATCH(AO$5,PayDedList,0)-1,1,1),IgnoreMin)))*IF(COUNTIFS(EmpNo,$C166,OFFSET(Emp!$R$4,1,MATCH(AO$5,DedListItem,0)-1,EmpCount,1),"&lt;&gt;")&gt;0,VLOOKUP($C166,EmpAll,COLUMN(Emp!$R$4)+MATCH(AO$5,DedListItem,0)-1,0),OFFSET(Setup!$E$73,MATCH(AO$5,DedListItem,0),0,1,1))*AO$3))),IF(ISNUMBER(AO$4),AO$4,IgnoreMin)))))</f>
        <v>0</v>
      </c>
      <c r="AP166" s="148" cm="1">
        <f t="array" aca="1" ref="AP166" ca="1">-IF($F166="Terminated",0,IF($AA166=0,0,IF(ISNA(MATCH(AP$5,PayDedList,0)),0,MIN(IF(COUNTIFS(OverEmp,$C166,OverDeduct,AP$5,OverDate,"&lt;"&amp;DATE(YEAR($AC166),MONTH($AC166)+1,1),OverEnd,"&gt;="&amp;DATE(YEAR($AC166),MONTH($AC166),1))&gt;0,SUMPRODUCT((PayEmp=$C166)*(PayDate&lt;=$AC166)*(OFFSET($N$6,1,MATCH(AP$5,PayDedList,0)-1,PayCount,1)))/$AA166*12*AP$3,IF(OR(AP$1="Fixed",AP$1="Not Used"),SUMPRODUCT((PayEmp=$C166)*(PayDate&lt;=$AC166)*(OFFSET($N$6,1,MATCH(AP$5,PayDedList,0)-1,PayCount,1)))/$AA166*12*AP$3,IF(ISNA(MATCH(AP$1,EarnListItem,0))=FALSE,SUMPRODUCT((PayEmp=$C166)*(PayDate&lt;=$AC166)*(OFFSET($N$6,1,MATCH(AP$5,PayDedList,0)-1,PayCount,1)))/$AA166*12*AP$3,(MIN(((SUMPRODUCT((PayEmp=$C166)*(PayDate&lt;=$AC166)*(ISERROR(SEARCH(PayEarnCode,AP$2)))*(PayEarnType="Monthly")*(PayEarnValues))/$AA166*12)+(SUMPRODUCT((PayEmp=$C166)*(PayDate&lt;=$AC166)*(ISERROR(SEARCH(PayEarnCode,AP$2)))*(PayEarnType="Quarterly")*(PayEarnValues))/MAX(1,ROUNDDOWN($AB166/3,0))*4)+(SUMPRODUCT((PayEmp=$C166)*(PayDate&lt;=$AC166)*(ISERROR(SEARCH(PayEarnCode,AP$2)))*(PayEarnType="Bi-Annual")*(PayEarnValues))/MAX(1,ROUNDDOWN($AB166/6,0))*2)+(SUMPRODUCT((PayEmp=$C166)*(PayDate&lt;=$AC166)*(ISERROR(SEARCH(PayEarnCode,AP$2)))*(PayEarnType="Annual")*(PayEarnValues)))),IF(ISNUMBER(OFFSET($N$3,0,MATCH(AP$5,PayDedList,0)-1,1,1)),OFFSET($N$3,0,MATCH(AP$5,PayDedList,0)-1,1,1),IgnoreMin)))*IF(COUNTIFS(EmpNo,$C166,OFFSET(Emp!$R$4,1,MATCH(AP$5,DedListItem,0)-1,EmpCount,1),"&lt;&gt;")&gt;0,VLOOKUP($C166,EmpAll,COLUMN(Emp!$R$4)+MATCH(AP$5,DedListItem,0)-1,0),OFFSET(Setup!$E$73,MATCH(AP$5,DedListItem,0),0,1,1))*AP$3))),IF(ISNUMBER(AP$4),AP$4,IgnoreMin)))))</f>
        <v>0</v>
      </c>
      <c r="AQ166" s="148" cm="1">
        <f t="array" aca="1" ref="AQ166" ca="1">-IF($F166="Terminated",0,IF($AA166=0,0,IF(ISNA(MATCH(AQ$5,PayDedList,0)),0,MIN(IF(COUNTIFS(OverEmp,$C166,OverDeduct,AQ$5,OverDate,"&lt;"&amp;DATE(YEAR($AC166),MONTH($AC166)+1,1),OverEnd,"&gt;="&amp;DATE(YEAR($AC166),MONTH($AC166),1))&gt;0,SUMPRODUCT((PayEmp=$C166)*(PayDate&lt;=$AC166)*(OFFSET($N$6,1,MATCH(AQ$5,PayDedList,0)-1,PayCount,1)))/$AA166*12*AQ$3,IF(OR(AQ$1="Fixed",AQ$1="Not Used"),SUMPRODUCT((PayEmp=$C166)*(PayDate&lt;=$AC166)*(OFFSET($N$6,1,MATCH(AQ$5,PayDedList,0)-1,PayCount,1)))/$AA166*12*AQ$3,IF(ISNA(MATCH(AQ$1,EarnListItem,0))=FALSE,SUMPRODUCT((PayEmp=$C166)*(PayDate&lt;=$AC166)*(OFFSET($N$6,1,MATCH(AQ$5,PayDedList,0)-1,PayCount,1)))/$AA166*12*AQ$3,(MIN(((SUMPRODUCT((PayEmp=$C166)*(PayDate&lt;=$AC166)*(ISERROR(SEARCH(PayEarnCode,AQ$2)))*(PayEarnType="Monthly")*(PayEarnValues))/$AA166*12)+(SUMPRODUCT((PayEmp=$C166)*(PayDate&lt;=$AC166)*(ISERROR(SEARCH(PayEarnCode,AQ$2)))*(PayEarnType="Quarterly")*(PayEarnValues))/MAX(1,ROUNDDOWN($AB166/3,0))*4)+(SUMPRODUCT((PayEmp=$C166)*(PayDate&lt;=$AC166)*(ISERROR(SEARCH(PayEarnCode,AQ$2)))*(PayEarnType="Bi-Annual")*(PayEarnValues))/MAX(1,ROUNDDOWN($AB166/6,0))*2)+(SUMPRODUCT((PayEmp=$C166)*(PayDate&lt;=$AC166)*(ISERROR(SEARCH(PayEarnCode,AQ$2)))*(PayEarnType="Annual")*(PayEarnValues)))),IF(ISNUMBER(OFFSET($N$3,0,MATCH(AQ$5,PayDedList,0)-1,1,1)),OFFSET($N$3,0,MATCH(AQ$5,PayDedList,0)-1,1,1),IgnoreMin)))*IF(COUNTIFS(EmpNo,$C166,OFFSET(Emp!$R$4,1,MATCH(AQ$5,DedListItem,0)-1,EmpCount,1),"&lt;&gt;")&gt;0,VLOOKUP($C166,EmpAll,COLUMN(Emp!$R$4)+MATCH(AQ$5,DedListItem,0)-1,0),OFFSET(Setup!$E$73,MATCH(AQ$5,DedListItem,0),0,1,1))*AQ$3))),IF(ISNUMBER(AQ$4),AQ$4,IgnoreMin)))))</f>
        <v>0</v>
      </c>
      <c r="AR166" s="148">
        <f t="shared" ca="1" si="81"/>
        <v>118090.90909090909</v>
      </c>
      <c r="AS166" s="148">
        <f t="shared" ca="1" si="72"/>
        <v>109090.90909090909</v>
      </c>
      <c r="AT166" s="148" cm="1">
        <f t="array" aca="1" ref="AT166" ca="1">-IF($F166="Terminated",0,IF($AA166=0,0,IF(ISNA(MATCH(AT$5,PayDedList,0)),0,MIN(IF(COUNTIFS(OverEmp,$C166,OverDeduct,AT$5,OverDate,"&lt;"&amp;DATE(YEAR($AC166),MONTH($AC166)+1,1),OverEnd,"&gt;="&amp;DATE(YEAR($AC166),MONTH($AC166),1))&gt;0,SUMPRODUCT((PayEmp=$C166)*(PayDate&lt;=$AC166)*(OFFSET($N$6,1,MATCH(AT$5,PayDedList,0)-1,PayCount,1)))/$AA166*12*AT$3,IF(OR(AT$1="Fixed",AT$1="Not Used"),SUMPRODUCT((PayEmp=$C166)*(PayDate&lt;=$AC166)*(OFFSET($N$6,1,MATCH(AT$5,PayDedList,0)-1,PayCount,1)))/$AA166*12*AT$3,IF(ISNA(MATCH(OFFSET($N$2,0,MATCH(AT$5,PayDedList,0)-1,1,1),EarnListItem,0))=FALSE,SUMPRODUCT((PayEmp=$C166)*(PayDate&lt;=$AC166)*(OFFSET($N$6,1,MATCH(AT$5,PayDedList,0)-1,PayCount,1)))/$AA166*12*AT$3,(MIN(SUMPRODUCT((PayEmp=$C166)*(PayDate&lt;=$AC166)*(ISERROR(SEARCH(PayEarnCode,AT$2)))*(PayEarnType="Monthly")*(PayEarnValues))/$AA166*12,IF(ISNUMBER(OFFSET($N$3,0,MATCH(AT$5,PayDedList,0)-1,1,1)),OFFSET($N$3,0,MATCH(AT$5,PayDedList,0)-1,1,1),IgnoreMin)))*IF(COUNTIFS(EmpNo,$C166,OFFSET(Emp!$R$4,1,MATCH(AT$5,DedListItem,0)-1,EmpCount,1),"&lt;&gt;")&gt;0,VLOOKUP($C166,EmpAll,COLUMN(Emp!$R$4)+MATCH(AT$5,DedListItem,0)-1,0),OFFSET(Setup!$E$73,MATCH(AT$5,DedListItem,0),0,1,1))*AT$3))),IF(ISNUMBER(AT$4),AT$4,IgnoreMin)))))</f>
        <v>0</v>
      </c>
      <c r="AU166" s="148" cm="1">
        <f t="array" aca="1" ref="AU166" ca="1">-IF($F166="Terminated",0,IF($AA166=0,0,IF(ISNA(MATCH(AU$5,PayDedList,0)),0,MIN(IF(COUNTIFS(OverEmp,$C166,OverDeduct,AU$5,OverDate,"&lt;"&amp;DATE(YEAR($AC166),MONTH($AC166)+1,1),OverEnd,"&gt;="&amp;DATE(YEAR($AC166),MONTH($AC166),1))&gt;0,SUMPRODUCT((PayEmp=$C166)*(PayDate&lt;=$AC166)*(OFFSET($N$6,1,MATCH(AU$5,PayDedList,0)-1,PayCount,1)))/$AA166*12*AU$3,IF(OR(AU$1="Fixed",AU$1="Not Used"),SUMPRODUCT((PayEmp=$C166)*(PayDate&lt;=$AC166)*(OFFSET($N$6,1,MATCH(AU$5,PayDedList,0)-1,PayCount,1)))/$AA166*12*AU$3,IF(ISNA(MATCH(OFFSET($N$2,0,MATCH(AU$5,PayDedList,0)-1,1,1),EarnListItem,0))=FALSE,SUMPRODUCT((PayEmp=$C166)*(PayDate&lt;=$AC166)*(OFFSET($N$6,1,MATCH(AU$5,PayDedList,0)-1,PayCount,1)))/$AA166*12*AU$3,(MIN(SUMPRODUCT((PayEmp=$C166)*(PayDate&lt;=$AC166)*(ISERROR(SEARCH(PayEarnCode,AU$2)))*(PayEarnType="Monthly")*(PayEarnValues))/$AA166*12,IF(ISNUMBER(OFFSET($N$3,0,MATCH(AU$5,PayDedList,0)-1,1,1)),OFFSET($N$3,0,MATCH(AU$5,PayDedList,0)-1,1,1),IgnoreMin)))*IF(COUNTIFS(EmpNo,$C166,OFFSET(Emp!$R$4,1,MATCH(AU$5,DedListItem,0)-1,EmpCount,1),"&lt;&gt;")&gt;0,VLOOKUP($C166,EmpAll,COLUMN(Emp!$R$4)+MATCH(AU$5,DedListItem,0)-1,0),OFFSET(Setup!$E$73,MATCH(AU$5,DedListItem,0),0,1,1))*AU$3))),IF(ISNUMBER(AU$4),AU$4,IgnoreMin)))))</f>
        <v>0</v>
      </c>
      <c r="AV166" s="148" cm="1">
        <f t="array" aca="1" ref="AV166" ca="1">-IF($F166="Terminated",0,IF($AA166=0,0,IF(ISNA(MATCH(AV$5,PayDedList,0)),0,MIN(IF(COUNTIFS(OverEmp,$C166,OverDeduct,AV$5,OverDate,"&lt;"&amp;DATE(YEAR($AC166),MONTH($AC166)+1,1),OverEnd,"&gt;="&amp;DATE(YEAR($AC166),MONTH($AC166),1))&gt;0,SUMPRODUCT((PayEmp=$C166)*(PayDate&lt;=$AC166)*(OFFSET($N$6,1,MATCH(AV$5,PayDedList,0)-1,PayCount,1)))/$AA166*12*AV$3,IF(OR(AV$1="Fixed",AV$1="Not Used"),SUMPRODUCT((PayEmp=$C166)*(PayDate&lt;=$AC166)*(OFFSET($N$6,1,MATCH(AV$5,PayDedList,0)-1,PayCount,1)))/$AA166*12*AV$3,IF(ISNA(MATCH(OFFSET($N$2,0,MATCH(AV$5,PayDedList,0)-1,1,1),EarnListItem,0))=FALSE,SUMPRODUCT((PayEmp=$C166)*(PayDate&lt;=$AC166)*(OFFSET($N$6,1,MATCH(AV$5,PayDedList,0)-1,PayCount,1)))/$AA166*12*AV$3,(MIN(SUMPRODUCT((PayEmp=$C166)*(PayDate&lt;=$AC166)*(ISERROR(SEARCH(PayEarnCode,AV$2)))*(PayEarnType="Monthly")*(PayEarnValues))/$AA166*12,IF(ISNUMBER(OFFSET($N$3,0,MATCH(AV$5,PayDedList,0)-1,1,1)),OFFSET($N$3,0,MATCH(AV$5,PayDedList,0)-1,1,1),IgnoreMin)))*IF(COUNTIFS(EmpNo,$C166,OFFSET(Emp!$R$4,1,MATCH(AV$5,DedListItem,0)-1,EmpCount,1),"&lt;&gt;")&gt;0,VLOOKUP($C166,EmpAll,COLUMN(Emp!$R$4)+MATCH(AV$5,DedListItem,0)-1,0),OFFSET(Setup!$E$73,MATCH(AV$5,DedListItem,0),0,1,1))*AV$3))),IF(ISNUMBER(AV$4),AV$4,IgnoreMin)))))</f>
        <v>0</v>
      </c>
      <c r="AW166" s="148" cm="1">
        <f t="array" aca="1" ref="AW166" ca="1">-IF($F166="Terminated",0,IF($AA166=0,0,IF(ISNA(MATCH(AW$5,PayDedList,0)),0,MIN(IF(COUNTIFS(OverEmp,$C166,OverDeduct,AW$5,OverDate,"&lt;"&amp;DATE(YEAR($AC166),MONTH($AC166)+1,1),OverEnd,"&gt;="&amp;DATE(YEAR($AC166),MONTH($AC166),1))&gt;0,SUMPRODUCT((PayEmp=$C166)*(PayDate&lt;=$AC166)*(OFFSET($N$6,1,MATCH(AW$5,PayDedList,0)-1,PayCount,1)))/$AA166*12*AW$3,IF(OR(AW$1="Fixed",AW$1="Not Used"),SUMPRODUCT((PayEmp=$C166)*(PayDate&lt;=$AC166)*(OFFSET($N$6,1,MATCH(AW$5,PayDedList,0)-1,PayCount,1)))/$AA166*12*AW$3,IF(ISNA(MATCH(OFFSET($N$2,0,MATCH(AW$5,PayDedList,0)-1,1,1),EarnListItem,0))=FALSE,SUMPRODUCT((PayEmp=$C166)*(PayDate&lt;=$AC166)*(OFFSET($N$6,1,MATCH(AW$5,PayDedList,0)-1,PayCount,1)))/$AA166*12*AW$3,(MIN(SUMPRODUCT((PayEmp=$C166)*(PayDate&lt;=$AC166)*(ISERROR(SEARCH(PayEarnCode,AW$2)))*(PayEarnType="Monthly")*(PayEarnValues))/$AA166*12,IF(ISNUMBER(OFFSET($N$3,0,MATCH(AW$5,PayDedList,0)-1,1,1)),OFFSET($N$3,0,MATCH(AW$5,PayDedList,0)-1,1,1),IgnoreMin)))*IF(COUNTIFS(EmpNo,$C166,OFFSET(Emp!$R$4,1,MATCH(AW$5,DedListItem,0)-1,EmpCount,1),"&lt;&gt;")&gt;0,VLOOKUP($C166,EmpAll,COLUMN(Emp!$R$4)+MATCH(AW$5,DedListItem,0)-1,0),OFFSET(Setup!$E$73,MATCH(AW$5,DedListItem,0),0,1,1))*AW$3))),IF(ISNUMBER(AW$4),AW$4,IgnoreMin)))))</f>
        <v>0</v>
      </c>
      <c r="AX166" s="148">
        <f t="shared" ca="1" si="73"/>
        <v>109090.90909090909</v>
      </c>
      <c r="AY166" s="148">
        <f t="shared" ca="1" si="74"/>
        <v>9000</v>
      </c>
      <c r="AZ166" s="148">
        <f ca="1">IF(ISNUMBER($AL166),($AR166*$AL166)-$AI166-$AK166,MAX(0,IF($AL166="B",IF($AR166&lt;Setup!$C$32,($AR166*Setup!$D$32)-$AI166-$AK166,(($AR166-VLOOKUP($AR166,TaxAll2,1,1))*OFFSET(Setup!$D$32,MATCH($AR166,TaxBracket2,1),0,1,1))+OFFSET(Setup!$E$31,MATCH($AR166,TaxBracket2,1),0,1,1)-$AI166-$AK166),IF($AR166&lt;Setup!$C$21,($AR166*Setup!$D$21)-$AI166-$AK166,(($AR166-VLOOKUP($AR166,TaxAll1,1,1))*OFFSET(Setup!$D$21,MATCH($AR166,TaxBracket1,1),0,1,1))+OFFSET(Setup!$E$20,MATCH($AR166,TaxBracket1,1),0,1,1)-$AI166-$AK166))))</f>
        <v>4021.363636363636</v>
      </c>
      <c r="BA166" s="148">
        <f ca="1">IF(ISNUMBER($AL166),($AX166*$AL166)-$AI166-$AK166,MAX(0,IF($AL166="B",IF($AX166&lt;Setup!$C$32,($AX166*Setup!$D$32)-$AI166-$AK166,(($AX166-VLOOKUP($AX166,TaxAll2,1,1))*OFFSET(Setup!$D$32,MATCH($AX166,TaxBracket2,1),0,1,1))+OFFSET(Setup!$E$31,MATCH($AX166,TaxBracket2,1),0,1,1)-$AI166-$AK166),IF($AX166&lt;Setup!$C$21,($AX166*Setup!$D$21)-$AI166-$AK166,(($AX166-VLOOKUP($AX166,TaxAll1,1,1))*OFFSET(Setup!$D$21,MATCH($AX166,TaxBracket1,1),0,1,1))+OFFSET(Setup!$E$20,MATCH($AX166,TaxBracket1,1),0,1,1)-$AI166-$AK166))))</f>
        <v>2401.363636363636</v>
      </c>
      <c r="BB166" s="148">
        <f t="shared" ca="1" si="82"/>
        <v>1620</v>
      </c>
      <c r="BC166" s="150">
        <f t="shared" ca="1" si="75"/>
        <v>0.92378752886836024</v>
      </c>
      <c r="BD166" s="150">
        <f t="shared" ca="1" si="76"/>
        <v>7.6212471131639731E-2</v>
      </c>
      <c r="BE166" s="148">
        <f t="shared" ca="1" si="77"/>
        <v>118090.90909090909</v>
      </c>
    </row>
    <row r="167" spans="1:57" ht="16.149999999999999" customHeight="1" x14ac:dyDescent="0.25">
      <c r="A167" s="10" t="str" cm="1">
        <f t="array" aca="1" ref="A167" ca="1">IF(ROW($A167)-ROW($A$6)&gt;EmpCount*12,"-",TEXT($B167,"yyyy")&amp;TEXT($B167,"mm")&amp;"-"&amp;$C167)</f>
        <v>202401-EXS011</v>
      </c>
      <c r="B167" s="137" cm="1">
        <f t="array" aca="1" ref="B167" ca="1">IF(ROW($A167)-ROW($A$6)&gt;EmpCount*12,Setup!$D$12,DATE(YEAR(Setup!$F$12),MONTH(Setup!$F$12)+ROUNDDOWN((ROW($A167)-ROW($A$6)-1)/EmpCount,0),IF(Setup!$C$14&gt;DAY(DATE(YEAR(Setup!$F$12),MONTH(Setup!$F$12)+ROUNDDOWN((ROW($A167)-ROW($A$6)-1)/EmpCount,0)+1,0)),DAY(DATE(YEAR(Setup!$F$12),MONTH(Setup!$F$12)+ROUNDDOWN((ROW($A167)-ROW($A$6)-1)/EmpCount,0)+1,0)),Setup!$C$14)))</f>
        <v>45316</v>
      </c>
      <c r="C167" s="101" t="str" cm="1">
        <f t="array" aca="1" ref="C167" ca="1">IF(ROW($A167)-ROW($A$6)&gt;EmpCount*12,"-",OFFSET(Emp!$A$4,ROW($A167)-ROW($A$6)-IF(ROW($A167)-ROW($A$6)&gt;EmpCount,ROUNDDOWN((ROW($A167)-ROW($A$6)-1)/EmpCount,0)*EmpCount,0),0,1,1))</f>
        <v>EXS011</v>
      </c>
      <c r="D167" s="10" t="str">
        <f ca="1">IF(ISNA(VLOOKUP($C167,EmpAll,COLUMN(Emp!$B$4),0)),"-",VLOOKUP($C167,EmpAll,COLUMN(Emp!$B$4),0))</f>
        <v>Newport GD</v>
      </c>
      <c r="E167" s="145" t="str">
        <f ca="1">IF(ISNA(VLOOKUP($C167,EmpAll,COLUMN(Emp!$C$4),0)),"-",VLOOKUP($C167,EmpAll,COLUMN(Emp!$C$4),0))</f>
        <v>A</v>
      </c>
      <c r="F167" s="101" t="str">
        <f ca="1">IF(ISNA(VLOOKUP($C167,EmpAll,COLUMN(Emp!$A$4),0)),"-",IF(AND(VLOOKUP($C167,EmpAll,COLUMN(Emp!$E$4),0)&lt;&gt;0,VLOOKUP($C167,EmpAll,COLUMN(Emp!$E$4),0)&gt;=DATE(YEAR($AC167),MONTH($AC167)+1,0)),"Inactive",IF(AND(VLOOKUP($C167,EmpAll,COLUMN(Emp!$F$4),0)&lt;&gt;0,VLOOKUP($C167,EmpAll,COLUMN(Emp!$F$4),0)&lt;=DATE(YEAR($AC167),MONTH($AC167),0)),"Terminated","Active")))</f>
        <v>Active</v>
      </c>
      <c r="G167" s="133" cm="1">
        <f t="array" aca="1" ref="G167" ca="1">IF($F167&lt;&gt;"Active",0,IF(COUNTIFS(OverEmp,$C167,OverEarn,G$2,OverDate,"&lt;"&amp;DATE(YEAR($AC167),MONTH($AC167)+1,1),OverEnd,"&gt;="&amp;DATE(YEAR($AC167),MONTH($AC167),1))&gt;0,SUMIFS(OverValue,OverEmp,$C167,OverEarn,G$2,OverDate,"&lt;"&amp;DATE(YEAR($AC167),MONTH($AC167)+1,1),OverEnd,"&gt;="&amp;DATE(YEAR($AC167),MONTH($AC167),1)),IF(AND($AC167&gt;=Setup!$E$10,SUMIFS(EmpIncrease,EmpCode,$C167)&gt;0),SUMIFS(EmpIncrease,EmpCode,$C167),SUMIFS(EmpSalary,EmpCode,$C167))))</f>
        <v>6000</v>
      </c>
      <c r="H167" s="133" cm="1">
        <f t="array" aca="1" ref="H167" ca="1">IF($F167&lt;&gt;"Active",0,IF(COUNTIFS(OverEmp,$C167,OverEarn,H$2,OverDate,"&lt;"&amp;DATE(YEAR($AC167),MONTH($AC167)+1,1),OverEnd,"&gt;="&amp;DATE(YEAR($AC167),MONTH($AC167),1))&gt;0,SUMIFS(OverValue,OverEmp,$C167,OverEarn,H$2,OverDate,"&lt;"&amp;DATE(YEAR($AC167),MONTH($AC167)+1,1),OverEnd,"&gt;="&amp;DATE(YEAR($AC167),MONTH($AC167),1)),0))</f>
        <v>0</v>
      </c>
      <c r="I167" s="133" cm="1">
        <f t="array" aca="1" ref="I167" ca="1">IF($F167&lt;&gt;"Active",0,IF(COUNTIFS(OverEmp,$C167,OverEarn,I$2,OverDate,"&lt;"&amp;DATE(YEAR($AC167),MONTH($AC167)+1,1),OverEnd,"&gt;="&amp;DATE(YEAR($AC167),MONTH($AC167),1))&gt;0,SUMIFS(OverValue,OverEmp,$C167,OverEarn,I$2,OverDate,"&lt;"&amp;DATE(YEAR($AC167),MONTH($AC167)+1,1),OverEnd,"&gt;="&amp;DATE(YEAR($AC167),MONTH($AC167),1)),IF(MONTH(B167)=Setup!$C$15,SUMIFS(EmpBonus,EmpCode,$C167),0)))</f>
        <v>0</v>
      </c>
      <c r="J167" s="133" cm="1">
        <f t="array" aca="1" ref="J167" ca="1">IF($F167&lt;&gt;"Active",0,IF(COUNTIFS(OverEmp,$C167,OverEarn,J$2,OverDate,"&lt;"&amp;DATE(YEAR($AC167),MONTH($AC167)+1,1),OverEnd,"&gt;="&amp;DATE(YEAR($AC167),MONTH($AC167),1))&gt;0,SUMIFS(OverValue,OverEmp,$C167,OverEarn,J$2,OverDate,"&lt;"&amp;DATE(YEAR($AC167),MONTH($AC167)+1,1),OverEnd,"&gt;="&amp;DATE(YEAR($AC167),MONTH($AC167),1)),0))</f>
        <v>0</v>
      </c>
      <c r="K167" s="133" cm="1">
        <f t="array" aca="1" ref="K167" ca="1">IF($F167&lt;&gt;"Active",0,IF(COUNTIFS(OverEmp,$C167,OverEarn,K$2,OverDate,"&lt;"&amp;DATE(YEAR($AC167),MONTH($AC167)+1,1),OverEnd,"&gt;="&amp;DATE(YEAR($AC167),MONTH($AC167),1))&gt;0,SUMIFS(OverValue,OverEmp,$C167,OverEarn,K$2,OverDate,"&lt;"&amp;DATE(YEAR($AC167),MONTH($AC167)+1,1),OverEnd,"&gt;="&amp;DATE(YEAR($AC167),MONTH($AC167),1)),0))</f>
        <v>0</v>
      </c>
      <c r="L167" s="185">
        <f t="shared" ref="L167:L194" ca="1" si="84">IF($AA167=0,0,SUM(OFFSET($G167,0,0,1,COLUMN($L$6)-COLUMN($G$6))))</f>
        <v>6000</v>
      </c>
      <c r="M167" s="182" cm="1">
        <f t="array" aca="1" ref="M167" ca="1">IF(COUNTIFS(OverEmp,$C167,OverTax,M$5,OverDate,"&lt;"&amp;DATE(YEAR($AC167),MONTH($AC167)+1,1),OverEnd,"&gt;="&amp;DATE(YEAR($AC167),MONTH($AC167),1))&gt;0,SUMIFS(OverValue,OverEmp,$C167,OverTax,M$5,OverDate,"&lt;"&amp;DATE(YEAR($AC167),MONTH($AC167)+1,1),OverEnd,"&gt;="&amp;DATE(YEAR($AC167),MONTH($AC167),1)),(($BA167/12*$AA167)+(BB167*IF(1-$BC167=0,0,BD167/(1-$BC167))))-IF($F167="Terminated",0,SUMIFS(PayTaxDeduct,PayDate,"&lt;"&amp;$AC167,PayEmp,$C167)))</f>
        <v>0</v>
      </c>
      <c r="N167" s="133" cm="1">
        <f t="array" aca="1" ref="N167" ca="1">IF($F167="Terminated",0,IF($AA167=0,0,IF(ISNA(MATCH(N$5,DedListItem,0)),0,IF(COUNTIFS(OverEmp,$C167,OverDeduct,N$5,OverDate,"&lt;"&amp;DATE(YEAR($AC167),MONTH($AC167)+1,1),OverEnd,"&gt;="&amp;DATE(YEAR($AC167),MONTH($AC167),1))&gt;0,SUMIFS(OverValue,OverEmp,$C167,OverDeduct,N$5,OverDate,"&lt;"&amp;DATE(YEAR($AC167),MONTH($AC167)+1,1),OverEnd,"&gt;="&amp;DATE(YEAR($AC167),MONTH($AC167),1)),IF(OR(N$2="Fixed",N$2="Not Used"),(IF(COUNTIFS(EmpNo,$C167,OFFSET(Emp!$R$4,1,MATCH(N$5,DedListItem,0)-1,EmpCount,1),"&lt;&gt;")&gt;0,VLOOKUP($C167,EmpAll,COLUMN(Emp!$R$4)+MATCH(N$5,DedListItem,0)-1,0),OFFSET(Setup!$E$73,MATCH(N$5,DedListItem,0),0,1,1))*$AA167)-SUMIFS(OFFSET(N$6,1,0,PayCount,1),PayDate,"&lt;"&amp;$AC167,PayEmp,$C167),IF(ISNA(MATCH(N$2,EarnListItem,0))=FALSE,IF(OFFSET(Setup!$G$73,MATCH(N$5,DedListItem,0),0,1,1)="Taxable",SUMPRODUCT((PayEmp=$C167)*(PayDate&lt;=$AC167)*(PayEarnCode=N$2)*(PayEarnTax)*(PayEarnValues)),SUMPRODUCT((PayEmp=$C167)*(PayDate&lt;=$AC167)*(PayEarnCode=N$2)*(PayEarnValues)))*IF(COUNTIFS(EmpNo,$C167,OFFSET(Emp!$R$4,1,MATCH(N$5,DedListItem,0)-1,EmpCount,1),"&lt;&gt;")&gt;0,VLOOKUP($C167,EmpAll,COLUMN(Emp!$R$4)+MATCH(N$5,DedListItem,0)-1,0),OFFSET(Setup!$E$73,MATCH(N$5,DedListItem,0),0,1,1)),(MIN(IF(OFFSET(Setup!$G$73,MATCH(N$5,DedListItem,0),0,1,1)="Taxable",SUMPRODUCT((PayEmp=$C167)*(PayDate&lt;=$AC167)*(ISERROR(SEARCH(PayEarnCode,N$4)))*(PayEarnTax)*(PayEarnValues)),SUMPRODUCT((PayEmp=$C167)*(PayDate&lt;=$AC167)*(ISERROR(SEARCH(PayEarnCode,N$4)))*(PayEarnValues))),IF(ISNUMBER(N$3),N$3/12*$AA167,IgnoreMin)))*IF(COUNTIFS(EmpNo,$C167,OFFSET(Emp!$R$4,1,MATCH(N$5,DedListItem,0)-1,EmpCount,1),"&lt;&gt;")&gt;0,VLOOKUP($C167,EmpAll,COLUMN(Emp!$R$4)+MATCH(N$5,DedListItem,0)-1,0),OFFSET(Setup!$E$73,MATCH(N$5,DedListItem,0),0,1,1)))-SUMIFS(OFFSET(N$6,1,0,PayCount,1),PayDate,"&lt;"&amp;$AC167,PayEmp,$C167))))))</f>
        <v>60</v>
      </c>
      <c r="O167" s="133" cm="1">
        <f t="array" aca="1" ref="O167" ca="1">IF($F167="Terminated",0,IF($AA167=0,0,IF(ISNA(MATCH(O$5,DedListItem,0)),0,IF(COUNTIFS(OverEmp,$C167,OverDeduct,O$5,OverDate,"&lt;"&amp;DATE(YEAR($AC167),MONTH($AC167)+1,1),OverEnd,"&gt;="&amp;DATE(YEAR($AC167),MONTH($AC167),1))&gt;0,SUMIFS(OverValue,OverEmp,$C167,OverDeduct,O$5,OverDate,"&lt;"&amp;DATE(YEAR($AC167),MONTH($AC167)+1,1),OverEnd,"&gt;="&amp;DATE(YEAR($AC167),MONTH($AC167),1)),IF(OR(O$2="Fixed",O$2="Not Used"),(IF(COUNTIFS(EmpNo,$C167,OFFSET(Emp!$R$4,1,MATCH(O$5,DedListItem,0)-1,EmpCount,1),"&lt;&gt;")&gt;0,VLOOKUP($C167,EmpAll,COLUMN(Emp!$R$4)+MATCH(O$5,DedListItem,0)-1,0),OFFSET(Setup!$E$73,MATCH(O$5,DedListItem,0),0,1,1))*$AA167)-SUMIFS(OFFSET(O$6,1,0,PayCount,1),PayDate,"&lt;"&amp;$AC167,PayEmp,$C167),IF(ISNA(MATCH(O$2,EarnListItem,0))=FALSE,IF(OFFSET(Setup!$G$73,MATCH(O$5,DedListItem,0),0,1,1)="Taxable",SUMPRODUCT((PayEmp=$C167)*(PayDate&lt;=$AC167)*(PayEarnCode=O$2)*(PayEarnTax)*(PayEarnValues)),SUMPRODUCT((PayEmp=$C167)*(PayDate&lt;=$AC167)*(PayEarnCode=O$2)*(PayEarnValues)))*IF(COUNTIFS(EmpNo,$C167,OFFSET(Emp!$R$4,1,MATCH(O$5,DedListItem,0)-1,EmpCount,1),"&lt;&gt;")&gt;0,VLOOKUP($C167,EmpAll,COLUMN(Emp!$R$4)+MATCH(O$5,DedListItem,0)-1,0),OFFSET(Setup!$E$73,MATCH(O$5,DedListItem,0),0,1,1)),(MIN(IF(OFFSET(Setup!$G$73,MATCH(O$5,DedListItem,0),0,1,1)="Taxable",SUMPRODUCT((PayEmp=$C167)*(PayDate&lt;=$AC167)*(ISERROR(SEARCH(PayEarnCode,O$4)))*(PayEarnTax)*(PayEarnValues)),SUMPRODUCT((PayEmp=$C167)*(PayDate&lt;=$AC167)*(ISERROR(SEARCH(PayEarnCode,O$4)))*(PayEarnValues))),IF(ISNUMBER(O$3),O$3/12*$AA167,IgnoreMin)))*IF(COUNTIFS(EmpNo,$C167,OFFSET(Emp!$R$4,1,MATCH(O$5,DedListItem,0)-1,EmpCount,1),"&lt;&gt;")&gt;0,VLOOKUP($C167,EmpAll,COLUMN(Emp!$R$4)+MATCH(O$5,DedListItem,0)-1,0),OFFSET(Setup!$E$73,MATCH(O$5,DedListItem,0),0,1,1)))-SUMIFS(OFFSET(O$6,1,0,PayCount,1),PayDate,"&lt;"&amp;$AC167,PayEmp,$C167))))))</f>
        <v>0</v>
      </c>
      <c r="P167" s="133" cm="1">
        <f t="array" aca="1" ref="P167" ca="1">IF($F167="Terminated",0,IF($AA167=0,0,IF(ISNA(MATCH(P$5,DedListItem,0)),0,IF(COUNTIFS(OverEmp,$C167,OverDeduct,P$5,OverDate,"&lt;"&amp;DATE(YEAR($AC167),MONTH($AC167)+1,1),OverEnd,"&gt;="&amp;DATE(YEAR($AC167),MONTH($AC167),1))&gt;0,SUMIFS(OverValue,OverEmp,$C167,OverDeduct,P$5,OverDate,"&lt;"&amp;DATE(YEAR($AC167),MONTH($AC167)+1,1),OverEnd,"&gt;="&amp;DATE(YEAR($AC167),MONTH($AC167),1)),IF(OR(P$2="Fixed",P$2="Not Used"),(IF(COUNTIFS(EmpNo,$C167,OFFSET(Emp!$R$4,1,MATCH(P$5,DedListItem,0)-1,EmpCount,1),"&lt;&gt;")&gt;0,VLOOKUP($C167,EmpAll,COLUMN(Emp!$R$4)+MATCH(P$5,DedListItem,0)-1,0),OFFSET(Setup!$E$73,MATCH(P$5,DedListItem,0),0,1,1))*$AA167)-SUMIFS(OFFSET(P$6,1,0,PayCount,1),PayDate,"&lt;"&amp;$AC167,PayEmp,$C167),IF(ISNA(MATCH(P$2,EarnListItem,0))=FALSE,IF(OFFSET(Setup!$G$73,MATCH(P$5,DedListItem,0),0,1,1)="Taxable",SUMPRODUCT((PayEmp=$C167)*(PayDate&lt;=$AC167)*(PayEarnCode=P$2)*(PayEarnTax)*(PayEarnValues)),SUMPRODUCT((PayEmp=$C167)*(PayDate&lt;=$AC167)*(PayEarnCode=P$2)*(PayEarnValues)))*IF(COUNTIFS(EmpNo,$C167,OFFSET(Emp!$R$4,1,MATCH(P$5,DedListItem,0)-1,EmpCount,1),"&lt;&gt;")&gt;0,VLOOKUP($C167,EmpAll,COLUMN(Emp!$R$4)+MATCH(P$5,DedListItem,0)-1,0),OFFSET(Setup!$E$73,MATCH(P$5,DedListItem,0),0,1,1)),(MIN(IF(OFFSET(Setup!$G$73,MATCH(P$5,DedListItem,0),0,1,1)="Taxable",SUMPRODUCT((PayEmp=$C167)*(PayDate&lt;=$AC167)*(ISERROR(SEARCH(PayEarnCode,P$4)))*(PayEarnTax)*(PayEarnValues)),SUMPRODUCT((PayEmp=$C167)*(PayDate&lt;=$AC167)*(ISERROR(SEARCH(PayEarnCode,P$4)))*(PayEarnValues))),IF(ISNUMBER(P$3),P$3/12*$AA167,IgnoreMin)))*IF(COUNTIFS(EmpNo,$C167,OFFSET(Emp!$R$4,1,MATCH(P$5,DedListItem,0)-1,EmpCount,1),"&lt;&gt;")&gt;0,VLOOKUP($C167,EmpAll,COLUMN(Emp!$R$4)+MATCH(P$5,DedListItem,0)-1,0),OFFSET(Setup!$E$73,MATCH(P$5,DedListItem,0),0,1,1)))-SUMIFS(OFFSET(P$6,1,0,PayCount,1),PayDate,"&lt;"&amp;$AC167,PayEmp,$C167))))))</f>
        <v>0</v>
      </c>
      <c r="Q167" s="133" cm="1">
        <f t="array" aca="1" ref="Q167" ca="1">IF($F167="Terminated",0,IF($AA167=0,0,IF(ISNA(MATCH(Q$5,DedListItem,0)),0,IF(COUNTIFS(OverEmp,$C167,OverDeduct,Q$5,OverDate,"&lt;"&amp;DATE(YEAR($AC167),MONTH($AC167)+1,1),OverEnd,"&gt;="&amp;DATE(YEAR($AC167),MONTH($AC167),1))&gt;0,SUMIFS(OverValue,OverEmp,$C167,OverDeduct,Q$5,OverDate,"&lt;"&amp;DATE(YEAR($AC167),MONTH($AC167)+1,1),OverEnd,"&gt;="&amp;DATE(YEAR($AC167),MONTH($AC167),1)),IF(OR(Q$2="Fixed",Q$2="Not Used"),(IF(COUNTIFS(EmpNo,$C167,OFFSET(Emp!$R$4,1,MATCH(Q$5,DedListItem,0)-1,EmpCount,1),"&lt;&gt;")&gt;0,VLOOKUP($C167,EmpAll,COLUMN(Emp!$R$4)+MATCH(Q$5,DedListItem,0)-1,0),OFFSET(Setup!$E$73,MATCH(Q$5,DedListItem,0),0,1,1))*$AA167)-SUMIFS(OFFSET(Q$6,1,0,PayCount,1),PayDate,"&lt;"&amp;$AC167,PayEmp,$C167),IF(ISNA(MATCH(Q$2,EarnListItem,0))=FALSE,IF(OFFSET(Setup!$G$73,MATCH(Q$5,DedListItem,0),0,1,1)="Taxable",SUMPRODUCT((PayEmp=$C167)*(PayDate&lt;=$AC167)*(PayEarnCode=Q$2)*(PayEarnTax)*(PayEarnValues)),SUMPRODUCT((PayEmp=$C167)*(PayDate&lt;=$AC167)*(PayEarnCode=Q$2)*(PayEarnValues)))*IF(COUNTIFS(EmpNo,$C167,OFFSET(Emp!$R$4,1,MATCH(Q$5,DedListItem,0)-1,EmpCount,1),"&lt;&gt;")&gt;0,VLOOKUP($C167,EmpAll,COLUMN(Emp!$R$4)+MATCH(Q$5,DedListItem,0)-1,0),OFFSET(Setup!$E$73,MATCH(Q$5,DedListItem,0),0,1,1)),(MIN(IF(OFFSET(Setup!$G$73,MATCH(Q$5,DedListItem,0),0,1,1)="Taxable",SUMPRODUCT((PayEmp=$C167)*(PayDate&lt;=$AC167)*(ISERROR(SEARCH(PayEarnCode,Q$4)))*(PayEarnTax)*(PayEarnValues)),SUMPRODUCT((PayEmp=$C167)*(PayDate&lt;=$AC167)*(ISERROR(SEARCH(PayEarnCode,Q$4)))*(PayEarnValues))),IF(ISNUMBER(Q$3),Q$3/12*$AA167,IgnoreMin)))*IF(COUNTIFS(EmpNo,$C167,OFFSET(Emp!$R$4,1,MATCH(Q$5,DedListItem,0)-1,EmpCount,1),"&lt;&gt;")&gt;0,VLOOKUP($C167,EmpAll,COLUMN(Emp!$R$4)+MATCH(Q$5,DedListItem,0)-1,0),OFFSET(Setup!$E$73,MATCH(Q$5,DedListItem,0),0,1,1)))-SUMIFS(OFFSET(Q$6,1,0,PayCount,1),PayDate,"&lt;"&amp;$AC167,PayEmp,$C167))))))</f>
        <v>0</v>
      </c>
      <c r="R167" s="185">
        <f t="shared" ref="R167:R194" ca="1" si="85">SUM(OFFSET(M167,0,0,1,COLUMN($R$6)-COLUMN($M$6)))</f>
        <v>60</v>
      </c>
      <c r="S167" s="139">
        <f t="shared" ref="S167:S194" ca="1" si="86">ROUND(SUM(L167,-R167),2)</f>
        <v>5940</v>
      </c>
      <c r="T167" s="133" cm="1">
        <f t="array" aca="1" ref="T167" ca="1">IF($F167="Terminated",0,IF($AA167=0,0,IF(ISNA(MATCH(T$5,CompListItem,0)),0,IF(COUNTIFS(OverEmp,$C167,OverComp,T$5,OverDate,"&lt;"&amp;DATE(YEAR($AC167),MONTH($AC167)+1,1),OverEnd,"&gt;="&amp;DATE(YEAR($AC167),MONTH($AC167),1))&gt;0,SUMIFS(OverValue,OverEmp,$C167,OverComp,T$5,OverDate,"&lt;"&amp;DATE(YEAR($AC167),MONTH($AC167)+1,1),OverEnd,"&gt;="&amp;DATE(YEAR($AC167),MONTH($AC167),1)),IF(OR(T$2="Fixed",T$2="Not Used"),(OFFSET(Setup!$E$81,MATCH(T$5,CompListItem,0),0,1,1)*$AA167)-SUMIFS(OFFSET(T$6,1,0,PayCount,1),PayDate,"&lt;"&amp;$AC167,PayEmp,$C167),IF(ISNA(MATCH(T$2,DedListItem,0))=FALSE,(SUMPRODUCT((PayEmp=$C167)*(PayDate&lt;=$AC167)*(PayDedList=T$2)*(PayDedValues))*OFFSET(Setup!$E$81,MATCH(T$5,CompListItem,0),0,1,1))-SUMIFS(OFFSET(T$6,1,0,PayCount,1),PayDate,"&lt;"&amp;$AC167,PayEmp,$C167),(MIN(IF(OFFSET(Setup!$G$81,MATCH(T$5,CompListItem,0),0,1,1)="Taxable",SUMPRODUCT((PayEmp=$C167)*(PayDate&lt;=$AC167)*(ISERROR(SEARCH(PayEarnCode,T$4)))*(PayEarnTax)*(PayEarnValues)),SUMPRODUCT((PayEmp=$C167)*(PayDate&lt;=$AC167)*(ISERROR(SEARCH(PayEarnCode,T$4)))*(PayEarnValues))),IF(ISNUMBER(T$3),T$3/12*$AA167,IgnoreMin)))*OFFSET(Setup!$E$81,MATCH(T$5,CompListItem,0),0,1,1)-SUMIFS(OFFSET(T$6,1,0,PayCount,1),PayDate,"&lt;"&amp;$AC167,PayEmp,$C167)))))))</f>
        <v>60</v>
      </c>
      <c r="U167" s="133" cm="1">
        <f t="array" aca="1" ref="U167" ca="1">IF($F167="Terminated",0,IF($AA167=0,0,IF(ISNA(MATCH(U$5,CompListItem,0)),0,IF(COUNTIFS(OverEmp,$C167,OverComp,U$5,OverDate,"&lt;"&amp;DATE(YEAR($AC167),MONTH($AC167)+1,1),OverEnd,"&gt;="&amp;DATE(YEAR($AC167),MONTH($AC167),1))&gt;0,SUMIFS(OverValue,OverEmp,$C167,OverComp,U$5,OverDate,"&lt;"&amp;DATE(YEAR($AC167),MONTH($AC167)+1,1),OverEnd,"&gt;="&amp;DATE(YEAR($AC167),MONTH($AC167),1)),IF(OR(U$2="Fixed",U$2="Not Used"),(OFFSET(Setup!$E$81,MATCH(U$5,CompListItem,0),0,1,1)*$AA167)-SUMIFS(OFFSET(U$6,1,0,PayCount,1),PayDate,"&lt;"&amp;$AC167,PayEmp,$C167),IF(ISNA(MATCH(U$2,DedListItem,0))=FALSE,(SUMPRODUCT((PayEmp=$C167)*(PayDate&lt;=$AC167)*(PayDedList=U$2)*(PayDedValues))*OFFSET(Setup!$E$81,MATCH(U$5,CompListItem,0),0,1,1))-SUMIFS(OFFSET(U$6,1,0,PayCount,1),PayDate,"&lt;"&amp;$AC167,PayEmp,$C167),(MIN(IF(OFFSET(Setup!$G$81,MATCH(U$5,CompListItem,0),0,1,1)="Taxable",SUMPRODUCT((PayEmp=$C167)*(PayDate&lt;=$AC167)*(ISERROR(SEARCH(PayEarnCode,U$4)))*(PayEarnTax)*(PayEarnValues)),SUMPRODUCT((PayEmp=$C167)*(PayDate&lt;=$AC167)*(ISERROR(SEARCH(PayEarnCode,U$4)))*(PayEarnValues))),IF(ISNUMBER(U$3),U$3/12*$AA167,IgnoreMin)))*OFFSET(Setup!$E$81,MATCH(U$5,CompListItem,0),0,1,1)-SUMIFS(OFFSET(U$6,1,0,PayCount,1),PayDate,"&lt;"&amp;$AC167,PayEmp,$C167)))))))</f>
        <v>60</v>
      </c>
      <c r="V167" s="133" cm="1">
        <f t="array" aca="1" ref="V167" ca="1">IF($F167="Terminated",0,IF($AA167=0,0,IF(ISNA(MATCH(V$5,CompListItem,0)),0,IF(COUNTIFS(OverEmp,$C167,OverComp,V$5,OverDate,"&lt;"&amp;DATE(YEAR($AC167),MONTH($AC167)+1,1),OverEnd,"&gt;="&amp;DATE(YEAR($AC167),MONTH($AC167),1))&gt;0,SUMIFS(OverValue,OverEmp,$C167,OverComp,V$5,OverDate,"&lt;"&amp;DATE(YEAR($AC167),MONTH($AC167)+1,1),OverEnd,"&gt;="&amp;DATE(YEAR($AC167),MONTH($AC167),1)),IF(OR(V$2="Fixed",V$2="Not Used"),(OFFSET(Setup!$E$81,MATCH(V$5,CompListItem,0),0,1,1)*$AA167)-SUMIFS(OFFSET(V$6,1,0,PayCount,1),PayDate,"&lt;"&amp;$AC167,PayEmp,$C167),IF(ISNA(MATCH(V$2,DedListItem,0))=FALSE,(SUMPRODUCT((PayEmp=$C167)*(PayDate&lt;=$AC167)*(PayDedList=V$2)*(PayDedValues))*OFFSET(Setup!$E$81,MATCH(V$5,CompListItem,0),0,1,1))-SUMIFS(OFFSET(V$6,1,0,PayCount,1),PayDate,"&lt;"&amp;$AC167,PayEmp,$C167),(MIN(IF(OFFSET(Setup!$G$81,MATCH(V$5,CompListItem,0),0,1,1)="Taxable",SUMPRODUCT((PayEmp=$C167)*(PayDate&lt;=$AC167)*(ISERROR(SEARCH(PayEarnCode,V$4)))*(PayEarnTax)*(PayEarnValues)),SUMPRODUCT((PayEmp=$C167)*(PayDate&lt;=$AC167)*(ISERROR(SEARCH(PayEarnCode,V$4)))*(PayEarnValues))),IF(ISNUMBER(V$3),V$3/12*$AA167,IgnoreMin)))*OFFSET(Setup!$E$81,MATCH(V$5,CompListItem,0),0,1,1)-SUMIFS(OFFSET(V$6,1,0,PayCount,1),PayDate,"&lt;"&amp;$AC167,PayEmp,$C167)))))))</f>
        <v>0</v>
      </c>
      <c r="W167" s="133" cm="1">
        <f t="array" aca="1" ref="W167" ca="1">IF($F167="Terminated",0,IF($AA167=0,0,IF(ISNA(MATCH(W$5,CompListItem,0)),0,IF(COUNTIFS(OverEmp,$C167,OverComp,W$5,OverDate,"&lt;"&amp;DATE(YEAR($AC167),MONTH($AC167)+1,1),OverEnd,"&gt;="&amp;DATE(YEAR($AC167),MONTH($AC167),1))&gt;0,SUMIFS(OverValue,OverEmp,$C167,OverComp,W$5,OverDate,"&lt;"&amp;DATE(YEAR($AC167),MONTH($AC167)+1,1),OverEnd,"&gt;="&amp;DATE(YEAR($AC167),MONTH($AC167),1)),IF(OR(W$2="Fixed",W$2="Not Used"),(OFFSET(Setup!$E$81,MATCH(W$5,CompListItem,0),0,1,1)*$AA167)-SUMIFS(OFFSET(W$6,1,0,PayCount,1),PayDate,"&lt;"&amp;$AC167,PayEmp,$C167),IF(ISNA(MATCH(W$2,DedListItem,0))=FALSE,(SUMPRODUCT((PayEmp=$C167)*(PayDate&lt;=$AC167)*(PayDedList=W$2)*(PayDedValues))*OFFSET(Setup!$E$81,MATCH(W$5,CompListItem,0),0,1,1))-SUMIFS(OFFSET(W$6,1,0,PayCount,1),PayDate,"&lt;"&amp;$AC167,PayEmp,$C167),(MIN(IF(OFFSET(Setup!$G$81,MATCH(W$5,CompListItem,0),0,1,1)="Taxable",SUMPRODUCT((PayEmp=$C167)*(PayDate&lt;=$AC167)*(ISERROR(SEARCH(PayEarnCode,W$4)))*(PayEarnTax)*(PayEarnValues)),SUMPRODUCT((PayEmp=$C167)*(PayDate&lt;=$AC167)*(ISERROR(SEARCH(PayEarnCode,W$4)))*(PayEarnValues))),IF(ISNUMBER(W$3),W$3/12*$AA167,IgnoreMin)))*OFFSET(Setup!$E$81,MATCH(W$5,CompListItem,0),0,1,1)-SUMIFS(OFFSET(W$6,1,0,PayCount,1),PayDate,"&lt;"&amp;$AC167,PayEmp,$C167)))))))</f>
        <v>0</v>
      </c>
      <c r="X167" s="185">
        <f t="shared" ca="1" si="78"/>
        <v>120</v>
      </c>
      <c r="Y167" s="139">
        <f t="shared" ref="Y167:Y194" ca="1" si="87">L167+X167</f>
        <v>6120</v>
      </c>
      <c r="Z167" s="139">
        <f t="shared" ca="1" si="79"/>
        <v>180</v>
      </c>
      <c r="AA167" s="146">
        <f ca="1">IF(OR($B167&lt;=Setup!$E$12,$B167&gt;=Setup!$D$12+1),0,IF($F167&lt;&gt;"Active",0,IF($AE167="Yes",$AB167,((YEAR($AC167)*12)+MONTH($AC167))-((YEAR($AD167)*12)+MONTH($AD167)-1))))</f>
        <v>11</v>
      </c>
      <c r="AB167" s="146">
        <f ca="1">IF(OR($B167&lt;=Setup!$E$12,$B167&gt;=Setup!$D$12+1),0,((YEAR($AC167)*12)+MONTH($AC167))-((YEAR(Setup!$E$12)*12)+MONTH(Setup!$E$12)))</f>
        <v>11</v>
      </c>
      <c r="AC167" s="186">
        <f t="shared" ca="1" si="83"/>
        <v>45316</v>
      </c>
      <c r="AD167" s="144">
        <f ca="1">IF(ISNA(VLOOKUP($C167,EmpAll,COLUMN(Emp!$E$4),0)),$AC167,IF(VLOOKUP($C167,EmpAll,COLUMN(Emp!$E$4),0)&lt;=Setup!$E$12,DATE(YEAR(Setup!$E$12),MONTH(Setup!$E$12)+1,1),VLOOKUP($C167,EmpAll,COLUMN(Emp!$E$4),0)))</f>
        <v>44986</v>
      </c>
      <c r="AE167" s="144" t="str">
        <f ca="1">IF(ISNA(VLOOKUP($C167,EmpAll,COLUMN(Emp!$G$1),0)),"-",IF(VLOOKUP($C167,EmpAll,COLUMN(Emp!$G$1),0)=0,"-",VLOOKUP($C167,EmpAll,COLUMN(Emp!$G$1),0)))</f>
        <v>-</v>
      </c>
      <c r="AF167" s="145">
        <f ca="1">IF(A167=PaySlip!$G$3,1,0)</f>
        <v>0</v>
      </c>
      <c r="AG167" s="130" cm="1">
        <f t="array" aca="1" ref="AG167" ca="1">IF(COUNTIFS(OverEmp,$C167,OverMed,"MED",OverDate,"&lt;"&amp;DATE(YEAR($AC167),MONTH($AC167)+1,1),OverEnd,"&gt;="&amp;DATE(YEAR($AC167),MONTH($AC167),1))&gt;0,SUMIFS(OverValue,OverEmp,$C167,OverMed,"MED",OverDate,"&lt;"&amp;DATE(YEAR($AC167),MONTH($AC167)+1,1),OverEnd,"&gt;="&amp;DATE(YEAR($AC167),MONTH($AC167),1)),IF(ISNA(VLOOKUP($C167,EmpAll,COLUMN(Emp!$N$4),0)),0,VLOOKUP($C167,EmpAll,COLUMN(Emp!$N$4),0)))</f>
        <v>0</v>
      </c>
      <c r="AH167" s="146">
        <f ca="1">VLOOKUP($AG167,MedList,COLUMN(Setup!$C$49),1)</f>
        <v>0</v>
      </c>
      <c r="AI167" s="146">
        <f t="shared" ca="1" si="70"/>
        <v>0</v>
      </c>
      <c r="AJ167" s="101" t="str">
        <f ca="1">IF(ISNA(VLOOKUP($C167,EmpAll,COLUMN(Emp!$L$4),0)),"None!",VLOOKUP($C167,EmpAll,COLUMN(Emp!$L$4),0))</f>
        <v>A</v>
      </c>
      <c r="AK167" s="147">
        <f t="shared" ca="1" si="80"/>
        <v>17235</v>
      </c>
      <c r="AL167" s="101" t="str">
        <f ca="1">IF(ISNA(VLOOKUP($C167,Employees[],COLUMN(Emp!$M$4),0))=TRUE,"Error!",IF(VLOOKUP($C167,Employees[],COLUMN(Emp!$M$4),0)=0,"Yes",VLOOKUP($C167,Employees[],COLUMN(Emp!$M$4),0)))</f>
        <v>A</v>
      </c>
      <c r="AM167" s="148">
        <f t="shared" ca="1" si="71"/>
        <v>66090.909090909088</v>
      </c>
      <c r="AN167" s="148" cm="1">
        <f t="array" aca="1" ref="AN167" ca="1">-IF($F167="Terminated",0,IF($AA167=0,0,IF(ISNA(MATCH(AN$5,PayDedList,0)),0,MIN(IF(COUNTIFS(OverEmp,$C167,OverDeduct,AN$5,OverDate,"&lt;"&amp;DATE(YEAR($AC167),MONTH($AC167)+1,1),OverEnd,"&gt;="&amp;DATE(YEAR($AC167),MONTH($AC167),1))&gt;0,SUMPRODUCT((PayEmp=$C167)*(PayDate&lt;=$AC167)*(OFFSET($N$6,1,MATCH(AN$5,PayDedList,0)-1,PayCount,1)))/$AA167*12*AN$3,IF(OR(AN$1="Fixed",AN$1="Not Used"),SUMPRODUCT((PayEmp=$C167)*(PayDate&lt;=$AC167)*(OFFSET($N$6,1,MATCH(AN$5,PayDedList,0)-1,PayCount,1)))/$AA167*12*AN$3,IF(ISNA(MATCH(AN$1,EarnListItem,0))=FALSE,SUMPRODUCT((PayEmp=$C167)*(PayDate&lt;=$AC167)*(OFFSET($N$6,1,MATCH(AN$5,PayDedList,0)-1,PayCount,1)))/$AA167*12*AN$3,(MIN(((SUMPRODUCT((PayEmp=$C167)*(PayDate&lt;=$AC167)*(ISERROR(SEARCH(PayEarnCode,AN$2)))*(PayEarnType="Monthly")*(PayEarnValues))/$AA167*12)+(SUMPRODUCT((PayEmp=$C167)*(PayDate&lt;=$AC167)*(ISERROR(SEARCH(PayEarnCode,AN$2)))*(PayEarnType="Quarterly")*(PayEarnValues))/MAX(1,ROUNDDOWN($AB167/3,0))*4)+(SUMPRODUCT((PayEmp=$C167)*(PayDate&lt;=$AC167)*(ISERROR(SEARCH(PayEarnCode,AN$2)))*(PayEarnType="Bi-Annual")*(PayEarnValues))/MAX(1,ROUNDDOWN($AB167/6,0))*2)+(SUMPRODUCT((PayEmp=$C167)*(PayDate&lt;=$AC167)*(ISERROR(SEARCH(PayEarnCode,AN$2)))*(PayEarnType="Annual")*(PayEarnValues)))),IF(ISNUMBER(OFFSET($N$3,0,MATCH(AN$5,PayDedList,0)-1,1,1)),OFFSET($N$3,0,MATCH(AN$5,PayDedList,0)-1,1,1),IgnoreMin)))*IF(COUNTIFS(EmpNo,$C167,OFFSET(Emp!$R$4,1,MATCH(AN$5,DedListItem,0)-1,EmpCount,1),"&lt;&gt;")&gt;0,VLOOKUP($C167,EmpAll,COLUMN(Emp!$R$4)+MATCH(AN$5,DedListItem,0)-1,0),OFFSET(Setup!$E$73,MATCH(AN$5,DedListItem,0),0,1,1))*AN$3))),IF(ISNUMBER(AN$4),AN$4,IgnoreMin)))))</f>
        <v>0</v>
      </c>
      <c r="AO167" s="148" cm="1">
        <f t="array" aca="1" ref="AO167" ca="1">-IF($F167="Terminated",0,IF($AA167=0,0,IF(ISNA(MATCH(AO$5,PayDedList,0)),0,MIN(IF(COUNTIFS(OverEmp,$C167,OverDeduct,AO$5,OverDate,"&lt;"&amp;DATE(YEAR($AC167),MONTH($AC167)+1,1),OverEnd,"&gt;="&amp;DATE(YEAR($AC167),MONTH($AC167),1))&gt;0,SUMPRODUCT((PayEmp=$C167)*(PayDate&lt;=$AC167)*(OFFSET($N$6,1,MATCH(AO$5,PayDedList,0)-1,PayCount,1)))/$AA167*12*AO$3,IF(OR(AO$1="Fixed",AO$1="Not Used"),SUMPRODUCT((PayEmp=$C167)*(PayDate&lt;=$AC167)*(OFFSET($N$6,1,MATCH(AO$5,PayDedList,0)-1,PayCount,1)))/$AA167*12*AO$3,IF(ISNA(MATCH(AO$1,EarnListItem,0))=FALSE,SUMPRODUCT((PayEmp=$C167)*(PayDate&lt;=$AC167)*(OFFSET($N$6,1,MATCH(AO$5,PayDedList,0)-1,PayCount,1)))/$AA167*12*AO$3,(MIN(((SUMPRODUCT((PayEmp=$C167)*(PayDate&lt;=$AC167)*(ISERROR(SEARCH(PayEarnCode,AO$2)))*(PayEarnType="Monthly")*(PayEarnValues))/$AA167*12)+(SUMPRODUCT((PayEmp=$C167)*(PayDate&lt;=$AC167)*(ISERROR(SEARCH(PayEarnCode,AO$2)))*(PayEarnType="Quarterly")*(PayEarnValues))/MAX(1,ROUNDDOWN($AB167/3,0))*4)+(SUMPRODUCT((PayEmp=$C167)*(PayDate&lt;=$AC167)*(ISERROR(SEARCH(PayEarnCode,AO$2)))*(PayEarnType="Bi-Annual")*(PayEarnValues))/MAX(1,ROUNDDOWN($AB167/6,0))*2)+(SUMPRODUCT((PayEmp=$C167)*(PayDate&lt;=$AC167)*(ISERROR(SEARCH(PayEarnCode,AO$2)))*(PayEarnType="Annual")*(PayEarnValues)))),IF(ISNUMBER(OFFSET($N$3,0,MATCH(AO$5,PayDedList,0)-1,1,1)),OFFSET($N$3,0,MATCH(AO$5,PayDedList,0)-1,1,1),IgnoreMin)))*IF(COUNTIFS(EmpNo,$C167,OFFSET(Emp!$R$4,1,MATCH(AO$5,DedListItem,0)-1,EmpCount,1),"&lt;&gt;")&gt;0,VLOOKUP($C167,EmpAll,COLUMN(Emp!$R$4)+MATCH(AO$5,DedListItem,0)-1,0),OFFSET(Setup!$E$73,MATCH(AO$5,DedListItem,0),0,1,1))*AO$3))),IF(ISNUMBER(AO$4),AO$4,IgnoreMin)))))</f>
        <v>0</v>
      </c>
      <c r="AP167" s="148" cm="1">
        <f t="array" aca="1" ref="AP167" ca="1">-IF($F167="Terminated",0,IF($AA167=0,0,IF(ISNA(MATCH(AP$5,PayDedList,0)),0,MIN(IF(COUNTIFS(OverEmp,$C167,OverDeduct,AP$5,OverDate,"&lt;"&amp;DATE(YEAR($AC167),MONTH($AC167)+1,1),OverEnd,"&gt;="&amp;DATE(YEAR($AC167),MONTH($AC167),1))&gt;0,SUMPRODUCT((PayEmp=$C167)*(PayDate&lt;=$AC167)*(OFFSET($N$6,1,MATCH(AP$5,PayDedList,0)-1,PayCount,1)))/$AA167*12*AP$3,IF(OR(AP$1="Fixed",AP$1="Not Used"),SUMPRODUCT((PayEmp=$C167)*(PayDate&lt;=$AC167)*(OFFSET($N$6,1,MATCH(AP$5,PayDedList,0)-1,PayCount,1)))/$AA167*12*AP$3,IF(ISNA(MATCH(AP$1,EarnListItem,0))=FALSE,SUMPRODUCT((PayEmp=$C167)*(PayDate&lt;=$AC167)*(OFFSET($N$6,1,MATCH(AP$5,PayDedList,0)-1,PayCount,1)))/$AA167*12*AP$3,(MIN(((SUMPRODUCT((PayEmp=$C167)*(PayDate&lt;=$AC167)*(ISERROR(SEARCH(PayEarnCode,AP$2)))*(PayEarnType="Monthly")*(PayEarnValues))/$AA167*12)+(SUMPRODUCT((PayEmp=$C167)*(PayDate&lt;=$AC167)*(ISERROR(SEARCH(PayEarnCode,AP$2)))*(PayEarnType="Quarterly")*(PayEarnValues))/MAX(1,ROUNDDOWN($AB167/3,0))*4)+(SUMPRODUCT((PayEmp=$C167)*(PayDate&lt;=$AC167)*(ISERROR(SEARCH(PayEarnCode,AP$2)))*(PayEarnType="Bi-Annual")*(PayEarnValues))/MAX(1,ROUNDDOWN($AB167/6,0))*2)+(SUMPRODUCT((PayEmp=$C167)*(PayDate&lt;=$AC167)*(ISERROR(SEARCH(PayEarnCode,AP$2)))*(PayEarnType="Annual")*(PayEarnValues)))),IF(ISNUMBER(OFFSET($N$3,0,MATCH(AP$5,PayDedList,0)-1,1,1)),OFFSET($N$3,0,MATCH(AP$5,PayDedList,0)-1,1,1),IgnoreMin)))*IF(COUNTIFS(EmpNo,$C167,OFFSET(Emp!$R$4,1,MATCH(AP$5,DedListItem,0)-1,EmpCount,1),"&lt;&gt;")&gt;0,VLOOKUP($C167,EmpAll,COLUMN(Emp!$R$4)+MATCH(AP$5,DedListItem,0)-1,0),OFFSET(Setup!$E$73,MATCH(AP$5,DedListItem,0),0,1,1))*AP$3))),IF(ISNUMBER(AP$4),AP$4,IgnoreMin)))))</f>
        <v>0</v>
      </c>
      <c r="AQ167" s="148" cm="1">
        <f t="array" aca="1" ref="AQ167" ca="1">-IF($F167="Terminated",0,IF($AA167=0,0,IF(ISNA(MATCH(AQ$5,PayDedList,0)),0,MIN(IF(COUNTIFS(OverEmp,$C167,OverDeduct,AQ$5,OverDate,"&lt;"&amp;DATE(YEAR($AC167),MONTH($AC167)+1,1),OverEnd,"&gt;="&amp;DATE(YEAR($AC167),MONTH($AC167),1))&gt;0,SUMPRODUCT((PayEmp=$C167)*(PayDate&lt;=$AC167)*(OFFSET($N$6,1,MATCH(AQ$5,PayDedList,0)-1,PayCount,1)))/$AA167*12*AQ$3,IF(OR(AQ$1="Fixed",AQ$1="Not Used"),SUMPRODUCT((PayEmp=$C167)*(PayDate&lt;=$AC167)*(OFFSET($N$6,1,MATCH(AQ$5,PayDedList,0)-1,PayCount,1)))/$AA167*12*AQ$3,IF(ISNA(MATCH(AQ$1,EarnListItem,0))=FALSE,SUMPRODUCT((PayEmp=$C167)*(PayDate&lt;=$AC167)*(OFFSET($N$6,1,MATCH(AQ$5,PayDedList,0)-1,PayCount,1)))/$AA167*12*AQ$3,(MIN(((SUMPRODUCT((PayEmp=$C167)*(PayDate&lt;=$AC167)*(ISERROR(SEARCH(PayEarnCode,AQ$2)))*(PayEarnType="Monthly")*(PayEarnValues))/$AA167*12)+(SUMPRODUCT((PayEmp=$C167)*(PayDate&lt;=$AC167)*(ISERROR(SEARCH(PayEarnCode,AQ$2)))*(PayEarnType="Quarterly")*(PayEarnValues))/MAX(1,ROUNDDOWN($AB167/3,0))*4)+(SUMPRODUCT((PayEmp=$C167)*(PayDate&lt;=$AC167)*(ISERROR(SEARCH(PayEarnCode,AQ$2)))*(PayEarnType="Bi-Annual")*(PayEarnValues))/MAX(1,ROUNDDOWN($AB167/6,0))*2)+(SUMPRODUCT((PayEmp=$C167)*(PayDate&lt;=$AC167)*(ISERROR(SEARCH(PayEarnCode,AQ$2)))*(PayEarnType="Annual")*(PayEarnValues)))),IF(ISNUMBER(OFFSET($N$3,0,MATCH(AQ$5,PayDedList,0)-1,1,1)),OFFSET($N$3,0,MATCH(AQ$5,PayDedList,0)-1,1,1),IgnoreMin)))*IF(COUNTIFS(EmpNo,$C167,OFFSET(Emp!$R$4,1,MATCH(AQ$5,DedListItem,0)-1,EmpCount,1),"&lt;&gt;")&gt;0,VLOOKUP($C167,EmpAll,COLUMN(Emp!$R$4)+MATCH(AQ$5,DedListItem,0)-1,0),OFFSET(Setup!$E$73,MATCH(AQ$5,DedListItem,0),0,1,1))*AQ$3))),IF(ISNUMBER(AQ$4),AQ$4,IgnoreMin)))))</f>
        <v>0</v>
      </c>
      <c r="AR167" s="148">
        <f t="shared" ca="1" si="81"/>
        <v>66090.909090909088</v>
      </c>
      <c r="AS167" s="148">
        <f t="shared" ca="1" si="72"/>
        <v>61090.909090909088</v>
      </c>
      <c r="AT167" s="148" cm="1">
        <f t="array" aca="1" ref="AT167" ca="1">-IF($F167="Terminated",0,IF($AA167=0,0,IF(ISNA(MATCH(AT$5,PayDedList,0)),0,MIN(IF(COUNTIFS(OverEmp,$C167,OverDeduct,AT$5,OverDate,"&lt;"&amp;DATE(YEAR($AC167),MONTH($AC167)+1,1),OverEnd,"&gt;="&amp;DATE(YEAR($AC167),MONTH($AC167),1))&gt;0,SUMPRODUCT((PayEmp=$C167)*(PayDate&lt;=$AC167)*(OFFSET($N$6,1,MATCH(AT$5,PayDedList,0)-1,PayCount,1)))/$AA167*12*AT$3,IF(OR(AT$1="Fixed",AT$1="Not Used"),SUMPRODUCT((PayEmp=$C167)*(PayDate&lt;=$AC167)*(OFFSET($N$6,1,MATCH(AT$5,PayDedList,0)-1,PayCount,1)))/$AA167*12*AT$3,IF(ISNA(MATCH(OFFSET($N$2,0,MATCH(AT$5,PayDedList,0)-1,1,1),EarnListItem,0))=FALSE,SUMPRODUCT((PayEmp=$C167)*(PayDate&lt;=$AC167)*(OFFSET($N$6,1,MATCH(AT$5,PayDedList,0)-1,PayCount,1)))/$AA167*12*AT$3,(MIN(SUMPRODUCT((PayEmp=$C167)*(PayDate&lt;=$AC167)*(ISERROR(SEARCH(PayEarnCode,AT$2)))*(PayEarnType="Monthly")*(PayEarnValues))/$AA167*12,IF(ISNUMBER(OFFSET($N$3,0,MATCH(AT$5,PayDedList,0)-1,1,1)),OFFSET($N$3,0,MATCH(AT$5,PayDedList,0)-1,1,1),IgnoreMin)))*IF(COUNTIFS(EmpNo,$C167,OFFSET(Emp!$R$4,1,MATCH(AT$5,DedListItem,0)-1,EmpCount,1),"&lt;&gt;")&gt;0,VLOOKUP($C167,EmpAll,COLUMN(Emp!$R$4)+MATCH(AT$5,DedListItem,0)-1,0),OFFSET(Setup!$E$73,MATCH(AT$5,DedListItem,0),0,1,1))*AT$3))),IF(ISNUMBER(AT$4),AT$4,IgnoreMin)))))</f>
        <v>0</v>
      </c>
      <c r="AU167" s="148" cm="1">
        <f t="array" aca="1" ref="AU167" ca="1">-IF($F167="Terminated",0,IF($AA167=0,0,IF(ISNA(MATCH(AU$5,PayDedList,0)),0,MIN(IF(COUNTIFS(OverEmp,$C167,OverDeduct,AU$5,OverDate,"&lt;"&amp;DATE(YEAR($AC167),MONTH($AC167)+1,1),OverEnd,"&gt;="&amp;DATE(YEAR($AC167),MONTH($AC167),1))&gt;0,SUMPRODUCT((PayEmp=$C167)*(PayDate&lt;=$AC167)*(OFFSET($N$6,1,MATCH(AU$5,PayDedList,0)-1,PayCount,1)))/$AA167*12*AU$3,IF(OR(AU$1="Fixed",AU$1="Not Used"),SUMPRODUCT((PayEmp=$C167)*(PayDate&lt;=$AC167)*(OFFSET($N$6,1,MATCH(AU$5,PayDedList,0)-1,PayCount,1)))/$AA167*12*AU$3,IF(ISNA(MATCH(OFFSET($N$2,0,MATCH(AU$5,PayDedList,0)-1,1,1),EarnListItem,0))=FALSE,SUMPRODUCT((PayEmp=$C167)*(PayDate&lt;=$AC167)*(OFFSET($N$6,1,MATCH(AU$5,PayDedList,0)-1,PayCount,1)))/$AA167*12*AU$3,(MIN(SUMPRODUCT((PayEmp=$C167)*(PayDate&lt;=$AC167)*(ISERROR(SEARCH(PayEarnCode,AU$2)))*(PayEarnType="Monthly")*(PayEarnValues))/$AA167*12,IF(ISNUMBER(OFFSET($N$3,0,MATCH(AU$5,PayDedList,0)-1,1,1)),OFFSET($N$3,0,MATCH(AU$5,PayDedList,0)-1,1,1),IgnoreMin)))*IF(COUNTIFS(EmpNo,$C167,OFFSET(Emp!$R$4,1,MATCH(AU$5,DedListItem,0)-1,EmpCount,1),"&lt;&gt;")&gt;0,VLOOKUP($C167,EmpAll,COLUMN(Emp!$R$4)+MATCH(AU$5,DedListItem,0)-1,0),OFFSET(Setup!$E$73,MATCH(AU$5,DedListItem,0),0,1,1))*AU$3))),IF(ISNUMBER(AU$4),AU$4,IgnoreMin)))))</f>
        <v>0</v>
      </c>
      <c r="AV167" s="148" cm="1">
        <f t="array" aca="1" ref="AV167" ca="1">-IF($F167="Terminated",0,IF($AA167=0,0,IF(ISNA(MATCH(AV$5,PayDedList,0)),0,MIN(IF(COUNTIFS(OverEmp,$C167,OverDeduct,AV$5,OverDate,"&lt;"&amp;DATE(YEAR($AC167),MONTH($AC167)+1,1),OverEnd,"&gt;="&amp;DATE(YEAR($AC167),MONTH($AC167),1))&gt;0,SUMPRODUCT((PayEmp=$C167)*(PayDate&lt;=$AC167)*(OFFSET($N$6,1,MATCH(AV$5,PayDedList,0)-1,PayCount,1)))/$AA167*12*AV$3,IF(OR(AV$1="Fixed",AV$1="Not Used"),SUMPRODUCT((PayEmp=$C167)*(PayDate&lt;=$AC167)*(OFFSET($N$6,1,MATCH(AV$5,PayDedList,0)-1,PayCount,1)))/$AA167*12*AV$3,IF(ISNA(MATCH(OFFSET($N$2,0,MATCH(AV$5,PayDedList,0)-1,1,1),EarnListItem,0))=FALSE,SUMPRODUCT((PayEmp=$C167)*(PayDate&lt;=$AC167)*(OFFSET($N$6,1,MATCH(AV$5,PayDedList,0)-1,PayCount,1)))/$AA167*12*AV$3,(MIN(SUMPRODUCT((PayEmp=$C167)*(PayDate&lt;=$AC167)*(ISERROR(SEARCH(PayEarnCode,AV$2)))*(PayEarnType="Monthly")*(PayEarnValues))/$AA167*12,IF(ISNUMBER(OFFSET($N$3,0,MATCH(AV$5,PayDedList,0)-1,1,1)),OFFSET($N$3,0,MATCH(AV$5,PayDedList,0)-1,1,1),IgnoreMin)))*IF(COUNTIFS(EmpNo,$C167,OFFSET(Emp!$R$4,1,MATCH(AV$5,DedListItem,0)-1,EmpCount,1),"&lt;&gt;")&gt;0,VLOOKUP($C167,EmpAll,COLUMN(Emp!$R$4)+MATCH(AV$5,DedListItem,0)-1,0),OFFSET(Setup!$E$73,MATCH(AV$5,DedListItem,0),0,1,1))*AV$3))),IF(ISNUMBER(AV$4),AV$4,IgnoreMin)))))</f>
        <v>0</v>
      </c>
      <c r="AW167" s="148" cm="1">
        <f t="array" aca="1" ref="AW167" ca="1">-IF($F167="Terminated",0,IF($AA167=0,0,IF(ISNA(MATCH(AW$5,PayDedList,0)),0,MIN(IF(COUNTIFS(OverEmp,$C167,OverDeduct,AW$5,OverDate,"&lt;"&amp;DATE(YEAR($AC167),MONTH($AC167)+1,1),OverEnd,"&gt;="&amp;DATE(YEAR($AC167),MONTH($AC167),1))&gt;0,SUMPRODUCT((PayEmp=$C167)*(PayDate&lt;=$AC167)*(OFFSET($N$6,1,MATCH(AW$5,PayDedList,0)-1,PayCount,1)))/$AA167*12*AW$3,IF(OR(AW$1="Fixed",AW$1="Not Used"),SUMPRODUCT((PayEmp=$C167)*(PayDate&lt;=$AC167)*(OFFSET($N$6,1,MATCH(AW$5,PayDedList,0)-1,PayCount,1)))/$AA167*12*AW$3,IF(ISNA(MATCH(OFFSET($N$2,0,MATCH(AW$5,PayDedList,0)-1,1,1),EarnListItem,0))=FALSE,SUMPRODUCT((PayEmp=$C167)*(PayDate&lt;=$AC167)*(OFFSET($N$6,1,MATCH(AW$5,PayDedList,0)-1,PayCount,1)))/$AA167*12*AW$3,(MIN(SUMPRODUCT((PayEmp=$C167)*(PayDate&lt;=$AC167)*(ISERROR(SEARCH(PayEarnCode,AW$2)))*(PayEarnType="Monthly")*(PayEarnValues))/$AA167*12,IF(ISNUMBER(OFFSET($N$3,0,MATCH(AW$5,PayDedList,0)-1,1,1)),OFFSET($N$3,0,MATCH(AW$5,PayDedList,0)-1,1,1),IgnoreMin)))*IF(COUNTIFS(EmpNo,$C167,OFFSET(Emp!$R$4,1,MATCH(AW$5,DedListItem,0)-1,EmpCount,1),"&lt;&gt;")&gt;0,VLOOKUP($C167,EmpAll,COLUMN(Emp!$R$4)+MATCH(AW$5,DedListItem,0)-1,0),OFFSET(Setup!$E$73,MATCH(AW$5,DedListItem,0),0,1,1))*AW$3))),IF(ISNUMBER(AW$4),AW$4,IgnoreMin)))))</f>
        <v>0</v>
      </c>
      <c r="AX167" s="148">
        <f t="shared" ref="AX167:AX194" ca="1" si="88">$AS167+SUM(OFFSET($AT167,0,0,1,COLUMN($AX$2)-COLUMN($AT$2)))</f>
        <v>61090.909090909088</v>
      </c>
      <c r="AY167" s="148">
        <f t="shared" ref="AY167:AY194" ca="1" si="89">AR167-AX167</f>
        <v>5000</v>
      </c>
      <c r="AZ167" s="148">
        <f ca="1">IF(ISNUMBER($AL167),($AR167*$AL167)-$AI167-$AK167,MAX(0,IF($AL167="B",IF($AR167&lt;Setup!$C$32,($AR167*Setup!$D$32)-$AI167-$AK167,(($AR167-VLOOKUP($AR167,TaxAll2,1,1))*OFFSET(Setup!$D$32,MATCH($AR167,TaxBracket2,1),0,1,1))+OFFSET(Setup!$E$31,MATCH($AR167,TaxBracket2,1),0,1,1)-$AI167-$AK167),IF($AR167&lt;Setup!$C$21,($AR167*Setup!$D$21)-$AI167-$AK167,(($AR167-VLOOKUP($AR167,TaxAll1,1,1))*OFFSET(Setup!$D$21,MATCH($AR167,TaxBracket1,1),0,1,1))+OFFSET(Setup!$E$20,MATCH($AR167,TaxBracket1,1),0,1,1)-$AI167-$AK167))))</f>
        <v>0</v>
      </c>
      <c r="BA167" s="148">
        <f ca="1">IF(ISNUMBER($AL167),($AX167*$AL167)-$AI167-$AK167,MAX(0,IF($AL167="B",IF($AX167&lt;Setup!$C$32,($AX167*Setup!$D$32)-$AI167-$AK167,(($AX167-VLOOKUP($AX167,TaxAll2,1,1))*OFFSET(Setup!$D$32,MATCH($AX167,TaxBracket2,1),0,1,1))+OFFSET(Setup!$E$31,MATCH($AX167,TaxBracket2,1),0,1,1)-$AI167-$AK167),IF($AX167&lt;Setup!$C$21,($AX167*Setup!$D$21)-$AI167-$AK167,(($AX167-VLOOKUP($AX167,TaxAll1,1,1))*OFFSET(Setup!$D$21,MATCH($AX167,TaxBracket1,1),0,1,1))+OFFSET(Setup!$E$20,MATCH($AX167,TaxBracket1,1),0,1,1)-$AI167-$AK167))))</f>
        <v>0</v>
      </c>
      <c r="BB167" s="148">
        <f t="shared" ca="1" si="82"/>
        <v>0</v>
      </c>
      <c r="BC167" s="150">
        <f t="shared" ca="1" si="75"/>
        <v>0.92434662998624484</v>
      </c>
      <c r="BD167" s="150">
        <f t="shared" ca="1" si="76"/>
        <v>7.5653370013755161E-2</v>
      </c>
      <c r="BE167" s="148">
        <f t="shared" ca="1" si="77"/>
        <v>66090.909090909088</v>
      </c>
    </row>
    <row r="168" spans="1:57" ht="16.149999999999999" customHeight="1" x14ac:dyDescent="0.25">
      <c r="A168" s="10" t="str" cm="1">
        <f t="array" aca="1" ref="A168" ca="1">IF(ROW($A168)-ROW($A$6)&gt;EmpCount*12,"-",TEXT($B168,"yyyy")&amp;TEXT($B168,"mm")&amp;"-"&amp;$C168)</f>
        <v>202401-EXS012</v>
      </c>
      <c r="B168" s="137" cm="1">
        <f t="array" aca="1" ref="B168" ca="1">IF(ROW($A168)-ROW($A$6)&gt;EmpCount*12,Setup!$D$12,DATE(YEAR(Setup!$F$12),MONTH(Setup!$F$12)+ROUNDDOWN((ROW($A168)-ROW($A$6)-1)/EmpCount,0),IF(Setup!$C$14&gt;DAY(DATE(YEAR(Setup!$F$12),MONTH(Setup!$F$12)+ROUNDDOWN((ROW($A168)-ROW($A$6)-1)/EmpCount,0)+1,0)),DAY(DATE(YEAR(Setup!$F$12),MONTH(Setup!$F$12)+ROUNDDOWN((ROW($A168)-ROW($A$6)-1)/EmpCount,0)+1,0)),Setup!$C$14)))</f>
        <v>45316</v>
      </c>
      <c r="C168" s="101" t="str" cm="1">
        <f t="array" aca="1" ref="C168" ca="1">IF(ROW($A168)-ROW($A$6)&gt;EmpCount*12,"-",OFFSET(Emp!$A$4,ROW($A168)-ROW($A$6)-IF(ROW($A168)-ROW($A$6)&gt;EmpCount,ROUNDDOWN((ROW($A168)-ROW($A$6)-1)/EmpCount,0)*EmpCount,0),0,1,1))</f>
        <v>EXS012</v>
      </c>
      <c r="D168" s="10" t="str">
        <f ca="1">IF(ISNA(VLOOKUP($C168,EmpAll,COLUMN(Emp!$B$4),0)),"-",VLOOKUP($C168,EmpAll,COLUMN(Emp!$B$4),0))</f>
        <v>Williams VS</v>
      </c>
      <c r="E168" s="145" t="str">
        <f ca="1">IF(ISNA(VLOOKUP($C168,EmpAll,COLUMN(Emp!$C$4),0)),"-",VLOOKUP($C168,EmpAll,COLUMN(Emp!$C$4),0))</f>
        <v>A</v>
      </c>
      <c r="F168" s="101" t="str">
        <f ca="1">IF(ISNA(VLOOKUP($C168,EmpAll,COLUMN(Emp!$A$4),0)),"-",IF(AND(VLOOKUP($C168,EmpAll,COLUMN(Emp!$E$4),0)&lt;&gt;0,VLOOKUP($C168,EmpAll,COLUMN(Emp!$E$4),0)&gt;=DATE(YEAR($AC168),MONTH($AC168)+1,0)),"Inactive",IF(AND(VLOOKUP($C168,EmpAll,COLUMN(Emp!$F$4),0)&lt;&gt;0,VLOOKUP($C168,EmpAll,COLUMN(Emp!$F$4),0)&lt;=DATE(YEAR($AC168),MONTH($AC168),0)),"Terminated","Active")))</f>
        <v>Active</v>
      </c>
      <c r="G168" s="133" cm="1">
        <f t="array" aca="1" ref="G168" ca="1">IF($F168&lt;&gt;"Active",0,IF(COUNTIFS(OverEmp,$C168,OverEarn,G$2,OverDate,"&lt;"&amp;DATE(YEAR($AC168),MONTH($AC168)+1,1),OverEnd,"&gt;="&amp;DATE(YEAR($AC168),MONTH($AC168),1))&gt;0,SUMIFS(OverValue,OverEmp,$C168,OverEarn,G$2,OverDate,"&lt;"&amp;DATE(YEAR($AC168),MONTH($AC168)+1,1),OverEnd,"&gt;="&amp;DATE(YEAR($AC168),MONTH($AC168),1)),IF(AND($AC168&gt;=Setup!$E$10,SUMIFS(EmpIncrease,EmpCode,$C168)&gt;0),SUMIFS(EmpIncrease,EmpCode,$C168),SUMIFS(EmpSalary,EmpCode,$C168))))</f>
        <v>6000</v>
      </c>
      <c r="H168" s="133" cm="1">
        <f t="array" aca="1" ref="H168" ca="1">IF($F168&lt;&gt;"Active",0,IF(COUNTIFS(OverEmp,$C168,OverEarn,H$2,OverDate,"&lt;"&amp;DATE(YEAR($AC168),MONTH($AC168)+1,1),OverEnd,"&gt;="&amp;DATE(YEAR($AC168),MONTH($AC168),1))&gt;0,SUMIFS(OverValue,OverEmp,$C168,OverEarn,H$2,OverDate,"&lt;"&amp;DATE(YEAR($AC168),MONTH($AC168)+1,1),OverEnd,"&gt;="&amp;DATE(YEAR($AC168),MONTH($AC168),1)),0))</f>
        <v>0</v>
      </c>
      <c r="I168" s="133" cm="1">
        <f t="array" aca="1" ref="I168" ca="1">IF($F168&lt;&gt;"Active",0,IF(COUNTIFS(OverEmp,$C168,OverEarn,I$2,OverDate,"&lt;"&amp;DATE(YEAR($AC168),MONTH($AC168)+1,1),OverEnd,"&gt;="&amp;DATE(YEAR($AC168),MONTH($AC168),1))&gt;0,SUMIFS(OverValue,OverEmp,$C168,OverEarn,I$2,OverDate,"&lt;"&amp;DATE(YEAR($AC168),MONTH($AC168)+1,1),OverEnd,"&gt;="&amp;DATE(YEAR($AC168),MONTH($AC168),1)),IF(MONTH(B168)=Setup!$C$15,SUMIFS(EmpBonus,EmpCode,$C168),0)))</f>
        <v>0</v>
      </c>
      <c r="J168" s="133" cm="1">
        <f t="array" aca="1" ref="J168" ca="1">IF($F168&lt;&gt;"Active",0,IF(COUNTIFS(OverEmp,$C168,OverEarn,J$2,OverDate,"&lt;"&amp;DATE(YEAR($AC168),MONTH($AC168)+1,1),OverEnd,"&gt;="&amp;DATE(YEAR($AC168),MONTH($AC168),1))&gt;0,SUMIFS(OverValue,OverEmp,$C168,OverEarn,J$2,OverDate,"&lt;"&amp;DATE(YEAR($AC168),MONTH($AC168)+1,1),OverEnd,"&gt;="&amp;DATE(YEAR($AC168),MONTH($AC168),1)),0))</f>
        <v>0</v>
      </c>
      <c r="K168" s="133" cm="1">
        <f t="array" aca="1" ref="K168" ca="1">IF($F168&lt;&gt;"Active",0,IF(COUNTIFS(OverEmp,$C168,OverEarn,K$2,OverDate,"&lt;"&amp;DATE(YEAR($AC168),MONTH($AC168)+1,1),OverEnd,"&gt;="&amp;DATE(YEAR($AC168),MONTH($AC168),1))&gt;0,SUMIFS(OverValue,OverEmp,$C168,OverEarn,K$2,OverDate,"&lt;"&amp;DATE(YEAR($AC168),MONTH($AC168)+1,1),OverEnd,"&gt;="&amp;DATE(YEAR($AC168),MONTH($AC168),1)),0))</f>
        <v>0</v>
      </c>
      <c r="L168" s="185">
        <f t="shared" ca="1" si="84"/>
        <v>6000</v>
      </c>
      <c r="M168" s="182" cm="1">
        <f t="array" aca="1" ref="M168" ca="1">IF(COUNTIFS(OverEmp,$C168,OverTax,M$5,OverDate,"&lt;"&amp;DATE(YEAR($AC168),MONTH($AC168)+1,1),OverEnd,"&gt;="&amp;DATE(YEAR($AC168),MONTH($AC168),1))&gt;0,SUMIFS(OverValue,OverEmp,$C168,OverTax,M$5,OverDate,"&lt;"&amp;DATE(YEAR($AC168),MONTH($AC168)+1,1),OverEnd,"&gt;="&amp;DATE(YEAR($AC168),MONTH($AC168),1)),(($BA168/12*$AA168)+(BB168*IF(1-$BC168=0,0,BD168/(1-$BC168))))-IF($F168="Terminated",0,SUMIFS(PayTaxDeduct,PayDate,"&lt;"&amp;$AC168,PayEmp,$C168)))</f>
        <v>0</v>
      </c>
      <c r="N168" s="133" cm="1">
        <f t="array" aca="1" ref="N168" ca="1">IF($F168="Terminated",0,IF($AA168=0,0,IF(ISNA(MATCH(N$5,DedListItem,0)),0,IF(COUNTIFS(OverEmp,$C168,OverDeduct,N$5,OverDate,"&lt;"&amp;DATE(YEAR($AC168),MONTH($AC168)+1,1),OverEnd,"&gt;="&amp;DATE(YEAR($AC168),MONTH($AC168),1))&gt;0,SUMIFS(OverValue,OverEmp,$C168,OverDeduct,N$5,OverDate,"&lt;"&amp;DATE(YEAR($AC168),MONTH($AC168)+1,1),OverEnd,"&gt;="&amp;DATE(YEAR($AC168),MONTH($AC168),1)),IF(OR(N$2="Fixed",N$2="Not Used"),(IF(COUNTIFS(EmpNo,$C168,OFFSET(Emp!$R$4,1,MATCH(N$5,DedListItem,0)-1,EmpCount,1),"&lt;&gt;")&gt;0,VLOOKUP($C168,EmpAll,COLUMN(Emp!$R$4)+MATCH(N$5,DedListItem,0)-1,0),OFFSET(Setup!$E$73,MATCH(N$5,DedListItem,0),0,1,1))*$AA168)-SUMIFS(OFFSET(N$6,1,0,PayCount,1),PayDate,"&lt;"&amp;$AC168,PayEmp,$C168),IF(ISNA(MATCH(N$2,EarnListItem,0))=FALSE,IF(OFFSET(Setup!$G$73,MATCH(N$5,DedListItem,0),0,1,1)="Taxable",SUMPRODUCT((PayEmp=$C168)*(PayDate&lt;=$AC168)*(PayEarnCode=N$2)*(PayEarnTax)*(PayEarnValues)),SUMPRODUCT((PayEmp=$C168)*(PayDate&lt;=$AC168)*(PayEarnCode=N$2)*(PayEarnValues)))*IF(COUNTIFS(EmpNo,$C168,OFFSET(Emp!$R$4,1,MATCH(N$5,DedListItem,0)-1,EmpCount,1),"&lt;&gt;")&gt;0,VLOOKUP($C168,EmpAll,COLUMN(Emp!$R$4)+MATCH(N$5,DedListItem,0)-1,0),OFFSET(Setup!$E$73,MATCH(N$5,DedListItem,0),0,1,1)),(MIN(IF(OFFSET(Setup!$G$73,MATCH(N$5,DedListItem,0),0,1,1)="Taxable",SUMPRODUCT((PayEmp=$C168)*(PayDate&lt;=$AC168)*(ISERROR(SEARCH(PayEarnCode,N$4)))*(PayEarnTax)*(PayEarnValues)),SUMPRODUCT((PayEmp=$C168)*(PayDate&lt;=$AC168)*(ISERROR(SEARCH(PayEarnCode,N$4)))*(PayEarnValues))),IF(ISNUMBER(N$3),N$3/12*$AA168,IgnoreMin)))*IF(COUNTIFS(EmpNo,$C168,OFFSET(Emp!$R$4,1,MATCH(N$5,DedListItem,0)-1,EmpCount,1),"&lt;&gt;")&gt;0,VLOOKUP($C168,EmpAll,COLUMN(Emp!$R$4)+MATCH(N$5,DedListItem,0)-1,0),OFFSET(Setup!$E$73,MATCH(N$5,DedListItem,0),0,1,1)))-SUMIFS(OFFSET(N$6,1,0,PayCount,1),PayDate,"&lt;"&amp;$AC168,PayEmp,$C168))))))</f>
        <v>60</v>
      </c>
      <c r="O168" s="133" cm="1">
        <f t="array" aca="1" ref="O168" ca="1">IF($F168="Terminated",0,IF($AA168=0,0,IF(ISNA(MATCH(O$5,DedListItem,0)),0,IF(COUNTIFS(OverEmp,$C168,OverDeduct,O$5,OverDate,"&lt;"&amp;DATE(YEAR($AC168),MONTH($AC168)+1,1),OverEnd,"&gt;="&amp;DATE(YEAR($AC168),MONTH($AC168),1))&gt;0,SUMIFS(OverValue,OverEmp,$C168,OverDeduct,O$5,OverDate,"&lt;"&amp;DATE(YEAR($AC168),MONTH($AC168)+1,1),OverEnd,"&gt;="&amp;DATE(YEAR($AC168),MONTH($AC168),1)),IF(OR(O$2="Fixed",O$2="Not Used"),(IF(COUNTIFS(EmpNo,$C168,OFFSET(Emp!$R$4,1,MATCH(O$5,DedListItem,0)-1,EmpCount,1),"&lt;&gt;")&gt;0,VLOOKUP($C168,EmpAll,COLUMN(Emp!$R$4)+MATCH(O$5,DedListItem,0)-1,0),OFFSET(Setup!$E$73,MATCH(O$5,DedListItem,0),0,1,1))*$AA168)-SUMIFS(OFFSET(O$6,1,0,PayCount,1),PayDate,"&lt;"&amp;$AC168,PayEmp,$C168),IF(ISNA(MATCH(O$2,EarnListItem,0))=FALSE,IF(OFFSET(Setup!$G$73,MATCH(O$5,DedListItem,0),0,1,1)="Taxable",SUMPRODUCT((PayEmp=$C168)*(PayDate&lt;=$AC168)*(PayEarnCode=O$2)*(PayEarnTax)*(PayEarnValues)),SUMPRODUCT((PayEmp=$C168)*(PayDate&lt;=$AC168)*(PayEarnCode=O$2)*(PayEarnValues)))*IF(COUNTIFS(EmpNo,$C168,OFFSET(Emp!$R$4,1,MATCH(O$5,DedListItem,0)-1,EmpCount,1),"&lt;&gt;")&gt;0,VLOOKUP($C168,EmpAll,COLUMN(Emp!$R$4)+MATCH(O$5,DedListItem,0)-1,0),OFFSET(Setup!$E$73,MATCH(O$5,DedListItem,0),0,1,1)),(MIN(IF(OFFSET(Setup!$G$73,MATCH(O$5,DedListItem,0),0,1,1)="Taxable",SUMPRODUCT((PayEmp=$C168)*(PayDate&lt;=$AC168)*(ISERROR(SEARCH(PayEarnCode,O$4)))*(PayEarnTax)*(PayEarnValues)),SUMPRODUCT((PayEmp=$C168)*(PayDate&lt;=$AC168)*(ISERROR(SEARCH(PayEarnCode,O$4)))*(PayEarnValues))),IF(ISNUMBER(O$3),O$3/12*$AA168,IgnoreMin)))*IF(COUNTIFS(EmpNo,$C168,OFFSET(Emp!$R$4,1,MATCH(O$5,DedListItem,0)-1,EmpCount,1),"&lt;&gt;")&gt;0,VLOOKUP($C168,EmpAll,COLUMN(Emp!$R$4)+MATCH(O$5,DedListItem,0)-1,0),OFFSET(Setup!$E$73,MATCH(O$5,DedListItem,0),0,1,1)))-SUMIFS(OFFSET(O$6,1,0,PayCount,1),PayDate,"&lt;"&amp;$AC168,PayEmp,$C168))))))</f>
        <v>0</v>
      </c>
      <c r="P168" s="133" cm="1">
        <f t="array" aca="1" ref="P168" ca="1">IF($F168="Terminated",0,IF($AA168=0,0,IF(ISNA(MATCH(P$5,DedListItem,0)),0,IF(COUNTIFS(OverEmp,$C168,OverDeduct,P$5,OverDate,"&lt;"&amp;DATE(YEAR($AC168),MONTH($AC168)+1,1),OverEnd,"&gt;="&amp;DATE(YEAR($AC168),MONTH($AC168),1))&gt;0,SUMIFS(OverValue,OverEmp,$C168,OverDeduct,P$5,OverDate,"&lt;"&amp;DATE(YEAR($AC168),MONTH($AC168)+1,1),OverEnd,"&gt;="&amp;DATE(YEAR($AC168),MONTH($AC168),1)),IF(OR(P$2="Fixed",P$2="Not Used"),(IF(COUNTIFS(EmpNo,$C168,OFFSET(Emp!$R$4,1,MATCH(P$5,DedListItem,0)-1,EmpCount,1),"&lt;&gt;")&gt;0,VLOOKUP($C168,EmpAll,COLUMN(Emp!$R$4)+MATCH(P$5,DedListItem,0)-1,0),OFFSET(Setup!$E$73,MATCH(P$5,DedListItem,0),0,1,1))*$AA168)-SUMIFS(OFFSET(P$6,1,0,PayCount,1),PayDate,"&lt;"&amp;$AC168,PayEmp,$C168),IF(ISNA(MATCH(P$2,EarnListItem,0))=FALSE,IF(OFFSET(Setup!$G$73,MATCH(P$5,DedListItem,0),0,1,1)="Taxable",SUMPRODUCT((PayEmp=$C168)*(PayDate&lt;=$AC168)*(PayEarnCode=P$2)*(PayEarnTax)*(PayEarnValues)),SUMPRODUCT((PayEmp=$C168)*(PayDate&lt;=$AC168)*(PayEarnCode=P$2)*(PayEarnValues)))*IF(COUNTIFS(EmpNo,$C168,OFFSET(Emp!$R$4,1,MATCH(P$5,DedListItem,0)-1,EmpCount,1),"&lt;&gt;")&gt;0,VLOOKUP($C168,EmpAll,COLUMN(Emp!$R$4)+MATCH(P$5,DedListItem,0)-1,0),OFFSET(Setup!$E$73,MATCH(P$5,DedListItem,0),0,1,1)),(MIN(IF(OFFSET(Setup!$G$73,MATCH(P$5,DedListItem,0),0,1,1)="Taxable",SUMPRODUCT((PayEmp=$C168)*(PayDate&lt;=$AC168)*(ISERROR(SEARCH(PayEarnCode,P$4)))*(PayEarnTax)*(PayEarnValues)),SUMPRODUCT((PayEmp=$C168)*(PayDate&lt;=$AC168)*(ISERROR(SEARCH(PayEarnCode,P$4)))*(PayEarnValues))),IF(ISNUMBER(P$3),P$3/12*$AA168,IgnoreMin)))*IF(COUNTIFS(EmpNo,$C168,OFFSET(Emp!$R$4,1,MATCH(P$5,DedListItem,0)-1,EmpCount,1),"&lt;&gt;")&gt;0,VLOOKUP($C168,EmpAll,COLUMN(Emp!$R$4)+MATCH(P$5,DedListItem,0)-1,0),OFFSET(Setup!$E$73,MATCH(P$5,DedListItem,0),0,1,1)))-SUMIFS(OFFSET(P$6,1,0,PayCount,1),PayDate,"&lt;"&amp;$AC168,PayEmp,$C168))))))</f>
        <v>0</v>
      </c>
      <c r="Q168" s="133" cm="1">
        <f t="array" aca="1" ref="Q168" ca="1">IF($F168="Terminated",0,IF($AA168=0,0,IF(ISNA(MATCH(Q$5,DedListItem,0)),0,IF(COUNTIFS(OverEmp,$C168,OverDeduct,Q$5,OverDate,"&lt;"&amp;DATE(YEAR($AC168),MONTH($AC168)+1,1),OverEnd,"&gt;="&amp;DATE(YEAR($AC168),MONTH($AC168),1))&gt;0,SUMIFS(OverValue,OverEmp,$C168,OverDeduct,Q$5,OverDate,"&lt;"&amp;DATE(YEAR($AC168),MONTH($AC168)+1,1),OverEnd,"&gt;="&amp;DATE(YEAR($AC168),MONTH($AC168),1)),IF(OR(Q$2="Fixed",Q$2="Not Used"),(IF(COUNTIFS(EmpNo,$C168,OFFSET(Emp!$R$4,1,MATCH(Q$5,DedListItem,0)-1,EmpCount,1),"&lt;&gt;")&gt;0,VLOOKUP($C168,EmpAll,COLUMN(Emp!$R$4)+MATCH(Q$5,DedListItem,0)-1,0),OFFSET(Setup!$E$73,MATCH(Q$5,DedListItem,0),0,1,1))*$AA168)-SUMIFS(OFFSET(Q$6,1,0,PayCount,1),PayDate,"&lt;"&amp;$AC168,PayEmp,$C168),IF(ISNA(MATCH(Q$2,EarnListItem,0))=FALSE,IF(OFFSET(Setup!$G$73,MATCH(Q$5,DedListItem,0),0,1,1)="Taxable",SUMPRODUCT((PayEmp=$C168)*(PayDate&lt;=$AC168)*(PayEarnCode=Q$2)*(PayEarnTax)*(PayEarnValues)),SUMPRODUCT((PayEmp=$C168)*(PayDate&lt;=$AC168)*(PayEarnCode=Q$2)*(PayEarnValues)))*IF(COUNTIFS(EmpNo,$C168,OFFSET(Emp!$R$4,1,MATCH(Q$5,DedListItem,0)-1,EmpCount,1),"&lt;&gt;")&gt;0,VLOOKUP($C168,EmpAll,COLUMN(Emp!$R$4)+MATCH(Q$5,DedListItem,0)-1,0),OFFSET(Setup!$E$73,MATCH(Q$5,DedListItem,0),0,1,1)),(MIN(IF(OFFSET(Setup!$G$73,MATCH(Q$5,DedListItem,0),0,1,1)="Taxable",SUMPRODUCT((PayEmp=$C168)*(PayDate&lt;=$AC168)*(ISERROR(SEARCH(PayEarnCode,Q$4)))*(PayEarnTax)*(PayEarnValues)),SUMPRODUCT((PayEmp=$C168)*(PayDate&lt;=$AC168)*(ISERROR(SEARCH(PayEarnCode,Q$4)))*(PayEarnValues))),IF(ISNUMBER(Q$3),Q$3/12*$AA168,IgnoreMin)))*IF(COUNTIFS(EmpNo,$C168,OFFSET(Emp!$R$4,1,MATCH(Q$5,DedListItem,0)-1,EmpCount,1),"&lt;&gt;")&gt;0,VLOOKUP($C168,EmpAll,COLUMN(Emp!$R$4)+MATCH(Q$5,DedListItem,0)-1,0),OFFSET(Setup!$E$73,MATCH(Q$5,DedListItem,0),0,1,1)))-SUMIFS(OFFSET(Q$6,1,0,PayCount,1),PayDate,"&lt;"&amp;$AC168,PayEmp,$C168))))))</f>
        <v>0</v>
      </c>
      <c r="R168" s="185">
        <f t="shared" ca="1" si="85"/>
        <v>60</v>
      </c>
      <c r="S168" s="139">
        <f t="shared" ca="1" si="86"/>
        <v>5940</v>
      </c>
      <c r="T168" s="133" cm="1">
        <f t="array" aca="1" ref="T168" ca="1">IF($F168="Terminated",0,IF($AA168=0,0,IF(ISNA(MATCH(T$5,CompListItem,0)),0,IF(COUNTIFS(OverEmp,$C168,OverComp,T$5,OverDate,"&lt;"&amp;DATE(YEAR($AC168),MONTH($AC168)+1,1),OverEnd,"&gt;="&amp;DATE(YEAR($AC168),MONTH($AC168),1))&gt;0,SUMIFS(OverValue,OverEmp,$C168,OverComp,T$5,OverDate,"&lt;"&amp;DATE(YEAR($AC168),MONTH($AC168)+1,1),OverEnd,"&gt;="&amp;DATE(YEAR($AC168),MONTH($AC168),1)),IF(OR(T$2="Fixed",T$2="Not Used"),(OFFSET(Setup!$E$81,MATCH(T$5,CompListItem,0),0,1,1)*$AA168)-SUMIFS(OFFSET(T$6,1,0,PayCount,1),PayDate,"&lt;"&amp;$AC168,PayEmp,$C168),IF(ISNA(MATCH(T$2,DedListItem,0))=FALSE,(SUMPRODUCT((PayEmp=$C168)*(PayDate&lt;=$AC168)*(PayDedList=T$2)*(PayDedValues))*OFFSET(Setup!$E$81,MATCH(T$5,CompListItem,0),0,1,1))-SUMIFS(OFFSET(T$6,1,0,PayCount,1),PayDate,"&lt;"&amp;$AC168,PayEmp,$C168),(MIN(IF(OFFSET(Setup!$G$81,MATCH(T$5,CompListItem,0),0,1,1)="Taxable",SUMPRODUCT((PayEmp=$C168)*(PayDate&lt;=$AC168)*(ISERROR(SEARCH(PayEarnCode,T$4)))*(PayEarnTax)*(PayEarnValues)),SUMPRODUCT((PayEmp=$C168)*(PayDate&lt;=$AC168)*(ISERROR(SEARCH(PayEarnCode,T$4)))*(PayEarnValues))),IF(ISNUMBER(T$3),T$3/12*$AA168,IgnoreMin)))*OFFSET(Setup!$E$81,MATCH(T$5,CompListItem,0),0,1,1)-SUMIFS(OFFSET(T$6,1,0,PayCount,1),PayDate,"&lt;"&amp;$AC168,PayEmp,$C168)))))))</f>
        <v>60</v>
      </c>
      <c r="U168" s="133" cm="1">
        <f t="array" aca="1" ref="U168" ca="1">IF($F168="Terminated",0,IF($AA168=0,0,IF(ISNA(MATCH(U$5,CompListItem,0)),0,IF(COUNTIFS(OverEmp,$C168,OverComp,U$5,OverDate,"&lt;"&amp;DATE(YEAR($AC168),MONTH($AC168)+1,1),OverEnd,"&gt;="&amp;DATE(YEAR($AC168),MONTH($AC168),1))&gt;0,SUMIFS(OverValue,OverEmp,$C168,OverComp,U$5,OverDate,"&lt;"&amp;DATE(YEAR($AC168),MONTH($AC168)+1,1),OverEnd,"&gt;="&amp;DATE(YEAR($AC168),MONTH($AC168),1)),IF(OR(U$2="Fixed",U$2="Not Used"),(OFFSET(Setup!$E$81,MATCH(U$5,CompListItem,0),0,1,1)*$AA168)-SUMIFS(OFFSET(U$6,1,0,PayCount,1),PayDate,"&lt;"&amp;$AC168,PayEmp,$C168),IF(ISNA(MATCH(U$2,DedListItem,0))=FALSE,(SUMPRODUCT((PayEmp=$C168)*(PayDate&lt;=$AC168)*(PayDedList=U$2)*(PayDedValues))*OFFSET(Setup!$E$81,MATCH(U$5,CompListItem,0),0,1,1))-SUMIFS(OFFSET(U$6,1,0,PayCount,1),PayDate,"&lt;"&amp;$AC168,PayEmp,$C168),(MIN(IF(OFFSET(Setup!$G$81,MATCH(U$5,CompListItem,0),0,1,1)="Taxable",SUMPRODUCT((PayEmp=$C168)*(PayDate&lt;=$AC168)*(ISERROR(SEARCH(PayEarnCode,U$4)))*(PayEarnTax)*(PayEarnValues)),SUMPRODUCT((PayEmp=$C168)*(PayDate&lt;=$AC168)*(ISERROR(SEARCH(PayEarnCode,U$4)))*(PayEarnValues))),IF(ISNUMBER(U$3),U$3/12*$AA168,IgnoreMin)))*OFFSET(Setup!$E$81,MATCH(U$5,CompListItem,0),0,1,1)-SUMIFS(OFFSET(U$6,1,0,PayCount,1),PayDate,"&lt;"&amp;$AC168,PayEmp,$C168)))))))</f>
        <v>60</v>
      </c>
      <c r="V168" s="133" cm="1">
        <f t="array" aca="1" ref="V168" ca="1">IF($F168="Terminated",0,IF($AA168=0,0,IF(ISNA(MATCH(V$5,CompListItem,0)),0,IF(COUNTIFS(OverEmp,$C168,OverComp,V$5,OverDate,"&lt;"&amp;DATE(YEAR($AC168),MONTH($AC168)+1,1),OverEnd,"&gt;="&amp;DATE(YEAR($AC168),MONTH($AC168),1))&gt;0,SUMIFS(OverValue,OverEmp,$C168,OverComp,V$5,OverDate,"&lt;"&amp;DATE(YEAR($AC168),MONTH($AC168)+1,1),OverEnd,"&gt;="&amp;DATE(YEAR($AC168),MONTH($AC168),1)),IF(OR(V$2="Fixed",V$2="Not Used"),(OFFSET(Setup!$E$81,MATCH(V$5,CompListItem,0),0,1,1)*$AA168)-SUMIFS(OFFSET(V$6,1,0,PayCount,1),PayDate,"&lt;"&amp;$AC168,PayEmp,$C168),IF(ISNA(MATCH(V$2,DedListItem,0))=FALSE,(SUMPRODUCT((PayEmp=$C168)*(PayDate&lt;=$AC168)*(PayDedList=V$2)*(PayDedValues))*OFFSET(Setup!$E$81,MATCH(V$5,CompListItem,0),0,1,1))-SUMIFS(OFFSET(V$6,1,0,PayCount,1),PayDate,"&lt;"&amp;$AC168,PayEmp,$C168),(MIN(IF(OFFSET(Setup!$G$81,MATCH(V$5,CompListItem,0),0,1,1)="Taxable",SUMPRODUCT((PayEmp=$C168)*(PayDate&lt;=$AC168)*(ISERROR(SEARCH(PayEarnCode,V$4)))*(PayEarnTax)*(PayEarnValues)),SUMPRODUCT((PayEmp=$C168)*(PayDate&lt;=$AC168)*(ISERROR(SEARCH(PayEarnCode,V$4)))*(PayEarnValues))),IF(ISNUMBER(V$3),V$3/12*$AA168,IgnoreMin)))*OFFSET(Setup!$E$81,MATCH(V$5,CompListItem,0),0,1,1)-SUMIFS(OFFSET(V$6,1,0,PayCount,1),PayDate,"&lt;"&amp;$AC168,PayEmp,$C168)))))))</f>
        <v>0</v>
      </c>
      <c r="W168" s="133" cm="1">
        <f t="array" aca="1" ref="W168" ca="1">IF($F168="Terminated",0,IF($AA168=0,0,IF(ISNA(MATCH(W$5,CompListItem,0)),0,IF(COUNTIFS(OverEmp,$C168,OverComp,W$5,OverDate,"&lt;"&amp;DATE(YEAR($AC168),MONTH($AC168)+1,1),OverEnd,"&gt;="&amp;DATE(YEAR($AC168),MONTH($AC168),1))&gt;0,SUMIFS(OverValue,OverEmp,$C168,OverComp,W$5,OverDate,"&lt;"&amp;DATE(YEAR($AC168),MONTH($AC168)+1,1),OverEnd,"&gt;="&amp;DATE(YEAR($AC168),MONTH($AC168),1)),IF(OR(W$2="Fixed",W$2="Not Used"),(OFFSET(Setup!$E$81,MATCH(W$5,CompListItem,0),0,1,1)*$AA168)-SUMIFS(OFFSET(W$6,1,0,PayCount,1),PayDate,"&lt;"&amp;$AC168,PayEmp,$C168),IF(ISNA(MATCH(W$2,DedListItem,0))=FALSE,(SUMPRODUCT((PayEmp=$C168)*(PayDate&lt;=$AC168)*(PayDedList=W$2)*(PayDedValues))*OFFSET(Setup!$E$81,MATCH(W$5,CompListItem,0),0,1,1))-SUMIFS(OFFSET(W$6,1,0,PayCount,1),PayDate,"&lt;"&amp;$AC168,PayEmp,$C168),(MIN(IF(OFFSET(Setup!$G$81,MATCH(W$5,CompListItem,0),0,1,1)="Taxable",SUMPRODUCT((PayEmp=$C168)*(PayDate&lt;=$AC168)*(ISERROR(SEARCH(PayEarnCode,W$4)))*(PayEarnTax)*(PayEarnValues)),SUMPRODUCT((PayEmp=$C168)*(PayDate&lt;=$AC168)*(ISERROR(SEARCH(PayEarnCode,W$4)))*(PayEarnValues))),IF(ISNUMBER(W$3),W$3/12*$AA168,IgnoreMin)))*OFFSET(Setup!$E$81,MATCH(W$5,CompListItem,0),0,1,1)-SUMIFS(OFFSET(W$6,1,0,PayCount,1),PayDate,"&lt;"&amp;$AC168,PayEmp,$C168)))))))</f>
        <v>0</v>
      </c>
      <c r="X168" s="185">
        <f t="shared" ca="1" si="78"/>
        <v>120</v>
      </c>
      <c r="Y168" s="139">
        <f t="shared" ca="1" si="87"/>
        <v>6120</v>
      </c>
      <c r="Z168" s="139">
        <f t="shared" ca="1" si="79"/>
        <v>180</v>
      </c>
      <c r="AA168" s="146">
        <f ca="1">IF(OR($B168&lt;=Setup!$E$12,$B168&gt;=Setup!$D$12+1),0,IF($F168&lt;&gt;"Active",0,IF($AE168="Yes",$AB168,((YEAR($AC168)*12)+MONTH($AC168))-((YEAR($AD168)*12)+MONTH($AD168)-1))))</f>
        <v>11</v>
      </c>
      <c r="AB168" s="146">
        <f ca="1">IF(OR($B168&lt;=Setup!$E$12,$B168&gt;=Setup!$D$12+1),0,((YEAR($AC168)*12)+MONTH($AC168))-((YEAR(Setup!$E$12)*12)+MONTH(Setup!$E$12)))</f>
        <v>11</v>
      </c>
      <c r="AC168" s="186">
        <f t="shared" ca="1" si="83"/>
        <v>45316</v>
      </c>
      <c r="AD168" s="144">
        <f ca="1">IF(ISNA(VLOOKUP($C168,EmpAll,COLUMN(Emp!$E$4),0)),$AC168,IF(VLOOKUP($C168,EmpAll,COLUMN(Emp!$E$4),0)&lt;=Setup!$E$12,DATE(YEAR(Setup!$E$12),MONTH(Setup!$E$12)+1,1),VLOOKUP($C168,EmpAll,COLUMN(Emp!$E$4),0)))</f>
        <v>44986</v>
      </c>
      <c r="AE168" s="144" t="str">
        <f ca="1">IF(ISNA(VLOOKUP($C168,EmpAll,COLUMN(Emp!$G$1),0)),"-",IF(VLOOKUP($C168,EmpAll,COLUMN(Emp!$G$1),0)=0,"-",VLOOKUP($C168,EmpAll,COLUMN(Emp!$G$1),0)))</f>
        <v>-</v>
      </c>
      <c r="AF168" s="145">
        <f ca="1">IF(A168=PaySlip!$G$3,1,0)</f>
        <v>0</v>
      </c>
      <c r="AG168" s="130" cm="1">
        <f t="array" aca="1" ref="AG168" ca="1">IF(COUNTIFS(OverEmp,$C168,OverMed,"MED",OverDate,"&lt;"&amp;DATE(YEAR($AC168),MONTH($AC168)+1,1),OverEnd,"&gt;="&amp;DATE(YEAR($AC168),MONTH($AC168),1))&gt;0,SUMIFS(OverValue,OverEmp,$C168,OverMed,"MED",OverDate,"&lt;"&amp;DATE(YEAR($AC168),MONTH($AC168)+1,1),OverEnd,"&gt;="&amp;DATE(YEAR($AC168),MONTH($AC168),1)),IF(ISNA(VLOOKUP($C168,EmpAll,COLUMN(Emp!$N$4),0)),0,VLOOKUP($C168,EmpAll,COLUMN(Emp!$N$4),0)))</f>
        <v>0</v>
      </c>
      <c r="AH168" s="146">
        <f ca="1">VLOOKUP($AG168,MedList,COLUMN(Setup!$C$49),1)</f>
        <v>0</v>
      </c>
      <c r="AI168" s="146">
        <f t="shared" ca="1" si="70"/>
        <v>0</v>
      </c>
      <c r="AJ168" s="101" t="str">
        <f ca="1">IF(ISNA(VLOOKUP($C168,EmpAll,COLUMN(Emp!$L$4),0)),"None!",VLOOKUP($C168,EmpAll,COLUMN(Emp!$L$4),0))</f>
        <v>A</v>
      </c>
      <c r="AK168" s="147">
        <f t="shared" ca="1" si="80"/>
        <v>17235</v>
      </c>
      <c r="AL168" s="101" t="str">
        <f ca="1">IF(ISNA(VLOOKUP($C168,Employees[],COLUMN(Emp!$M$4),0))=TRUE,"Error!",IF(VLOOKUP($C168,Employees[],COLUMN(Emp!$M$4),0)=0,"Yes",VLOOKUP($C168,Employees[],COLUMN(Emp!$M$4),0)))</f>
        <v>A</v>
      </c>
      <c r="AM168" s="148">
        <f t="shared" ca="1" si="71"/>
        <v>66090.909090909088</v>
      </c>
      <c r="AN168" s="148" cm="1">
        <f t="array" aca="1" ref="AN168" ca="1">-IF($F168="Terminated",0,IF($AA168=0,0,IF(ISNA(MATCH(AN$5,PayDedList,0)),0,MIN(IF(COUNTIFS(OverEmp,$C168,OverDeduct,AN$5,OverDate,"&lt;"&amp;DATE(YEAR($AC168),MONTH($AC168)+1,1),OverEnd,"&gt;="&amp;DATE(YEAR($AC168),MONTH($AC168),1))&gt;0,SUMPRODUCT((PayEmp=$C168)*(PayDate&lt;=$AC168)*(OFFSET($N$6,1,MATCH(AN$5,PayDedList,0)-1,PayCount,1)))/$AA168*12*AN$3,IF(OR(AN$1="Fixed",AN$1="Not Used"),SUMPRODUCT((PayEmp=$C168)*(PayDate&lt;=$AC168)*(OFFSET($N$6,1,MATCH(AN$5,PayDedList,0)-1,PayCount,1)))/$AA168*12*AN$3,IF(ISNA(MATCH(AN$1,EarnListItem,0))=FALSE,SUMPRODUCT((PayEmp=$C168)*(PayDate&lt;=$AC168)*(OFFSET($N$6,1,MATCH(AN$5,PayDedList,0)-1,PayCount,1)))/$AA168*12*AN$3,(MIN(((SUMPRODUCT((PayEmp=$C168)*(PayDate&lt;=$AC168)*(ISERROR(SEARCH(PayEarnCode,AN$2)))*(PayEarnType="Monthly")*(PayEarnValues))/$AA168*12)+(SUMPRODUCT((PayEmp=$C168)*(PayDate&lt;=$AC168)*(ISERROR(SEARCH(PayEarnCode,AN$2)))*(PayEarnType="Quarterly")*(PayEarnValues))/MAX(1,ROUNDDOWN($AB168/3,0))*4)+(SUMPRODUCT((PayEmp=$C168)*(PayDate&lt;=$AC168)*(ISERROR(SEARCH(PayEarnCode,AN$2)))*(PayEarnType="Bi-Annual")*(PayEarnValues))/MAX(1,ROUNDDOWN($AB168/6,0))*2)+(SUMPRODUCT((PayEmp=$C168)*(PayDate&lt;=$AC168)*(ISERROR(SEARCH(PayEarnCode,AN$2)))*(PayEarnType="Annual")*(PayEarnValues)))),IF(ISNUMBER(OFFSET($N$3,0,MATCH(AN$5,PayDedList,0)-1,1,1)),OFFSET($N$3,0,MATCH(AN$5,PayDedList,0)-1,1,1),IgnoreMin)))*IF(COUNTIFS(EmpNo,$C168,OFFSET(Emp!$R$4,1,MATCH(AN$5,DedListItem,0)-1,EmpCount,1),"&lt;&gt;")&gt;0,VLOOKUP($C168,EmpAll,COLUMN(Emp!$R$4)+MATCH(AN$5,DedListItem,0)-1,0),OFFSET(Setup!$E$73,MATCH(AN$5,DedListItem,0),0,1,1))*AN$3))),IF(ISNUMBER(AN$4),AN$4,IgnoreMin)))))</f>
        <v>0</v>
      </c>
      <c r="AO168" s="148" cm="1">
        <f t="array" aca="1" ref="AO168" ca="1">-IF($F168="Terminated",0,IF($AA168=0,0,IF(ISNA(MATCH(AO$5,PayDedList,0)),0,MIN(IF(COUNTIFS(OverEmp,$C168,OverDeduct,AO$5,OverDate,"&lt;"&amp;DATE(YEAR($AC168),MONTH($AC168)+1,1),OverEnd,"&gt;="&amp;DATE(YEAR($AC168),MONTH($AC168),1))&gt;0,SUMPRODUCT((PayEmp=$C168)*(PayDate&lt;=$AC168)*(OFFSET($N$6,1,MATCH(AO$5,PayDedList,0)-1,PayCount,1)))/$AA168*12*AO$3,IF(OR(AO$1="Fixed",AO$1="Not Used"),SUMPRODUCT((PayEmp=$C168)*(PayDate&lt;=$AC168)*(OFFSET($N$6,1,MATCH(AO$5,PayDedList,0)-1,PayCount,1)))/$AA168*12*AO$3,IF(ISNA(MATCH(AO$1,EarnListItem,0))=FALSE,SUMPRODUCT((PayEmp=$C168)*(PayDate&lt;=$AC168)*(OFFSET($N$6,1,MATCH(AO$5,PayDedList,0)-1,PayCount,1)))/$AA168*12*AO$3,(MIN(((SUMPRODUCT((PayEmp=$C168)*(PayDate&lt;=$AC168)*(ISERROR(SEARCH(PayEarnCode,AO$2)))*(PayEarnType="Monthly")*(PayEarnValues))/$AA168*12)+(SUMPRODUCT((PayEmp=$C168)*(PayDate&lt;=$AC168)*(ISERROR(SEARCH(PayEarnCode,AO$2)))*(PayEarnType="Quarterly")*(PayEarnValues))/MAX(1,ROUNDDOWN($AB168/3,0))*4)+(SUMPRODUCT((PayEmp=$C168)*(PayDate&lt;=$AC168)*(ISERROR(SEARCH(PayEarnCode,AO$2)))*(PayEarnType="Bi-Annual")*(PayEarnValues))/MAX(1,ROUNDDOWN($AB168/6,0))*2)+(SUMPRODUCT((PayEmp=$C168)*(PayDate&lt;=$AC168)*(ISERROR(SEARCH(PayEarnCode,AO$2)))*(PayEarnType="Annual")*(PayEarnValues)))),IF(ISNUMBER(OFFSET($N$3,0,MATCH(AO$5,PayDedList,0)-1,1,1)),OFFSET($N$3,0,MATCH(AO$5,PayDedList,0)-1,1,1),IgnoreMin)))*IF(COUNTIFS(EmpNo,$C168,OFFSET(Emp!$R$4,1,MATCH(AO$5,DedListItem,0)-1,EmpCount,1),"&lt;&gt;")&gt;0,VLOOKUP($C168,EmpAll,COLUMN(Emp!$R$4)+MATCH(AO$5,DedListItem,0)-1,0),OFFSET(Setup!$E$73,MATCH(AO$5,DedListItem,0),0,1,1))*AO$3))),IF(ISNUMBER(AO$4),AO$4,IgnoreMin)))))</f>
        <v>0</v>
      </c>
      <c r="AP168" s="148" cm="1">
        <f t="array" aca="1" ref="AP168" ca="1">-IF($F168="Terminated",0,IF($AA168=0,0,IF(ISNA(MATCH(AP$5,PayDedList,0)),0,MIN(IF(COUNTIFS(OverEmp,$C168,OverDeduct,AP$5,OverDate,"&lt;"&amp;DATE(YEAR($AC168),MONTH($AC168)+1,1),OverEnd,"&gt;="&amp;DATE(YEAR($AC168),MONTH($AC168),1))&gt;0,SUMPRODUCT((PayEmp=$C168)*(PayDate&lt;=$AC168)*(OFFSET($N$6,1,MATCH(AP$5,PayDedList,0)-1,PayCount,1)))/$AA168*12*AP$3,IF(OR(AP$1="Fixed",AP$1="Not Used"),SUMPRODUCT((PayEmp=$C168)*(PayDate&lt;=$AC168)*(OFFSET($N$6,1,MATCH(AP$5,PayDedList,0)-1,PayCount,1)))/$AA168*12*AP$3,IF(ISNA(MATCH(AP$1,EarnListItem,0))=FALSE,SUMPRODUCT((PayEmp=$C168)*(PayDate&lt;=$AC168)*(OFFSET($N$6,1,MATCH(AP$5,PayDedList,0)-1,PayCount,1)))/$AA168*12*AP$3,(MIN(((SUMPRODUCT((PayEmp=$C168)*(PayDate&lt;=$AC168)*(ISERROR(SEARCH(PayEarnCode,AP$2)))*(PayEarnType="Monthly")*(PayEarnValues))/$AA168*12)+(SUMPRODUCT((PayEmp=$C168)*(PayDate&lt;=$AC168)*(ISERROR(SEARCH(PayEarnCode,AP$2)))*(PayEarnType="Quarterly")*(PayEarnValues))/MAX(1,ROUNDDOWN($AB168/3,0))*4)+(SUMPRODUCT((PayEmp=$C168)*(PayDate&lt;=$AC168)*(ISERROR(SEARCH(PayEarnCode,AP$2)))*(PayEarnType="Bi-Annual")*(PayEarnValues))/MAX(1,ROUNDDOWN($AB168/6,0))*2)+(SUMPRODUCT((PayEmp=$C168)*(PayDate&lt;=$AC168)*(ISERROR(SEARCH(PayEarnCode,AP$2)))*(PayEarnType="Annual")*(PayEarnValues)))),IF(ISNUMBER(OFFSET($N$3,0,MATCH(AP$5,PayDedList,0)-1,1,1)),OFFSET($N$3,0,MATCH(AP$5,PayDedList,0)-1,1,1),IgnoreMin)))*IF(COUNTIFS(EmpNo,$C168,OFFSET(Emp!$R$4,1,MATCH(AP$5,DedListItem,0)-1,EmpCount,1),"&lt;&gt;")&gt;0,VLOOKUP($C168,EmpAll,COLUMN(Emp!$R$4)+MATCH(AP$5,DedListItem,0)-1,0),OFFSET(Setup!$E$73,MATCH(AP$5,DedListItem,0),0,1,1))*AP$3))),IF(ISNUMBER(AP$4),AP$4,IgnoreMin)))))</f>
        <v>0</v>
      </c>
      <c r="AQ168" s="148" cm="1">
        <f t="array" aca="1" ref="AQ168" ca="1">-IF($F168="Terminated",0,IF($AA168=0,0,IF(ISNA(MATCH(AQ$5,PayDedList,0)),0,MIN(IF(COUNTIFS(OverEmp,$C168,OverDeduct,AQ$5,OverDate,"&lt;"&amp;DATE(YEAR($AC168),MONTH($AC168)+1,1),OverEnd,"&gt;="&amp;DATE(YEAR($AC168),MONTH($AC168),1))&gt;0,SUMPRODUCT((PayEmp=$C168)*(PayDate&lt;=$AC168)*(OFFSET($N$6,1,MATCH(AQ$5,PayDedList,0)-1,PayCount,1)))/$AA168*12*AQ$3,IF(OR(AQ$1="Fixed",AQ$1="Not Used"),SUMPRODUCT((PayEmp=$C168)*(PayDate&lt;=$AC168)*(OFFSET($N$6,1,MATCH(AQ$5,PayDedList,0)-1,PayCount,1)))/$AA168*12*AQ$3,IF(ISNA(MATCH(AQ$1,EarnListItem,0))=FALSE,SUMPRODUCT((PayEmp=$C168)*(PayDate&lt;=$AC168)*(OFFSET($N$6,1,MATCH(AQ$5,PayDedList,0)-1,PayCount,1)))/$AA168*12*AQ$3,(MIN(((SUMPRODUCT((PayEmp=$C168)*(PayDate&lt;=$AC168)*(ISERROR(SEARCH(PayEarnCode,AQ$2)))*(PayEarnType="Monthly")*(PayEarnValues))/$AA168*12)+(SUMPRODUCT((PayEmp=$C168)*(PayDate&lt;=$AC168)*(ISERROR(SEARCH(PayEarnCode,AQ$2)))*(PayEarnType="Quarterly")*(PayEarnValues))/MAX(1,ROUNDDOWN($AB168/3,0))*4)+(SUMPRODUCT((PayEmp=$C168)*(PayDate&lt;=$AC168)*(ISERROR(SEARCH(PayEarnCode,AQ$2)))*(PayEarnType="Bi-Annual")*(PayEarnValues))/MAX(1,ROUNDDOWN($AB168/6,0))*2)+(SUMPRODUCT((PayEmp=$C168)*(PayDate&lt;=$AC168)*(ISERROR(SEARCH(PayEarnCode,AQ$2)))*(PayEarnType="Annual")*(PayEarnValues)))),IF(ISNUMBER(OFFSET($N$3,0,MATCH(AQ$5,PayDedList,0)-1,1,1)),OFFSET($N$3,0,MATCH(AQ$5,PayDedList,0)-1,1,1),IgnoreMin)))*IF(COUNTIFS(EmpNo,$C168,OFFSET(Emp!$R$4,1,MATCH(AQ$5,DedListItem,0)-1,EmpCount,1),"&lt;&gt;")&gt;0,VLOOKUP($C168,EmpAll,COLUMN(Emp!$R$4)+MATCH(AQ$5,DedListItem,0)-1,0),OFFSET(Setup!$E$73,MATCH(AQ$5,DedListItem,0),0,1,1))*AQ$3))),IF(ISNUMBER(AQ$4),AQ$4,IgnoreMin)))))</f>
        <v>0</v>
      </c>
      <c r="AR168" s="148">
        <f t="shared" ca="1" si="81"/>
        <v>66090.909090909088</v>
      </c>
      <c r="AS168" s="148">
        <f t="shared" ca="1" si="72"/>
        <v>61090.909090909088</v>
      </c>
      <c r="AT168" s="148" cm="1">
        <f t="array" aca="1" ref="AT168" ca="1">-IF($F168="Terminated",0,IF($AA168=0,0,IF(ISNA(MATCH(AT$5,PayDedList,0)),0,MIN(IF(COUNTIFS(OverEmp,$C168,OverDeduct,AT$5,OverDate,"&lt;"&amp;DATE(YEAR($AC168),MONTH($AC168)+1,1),OverEnd,"&gt;="&amp;DATE(YEAR($AC168),MONTH($AC168),1))&gt;0,SUMPRODUCT((PayEmp=$C168)*(PayDate&lt;=$AC168)*(OFFSET($N$6,1,MATCH(AT$5,PayDedList,0)-1,PayCount,1)))/$AA168*12*AT$3,IF(OR(AT$1="Fixed",AT$1="Not Used"),SUMPRODUCT((PayEmp=$C168)*(PayDate&lt;=$AC168)*(OFFSET($N$6,1,MATCH(AT$5,PayDedList,0)-1,PayCount,1)))/$AA168*12*AT$3,IF(ISNA(MATCH(OFFSET($N$2,0,MATCH(AT$5,PayDedList,0)-1,1,1),EarnListItem,0))=FALSE,SUMPRODUCT((PayEmp=$C168)*(PayDate&lt;=$AC168)*(OFFSET($N$6,1,MATCH(AT$5,PayDedList,0)-1,PayCount,1)))/$AA168*12*AT$3,(MIN(SUMPRODUCT((PayEmp=$C168)*(PayDate&lt;=$AC168)*(ISERROR(SEARCH(PayEarnCode,AT$2)))*(PayEarnType="Monthly")*(PayEarnValues))/$AA168*12,IF(ISNUMBER(OFFSET($N$3,0,MATCH(AT$5,PayDedList,0)-1,1,1)),OFFSET($N$3,0,MATCH(AT$5,PayDedList,0)-1,1,1),IgnoreMin)))*IF(COUNTIFS(EmpNo,$C168,OFFSET(Emp!$R$4,1,MATCH(AT$5,DedListItem,0)-1,EmpCount,1),"&lt;&gt;")&gt;0,VLOOKUP($C168,EmpAll,COLUMN(Emp!$R$4)+MATCH(AT$5,DedListItem,0)-1,0),OFFSET(Setup!$E$73,MATCH(AT$5,DedListItem,0),0,1,1))*AT$3))),IF(ISNUMBER(AT$4),AT$4,IgnoreMin)))))</f>
        <v>0</v>
      </c>
      <c r="AU168" s="148" cm="1">
        <f t="array" aca="1" ref="AU168" ca="1">-IF($F168="Terminated",0,IF($AA168=0,0,IF(ISNA(MATCH(AU$5,PayDedList,0)),0,MIN(IF(COUNTIFS(OverEmp,$C168,OverDeduct,AU$5,OverDate,"&lt;"&amp;DATE(YEAR($AC168),MONTH($AC168)+1,1),OverEnd,"&gt;="&amp;DATE(YEAR($AC168),MONTH($AC168),1))&gt;0,SUMPRODUCT((PayEmp=$C168)*(PayDate&lt;=$AC168)*(OFFSET($N$6,1,MATCH(AU$5,PayDedList,0)-1,PayCount,1)))/$AA168*12*AU$3,IF(OR(AU$1="Fixed",AU$1="Not Used"),SUMPRODUCT((PayEmp=$C168)*(PayDate&lt;=$AC168)*(OFFSET($N$6,1,MATCH(AU$5,PayDedList,0)-1,PayCount,1)))/$AA168*12*AU$3,IF(ISNA(MATCH(OFFSET($N$2,0,MATCH(AU$5,PayDedList,0)-1,1,1),EarnListItem,0))=FALSE,SUMPRODUCT((PayEmp=$C168)*(PayDate&lt;=$AC168)*(OFFSET($N$6,1,MATCH(AU$5,PayDedList,0)-1,PayCount,1)))/$AA168*12*AU$3,(MIN(SUMPRODUCT((PayEmp=$C168)*(PayDate&lt;=$AC168)*(ISERROR(SEARCH(PayEarnCode,AU$2)))*(PayEarnType="Monthly")*(PayEarnValues))/$AA168*12,IF(ISNUMBER(OFFSET($N$3,0,MATCH(AU$5,PayDedList,0)-1,1,1)),OFFSET($N$3,0,MATCH(AU$5,PayDedList,0)-1,1,1),IgnoreMin)))*IF(COUNTIFS(EmpNo,$C168,OFFSET(Emp!$R$4,1,MATCH(AU$5,DedListItem,0)-1,EmpCount,1),"&lt;&gt;")&gt;0,VLOOKUP($C168,EmpAll,COLUMN(Emp!$R$4)+MATCH(AU$5,DedListItem,0)-1,0),OFFSET(Setup!$E$73,MATCH(AU$5,DedListItem,0),0,1,1))*AU$3))),IF(ISNUMBER(AU$4),AU$4,IgnoreMin)))))</f>
        <v>0</v>
      </c>
      <c r="AV168" s="148" cm="1">
        <f t="array" aca="1" ref="AV168" ca="1">-IF($F168="Terminated",0,IF($AA168=0,0,IF(ISNA(MATCH(AV$5,PayDedList,0)),0,MIN(IF(COUNTIFS(OverEmp,$C168,OverDeduct,AV$5,OverDate,"&lt;"&amp;DATE(YEAR($AC168),MONTH($AC168)+1,1),OverEnd,"&gt;="&amp;DATE(YEAR($AC168),MONTH($AC168),1))&gt;0,SUMPRODUCT((PayEmp=$C168)*(PayDate&lt;=$AC168)*(OFFSET($N$6,1,MATCH(AV$5,PayDedList,0)-1,PayCount,1)))/$AA168*12*AV$3,IF(OR(AV$1="Fixed",AV$1="Not Used"),SUMPRODUCT((PayEmp=$C168)*(PayDate&lt;=$AC168)*(OFFSET($N$6,1,MATCH(AV$5,PayDedList,0)-1,PayCount,1)))/$AA168*12*AV$3,IF(ISNA(MATCH(OFFSET($N$2,0,MATCH(AV$5,PayDedList,0)-1,1,1),EarnListItem,0))=FALSE,SUMPRODUCT((PayEmp=$C168)*(PayDate&lt;=$AC168)*(OFFSET($N$6,1,MATCH(AV$5,PayDedList,0)-1,PayCount,1)))/$AA168*12*AV$3,(MIN(SUMPRODUCT((PayEmp=$C168)*(PayDate&lt;=$AC168)*(ISERROR(SEARCH(PayEarnCode,AV$2)))*(PayEarnType="Monthly")*(PayEarnValues))/$AA168*12,IF(ISNUMBER(OFFSET($N$3,0,MATCH(AV$5,PayDedList,0)-1,1,1)),OFFSET($N$3,0,MATCH(AV$5,PayDedList,0)-1,1,1),IgnoreMin)))*IF(COUNTIFS(EmpNo,$C168,OFFSET(Emp!$R$4,1,MATCH(AV$5,DedListItem,0)-1,EmpCount,1),"&lt;&gt;")&gt;0,VLOOKUP($C168,EmpAll,COLUMN(Emp!$R$4)+MATCH(AV$5,DedListItem,0)-1,0),OFFSET(Setup!$E$73,MATCH(AV$5,DedListItem,0),0,1,1))*AV$3))),IF(ISNUMBER(AV$4),AV$4,IgnoreMin)))))</f>
        <v>0</v>
      </c>
      <c r="AW168" s="148" cm="1">
        <f t="array" aca="1" ref="AW168" ca="1">-IF($F168="Terminated",0,IF($AA168=0,0,IF(ISNA(MATCH(AW$5,PayDedList,0)),0,MIN(IF(COUNTIFS(OverEmp,$C168,OverDeduct,AW$5,OverDate,"&lt;"&amp;DATE(YEAR($AC168),MONTH($AC168)+1,1),OverEnd,"&gt;="&amp;DATE(YEAR($AC168),MONTH($AC168),1))&gt;0,SUMPRODUCT((PayEmp=$C168)*(PayDate&lt;=$AC168)*(OFFSET($N$6,1,MATCH(AW$5,PayDedList,0)-1,PayCount,1)))/$AA168*12*AW$3,IF(OR(AW$1="Fixed",AW$1="Not Used"),SUMPRODUCT((PayEmp=$C168)*(PayDate&lt;=$AC168)*(OFFSET($N$6,1,MATCH(AW$5,PayDedList,0)-1,PayCount,1)))/$AA168*12*AW$3,IF(ISNA(MATCH(OFFSET($N$2,0,MATCH(AW$5,PayDedList,0)-1,1,1),EarnListItem,0))=FALSE,SUMPRODUCT((PayEmp=$C168)*(PayDate&lt;=$AC168)*(OFFSET($N$6,1,MATCH(AW$5,PayDedList,0)-1,PayCount,1)))/$AA168*12*AW$3,(MIN(SUMPRODUCT((PayEmp=$C168)*(PayDate&lt;=$AC168)*(ISERROR(SEARCH(PayEarnCode,AW$2)))*(PayEarnType="Monthly")*(PayEarnValues))/$AA168*12,IF(ISNUMBER(OFFSET($N$3,0,MATCH(AW$5,PayDedList,0)-1,1,1)),OFFSET($N$3,0,MATCH(AW$5,PayDedList,0)-1,1,1),IgnoreMin)))*IF(COUNTIFS(EmpNo,$C168,OFFSET(Emp!$R$4,1,MATCH(AW$5,DedListItem,0)-1,EmpCount,1),"&lt;&gt;")&gt;0,VLOOKUP($C168,EmpAll,COLUMN(Emp!$R$4)+MATCH(AW$5,DedListItem,0)-1,0),OFFSET(Setup!$E$73,MATCH(AW$5,DedListItem,0),0,1,1))*AW$3))),IF(ISNUMBER(AW$4),AW$4,IgnoreMin)))))</f>
        <v>0</v>
      </c>
      <c r="AX168" s="148">
        <f t="shared" ca="1" si="88"/>
        <v>61090.909090909088</v>
      </c>
      <c r="AY168" s="148">
        <f t="shared" ca="1" si="89"/>
        <v>5000</v>
      </c>
      <c r="AZ168" s="148">
        <f ca="1">IF(ISNUMBER($AL168),($AR168*$AL168)-$AI168-$AK168,MAX(0,IF($AL168="B",IF($AR168&lt;Setup!$C$32,($AR168*Setup!$D$32)-$AI168-$AK168,(($AR168-VLOOKUP($AR168,TaxAll2,1,1))*OFFSET(Setup!$D$32,MATCH($AR168,TaxBracket2,1),0,1,1))+OFFSET(Setup!$E$31,MATCH($AR168,TaxBracket2,1),0,1,1)-$AI168-$AK168),IF($AR168&lt;Setup!$C$21,($AR168*Setup!$D$21)-$AI168-$AK168,(($AR168-VLOOKUP($AR168,TaxAll1,1,1))*OFFSET(Setup!$D$21,MATCH($AR168,TaxBracket1,1),0,1,1))+OFFSET(Setup!$E$20,MATCH($AR168,TaxBracket1,1),0,1,1)-$AI168-$AK168))))</f>
        <v>0</v>
      </c>
      <c r="BA168" s="148">
        <f ca="1">IF(ISNUMBER($AL168),($AX168*$AL168)-$AI168-$AK168,MAX(0,IF($AL168="B",IF($AX168&lt;Setup!$C$32,($AX168*Setup!$D$32)-$AI168-$AK168,(($AX168-VLOOKUP($AX168,TaxAll2,1,1))*OFFSET(Setup!$D$32,MATCH($AX168,TaxBracket2,1),0,1,1))+OFFSET(Setup!$E$31,MATCH($AX168,TaxBracket2,1),0,1,1)-$AI168-$AK168),IF($AX168&lt;Setup!$C$21,($AX168*Setup!$D$21)-$AI168-$AK168,(($AX168-VLOOKUP($AX168,TaxAll1,1,1))*OFFSET(Setup!$D$21,MATCH($AX168,TaxBracket1,1),0,1,1))+OFFSET(Setup!$E$20,MATCH($AX168,TaxBracket1,1),0,1,1)-$AI168-$AK168))))</f>
        <v>0</v>
      </c>
      <c r="BB168" s="148">
        <f t="shared" ca="1" si="82"/>
        <v>0</v>
      </c>
      <c r="BC168" s="150">
        <f t="shared" ca="1" si="75"/>
        <v>0.92434662998624484</v>
      </c>
      <c r="BD168" s="150">
        <f t="shared" ca="1" si="76"/>
        <v>7.5653370013755161E-2</v>
      </c>
      <c r="BE168" s="148">
        <f t="shared" ca="1" si="77"/>
        <v>66090.909090909088</v>
      </c>
    </row>
    <row r="169" spans="1:57" ht="16.149999999999999" customHeight="1" x14ac:dyDescent="0.25">
      <c r="A169" s="10" t="str" cm="1">
        <f t="array" aca="1" ref="A169" ca="1">IF(ROW($A169)-ROW($A$6)&gt;EmpCount*12,"-",TEXT($B169,"yyyy")&amp;TEXT($B169,"mm")&amp;"-"&amp;$C169)</f>
        <v>202401-EXS013</v>
      </c>
      <c r="B169" s="137" cm="1">
        <f t="array" aca="1" ref="B169" ca="1">IF(ROW($A169)-ROW($A$6)&gt;EmpCount*12,Setup!$D$12,DATE(YEAR(Setup!$F$12),MONTH(Setup!$F$12)+ROUNDDOWN((ROW($A169)-ROW($A$6)-1)/EmpCount,0),IF(Setup!$C$14&gt;DAY(DATE(YEAR(Setup!$F$12),MONTH(Setup!$F$12)+ROUNDDOWN((ROW($A169)-ROW($A$6)-1)/EmpCount,0)+1,0)),DAY(DATE(YEAR(Setup!$F$12),MONTH(Setup!$F$12)+ROUNDDOWN((ROW($A169)-ROW($A$6)-1)/EmpCount,0)+1,0)),Setup!$C$14)))</f>
        <v>45316</v>
      </c>
      <c r="C169" s="101" t="str" cm="1">
        <f t="array" aca="1" ref="C169" ca="1">IF(ROW($A169)-ROW($A$6)&gt;EmpCount*12,"-",OFFSET(Emp!$A$4,ROW($A169)-ROW($A$6)-IF(ROW($A169)-ROW($A$6)&gt;EmpCount,ROUNDDOWN((ROW($A169)-ROW($A$6)-1)/EmpCount,0)*EmpCount,0),0,1,1))</f>
        <v>EXS013</v>
      </c>
      <c r="D169" s="10" t="str">
        <f ca="1">IF(ISNA(VLOOKUP($C169,EmpAll,COLUMN(Emp!$B$4),0)),"-",VLOOKUP($C169,EmpAll,COLUMN(Emp!$B$4),0))</f>
        <v>East WD</v>
      </c>
      <c r="E169" s="145" t="str">
        <f ca="1">IF(ISNA(VLOOKUP($C169,EmpAll,COLUMN(Emp!$C$4),0)),"-",VLOOKUP($C169,EmpAll,COLUMN(Emp!$C$4),0))</f>
        <v>A</v>
      </c>
      <c r="F169" s="101" t="str">
        <f ca="1">IF(ISNA(VLOOKUP($C169,EmpAll,COLUMN(Emp!$A$4),0)),"-",IF(AND(VLOOKUP($C169,EmpAll,COLUMN(Emp!$E$4),0)&lt;&gt;0,VLOOKUP($C169,EmpAll,COLUMN(Emp!$E$4),0)&gt;=DATE(YEAR($AC169),MONTH($AC169)+1,0)),"Inactive",IF(AND(VLOOKUP($C169,EmpAll,COLUMN(Emp!$F$4),0)&lt;&gt;0,VLOOKUP($C169,EmpAll,COLUMN(Emp!$F$4),0)&lt;=DATE(YEAR($AC169),MONTH($AC169),0)),"Terminated","Active")))</f>
        <v>Active</v>
      </c>
      <c r="G169" s="133" cm="1">
        <f t="array" aca="1" ref="G169" ca="1">IF($F169&lt;&gt;"Active",0,IF(COUNTIFS(OverEmp,$C169,OverEarn,G$2,OverDate,"&lt;"&amp;DATE(YEAR($AC169),MONTH($AC169)+1,1),OverEnd,"&gt;="&amp;DATE(YEAR($AC169),MONTH($AC169),1))&gt;0,SUMIFS(OverValue,OverEmp,$C169,OverEarn,G$2,OverDate,"&lt;"&amp;DATE(YEAR($AC169),MONTH($AC169)+1,1),OverEnd,"&gt;="&amp;DATE(YEAR($AC169),MONTH($AC169),1)),IF(AND($AC169&gt;=Setup!$E$10,SUMIFS(EmpIncrease,EmpCode,$C169)&gt;0),SUMIFS(EmpIncrease,EmpCode,$C169),SUMIFS(EmpSalary,EmpCode,$C169))))</f>
        <v>6000</v>
      </c>
      <c r="H169" s="133" cm="1">
        <f t="array" aca="1" ref="H169" ca="1">IF($F169&lt;&gt;"Active",0,IF(COUNTIFS(OverEmp,$C169,OverEarn,H$2,OverDate,"&lt;"&amp;DATE(YEAR($AC169),MONTH($AC169)+1,1),OverEnd,"&gt;="&amp;DATE(YEAR($AC169),MONTH($AC169),1))&gt;0,SUMIFS(OverValue,OverEmp,$C169,OverEarn,H$2,OverDate,"&lt;"&amp;DATE(YEAR($AC169),MONTH($AC169)+1,1),OverEnd,"&gt;="&amp;DATE(YEAR($AC169),MONTH($AC169),1)),0))</f>
        <v>0</v>
      </c>
      <c r="I169" s="133" cm="1">
        <f t="array" aca="1" ref="I169" ca="1">IF($F169&lt;&gt;"Active",0,IF(COUNTIFS(OverEmp,$C169,OverEarn,I$2,OverDate,"&lt;"&amp;DATE(YEAR($AC169),MONTH($AC169)+1,1),OverEnd,"&gt;="&amp;DATE(YEAR($AC169),MONTH($AC169),1))&gt;0,SUMIFS(OverValue,OverEmp,$C169,OverEarn,I$2,OverDate,"&lt;"&amp;DATE(YEAR($AC169),MONTH($AC169)+1,1),OverEnd,"&gt;="&amp;DATE(YEAR($AC169),MONTH($AC169),1)),IF(MONTH(B169)=Setup!$C$15,SUMIFS(EmpBonus,EmpCode,$C169),0)))</f>
        <v>0</v>
      </c>
      <c r="J169" s="133" cm="1">
        <f t="array" aca="1" ref="J169" ca="1">IF($F169&lt;&gt;"Active",0,IF(COUNTIFS(OverEmp,$C169,OverEarn,J$2,OverDate,"&lt;"&amp;DATE(YEAR($AC169),MONTH($AC169)+1,1),OverEnd,"&gt;="&amp;DATE(YEAR($AC169),MONTH($AC169),1))&gt;0,SUMIFS(OverValue,OverEmp,$C169,OverEarn,J$2,OverDate,"&lt;"&amp;DATE(YEAR($AC169),MONTH($AC169)+1,1),OverEnd,"&gt;="&amp;DATE(YEAR($AC169),MONTH($AC169),1)),0))</f>
        <v>0</v>
      </c>
      <c r="K169" s="133" cm="1">
        <f t="array" aca="1" ref="K169" ca="1">IF($F169&lt;&gt;"Active",0,IF(COUNTIFS(OverEmp,$C169,OverEarn,K$2,OverDate,"&lt;"&amp;DATE(YEAR($AC169),MONTH($AC169)+1,1),OverEnd,"&gt;="&amp;DATE(YEAR($AC169),MONTH($AC169),1))&gt;0,SUMIFS(OverValue,OverEmp,$C169,OverEarn,K$2,OverDate,"&lt;"&amp;DATE(YEAR($AC169),MONTH($AC169)+1,1),OverEnd,"&gt;="&amp;DATE(YEAR($AC169),MONTH($AC169),1)),0))</f>
        <v>0</v>
      </c>
      <c r="L169" s="185">
        <f t="shared" ca="1" si="84"/>
        <v>6000</v>
      </c>
      <c r="M169" s="182" cm="1">
        <f t="array" aca="1" ref="M169" ca="1">IF(COUNTIFS(OverEmp,$C169,OverTax,M$5,OverDate,"&lt;"&amp;DATE(YEAR($AC169),MONTH($AC169)+1,1),OverEnd,"&gt;="&amp;DATE(YEAR($AC169),MONTH($AC169),1))&gt;0,SUMIFS(OverValue,OverEmp,$C169,OverTax,M$5,OverDate,"&lt;"&amp;DATE(YEAR($AC169),MONTH($AC169)+1,1),OverEnd,"&gt;="&amp;DATE(YEAR($AC169),MONTH($AC169),1)),(($BA169/12*$AA169)+(BB169*IF(1-$BC169=0,0,BD169/(1-$BC169))))-IF($F169="Terminated",0,SUMIFS(PayTaxDeduct,PayDate,"&lt;"&amp;$AC169,PayEmp,$C169)))</f>
        <v>0</v>
      </c>
      <c r="N169" s="133" cm="1">
        <f t="array" aca="1" ref="N169" ca="1">IF($F169="Terminated",0,IF($AA169=0,0,IF(ISNA(MATCH(N$5,DedListItem,0)),0,IF(COUNTIFS(OverEmp,$C169,OverDeduct,N$5,OverDate,"&lt;"&amp;DATE(YEAR($AC169),MONTH($AC169)+1,1),OverEnd,"&gt;="&amp;DATE(YEAR($AC169),MONTH($AC169),1))&gt;0,SUMIFS(OverValue,OverEmp,$C169,OverDeduct,N$5,OverDate,"&lt;"&amp;DATE(YEAR($AC169),MONTH($AC169)+1,1),OverEnd,"&gt;="&amp;DATE(YEAR($AC169),MONTH($AC169),1)),IF(OR(N$2="Fixed",N$2="Not Used"),(IF(COUNTIFS(EmpNo,$C169,OFFSET(Emp!$R$4,1,MATCH(N$5,DedListItem,0)-1,EmpCount,1),"&lt;&gt;")&gt;0,VLOOKUP($C169,EmpAll,COLUMN(Emp!$R$4)+MATCH(N$5,DedListItem,0)-1,0),OFFSET(Setup!$E$73,MATCH(N$5,DedListItem,0),0,1,1))*$AA169)-SUMIFS(OFFSET(N$6,1,0,PayCount,1),PayDate,"&lt;"&amp;$AC169,PayEmp,$C169),IF(ISNA(MATCH(N$2,EarnListItem,0))=FALSE,IF(OFFSET(Setup!$G$73,MATCH(N$5,DedListItem,0),0,1,1)="Taxable",SUMPRODUCT((PayEmp=$C169)*(PayDate&lt;=$AC169)*(PayEarnCode=N$2)*(PayEarnTax)*(PayEarnValues)),SUMPRODUCT((PayEmp=$C169)*(PayDate&lt;=$AC169)*(PayEarnCode=N$2)*(PayEarnValues)))*IF(COUNTIFS(EmpNo,$C169,OFFSET(Emp!$R$4,1,MATCH(N$5,DedListItem,0)-1,EmpCount,1),"&lt;&gt;")&gt;0,VLOOKUP($C169,EmpAll,COLUMN(Emp!$R$4)+MATCH(N$5,DedListItem,0)-1,0),OFFSET(Setup!$E$73,MATCH(N$5,DedListItem,0),0,1,1)),(MIN(IF(OFFSET(Setup!$G$73,MATCH(N$5,DedListItem,0),0,1,1)="Taxable",SUMPRODUCT((PayEmp=$C169)*(PayDate&lt;=$AC169)*(ISERROR(SEARCH(PayEarnCode,N$4)))*(PayEarnTax)*(PayEarnValues)),SUMPRODUCT((PayEmp=$C169)*(PayDate&lt;=$AC169)*(ISERROR(SEARCH(PayEarnCode,N$4)))*(PayEarnValues))),IF(ISNUMBER(N$3),N$3/12*$AA169,IgnoreMin)))*IF(COUNTIFS(EmpNo,$C169,OFFSET(Emp!$R$4,1,MATCH(N$5,DedListItem,0)-1,EmpCount,1),"&lt;&gt;")&gt;0,VLOOKUP($C169,EmpAll,COLUMN(Emp!$R$4)+MATCH(N$5,DedListItem,0)-1,0),OFFSET(Setup!$E$73,MATCH(N$5,DedListItem,0),0,1,1)))-SUMIFS(OFFSET(N$6,1,0,PayCount,1),PayDate,"&lt;"&amp;$AC169,PayEmp,$C169))))))</f>
        <v>60</v>
      </c>
      <c r="O169" s="133" cm="1">
        <f t="array" aca="1" ref="O169" ca="1">IF($F169="Terminated",0,IF($AA169=0,0,IF(ISNA(MATCH(O$5,DedListItem,0)),0,IF(COUNTIFS(OverEmp,$C169,OverDeduct,O$5,OverDate,"&lt;"&amp;DATE(YEAR($AC169),MONTH($AC169)+1,1),OverEnd,"&gt;="&amp;DATE(YEAR($AC169),MONTH($AC169),1))&gt;0,SUMIFS(OverValue,OverEmp,$C169,OverDeduct,O$5,OverDate,"&lt;"&amp;DATE(YEAR($AC169),MONTH($AC169)+1,1),OverEnd,"&gt;="&amp;DATE(YEAR($AC169),MONTH($AC169),1)),IF(OR(O$2="Fixed",O$2="Not Used"),(IF(COUNTIFS(EmpNo,$C169,OFFSET(Emp!$R$4,1,MATCH(O$5,DedListItem,0)-1,EmpCount,1),"&lt;&gt;")&gt;0,VLOOKUP($C169,EmpAll,COLUMN(Emp!$R$4)+MATCH(O$5,DedListItem,0)-1,0),OFFSET(Setup!$E$73,MATCH(O$5,DedListItem,0),0,1,1))*$AA169)-SUMIFS(OFFSET(O$6,1,0,PayCount,1),PayDate,"&lt;"&amp;$AC169,PayEmp,$C169),IF(ISNA(MATCH(O$2,EarnListItem,0))=FALSE,IF(OFFSET(Setup!$G$73,MATCH(O$5,DedListItem,0),0,1,1)="Taxable",SUMPRODUCT((PayEmp=$C169)*(PayDate&lt;=$AC169)*(PayEarnCode=O$2)*(PayEarnTax)*(PayEarnValues)),SUMPRODUCT((PayEmp=$C169)*(PayDate&lt;=$AC169)*(PayEarnCode=O$2)*(PayEarnValues)))*IF(COUNTIFS(EmpNo,$C169,OFFSET(Emp!$R$4,1,MATCH(O$5,DedListItem,0)-1,EmpCount,1),"&lt;&gt;")&gt;0,VLOOKUP($C169,EmpAll,COLUMN(Emp!$R$4)+MATCH(O$5,DedListItem,0)-1,0),OFFSET(Setup!$E$73,MATCH(O$5,DedListItem,0),0,1,1)),(MIN(IF(OFFSET(Setup!$G$73,MATCH(O$5,DedListItem,0),0,1,1)="Taxable",SUMPRODUCT((PayEmp=$C169)*(PayDate&lt;=$AC169)*(ISERROR(SEARCH(PayEarnCode,O$4)))*(PayEarnTax)*(PayEarnValues)),SUMPRODUCT((PayEmp=$C169)*(PayDate&lt;=$AC169)*(ISERROR(SEARCH(PayEarnCode,O$4)))*(PayEarnValues))),IF(ISNUMBER(O$3),O$3/12*$AA169,IgnoreMin)))*IF(COUNTIFS(EmpNo,$C169,OFFSET(Emp!$R$4,1,MATCH(O$5,DedListItem,0)-1,EmpCount,1),"&lt;&gt;")&gt;0,VLOOKUP($C169,EmpAll,COLUMN(Emp!$R$4)+MATCH(O$5,DedListItem,0)-1,0),OFFSET(Setup!$E$73,MATCH(O$5,DedListItem,0),0,1,1)))-SUMIFS(OFFSET(O$6,1,0,PayCount,1),PayDate,"&lt;"&amp;$AC169,PayEmp,$C169))))))</f>
        <v>0</v>
      </c>
      <c r="P169" s="133" cm="1">
        <f t="array" aca="1" ref="P169" ca="1">IF($F169="Terminated",0,IF($AA169=0,0,IF(ISNA(MATCH(P$5,DedListItem,0)),0,IF(COUNTIFS(OverEmp,$C169,OverDeduct,P$5,OverDate,"&lt;"&amp;DATE(YEAR($AC169),MONTH($AC169)+1,1),OverEnd,"&gt;="&amp;DATE(YEAR($AC169),MONTH($AC169),1))&gt;0,SUMIFS(OverValue,OverEmp,$C169,OverDeduct,P$5,OverDate,"&lt;"&amp;DATE(YEAR($AC169),MONTH($AC169)+1,1),OverEnd,"&gt;="&amp;DATE(YEAR($AC169),MONTH($AC169),1)),IF(OR(P$2="Fixed",P$2="Not Used"),(IF(COUNTIFS(EmpNo,$C169,OFFSET(Emp!$R$4,1,MATCH(P$5,DedListItem,0)-1,EmpCount,1),"&lt;&gt;")&gt;0,VLOOKUP($C169,EmpAll,COLUMN(Emp!$R$4)+MATCH(P$5,DedListItem,0)-1,0),OFFSET(Setup!$E$73,MATCH(P$5,DedListItem,0),0,1,1))*$AA169)-SUMIFS(OFFSET(P$6,1,0,PayCount,1),PayDate,"&lt;"&amp;$AC169,PayEmp,$C169),IF(ISNA(MATCH(P$2,EarnListItem,0))=FALSE,IF(OFFSET(Setup!$G$73,MATCH(P$5,DedListItem,0),0,1,1)="Taxable",SUMPRODUCT((PayEmp=$C169)*(PayDate&lt;=$AC169)*(PayEarnCode=P$2)*(PayEarnTax)*(PayEarnValues)),SUMPRODUCT((PayEmp=$C169)*(PayDate&lt;=$AC169)*(PayEarnCode=P$2)*(PayEarnValues)))*IF(COUNTIFS(EmpNo,$C169,OFFSET(Emp!$R$4,1,MATCH(P$5,DedListItem,0)-1,EmpCount,1),"&lt;&gt;")&gt;0,VLOOKUP($C169,EmpAll,COLUMN(Emp!$R$4)+MATCH(P$5,DedListItem,0)-1,0),OFFSET(Setup!$E$73,MATCH(P$5,DedListItem,0),0,1,1)),(MIN(IF(OFFSET(Setup!$G$73,MATCH(P$5,DedListItem,0),0,1,1)="Taxable",SUMPRODUCT((PayEmp=$C169)*(PayDate&lt;=$AC169)*(ISERROR(SEARCH(PayEarnCode,P$4)))*(PayEarnTax)*(PayEarnValues)),SUMPRODUCT((PayEmp=$C169)*(PayDate&lt;=$AC169)*(ISERROR(SEARCH(PayEarnCode,P$4)))*(PayEarnValues))),IF(ISNUMBER(P$3),P$3/12*$AA169,IgnoreMin)))*IF(COUNTIFS(EmpNo,$C169,OFFSET(Emp!$R$4,1,MATCH(P$5,DedListItem,0)-1,EmpCount,1),"&lt;&gt;")&gt;0,VLOOKUP($C169,EmpAll,COLUMN(Emp!$R$4)+MATCH(P$5,DedListItem,0)-1,0),OFFSET(Setup!$E$73,MATCH(P$5,DedListItem,0),0,1,1)))-SUMIFS(OFFSET(P$6,1,0,PayCount,1),PayDate,"&lt;"&amp;$AC169,PayEmp,$C169))))))</f>
        <v>0</v>
      </c>
      <c r="Q169" s="133" cm="1">
        <f t="array" aca="1" ref="Q169" ca="1">IF($F169="Terminated",0,IF($AA169=0,0,IF(ISNA(MATCH(Q$5,DedListItem,0)),0,IF(COUNTIFS(OverEmp,$C169,OverDeduct,Q$5,OverDate,"&lt;"&amp;DATE(YEAR($AC169),MONTH($AC169)+1,1),OverEnd,"&gt;="&amp;DATE(YEAR($AC169),MONTH($AC169),1))&gt;0,SUMIFS(OverValue,OverEmp,$C169,OverDeduct,Q$5,OverDate,"&lt;"&amp;DATE(YEAR($AC169),MONTH($AC169)+1,1),OverEnd,"&gt;="&amp;DATE(YEAR($AC169),MONTH($AC169),1)),IF(OR(Q$2="Fixed",Q$2="Not Used"),(IF(COUNTIFS(EmpNo,$C169,OFFSET(Emp!$R$4,1,MATCH(Q$5,DedListItem,0)-1,EmpCount,1),"&lt;&gt;")&gt;0,VLOOKUP($C169,EmpAll,COLUMN(Emp!$R$4)+MATCH(Q$5,DedListItem,0)-1,0),OFFSET(Setup!$E$73,MATCH(Q$5,DedListItem,0),0,1,1))*$AA169)-SUMIFS(OFFSET(Q$6,1,0,PayCount,1),PayDate,"&lt;"&amp;$AC169,PayEmp,$C169),IF(ISNA(MATCH(Q$2,EarnListItem,0))=FALSE,IF(OFFSET(Setup!$G$73,MATCH(Q$5,DedListItem,0),0,1,1)="Taxable",SUMPRODUCT((PayEmp=$C169)*(PayDate&lt;=$AC169)*(PayEarnCode=Q$2)*(PayEarnTax)*(PayEarnValues)),SUMPRODUCT((PayEmp=$C169)*(PayDate&lt;=$AC169)*(PayEarnCode=Q$2)*(PayEarnValues)))*IF(COUNTIFS(EmpNo,$C169,OFFSET(Emp!$R$4,1,MATCH(Q$5,DedListItem,0)-1,EmpCount,1),"&lt;&gt;")&gt;0,VLOOKUP($C169,EmpAll,COLUMN(Emp!$R$4)+MATCH(Q$5,DedListItem,0)-1,0),OFFSET(Setup!$E$73,MATCH(Q$5,DedListItem,0),0,1,1)),(MIN(IF(OFFSET(Setup!$G$73,MATCH(Q$5,DedListItem,0),0,1,1)="Taxable",SUMPRODUCT((PayEmp=$C169)*(PayDate&lt;=$AC169)*(ISERROR(SEARCH(PayEarnCode,Q$4)))*(PayEarnTax)*(PayEarnValues)),SUMPRODUCT((PayEmp=$C169)*(PayDate&lt;=$AC169)*(ISERROR(SEARCH(PayEarnCode,Q$4)))*(PayEarnValues))),IF(ISNUMBER(Q$3),Q$3/12*$AA169,IgnoreMin)))*IF(COUNTIFS(EmpNo,$C169,OFFSET(Emp!$R$4,1,MATCH(Q$5,DedListItem,0)-1,EmpCount,1),"&lt;&gt;")&gt;0,VLOOKUP($C169,EmpAll,COLUMN(Emp!$R$4)+MATCH(Q$5,DedListItem,0)-1,0),OFFSET(Setup!$E$73,MATCH(Q$5,DedListItem,0),0,1,1)))-SUMIFS(OFFSET(Q$6,1,0,PayCount,1),PayDate,"&lt;"&amp;$AC169,PayEmp,$C169))))))</f>
        <v>0</v>
      </c>
      <c r="R169" s="185">
        <f t="shared" ca="1" si="85"/>
        <v>60</v>
      </c>
      <c r="S169" s="139">
        <f t="shared" ca="1" si="86"/>
        <v>5940</v>
      </c>
      <c r="T169" s="133" cm="1">
        <f t="array" aca="1" ref="T169" ca="1">IF($F169="Terminated",0,IF($AA169=0,0,IF(ISNA(MATCH(T$5,CompListItem,0)),0,IF(COUNTIFS(OverEmp,$C169,OverComp,T$5,OverDate,"&lt;"&amp;DATE(YEAR($AC169),MONTH($AC169)+1,1),OverEnd,"&gt;="&amp;DATE(YEAR($AC169),MONTH($AC169),1))&gt;0,SUMIFS(OverValue,OverEmp,$C169,OverComp,T$5,OverDate,"&lt;"&amp;DATE(YEAR($AC169),MONTH($AC169)+1,1),OverEnd,"&gt;="&amp;DATE(YEAR($AC169),MONTH($AC169),1)),IF(OR(T$2="Fixed",T$2="Not Used"),(OFFSET(Setup!$E$81,MATCH(T$5,CompListItem,0),0,1,1)*$AA169)-SUMIFS(OFFSET(T$6,1,0,PayCount,1),PayDate,"&lt;"&amp;$AC169,PayEmp,$C169),IF(ISNA(MATCH(T$2,DedListItem,0))=FALSE,(SUMPRODUCT((PayEmp=$C169)*(PayDate&lt;=$AC169)*(PayDedList=T$2)*(PayDedValues))*OFFSET(Setup!$E$81,MATCH(T$5,CompListItem,0),0,1,1))-SUMIFS(OFFSET(T$6,1,0,PayCount,1),PayDate,"&lt;"&amp;$AC169,PayEmp,$C169),(MIN(IF(OFFSET(Setup!$G$81,MATCH(T$5,CompListItem,0),0,1,1)="Taxable",SUMPRODUCT((PayEmp=$C169)*(PayDate&lt;=$AC169)*(ISERROR(SEARCH(PayEarnCode,T$4)))*(PayEarnTax)*(PayEarnValues)),SUMPRODUCT((PayEmp=$C169)*(PayDate&lt;=$AC169)*(ISERROR(SEARCH(PayEarnCode,T$4)))*(PayEarnValues))),IF(ISNUMBER(T$3),T$3/12*$AA169,IgnoreMin)))*OFFSET(Setup!$E$81,MATCH(T$5,CompListItem,0),0,1,1)-SUMIFS(OFFSET(T$6,1,0,PayCount,1),PayDate,"&lt;"&amp;$AC169,PayEmp,$C169)))))))</f>
        <v>60</v>
      </c>
      <c r="U169" s="133" cm="1">
        <f t="array" aca="1" ref="U169" ca="1">IF($F169="Terminated",0,IF($AA169=0,0,IF(ISNA(MATCH(U$5,CompListItem,0)),0,IF(COUNTIFS(OverEmp,$C169,OverComp,U$5,OverDate,"&lt;"&amp;DATE(YEAR($AC169),MONTH($AC169)+1,1),OverEnd,"&gt;="&amp;DATE(YEAR($AC169),MONTH($AC169),1))&gt;0,SUMIFS(OverValue,OverEmp,$C169,OverComp,U$5,OverDate,"&lt;"&amp;DATE(YEAR($AC169),MONTH($AC169)+1,1),OverEnd,"&gt;="&amp;DATE(YEAR($AC169),MONTH($AC169),1)),IF(OR(U$2="Fixed",U$2="Not Used"),(OFFSET(Setup!$E$81,MATCH(U$5,CompListItem,0),0,1,1)*$AA169)-SUMIFS(OFFSET(U$6,1,0,PayCount,1),PayDate,"&lt;"&amp;$AC169,PayEmp,$C169),IF(ISNA(MATCH(U$2,DedListItem,0))=FALSE,(SUMPRODUCT((PayEmp=$C169)*(PayDate&lt;=$AC169)*(PayDedList=U$2)*(PayDedValues))*OFFSET(Setup!$E$81,MATCH(U$5,CompListItem,0),0,1,1))-SUMIFS(OFFSET(U$6,1,0,PayCount,1),PayDate,"&lt;"&amp;$AC169,PayEmp,$C169),(MIN(IF(OFFSET(Setup!$G$81,MATCH(U$5,CompListItem,0),0,1,1)="Taxable",SUMPRODUCT((PayEmp=$C169)*(PayDate&lt;=$AC169)*(ISERROR(SEARCH(PayEarnCode,U$4)))*(PayEarnTax)*(PayEarnValues)),SUMPRODUCT((PayEmp=$C169)*(PayDate&lt;=$AC169)*(ISERROR(SEARCH(PayEarnCode,U$4)))*(PayEarnValues))),IF(ISNUMBER(U$3),U$3/12*$AA169,IgnoreMin)))*OFFSET(Setup!$E$81,MATCH(U$5,CompListItem,0),0,1,1)-SUMIFS(OFFSET(U$6,1,0,PayCount,1),PayDate,"&lt;"&amp;$AC169,PayEmp,$C169)))))))</f>
        <v>60</v>
      </c>
      <c r="V169" s="133" cm="1">
        <f t="array" aca="1" ref="V169" ca="1">IF($F169="Terminated",0,IF($AA169=0,0,IF(ISNA(MATCH(V$5,CompListItem,0)),0,IF(COUNTIFS(OverEmp,$C169,OverComp,V$5,OverDate,"&lt;"&amp;DATE(YEAR($AC169),MONTH($AC169)+1,1),OverEnd,"&gt;="&amp;DATE(YEAR($AC169),MONTH($AC169),1))&gt;0,SUMIFS(OverValue,OverEmp,$C169,OverComp,V$5,OverDate,"&lt;"&amp;DATE(YEAR($AC169),MONTH($AC169)+1,1),OverEnd,"&gt;="&amp;DATE(YEAR($AC169),MONTH($AC169),1)),IF(OR(V$2="Fixed",V$2="Not Used"),(OFFSET(Setup!$E$81,MATCH(V$5,CompListItem,0),0,1,1)*$AA169)-SUMIFS(OFFSET(V$6,1,0,PayCount,1),PayDate,"&lt;"&amp;$AC169,PayEmp,$C169),IF(ISNA(MATCH(V$2,DedListItem,0))=FALSE,(SUMPRODUCT((PayEmp=$C169)*(PayDate&lt;=$AC169)*(PayDedList=V$2)*(PayDedValues))*OFFSET(Setup!$E$81,MATCH(V$5,CompListItem,0),0,1,1))-SUMIFS(OFFSET(V$6,1,0,PayCount,1),PayDate,"&lt;"&amp;$AC169,PayEmp,$C169),(MIN(IF(OFFSET(Setup!$G$81,MATCH(V$5,CompListItem,0),0,1,1)="Taxable",SUMPRODUCT((PayEmp=$C169)*(PayDate&lt;=$AC169)*(ISERROR(SEARCH(PayEarnCode,V$4)))*(PayEarnTax)*(PayEarnValues)),SUMPRODUCT((PayEmp=$C169)*(PayDate&lt;=$AC169)*(ISERROR(SEARCH(PayEarnCode,V$4)))*(PayEarnValues))),IF(ISNUMBER(V$3),V$3/12*$AA169,IgnoreMin)))*OFFSET(Setup!$E$81,MATCH(V$5,CompListItem,0),0,1,1)-SUMIFS(OFFSET(V$6,1,0,PayCount,1),PayDate,"&lt;"&amp;$AC169,PayEmp,$C169)))))))</f>
        <v>0</v>
      </c>
      <c r="W169" s="133" cm="1">
        <f t="array" aca="1" ref="W169" ca="1">IF($F169="Terminated",0,IF($AA169=0,0,IF(ISNA(MATCH(W$5,CompListItem,0)),0,IF(COUNTIFS(OverEmp,$C169,OverComp,W$5,OverDate,"&lt;"&amp;DATE(YEAR($AC169),MONTH($AC169)+1,1),OverEnd,"&gt;="&amp;DATE(YEAR($AC169),MONTH($AC169),1))&gt;0,SUMIFS(OverValue,OverEmp,$C169,OverComp,W$5,OverDate,"&lt;"&amp;DATE(YEAR($AC169),MONTH($AC169)+1,1),OverEnd,"&gt;="&amp;DATE(YEAR($AC169),MONTH($AC169),1)),IF(OR(W$2="Fixed",W$2="Not Used"),(OFFSET(Setup!$E$81,MATCH(W$5,CompListItem,0),0,1,1)*$AA169)-SUMIFS(OFFSET(W$6,1,0,PayCount,1),PayDate,"&lt;"&amp;$AC169,PayEmp,$C169),IF(ISNA(MATCH(W$2,DedListItem,0))=FALSE,(SUMPRODUCT((PayEmp=$C169)*(PayDate&lt;=$AC169)*(PayDedList=W$2)*(PayDedValues))*OFFSET(Setup!$E$81,MATCH(W$5,CompListItem,0),0,1,1))-SUMIFS(OFFSET(W$6,1,0,PayCount,1),PayDate,"&lt;"&amp;$AC169,PayEmp,$C169),(MIN(IF(OFFSET(Setup!$G$81,MATCH(W$5,CompListItem,0),0,1,1)="Taxable",SUMPRODUCT((PayEmp=$C169)*(PayDate&lt;=$AC169)*(ISERROR(SEARCH(PayEarnCode,W$4)))*(PayEarnTax)*(PayEarnValues)),SUMPRODUCT((PayEmp=$C169)*(PayDate&lt;=$AC169)*(ISERROR(SEARCH(PayEarnCode,W$4)))*(PayEarnValues))),IF(ISNUMBER(W$3),W$3/12*$AA169,IgnoreMin)))*OFFSET(Setup!$E$81,MATCH(W$5,CompListItem,0),0,1,1)-SUMIFS(OFFSET(W$6,1,0,PayCount,1),PayDate,"&lt;"&amp;$AC169,PayEmp,$C169)))))))</f>
        <v>0</v>
      </c>
      <c r="X169" s="185">
        <f t="shared" ca="1" si="78"/>
        <v>120</v>
      </c>
      <c r="Y169" s="139">
        <f t="shared" ca="1" si="87"/>
        <v>6120</v>
      </c>
      <c r="Z169" s="139">
        <f t="shared" ca="1" si="79"/>
        <v>180</v>
      </c>
      <c r="AA169" s="146">
        <f ca="1">IF(OR($B169&lt;=Setup!$E$12,$B169&gt;=Setup!$D$12+1),0,IF($F169&lt;&gt;"Active",0,IF($AE169="Yes",$AB169,((YEAR($AC169)*12)+MONTH($AC169))-((YEAR($AD169)*12)+MONTH($AD169)-1))))</f>
        <v>11</v>
      </c>
      <c r="AB169" s="146">
        <f ca="1">IF(OR($B169&lt;=Setup!$E$12,$B169&gt;=Setup!$D$12+1),0,((YEAR($AC169)*12)+MONTH($AC169))-((YEAR(Setup!$E$12)*12)+MONTH(Setup!$E$12)))</f>
        <v>11</v>
      </c>
      <c r="AC169" s="186">
        <f t="shared" ca="1" si="83"/>
        <v>45316</v>
      </c>
      <c r="AD169" s="144">
        <f ca="1">IF(ISNA(VLOOKUP($C169,EmpAll,COLUMN(Emp!$E$4),0)),$AC169,IF(VLOOKUP($C169,EmpAll,COLUMN(Emp!$E$4),0)&lt;=Setup!$E$12,DATE(YEAR(Setup!$E$12),MONTH(Setup!$E$12)+1,1),VLOOKUP($C169,EmpAll,COLUMN(Emp!$E$4),0)))</f>
        <v>44986</v>
      </c>
      <c r="AE169" s="144" t="str">
        <f ca="1">IF(ISNA(VLOOKUP($C169,EmpAll,COLUMN(Emp!$G$1),0)),"-",IF(VLOOKUP($C169,EmpAll,COLUMN(Emp!$G$1),0)=0,"-",VLOOKUP($C169,EmpAll,COLUMN(Emp!$G$1),0)))</f>
        <v>-</v>
      </c>
      <c r="AF169" s="145">
        <f ca="1">IF(A169=PaySlip!$G$3,1,0)</f>
        <v>0</v>
      </c>
      <c r="AG169" s="130" cm="1">
        <f t="array" aca="1" ref="AG169" ca="1">IF(COUNTIFS(OverEmp,$C169,OverMed,"MED",OverDate,"&lt;"&amp;DATE(YEAR($AC169),MONTH($AC169)+1,1),OverEnd,"&gt;="&amp;DATE(YEAR($AC169),MONTH($AC169),1))&gt;0,SUMIFS(OverValue,OverEmp,$C169,OverMed,"MED",OverDate,"&lt;"&amp;DATE(YEAR($AC169),MONTH($AC169)+1,1),OverEnd,"&gt;="&amp;DATE(YEAR($AC169),MONTH($AC169),1)),IF(ISNA(VLOOKUP($C169,EmpAll,COLUMN(Emp!$N$4),0)),0,VLOOKUP($C169,EmpAll,COLUMN(Emp!$N$4),0)))</f>
        <v>0</v>
      </c>
      <c r="AH169" s="146">
        <f ca="1">VLOOKUP($AG169,MedList,COLUMN(Setup!$C$49),1)</f>
        <v>0</v>
      </c>
      <c r="AI169" s="146">
        <f t="shared" ca="1" si="70"/>
        <v>0</v>
      </c>
      <c r="AJ169" s="101" t="str">
        <f ca="1">IF(ISNA(VLOOKUP($C169,EmpAll,COLUMN(Emp!$L$4),0)),"None!",VLOOKUP($C169,EmpAll,COLUMN(Emp!$L$4),0))</f>
        <v>A</v>
      </c>
      <c r="AK169" s="147">
        <f t="shared" ca="1" si="80"/>
        <v>17235</v>
      </c>
      <c r="AL169" s="101" t="str">
        <f ca="1">IF(ISNA(VLOOKUP($C169,Employees[],COLUMN(Emp!$M$4),0))=TRUE,"Error!",IF(VLOOKUP($C169,Employees[],COLUMN(Emp!$M$4),0)=0,"Yes",VLOOKUP($C169,Employees[],COLUMN(Emp!$M$4),0)))</f>
        <v>A</v>
      </c>
      <c r="AM169" s="148">
        <f t="shared" ca="1" si="71"/>
        <v>66090.909090909088</v>
      </c>
      <c r="AN169" s="148" cm="1">
        <f t="array" aca="1" ref="AN169" ca="1">-IF($F169="Terminated",0,IF($AA169=0,0,IF(ISNA(MATCH(AN$5,PayDedList,0)),0,MIN(IF(COUNTIFS(OverEmp,$C169,OverDeduct,AN$5,OverDate,"&lt;"&amp;DATE(YEAR($AC169),MONTH($AC169)+1,1),OverEnd,"&gt;="&amp;DATE(YEAR($AC169),MONTH($AC169),1))&gt;0,SUMPRODUCT((PayEmp=$C169)*(PayDate&lt;=$AC169)*(OFFSET($N$6,1,MATCH(AN$5,PayDedList,0)-1,PayCount,1)))/$AA169*12*AN$3,IF(OR(AN$1="Fixed",AN$1="Not Used"),SUMPRODUCT((PayEmp=$C169)*(PayDate&lt;=$AC169)*(OFFSET($N$6,1,MATCH(AN$5,PayDedList,0)-1,PayCount,1)))/$AA169*12*AN$3,IF(ISNA(MATCH(AN$1,EarnListItem,0))=FALSE,SUMPRODUCT((PayEmp=$C169)*(PayDate&lt;=$AC169)*(OFFSET($N$6,1,MATCH(AN$5,PayDedList,0)-1,PayCount,1)))/$AA169*12*AN$3,(MIN(((SUMPRODUCT((PayEmp=$C169)*(PayDate&lt;=$AC169)*(ISERROR(SEARCH(PayEarnCode,AN$2)))*(PayEarnType="Monthly")*(PayEarnValues))/$AA169*12)+(SUMPRODUCT((PayEmp=$C169)*(PayDate&lt;=$AC169)*(ISERROR(SEARCH(PayEarnCode,AN$2)))*(PayEarnType="Quarterly")*(PayEarnValues))/MAX(1,ROUNDDOWN($AB169/3,0))*4)+(SUMPRODUCT((PayEmp=$C169)*(PayDate&lt;=$AC169)*(ISERROR(SEARCH(PayEarnCode,AN$2)))*(PayEarnType="Bi-Annual")*(PayEarnValues))/MAX(1,ROUNDDOWN($AB169/6,0))*2)+(SUMPRODUCT((PayEmp=$C169)*(PayDate&lt;=$AC169)*(ISERROR(SEARCH(PayEarnCode,AN$2)))*(PayEarnType="Annual")*(PayEarnValues)))),IF(ISNUMBER(OFFSET($N$3,0,MATCH(AN$5,PayDedList,0)-1,1,1)),OFFSET($N$3,0,MATCH(AN$5,PayDedList,0)-1,1,1),IgnoreMin)))*IF(COUNTIFS(EmpNo,$C169,OFFSET(Emp!$R$4,1,MATCH(AN$5,DedListItem,0)-1,EmpCount,1),"&lt;&gt;")&gt;0,VLOOKUP($C169,EmpAll,COLUMN(Emp!$R$4)+MATCH(AN$5,DedListItem,0)-1,0),OFFSET(Setup!$E$73,MATCH(AN$5,DedListItem,0),0,1,1))*AN$3))),IF(ISNUMBER(AN$4),AN$4,IgnoreMin)))))</f>
        <v>0</v>
      </c>
      <c r="AO169" s="148" cm="1">
        <f t="array" aca="1" ref="AO169" ca="1">-IF($F169="Terminated",0,IF($AA169=0,0,IF(ISNA(MATCH(AO$5,PayDedList,0)),0,MIN(IF(COUNTIFS(OverEmp,$C169,OverDeduct,AO$5,OverDate,"&lt;"&amp;DATE(YEAR($AC169),MONTH($AC169)+1,1),OverEnd,"&gt;="&amp;DATE(YEAR($AC169),MONTH($AC169),1))&gt;0,SUMPRODUCT((PayEmp=$C169)*(PayDate&lt;=$AC169)*(OFFSET($N$6,1,MATCH(AO$5,PayDedList,0)-1,PayCount,1)))/$AA169*12*AO$3,IF(OR(AO$1="Fixed",AO$1="Not Used"),SUMPRODUCT((PayEmp=$C169)*(PayDate&lt;=$AC169)*(OFFSET($N$6,1,MATCH(AO$5,PayDedList,0)-1,PayCount,1)))/$AA169*12*AO$3,IF(ISNA(MATCH(AO$1,EarnListItem,0))=FALSE,SUMPRODUCT((PayEmp=$C169)*(PayDate&lt;=$AC169)*(OFFSET($N$6,1,MATCH(AO$5,PayDedList,0)-1,PayCount,1)))/$AA169*12*AO$3,(MIN(((SUMPRODUCT((PayEmp=$C169)*(PayDate&lt;=$AC169)*(ISERROR(SEARCH(PayEarnCode,AO$2)))*(PayEarnType="Monthly")*(PayEarnValues))/$AA169*12)+(SUMPRODUCT((PayEmp=$C169)*(PayDate&lt;=$AC169)*(ISERROR(SEARCH(PayEarnCode,AO$2)))*(PayEarnType="Quarterly")*(PayEarnValues))/MAX(1,ROUNDDOWN($AB169/3,0))*4)+(SUMPRODUCT((PayEmp=$C169)*(PayDate&lt;=$AC169)*(ISERROR(SEARCH(PayEarnCode,AO$2)))*(PayEarnType="Bi-Annual")*(PayEarnValues))/MAX(1,ROUNDDOWN($AB169/6,0))*2)+(SUMPRODUCT((PayEmp=$C169)*(PayDate&lt;=$AC169)*(ISERROR(SEARCH(PayEarnCode,AO$2)))*(PayEarnType="Annual")*(PayEarnValues)))),IF(ISNUMBER(OFFSET($N$3,0,MATCH(AO$5,PayDedList,0)-1,1,1)),OFFSET($N$3,0,MATCH(AO$5,PayDedList,0)-1,1,1),IgnoreMin)))*IF(COUNTIFS(EmpNo,$C169,OFFSET(Emp!$R$4,1,MATCH(AO$5,DedListItem,0)-1,EmpCount,1),"&lt;&gt;")&gt;0,VLOOKUP($C169,EmpAll,COLUMN(Emp!$R$4)+MATCH(AO$5,DedListItem,0)-1,0),OFFSET(Setup!$E$73,MATCH(AO$5,DedListItem,0),0,1,1))*AO$3))),IF(ISNUMBER(AO$4),AO$4,IgnoreMin)))))</f>
        <v>0</v>
      </c>
      <c r="AP169" s="148" cm="1">
        <f t="array" aca="1" ref="AP169" ca="1">-IF($F169="Terminated",0,IF($AA169=0,0,IF(ISNA(MATCH(AP$5,PayDedList,0)),0,MIN(IF(COUNTIFS(OverEmp,$C169,OverDeduct,AP$5,OverDate,"&lt;"&amp;DATE(YEAR($AC169),MONTH($AC169)+1,1),OverEnd,"&gt;="&amp;DATE(YEAR($AC169),MONTH($AC169),1))&gt;0,SUMPRODUCT((PayEmp=$C169)*(PayDate&lt;=$AC169)*(OFFSET($N$6,1,MATCH(AP$5,PayDedList,0)-1,PayCount,1)))/$AA169*12*AP$3,IF(OR(AP$1="Fixed",AP$1="Not Used"),SUMPRODUCT((PayEmp=$C169)*(PayDate&lt;=$AC169)*(OFFSET($N$6,1,MATCH(AP$5,PayDedList,0)-1,PayCount,1)))/$AA169*12*AP$3,IF(ISNA(MATCH(AP$1,EarnListItem,0))=FALSE,SUMPRODUCT((PayEmp=$C169)*(PayDate&lt;=$AC169)*(OFFSET($N$6,1,MATCH(AP$5,PayDedList,0)-1,PayCount,1)))/$AA169*12*AP$3,(MIN(((SUMPRODUCT((PayEmp=$C169)*(PayDate&lt;=$AC169)*(ISERROR(SEARCH(PayEarnCode,AP$2)))*(PayEarnType="Monthly")*(PayEarnValues))/$AA169*12)+(SUMPRODUCT((PayEmp=$C169)*(PayDate&lt;=$AC169)*(ISERROR(SEARCH(PayEarnCode,AP$2)))*(PayEarnType="Quarterly")*(PayEarnValues))/MAX(1,ROUNDDOWN($AB169/3,0))*4)+(SUMPRODUCT((PayEmp=$C169)*(PayDate&lt;=$AC169)*(ISERROR(SEARCH(PayEarnCode,AP$2)))*(PayEarnType="Bi-Annual")*(PayEarnValues))/MAX(1,ROUNDDOWN($AB169/6,0))*2)+(SUMPRODUCT((PayEmp=$C169)*(PayDate&lt;=$AC169)*(ISERROR(SEARCH(PayEarnCode,AP$2)))*(PayEarnType="Annual")*(PayEarnValues)))),IF(ISNUMBER(OFFSET($N$3,0,MATCH(AP$5,PayDedList,0)-1,1,1)),OFFSET($N$3,0,MATCH(AP$5,PayDedList,0)-1,1,1),IgnoreMin)))*IF(COUNTIFS(EmpNo,$C169,OFFSET(Emp!$R$4,1,MATCH(AP$5,DedListItem,0)-1,EmpCount,1),"&lt;&gt;")&gt;0,VLOOKUP($C169,EmpAll,COLUMN(Emp!$R$4)+MATCH(AP$5,DedListItem,0)-1,0),OFFSET(Setup!$E$73,MATCH(AP$5,DedListItem,0),0,1,1))*AP$3))),IF(ISNUMBER(AP$4),AP$4,IgnoreMin)))))</f>
        <v>0</v>
      </c>
      <c r="AQ169" s="148" cm="1">
        <f t="array" aca="1" ref="AQ169" ca="1">-IF($F169="Terminated",0,IF($AA169=0,0,IF(ISNA(MATCH(AQ$5,PayDedList,0)),0,MIN(IF(COUNTIFS(OverEmp,$C169,OverDeduct,AQ$5,OverDate,"&lt;"&amp;DATE(YEAR($AC169),MONTH($AC169)+1,1),OverEnd,"&gt;="&amp;DATE(YEAR($AC169),MONTH($AC169),1))&gt;0,SUMPRODUCT((PayEmp=$C169)*(PayDate&lt;=$AC169)*(OFFSET($N$6,1,MATCH(AQ$5,PayDedList,0)-1,PayCount,1)))/$AA169*12*AQ$3,IF(OR(AQ$1="Fixed",AQ$1="Not Used"),SUMPRODUCT((PayEmp=$C169)*(PayDate&lt;=$AC169)*(OFFSET($N$6,1,MATCH(AQ$5,PayDedList,0)-1,PayCount,1)))/$AA169*12*AQ$3,IF(ISNA(MATCH(AQ$1,EarnListItem,0))=FALSE,SUMPRODUCT((PayEmp=$C169)*(PayDate&lt;=$AC169)*(OFFSET($N$6,1,MATCH(AQ$5,PayDedList,0)-1,PayCount,1)))/$AA169*12*AQ$3,(MIN(((SUMPRODUCT((PayEmp=$C169)*(PayDate&lt;=$AC169)*(ISERROR(SEARCH(PayEarnCode,AQ$2)))*(PayEarnType="Monthly")*(PayEarnValues))/$AA169*12)+(SUMPRODUCT((PayEmp=$C169)*(PayDate&lt;=$AC169)*(ISERROR(SEARCH(PayEarnCode,AQ$2)))*(PayEarnType="Quarterly")*(PayEarnValues))/MAX(1,ROUNDDOWN($AB169/3,0))*4)+(SUMPRODUCT((PayEmp=$C169)*(PayDate&lt;=$AC169)*(ISERROR(SEARCH(PayEarnCode,AQ$2)))*(PayEarnType="Bi-Annual")*(PayEarnValues))/MAX(1,ROUNDDOWN($AB169/6,0))*2)+(SUMPRODUCT((PayEmp=$C169)*(PayDate&lt;=$AC169)*(ISERROR(SEARCH(PayEarnCode,AQ$2)))*(PayEarnType="Annual")*(PayEarnValues)))),IF(ISNUMBER(OFFSET($N$3,0,MATCH(AQ$5,PayDedList,0)-1,1,1)),OFFSET($N$3,0,MATCH(AQ$5,PayDedList,0)-1,1,1),IgnoreMin)))*IF(COUNTIFS(EmpNo,$C169,OFFSET(Emp!$R$4,1,MATCH(AQ$5,DedListItem,0)-1,EmpCount,1),"&lt;&gt;")&gt;0,VLOOKUP($C169,EmpAll,COLUMN(Emp!$R$4)+MATCH(AQ$5,DedListItem,0)-1,0),OFFSET(Setup!$E$73,MATCH(AQ$5,DedListItem,0),0,1,1))*AQ$3))),IF(ISNUMBER(AQ$4),AQ$4,IgnoreMin)))))</f>
        <v>0</v>
      </c>
      <c r="AR169" s="148">
        <f t="shared" ca="1" si="81"/>
        <v>66090.909090909088</v>
      </c>
      <c r="AS169" s="148">
        <f t="shared" ca="1" si="72"/>
        <v>61090.909090909088</v>
      </c>
      <c r="AT169" s="148" cm="1">
        <f t="array" aca="1" ref="AT169" ca="1">-IF($F169="Terminated",0,IF($AA169=0,0,IF(ISNA(MATCH(AT$5,PayDedList,0)),0,MIN(IF(COUNTIFS(OverEmp,$C169,OverDeduct,AT$5,OverDate,"&lt;"&amp;DATE(YEAR($AC169),MONTH($AC169)+1,1),OverEnd,"&gt;="&amp;DATE(YEAR($AC169),MONTH($AC169),1))&gt;0,SUMPRODUCT((PayEmp=$C169)*(PayDate&lt;=$AC169)*(OFFSET($N$6,1,MATCH(AT$5,PayDedList,0)-1,PayCount,1)))/$AA169*12*AT$3,IF(OR(AT$1="Fixed",AT$1="Not Used"),SUMPRODUCT((PayEmp=$C169)*(PayDate&lt;=$AC169)*(OFFSET($N$6,1,MATCH(AT$5,PayDedList,0)-1,PayCount,1)))/$AA169*12*AT$3,IF(ISNA(MATCH(OFFSET($N$2,0,MATCH(AT$5,PayDedList,0)-1,1,1),EarnListItem,0))=FALSE,SUMPRODUCT((PayEmp=$C169)*(PayDate&lt;=$AC169)*(OFFSET($N$6,1,MATCH(AT$5,PayDedList,0)-1,PayCount,1)))/$AA169*12*AT$3,(MIN(SUMPRODUCT((PayEmp=$C169)*(PayDate&lt;=$AC169)*(ISERROR(SEARCH(PayEarnCode,AT$2)))*(PayEarnType="Monthly")*(PayEarnValues))/$AA169*12,IF(ISNUMBER(OFFSET($N$3,0,MATCH(AT$5,PayDedList,0)-1,1,1)),OFFSET($N$3,0,MATCH(AT$5,PayDedList,0)-1,1,1),IgnoreMin)))*IF(COUNTIFS(EmpNo,$C169,OFFSET(Emp!$R$4,1,MATCH(AT$5,DedListItem,0)-1,EmpCount,1),"&lt;&gt;")&gt;0,VLOOKUP($C169,EmpAll,COLUMN(Emp!$R$4)+MATCH(AT$5,DedListItem,0)-1,0),OFFSET(Setup!$E$73,MATCH(AT$5,DedListItem,0),0,1,1))*AT$3))),IF(ISNUMBER(AT$4),AT$4,IgnoreMin)))))</f>
        <v>0</v>
      </c>
      <c r="AU169" s="148" cm="1">
        <f t="array" aca="1" ref="AU169" ca="1">-IF($F169="Terminated",0,IF($AA169=0,0,IF(ISNA(MATCH(AU$5,PayDedList,0)),0,MIN(IF(COUNTIFS(OverEmp,$C169,OverDeduct,AU$5,OverDate,"&lt;"&amp;DATE(YEAR($AC169),MONTH($AC169)+1,1),OverEnd,"&gt;="&amp;DATE(YEAR($AC169),MONTH($AC169),1))&gt;0,SUMPRODUCT((PayEmp=$C169)*(PayDate&lt;=$AC169)*(OFFSET($N$6,1,MATCH(AU$5,PayDedList,0)-1,PayCount,1)))/$AA169*12*AU$3,IF(OR(AU$1="Fixed",AU$1="Not Used"),SUMPRODUCT((PayEmp=$C169)*(PayDate&lt;=$AC169)*(OFFSET($N$6,1,MATCH(AU$5,PayDedList,0)-1,PayCount,1)))/$AA169*12*AU$3,IF(ISNA(MATCH(OFFSET($N$2,0,MATCH(AU$5,PayDedList,0)-1,1,1),EarnListItem,0))=FALSE,SUMPRODUCT((PayEmp=$C169)*(PayDate&lt;=$AC169)*(OFFSET($N$6,1,MATCH(AU$5,PayDedList,0)-1,PayCount,1)))/$AA169*12*AU$3,(MIN(SUMPRODUCT((PayEmp=$C169)*(PayDate&lt;=$AC169)*(ISERROR(SEARCH(PayEarnCode,AU$2)))*(PayEarnType="Monthly")*(PayEarnValues))/$AA169*12,IF(ISNUMBER(OFFSET($N$3,0,MATCH(AU$5,PayDedList,0)-1,1,1)),OFFSET($N$3,0,MATCH(AU$5,PayDedList,0)-1,1,1),IgnoreMin)))*IF(COUNTIFS(EmpNo,$C169,OFFSET(Emp!$R$4,1,MATCH(AU$5,DedListItem,0)-1,EmpCount,1),"&lt;&gt;")&gt;0,VLOOKUP($C169,EmpAll,COLUMN(Emp!$R$4)+MATCH(AU$5,DedListItem,0)-1,0),OFFSET(Setup!$E$73,MATCH(AU$5,DedListItem,0),0,1,1))*AU$3))),IF(ISNUMBER(AU$4),AU$4,IgnoreMin)))))</f>
        <v>0</v>
      </c>
      <c r="AV169" s="148" cm="1">
        <f t="array" aca="1" ref="AV169" ca="1">-IF($F169="Terminated",0,IF($AA169=0,0,IF(ISNA(MATCH(AV$5,PayDedList,0)),0,MIN(IF(COUNTIFS(OverEmp,$C169,OverDeduct,AV$5,OverDate,"&lt;"&amp;DATE(YEAR($AC169),MONTH($AC169)+1,1),OverEnd,"&gt;="&amp;DATE(YEAR($AC169),MONTH($AC169),1))&gt;0,SUMPRODUCT((PayEmp=$C169)*(PayDate&lt;=$AC169)*(OFFSET($N$6,1,MATCH(AV$5,PayDedList,0)-1,PayCount,1)))/$AA169*12*AV$3,IF(OR(AV$1="Fixed",AV$1="Not Used"),SUMPRODUCT((PayEmp=$C169)*(PayDate&lt;=$AC169)*(OFFSET($N$6,1,MATCH(AV$5,PayDedList,0)-1,PayCount,1)))/$AA169*12*AV$3,IF(ISNA(MATCH(OFFSET($N$2,0,MATCH(AV$5,PayDedList,0)-1,1,1),EarnListItem,0))=FALSE,SUMPRODUCT((PayEmp=$C169)*(PayDate&lt;=$AC169)*(OFFSET($N$6,1,MATCH(AV$5,PayDedList,0)-1,PayCount,1)))/$AA169*12*AV$3,(MIN(SUMPRODUCT((PayEmp=$C169)*(PayDate&lt;=$AC169)*(ISERROR(SEARCH(PayEarnCode,AV$2)))*(PayEarnType="Monthly")*(PayEarnValues))/$AA169*12,IF(ISNUMBER(OFFSET($N$3,0,MATCH(AV$5,PayDedList,0)-1,1,1)),OFFSET($N$3,0,MATCH(AV$5,PayDedList,0)-1,1,1),IgnoreMin)))*IF(COUNTIFS(EmpNo,$C169,OFFSET(Emp!$R$4,1,MATCH(AV$5,DedListItem,0)-1,EmpCount,1),"&lt;&gt;")&gt;0,VLOOKUP($C169,EmpAll,COLUMN(Emp!$R$4)+MATCH(AV$5,DedListItem,0)-1,0),OFFSET(Setup!$E$73,MATCH(AV$5,DedListItem,0),0,1,1))*AV$3))),IF(ISNUMBER(AV$4),AV$4,IgnoreMin)))))</f>
        <v>0</v>
      </c>
      <c r="AW169" s="148" cm="1">
        <f t="array" aca="1" ref="AW169" ca="1">-IF($F169="Terminated",0,IF($AA169=0,0,IF(ISNA(MATCH(AW$5,PayDedList,0)),0,MIN(IF(COUNTIFS(OverEmp,$C169,OverDeduct,AW$5,OverDate,"&lt;"&amp;DATE(YEAR($AC169),MONTH($AC169)+1,1),OverEnd,"&gt;="&amp;DATE(YEAR($AC169),MONTH($AC169),1))&gt;0,SUMPRODUCT((PayEmp=$C169)*(PayDate&lt;=$AC169)*(OFFSET($N$6,1,MATCH(AW$5,PayDedList,0)-1,PayCount,1)))/$AA169*12*AW$3,IF(OR(AW$1="Fixed",AW$1="Not Used"),SUMPRODUCT((PayEmp=$C169)*(PayDate&lt;=$AC169)*(OFFSET($N$6,1,MATCH(AW$5,PayDedList,0)-1,PayCount,1)))/$AA169*12*AW$3,IF(ISNA(MATCH(OFFSET($N$2,0,MATCH(AW$5,PayDedList,0)-1,1,1),EarnListItem,0))=FALSE,SUMPRODUCT((PayEmp=$C169)*(PayDate&lt;=$AC169)*(OFFSET($N$6,1,MATCH(AW$5,PayDedList,0)-1,PayCount,1)))/$AA169*12*AW$3,(MIN(SUMPRODUCT((PayEmp=$C169)*(PayDate&lt;=$AC169)*(ISERROR(SEARCH(PayEarnCode,AW$2)))*(PayEarnType="Monthly")*(PayEarnValues))/$AA169*12,IF(ISNUMBER(OFFSET($N$3,0,MATCH(AW$5,PayDedList,0)-1,1,1)),OFFSET($N$3,0,MATCH(AW$5,PayDedList,0)-1,1,1),IgnoreMin)))*IF(COUNTIFS(EmpNo,$C169,OFFSET(Emp!$R$4,1,MATCH(AW$5,DedListItem,0)-1,EmpCount,1),"&lt;&gt;")&gt;0,VLOOKUP($C169,EmpAll,COLUMN(Emp!$R$4)+MATCH(AW$5,DedListItem,0)-1,0),OFFSET(Setup!$E$73,MATCH(AW$5,DedListItem,0),0,1,1))*AW$3))),IF(ISNUMBER(AW$4),AW$4,IgnoreMin)))))</f>
        <v>0</v>
      </c>
      <c r="AX169" s="148">
        <f t="shared" ca="1" si="88"/>
        <v>61090.909090909088</v>
      </c>
      <c r="AY169" s="148">
        <f t="shared" ca="1" si="89"/>
        <v>5000</v>
      </c>
      <c r="AZ169" s="148">
        <f ca="1">IF(ISNUMBER($AL169),($AR169*$AL169)-$AI169-$AK169,MAX(0,IF($AL169="B",IF($AR169&lt;Setup!$C$32,($AR169*Setup!$D$32)-$AI169-$AK169,(($AR169-VLOOKUP($AR169,TaxAll2,1,1))*OFFSET(Setup!$D$32,MATCH($AR169,TaxBracket2,1),0,1,1))+OFFSET(Setup!$E$31,MATCH($AR169,TaxBracket2,1),0,1,1)-$AI169-$AK169),IF($AR169&lt;Setup!$C$21,($AR169*Setup!$D$21)-$AI169-$AK169,(($AR169-VLOOKUP($AR169,TaxAll1,1,1))*OFFSET(Setup!$D$21,MATCH($AR169,TaxBracket1,1),0,1,1))+OFFSET(Setup!$E$20,MATCH($AR169,TaxBracket1,1),0,1,1)-$AI169-$AK169))))</f>
        <v>0</v>
      </c>
      <c r="BA169" s="148">
        <f ca="1">IF(ISNUMBER($AL169),($AX169*$AL169)-$AI169-$AK169,MAX(0,IF($AL169="B",IF($AX169&lt;Setup!$C$32,($AX169*Setup!$D$32)-$AI169-$AK169,(($AX169-VLOOKUP($AX169,TaxAll2,1,1))*OFFSET(Setup!$D$32,MATCH($AX169,TaxBracket2,1),0,1,1))+OFFSET(Setup!$E$31,MATCH($AX169,TaxBracket2,1),0,1,1)-$AI169-$AK169),IF($AX169&lt;Setup!$C$21,($AX169*Setup!$D$21)-$AI169-$AK169,(($AX169-VLOOKUP($AX169,TaxAll1,1,1))*OFFSET(Setup!$D$21,MATCH($AX169,TaxBracket1,1),0,1,1))+OFFSET(Setup!$E$20,MATCH($AX169,TaxBracket1,1),0,1,1)-$AI169-$AK169))))</f>
        <v>0</v>
      </c>
      <c r="BB169" s="148">
        <f t="shared" ca="1" si="82"/>
        <v>0</v>
      </c>
      <c r="BC169" s="150">
        <f t="shared" ca="1" si="75"/>
        <v>0.92434662998624484</v>
      </c>
      <c r="BD169" s="150">
        <f t="shared" ca="1" si="76"/>
        <v>7.5653370013755161E-2</v>
      </c>
      <c r="BE169" s="148">
        <f t="shared" ca="1" si="77"/>
        <v>66090.909090909088</v>
      </c>
    </row>
    <row r="170" spans="1:57" ht="16.149999999999999" customHeight="1" x14ac:dyDescent="0.25">
      <c r="A170" s="10" t="str" cm="1">
        <f t="array" aca="1" ref="A170" ca="1">IF(ROW($A170)-ROW($A$6)&gt;EmpCount*12,"-",TEXT($B170,"yyyy")&amp;TEXT($B170,"mm")&amp;"-"&amp;$C170)</f>
        <v>202401-EXS014</v>
      </c>
      <c r="B170" s="137" cm="1">
        <f t="array" aca="1" ref="B170" ca="1">IF(ROW($A170)-ROW($A$6)&gt;EmpCount*12,Setup!$D$12,DATE(YEAR(Setup!$F$12),MONTH(Setup!$F$12)+ROUNDDOWN((ROW($A170)-ROW($A$6)-1)/EmpCount,0),IF(Setup!$C$14&gt;DAY(DATE(YEAR(Setup!$F$12),MONTH(Setup!$F$12)+ROUNDDOWN((ROW($A170)-ROW($A$6)-1)/EmpCount,0)+1,0)),DAY(DATE(YEAR(Setup!$F$12),MONTH(Setup!$F$12)+ROUNDDOWN((ROW($A170)-ROW($A$6)-1)/EmpCount,0)+1,0)),Setup!$C$14)))</f>
        <v>45316</v>
      </c>
      <c r="C170" s="101" t="str" cm="1">
        <f t="array" aca="1" ref="C170" ca="1">IF(ROW($A170)-ROW($A$6)&gt;EmpCount*12,"-",OFFSET(Emp!$A$4,ROW($A170)-ROW($A$6)-IF(ROW($A170)-ROW($A$6)&gt;EmpCount,ROUNDDOWN((ROW($A170)-ROW($A$6)-1)/EmpCount,0)*EmpCount,0),0,1,1))</f>
        <v>EXS014</v>
      </c>
      <c r="D170" s="10" t="str">
        <f ca="1">IF(ISNA(VLOOKUP($C170,EmpAll,COLUMN(Emp!$B$4),0)),"-",VLOOKUP($C170,EmpAll,COLUMN(Emp!$B$4),0))</f>
        <v>Ross Q</v>
      </c>
      <c r="E170" s="145" t="str">
        <f ca="1">IF(ISNA(VLOOKUP($C170,EmpAll,COLUMN(Emp!$C$4),0)),"-",VLOOKUP($C170,EmpAll,COLUMN(Emp!$C$4),0))</f>
        <v>A</v>
      </c>
      <c r="F170" s="101" t="str">
        <f ca="1">IF(ISNA(VLOOKUP($C170,EmpAll,COLUMN(Emp!$A$4),0)),"-",IF(AND(VLOOKUP($C170,EmpAll,COLUMN(Emp!$E$4),0)&lt;&gt;0,VLOOKUP($C170,EmpAll,COLUMN(Emp!$E$4),0)&gt;=DATE(YEAR($AC170),MONTH($AC170)+1,0)),"Inactive",IF(AND(VLOOKUP($C170,EmpAll,COLUMN(Emp!$F$4),0)&lt;&gt;0,VLOOKUP($C170,EmpAll,COLUMN(Emp!$F$4),0)&lt;=DATE(YEAR($AC170),MONTH($AC170),0)),"Terminated","Active")))</f>
        <v>Active</v>
      </c>
      <c r="G170" s="133" cm="1">
        <f t="array" aca="1" ref="G170" ca="1">IF($F170&lt;&gt;"Active",0,IF(COUNTIFS(OverEmp,$C170,OverEarn,G$2,OverDate,"&lt;"&amp;DATE(YEAR($AC170),MONTH($AC170)+1,1),OverEnd,"&gt;="&amp;DATE(YEAR($AC170),MONTH($AC170),1))&gt;0,SUMIFS(OverValue,OverEmp,$C170,OverEarn,G$2,OverDate,"&lt;"&amp;DATE(YEAR($AC170),MONTH($AC170)+1,1),OverEnd,"&gt;="&amp;DATE(YEAR($AC170),MONTH($AC170),1)),IF(AND($AC170&gt;=Setup!$E$10,SUMIFS(EmpIncrease,EmpCode,$C170)&gt;0),SUMIFS(EmpIncrease,EmpCode,$C170),SUMIFS(EmpSalary,EmpCode,$C170))))</f>
        <v>31000</v>
      </c>
      <c r="H170" s="133" cm="1">
        <f t="array" aca="1" ref="H170" ca="1">IF($F170&lt;&gt;"Active",0,IF(COUNTIFS(OverEmp,$C170,OverEarn,H$2,OverDate,"&lt;"&amp;DATE(YEAR($AC170),MONTH($AC170)+1,1),OverEnd,"&gt;="&amp;DATE(YEAR($AC170),MONTH($AC170),1))&gt;0,SUMIFS(OverValue,OverEmp,$C170,OverEarn,H$2,OverDate,"&lt;"&amp;DATE(YEAR($AC170),MONTH($AC170)+1,1),OverEnd,"&gt;="&amp;DATE(YEAR($AC170),MONTH($AC170),1)),0))</f>
        <v>0</v>
      </c>
      <c r="I170" s="133" cm="1">
        <f t="array" aca="1" ref="I170" ca="1">IF($F170&lt;&gt;"Active",0,IF(COUNTIFS(OverEmp,$C170,OverEarn,I$2,OverDate,"&lt;"&amp;DATE(YEAR($AC170),MONTH($AC170)+1,1),OverEnd,"&gt;="&amp;DATE(YEAR($AC170),MONTH($AC170),1))&gt;0,SUMIFS(OverValue,OverEmp,$C170,OverEarn,I$2,OverDate,"&lt;"&amp;DATE(YEAR($AC170),MONTH($AC170)+1,1),OverEnd,"&gt;="&amp;DATE(YEAR($AC170),MONTH($AC170),1)),IF(MONTH(B170)=Setup!$C$15,SUMIFS(EmpBonus,EmpCode,$C170),0)))</f>
        <v>0</v>
      </c>
      <c r="J170" s="133" cm="1">
        <f t="array" aca="1" ref="J170" ca="1">IF($F170&lt;&gt;"Active",0,IF(COUNTIFS(OverEmp,$C170,OverEarn,J$2,OverDate,"&lt;"&amp;DATE(YEAR($AC170),MONTH($AC170)+1,1),OverEnd,"&gt;="&amp;DATE(YEAR($AC170),MONTH($AC170),1))&gt;0,SUMIFS(OverValue,OverEmp,$C170,OverEarn,J$2,OverDate,"&lt;"&amp;DATE(YEAR($AC170),MONTH($AC170)+1,1),OverEnd,"&gt;="&amp;DATE(YEAR($AC170),MONTH($AC170),1)),0))</f>
        <v>0</v>
      </c>
      <c r="K170" s="133" cm="1">
        <f t="array" aca="1" ref="K170" ca="1">IF($F170&lt;&gt;"Active",0,IF(COUNTIFS(OverEmp,$C170,OverEarn,K$2,OverDate,"&lt;"&amp;DATE(YEAR($AC170),MONTH($AC170)+1,1),OverEnd,"&gt;="&amp;DATE(YEAR($AC170),MONTH($AC170),1))&gt;0,SUMIFS(OverValue,OverEmp,$C170,OverEarn,K$2,OverDate,"&lt;"&amp;DATE(YEAR($AC170),MONTH($AC170)+1,1),OverEnd,"&gt;="&amp;DATE(YEAR($AC170),MONTH($AC170),1)),0))</f>
        <v>0</v>
      </c>
      <c r="L170" s="185">
        <f t="shared" ca="1" si="84"/>
        <v>31000</v>
      </c>
      <c r="M170" s="182" cm="1">
        <f t="array" aca="1" ref="M170" ca="1">IF(COUNTIFS(OverEmp,$C170,OverTax,M$5,OverDate,"&lt;"&amp;DATE(YEAR($AC170),MONTH($AC170)+1,1),OverEnd,"&gt;="&amp;DATE(YEAR($AC170),MONTH($AC170),1))&gt;0,SUMIFS(OverValue,OverEmp,$C170,OverTax,M$5,OverDate,"&lt;"&amp;DATE(YEAR($AC170),MONTH($AC170)+1,1),OverEnd,"&gt;="&amp;DATE(YEAR($AC170),MONTH($AC170),1)),(($BA170/12*$AA170)+(BB170*IF(1-$BC170=0,0,BD170/(1-$BC170))))-IF($F170="Terminated",0,SUMIFS(PayTaxDeduct,PayDate,"&lt;"&amp;$AC170,PayEmp,$C170)))</f>
        <v>5043.0833333333321</v>
      </c>
      <c r="N170" s="133" cm="1">
        <f t="array" aca="1" ref="N170" ca="1">IF($F170="Terminated",0,IF($AA170=0,0,IF(ISNA(MATCH(N$5,DedListItem,0)),0,IF(COUNTIFS(OverEmp,$C170,OverDeduct,N$5,OverDate,"&lt;"&amp;DATE(YEAR($AC170),MONTH($AC170)+1,1),OverEnd,"&gt;="&amp;DATE(YEAR($AC170),MONTH($AC170),1))&gt;0,SUMIFS(OverValue,OverEmp,$C170,OverDeduct,N$5,OverDate,"&lt;"&amp;DATE(YEAR($AC170),MONTH($AC170)+1,1),OverEnd,"&gt;="&amp;DATE(YEAR($AC170),MONTH($AC170),1)),IF(OR(N$2="Fixed",N$2="Not Used"),(IF(COUNTIFS(EmpNo,$C170,OFFSET(Emp!$R$4,1,MATCH(N$5,DedListItem,0)-1,EmpCount,1),"&lt;&gt;")&gt;0,VLOOKUP($C170,EmpAll,COLUMN(Emp!$R$4)+MATCH(N$5,DedListItem,0)-1,0),OFFSET(Setup!$E$73,MATCH(N$5,DedListItem,0),0,1,1))*$AA170)-SUMIFS(OFFSET(N$6,1,0,PayCount,1),PayDate,"&lt;"&amp;$AC170,PayEmp,$C170),IF(ISNA(MATCH(N$2,EarnListItem,0))=FALSE,IF(OFFSET(Setup!$G$73,MATCH(N$5,DedListItem,0),0,1,1)="Taxable",SUMPRODUCT((PayEmp=$C170)*(PayDate&lt;=$AC170)*(PayEarnCode=N$2)*(PayEarnTax)*(PayEarnValues)),SUMPRODUCT((PayEmp=$C170)*(PayDate&lt;=$AC170)*(PayEarnCode=N$2)*(PayEarnValues)))*IF(COUNTIFS(EmpNo,$C170,OFFSET(Emp!$R$4,1,MATCH(N$5,DedListItem,0)-1,EmpCount,1),"&lt;&gt;")&gt;0,VLOOKUP($C170,EmpAll,COLUMN(Emp!$R$4)+MATCH(N$5,DedListItem,0)-1,0),OFFSET(Setup!$E$73,MATCH(N$5,DedListItem,0),0,1,1)),(MIN(IF(OFFSET(Setup!$G$73,MATCH(N$5,DedListItem,0),0,1,1)="Taxable",SUMPRODUCT((PayEmp=$C170)*(PayDate&lt;=$AC170)*(ISERROR(SEARCH(PayEarnCode,N$4)))*(PayEarnTax)*(PayEarnValues)),SUMPRODUCT((PayEmp=$C170)*(PayDate&lt;=$AC170)*(ISERROR(SEARCH(PayEarnCode,N$4)))*(PayEarnValues))),IF(ISNUMBER(N$3),N$3/12*$AA170,IgnoreMin)))*IF(COUNTIFS(EmpNo,$C170,OFFSET(Emp!$R$4,1,MATCH(N$5,DedListItem,0)-1,EmpCount,1),"&lt;&gt;")&gt;0,VLOOKUP($C170,EmpAll,COLUMN(Emp!$R$4)+MATCH(N$5,DedListItem,0)-1,0),OFFSET(Setup!$E$73,MATCH(N$5,DedListItem,0),0,1,1)))-SUMIFS(OFFSET(N$6,1,0,PayCount,1),PayDate,"&lt;"&amp;$AC170,PayEmp,$C170))))))</f>
        <v>177.12000000000012</v>
      </c>
      <c r="O170" s="133" cm="1">
        <f t="array" aca="1" ref="O170" ca="1">IF($F170="Terminated",0,IF($AA170=0,0,IF(ISNA(MATCH(O$5,DedListItem,0)),0,IF(COUNTIFS(OverEmp,$C170,OverDeduct,O$5,OverDate,"&lt;"&amp;DATE(YEAR($AC170),MONTH($AC170)+1,1),OverEnd,"&gt;="&amp;DATE(YEAR($AC170),MONTH($AC170),1))&gt;0,SUMIFS(OverValue,OverEmp,$C170,OverDeduct,O$5,OverDate,"&lt;"&amp;DATE(YEAR($AC170),MONTH($AC170)+1,1),OverEnd,"&gt;="&amp;DATE(YEAR($AC170),MONTH($AC170),1)),IF(OR(O$2="Fixed",O$2="Not Used"),(IF(COUNTIFS(EmpNo,$C170,OFFSET(Emp!$R$4,1,MATCH(O$5,DedListItem,0)-1,EmpCount,1),"&lt;&gt;")&gt;0,VLOOKUP($C170,EmpAll,COLUMN(Emp!$R$4)+MATCH(O$5,DedListItem,0)-1,0),OFFSET(Setup!$E$73,MATCH(O$5,DedListItem,0),0,1,1))*$AA170)-SUMIFS(OFFSET(O$6,1,0,PayCount,1),PayDate,"&lt;"&amp;$AC170,PayEmp,$C170),IF(ISNA(MATCH(O$2,EarnListItem,0))=FALSE,IF(OFFSET(Setup!$G$73,MATCH(O$5,DedListItem,0),0,1,1)="Taxable",SUMPRODUCT((PayEmp=$C170)*(PayDate&lt;=$AC170)*(PayEarnCode=O$2)*(PayEarnTax)*(PayEarnValues)),SUMPRODUCT((PayEmp=$C170)*(PayDate&lt;=$AC170)*(PayEarnCode=O$2)*(PayEarnValues)))*IF(COUNTIFS(EmpNo,$C170,OFFSET(Emp!$R$4,1,MATCH(O$5,DedListItem,0)-1,EmpCount,1),"&lt;&gt;")&gt;0,VLOOKUP($C170,EmpAll,COLUMN(Emp!$R$4)+MATCH(O$5,DedListItem,0)-1,0),OFFSET(Setup!$E$73,MATCH(O$5,DedListItem,0),0,1,1)),(MIN(IF(OFFSET(Setup!$G$73,MATCH(O$5,DedListItem,0),0,1,1)="Taxable",SUMPRODUCT((PayEmp=$C170)*(PayDate&lt;=$AC170)*(ISERROR(SEARCH(PayEarnCode,O$4)))*(PayEarnTax)*(PayEarnValues)),SUMPRODUCT((PayEmp=$C170)*(PayDate&lt;=$AC170)*(ISERROR(SEARCH(PayEarnCode,O$4)))*(PayEarnValues))),IF(ISNUMBER(O$3),O$3/12*$AA170,IgnoreMin)))*IF(COUNTIFS(EmpNo,$C170,OFFSET(Emp!$R$4,1,MATCH(O$5,DedListItem,0)-1,EmpCount,1),"&lt;&gt;")&gt;0,VLOOKUP($C170,EmpAll,COLUMN(Emp!$R$4)+MATCH(O$5,DedListItem,0)-1,0),OFFSET(Setup!$E$73,MATCH(O$5,DedListItem,0),0,1,1)))-SUMIFS(OFFSET(O$6,1,0,PayCount,1),PayDate,"&lt;"&amp;$AC170,PayEmp,$C170))))))</f>
        <v>0</v>
      </c>
      <c r="P170" s="133" cm="1">
        <f t="array" aca="1" ref="P170" ca="1">IF($F170="Terminated",0,IF($AA170=0,0,IF(ISNA(MATCH(P$5,DedListItem,0)),0,IF(COUNTIFS(OverEmp,$C170,OverDeduct,P$5,OverDate,"&lt;"&amp;DATE(YEAR($AC170),MONTH($AC170)+1,1),OverEnd,"&gt;="&amp;DATE(YEAR($AC170),MONTH($AC170),1))&gt;0,SUMIFS(OverValue,OverEmp,$C170,OverDeduct,P$5,OverDate,"&lt;"&amp;DATE(YEAR($AC170),MONTH($AC170)+1,1),OverEnd,"&gt;="&amp;DATE(YEAR($AC170),MONTH($AC170),1)),IF(OR(P$2="Fixed",P$2="Not Used"),(IF(COUNTIFS(EmpNo,$C170,OFFSET(Emp!$R$4,1,MATCH(P$5,DedListItem,0)-1,EmpCount,1),"&lt;&gt;")&gt;0,VLOOKUP($C170,EmpAll,COLUMN(Emp!$R$4)+MATCH(P$5,DedListItem,0)-1,0),OFFSET(Setup!$E$73,MATCH(P$5,DedListItem,0),0,1,1))*$AA170)-SUMIFS(OFFSET(P$6,1,0,PayCount,1),PayDate,"&lt;"&amp;$AC170,PayEmp,$C170),IF(ISNA(MATCH(P$2,EarnListItem,0))=FALSE,IF(OFFSET(Setup!$G$73,MATCH(P$5,DedListItem,0),0,1,1)="Taxable",SUMPRODUCT((PayEmp=$C170)*(PayDate&lt;=$AC170)*(PayEarnCode=P$2)*(PayEarnTax)*(PayEarnValues)),SUMPRODUCT((PayEmp=$C170)*(PayDate&lt;=$AC170)*(PayEarnCode=P$2)*(PayEarnValues)))*IF(COUNTIFS(EmpNo,$C170,OFFSET(Emp!$R$4,1,MATCH(P$5,DedListItem,0)-1,EmpCount,1),"&lt;&gt;")&gt;0,VLOOKUP($C170,EmpAll,COLUMN(Emp!$R$4)+MATCH(P$5,DedListItem,0)-1,0),OFFSET(Setup!$E$73,MATCH(P$5,DedListItem,0),0,1,1)),(MIN(IF(OFFSET(Setup!$G$73,MATCH(P$5,DedListItem,0),0,1,1)="Taxable",SUMPRODUCT((PayEmp=$C170)*(PayDate&lt;=$AC170)*(ISERROR(SEARCH(PayEarnCode,P$4)))*(PayEarnTax)*(PayEarnValues)),SUMPRODUCT((PayEmp=$C170)*(PayDate&lt;=$AC170)*(ISERROR(SEARCH(PayEarnCode,P$4)))*(PayEarnValues))),IF(ISNUMBER(P$3),P$3/12*$AA170,IgnoreMin)))*IF(COUNTIFS(EmpNo,$C170,OFFSET(Emp!$R$4,1,MATCH(P$5,DedListItem,0)-1,EmpCount,1),"&lt;&gt;")&gt;0,VLOOKUP($C170,EmpAll,COLUMN(Emp!$R$4)+MATCH(P$5,DedListItem,0)-1,0),OFFSET(Setup!$E$73,MATCH(P$5,DedListItem,0),0,1,1)))-SUMIFS(OFFSET(P$6,1,0,PayCount,1),PayDate,"&lt;"&amp;$AC170,PayEmp,$C170))))))</f>
        <v>0</v>
      </c>
      <c r="Q170" s="133" cm="1">
        <f t="array" aca="1" ref="Q170" ca="1">IF($F170="Terminated",0,IF($AA170=0,0,IF(ISNA(MATCH(Q$5,DedListItem,0)),0,IF(COUNTIFS(OverEmp,$C170,OverDeduct,Q$5,OverDate,"&lt;"&amp;DATE(YEAR($AC170),MONTH($AC170)+1,1),OverEnd,"&gt;="&amp;DATE(YEAR($AC170),MONTH($AC170),1))&gt;0,SUMIFS(OverValue,OverEmp,$C170,OverDeduct,Q$5,OverDate,"&lt;"&amp;DATE(YEAR($AC170),MONTH($AC170)+1,1),OverEnd,"&gt;="&amp;DATE(YEAR($AC170),MONTH($AC170),1)),IF(OR(Q$2="Fixed",Q$2="Not Used"),(IF(COUNTIFS(EmpNo,$C170,OFFSET(Emp!$R$4,1,MATCH(Q$5,DedListItem,0)-1,EmpCount,1),"&lt;&gt;")&gt;0,VLOOKUP($C170,EmpAll,COLUMN(Emp!$R$4)+MATCH(Q$5,DedListItem,0)-1,0),OFFSET(Setup!$E$73,MATCH(Q$5,DedListItem,0),0,1,1))*$AA170)-SUMIFS(OFFSET(Q$6,1,0,PayCount,1),PayDate,"&lt;"&amp;$AC170,PayEmp,$C170),IF(ISNA(MATCH(Q$2,EarnListItem,0))=FALSE,IF(OFFSET(Setup!$G$73,MATCH(Q$5,DedListItem,0),0,1,1)="Taxable",SUMPRODUCT((PayEmp=$C170)*(PayDate&lt;=$AC170)*(PayEarnCode=Q$2)*(PayEarnTax)*(PayEarnValues)),SUMPRODUCT((PayEmp=$C170)*(PayDate&lt;=$AC170)*(PayEarnCode=Q$2)*(PayEarnValues)))*IF(COUNTIFS(EmpNo,$C170,OFFSET(Emp!$R$4,1,MATCH(Q$5,DedListItem,0)-1,EmpCount,1),"&lt;&gt;")&gt;0,VLOOKUP($C170,EmpAll,COLUMN(Emp!$R$4)+MATCH(Q$5,DedListItem,0)-1,0),OFFSET(Setup!$E$73,MATCH(Q$5,DedListItem,0),0,1,1)),(MIN(IF(OFFSET(Setup!$G$73,MATCH(Q$5,DedListItem,0),0,1,1)="Taxable",SUMPRODUCT((PayEmp=$C170)*(PayDate&lt;=$AC170)*(ISERROR(SEARCH(PayEarnCode,Q$4)))*(PayEarnTax)*(PayEarnValues)),SUMPRODUCT((PayEmp=$C170)*(PayDate&lt;=$AC170)*(ISERROR(SEARCH(PayEarnCode,Q$4)))*(PayEarnValues))),IF(ISNUMBER(Q$3),Q$3/12*$AA170,IgnoreMin)))*IF(COUNTIFS(EmpNo,$C170,OFFSET(Emp!$R$4,1,MATCH(Q$5,DedListItem,0)-1,EmpCount,1),"&lt;&gt;")&gt;0,VLOOKUP($C170,EmpAll,COLUMN(Emp!$R$4)+MATCH(Q$5,DedListItem,0)-1,0),OFFSET(Setup!$E$73,MATCH(Q$5,DedListItem,0),0,1,1)))-SUMIFS(OFFSET(Q$6,1,0,PayCount,1),PayDate,"&lt;"&amp;$AC170,PayEmp,$C170))))))</f>
        <v>0</v>
      </c>
      <c r="R170" s="185">
        <f t="shared" ca="1" si="85"/>
        <v>5220.203333333332</v>
      </c>
      <c r="S170" s="139">
        <f t="shared" ca="1" si="86"/>
        <v>25779.8</v>
      </c>
      <c r="T170" s="133" cm="1">
        <f t="array" aca="1" ref="T170" ca="1">IF($F170="Terminated",0,IF($AA170=0,0,IF(ISNA(MATCH(T$5,CompListItem,0)),0,IF(COUNTIFS(OverEmp,$C170,OverComp,T$5,OverDate,"&lt;"&amp;DATE(YEAR($AC170),MONTH($AC170)+1,1),OverEnd,"&gt;="&amp;DATE(YEAR($AC170),MONTH($AC170),1))&gt;0,SUMIFS(OverValue,OverEmp,$C170,OverComp,T$5,OverDate,"&lt;"&amp;DATE(YEAR($AC170),MONTH($AC170)+1,1),OverEnd,"&gt;="&amp;DATE(YEAR($AC170),MONTH($AC170),1)),IF(OR(T$2="Fixed",T$2="Not Used"),(OFFSET(Setup!$E$81,MATCH(T$5,CompListItem,0),0,1,1)*$AA170)-SUMIFS(OFFSET(T$6,1,0,PayCount,1),PayDate,"&lt;"&amp;$AC170,PayEmp,$C170),IF(ISNA(MATCH(T$2,DedListItem,0))=FALSE,(SUMPRODUCT((PayEmp=$C170)*(PayDate&lt;=$AC170)*(PayDedList=T$2)*(PayDedValues))*OFFSET(Setup!$E$81,MATCH(T$5,CompListItem,0),0,1,1))-SUMIFS(OFFSET(T$6,1,0,PayCount,1),PayDate,"&lt;"&amp;$AC170,PayEmp,$C170),(MIN(IF(OFFSET(Setup!$G$81,MATCH(T$5,CompListItem,0),0,1,1)="Taxable",SUMPRODUCT((PayEmp=$C170)*(PayDate&lt;=$AC170)*(ISERROR(SEARCH(PayEarnCode,T$4)))*(PayEarnTax)*(PayEarnValues)),SUMPRODUCT((PayEmp=$C170)*(PayDate&lt;=$AC170)*(ISERROR(SEARCH(PayEarnCode,T$4)))*(PayEarnValues))),IF(ISNUMBER(T$3),T$3/12*$AA170,IgnoreMin)))*OFFSET(Setup!$E$81,MATCH(T$5,CompListItem,0),0,1,1)-SUMIFS(OFFSET(T$6,1,0,PayCount,1),PayDate,"&lt;"&amp;$AC170,PayEmp,$C170)))))))</f>
        <v>177.12000000000012</v>
      </c>
      <c r="U170" s="133" cm="1">
        <f t="array" aca="1" ref="U170" ca="1">IF($F170="Terminated",0,IF($AA170=0,0,IF(ISNA(MATCH(U$5,CompListItem,0)),0,IF(COUNTIFS(OverEmp,$C170,OverComp,U$5,OverDate,"&lt;"&amp;DATE(YEAR($AC170),MONTH($AC170)+1,1),OverEnd,"&gt;="&amp;DATE(YEAR($AC170),MONTH($AC170),1))&gt;0,SUMIFS(OverValue,OverEmp,$C170,OverComp,U$5,OverDate,"&lt;"&amp;DATE(YEAR($AC170),MONTH($AC170)+1,1),OverEnd,"&gt;="&amp;DATE(YEAR($AC170),MONTH($AC170),1)),IF(OR(U$2="Fixed",U$2="Not Used"),(OFFSET(Setup!$E$81,MATCH(U$5,CompListItem,0),0,1,1)*$AA170)-SUMIFS(OFFSET(U$6,1,0,PayCount,1),PayDate,"&lt;"&amp;$AC170,PayEmp,$C170),IF(ISNA(MATCH(U$2,DedListItem,0))=FALSE,(SUMPRODUCT((PayEmp=$C170)*(PayDate&lt;=$AC170)*(PayDedList=U$2)*(PayDedValues))*OFFSET(Setup!$E$81,MATCH(U$5,CompListItem,0),0,1,1))-SUMIFS(OFFSET(U$6,1,0,PayCount,1),PayDate,"&lt;"&amp;$AC170,PayEmp,$C170),(MIN(IF(OFFSET(Setup!$G$81,MATCH(U$5,CompListItem,0),0,1,1)="Taxable",SUMPRODUCT((PayEmp=$C170)*(PayDate&lt;=$AC170)*(ISERROR(SEARCH(PayEarnCode,U$4)))*(PayEarnTax)*(PayEarnValues)),SUMPRODUCT((PayEmp=$C170)*(PayDate&lt;=$AC170)*(ISERROR(SEARCH(PayEarnCode,U$4)))*(PayEarnValues))),IF(ISNUMBER(U$3),U$3/12*$AA170,IgnoreMin)))*OFFSET(Setup!$E$81,MATCH(U$5,CompListItem,0),0,1,1)-SUMIFS(OFFSET(U$6,1,0,PayCount,1),PayDate,"&lt;"&amp;$AC170,PayEmp,$C170)))))))</f>
        <v>310</v>
      </c>
      <c r="V170" s="133" cm="1">
        <f t="array" aca="1" ref="V170" ca="1">IF($F170="Terminated",0,IF($AA170=0,0,IF(ISNA(MATCH(V$5,CompListItem,0)),0,IF(COUNTIFS(OverEmp,$C170,OverComp,V$5,OverDate,"&lt;"&amp;DATE(YEAR($AC170),MONTH($AC170)+1,1),OverEnd,"&gt;="&amp;DATE(YEAR($AC170),MONTH($AC170),1))&gt;0,SUMIFS(OverValue,OverEmp,$C170,OverComp,V$5,OverDate,"&lt;"&amp;DATE(YEAR($AC170),MONTH($AC170)+1,1),OverEnd,"&gt;="&amp;DATE(YEAR($AC170),MONTH($AC170),1)),IF(OR(V$2="Fixed",V$2="Not Used"),(OFFSET(Setup!$E$81,MATCH(V$5,CompListItem,0),0,1,1)*$AA170)-SUMIFS(OFFSET(V$6,1,0,PayCount,1),PayDate,"&lt;"&amp;$AC170,PayEmp,$C170),IF(ISNA(MATCH(V$2,DedListItem,0))=FALSE,(SUMPRODUCT((PayEmp=$C170)*(PayDate&lt;=$AC170)*(PayDedList=V$2)*(PayDedValues))*OFFSET(Setup!$E$81,MATCH(V$5,CompListItem,0),0,1,1))-SUMIFS(OFFSET(V$6,1,0,PayCount,1),PayDate,"&lt;"&amp;$AC170,PayEmp,$C170),(MIN(IF(OFFSET(Setup!$G$81,MATCH(V$5,CompListItem,0),0,1,1)="Taxable",SUMPRODUCT((PayEmp=$C170)*(PayDate&lt;=$AC170)*(ISERROR(SEARCH(PayEarnCode,V$4)))*(PayEarnTax)*(PayEarnValues)),SUMPRODUCT((PayEmp=$C170)*(PayDate&lt;=$AC170)*(ISERROR(SEARCH(PayEarnCode,V$4)))*(PayEarnValues))),IF(ISNUMBER(V$3),V$3/12*$AA170,IgnoreMin)))*OFFSET(Setup!$E$81,MATCH(V$5,CompListItem,0),0,1,1)-SUMIFS(OFFSET(V$6,1,0,PayCount,1),PayDate,"&lt;"&amp;$AC170,PayEmp,$C170)))))))</f>
        <v>0</v>
      </c>
      <c r="W170" s="133" cm="1">
        <f t="array" aca="1" ref="W170" ca="1">IF($F170="Terminated",0,IF($AA170=0,0,IF(ISNA(MATCH(W$5,CompListItem,0)),0,IF(COUNTIFS(OverEmp,$C170,OverComp,W$5,OverDate,"&lt;"&amp;DATE(YEAR($AC170),MONTH($AC170)+1,1),OverEnd,"&gt;="&amp;DATE(YEAR($AC170),MONTH($AC170),1))&gt;0,SUMIFS(OverValue,OverEmp,$C170,OverComp,W$5,OverDate,"&lt;"&amp;DATE(YEAR($AC170),MONTH($AC170)+1,1),OverEnd,"&gt;="&amp;DATE(YEAR($AC170),MONTH($AC170),1)),IF(OR(W$2="Fixed",W$2="Not Used"),(OFFSET(Setup!$E$81,MATCH(W$5,CompListItem,0),0,1,1)*$AA170)-SUMIFS(OFFSET(W$6,1,0,PayCount,1),PayDate,"&lt;"&amp;$AC170,PayEmp,$C170),IF(ISNA(MATCH(W$2,DedListItem,0))=FALSE,(SUMPRODUCT((PayEmp=$C170)*(PayDate&lt;=$AC170)*(PayDedList=W$2)*(PayDedValues))*OFFSET(Setup!$E$81,MATCH(W$5,CompListItem,0),0,1,1))-SUMIFS(OFFSET(W$6,1,0,PayCount,1),PayDate,"&lt;"&amp;$AC170,PayEmp,$C170),(MIN(IF(OFFSET(Setup!$G$81,MATCH(W$5,CompListItem,0),0,1,1)="Taxable",SUMPRODUCT((PayEmp=$C170)*(PayDate&lt;=$AC170)*(ISERROR(SEARCH(PayEarnCode,W$4)))*(PayEarnTax)*(PayEarnValues)),SUMPRODUCT((PayEmp=$C170)*(PayDate&lt;=$AC170)*(ISERROR(SEARCH(PayEarnCode,W$4)))*(PayEarnValues))),IF(ISNUMBER(W$3),W$3/12*$AA170,IgnoreMin)))*OFFSET(Setup!$E$81,MATCH(W$5,CompListItem,0),0,1,1)-SUMIFS(OFFSET(W$6,1,0,PayCount,1),PayDate,"&lt;"&amp;$AC170,PayEmp,$C170)))))))</f>
        <v>0</v>
      </c>
      <c r="X170" s="185">
        <f t="shared" ca="1" si="78"/>
        <v>487.12000000000012</v>
      </c>
      <c r="Y170" s="139">
        <f t="shared" ca="1" si="87"/>
        <v>31487.119999999999</v>
      </c>
      <c r="Z170" s="139">
        <f t="shared" ca="1" si="79"/>
        <v>5707.32</v>
      </c>
      <c r="AA170" s="146">
        <f ca="1">IF(OR($B170&lt;=Setup!$E$12,$B170&gt;=Setup!$D$12+1),0,IF($F170&lt;&gt;"Active",0,IF($AE170="Yes",$AB170,((YEAR($AC170)*12)+MONTH($AC170))-((YEAR($AD170)*12)+MONTH($AD170)-1))))</f>
        <v>8</v>
      </c>
      <c r="AB170" s="146">
        <f ca="1">IF(OR($B170&lt;=Setup!$E$12,$B170&gt;=Setup!$D$12+1),0,((YEAR($AC170)*12)+MONTH($AC170))-((YEAR(Setup!$E$12)*12)+MONTH(Setup!$E$12)))</f>
        <v>11</v>
      </c>
      <c r="AC170" s="186">
        <f t="shared" ca="1" si="83"/>
        <v>45316</v>
      </c>
      <c r="AD170" s="144">
        <f ca="1">IF(ISNA(VLOOKUP($C170,EmpAll,COLUMN(Emp!$E$4),0)),$AC170,IF(VLOOKUP($C170,EmpAll,COLUMN(Emp!$E$4),0)&lt;=Setup!$E$12,DATE(YEAR(Setup!$E$12),MONTH(Setup!$E$12)+1,1),VLOOKUP($C170,EmpAll,COLUMN(Emp!$E$4),0)))</f>
        <v>45102</v>
      </c>
      <c r="AE170" s="144" t="str">
        <f ca="1">IF(ISNA(VLOOKUP($C170,EmpAll,COLUMN(Emp!$G$1),0)),"-",IF(VLOOKUP($C170,EmpAll,COLUMN(Emp!$G$1),0)=0,"-",VLOOKUP($C170,EmpAll,COLUMN(Emp!$G$1),0)))</f>
        <v>-</v>
      </c>
      <c r="AF170" s="145">
        <f ca="1">IF(A170=PaySlip!$G$3,1,0)</f>
        <v>0</v>
      </c>
      <c r="AG170" s="130" cm="1">
        <f t="array" aca="1" ref="AG170" ca="1">IF(COUNTIFS(OverEmp,$C170,OverMed,"MED",OverDate,"&lt;"&amp;DATE(YEAR($AC170),MONTH($AC170)+1,1),OverEnd,"&gt;="&amp;DATE(YEAR($AC170),MONTH($AC170),1))&gt;0,SUMIFS(OverValue,OverEmp,$C170,OverMed,"MED",OverDate,"&lt;"&amp;DATE(YEAR($AC170),MONTH($AC170)+1,1),OverEnd,"&gt;="&amp;DATE(YEAR($AC170),MONTH($AC170),1)),IF(ISNA(VLOOKUP($C170,EmpAll,COLUMN(Emp!$N$4),0)),0,VLOOKUP($C170,EmpAll,COLUMN(Emp!$N$4),0)))</f>
        <v>0</v>
      </c>
      <c r="AH170" s="146">
        <f ca="1">VLOOKUP($AG170,MedList,COLUMN(Setup!$C$49),1)</f>
        <v>0</v>
      </c>
      <c r="AI170" s="146">
        <f t="shared" ca="1" si="70"/>
        <v>0</v>
      </c>
      <c r="AJ170" s="101" t="str">
        <f ca="1">IF(ISNA(VLOOKUP($C170,EmpAll,COLUMN(Emp!$L$4),0)),"None!",VLOOKUP($C170,EmpAll,COLUMN(Emp!$L$4),0))</f>
        <v>A</v>
      </c>
      <c r="AK170" s="147">
        <f t="shared" ca="1" si="80"/>
        <v>17235</v>
      </c>
      <c r="AL170" s="101" t="str">
        <f ca="1">IF(ISNA(VLOOKUP($C170,Employees[],COLUMN(Emp!$M$4),0))=TRUE,"Error!",IF(VLOOKUP($C170,Employees[],COLUMN(Emp!$M$4),0)=0,"Yes",VLOOKUP($C170,Employees[],COLUMN(Emp!$M$4),0)))</f>
        <v>A</v>
      </c>
      <c r="AM170" s="148">
        <f t="shared" ca="1" si="71"/>
        <v>352575</v>
      </c>
      <c r="AN170" s="148" cm="1">
        <f t="array" aca="1" ref="AN170" ca="1">-IF($F170="Terminated",0,IF($AA170=0,0,IF(ISNA(MATCH(AN$5,PayDedList,0)),0,MIN(IF(COUNTIFS(OverEmp,$C170,OverDeduct,AN$5,OverDate,"&lt;"&amp;DATE(YEAR($AC170),MONTH($AC170)+1,1),OverEnd,"&gt;="&amp;DATE(YEAR($AC170),MONTH($AC170),1))&gt;0,SUMPRODUCT((PayEmp=$C170)*(PayDate&lt;=$AC170)*(OFFSET($N$6,1,MATCH(AN$5,PayDedList,0)-1,PayCount,1)))/$AA170*12*AN$3,IF(OR(AN$1="Fixed",AN$1="Not Used"),SUMPRODUCT((PayEmp=$C170)*(PayDate&lt;=$AC170)*(OFFSET($N$6,1,MATCH(AN$5,PayDedList,0)-1,PayCount,1)))/$AA170*12*AN$3,IF(ISNA(MATCH(AN$1,EarnListItem,0))=FALSE,SUMPRODUCT((PayEmp=$C170)*(PayDate&lt;=$AC170)*(OFFSET($N$6,1,MATCH(AN$5,PayDedList,0)-1,PayCount,1)))/$AA170*12*AN$3,(MIN(((SUMPRODUCT((PayEmp=$C170)*(PayDate&lt;=$AC170)*(ISERROR(SEARCH(PayEarnCode,AN$2)))*(PayEarnType="Monthly")*(PayEarnValues))/$AA170*12)+(SUMPRODUCT((PayEmp=$C170)*(PayDate&lt;=$AC170)*(ISERROR(SEARCH(PayEarnCode,AN$2)))*(PayEarnType="Quarterly")*(PayEarnValues))/MAX(1,ROUNDDOWN($AB170/3,0))*4)+(SUMPRODUCT((PayEmp=$C170)*(PayDate&lt;=$AC170)*(ISERROR(SEARCH(PayEarnCode,AN$2)))*(PayEarnType="Bi-Annual")*(PayEarnValues))/MAX(1,ROUNDDOWN($AB170/6,0))*2)+(SUMPRODUCT((PayEmp=$C170)*(PayDate&lt;=$AC170)*(ISERROR(SEARCH(PayEarnCode,AN$2)))*(PayEarnType="Annual")*(PayEarnValues)))),IF(ISNUMBER(OFFSET($N$3,0,MATCH(AN$5,PayDedList,0)-1,1,1)),OFFSET($N$3,0,MATCH(AN$5,PayDedList,0)-1,1,1),IgnoreMin)))*IF(COUNTIFS(EmpNo,$C170,OFFSET(Emp!$R$4,1,MATCH(AN$5,DedListItem,0)-1,EmpCount,1),"&lt;&gt;")&gt;0,VLOOKUP($C170,EmpAll,COLUMN(Emp!$R$4)+MATCH(AN$5,DedListItem,0)-1,0),OFFSET(Setup!$E$73,MATCH(AN$5,DedListItem,0),0,1,1))*AN$3))),IF(ISNUMBER(AN$4),AN$4,IgnoreMin)))))</f>
        <v>0</v>
      </c>
      <c r="AO170" s="148" cm="1">
        <f t="array" aca="1" ref="AO170" ca="1">-IF($F170="Terminated",0,IF($AA170=0,0,IF(ISNA(MATCH(AO$5,PayDedList,0)),0,MIN(IF(COUNTIFS(OverEmp,$C170,OverDeduct,AO$5,OverDate,"&lt;"&amp;DATE(YEAR($AC170),MONTH($AC170)+1,1),OverEnd,"&gt;="&amp;DATE(YEAR($AC170),MONTH($AC170),1))&gt;0,SUMPRODUCT((PayEmp=$C170)*(PayDate&lt;=$AC170)*(OFFSET($N$6,1,MATCH(AO$5,PayDedList,0)-1,PayCount,1)))/$AA170*12*AO$3,IF(OR(AO$1="Fixed",AO$1="Not Used"),SUMPRODUCT((PayEmp=$C170)*(PayDate&lt;=$AC170)*(OFFSET($N$6,1,MATCH(AO$5,PayDedList,0)-1,PayCount,1)))/$AA170*12*AO$3,IF(ISNA(MATCH(AO$1,EarnListItem,0))=FALSE,SUMPRODUCT((PayEmp=$C170)*(PayDate&lt;=$AC170)*(OFFSET($N$6,1,MATCH(AO$5,PayDedList,0)-1,PayCount,1)))/$AA170*12*AO$3,(MIN(((SUMPRODUCT((PayEmp=$C170)*(PayDate&lt;=$AC170)*(ISERROR(SEARCH(PayEarnCode,AO$2)))*(PayEarnType="Monthly")*(PayEarnValues))/$AA170*12)+(SUMPRODUCT((PayEmp=$C170)*(PayDate&lt;=$AC170)*(ISERROR(SEARCH(PayEarnCode,AO$2)))*(PayEarnType="Quarterly")*(PayEarnValues))/MAX(1,ROUNDDOWN($AB170/3,0))*4)+(SUMPRODUCT((PayEmp=$C170)*(PayDate&lt;=$AC170)*(ISERROR(SEARCH(PayEarnCode,AO$2)))*(PayEarnType="Bi-Annual")*(PayEarnValues))/MAX(1,ROUNDDOWN($AB170/6,0))*2)+(SUMPRODUCT((PayEmp=$C170)*(PayDate&lt;=$AC170)*(ISERROR(SEARCH(PayEarnCode,AO$2)))*(PayEarnType="Annual")*(PayEarnValues)))),IF(ISNUMBER(OFFSET($N$3,0,MATCH(AO$5,PayDedList,0)-1,1,1)),OFFSET($N$3,0,MATCH(AO$5,PayDedList,0)-1,1,1),IgnoreMin)))*IF(COUNTIFS(EmpNo,$C170,OFFSET(Emp!$R$4,1,MATCH(AO$5,DedListItem,0)-1,EmpCount,1),"&lt;&gt;")&gt;0,VLOOKUP($C170,EmpAll,COLUMN(Emp!$R$4)+MATCH(AO$5,DedListItem,0)-1,0),OFFSET(Setup!$E$73,MATCH(AO$5,DedListItem,0),0,1,1))*AO$3))),IF(ISNUMBER(AO$4),AO$4,IgnoreMin)))))</f>
        <v>0</v>
      </c>
      <c r="AP170" s="148" cm="1">
        <f t="array" aca="1" ref="AP170" ca="1">-IF($F170="Terminated",0,IF($AA170=0,0,IF(ISNA(MATCH(AP$5,PayDedList,0)),0,MIN(IF(COUNTIFS(OverEmp,$C170,OverDeduct,AP$5,OverDate,"&lt;"&amp;DATE(YEAR($AC170),MONTH($AC170)+1,1),OverEnd,"&gt;="&amp;DATE(YEAR($AC170),MONTH($AC170),1))&gt;0,SUMPRODUCT((PayEmp=$C170)*(PayDate&lt;=$AC170)*(OFFSET($N$6,1,MATCH(AP$5,PayDedList,0)-1,PayCount,1)))/$AA170*12*AP$3,IF(OR(AP$1="Fixed",AP$1="Not Used"),SUMPRODUCT((PayEmp=$C170)*(PayDate&lt;=$AC170)*(OFFSET($N$6,1,MATCH(AP$5,PayDedList,0)-1,PayCount,1)))/$AA170*12*AP$3,IF(ISNA(MATCH(AP$1,EarnListItem,0))=FALSE,SUMPRODUCT((PayEmp=$C170)*(PayDate&lt;=$AC170)*(OFFSET($N$6,1,MATCH(AP$5,PayDedList,0)-1,PayCount,1)))/$AA170*12*AP$3,(MIN(((SUMPRODUCT((PayEmp=$C170)*(PayDate&lt;=$AC170)*(ISERROR(SEARCH(PayEarnCode,AP$2)))*(PayEarnType="Monthly")*(PayEarnValues))/$AA170*12)+(SUMPRODUCT((PayEmp=$C170)*(PayDate&lt;=$AC170)*(ISERROR(SEARCH(PayEarnCode,AP$2)))*(PayEarnType="Quarterly")*(PayEarnValues))/MAX(1,ROUNDDOWN($AB170/3,0))*4)+(SUMPRODUCT((PayEmp=$C170)*(PayDate&lt;=$AC170)*(ISERROR(SEARCH(PayEarnCode,AP$2)))*(PayEarnType="Bi-Annual")*(PayEarnValues))/MAX(1,ROUNDDOWN($AB170/6,0))*2)+(SUMPRODUCT((PayEmp=$C170)*(PayDate&lt;=$AC170)*(ISERROR(SEARCH(PayEarnCode,AP$2)))*(PayEarnType="Annual")*(PayEarnValues)))),IF(ISNUMBER(OFFSET($N$3,0,MATCH(AP$5,PayDedList,0)-1,1,1)),OFFSET($N$3,0,MATCH(AP$5,PayDedList,0)-1,1,1),IgnoreMin)))*IF(COUNTIFS(EmpNo,$C170,OFFSET(Emp!$R$4,1,MATCH(AP$5,DedListItem,0)-1,EmpCount,1),"&lt;&gt;")&gt;0,VLOOKUP($C170,EmpAll,COLUMN(Emp!$R$4)+MATCH(AP$5,DedListItem,0)-1,0),OFFSET(Setup!$E$73,MATCH(AP$5,DedListItem,0),0,1,1))*AP$3))),IF(ISNUMBER(AP$4),AP$4,IgnoreMin)))))</f>
        <v>0</v>
      </c>
      <c r="AQ170" s="148" cm="1">
        <f t="array" aca="1" ref="AQ170" ca="1">-IF($F170="Terminated",0,IF($AA170=0,0,IF(ISNA(MATCH(AQ$5,PayDedList,0)),0,MIN(IF(COUNTIFS(OverEmp,$C170,OverDeduct,AQ$5,OverDate,"&lt;"&amp;DATE(YEAR($AC170),MONTH($AC170)+1,1),OverEnd,"&gt;="&amp;DATE(YEAR($AC170),MONTH($AC170),1))&gt;0,SUMPRODUCT((PayEmp=$C170)*(PayDate&lt;=$AC170)*(OFFSET($N$6,1,MATCH(AQ$5,PayDedList,0)-1,PayCount,1)))/$AA170*12*AQ$3,IF(OR(AQ$1="Fixed",AQ$1="Not Used"),SUMPRODUCT((PayEmp=$C170)*(PayDate&lt;=$AC170)*(OFFSET($N$6,1,MATCH(AQ$5,PayDedList,0)-1,PayCount,1)))/$AA170*12*AQ$3,IF(ISNA(MATCH(AQ$1,EarnListItem,0))=FALSE,SUMPRODUCT((PayEmp=$C170)*(PayDate&lt;=$AC170)*(OFFSET($N$6,1,MATCH(AQ$5,PayDedList,0)-1,PayCount,1)))/$AA170*12*AQ$3,(MIN(((SUMPRODUCT((PayEmp=$C170)*(PayDate&lt;=$AC170)*(ISERROR(SEARCH(PayEarnCode,AQ$2)))*(PayEarnType="Monthly")*(PayEarnValues))/$AA170*12)+(SUMPRODUCT((PayEmp=$C170)*(PayDate&lt;=$AC170)*(ISERROR(SEARCH(PayEarnCode,AQ$2)))*(PayEarnType="Quarterly")*(PayEarnValues))/MAX(1,ROUNDDOWN($AB170/3,0))*4)+(SUMPRODUCT((PayEmp=$C170)*(PayDate&lt;=$AC170)*(ISERROR(SEARCH(PayEarnCode,AQ$2)))*(PayEarnType="Bi-Annual")*(PayEarnValues))/MAX(1,ROUNDDOWN($AB170/6,0))*2)+(SUMPRODUCT((PayEmp=$C170)*(PayDate&lt;=$AC170)*(ISERROR(SEARCH(PayEarnCode,AQ$2)))*(PayEarnType="Annual")*(PayEarnValues)))),IF(ISNUMBER(OFFSET($N$3,0,MATCH(AQ$5,PayDedList,0)-1,1,1)),OFFSET($N$3,0,MATCH(AQ$5,PayDedList,0)-1,1,1),IgnoreMin)))*IF(COUNTIFS(EmpNo,$C170,OFFSET(Emp!$R$4,1,MATCH(AQ$5,DedListItem,0)-1,EmpCount,1),"&lt;&gt;")&gt;0,VLOOKUP($C170,EmpAll,COLUMN(Emp!$R$4)+MATCH(AQ$5,DedListItem,0)-1,0),OFFSET(Setup!$E$73,MATCH(AQ$5,DedListItem,0),0,1,1))*AQ$3))),IF(ISNUMBER(AQ$4),AQ$4,IgnoreMin)))))</f>
        <v>0</v>
      </c>
      <c r="AR170" s="148">
        <f t="shared" ca="1" si="81"/>
        <v>352575</v>
      </c>
      <c r="AS170" s="148">
        <f t="shared" ca="1" si="72"/>
        <v>352575</v>
      </c>
      <c r="AT170" s="148" cm="1">
        <f t="array" aca="1" ref="AT170" ca="1">-IF($F170="Terminated",0,IF($AA170=0,0,IF(ISNA(MATCH(AT$5,PayDedList,0)),0,MIN(IF(COUNTIFS(OverEmp,$C170,OverDeduct,AT$5,OverDate,"&lt;"&amp;DATE(YEAR($AC170),MONTH($AC170)+1,1),OverEnd,"&gt;="&amp;DATE(YEAR($AC170),MONTH($AC170),1))&gt;0,SUMPRODUCT((PayEmp=$C170)*(PayDate&lt;=$AC170)*(OFFSET($N$6,1,MATCH(AT$5,PayDedList,0)-1,PayCount,1)))/$AA170*12*AT$3,IF(OR(AT$1="Fixed",AT$1="Not Used"),SUMPRODUCT((PayEmp=$C170)*(PayDate&lt;=$AC170)*(OFFSET($N$6,1,MATCH(AT$5,PayDedList,0)-1,PayCount,1)))/$AA170*12*AT$3,IF(ISNA(MATCH(OFFSET($N$2,0,MATCH(AT$5,PayDedList,0)-1,1,1),EarnListItem,0))=FALSE,SUMPRODUCT((PayEmp=$C170)*(PayDate&lt;=$AC170)*(OFFSET($N$6,1,MATCH(AT$5,PayDedList,0)-1,PayCount,1)))/$AA170*12*AT$3,(MIN(SUMPRODUCT((PayEmp=$C170)*(PayDate&lt;=$AC170)*(ISERROR(SEARCH(PayEarnCode,AT$2)))*(PayEarnType="Monthly")*(PayEarnValues))/$AA170*12,IF(ISNUMBER(OFFSET($N$3,0,MATCH(AT$5,PayDedList,0)-1,1,1)),OFFSET($N$3,0,MATCH(AT$5,PayDedList,0)-1,1,1),IgnoreMin)))*IF(COUNTIFS(EmpNo,$C170,OFFSET(Emp!$R$4,1,MATCH(AT$5,DedListItem,0)-1,EmpCount,1),"&lt;&gt;")&gt;0,VLOOKUP($C170,EmpAll,COLUMN(Emp!$R$4)+MATCH(AT$5,DedListItem,0)-1,0),OFFSET(Setup!$E$73,MATCH(AT$5,DedListItem,0),0,1,1))*AT$3))),IF(ISNUMBER(AT$4),AT$4,IgnoreMin)))))</f>
        <v>0</v>
      </c>
      <c r="AU170" s="148" cm="1">
        <f t="array" aca="1" ref="AU170" ca="1">-IF($F170="Terminated",0,IF($AA170=0,0,IF(ISNA(MATCH(AU$5,PayDedList,0)),0,MIN(IF(COUNTIFS(OverEmp,$C170,OverDeduct,AU$5,OverDate,"&lt;"&amp;DATE(YEAR($AC170),MONTH($AC170)+1,1),OverEnd,"&gt;="&amp;DATE(YEAR($AC170),MONTH($AC170),1))&gt;0,SUMPRODUCT((PayEmp=$C170)*(PayDate&lt;=$AC170)*(OFFSET($N$6,1,MATCH(AU$5,PayDedList,0)-1,PayCount,1)))/$AA170*12*AU$3,IF(OR(AU$1="Fixed",AU$1="Not Used"),SUMPRODUCT((PayEmp=$C170)*(PayDate&lt;=$AC170)*(OFFSET($N$6,1,MATCH(AU$5,PayDedList,0)-1,PayCount,1)))/$AA170*12*AU$3,IF(ISNA(MATCH(OFFSET($N$2,0,MATCH(AU$5,PayDedList,0)-1,1,1),EarnListItem,0))=FALSE,SUMPRODUCT((PayEmp=$C170)*(PayDate&lt;=$AC170)*(OFFSET($N$6,1,MATCH(AU$5,PayDedList,0)-1,PayCount,1)))/$AA170*12*AU$3,(MIN(SUMPRODUCT((PayEmp=$C170)*(PayDate&lt;=$AC170)*(ISERROR(SEARCH(PayEarnCode,AU$2)))*(PayEarnType="Monthly")*(PayEarnValues))/$AA170*12,IF(ISNUMBER(OFFSET($N$3,0,MATCH(AU$5,PayDedList,0)-1,1,1)),OFFSET($N$3,0,MATCH(AU$5,PayDedList,0)-1,1,1),IgnoreMin)))*IF(COUNTIFS(EmpNo,$C170,OFFSET(Emp!$R$4,1,MATCH(AU$5,DedListItem,0)-1,EmpCount,1),"&lt;&gt;")&gt;0,VLOOKUP($C170,EmpAll,COLUMN(Emp!$R$4)+MATCH(AU$5,DedListItem,0)-1,0),OFFSET(Setup!$E$73,MATCH(AU$5,DedListItem,0),0,1,1))*AU$3))),IF(ISNUMBER(AU$4),AU$4,IgnoreMin)))))</f>
        <v>0</v>
      </c>
      <c r="AV170" s="148" cm="1">
        <f t="array" aca="1" ref="AV170" ca="1">-IF($F170="Terminated",0,IF($AA170=0,0,IF(ISNA(MATCH(AV$5,PayDedList,0)),0,MIN(IF(COUNTIFS(OverEmp,$C170,OverDeduct,AV$5,OverDate,"&lt;"&amp;DATE(YEAR($AC170),MONTH($AC170)+1,1),OverEnd,"&gt;="&amp;DATE(YEAR($AC170),MONTH($AC170),1))&gt;0,SUMPRODUCT((PayEmp=$C170)*(PayDate&lt;=$AC170)*(OFFSET($N$6,1,MATCH(AV$5,PayDedList,0)-1,PayCount,1)))/$AA170*12*AV$3,IF(OR(AV$1="Fixed",AV$1="Not Used"),SUMPRODUCT((PayEmp=$C170)*(PayDate&lt;=$AC170)*(OFFSET($N$6,1,MATCH(AV$5,PayDedList,0)-1,PayCount,1)))/$AA170*12*AV$3,IF(ISNA(MATCH(OFFSET($N$2,0,MATCH(AV$5,PayDedList,0)-1,1,1),EarnListItem,0))=FALSE,SUMPRODUCT((PayEmp=$C170)*(PayDate&lt;=$AC170)*(OFFSET($N$6,1,MATCH(AV$5,PayDedList,0)-1,PayCount,1)))/$AA170*12*AV$3,(MIN(SUMPRODUCT((PayEmp=$C170)*(PayDate&lt;=$AC170)*(ISERROR(SEARCH(PayEarnCode,AV$2)))*(PayEarnType="Monthly")*(PayEarnValues))/$AA170*12,IF(ISNUMBER(OFFSET($N$3,0,MATCH(AV$5,PayDedList,0)-1,1,1)),OFFSET($N$3,0,MATCH(AV$5,PayDedList,0)-1,1,1),IgnoreMin)))*IF(COUNTIFS(EmpNo,$C170,OFFSET(Emp!$R$4,1,MATCH(AV$5,DedListItem,0)-1,EmpCount,1),"&lt;&gt;")&gt;0,VLOOKUP($C170,EmpAll,COLUMN(Emp!$R$4)+MATCH(AV$5,DedListItem,0)-1,0),OFFSET(Setup!$E$73,MATCH(AV$5,DedListItem,0),0,1,1))*AV$3))),IF(ISNUMBER(AV$4),AV$4,IgnoreMin)))))</f>
        <v>0</v>
      </c>
      <c r="AW170" s="148" cm="1">
        <f t="array" aca="1" ref="AW170" ca="1">-IF($F170="Terminated",0,IF($AA170=0,0,IF(ISNA(MATCH(AW$5,PayDedList,0)),0,MIN(IF(COUNTIFS(OverEmp,$C170,OverDeduct,AW$5,OverDate,"&lt;"&amp;DATE(YEAR($AC170),MONTH($AC170)+1,1),OverEnd,"&gt;="&amp;DATE(YEAR($AC170),MONTH($AC170),1))&gt;0,SUMPRODUCT((PayEmp=$C170)*(PayDate&lt;=$AC170)*(OFFSET($N$6,1,MATCH(AW$5,PayDedList,0)-1,PayCount,1)))/$AA170*12*AW$3,IF(OR(AW$1="Fixed",AW$1="Not Used"),SUMPRODUCT((PayEmp=$C170)*(PayDate&lt;=$AC170)*(OFFSET($N$6,1,MATCH(AW$5,PayDedList,0)-1,PayCount,1)))/$AA170*12*AW$3,IF(ISNA(MATCH(OFFSET($N$2,0,MATCH(AW$5,PayDedList,0)-1,1,1),EarnListItem,0))=FALSE,SUMPRODUCT((PayEmp=$C170)*(PayDate&lt;=$AC170)*(OFFSET($N$6,1,MATCH(AW$5,PayDedList,0)-1,PayCount,1)))/$AA170*12*AW$3,(MIN(SUMPRODUCT((PayEmp=$C170)*(PayDate&lt;=$AC170)*(ISERROR(SEARCH(PayEarnCode,AW$2)))*(PayEarnType="Monthly")*(PayEarnValues))/$AA170*12,IF(ISNUMBER(OFFSET($N$3,0,MATCH(AW$5,PayDedList,0)-1,1,1)),OFFSET($N$3,0,MATCH(AW$5,PayDedList,0)-1,1,1),IgnoreMin)))*IF(COUNTIFS(EmpNo,$C170,OFFSET(Emp!$R$4,1,MATCH(AW$5,DedListItem,0)-1,EmpCount,1),"&lt;&gt;")&gt;0,VLOOKUP($C170,EmpAll,COLUMN(Emp!$R$4)+MATCH(AW$5,DedListItem,0)-1,0),OFFSET(Setup!$E$73,MATCH(AW$5,DedListItem,0),0,1,1))*AW$3))),IF(ISNUMBER(AW$4),AW$4,IgnoreMin)))))</f>
        <v>0</v>
      </c>
      <c r="AX170" s="148">
        <f t="shared" ca="1" si="88"/>
        <v>352575</v>
      </c>
      <c r="AY170" s="148">
        <f t="shared" ca="1" si="89"/>
        <v>0</v>
      </c>
      <c r="AZ170" s="148">
        <f ca="1">IF(ISNUMBER($AL170),($AR170*$AL170)-$AI170-$AK170,MAX(0,IF($AL170="B",IF($AR170&lt;Setup!$C$32,($AR170*Setup!$D$32)-$AI170-$AK170,(($AR170-VLOOKUP($AR170,TaxAll2,1,1))*OFFSET(Setup!$D$32,MATCH($AR170,TaxBracket2,1),0,1,1))+OFFSET(Setup!$E$31,MATCH($AR170,TaxBracket2,1),0,1,1)-$AI170-$AK170),IF($AR170&lt;Setup!$C$21,($AR170*Setup!$D$21)-$AI170-$AK170,(($AR170-VLOOKUP($AR170,TaxAll1,1,1))*OFFSET(Setup!$D$21,MATCH($AR170,TaxBracket1,1),0,1,1))+OFFSET(Setup!$E$20,MATCH($AR170,TaxBracket1,1),0,1,1)-$AI170-$AK170))))</f>
        <v>55466.5</v>
      </c>
      <c r="BA170" s="148">
        <f ca="1">IF(ISNUMBER($AL170),($AX170*$AL170)-$AI170-$AK170,MAX(0,IF($AL170="B",IF($AX170&lt;Setup!$C$32,($AX170*Setup!$D$32)-$AI170-$AK170,(($AX170-VLOOKUP($AX170,TaxAll2,1,1))*OFFSET(Setup!$D$32,MATCH($AX170,TaxBracket2,1),0,1,1))+OFFSET(Setup!$E$31,MATCH($AX170,TaxBracket2,1),0,1,1)-$AI170-$AK170),IF($AX170&lt;Setup!$C$21,($AX170*Setup!$D$21)-$AI170-$AK170,(($AX170-VLOOKUP($AX170,TaxAll1,1,1))*OFFSET(Setup!$D$21,MATCH($AX170,TaxBracket1,1),0,1,1))+OFFSET(Setup!$E$20,MATCH($AX170,TaxBracket1,1),0,1,1)-$AI170-$AK170))))</f>
        <v>55466.5</v>
      </c>
      <c r="BB170" s="148">
        <f t="shared" ca="1" si="82"/>
        <v>0</v>
      </c>
      <c r="BC170" s="150">
        <f t="shared" ca="1" si="75"/>
        <v>1</v>
      </c>
      <c r="BD170" s="150">
        <f t="shared" ca="1" si="76"/>
        <v>0</v>
      </c>
      <c r="BE170" s="148">
        <f t="shared" ca="1" si="77"/>
        <v>352575</v>
      </c>
    </row>
    <row r="171" spans="1:57" ht="16.149999999999999" customHeight="1" x14ac:dyDescent="0.25">
      <c r="A171" s="10" t="str" cm="1">
        <f t="array" aca="1" ref="A171" ca="1">IF(ROW($A171)-ROW($A$6)&gt;EmpCount*12,"-",TEXT($B171,"yyyy")&amp;TEXT($B171,"mm")&amp;"-"&amp;$C171)</f>
        <v>202401-EXS015</v>
      </c>
      <c r="B171" s="137" cm="1">
        <f t="array" aca="1" ref="B171" ca="1">IF(ROW($A171)-ROW($A$6)&gt;EmpCount*12,Setup!$D$12,DATE(YEAR(Setup!$F$12),MONTH(Setup!$F$12)+ROUNDDOWN((ROW($A171)-ROW($A$6)-1)/EmpCount,0),IF(Setup!$C$14&gt;DAY(DATE(YEAR(Setup!$F$12),MONTH(Setup!$F$12)+ROUNDDOWN((ROW($A171)-ROW($A$6)-1)/EmpCount,0)+1,0)),DAY(DATE(YEAR(Setup!$F$12),MONTH(Setup!$F$12)+ROUNDDOWN((ROW($A171)-ROW($A$6)-1)/EmpCount,0)+1,0)),Setup!$C$14)))</f>
        <v>45316</v>
      </c>
      <c r="C171" s="101" t="str" cm="1">
        <f t="array" aca="1" ref="C171" ca="1">IF(ROW($A171)-ROW($A$6)&gt;EmpCount*12,"-",OFFSET(Emp!$A$4,ROW($A171)-ROW($A$6)-IF(ROW($A171)-ROW($A$6)&gt;EmpCount,ROUNDDOWN((ROW($A171)-ROW($A$6)-1)/EmpCount,0)*EmpCount,0),0,1,1))</f>
        <v>EXS015</v>
      </c>
      <c r="D171" s="10" t="str">
        <f ca="1">IF(ISNA(VLOOKUP($C171,EmpAll,COLUMN(Emp!$B$4),0)),"-",VLOOKUP($C171,EmpAll,COLUMN(Emp!$B$4),0))</f>
        <v>Graham L</v>
      </c>
      <c r="E171" s="145" t="str">
        <f ca="1">IF(ISNA(VLOOKUP($C171,EmpAll,COLUMN(Emp!$C$4),0)),"-",VLOOKUP($C171,EmpAll,COLUMN(Emp!$C$4),0))</f>
        <v>S</v>
      </c>
      <c r="F171" s="101" t="str">
        <f ca="1">IF(ISNA(VLOOKUP($C171,EmpAll,COLUMN(Emp!$A$4),0)),"-",IF(AND(VLOOKUP($C171,EmpAll,COLUMN(Emp!$E$4),0)&lt;&gt;0,VLOOKUP($C171,EmpAll,COLUMN(Emp!$E$4),0)&gt;=DATE(YEAR($AC171),MONTH($AC171)+1,0)),"Inactive",IF(AND(VLOOKUP($C171,EmpAll,COLUMN(Emp!$F$4),0)&lt;&gt;0,VLOOKUP($C171,EmpAll,COLUMN(Emp!$F$4),0)&lt;=DATE(YEAR($AC171),MONTH($AC171),0)),"Terminated","Active")))</f>
        <v>Active</v>
      </c>
      <c r="G171" s="133" cm="1">
        <f t="array" aca="1" ref="G171" ca="1">IF($F171&lt;&gt;"Active",0,IF(COUNTIFS(OverEmp,$C171,OverEarn,G$2,OverDate,"&lt;"&amp;DATE(YEAR($AC171),MONTH($AC171)+1,1),OverEnd,"&gt;="&amp;DATE(YEAR($AC171),MONTH($AC171),1))&gt;0,SUMIFS(OverValue,OverEmp,$C171,OverEarn,G$2,OverDate,"&lt;"&amp;DATE(YEAR($AC171),MONTH($AC171)+1,1),OverEnd,"&gt;="&amp;DATE(YEAR($AC171),MONTH($AC171),1)),IF(AND($AC171&gt;=Setup!$E$10,SUMIFS(EmpIncrease,EmpCode,$C171)&gt;0),SUMIFS(EmpIncrease,EmpCode,$C171),SUMIFS(EmpSalary,EmpCode,$C171))))</f>
        <v>10500</v>
      </c>
      <c r="H171" s="133" cm="1">
        <f t="array" aca="1" ref="H171" ca="1">IF($F171&lt;&gt;"Active",0,IF(COUNTIFS(OverEmp,$C171,OverEarn,H$2,OverDate,"&lt;"&amp;DATE(YEAR($AC171),MONTH($AC171)+1,1),OverEnd,"&gt;="&amp;DATE(YEAR($AC171),MONTH($AC171),1))&gt;0,SUMIFS(OverValue,OverEmp,$C171,OverEarn,H$2,OverDate,"&lt;"&amp;DATE(YEAR($AC171),MONTH($AC171)+1,1),OverEnd,"&gt;="&amp;DATE(YEAR($AC171),MONTH($AC171),1)),0))</f>
        <v>0</v>
      </c>
      <c r="I171" s="133" cm="1">
        <f t="array" aca="1" ref="I171" ca="1">IF($F171&lt;&gt;"Active",0,IF(COUNTIFS(OverEmp,$C171,OverEarn,I$2,OverDate,"&lt;"&amp;DATE(YEAR($AC171),MONTH($AC171)+1,1),OverEnd,"&gt;="&amp;DATE(YEAR($AC171),MONTH($AC171),1))&gt;0,SUMIFS(OverValue,OverEmp,$C171,OverEarn,I$2,OverDate,"&lt;"&amp;DATE(YEAR($AC171),MONTH($AC171)+1,1),OverEnd,"&gt;="&amp;DATE(YEAR($AC171),MONTH($AC171),1)),IF(MONTH(B171)=Setup!$C$15,SUMIFS(EmpBonus,EmpCode,$C171),0)))</f>
        <v>0</v>
      </c>
      <c r="J171" s="133" cm="1">
        <f t="array" aca="1" ref="J171" ca="1">IF($F171&lt;&gt;"Active",0,IF(COUNTIFS(OverEmp,$C171,OverEarn,J$2,OverDate,"&lt;"&amp;DATE(YEAR($AC171),MONTH($AC171)+1,1),OverEnd,"&gt;="&amp;DATE(YEAR($AC171),MONTH($AC171),1))&gt;0,SUMIFS(OverValue,OverEmp,$C171,OverEarn,J$2,OverDate,"&lt;"&amp;DATE(YEAR($AC171),MONTH($AC171)+1,1),OverEnd,"&gt;="&amp;DATE(YEAR($AC171),MONTH($AC171),1)),0))</f>
        <v>0</v>
      </c>
      <c r="K171" s="133" cm="1">
        <f t="array" aca="1" ref="K171" ca="1">IF($F171&lt;&gt;"Active",0,IF(COUNTIFS(OverEmp,$C171,OverEarn,K$2,OverDate,"&lt;"&amp;DATE(YEAR($AC171),MONTH($AC171)+1,1),OverEnd,"&gt;="&amp;DATE(YEAR($AC171),MONTH($AC171),1))&gt;0,SUMIFS(OverValue,OverEmp,$C171,OverEarn,K$2,OverDate,"&lt;"&amp;DATE(YEAR($AC171),MONTH($AC171)+1,1),OverEnd,"&gt;="&amp;DATE(YEAR($AC171),MONTH($AC171),1)),0))</f>
        <v>0</v>
      </c>
      <c r="L171" s="185">
        <f t="shared" ca="1" si="84"/>
        <v>10500</v>
      </c>
      <c r="M171" s="182" cm="1">
        <f t="array" aca="1" ref="M171" ca="1">IF(COUNTIFS(OverEmp,$C171,OverTax,M$5,OverDate,"&lt;"&amp;DATE(YEAR($AC171),MONTH($AC171)+1,1),OverEnd,"&gt;="&amp;DATE(YEAR($AC171),MONTH($AC171),1))&gt;0,SUMIFS(OverValue,OverEmp,$C171,OverTax,M$5,OverDate,"&lt;"&amp;DATE(YEAR($AC171),MONTH($AC171)+1,1),OverEnd,"&gt;="&amp;DATE(YEAR($AC171),MONTH($AC171),1)),(($BA171/12*$AA171)+(BB171*IF(1-$BC171=0,0,BD171/(1-$BC171))))-IF($F171="Terminated",0,SUMIFS(PayTaxDeduct,PayDate,"&lt;"&amp;$AC171,PayEmp,$C171)))</f>
        <v>0</v>
      </c>
      <c r="N171" s="133" cm="1">
        <f t="array" aca="1" ref="N171" ca="1">IF($F171="Terminated",0,IF($AA171=0,0,IF(ISNA(MATCH(N$5,DedListItem,0)),0,IF(COUNTIFS(OverEmp,$C171,OverDeduct,N$5,OverDate,"&lt;"&amp;DATE(YEAR($AC171),MONTH($AC171)+1,1),OverEnd,"&gt;="&amp;DATE(YEAR($AC171),MONTH($AC171),1))&gt;0,SUMIFS(OverValue,OverEmp,$C171,OverDeduct,N$5,OverDate,"&lt;"&amp;DATE(YEAR($AC171),MONTH($AC171)+1,1),OverEnd,"&gt;="&amp;DATE(YEAR($AC171),MONTH($AC171),1)),IF(OR(N$2="Fixed",N$2="Not Used"),(IF(COUNTIFS(EmpNo,$C171,OFFSET(Emp!$R$4,1,MATCH(N$5,DedListItem,0)-1,EmpCount,1),"&lt;&gt;")&gt;0,VLOOKUP($C171,EmpAll,COLUMN(Emp!$R$4)+MATCH(N$5,DedListItem,0)-1,0),OFFSET(Setup!$E$73,MATCH(N$5,DedListItem,0),0,1,1))*$AA171)-SUMIFS(OFFSET(N$6,1,0,PayCount,1),PayDate,"&lt;"&amp;$AC171,PayEmp,$C171),IF(ISNA(MATCH(N$2,EarnListItem,0))=FALSE,IF(OFFSET(Setup!$G$73,MATCH(N$5,DedListItem,0),0,1,1)="Taxable",SUMPRODUCT((PayEmp=$C171)*(PayDate&lt;=$AC171)*(PayEarnCode=N$2)*(PayEarnTax)*(PayEarnValues)),SUMPRODUCT((PayEmp=$C171)*(PayDate&lt;=$AC171)*(PayEarnCode=N$2)*(PayEarnValues)))*IF(COUNTIFS(EmpNo,$C171,OFFSET(Emp!$R$4,1,MATCH(N$5,DedListItem,0)-1,EmpCount,1),"&lt;&gt;")&gt;0,VLOOKUP($C171,EmpAll,COLUMN(Emp!$R$4)+MATCH(N$5,DedListItem,0)-1,0),OFFSET(Setup!$E$73,MATCH(N$5,DedListItem,0),0,1,1)),(MIN(IF(OFFSET(Setup!$G$73,MATCH(N$5,DedListItem,0),0,1,1)="Taxable",SUMPRODUCT((PayEmp=$C171)*(PayDate&lt;=$AC171)*(ISERROR(SEARCH(PayEarnCode,N$4)))*(PayEarnTax)*(PayEarnValues)),SUMPRODUCT((PayEmp=$C171)*(PayDate&lt;=$AC171)*(ISERROR(SEARCH(PayEarnCode,N$4)))*(PayEarnValues))),IF(ISNUMBER(N$3),N$3/12*$AA171,IgnoreMin)))*IF(COUNTIFS(EmpNo,$C171,OFFSET(Emp!$R$4,1,MATCH(N$5,DedListItem,0)-1,EmpCount,1),"&lt;&gt;")&gt;0,VLOOKUP($C171,EmpAll,COLUMN(Emp!$R$4)+MATCH(N$5,DedListItem,0)-1,0),OFFSET(Setup!$E$73,MATCH(N$5,DedListItem,0),0,1,1)))-SUMIFS(OFFSET(N$6,1,0,PayCount,1),PayDate,"&lt;"&amp;$AC171,PayEmp,$C171))))))</f>
        <v>105</v>
      </c>
      <c r="O171" s="133" cm="1">
        <f t="array" aca="1" ref="O171" ca="1">IF($F171="Terminated",0,IF($AA171=0,0,IF(ISNA(MATCH(O$5,DedListItem,0)),0,IF(COUNTIFS(OverEmp,$C171,OverDeduct,O$5,OverDate,"&lt;"&amp;DATE(YEAR($AC171),MONTH($AC171)+1,1),OverEnd,"&gt;="&amp;DATE(YEAR($AC171),MONTH($AC171),1))&gt;0,SUMIFS(OverValue,OverEmp,$C171,OverDeduct,O$5,OverDate,"&lt;"&amp;DATE(YEAR($AC171),MONTH($AC171)+1,1),OverEnd,"&gt;="&amp;DATE(YEAR($AC171),MONTH($AC171),1)),IF(OR(O$2="Fixed",O$2="Not Used"),(IF(COUNTIFS(EmpNo,$C171,OFFSET(Emp!$R$4,1,MATCH(O$5,DedListItem,0)-1,EmpCount,1),"&lt;&gt;")&gt;0,VLOOKUP($C171,EmpAll,COLUMN(Emp!$R$4)+MATCH(O$5,DedListItem,0)-1,0),OFFSET(Setup!$E$73,MATCH(O$5,DedListItem,0),0,1,1))*$AA171)-SUMIFS(OFFSET(O$6,1,0,PayCount,1),PayDate,"&lt;"&amp;$AC171,PayEmp,$C171),IF(ISNA(MATCH(O$2,EarnListItem,0))=FALSE,IF(OFFSET(Setup!$G$73,MATCH(O$5,DedListItem,0),0,1,1)="Taxable",SUMPRODUCT((PayEmp=$C171)*(PayDate&lt;=$AC171)*(PayEarnCode=O$2)*(PayEarnTax)*(PayEarnValues)),SUMPRODUCT((PayEmp=$C171)*(PayDate&lt;=$AC171)*(PayEarnCode=O$2)*(PayEarnValues)))*IF(COUNTIFS(EmpNo,$C171,OFFSET(Emp!$R$4,1,MATCH(O$5,DedListItem,0)-1,EmpCount,1),"&lt;&gt;")&gt;0,VLOOKUP($C171,EmpAll,COLUMN(Emp!$R$4)+MATCH(O$5,DedListItem,0)-1,0),OFFSET(Setup!$E$73,MATCH(O$5,DedListItem,0),0,1,1)),(MIN(IF(OFFSET(Setup!$G$73,MATCH(O$5,DedListItem,0),0,1,1)="Taxable",SUMPRODUCT((PayEmp=$C171)*(PayDate&lt;=$AC171)*(ISERROR(SEARCH(PayEarnCode,O$4)))*(PayEarnTax)*(PayEarnValues)),SUMPRODUCT((PayEmp=$C171)*(PayDate&lt;=$AC171)*(ISERROR(SEARCH(PayEarnCode,O$4)))*(PayEarnValues))),IF(ISNUMBER(O$3),O$3/12*$AA171,IgnoreMin)))*IF(COUNTIFS(EmpNo,$C171,OFFSET(Emp!$R$4,1,MATCH(O$5,DedListItem,0)-1,EmpCount,1),"&lt;&gt;")&gt;0,VLOOKUP($C171,EmpAll,COLUMN(Emp!$R$4)+MATCH(O$5,DedListItem,0)-1,0),OFFSET(Setup!$E$73,MATCH(O$5,DedListItem,0),0,1,1)))-SUMIFS(OFFSET(O$6,1,0,PayCount,1),PayDate,"&lt;"&amp;$AC171,PayEmp,$C171))))))</f>
        <v>0</v>
      </c>
      <c r="P171" s="133" cm="1">
        <f t="array" aca="1" ref="P171" ca="1">IF($F171="Terminated",0,IF($AA171=0,0,IF(ISNA(MATCH(P$5,DedListItem,0)),0,IF(COUNTIFS(OverEmp,$C171,OverDeduct,P$5,OverDate,"&lt;"&amp;DATE(YEAR($AC171),MONTH($AC171)+1,1),OverEnd,"&gt;="&amp;DATE(YEAR($AC171),MONTH($AC171),1))&gt;0,SUMIFS(OverValue,OverEmp,$C171,OverDeduct,P$5,OverDate,"&lt;"&amp;DATE(YEAR($AC171),MONTH($AC171)+1,1),OverEnd,"&gt;="&amp;DATE(YEAR($AC171),MONTH($AC171),1)),IF(OR(P$2="Fixed",P$2="Not Used"),(IF(COUNTIFS(EmpNo,$C171,OFFSET(Emp!$R$4,1,MATCH(P$5,DedListItem,0)-1,EmpCount,1),"&lt;&gt;")&gt;0,VLOOKUP($C171,EmpAll,COLUMN(Emp!$R$4)+MATCH(P$5,DedListItem,0)-1,0),OFFSET(Setup!$E$73,MATCH(P$5,DedListItem,0),0,1,1))*$AA171)-SUMIFS(OFFSET(P$6,1,0,PayCount,1),PayDate,"&lt;"&amp;$AC171,PayEmp,$C171),IF(ISNA(MATCH(P$2,EarnListItem,0))=FALSE,IF(OFFSET(Setup!$G$73,MATCH(P$5,DedListItem,0),0,1,1)="Taxable",SUMPRODUCT((PayEmp=$C171)*(PayDate&lt;=$AC171)*(PayEarnCode=P$2)*(PayEarnTax)*(PayEarnValues)),SUMPRODUCT((PayEmp=$C171)*(PayDate&lt;=$AC171)*(PayEarnCode=P$2)*(PayEarnValues)))*IF(COUNTIFS(EmpNo,$C171,OFFSET(Emp!$R$4,1,MATCH(P$5,DedListItem,0)-1,EmpCount,1),"&lt;&gt;")&gt;0,VLOOKUP($C171,EmpAll,COLUMN(Emp!$R$4)+MATCH(P$5,DedListItem,0)-1,0),OFFSET(Setup!$E$73,MATCH(P$5,DedListItem,0),0,1,1)),(MIN(IF(OFFSET(Setup!$G$73,MATCH(P$5,DedListItem,0),0,1,1)="Taxable",SUMPRODUCT((PayEmp=$C171)*(PayDate&lt;=$AC171)*(ISERROR(SEARCH(PayEarnCode,P$4)))*(PayEarnTax)*(PayEarnValues)),SUMPRODUCT((PayEmp=$C171)*(PayDate&lt;=$AC171)*(ISERROR(SEARCH(PayEarnCode,P$4)))*(PayEarnValues))),IF(ISNUMBER(P$3),P$3/12*$AA171,IgnoreMin)))*IF(COUNTIFS(EmpNo,$C171,OFFSET(Emp!$R$4,1,MATCH(P$5,DedListItem,0)-1,EmpCount,1),"&lt;&gt;")&gt;0,VLOOKUP($C171,EmpAll,COLUMN(Emp!$R$4)+MATCH(P$5,DedListItem,0)-1,0),OFFSET(Setup!$E$73,MATCH(P$5,DedListItem,0),0,1,1)))-SUMIFS(OFFSET(P$6,1,0,PayCount,1),PayDate,"&lt;"&amp;$AC171,PayEmp,$C171))))))</f>
        <v>0</v>
      </c>
      <c r="Q171" s="133" cm="1">
        <f t="array" aca="1" ref="Q171" ca="1">IF($F171="Terminated",0,IF($AA171=0,0,IF(ISNA(MATCH(Q$5,DedListItem,0)),0,IF(COUNTIFS(OverEmp,$C171,OverDeduct,Q$5,OverDate,"&lt;"&amp;DATE(YEAR($AC171),MONTH($AC171)+1,1),OverEnd,"&gt;="&amp;DATE(YEAR($AC171),MONTH($AC171),1))&gt;0,SUMIFS(OverValue,OverEmp,$C171,OverDeduct,Q$5,OverDate,"&lt;"&amp;DATE(YEAR($AC171),MONTH($AC171)+1,1),OverEnd,"&gt;="&amp;DATE(YEAR($AC171),MONTH($AC171),1)),IF(OR(Q$2="Fixed",Q$2="Not Used"),(IF(COUNTIFS(EmpNo,$C171,OFFSET(Emp!$R$4,1,MATCH(Q$5,DedListItem,0)-1,EmpCount,1),"&lt;&gt;")&gt;0,VLOOKUP($C171,EmpAll,COLUMN(Emp!$R$4)+MATCH(Q$5,DedListItem,0)-1,0),OFFSET(Setup!$E$73,MATCH(Q$5,DedListItem,0),0,1,1))*$AA171)-SUMIFS(OFFSET(Q$6,1,0,PayCount,1),PayDate,"&lt;"&amp;$AC171,PayEmp,$C171),IF(ISNA(MATCH(Q$2,EarnListItem,0))=FALSE,IF(OFFSET(Setup!$G$73,MATCH(Q$5,DedListItem,0),0,1,1)="Taxable",SUMPRODUCT((PayEmp=$C171)*(PayDate&lt;=$AC171)*(PayEarnCode=Q$2)*(PayEarnTax)*(PayEarnValues)),SUMPRODUCT((PayEmp=$C171)*(PayDate&lt;=$AC171)*(PayEarnCode=Q$2)*(PayEarnValues)))*IF(COUNTIFS(EmpNo,$C171,OFFSET(Emp!$R$4,1,MATCH(Q$5,DedListItem,0)-1,EmpCount,1),"&lt;&gt;")&gt;0,VLOOKUP($C171,EmpAll,COLUMN(Emp!$R$4)+MATCH(Q$5,DedListItem,0)-1,0),OFFSET(Setup!$E$73,MATCH(Q$5,DedListItem,0),0,1,1)),(MIN(IF(OFFSET(Setup!$G$73,MATCH(Q$5,DedListItem,0),0,1,1)="Taxable",SUMPRODUCT((PayEmp=$C171)*(PayDate&lt;=$AC171)*(ISERROR(SEARCH(PayEarnCode,Q$4)))*(PayEarnTax)*(PayEarnValues)),SUMPRODUCT((PayEmp=$C171)*(PayDate&lt;=$AC171)*(ISERROR(SEARCH(PayEarnCode,Q$4)))*(PayEarnValues))),IF(ISNUMBER(Q$3),Q$3/12*$AA171,IgnoreMin)))*IF(COUNTIFS(EmpNo,$C171,OFFSET(Emp!$R$4,1,MATCH(Q$5,DedListItem,0)-1,EmpCount,1),"&lt;&gt;")&gt;0,VLOOKUP($C171,EmpAll,COLUMN(Emp!$R$4)+MATCH(Q$5,DedListItem,0)-1,0),OFFSET(Setup!$E$73,MATCH(Q$5,DedListItem,0),0,1,1)))-SUMIFS(OFFSET(Q$6,1,0,PayCount,1),PayDate,"&lt;"&amp;$AC171,PayEmp,$C171))))))</f>
        <v>0</v>
      </c>
      <c r="R171" s="185">
        <f t="shared" ca="1" si="85"/>
        <v>105</v>
      </c>
      <c r="S171" s="139">
        <f t="shared" ca="1" si="86"/>
        <v>10395</v>
      </c>
      <c r="T171" s="133" cm="1">
        <f t="array" aca="1" ref="T171" ca="1">IF($F171="Terminated",0,IF($AA171=0,0,IF(ISNA(MATCH(T$5,CompListItem,0)),0,IF(COUNTIFS(OverEmp,$C171,OverComp,T$5,OverDate,"&lt;"&amp;DATE(YEAR($AC171),MONTH($AC171)+1,1),OverEnd,"&gt;="&amp;DATE(YEAR($AC171),MONTH($AC171),1))&gt;0,SUMIFS(OverValue,OverEmp,$C171,OverComp,T$5,OverDate,"&lt;"&amp;DATE(YEAR($AC171),MONTH($AC171)+1,1),OverEnd,"&gt;="&amp;DATE(YEAR($AC171),MONTH($AC171),1)),IF(OR(T$2="Fixed",T$2="Not Used"),(OFFSET(Setup!$E$81,MATCH(T$5,CompListItem,0),0,1,1)*$AA171)-SUMIFS(OFFSET(T$6,1,0,PayCount,1),PayDate,"&lt;"&amp;$AC171,PayEmp,$C171),IF(ISNA(MATCH(T$2,DedListItem,0))=FALSE,(SUMPRODUCT((PayEmp=$C171)*(PayDate&lt;=$AC171)*(PayDedList=T$2)*(PayDedValues))*OFFSET(Setup!$E$81,MATCH(T$5,CompListItem,0),0,1,1))-SUMIFS(OFFSET(T$6,1,0,PayCount,1),PayDate,"&lt;"&amp;$AC171,PayEmp,$C171),(MIN(IF(OFFSET(Setup!$G$81,MATCH(T$5,CompListItem,0),0,1,1)="Taxable",SUMPRODUCT((PayEmp=$C171)*(PayDate&lt;=$AC171)*(ISERROR(SEARCH(PayEarnCode,T$4)))*(PayEarnTax)*(PayEarnValues)),SUMPRODUCT((PayEmp=$C171)*(PayDate&lt;=$AC171)*(ISERROR(SEARCH(PayEarnCode,T$4)))*(PayEarnValues))),IF(ISNUMBER(T$3),T$3/12*$AA171,IgnoreMin)))*OFFSET(Setup!$E$81,MATCH(T$5,CompListItem,0),0,1,1)-SUMIFS(OFFSET(T$6,1,0,PayCount,1),PayDate,"&lt;"&amp;$AC171,PayEmp,$C171)))))))</f>
        <v>105</v>
      </c>
      <c r="U171" s="133" cm="1">
        <f t="array" aca="1" ref="U171" ca="1">IF($F171="Terminated",0,IF($AA171=0,0,IF(ISNA(MATCH(U$5,CompListItem,0)),0,IF(COUNTIFS(OverEmp,$C171,OverComp,U$5,OverDate,"&lt;"&amp;DATE(YEAR($AC171),MONTH($AC171)+1,1),OverEnd,"&gt;="&amp;DATE(YEAR($AC171),MONTH($AC171),1))&gt;0,SUMIFS(OverValue,OverEmp,$C171,OverComp,U$5,OverDate,"&lt;"&amp;DATE(YEAR($AC171),MONTH($AC171)+1,1),OverEnd,"&gt;="&amp;DATE(YEAR($AC171),MONTH($AC171),1)),IF(OR(U$2="Fixed",U$2="Not Used"),(OFFSET(Setup!$E$81,MATCH(U$5,CompListItem,0),0,1,1)*$AA171)-SUMIFS(OFFSET(U$6,1,0,PayCount,1),PayDate,"&lt;"&amp;$AC171,PayEmp,$C171),IF(ISNA(MATCH(U$2,DedListItem,0))=FALSE,(SUMPRODUCT((PayEmp=$C171)*(PayDate&lt;=$AC171)*(PayDedList=U$2)*(PayDedValues))*OFFSET(Setup!$E$81,MATCH(U$5,CompListItem,0),0,1,1))-SUMIFS(OFFSET(U$6,1,0,PayCount,1),PayDate,"&lt;"&amp;$AC171,PayEmp,$C171),(MIN(IF(OFFSET(Setup!$G$81,MATCH(U$5,CompListItem,0),0,1,1)="Taxable",SUMPRODUCT((PayEmp=$C171)*(PayDate&lt;=$AC171)*(ISERROR(SEARCH(PayEarnCode,U$4)))*(PayEarnTax)*(PayEarnValues)),SUMPRODUCT((PayEmp=$C171)*(PayDate&lt;=$AC171)*(ISERROR(SEARCH(PayEarnCode,U$4)))*(PayEarnValues))),IF(ISNUMBER(U$3),U$3/12*$AA171,IgnoreMin)))*OFFSET(Setup!$E$81,MATCH(U$5,CompListItem,0),0,1,1)-SUMIFS(OFFSET(U$6,1,0,PayCount,1),PayDate,"&lt;"&amp;$AC171,PayEmp,$C171)))))))</f>
        <v>105</v>
      </c>
      <c r="V171" s="133" cm="1">
        <f t="array" aca="1" ref="V171" ca="1">IF($F171="Terminated",0,IF($AA171=0,0,IF(ISNA(MATCH(V$5,CompListItem,0)),0,IF(COUNTIFS(OverEmp,$C171,OverComp,V$5,OverDate,"&lt;"&amp;DATE(YEAR($AC171),MONTH($AC171)+1,1),OverEnd,"&gt;="&amp;DATE(YEAR($AC171),MONTH($AC171),1))&gt;0,SUMIFS(OverValue,OverEmp,$C171,OverComp,V$5,OverDate,"&lt;"&amp;DATE(YEAR($AC171),MONTH($AC171)+1,1),OverEnd,"&gt;="&amp;DATE(YEAR($AC171),MONTH($AC171),1)),IF(OR(V$2="Fixed",V$2="Not Used"),(OFFSET(Setup!$E$81,MATCH(V$5,CompListItem,0),0,1,1)*$AA171)-SUMIFS(OFFSET(V$6,1,0,PayCount,1),PayDate,"&lt;"&amp;$AC171,PayEmp,$C171),IF(ISNA(MATCH(V$2,DedListItem,0))=FALSE,(SUMPRODUCT((PayEmp=$C171)*(PayDate&lt;=$AC171)*(PayDedList=V$2)*(PayDedValues))*OFFSET(Setup!$E$81,MATCH(V$5,CompListItem,0),0,1,1))-SUMIFS(OFFSET(V$6,1,0,PayCount,1),PayDate,"&lt;"&amp;$AC171,PayEmp,$C171),(MIN(IF(OFFSET(Setup!$G$81,MATCH(V$5,CompListItem,0),0,1,1)="Taxable",SUMPRODUCT((PayEmp=$C171)*(PayDate&lt;=$AC171)*(ISERROR(SEARCH(PayEarnCode,V$4)))*(PayEarnTax)*(PayEarnValues)),SUMPRODUCT((PayEmp=$C171)*(PayDate&lt;=$AC171)*(ISERROR(SEARCH(PayEarnCode,V$4)))*(PayEarnValues))),IF(ISNUMBER(V$3),V$3/12*$AA171,IgnoreMin)))*OFFSET(Setup!$E$81,MATCH(V$5,CompListItem,0),0,1,1)-SUMIFS(OFFSET(V$6,1,0,PayCount,1),PayDate,"&lt;"&amp;$AC171,PayEmp,$C171)))))))</f>
        <v>0</v>
      </c>
      <c r="W171" s="133" cm="1">
        <f t="array" aca="1" ref="W171" ca="1">IF($F171="Terminated",0,IF($AA171=0,0,IF(ISNA(MATCH(W$5,CompListItem,0)),0,IF(COUNTIFS(OverEmp,$C171,OverComp,W$5,OverDate,"&lt;"&amp;DATE(YEAR($AC171),MONTH($AC171)+1,1),OverEnd,"&gt;="&amp;DATE(YEAR($AC171),MONTH($AC171),1))&gt;0,SUMIFS(OverValue,OverEmp,$C171,OverComp,W$5,OverDate,"&lt;"&amp;DATE(YEAR($AC171),MONTH($AC171)+1,1),OverEnd,"&gt;="&amp;DATE(YEAR($AC171),MONTH($AC171),1)),IF(OR(W$2="Fixed",W$2="Not Used"),(OFFSET(Setup!$E$81,MATCH(W$5,CompListItem,0),0,1,1)*$AA171)-SUMIFS(OFFSET(W$6,1,0,PayCount,1),PayDate,"&lt;"&amp;$AC171,PayEmp,$C171),IF(ISNA(MATCH(W$2,DedListItem,0))=FALSE,(SUMPRODUCT((PayEmp=$C171)*(PayDate&lt;=$AC171)*(PayDedList=W$2)*(PayDedValues))*OFFSET(Setup!$E$81,MATCH(W$5,CompListItem,0),0,1,1))-SUMIFS(OFFSET(W$6,1,0,PayCount,1),PayDate,"&lt;"&amp;$AC171,PayEmp,$C171),(MIN(IF(OFFSET(Setup!$G$81,MATCH(W$5,CompListItem,0),0,1,1)="Taxable",SUMPRODUCT((PayEmp=$C171)*(PayDate&lt;=$AC171)*(ISERROR(SEARCH(PayEarnCode,W$4)))*(PayEarnTax)*(PayEarnValues)),SUMPRODUCT((PayEmp=$C171)*(PayDate&lt;=$AC171)*(ISERROR(SEARCH(PayEarnCode,W$4)))*(PayEarnValues))),IF(ISNUMBER(W$3),W$3/12*$AA171,IgnoreMin)))*OFFSET(Setup!$E$81,MATCH(W$5,CompListItem,0),0,1,1)-SUMIFS(OFFSET(W$6,1,0,PayCount,1),PayDate,"&lt;"&amp;$AC171,PayEmp,$C171)))))))</f>
        <v>0</v>
      </c>
      <c r="X171" s="185">
        <f t="shared" ca="1" si="78"/>
        <v>210</v>
      </c>
      <c r="Y171" s="139">
        <f t="shared" ca="1" si="87"/>
        <v>10710</v>
      </c>
      <c r="Z171" s="139">
        <f t="shared" ca="1" si="79"/>
        <v>315</v>
      </c>
      <c r="AA171" s="146">
        <f ca="1">IF(OR($B171&lt;=Setup!$E$12,$B171&gt;=Setup!$D$12+1),0,IF($F171&lt;&gt;"Active",0,IF($AE171="Yes",$AB171,((YEAR($AC171)*12)+MONTH($AC171))-((YEAR($AD171)*12)+MONTH($AD171)-1))))</f>
        <v>1</v>
      </c>
      <c r="AB171" s="146">
        <f ca="1">IF(OR($B171&lt;=Setup!$E$12,$B171&gt;=Setup!$D$12+1),0,((YEAR($AC171)*12)+MONTH($AC171))-((YEAR(Setup!$E$12)*12)+MONTH(Setup!$E$12)))</f>
        <v>11</v>
      </c>
      <c r="AC171" s="186">
        <f t="shared" ca="1" si="83"/>
        <v>45316</v>
      </c>
      <c r="AD171" s="144">
        <f ca="1">IF(ISNA(VLOOKUP($C171,EmpAll,COLUMN(Emp!$E$4),0)),$AC171,IF(VLOOKUP($C171,EmpAll,COLUMN(Emp!$E$4),0)&lt;=Setup!$E$12,DATE(YEAR(Setup!$E$12),MONTH(Setup!$E$12)+1,1),VLOOKUP($C171,EmpAll,COLUMN(Emp!$E$4),0)))</f>
        <v>45316</v>
      </c>
      <c r="AE171" s="144" t="str">
        <f ca="1">IF(ISNA(VLOOKUP($C171,EmpAll,COLUMN(Emp!$G$1),0)),"-",IF(VLOOKUP($C171,EmpAll,COLUMN(Emp!$G$1),0)=0,"-",VLOOKUP($C171,EmpAll,COLUMN(Emp!$G$1),0)))</f>
        <v>-</v>
      </c>
      <c r="AF171" s="145">
        <f ca="1">IF(A171=PaySlip!$G$3,1,0)</f>
        <v>0</v>
      </c>
      <c r="AG171" s="130" cm="1">
        <f t="array" aca="1" ref="AG171" ca="1">IF(COUNTIFS(OverEmp,$C171,OverMed,"MED",OverDate,"&lt;"&amp;DATE(YEAR($AC171),MONTH($AC171)+1,1),OverEnd,"&gt;="&amp;DATE(YEAR($AC171),MONTH($AC171),1))&gt;0,SUMIFS(OverValue,OverEmp,$C171,OverMed,"MED",OverDate,"&lt;"&amp;DATE(YEAR($AC171),MONTH($AC171)+1,1),OverEnd,"&gt;="&amp;DATE(YEAR($AC171),MONTH($AC171),1)),IF(ISNA(VLOOKUP($C171,EmpAll,COLUMN(Emp!$N$4),0)),0,VLOOKUP($C171,EmpAll,COLUMN(Emp!$N$4),0)))</f>
        <v>1</v>
      </c>
      <c r="AH171" s="146">
        <f ca="1">VLOOKUP($AG171,MedList,COLUMN(Setup!$C$49),1)</f>
        <v>364</v>
      </c>
      <c r="AI171" s="146">
        <f t="shared" ca="1" si="70"/>
        <v>8008</v>
      </c>
      <c r="AJ171" s="101" t="str">
        <f ca="1">IF(ISNA(VLOOKUP($C171,EmpAll,COLUMN(Emp!$L$4),0)),"None!",VLOOKUP($C171,EmpAll,COLUMN(Emp!$L$4),0))</f>
        <v>A</v>
      </c>
      <c r="AK171" s="147">
        <f t="shared" ca="1" si="80"/>
        <v>17235</v>
      </c>
      <c r="AL171" s="101" t="str">
        <f ca="1">IF(ISNA(VLOOKUP($C171,Employees[],COLUMN(Emp!$M$4),0))=TRUE,"Error!",IF(VLOOKUP($C171,Employees[],COLUMN(Emp!$M$4),0)=0,"Yes",VLOOKUP($C171,Employees[],COLUMN(Emp!$M$4),0)))</f>
        <v>A</v>
      </c>
      <c r="AM171" s="148">
        <f t="shared" ca="1" si="71"/>
        <v>126000</v>
      </c>
      <c r="AN171" s="148" cm="1">
        <f t="array" aca="1" ref="AN171" ca="1">-IF($F171="Terminated",0,IF($AA171=0,0,IF(ISNA(MATCH(AN$5,PayDedList,0)),0,MIN(IF(COUNTIFS(OverEmp,$C171,OverDeduct,AN$5,OverDate,"&lt;"&amp;DATE(YEAR($AC171),MONTH($AC171)+1,1),OverEnd,"&gt;="&amp;DATE(YEAR($AC171),MONTH($AC171),1))&gt;0,SUMPRODUCT((PayEmp=$C171)*(PayDate&lt;=$AC171)*(OFFSET($N$6,1,MATCH(AN$5,PayDedList,0)-1,PayCount,1)))/$AA171*12*AN$3,IF(OR(AN$1="Fixed",AN$1="Not Used"),SUMPRODUCT((PayEmp=$C171)*(PayDate&lt;=$AC171)*(OFFSET($N$6,1,MATCH(AN$5,PayDedList,0)-1,PayCount,1)))/$AA171*12*AN$3,IF(ISNA(MATCH(AN$1,EarnListItem,0))=FALSE,SUMPRODUCT((PayEmp=$C171)*(PayDate&lt;=$AC171)*(OFFSET($N$6,1,MATCH(AN$5,PayDedList,0)-1,PayCount,1)))/$AA171*12*AN$3,(MIN(((SUMPRODUCT((PayEmp=$C171)*(PayDate&lt;=$AC171)*(ISERROR(SEARCH(PayEarnCode,AN$2)))*(PayEarnType="Monthly")*(PayEarnValues))/$AA171*12)+(SUMPRODUCT((PayEmp=$C171)*(PayDate&lt;=$AC171)*(ISERROR(SEARCH(PayEarnCode,AN$2)))*(PayEarnType="Quarterly")*(PayEarnValues))/MAX(1,ROUNDDOWN($AB171/3,0))*4)+(SUMPRODUCT((PayEmp=$C171)*(PayDate&lt;=$AC171)*(ISERROR(SEARCH(PayEarnCode,AN$2)))*(PayEarnType="Bi-Annual")*(PayEarnValues))/MAX(1,ROUNDDOWN($AB171/6,0))*2)+(SUMPRODUCT((PayEmp=$C171)*(PayDate&lt;=$AC171)*(ISERROR(SEARCH(PayEarnCode,AN$2)))*(PayEarnType="Annual")*(PayEarnValues)))),IF(ISNUMBER(OFFSET($N$3,0,MATCH(AN$5,PayDedList,0)-1,1,1)),OFFSET($N$3,0,MATCH(AN$5,PayDedList,0)-1,1,1),IgnoreMin)))*IF(COUNTIFS(EmpNo,$C171,OFFSET(Emp!$R$4,1,MATCH(AN$5,DedListItem,0)-1,EmpCount,1),"&lt;&gt;")&gt;0,VLOOKUP($C171,EmpAll,COLUMN(Emp!$R$4)+MATCH(AN$5,DedListItem,0)-1,0),OFFSET(Setup!$E$73,MATCH(AN$5,DedListItem,0),0,1,1))*AN$3))),IF(ISNUMBER(AN$4),AN$4,IgnoreMin)))))</f>
        <v>0</v>
      </c>
      <c r="AO171" s="148" cm="1">
        <f t="array" aca="1" ref="AO171" ca="1">-IF($F171="Terminated",0,IF($AA171=0,0,IF(ISNA(MATCH(AO$5,PayDedList,0)),0,MIN(IF(COUNTIFS(OverEmp,$C171,OverDeduct,AO$5,OverDate,"&lt;"&amp;DATE(YEAR($AC171),MONTH($AC171)+1,1),OverEnd,"&gt;="&amp;DATE(YEAR($AC171),MONTH($AC171),1))&gt;0,SUMPRODUCT((PayEmp=$C171)*(PayDate&lt;=$AC171)*(OFFSET($N$6,1,MATCH(AO$5,PayDedList,0)-1,PayCount,1)))/$AA171*12*AO$3,IF(OR(AO$1="Fixed",AO$1="Not Used"),SUMPRODUCT((PayEmp=$C171)*(PayDate&lt;=$AC171)*(OFFSET($N$6,1,MATCH(AO$5,PayDedList,0)-1,PayCount,1)))/$AA171*12*AO$3,IF(ISNA(MATCH(AO$1,EarnListItem,0))=FALSE,SUMPRODUCT((PayEmp=$C171)*(PayDate&lt;=$AC171)*(OFFSET($N$6,1,MATCH(AO$5,PayDedList,0)-1,PayCount,1)))/$AA171*12*AO$3,(MIN(((SUMPRODUCT((PayEmp=$C171)*(PayDate&lt;=$AC171)*(ISERROR(SEARCH(PayEarnCode,AO$2)))*(PayEarnType="Monthly")*(PayEarnValues))/$AA171*12)+(SUMPRODUCT((PayEmp=$C171)*(PayDate&lt;=$AC171)*(ISERROR(SEARCH(PayEarnCode,AO$2)))*(PayEarnType="Quarterly")*(PayEarnValues))/MAX(1,ROUNDDOWN($AB171/3,0))*4)+(SUMPRODUCT((PayEmp=$C171)*(PayDate&lt;=$AC171)*(ISERROR(SEARCH(PayEarnCode,AO$2)))*(PayEarnType="Bi-Annual")*(PayEarnValues))/MAX(1,ROUNDDOWN($AB171/6,0))*2)+(SUMPRODUCT((PayEmp=$C171)*(PayDate&lt;=$AC171)*(ISERROR(SEARCH(PayEarnCode,AO$2)))*(PayEarnType="Annual")*(PayEarnValues)))),IF(ISNUMBER(OFFSET($N$3,0,MATCH(AO$5,PayDedList,0)-1,1,1)),OFFSET($N$3,0,MATCH(AO$5,PayDedList,0)-1,1,1),IgnoreMin)))*IF(COUNTIFS(EmpNo,$C171,OFFSET(Emp!$R$4,1,MATCH(AO$5,DedListItem,0)-1,EmpCount,1),"&lt;&gt;")&gt;0,VLOOKUP($C171,EmpAll,COLUMN(Emp!$R$4)+MATCH(AO$5,DedListItem,0)-1,0),OFFSET(Setup!$E$73,MATCH(AO$5,DedListItem,0),0,1,1))*AO$3))),IF(ISNUMBER(AO$4),AO$4,IgnoreMin)))))</f>
        <v>0</v>
      </c>
      <c r="AP171" s="148" cm="1">
        <f t="array" aca="1" ref="AP171" ca="1">-IF($F171="Terminated",0,IF($AA171=0,0,IF(ISNA(MATCH(AP$5,PayDedList,0)),0,MIN(IF(COUNTIFS(OverEmp,$C171,OverDeduct,AP$5,OverDate,"&lt;"&amp;DATE(YEAR($AC171),MONTH($AC171)+1,1),OverEnd,"&gt;="&amp;DATE(YEAR($AC171),MONTH($AC171),1))&gt;0,SUMPRODUCT((PayEmp=$C171)*(PayDate&lt;=$AC171)*(OFFSET($N$6,1,MATCH(AP$5,PayDedList,0)-1,PayCount,1)))/$AA171*12*AP$3,IF(OR(AP$1="Fixed",AP$1="Not Used"),SUMPRODUCT((PayEmp=$C171)*(PayDate&lt;=$AC171)*(OFFSET($N$6,1,MATCH(AP$5,PayDedList,0)-1,PayCount,1)))/$AA171*12*AP$3,IF(ISNA(MATCH(AP$1,EarnListItem,0))=FALSE,SUMPRODUCT((PayEmp=$C171)*(PayDate&lt;=$AC171)*(OFFSET($N$6,1,MATCH(AP$5,PayDedList,0)-1,PayCount,1)))/$AA171*12*AP$3,(MIN(((SUMPRODUCT((PayEmp=$C171)*(PayDate&lt;=$AC171)*(ISERROR(SEARCH(PayEarnCode,AP$2)))*(PayEarnType="Monthly")*(PayEarnValues))/$AA171*12)+(SUMPRODUCT((PayEmp=$C171)*(PayDate&lt;=$AC171)*(ISERROR(SEARCH(PayEarnCode,AP$2)))*(PayEarnType="Quarterly")*(PayEarnValues))/MAX(1,ROUNDDOWN($AB171/3,0))*4)+(SUMPRODUCT((PayEmp=$C171)*(PayDate&lt;=$AC171)*(ISERROR(SEARCH(PayEarnCode,AP$2)))*(PayEarnType="Bi-Annual")*(PayEarnValues))/MAX(1,ROUNDDOWN($AB171/6,0))*2)+(SUMPRODUCT((PayEmp=$C171)*(PayDate&lt;=$AC171)*(ISERROR(SEARCH(PayEarnCode,AP$2)))*(PayEarnType="Annual")*(PayEarnValues)))),IF(ISNUMBER(OFFSET($N$3,0,MATCH(AP$5,PayDedList,0)-1,1,1)),OFFSET($N$3,0,MATCH(AP$5,PayDedList,0)-1,1,1),IgnoreMin)))*IF(COUNTIFS(EmpNo,$C171,OFFSET(Emp!$R$4,1,MATCH(AP$5,DedListItem,0)-1,EmpCount,1),"&lt;&gt;")&gt;0,VLOOKUP($C171,EmpAll,COLUMN(Emp!$R$4)+MATCH(AP$5,DedListItem,0)-1,0),OFFSET(Setup!$E$73,MATCH(AP$5,DedListItem,0),0,1,1))*AP$3))),IF(ISNUMBER(AP$4),AP$4,IgnoreMin)))))</f>
        <v>0</v>
      </c>
      <c r="AQ171" s="148" cm="1">
        <f t="array" aca="1" ref="AQ171" ca="1">-IF($F171="Terminated",0,IF($AA171=0,0,IF(ISNA(MATCH(AQ$5,PayDedList,0)),0,MIN(IF(COUNTIFS(OverEmp,$C171,OverDeduct,AQ$5,OverDate,"&lt;"&amp;DATE(YEAR($AC171),MONTH($AC171)+1,1),OverEnd,"&gt;="&amp;DATE(YEAR($AC171),MONTH($AC171),1))&gt;0,SUMPRODUCT((PayEmp=$C171)*(PayDate&lt;=$AC171)*(OFFSET($N$6,1,MATCH(AQ$5,PayDedList,0)-1,PayCount,1)))/$AA171*12*AQ$3,IF(OR(AQ$1="Fixed",AQ$1="Not Used"),SUMPRODUCT((PayEmp=$C171)*(PayDate&lt;=$AC171)*(OFFSET($N$6,1,MATCH(AQ$5,PayDedList,0)-1,PayCount,1)))/$AA171*12*AQ$3,IF(ISNA(MATCH(AQ$1,EarnListItem,0))=FALSE,SUMPRODUCT((PayEmp=$C171)*(PayDate&lt;=$AC171)*(OFFSET($N$6,1,MATCH(AQ$5,PayDedList,0)-1,PayCount,1)))/$AA171*12*AQ$3,(MIN(((SUMPRODUCT((PayEmp=$C171)*(PayDate&lt;=$AC171)*(ISERROR(SEARCH(PayEarnCode,AQ$2)))*(PayEarnType="Monthly")*(PayEarnValues))/$AA171*12)+(SUMPRODUCT((PayEmp=$C171)*(PayDate&lt;=$AC171)*(ISERROR(SEARCH(PayEarnCode,AQ$2)))*(PayEarnType="Quarterly")*(PayEarnValues))/MAX(1,ROUNDDOWN($AB171/3,0))*4)+(SUMPRODUCT((PayEmp=$C171)*(PayDate&lt;=$AC171)*(ISERROR(SEARCH(PayEarnCode,AQ$2)))*(PayEarnType="Bi-Annual")*(PayEarnValues))/MAX(1,ROUNDDOWN($AB171/6,0))*2)+(SUMPRODUCT((PayEmp=$C171)*(PayDate&lt;=$AC171)*(ISERROR(SEARCH(PayEarnCode,AQ$2)))*(PayEarnType="Annual")*(PayEarnValues)))),IF(ISNUMBER(OFFSET($N$3,0,MATCH(AQ$5,PayDedList,0)-1,1,1)),OFFSET($N$3,0,MATCH(AQ$5,PayDedList,0)-1,1,1),IgnoreMin)))*IF(COUNTIFS(EmpNo,$C171,OFFSET(Emp!$R$4,1,MATCH(AQ$5,DedListItem,0)-1,EmpCount,1),"&lt;&gt;")&gt;0,VLOOKUP($C171,EmpAll,COLUMN(Emp!$R$4)+MATCH(AQ$5,DedListItem,0)-1,0),OFFSET(Setup!$E$73,MATCH(AQ$5,DedListItem,0),0,1,1))*AQ$3))),IF(ISNUMBER(AQ$4),AQ$4,IgnoreMin)))))</f>
        <v>0</v>
      </c>
      <c r="AR171" s="148">
        <f t="shared" ca="1" si="81"/>
        <v>126000</v>
      </c>
      <c r="AS171" s="148">
        <f t="shared" ca="1" si="72"/>
        <v>126000</v>
      </c>
      <c r="AT171" s="148" cm="1">
        <f t="array" aca="1" ref="AT171" ca="1">-IF($F171="Terminated",0,IF($AA171=0,0,IF(ISNA(MATCH(AT$5,PayDedList,0)),0,MIN(IF(COUNTIFS(OverEmp,$C171,OverDeduct,AT$5,OverDate,"&lt;"&amp;DATE(YEAR($AC171),MONTH($AC171)+1,1),OverEnd,"&gt;="&amp;DATE(YEAR($AC171),MONTH($AC171),1))&gt;0,SUMPRODUCT((PayEmp=$C171)*(PayDate&lt;=$AC171)*(OFFSET($N$6,1,MATCH(AT$5,PayDedList,0)-1,PayCount,1)))/$AA171*12*AT$3,IF(OR(AT$1="Fixed",AT$1="Not Used"),SUMPRODUCT((PayEmp=$C171)*(PayDate&lt;=$AC171)*(OFFSET($N$6,1,MATCH(AT$5,PayDedList,0)-1,PayCount,1)))/$AA171*12*AT$3,IF(ISNA(MATCH(OFFSET($N$2,0,MATCH(AT$5,PayDedList,0)-1,1,1),EarnListItem,0))=FALSE,SUMPRODUCT((PayEmp=$C171)*(PayDate&lt;=$AC171)*(OFFSET($N$6,1,MATCH(AT$5,PayDedList,0)-1,PayCount,1)))/$AA171*12*AT$3,(MIN(SUMPRODUCT((PayEmp=$C171)*(PayDate&lt;=$AC171)*(ISERROR(SEARCH(PayEarnCode,AT$2)))*(PayEarnType="Monthly")*(PayEarnValues))/$AA171*12,IF(ISNUMBER(OFFSET($N$3,0,MATCH(AT$5,PayDedList,0)-1,1,1)),OFFSET($N$3,0,MATCH(AT$5,PayDedList,0)-1,1,1),IgnoreMin)))*IF(COUNTIFS(EmpNo,$C171,OFFSET(Emp!$R$4,1,MATCH(AT$5,DedListItem,0)-1,EmpCount,1),"&lt;&gt;")&gt;0,VLOOKUP($C171,EmpAll,COLUMN(Emp!$R$4)+MATCH(AT$5,DedListItem,0)-1,0),OFFSET(Setup!$E$73,MATCH(AT$5,DedListItem,0),0,1,1))*AT$3))),IF(ISNUMBER(AT$4),AT$4,IgnoreMin)))))</f>
        <v>0</v>
      </c>
      <c r="AU171" s="148" cm="1">
        <f t="array" aca="1" ref="AU171" ca="1">-IF($F171="Terminated",0,IF($AA171=0,0,IF(ISNA(MATCH(AU$5,PayDedList,0)),0,MIN(IF(COUNTIFS(OverEmp,$C171,OverDeduct,AU$5,OverDate,"&lt;"&amp;DATE(YEAR($AC171),MONTH($AC171)+1,1),OverEnd,"&gt;="&amp;DATE(YEAR($AC171),MONTH($AC171),1))&gt;0,SUMPRODUCT((PayEmp=$C171)*(PayDate&lt;=$AC171)*(OFFSET($N$6,1,MATCH(AU$5,PayDedList,0)-1,PayCount,1)))/$AA171*12*AU$3,IF(OR(AU$1="Fixed",AU$1="Not Used"),SUMPRODUCT((PayEmp=$C171)*(PayDate&lt;=$AC171)*(OFFSET($N$6,1,MATCH(AU$5,PayDedList,0)-1,PayCount,1)))/$AA171*12*AU$3,IF(ISNA(MATCH(OFFSET($N$2,0,MATCH(AU$5,PayDedList,0)-1,1,1),EarnListItem,0))=FALSE,SUMPRODUCT((PayEmp=$C171)*(PayDate&lt;=$AC171)*(OFFSET($N$6,1,MATCH(AU$5,PayDedList,0)-1,PayCount,1)))/$AA171*12*AU$3,(MIN(SUMPRODUCT((PayEmp=$C171)*(PayDate&lt;=$AC171)*(ISERROR(SEARCH(PayEarnCode,AU$2)))*(PayEarnType="Monthly")*(PayEarnValues))/$AA171*12,IF(ISNUMBER(OFFSET($N$3,0,MATCH(AU$5,PayDedList,0)-1,1,1)),OFFSET($N$3,0,MATCH(AU$5,PayDedList,0)-1,1,1),IgnoreMin)))*IF(COUNTIFS(EmpNo,$C171,OFFSET(Emp!$R$4,1,MATCH(AU$5,DedListItem,0)-1,EmpCount,1),"&lt;&gt;")&gt;0,VLOOKUP($C171,EmpAll,COLUMN(Emp!$R$4)+MATCH(AU$5,DedListItem,0)-1,0),OFFSET(Setup!$E$73,MATCH(AU$5,DedListItem,0),0,1,1))*AU$3))),IF(ISNUMBER(AU$4),AU$4,IgnoreMin)))))</f>
        <v>0</v>
      </c>
      <c r="AV171" s="148" cm="1">
        <f t="array" aca="1" ref="AV171" ca="1">-IF($F171="Terminated",0,IF($AA171=0,0,IF(ISNA(MATCH(AV$5,PayDedList,0)),0,MIN(IF(COUNTIFS(OverEmp,$C171,OverDeduct,AV$5,OverDate,"&lt;"&amp;DATE(YEAR($AC171),MONTH($AC171)+1,1),OverEnd,"&gt;="&amp;DATE(YEAR($AC171),MONTH($AC171),1))&gt;0,SUMPRODUCT((PayEmp=$C171)*(PayDate&lt;=$AC171)*(OFFSET($N$6,1,MATCH(AV$5,PayDedList,0)-1,PayCount,1)))/$AA171*12*AV$3,IF(OR(AV$1="Fixed",AV$1="Not Used"),SUMPRODUCT((PayEmp=$C171)*(PayDate&lt;=$AC171)*(OFFSET($N$6,1,MATCH(AV$5,PayDedList,0)-1,PayCount,1)))/$AA171*12*AV$3,IF(ISNA(MATCH(OFFSET($N$2,0,MATCH(AV$5,PayDedList,0)-1,1,1),EarnListItem,0))=FALSE,SUMPRODUCT((PayEmp=$C171)*(PayDate&lt;=$AC171)*(OFFSET($N$6,1,MATCH(AV$5,PayDedList,0)-1,PayCount,1)))/$AA171*12*AV$3,(MIN(SUMPRODUCT((PayEmp=$C171)*(PayDate&lt;=$AC171)*(ISERROR(SEARCH(PayEarnCode,AV$2)))*(PayEarnType="Monthly")*(PayEarnValues))/$AA171*12,IF(ISNUMBER(OFFSET($N$3,0,MATCH(AV$5,PayDedList,0)-1,1,1)),OFFSET($N$3,0,MATCH(AV$5,PayDedList,0)-1,1,1),IgnoreMin)))*IF(COUNTIFS(EmpNo,$C171,OFFSET(Emp!$R$4,1,MATCH(AV$5,DedListItem,0)-1,EmpCount,1),"&lt;&gt;")&gt;0,VLOOKUP($C171,EmpAll,COLUMN(Emp!$R$4)+MATCH(AV$5,DedListItem,0)-1,0),OFFSET(Setup!$E$73,MATCH(AV$5,DedListItem,0),0,1,1))*AV$3))),IF(ISNUMBER(AV$4),AV$4,IgnoreMin)))))</f>
        <v>0</v>
      </c>
      <c r="AW171" s="148" cm="1">
        <f t="array" aca="1" ref="AW171" ca="1">-IF($F171="Terminated",0,IF($AA171=0,0,IF(ISNA(MATCH(AW$5,PayDedList,0)),0,MIN(IF(COUNTIFS(OverEmp,$C171,OverDeduct,AW$5,OverDate,"&lt;"&amp;DATE(YEAR($AC171),MONTH($AC171)+1,1),OverEnd,"&gt;="&amp;DATE(YEAR($AC171),MONTH($AC171),1))&gt;0,SUMPRODUCT((PayEmp=$C171)*(PayDate&lt;=$AC171)*(OFFSET($N$6,1,MATCH(AW$5,PayDedList,0)-1,PayCount,1)))/$AA171*12*AW$3,IF(OR(AW$1="Fixed",AW$1="Not Used"),SUMPRODUCT((PayEmp=$C171)*(PayDate&lt;=$AC171)*(OFFSET($N$6,1,MATCH(AW$5,PayDedList,0)-1,PayCount,1)))/$AA171*12*AW$3,IF(ISNA(MATCH(OFFSET($N$2,0,MATCH(AW$5,PayDedList,0)-1,1,1),EarnListItem,0))=FALSE,SUMPRODUCT((PayEmp=$C171)*(PayDate&lt;=$AC171)*(OFFSET($N$6,1,MATCH(AW$5,PayDedList,0)-1,PayCount,1)))/$AA171*12*AW$3,(MIN(SUMPRODUCT((PayEmp=$C171)*(PayDate&lt;=$AC171)*(ISERROR(SEARCH(PayEarnCode,AW$2)))*(PayEarnType="Monthly")*(PayEarnValues))/$AA171*12,IF(ISNUMBER(OFFSET($N$3,0,MATCH(AW$5,PayDedList,0)-1,1,1)),OFFSET($N$3,0,MATCH(AW$5,PayDedList,0)-1,1,1),IgnoreMin)))*IF(COUNTIFS(EmpNo,$C171,OFFSET(Emp!$R$4,1,MATCH(AW$5,DedListItem,0)-1,EmpCount,1),"&lt;&gt;")&gt;0,VLOOKUP($C171,EmpAll,COLUMN(Emp!$R$4)+MATCH(AW$5,DedListItem,0)-1,0),OFFSET(Setup!$E$73,MATCH(AW$5,DedListItem,0),0,1,1))*AW$3))),IF(ISNUMBER(AW$4),AW$4,IgnoreMin)))))</f>
        <v>0</v>
      </c>
      <c r="AX171" s="148">
        <f t="shared" ca="1" si="88"/>
        <v>126000</v>
      </c>
      <c r="AY171" s="148">
        <f t="shared" ca="1" si="89"/>
        <v>0</v>
      </c>
      <c r="AZ171" s="148">
        <f ca="1">IF(ISNUMBER($AL171),($AR171*$AL171)-$AI171-$AK171,MAX(0,IF($AL171="B",IF($AR171&lt;Setup!$C$32,($AR171*Setup!$D$32)-$AI171-$AK171,(($AR171-VLOOKUP($AR171,TaxAll2,1,1))*OFFSET(Setup!$D$32,MATCH($AR171,TaxBracket2,1),0,1,1))+OFFSET(Setup!$E$31,MATCH($AR171,TaxBracket2,1),0,1,1)-$AI171-$AK171),IF($AR171&lt;Setup!$C$21,($AR171*Setup!$D$21)-$AI171-$AK171,(($AR171-VLOOKUP($AR171,TaxAll1,1,1))*OFFSET(Setup!$D$21,MATCH($AR171,TaxBracket1,1),0,1,1))+OFFSET(Setup!$E$20,MATCH($AR171,TaxBracket1,1),0,1,1)-$AI171-$AK171))))</f>
        <v>0</v>
      </c>
      <c r="BA171" s="148">
        <f ca="1">IF(ISNUMBER($AL171),($AX171*$AL171)-$AI171-$AK171,MAX(0,IF($AL171="B",IF($AX171&lt;Setup!$C$32,($AX171*Setup!$D$32)-$AI171-$AK171,(($AX171-VLOOKUP($AX171,TaxAll2,1,1))*OFFSET(Setup!$D$32,MATCH($AX171,TaxBracket2,1),0,1,1))+OFFSET(Setup!$E$31,MATCH($AX171,TaxBracket2,1),0,1,1)-$AI171-$AK171),IF($AX171&lt;Setup!$C$21,($AX171*Setup!$D$21)-$AI171-$AK171,(($AX171-VLOOKUP($AX171,TaxAll1,1,1))*OFFSET(Setup!$D$21,MATCH($AX171,TaxBracket1,1),0,1,1))+OFFSET(Setup!$E$20,MATCH($AX171,TaxBracket1,1),0,1,1)-$AI171-$AK171))))</f>
        <v>0</v>
      </c>
      <c r="BB171" s="148">
        <f t="shared" ca="1" si="82"/>
        <v>0</v>
      </c>
      <c r="BC171" s="150">
        <f t="shared" ca="1" si="75"/>
        <v>1</v>
      </c>
      <c r="BD171" s="150">
        <f t="shared" ca="1" si="76"/>
        <v>0</v>
      </c>
      <c r="BE171" s="148">
        <f t="shared" ca="1" si="77"/>
        <v>126000</v>
      </c>
    </row>
    <row r="172" spans="1:57" ht="16.149999999999999" customHeight="1" x14ac:dyDescent="0.25">
      <c r="A172" s="10" t="str" cm="1">
        <f t="array" aca="1" ref="A172" ca="1">IF(ROW($A172)-ROW($A$6)&gt;EmpCount*12,"-",TEXT($B172,"yyyy")&amp;TEXT($B172,"mm")&amp;"-"&amp;$C172)</f>
        <v>202402-EXS001</v>
      </c>
      <c r="B172" s="137" cm="1">
        <f t="array" aca="1" ref="B172" ca="1">IF(ROW($A172)-ROW($A$6)&gt;EmpCount*12,Setup!$D$12,DATE(YEAR(Setup!$F$12),MONTH(Setup!$F$12)+ROUNDDOWN((ROW($A172)-ROW($A$6)-1)/EmpCount,0),IF(Setup!$C$14&gt;DAY(DATE(YEAR(Setup!$F$12),MONTH(Setup!$F$12)+ROUNDDOWN((ROW($A172)-ROW($A$6)-1)/EmpCount,0)+1,0)),DAY(DATE(YEAR(Setup!$F$12),MONTH(Setup!$F$12)+ROUNDDOWN((ROW($A172)-ROW($A$6)-1)/EmpCount,0)+1,0)),Setup!$C$14)))</f>
        <v>45347</v>
      </c>
      <c r="C172" s="101" t="str" cm="1">
        <f t="array" aca="1" ref="C172" ca="1">IF(ROW($A172)-ROW($A$6)&gt;EmpCount*12,"-",OFFSET(Emp!$A$4,ROW($A172)-ROW($A$6)-IF(ROW($A172)-ROW($A$6)&gt;EmpCount,ROUNDDOWN((ROW($A172)-ROW($A$6)-1)/EmpCount,0)*EmpCount,0),0,1,1))</f>
        <v>EXS001</v>
      </c>
      <c r="D172" s="10" t="str">
        <f ca="1">IF(ISNA(VLOOKUP($C172,EmpAll,COLUMN(Emp!$B$4),0)),"-",VLOOKUP($C172,EmpAll,COLUMN(Emp!$B$4),0))</f>
        <v>Taylor AE</v>
      </c>
      <c r="E172" s="145" t="str">
        <f ca="1">IF(ISNA(VLOOKUP($C172,EmpAll,COLUMN(Emp!$C$4),0)),"-",VLOOKUP($C172,EmpAll,COLUMN(Emp!$C$4),0))</f>
        <v>M</v>
      </c>
      <c r="F172" s="101" t="str">
        <f ca="1">IF(ISNA(VLOOKUP($C172,EmpAll,COLUMN(Emp!$A$4),0)),"-",IF(AND(VLOOKUP($C172,EmpAll,COLUMN(Emp!$E$4),0)&lt;&gt;0,VLOOKUP($C172,EmpAll,COLUMN(Emp!$E$4),0)&gt;=DATE(YEAR($AC172),MONTH($AC172)+1,0)),"Inactive",IF(AND(VLOOKUP($C172,EmpAll,COLUMN(Emp!$F$4),0)&lt;&gt;0,VLOOKUP($C172,EmpAll,COLUMN(Emp!$F$4),0)&lt;=DATE(YEAR($AC172),MONTH($AC172),0)),"Terminated","Active")))</f>
        <v>Active</v>
      </c>
      <c r="G172" s="133" cm="1">
        <f t="array" aca="1" ref="G172" ca="1">IF($F172&lt;&gt;"Active",0,IF(COUNTIFS(OverEmp,$C172,OverEarn,G$2,OverDate,"&lt;"&amp;DATE(YEAR($AC172),MONTH($AC172)+1,1),OverEnd,"&gt;="&amp;DATE(YEAR($AC172),MONTH($AC172),1))&gt;0,SUMIFS(OverValue,OverEmp,$C172,OverEarn,G$2,OverDate,"&lt;"&amp;DATE(YEAR($AC172),MONTH($AC172)+1,1),OverEnd,"&gt;="&amp;DATE(YEAR($AC172),MONTH($AC172),1)),IF(AND($AC172&gt;=Setup!$E$10,SUMIFS(EmpIncrease,EmpCode,$C172)&gt;0),SUMIFS(EmpIncrease,EmpCode,$C172),SUMIFS(EmpSalary,EmpCode,$C172))))</f>
        <v>165000</v>
      </c>
      <c r="H172" s="133" cm="1">
        <f t="array" aca="1" ref="H172" ca="1">IF($F172&lt;&gt;"Active",0,IF(COUNTIFS(OverEmp,$C172,OverEarn,H$2,OverDate,"&lt;"&amp;DATE(YEAR($AC172),MONTH($AC172)+1,1),OverEnd,"&gt;="&amp;DATE(YEAR($AC172),MONTH($AC172),1))&gt;0,SUMIFS(OverValue,OverEmp,$C172,OverEarn,H$2,OverDate,"&lt;"&amp;DATE(YEAR($AC172),MONTH($AC172)+1,1),OverEnd,"&gt;="&amp;DATE(YEAR($AC172),MONTH($AC172),1)),0))</f>
        <v>0</v>
      </c>
      <c r="I172" s="133" cm="1">
        <f t="array" aca="1" ref="I172" ca="1">IF($F172&lt;&gt;"Active",0,IF(COUNTIFS(OverEmp,$C172,OverEarn,I$2,OverDate,"&lt;"&amp;DATE(YEAR($AC172),MONTH($AC172)+1,1),OverEnd,"&gt;="&amp;DATE(YEAR($AC172),MONTH($AC172),1))&gt;0,SUMIFS(OverValue,OverEmp,$C172,OverEarn,I$2,OverDate,"&lt;"&amp;DATE(YEAR($AC172),MONTH($AC172)+1,1),OverEnd,"&gt;="&amp;DATE(YEAR($AC172),MONTH($AC172),1)),IF(MONTH(B172)=Setup!$C$15,SUMIFS(EmpBonus,EmpCode,$C172),0)))</f>
        <v>0</v>
      </c>
      <c r="J172" s="133" cm="1">
        <f t="array" aca="1" ref="J172" ca="1">IF($F172&lt;&gt;"Active",0,IF(COUNTIFS(OverEmp,$C172,OverEarn,J$2,OverDate,"&lt;"&amp;DATE(YEAR($AC172),MONTH($AC172)+1,1),OverEnd,"&gt;="&amp;DATE(YEAR($AC172),MONTH($AC172),1))&gt;0,SUMIFS(OverValue,OverEmp,$C172,OverEarn,J$2,OverDate,"&lt;"&amp;DATE(YEAR($AC172),MONTH($AC172)+1,1),OverEnd,"&gt;="&amp;DATE(YEAR($AC172),MONTH($AC172),1)),0))</f>
        <v>0</v>
      </c>
      <c r="K172" s="133" cm="1">
        <f t="array" aca="1" ref="K172" ca="1">IF($F172&lt;&gt;"Active",0,IF(COUNTIFS(OverEmp,$C172,OverEarn,K$2,OverDate,"&lt;"&amp;DATE(YEAR($AC172),MONTH($AC172)+1,1),OverEnd,"&gt;="&amp;DATE(YEAR($AC172),MONTH($AC172),1))&gt;0,SUMIFS(OverValue,OverEmp,$C172,OverEarn,K$2,OverDate,"&lt;"&amp;DATE(YEAR($AC172),MONTH($AC172)+1,1),OverEnd,"&gt;="&amp;DATE(YEAR($AC172),MONTH($AC172),1)),0))</f>
        <v>0</v>
      </c>
      <c r="L172" s="185">
        <f t="shared" ca="1" si="84"/>
        <v>165000</v>
      </c>
      <c r="M172" s="182" cm="1">
        <f t="array" aca="1" ref="M172" ca="1">IF(COUNTIFS(OverEmp,$C172,OverTax,M$5,OverDate,"&lt;"&amp;DATE(YEAR($AC172),MONTH($AC172)+1,1),OverEnd,"&gt;="&amp;DATE(YEAR($AC172),MONTH($AC172),1))&gt;0,SUMIFS(OverValue,OverEmp,$C172,OverTax,M$5,OverDate,"&lt;"&amp;DATE(YEAR($AC172),MONTH($AC172)+1,1),OverEnd,"&gt;="&amp;DATE(YEAR($AC172),MONTH($AC172),1)),(($BA172/12*$AA172)+(BB172*IF(1-$BC172=0,0,BD172/(1-$BC172))))-IF($F172="Terminated",0,SUMIFS(PayTaxDeduct,PayDate,"&lt;"&amp;$AC172,PayEmp,$C172)))</f>
        <v>51805.128787878901</v>
      </c>
      <c r="N172" s="133" cm="1">
        <f t="array" aca="1" ref="N172" ca="1">IF($F172="Terminated",0,IF($AA172=0,0,IF(ISNA(MATCH(N$5,DedListItem,0)),0,IF(COUNTIFS(OverEmp,$C172,OverDeduct,N$5,OverDate,"&lt;"&amp;DATE(YEAR($AC172),MONTH($AC172)+1,1),OverEnd,"&gt;="&amp;DATE(YEAR($AC172),MONTH($AC172),1))&gt;0,SUMIFS(OverValue,OverEmp,$C172,OverDeduct,N$5,OverDate,"&lt;"&amp;DATE(YEAR($AC172),MONTH($AC172)+1,1),OverEnd,"&gt;="&amp;DATE(YEAR($AC172),MONTH($AC172),1)),IF(OR(N$2="Fixed",N$2="Not Used"),(IF(COUNTIFS(EmpNo,$C172,OFFSET(Emp!$R$4,1,MATCH(N$5,DedListItem,0)-1,EmpCount,1),"&lt;&gt;")&gt;0,VLOOKUP($C172,EmpAll,COLUMN(Emp!$R$4)+MATCH(N$5,DedListItem,0)-1,0),OFFSET(Setup!$E$73,MATCH(N$5,DedListItem,0),0,1,1))*$AA172)-SUMIFS(OFFSET(N$6,1,0,PayCount,1),PayDate,"&lt;"&amp;$AC172,PayEmp,$C172),IF(ISNA(MATCH(N$2,EarnListItem,0))=FALSE,IF(OFFSET(Setup!$G$73,MATCH(N$5,DedListItem,0),0,1,1)="Taxable",SUMPRODUCT((PayEmp=$C172)*(PayDate&lt;=$AC172)*(PayEarnCode=N$2)*(PayEarnTax)*(PayEarnValues)),SUMPRODUCT((PayEmp=$C172)*(PayDate&lt;=$AC172)*(PayEarnCode=N$2)*(PayEarnValues)))*IF(COUNTIFS(EmpNo,$C172,OFFSET(Emp!$R$4,1,MATCH(N$5,DedListItem,0)-1,EmpCount,1),"&lt;&gt;")&gt;0,VLOOKUP($C172,EmpAll,COLUMN(Emp!$R$4)+MATCH(N$5,DedListItem,0)-1,0),OFFSET(Setup!$E$73,MATCH(N$5,DedListItem,0),0,1,1)),(MIN(IF(OFFSET(Setup!$G$73,MATCH(N$5,DedListItem,0),0,1,1)="Taxable",SUMPRODUCT((PayEmp=$C172)*(PayDate&lt;=$AC172)*(ISERROR(SEARCH(PayEarnCode,N$4)))*(PayEarnTax)*(PayEarnValues)),SUMPRODUCT((PayEmp=$C172)*(PayDate&lt;=$AC172)*(ISERROR(SEARCH(PayEarnCode,N$4)))*(PayEarnValues))),IF(ISNUMBER(N$3),N$3/12*$AA172,IgnoreMin)))*IF(COUNTIFS(EmpNo,$C172,OFFSET(Emp!$R$4,1,MATCH(N$5,DedListItem,0)-1,EmpCount,1),"&lt;&gt;")&gt;0,VLOOKUP($C172,EmpAll,COLUMN(Emp!$R$4)+MATCH(N$5,DedListItem,0)-1,0),OFFSET(Setup!$E$73,MATCH(N$5,DedListItem,0),0,1,1)))-SUMIFS(OFFSET(N$6,1,0,PayCount,1),PayDate,"&lt;"&amp;$AC172,PayEmp,$C172))))))</f>
        <v>177.12000000000012</v>
      </c>
      <c r="O172" s="133" cm="1">
        <f t="array" aca="1" ref="O172" ca="1">IF($F172="Terminated",0,IF($AA172=0,0,IF(ISNA(MATCH(O$5,DedListItem,0)),0,IF(COUNTIFS(OverEmp,$C172,OverDeduct,O$5,OverDate,"&lt;"&amp;DATE(YEAR($AC172),MONTH($AC172)+1,1),OverEnd,"&gt;="&amp;DATE(YEAR($AC172),MONTH($AC172),1))&gt;0,SUMIFS(OverValue,OverEmp,$C172,OverDeduct,O$5,OverDate,"&lt;"&amp;DATE(YEAR($AC172),MONTH($AC172)+1,1),OverEnd,"&gt;="&amp;DATE(YEAR($AC172),MONTH($AC172),1)),IF(OR(O$2="Fixed",O$2="Not Used"),(IF(COUNTIFS(EmpNo,$C172,OFFSET(Emp!$R$4,1,MATCH(O$5,DedListItem,0)-1,EmpCount,1),"&lt;&gt;")&gt;0,VLOOKUP($C172,EmpAll,COLUMN(Emp!$R$4)+MATCH(O$5,DedListItem,0)-1,0),OFFSET(Setup!$E$73,MATCH(O$5,DedListItem,0),0,1,1))*$AA172)-SUMIFS(OFFSET(O$6,1,0,PayCount,1),PayDate,"&lt;"&amp;$AC172,PayEmp,$C172),IF(ISNA(MATCH(O$2,EarnListItem,0))=FALSE,IF(OFFSET(Setup!$G$73,MATCH(O$5,DedListItem,0),0,1,1)="Taxable",SUMPRODUCT((PayEmp=$C172)*(PayDate&lt;=$AC172)*(PayEarnCode=O$2)*(PayEarnTax)*(PayEarnValues)),SUMPRODUCT((PayEmp=$C172)*(PayDate&lt;=$AC172)*(PayEarnCode=O$2)*(PayEarnValues)))*IF(COUNTIFS(EmpNo,$C172,OFFSET(Emp!$R$4,1,MATCH(O$5,DedListItem,0)-1,EmpCount,1),"&lt;&gt;")&gt;0,VLOOKUP($C172,EmpAll,COLUMN(Emp!$R$4)+MATCH(O$5,DedListItem,0)-1,0),OFFSET(Setup!$E$73,MATCH(O$5,DedListItem,0),0,1,1)),(MIN(IF(OFFSET(Setup!$G$73,MATCH(O$5,DedListItem,0),0,1,1)="Taxable",SUMPRODUCT((PayEmp=$C172)*(PayDate&lt;=$AC172)*(ISERROR(SEARCH(PayEarnCode,O$4)))*(PayEarnTax)*(PayEarnValues)),SUMPRODUCT((PayEmp=$C172)*(PayDate&lt;=$AC172)*(ISERROR(SEARCH(PayEarnCode,O$4)))*(PayEarnValues))),IF(ISNUMBER(O$3),O$3/12*$AA172,IgnoreMin)))*IF(COUNTIFS(EmpNo,$C172,OFFSET(Emp!$R$4,1,MATCH(O$5,DedListItem,0)-1,EmpCount,1),"&lt;&gt;")&gt;0,VLOOKUP($C172,EmpAll,COLUMN(Emp!$R$4)+MATCH(O$5,DedListItem,0)-1,0),OFFSET(Setup!$E$73,MATCH(O$5,DedListItem,0),0,1,1)))-SUMIFS(OFFSET(O$6,1,0,PayCount,1),PayDate,"&lt;"&amp;$AC172,PayEmp,$C172))))))</f>
        <v>12375</v>
      </c>
      <c r="P172" s="133" cm="1">
        <f t="array" aca="1" ref="P172" ca="1">IF($F172="Terminated",0,IF($AA172=0,0,IF(ISNA(MATCH(P$5,DedListItem,0)),0,IF(COUNTIFS(OverEmp,$C172,OverDeduct,P$5,OverDate,"&lt;"&amp;DATE(YEAR($AC172),MONTH($AC172)+1,1),OverEnd,"&gt;="&amp;DATE(YEAR($AC172),MONTH($AC172),1))&gt;0,SUMIFS(OverValue,OverEmp,$C172,OverDeduct,P$5,OverDate,"&lt;"&amp;DATE(YEAR($AC172),MONTH($AC172)+1,1),OverEnd,"&gt;="&amp;DATE(YEAR($AC172),MONTH($AC172),1)),IF(OR(P$2="Fixed",P$2="Not Used"),(IF(COUNTIFS(EmpNo,$C172,OFFSET(Emp!$R$4,1,MATCH(P$5,DedListItem,0)-1,EmpCount,1),"&lt;&gt;")&gt;0,VLOOKUP($C172,EmpAll,COLUMN(Emp!$R$4)+MATCH(P$5,DedListItem,0)-1,0),OFFSET(Setup!$E$73,MATCH(P$5,DedListItem,0),0,1,1))*$AA172)-SUMIFS(OFFSET(P$6,1,0,PayCount,1),PayDate,"&lt;"&amp;$AC172,PayEmp,$C172),IF(ISNA(MATCH(P$2,EarnListItem,0))=FALSE,IF(OFFSET(Setup!$G$73,MATCH(P$5,DedListItem,0),0,1,1)="Taxable",SUMPRODUCT((PayEmp=$C172)*(PayDate&lt;=$AC172)*(PayEarnCode=P$2)*(PayEarnTax)*(PayEarnValues)),SUMPRODUCT((PayEmp=$C172)*(PayDate&lt;=$AC172)*(PayEarnCode=P$2)*(PayEarnValues)))*IF(COUNTIFS(EmpNo,$C172,OFFSET(Emp!$R$4,1,MATCH(P$5,DedListItem,0)-1,EmpCount,1),"&lt;&gt;")&gt;0,VLOOKUP($C172,EmpAll,COLUMN(Emp!$R$4)+MATCH(P$5,DedListItem,0)-1,0),OFFSET(Setup!$E$73,MATCH(P$5,DedListItem,0),0,1,1)),(MIN(IF(OFFSET(Setup!$G$73,MATCH(P$5,DedListItem,0),0,1,1)="Taxable",SUMPRODUCT((PayEmp=$C172)*(PayDate&lt;=$AC172)*(ISERROR(SEARCH(PayEarnCode,P$4)))*(PayEarnTax)*(PayEarnValues)),SUMPRODUCT((PayEmp=$C172)*(PayDate&lt;=$AC172)*(ISERROR(SEARCH(PayEarnCode,P$4)))*(PayEarnValues))),IF(ISNUMBER(P$3),P$3/12*$AA172,IgnoreMin)))*IF(COUNTIFS(EmpNo,$C172,OFFSET(Emp!$R$4,1,MATCH(P$5,DedListItem,0)-1,EmpCount,1),"&lt;&gt;")&gt;0,VLOOKUP($C172,EmpAll,COLUMN(Emp!$R$4)+MATCH(P$5,DedListItem,0)-1,0),OFFSET(Setup!$E$73,MATCH(P$5,DedListItem,0),0,1,1)))-SUMIFS(OFFSET(P$6,1,0,PayCount,1),PayDate,"&lt;"&amp;$AC172,PayEmp,$C172))))))</f>
        <v>0</v>
      </c>
      <c r="Q172" s="133" cm="1">
        <f t="array" aca="1" ref="Q172" ca="1">IF($F172="Terminated",0,IF($AA172=0,0,IF(ISNA(MATCH(Q$5,DedListItem,0)),0,IF(COUNTIFS(OverEmp,$C172,OverDeduct,Q$5,OverDate,"&lt;"&amp;DATE(YEAR($AC172),MONTH($AC172)+1,1),OverEnd,"&gt;="&amp;DATE(YEAR($AC172),MONTH($AC172),1))&gt;0,SUMIFS(OverValue,OverEmp,$C172,OverDeduct,Q$5,OverDate,"&lt;"&amp;DATE(YEAR($AC172),MONTH($AC172)+1,1),OverEnd,"&gt;="&amp;DATE(YEAR($AC172),MONTH($AC172),1)),IF(OR(Q$2="Fixed",Q$2="Not Used"),(IF(COUNTIFS(EmpNo,$C172,OFFSET(Emp!$R$4,1,MATCH(Q$5,DedListItem,0)-1,EmpCount,1),"&lt;&gt;")&gt;0,VLOOKUP($C172,EmpAll,COLUMN(Emp!$R$4)+MATCH(Q$5,DedListItem,0)-1,0),OFFSET(Setup!$E$73,MATCH(Q$5,DedListItem,0),0,1,1))*$AA172)-SUMIFS(OFFSET(Q$6,1,0,PayCount,1),PayDate,"&lt;"&amp;$AC172,PayEmp,$C172),IF(ISNA(MATCH(Q$2,EarnListItem,0))=FALSE,IF(OFFSET(Setup!$G$73,MATCH(Q$5,DedListItem,0),0,1,1)="Taxable",SUMPRODUCT((PayEmp=$C172)*(PayDate&lt;=$AC172)*(PayEarnCode=Q$2)*(PayEarnTax)*(PayEarnValues)),SUMPRODUCT((PayEmp=$C172)*(PayDate&lt;=$AC172)*(PayEarnCode=Q$2)*(PayEarnValues)))*IF(COUNTIFS(EmpNo,$C172,OFFSET(Emp!$R$4,1,MATCH(Q$5,DedListItem,0)-1,EmpCount,1),"&lt;&gt;")&gt;0,VLOOKUP($C172,EmpAll,COLUMN(Emp!$R$4)+MATCH(Q$5,DedListItem,0)-1,0),OFFSET(Setup!$E$73,MATCH(Q$5,DedListItem,0),0,1,1)),(MIN(IF(OFFSET(Setup!$G$73,MATCH(Q$5,DedListItem,0),0,1,1)="Taxable",SUMPRODUCT((PayEmp=$C172)*(PayDate&lt;=$AC172)*(ISERROR(SEARCH(PayEarnCode,Q$4)))*(PayEarnTax)*(PayEarnValues)),SUMPRODUCT((PayEmp=$C172)*(PayDate&lt;=$AC172)*(ISERROR(SEARCH(PayEarnCode,Q$4)))*(PayEarnValues))),IF(ISNUMBER(Q$3),Q$3/12*$AA172,IgnoreMin)))*IF(COUNTIFS(EmpNo,$C172,OFFSET(Emp!$R$4,1,MATCH(Q$5,DedListItem,0)-1,EmpCount,1),"&lt;&gt;")&gt;0,VLOOKUP($C172,EmpAll,COLUMN(Emp!$R$4)+MATCH(Q$5,DedListItem,0)-1,0),OFFSET(Setup!$E$73,MATCH(Q$5,DedListItem,0),0,1,1)))-SUMIFS(OFFSET(Q$6,1,0,PayCount,1),PayDate,"&lt;"&amp;$AC172,PayEmp,$C172))))))</f>
        <v>0</v>
      </c>
      <c r="R172" s="185">
        <f t="shared" ca="1" si="85"/>
        <v>64357.248787878903</v>
      </c>
      <c r="S172" s="139">
        <f t="shared" ca="1" si="86"/>
        <v>100642.75</v>
      </c>
      <c r="T172" s="133" cm="1">
        <f t="array" aca="1" ref="T172" ca="1">IF($F172="Terminated",0,IF($AA172=0,0,IF(ISNA(MATCH(T$5,CompListItem,0)),0,IF(COUNTIFS(OverEmp,$C172,OverComp,T$5,OverDate,"&lt;"&amp;DATE(YEAR($AC172),MONTH($AC172)+1,1),OverEnd,"&gt;="&amp;DATE(YEAR($AC172),MONTH($AC172),1))&gt;0,SUMIFS(OverValue,OverEmp,$C172,OverComp,T$5,OverDate,"&lt;"&amp;DATE(YEAR($AC172),MONTH($AC172)+1,1),OverEnd,"&gt;="&amp;DATE(YEAR($AC172),MONTH($AC172),1)),IF(OR(T$2="Fixed",T$2="Not Used"),(OFFSET(Setup!$E$81,MATCH(T$5,CompListItem,0),0,1,1)*$AA172)-SUMIFS(OFFSET(T$6,1,0,PayCount,1),PayDate,"&lt;"&amp;$AC172,PayEmp,$C172),IF(ISNA(MATCH(T$2,DedListItem,0))=FALSE,(SUMPRODUCT((PayEmp=$C172)*(PayDate&lt;=$AC172)*(PayDedList=T$2)*(PayDedValues))*OFFSET(Setup!$E$81,MATCH(T$5,CompListItem,0),0,1,1))-SUMIFS(OFFSET(T$6,1,0,PayCount,1),PayDate,"&lt;"&amp;$AC172,PayEmp,$C172),(MIN(IF(OFFSET(Setup!$G$81,MATCH(T$5,CompListItem,0),0,1,1)="Taxable",SUMPRODUCT((PayEmp=$C172)*(PayDate&lt;=$AC172)*(ISERROR(SEARCH(PayEarnCode,T$4)))*(PayEarnTax)*(PayEarnValues)),SUMPRODUCT((PayEmp=$C172)*(PayDate&lt;=$AC172)*(ISERROR(SEARCH(PayEarnCode,T$4)))*(PayEarnValues))),IF(ISNUMBER(T$3),T$3/12*$AA172,IgnoreMin)))*OFFSET(Setup!$E$81,MATCH(T$5,CompListItem,0),0,1,1)-SUMIFS(OFFSET(T$6,1,0,PayCount,1),PayDate,"&lt;"&amp;$AC172,PayEmp,$C172)))))))</f>
        <v>177.12000000000012</v>
      </c>
      <c r="U172" s="133" cm="1">
        <f t="array" aca="1" ref="U172" ca="1">IF($F172="Terminated",0,IF($AA172=0,0,IF(ISNA(MATCH(U$5,CompListItem,0)),0,IF(COUNTIFS(OverEmp,$C172,OverComp,U$5,OverDate,"&lt;"&amp;DATE(YEAR($AC172),MONTH($AC172)+1,1),OverEnd,"&gt;="&amp;DATE(YEAR($AC172),MONTH($AC172),1))&gt;0,SUMIFS(OverValue,OverEmp,$C172,OverComp,U$5,OverDate,"&lt;"&amp;DATE(YEAR($AC172),MONTH($AC172)+1,1),OverEnd,"&gt;="&amp;DATE(YEAR($AC172),MONTH($AC172),1)),IF(OR(U$2="Fixed",U$2="Not Used"),(OFFSET(Setup!$E$81,MATCH(U$5,CompListItem,0),0,1,1)*$AA172)-SUMIFS(OFFSET(U$6,1,0,PayCount,1),PayDate,"&lt;"&amp;$AC172,PayEmp,$C172),IF(ISNA(MATCH(U$2,DedListItem,0))=FALSE,(SUMPRODUCT((PayEmp=$C172)*(PayDate&lt;=$AC172)*(PayDedList=U$2)*(PayDedValues))*OFFSET(Setup!$E$81,MATCH(U$5,CompListItem,0),0,1,1))-SUMIFS(OFFSET(U$6,1,0,PayCount,1),PayDate,"&lt;"&amp;$AC172,PayEmp,$C172),(MIN(IF(OFFSET(Setup!$G$81,MATCH(U$5,CompListItem,0),0,1,1)="Taxable",SUMPRODUCT((PayEmp=$C172)*(PayDate&lt;=$AC172)*(ISERROR(SEARCH(PayEarnCode,U$4)))*(PayEarnTax)*(PayEarnValues)),SUMPRODUCT((PayEmp=$C172)*(PayDate&lt;=$AC172)*(ISERROR(SEARCH(PayEarnCode,U$4)))*(PayEarnValues))),IF(ISNUMBER(U$3),U$3/12*$AA172,IgnoreMin)))*OFFSET(Setup!$E$81,MATCH(U$5,CompListItem,0),0,1,1)-SUMIFS(OFFSET(U$6,1,0,PayCount,1),PayDate,"&lt;"&amp;$AC172,PayEmp,$C172)))))))</f>
        <v>1650</v>
      </c>
      <c r="V172" s="133" cm="1">
        <f t="array" aca="1" ref="V172" ca="1">IF($F172="Terminated",0,IF($AA172=0,0,IF(ISNA(MATCH(V$5,CompListItem,0)),0,IF(COUNTIFS(OverEmp,$C172,OverComp,V$5,OverDate,"&lt;"&amp;DATE(YEAR($AC172),MONTH($AC172)+1,1),OverEnd,"&gt;="&amp;DATE(YEAR($AC172),MONTH($AC172),1))&gt;0,SUMIFS(OverValue,OverEmp,$C172,OverComp,V$5,OverDate,"&lt;"&amp;DATE(YEAR($AC172),MONTH($AC172)+1,1),OverEnd,"&gt;="&amp;DATE(YEAR($AC172),MONTH($AC172),1)),IF(OR(V$2="Fixed",V$2="Not Used"),(OFFSET(Setup!$E$81,MATCH(V$5,CompListItem,0),0,1,1)*$AA172)-SUMIFS(OFFSET(V$6,1,0,PayCount,1),PayDate,"&lt;"&amp;$AC172,PayEmp,$C172),IF(ISNA(MATCH(V$2,DedListItem,0))=FALSE,(SUMPRODUCT((PayEmp=$C172)*(PayDate&lt;=$AC172)*(PayDedList=V$2)*(PayDedValues))*OFFSET(Setup!$E$81,MATCH(V$5,CompListItem,0),0,1,1))-SUMIFS(OFFSET(V$6,1,0,PayCount,1),PayDate,"&lt;"&amp;$AC172,PayEmp,$C172),(MIN(IF(OFFSET(Setup!$G$81,MATCH(V$5,CompListItem,0),0,1,1)="Taxable",SUMPRODUCT((PayEmp=$C172)*(PayDate&lt;=$AC172)*(ISERROR(SEARCH(PayEarnCode,V$4)))*(PayEarnTax)*(PayEarnValues)),SUMPRODUCT((PayEmp=$C172)*(PayDate&lt;=$AC172)*(ISERROR(SEARCH(PayEarnCode,V$4)))*(PayEarnValues))),IF(ISNUMBER(V$3),V$3/12*$AA172,IgnoreMin)))*OFFSET(Setup!$E$81,MATCH(V$5,CompListItem,0),0,1,1)-SUMIFS(OFFSET(V$6,1,0,PayCount,1),PayDate,"&lt;"&amp;$AC172,PayEmp,$C172)))))))</f>
        <v>0</v>
      </c>
      <c r="W172" s="133" cm="1">
        <f t="array" aca="1" ref="W172" ca="1">IF($F172="Terminated",0,IF($AA172=0,0,IF(ISNA(MATCH(W$5,CompListItem,0)),0,IF(COUNTIFS(OverEmp,$C172,OverComp,W$5,OverDate,"&lt;"&amp;DATE(YEAR($AC172),MONTH($AC172)+1,1),OverEnd,"&gt;="&amp;DATE(YEAR($AC172),MONTH($AC172),1))&gt;0,SUMIFS(OverValue,OverEmp,$C172,OverComp,W$5,OverDate,"&lt;"&amp;DATE(YEAR($AC172),MONTH($AC172)+1,1),OverEnd,"&gt;="&amp;DATE(YEAR($AC172),MONTH($AC172),1)),IF(OR(W$2="Fixed",W$2="Not Used"),(OFFSET(Setup!$E$81,MATCH(W$5,CompListItem,0),0,1,1)*$AA172)-SUMIFS(OFFSET(W$6,1,0,PayCount,1),PayDate,"&lt;"&amp;$AC172,PayEmp,$C172),IF(ISNA(MATCH(W$2,DedListItem,0))=FALSE,(SUMPRODUCT((PayEmp=$C172)*(PayDate&lt;=$AC172)*(PayDedList=W$2)*(PayDedValues))*OFFSET(Setup!$E$81,MATCH(W$5,CompListItem,0),0,1,1))-SUMIFS(OFFSET(W$6,1,0,PayCount,1),PayDate,"&lt;"&amp;$AC172,PayEmp,$C172),(MIN(IF(OFFSET(Setup!$G$81,MATCH(W$5,CompListItem,0),0,1,1)="Taxable",SUMPRODUCT((PayEmp=$C172)*(PayDate&lt;=$AC172)*(ISERROR(SEARCH(PayEarnCode,W$4)))*(PayEarnTax)*(PayEarnValues)),SUMPRODUCT((PayEmp=$C172)*(PayDate&lt;=$AC172)*(ISERROR(SEARCH(PayEarnCode,W$4)))*(PayEarnValues))),IF(ISNUMBER(W$3),W$3/12*$AA172,IgnoreMin)))*OFFSET(Setup!$E$81,MATCH(W$5,CompListItem,0),0,1,1)-SUMIFS(OFFSET(W$6,1,0,PayCount,1),PayDate,"&lt;"&amp;$AC172,PayEmp,$C172)))))))</f>
        <v>0</v>
      </c>
      <c r="X172" s="185">
        <f t="shared" ca="1" si="78"/>
        <v>1827.1200000000001</v>
      </c>
      <c r="Y172" s="139">
        <f t="shared" ca="1" si="87"/>
        <v>166827.12</v>
      </c>
      <c r="Z172" s="139">
        <f t="shared" ca="1" si="79"/>
        <v>66184.37</v>
      </c>
      <c r="AA172" s="146">
        <f ca="1">IF(OR($B172&lt;=Setup!$E$12,$B172&gt;=Setup!$D$12+1),0,IF($F172&lt;&gt;"Active",0,IF($AE172="Yes",$AB172,((YEAR($AC172)*12)+MONTH($AC172))-((YEAR($AD172)*12)+MONTH($AD172)-1))))</f>
        <v>12</v>
      </c>
      <c r="AB172" s="146">
        <f ca="1">IF(OR($B172&lt;=Setup!$E$12,$B172&gt;=Setup!$D$12+1),0,((YEAR($AC172)*12)+MONTH($AC172))-((YEAR(Setup!$E$12)*12)+MONTH(Setup!$E$12)))</f>
        <v>12</v>
      </c>
      <c r="AC172" s="186">
        <f t="shared" ca="1" si="83"/>
        <v>45347</v>
      </c>
      <c r="AD172" s="144">
        <f ca="1">IF(ISNA(VLOOKUP($C172,EmpAll,COLUMN(Emp!$E$4),0)),$AC172,IF(VLOOKUP($C172,EmpAll,COLUMN(Emp!$E$4),0)&lt;=Setup!$E$12,DATE(YEAR(Setup!$E$12),MONTH(Setup!$E$12)+1,1),VLOOKUP($C172,EmpAll,COLUMN(Emp!$E$4),0)))</f>
        <v>44986</v>
      </c>
      <c r="AE172" s="144" t="str">
        <f ca="1">IF(ISNA(VLOOKUP($C172,EmpAll,COLUMN(Emp!$G$1),0)),"-",IF(VLOOKUP($C172,EmpAll,COLUMN(Emp!$G$1),0)=0,"-",VLOOKUP($C172,EmpAll,COLUMN(Emp!$G$1),0)))</f>
        <v>-</v>
      </c>
      <c r="AF172" s="145">
        <f ca="1">IF(A172=PaySlip!$G$3,1,0)</f>
        <v>1</v>
      </c>
      <c r="AG172" s="130" cm="1">
        <f t="array" aca="1" ref="AG172" ca="1">IF(COUNTIFS(OverEmp,$C172,OverMed,"MED",OverDate,"&lt;"&amp;DATE(YEAR($AC172),MONTH($AC172)+1,1),OverEnd,"&gt;="&amp;DATE(YEAR($AC172),MONTH($AC172),1))&gt;0,SUMIFS(OverValue,OverEmp,$C172,OverMed,"MED",OverDate,"&lt;"&amp;DATE(YEAR($AC172),MONTH($AC172)+1,1),OverEnd,"&gt;="&amp;DATE(YEAR($AC172),MONTH($AC172),1)),IF(ISNA(VLOOKUP($C172,EmpAll,COLUMN(Emp!$N$4),0)),0,VLOOKUP($C172,EmpAll,COLUMN(Emp!$N$4),0)))</f>
        <v>5</v>
      </c>
      <c r="AH172" s="146">
        <f ca="1">VLOOKUP($AG172,MedList,COLUMN(Setup!$C$49),1)</f>
        <v>1466</v>
      </c>
      <c r="AI172" s="146">
        <f t="shared" ca="1" si="70"/>
        <v>17592</v>
      </c>
      <c r="AJ172" s="101" t="str">
        <f ca="1">IF(ISNA(VLOOKUP($C172,EmpAll,COLUMN(Emp!$L$4),0)),"None!",VLOOKUP($C172,EmpAll,COLUMN(Emp!$L$4),0))</f>
        <v>A</v>
      </c>
      <c r="AK172" s="147">
        <f t="shared" ca="1" si="80"/>
        <v>17235</v>
      </c>
      <c r="AL172" s="101" t="str">
        <f ca="1">IF(ISNA(VLOOKUP($C172,Employees[],COLUMN(Emp!$M$4),0))=TRUE,"Error!",IF(VLOOKUP($C172,Employees[],COLUMN(Emp!$M$4),0)=0,"Yes",VLOOKUP($C172,Employees[],COLUMN(Emp!$M$4),0)))</f>
        <v>A</v>
      </c>
      <c r="AM172" s="148">
        <f t="shared" ca="1" si="71"/>
        <v>1980000</v>
      </c>
      <c r="AN172" s="148" cm="1">
        <f t="array" aca="1" ref="AN172" ca="1">-IF($F172="Terminated",0,IF($AA172=0,0,IF(ISNA(MATCH(AN$5,PayDedList,0)),0,MIN(IF(COUNTIFS(OverEmp,$C172,OverDeduct,AN$5,OverDate,"&lt;"&amp;DATE(YEAR($AC172),MONTH($AC172)+1,1),OverEnd,"&gt;="&amp;DATE(YEAR($AC172),MONTH($AC172),1))&gt;0,SUMPRODUCT((PayEmp=$C172)*(PayDate&lt;=$AC172)*(OFFSET($N$6,1,MATCH(AN$5,PayDedList,0)-1,PayCount,1)))/$AA172*12*AN$3,IF(OR(AN$1="Fixed",AN$1="Not Used"),SUMPRODUCT((PayEmp=$C172)*(PayDate&lt;=$AC172)*(OFFSET($N$6,1,MATCH(AN$5,PayDedList,0)-1,PayCount,1)))/$AA172*12*AN$3,IF(ISNA(MATCH(AN$1,EarnListItem,0))=FALSE,SUMPRODUCT((PayEmp=$C172)*(PayDate&lt;=$AC172)*(OFFSET($N$6,1,MATCH(AN$5,PayDedList,0)-1,PayCount,1)))/$AA172*12*AN$3,(MIN(((SUMPRODUCT((PayEmp=$C172)*(PayDate&lt;=$AC172)*(ISERROR(SEARCH(PayEarnCode,AN$2)))*(PayEarnType="Monthly")*(PayEarnValues))/$AA172*12)+(SUMPRODUCT((PayEmp=$C172)*(PayDate&lt;=$AC172)*(ISERROR(SEARCH(PayEarnCode,AN$2)))*(PayEarnType="Quarterly")*(PayEarnValues))/MAX(1,ROUNDDOWN($AB172/3,0))*4)+(SUMPRODUCT((PayEmp=$C172)*(PayDate&lt;=$AC172)*(ISERROR(SEARCH(PayEarnCode,AN$2)))*(PayEarnType="Bi-Annual")*(PayEarnValues))/MAX(1,ROUNDDOWN($AB172/6,0))*2)+(SUMPRODUCT((PayEmp=$C172)*(PayDate&lt;=$AC172)*(ISERROR(SEARCH(PayEarnCode,AN$2)))*(PayEarnType="Annual")*(PayEarnValues)))),IF(ISNUMBER(OFFSET($N$3,0,MATCH(AN$5,PayDedList,0)-1,1,1)),OFFSET($N$3,0,MATCH(AN$5,PayDedList,0)-1,1,1),IgnoreMin)))*IF(COUNTIFS(EmpNo,$C172,OFFSET(Emp!$R$4,1,MATCH(AN$5,DedListItem,0)-1,EmpCount,1),"&lt;&gt;")&gt;0,VLOOKUP($C172,EmpAll,COLUMN(Emp!$R$4)+MATCH(AN$5,DedListItem,0)-1,0),OFFSET(Setup!$E$73,MATCH(AN$5,DedListItem,0),0,1,1))*AN$3))),IF(ISNUMBER(AN$4),AN$4,IgnoreMin)))))</f>
        <v>0</v>
      </c>
      <c r="AO172" s="148" cm="1">
        <f t="array" aca="1" ref="AO172" ca="1">-IF($F172="Terminated",0,IF($AA172=0,0,IF(ISNA(MATCH(AO$5,PayDedList,0)),0,MIN(IF(COUNTIFS(OverEmp,$C172,OverDeduct,AO$5,OverDate,"&lt;"&amp;DATE(YEAR($AC172),MONTH($AC172)+1,1),OverEnd,"&gt;="&amp;DATE(YEAR($AC172),MONTH($AC172),1))&gt;0,SUMPRODUCT((PayEmp=$C172)*(PayDate&lt;=$AC172)*(OFFSET($N$6,1,MATCH(AO$5,PayDedList,0)-1,PayCount,1)))/$AA172*12*AO$3,IF(OR(AO$1="Fixed",AO$1="Not Used"),SUMPRODUCT((PayEmp=$C172)*(PayDate&lt;=$AC172)*(OFFSET($N$6,1,MATCH(AO$5,PayDedList,0)-1,PayCount,1)))/$AA172*12*AO$3,IF(ISNA(MATCH(AO$1,EarnListItem,0))=FALSE,SUMPRODUCT((PayEmp=$C172)*(PayDate&lt;=$AC172)*(OFFSET($N$6,1,MATCH(AO$5,PayDedList,0)-1,PayCount,1)))/$AA172*12*AO$3,(MIN(((SUMPRODUCT((PayEmp=$C172)*(PayDate&lt;=$AC172)*(ISERROR(SEARCH(PayEarnCode,AO$2)))*(PayEarnType="Monthly")*(PayEarnValues))/$AA172*12)+(SUMPRODUCT((PayEmp=$C172)*(PayDate&lt;=$AC172)*(ISERROR(SEARCH(PayEarnCode,AO$2)))*(PayEarnType="Quarterly")*(PayEarnValues))/MAX(1,ROUNDDOWN($AB172/3,0))*4)+(SUMPRODUCT((PayEmp=$C172)*(PayDate&lt;=$AC172)*(ISERROR(SEARCH(PayEarnCode,AO$2)))*(PayEarnType="Bi-Annual")*(PayEarnValues))/MAX(1,ROUNDDOWN($AB172/6,0))*2)+(SUMPRODUCT((PayEmp=$C172)*(PayDate&lt;=$AC172)*(ISERROR(SEARCH(PayEarnCode,AO$2)))*(PayEarnType="Annual")*(PayEarnValues)))),IF(ISNUMBER(OFFSET($N$3,0,MATCH(AO$5,PayDedList,0)-1,1,1)),OFFSET($N$3,0,MATCH(AO$5,PayDedList,0)-1,1,1),IgnoreMin)))*IF(COUNTIFS(EmpNo,$C172,OFFSET(Emp!$R$4,1,MATCH(AO$5,DedListItem,0)-1,EmpCount,1),"&lt;&gt;")&gt;0,VLOOKUP($C172,EmpAll,COLUMN(Emp!$R$4)+MATCH(AO$5,DedListItem,0)-1,0),OFFSET(Setup!$E$73,MATCH(AO$5,DedListItem,0),0,1,1))*AO$3))),IF(ISNUMBER(AO$4),AO$4,IgnoreMin)))))</f>
        <v>-148500</v>
      </c>
      <c r="AP172" s="148" cm="1">
        <f t="array" aca="1" ref="AP172" ca="1">-IF($F172="Terminated",0,IF($AA172=0,0,IF(ISNA(MATCH(AP$5,PayDedList,0)),0,MIN(IF(COUNTIFS(OverEmp,$C172,OverDeduct,AP$5,OverDate,"&lt;"&amp;DATE(YEAR($AC172),MONTH($AC172)+1,1),OverEnd,"&gt;="&amp;DATE(YEAR($AC172),MONTH($AC172),1))&gt;0,SUMPRODUCT((PayEmp=$C172)*(PayDate&lt;=$AC172)*(OFFSET($N$6,1,MATCH(AP$5,PayDedList,0)-1,PayCount,1)))/$AA172*12*AP$3,IF(OR(AP$1="Fixed",AP$1="Not Used"),SUMPRODUCT((PayEmp=$C172)*(PayDate&lt;=$AC172)*(OFFSET($N$6,1,MATCH(AP$5,PayDedList,0)-1,PayCount,1)))/$AA172*12*AP$3,IF(ISNA(MATCH(AP$1,EarnListItem,0))=FALSE,SUMPRODUCT((PayEmp=$C172)*(PayDate&lt;=$AC172)*(OFFSET($N$6,1,MATCH(AP$5,PayDedList,0)-1,PayCount,1)))/$AA172*12*AP$3,(MIN(((SUMPRODUCT((PayEmp=$C172)*(PayDate&lt;=$AC172)*(ISERROR(SEARCH(PayEarnCode,AP$2)))*(PayEarnType="Monthly")*(PayEarnValues))/$AA172*12)+(SUMPRODUCT((PayEmp=$C172)*(PayDate&lt;=$AC172)*(ISERROR(SEARCH(PayEarnCode,AP$2)))*(PayEarnType="Quarterly")*(PayEarnValues))/MAX(1,ROUNDDOWN($AB172/3,0))*4)+(SUMPRODUCT((PayEmp=$C172)*(PayDate&lt;=$AC172)*(ISERROR(SEARCH(PayEarnCode,AP$2)))*(PayEarnType="Bi-Annual")*(PayEarnValues))/MAX(1,ROUNDDOWN($AB172/6,0))*2)+(SUMPRODUCT((PayEmp=$C172)*(PayDate&lt;=$AC172)*(ISERROR(SEARCH(PayEarnCode,AP$2)))*(PayEarnType="Annual")*(PayEarnValues)))),IF(ISNUMBER(OFFSET($N$3,0,MATCH(AP$5,PayDedList,0)-1,1,1)),OFFSET($N$3,0,MATCH(AP$5,PayDedList,0)-1,1,1),IgnoreMin)))*IF(COUNTIFS(EmpNo,$C172,OFFSET(Emp!$R$4,1,MATCH(AP$5,DedListItem,0)-1,EmpCount,1),"&lt;&gt;")&gt;0,VLOOKUP($C172,EmpAll,COLUMN(Emp!$R$4)+MATCH(AP$5,DedListItem,0)-1,0),OFFSET(Setup!$E$73,MATCH(AP$5,DedListItem,0),0,1,1))*AP$3))),IF(ISNUMBER(AP$4),AP$4,IgnoreMin)))))</f>
        <v>0</v>
      </c>
      <c r="AQ172" s="148" cm="1">
        <f t="array" aca="1" ref="AQ172" ca="1">-IF($F172="Terminated",0,IF($AA172=0,0,IF(ISNA(MATCH(AQ$5,PayDedList,0)),0,MIN(IF(COUNTIFS(OverEmp,$C172,OverDeduct,AQ$5,OverDate,"&lt;"&amp;DATE(YEAR($AC172),MONTH($AC172)+1,1),OverEnd,"&gt;="&amp;DATE(YEAR($AC172),MONTH($AC172),1))&gt;0,SUMPRODUCT((PayEmp=$C172)*(PayDate&lt;=$AC172)*(OFFSET($N$6,1,MATCH(AQ$5,PayDedList,0)-1,PayCount,1)))/$AA172*12*AQ$3,IF(OR(AQ$1="Fixed",AQ$1="Not Used"),SUMPRODUCT((PayEmp=$C172)*(PayDate&lt;=$AC172)*(OFFSET($N$6,1,MATCH(AQ$5,PayDedList,0)-1,PayCount,1)))/$AA172*12*AQ$3,IF(ISNA(MATCH(AQ$1,EarnListItem,0))=FALSE,SUMPRODUCT((PayEmp=$C172)*(PayDate&lt;=$AC172)*(OFFSET($N$6,1,MATCH(AQ$5,PayDedList,0)-1,PayCount,1)))/$AA172*12*AQ$3,(MIN(((SUMPRODUCT((PayEmp=$C172)*(PayDate&lt;=$AC172)*(ISERROR(SEARCH(PayEarnCode,AQ$2)))*(PayEarnType="Monthly")*(PayEarnValues))/$AA172*12)+(SUMPRODUCT((PayEmp=$C172)*(PayDate&lt;=$AC172)*(ISERROR(SEARCH(PayEarnCode,AQ$2)))*(PayEarnType="Quarterly")*(PayEarnValues))/MAX(1,ROUNDDOWN($AB172/3,0))*4)+(SUMPRODUCT((PayEmp=$C172)*(PayDate&lt;=$AC172)*(ISERROR(SEARCH(PayEarnCode,AQ$2)))*(PayEarnType="Bi-Annual")*(PayEarnValues))/MAX(1,ROUNDDOWN($AB172/6,0))*2)+(SUMPRODUCT((PayEmp=$C172)*(PayDate&lt;=$AC172)*(ISERROR(SEARCH(PayEarnCode,AQ$2)))*(PayEarnType="Annual")*(PayEarnValues)))),IF(ISNUMBER(OFFSET($N$3,0,MATCH(AQ$5,PayDedList,0)-1,1,1)),OFFSET($N$3,0,MATCH(AQ$5,PayDedList,0)-1,1,1),IgnoreMin)))*IF(COUNTIFS(EmpNo,$C172,OFFSET(Emp!$R$4,1,MATCH(AQ$5,DedListItem,0)-1,EmpCount,1),"&lt;&gt;")&gt;0,VLOOKUP($C172,EmpAll,COLUMN(Emp!$R$4)+MATCH(AQ$5,DedListItem,0)-1,0),OFFSET(Setup!$E$73,MATCH(AQ$5,DedListItem,0),0,1,1))*AQ$3))),IF(ISNUMBER(AQ$4),AQ$4,IgnoreMin)))))</f>
        <v>0</v>
      </c>
      <c r="AR172" s="148">
        <f t="shared" ca="1" si="81"/>
        <v>1831500</v>
      </c>
      <c r="AS172" s="148">
        <f t="shared" ca="1" si="72"/>
        <v>1830000</v>
      </c>
      <c r="AT172" s="148" cm="1">
        <f t="array" aca="1" ref="AT172" ca="1">-IF($F172="Terminated",0,IF($AA172=0,0,IF(ISNA(MATCH(AT$5,PayDedList,0)),0,MIN(IF(COUNTIFS(OverEmp,$C172,OverDeduct,AT$5,OverDate,"&lt;"&amp;DATE(YEAR($AC172),MONTH($AC172)+1,1),OverEnd,"&gt;="&amp;DATE(YEAR($AC172),MONTH($AC172),1))&gt;0,SUMPRODUCT((PayEmp=$C172)*(PayDate&lt;=$AC172)*(OFFSET($N$6,1,MATCH(AT$5,PayDedList,0)-1,PayCount,1)))/$AA172*12*AT$3,IF(OR(AT$1="Fixed",AT$1="Not Used"),SUMPRODUCT((PayEmp=$C172)*(PayDate&lt;=$AC172)*(OFFSET($N$6,1,MATCH(AT$5,PayDedList,0)-1,PayCount,1)))/$AA172*12*AT$3,IF(ISNA(MATCH(OFFSET($N$2,0,MATCH(AT$5,PayDedList,0)-1,1,1),EarnListItem,0))=FALSE,SUMPRODUCT((PayEmp=$C172)*(PayDate&lt;=$AC172)*(OFFSET($N$6,1,MATCH(AT$5,PayDedList,0)-1,PayCount,1)))/$AA172*12*AT$3,(MIN(SUMPRODUCT((PayEmp=$C172)*(PayDate&lt;=$AC172)*(ISERROR(SEARCH(PayEarnCode,AT$2)))*(PayEarnType="Monthly")*(PayEarnValues))/$AA172*12,IF(ISNUMBER(OFFSET($N$3,0,MATCH(AT$5,PayDedList,0)-1,1,1)),OFFSET($N$3,0,MATCH(AT$5,PayDedList,0)-1,1,1),IgnoreMin)))*IF(COUNTIFS(EmpNo,$C172,OFFSET(Emp!$R$4,1,MATCH(AT$5,DedListItem,0)-1,EmpCount,1),"&lt;&gt;")&gt;0,VLOOKUP($C172,EmpAll,COLUMN(Emp!$R$4)+MATCH(AT$5,DedListItem,0)-1,0),OFFSET(Setup!$E$73,MATCH(AT$5,DedListItem,0),0,1,1))*AT$3))),IF(ISNUMBER(AT$4),AT$4,IgnoreMin)))))</f>
        <v>0</v>
      </c>
      <c r="AU172" s="148" cm="1">
        <f t="array" aca="1" ref="AU172" ca="1">-IF($F172="Terminated",0,IF($AA172=0,0,IF(ISNA(MATCH(AU$5,PayDedList,0)),0,MIN(IF(COUNTIFS(OverEmp,$C172,OverDeduct,AU$5,OverDate,"&lt;"&amp;DATE(YEAR($AC172),MONTH($AC172)+1,1),OverEnd,"&gt;="&amp;DATE(YEAR($AC172),MONTH($AC172),1))&gt;0,SUMPRODUCT((PayEmp=$C172)*(PayDate&lt;=$AC172)*(OFFSET($N$6,1,MATCH(AU$5,PayDedList,0)-1,PayCount,1)))/$AA172*12*AU$3,IF(OR(AU$1="Fixed",AU$1="Not Used"),SUMPRODUCT((PayEmp=$C172)*(PayDate&lt;=$AC172)*(OFFSET($N$6,1,MATCH(AU$5,PayDedList,0)-1,PayCount,1)))/$AA172*12*AU$3,IF(ISNA(MATCH(OFFSET($N$2,0,MATCH(AU$5,PayDedList,0)-1,1,1),EarnListItem,0))=FALSE,SUMPRODUCT((PayEmp=$C172)*(PayDate&lt;=$AC172)*(OFFSET($N$6,1,MATCH(AU$5,PayDedList,0)-1,PayCount,1)))/$AA172*12*AU$3,(MIN(SUMPRODUCT((PayEmp=$C172)*(PayDate&lt;=$AC172)*(ISERROR(SEARCH(PayEarnCode,AU$2)))*(PayEarnType="Monthly")*(PayEarnValues))/$AA172*12,IF(ISNUMBER(OFFSET($N$3,0,MATCH(AU$5,PayDedList,0)-1,1,1)),OFFSET($N$3,0,MATCH(AU$5,PayDedList,0)-1,1,1),IgnoreMin)))*IF(COUNTIFS(EmpNo,$C172,OFFSET(Emp!$R$4,1,MATCH(AU$5,DedListItem,0)-1,EmpCount,1),"&lt;&gt;")&gt;0,VLOOKUP($C172,EmpAll,COLUMN(Emp!$R$4)+MATCH(AU$5,DedListItem,0)-1,0),OFFSET(Setup!$E$73,MATCH(AU$5,DedListItem,0),0,1,1))*AU$3))),IF(ISNUMBER(AU$4),AU$4,IgnoreMin)))))</f>
        <v>-137250</v>
      </c>
      <c r="AV172" s="148" cm="1">
        <f t="array" aca="1" ref="AV172" ca="1">-IF($F172="Terminated",0,IF($AA172=0,0,IF(ISNA(MATCH(AV$5,PayDedList,0)),0,MIN(IF(COUNTIFS(OverEmp,$C172,OverDeduct,AV$5,OverDate,"&lt;"&amp;DATE(YEAR($AC172),MONTH($AC172)+1,1),OverEnd,"&gt;="&amp;DATE(YEAR($AC172),MONTH($AC172),1))&gt;0,SUMPRODUCT((PayEmp=$C172)*(PayDate&lt;=$AC172)*(OFFSET($N$6,1,MATCH(AV$5,PayDedList,0)-1,PayCount,1)))/$AA172*12*AV$3,IF(OR(AV$1="Fixed",AV$1="Not Used"),SUMPRODUCT((PayEmp=$C172)*(PayDate&lt;=$AC172)*(OFFSET($N$6,1,MATCH(AV$5,PayDedList,0)-1,PayCount,1)))/$AA172*12*AV$3,IF(ISNA(MATCH(OFFSET($N$2,0,MATCH(AV$5,PayDedList,0)-1,1,1),EarnListItem,0))=FALSE,SUMPRODUCT((PayEmp=$C172)*(PayDate&lt;=$AC172)*(OFFSET($N$6,1,MATCH(AV$5,PayDedList,0)-1,PayCount,1)))/$AA172*12*AV$3,(MIN(SUMPRODUCT((PayEmp=$C172)*(PayDate&lt;=$AC172)*(ISERROR(SEARCH(PayEarnCode,AV$2)))*(PayEarnType="Monthly")*(PayEarnValues))/$AA172*12,IF(ISNUMBER(OFFSET($N$3,0,MATCH(AV$5,PayDedList,0)-1,1,1)),OFFSET($N$3,0,MATCH(AV$5,PayDedList,0)-1,1,1),IgnoreMin)))*IF(COUNTIFS(EmpNo,$C172,OFFSET(Emp!$R$4,1,MATCH(AV$5,DedListItem,0)-1,EmpCount,1),"&lt;&gt;")&gt;0,VLOOKUP($C172,EmpAll,COLUMN(Emp!$R$4)+MATCH(AV$5,DedListItem,0)-1,0),OFFSET(Setup!$E$73,MATCH(AV$5,DedListItem,0),0,1,1))*AV$3))),IF(ISNUMBER(AV$4),AV$4,IgnoreMin)))))</f>
        <v>0</v>
      </c>
      <c r="AW172" s="148" cm="1">
        <f t="array" aca="1" ref="AW172" ca="1">-IF($F172="Terminated",0,IF($AA172=0,0,IF(ISNA(MATCH(AW$5,PayDedList,0)),0,MIN(IF(COUNTIFS(OverEmp,$C172,OverDeduct,AW$5,OverDate,"&lt;"&amp;DATE(YEAR($AC172),MONTH($AC172)+1,1),OverEnd,"&gt;="&amp;DATE(YEAR($AC172),MONTH($AC172),1))&gt;0,SUMPRODUCT((PayEmp=$C172)*(PayDate&lt;=$AC172)*(OFFSET($N$6,1,MATCH(AW$5,PayDedList,0)-1,PayCount,1)))/$AA172*12*AW$3,IF(OR(AW$1="Fixed",AW$1="Not Used"),SUMPRODUCT((PayEmp=$C172)*(PayDate&lt;=$AC172)*(OFFSET($N$6,1,MATCH(AW$5,PayDedList,0)-1,PayCount,1)))/$AA172*12*AW$3,IF(ISNA(MATCH(OFFSET($N$2,0,MATCH(AW$5,PayDedList,0)-1,1,1),EarnListItem,0))=FALSE,SUMPRODUCT((PayEmp=$C172)*(PayDate&lt;=$AC172)*(OFFSET($N$6,1,MATCH(AW$5,PayDedList,0)-1,PayCount,1)))/$AA172*12*AW$3,(MIN(SUMPRODUCT((PayEmp=$C172)*(PayDate&lt;=$AC172)*(ISERROR(SEARCH(PayEarnCode,AW$2)))*(PayEarnType="Monthly")*(PayEarnValues))/$AA172*12,IF(ISNUMBER(OFFSET($N$3,0,MATCH(AW$5,PayDedList,0)-1,1,1)),OFFSET($N$3,0,MATCH(AW$5,PayDedList,0)-1,1,1),IgnoreMin)))*IF(COUNTIFS(EmpNo,$C172,OFFSET(Emp!$R$4,1,MATCH(AW$5,DedListItem,0)-1,EmpCount,1),"&lt;&gt;")&gt;0,VLOOKUP($C172,EmpAll,COLUMN(Emp!$R$4)+MATCH(AW$5,DedListItem,0)-1,0),OFFSET(Setup!$E$73,MATCH(AW$5,DedListItem,0),0,1,1))*AW$3))),IF(ISNUMBER(AW$4),AW$4,IgnoreMin)))))</f>
        <v>0</v>
      </c>
      <c r="AX172" s="148">
        <f t="shared" ca="1" si="88"/>
        <v>1692750</v>
      </c>
      <c r="AY172" s="148">
        <f t="shared" ca="1" si="89"/>
        <v>138750</v>
      </c>
      <c r="AZ172" s="148">
        <f ca="1">IF(ISNUMBER($AL172),($AR172*$AL172)-$AI172-$AK172,MAX(0,IF($AL172="B",IF($AR172&lt;Setup!$C$32,($AR172*Setup!$D$32)-$AI172-$AK172,(($AR172-VLOOKUP($AR172,TaxAll2,1,1))*OFFSET(Setup!$D$32,MATCH($AR172,TaxBracket2,1),0,1,1))+OFFSET(Setup!$E$31,MATCH($AR172,TaxBracket2,1),0,1,1)-$AI172-$AK172),IF($AR172&lt;Setup!$C$21,($AR172*Setup!$D$21)-$AI172-$AK172,(($AR172-VLOOKUP($AR172,TaxAll1,1,1))*OFFSET(Setup!$D$21,MATCH($AR172,TaxBracket1,1),0,1,1))+OFFSET(Setup!$E$20,MATCH($AR172,TaxBracket1,1),0,1,1)-$AI172-$AK172))))</f>
        <v>616187</v>
      </c>
      <c r="BA172" s="148">
        <f ca="1">IF(ISNUMBER($AL172),($AX172*$AL172)-$AI172-$AK172,MAX(0,IF($AL172="B",IF($AX172&lt;Setup!$C$32,($AX172*Setup!$D$32)-$AI172-$AK172,(($AX172-VLOOKUP($AX172,TaxAll2,1,1))*OFFSET(Setup!$D$32,MATCH($AX172,TaxBracket2,1),0,1,1))+OFFSET(Setup!$E$31,MATCH($AX172,TaxBracket2,1),0,1,1)-$AI172-$AK172),IF($AX172&lt;Setup!$C$21,($AX172*Setup!$D$21)-$AI172-$AK172,(($AX172-VLOOKUP($AX172,TaxAll1,1,1))*OFFSET(Setup!$D$21,MATCH($AX172,TaxBracket1,1),0,1,1))+OFFSET(Setup!$E$20,MATCH($AX172,TaxBracket1,1),0,1,1)-$AI172-$AK172))))</f>
        <v>558719.5</v>
      </c>
      <c r="BB172" s="148">
        <f t="shared" ca="1" si="82"/>
        <v>57467.5</v>
      </c>
      <c r="BC172" s="150">
        <f t="shared" ca="1" si="75"/>
        <v>0.9242424242424242</v>
      </c>
      <c r="BD172" s="150">
        <f t="shared" ca="1" si="76"/>
        <v>7.575757575757576E-2</v>
      </c>
      <c r="BE172" s="148">
        <f t="shared" ca="1" si="77"/>
        <v>1980000</v>
      </c>
    </row>
    <row r="173" spans="1:57" ht="16.149999999999999" customHeight="1" x14ac:dyDescent="0.25">
      <c r="A173" s="10" t="str" cm="1">
        <f t="array" aca="1" ref="A173" ca="1">IF(ROW($A173)-ROW($A$6)&gt;EmpCount*12,"-",TEXT($B173,"yyyy")&amp;TEXT($B173,"mm")&amp;"-"&amp;$C173)</f>
        <v>202402-EXS002</v>
      </c>
      <c r="B173" s="137" cm="1">
        <f t="array" aca="1" ref="B173" ca="1">IF(ROW($A173)-ROW($A$6)&gt;EmpCount*12,Setup!$D$12,DATE(YEAR(Setup!$F$12),MONTH(Setup!$F$12)+ROUNDDOWN((ROW($A173)-ROW($A$6)-1)/EmpCount,0),IF(Setup!$C$14&gt;DAY(DATE(YEAR(Setup!$F$12),MONTH(Setup!$F$12)+ROUNDDOWN((ROW($A173)-ROW($A$6)-1)/EmpCount,0)+1,0)),DAY(DATE(YEAR(Setup!$F$12),MONTH(Setup!$F$12)+ROUNDDOWN((ROW($A173)-ROW($A$6)-1)/EmpCount,0)+1,0)),Setup!$C$14)))</f>
        <v>45347</v>
      </c>
      <c r="C173" s="101" t="str" cm="1">
        <f t="array" aca="1" ref="C173" ca="1">IF(ROW($A173)-ROW($A$6)&gt;EmpCount*12,"-",OFFSET(Emp!$A$4,ROW($A173)-ROW($A$6)-IF(ROW($A173)-ROW($A$6)&gt;EmpCount,ROUNDDOWN((ROW($A173)-ROW($A$6)-1)/EmpCount,0)*EmpCount,0),0,1,1))</f>
        <v>EXS002</v>
      </c>
      <c r="D173" s="10" t="str">
        <f ca="1">IF(ISNA(VLOOKUP($C173,EmpAll,COLUMN(Emp!$B$4),0)),"-",VLOOKUP($C173,EmpAll,COLUMN(Emp!$B$4),0))</f>
        <v>Smith F</v>
      </c>
      <c r="E173" s="145" t="str">
        <f ca="1">IF(ISNA(VLOOKUP($C173,EmpAll,COLUMN(Emp!$C$4),0)),"-",VLOOKUP($C173,EmpAll,COLUMN(Emp!$C$4),0))</f>
        <v>M</v>
      </c>
      <c r="F173" s="101" t="str">
        <f ca="1">IF(ISNA(VLOOKUP($C173,EmpAll,COLUMN(Emp!$A$4),0)),"-",IF(AND(VLOOKUP($C173,EmpAll,COLUMN(Emp!$E$4),0)&lt;&gt;0,VLOOKUP($C173,EmpAll,COLUMN(Emp!$E$4),0)&gt;=DATE(YEAR($AC173),MONTH($AC173)+1,0)),"Inactive",IF(AND(VLOOKUP($C173,EmpAll,COLUMN(Emp!$F$4),0)&lt;&gt;0,VLOOKUP($C173,EmpAll,COLUMN(Emp!$F$4),0)&lt;=DATE(YEAR($AC173),MONTH($AC173),0)),"Terminated","Active")))</f>
        <v>Active</v>
      </c>
      <c r="G173" s="133" cm="1">
        <f t="array" aca="1" ref="G173" ca="1">IF($F173&lt;&gt;"Active",0,IF(COUNTIFS(OverEmp,$C173,OverEarn,G$2,OverDate,"&lt;"&amp;DATE(YEAR($AC173),MONTH($AC173)+1,1),OverEnd,"&gt;="&amp;DATE(YEAR($AC173),MONTH($AC173),1))&gt;0,SUMIFS(OverValue,OverEmp,$C173,OverEarn,G$2,OverDate,"&lt;"&amp;DATE(YEAR($AC173),MONTH($AC173)+1,1),OverEnd,"&gt;="&amp;DATE(YEAR($AC173),MONTH($AC173),1)),IF(AND($AC173&gt;=Setup!$E$10,SUMIFS(EmpIncrease,EmpCode,$C173)&gt;0),SUMIFS(EmpIncrease,EmpCode,$C173),SUMIFS(EmpSalary,EmpCode,$C173))))</f>
        <v>132000</v>
      </c>
      <c r="H173" s="133" cm="1">
        <f t="array" aca="1" ref="H173" ca="1">IF($F173&lt;&gt;"Active",0,IF(COUNTIFS(OverEmp,$C173,OverEarn,H$2,OverDate,"&lt;"&amp;DATE(YEAR($AC173),MONTH($AC173)+1,1),OverEnd,"&gt;="&amp;DATE(YEAR($AC173),MONTH($AC173),1))&gt;0,SUMIFS(OverValue,OverEmp,$C173,OverEarn,H$2,OverDate,"&lt;"&amp;DATE(YEAR($AC173),MONTH($AC173)+1,1),OverEnd,"&gt;="&amp;DATE(YEAR($AC173),MONTH($AC173),1)),0))</f>
        <v>0</v>
      </c>
      <c r="I173" s="133" cm="1">
        <f t="array" aca="1" ref="I173" ca="1">IF($F173&lt;&gt;"Active",0,IF(COUNTIFS(OverEmp,$C173,OverEarn,I$2,OverDate,"&lt;"&amp;DATE(YEAR($AC173),MONTH($AC173)+1,1),OverEnd,"&gt;="&amp;DATE(YEAR($AC173),MONTH($AC173),1))&gt;0,SUMIFS(OverValue,OverEmp,$C173,OverEarn,I$2,OverDate,"&lt;"&amp;DATE(YEAR($AC173),MONTH($AC173)+1,1),OverEnd,"&gt;="&amp;DATE(YEAR($AC173),MONTH($AC173),1)),IF(MONTH(B173)=Setup!$C$15,SUMIFS(EmpBonus,EmpCode,$C173),0)))</f>
        <v>0</v>
      </c>
      <c r="J173" s="133" cm="1">
        <f t="array" aca="1" ref="J173" ca="1">IF($F173&lt;&gt;"Active",0,IF(COUNTIFS(OverEmp,$C173,OverEarn,J$2,OverDate,"&lt;"&amp;DATE(YEAR($AC173),MONTH($AC173)+1,1),OverEnd,"&gt;="&amp;DATE(YEAR($AC173),MONTH($AC173),1))&gt;0,SUMIFS(OverValue,OverEmp,$C173,OverEarn,J$2,OverDate,"&lt;"&amp;DATE(YEAR($AC173),MONTH($AC173)+1,1),OverEnd,"&gt;="&amp;DATE(YEAR($AC173),MONTH($AC173),1)),0))</f>
        <v>0</v>
      </c>
      <c r="K173" s="133" cm="1">
        <f t="array" aca="1" ref="K173" ca="1">IF($F173&lt;&gt;"Active",0,IF(COUNTIFS(OverEmp,$C173,OverEarn,K$2,OverDate,"&lt;"&amp;DATE(YEAR($AC173),MONTH($AC173)+1,1),OverEnd,"&gt;="&amp;DATE(YEAR($AC173),MONTH($AC173),1))&gt;0,SUMIFS(OverValue,OverEmp,$C173,OverEarn,K$2,OverDate,"&lt;"&amp;DATE(YEAR($AC173),MONTH($AC173)+1,1),OverEnd,"&gt;="&amp;DATE(YEAR($AC173),MONTH($AC173),1)),0))</f>
        <v>0</v>
      </c>
      <c r="L173" s="185">
        <f t="shared" ca="1" si="84"/>
        <v>132000</v>
      </c>
      <c r="M173" s="182" cm="1">
        <f t="array" aca="1" ref="M173" ca="1">IF(COUNTIFS(OverEmp,$C173,OverTax,M$5,OverDate,"&lt;"&amp;DATE(YEAR($AC173),MONTH($AC173)+1,1),OverEnd,"&gt;="&amp;DATE(YEAR($AC173),MONTH($AC173),1))&gt;0,SUMIFS(OverValue,OverEmp,$C173,OverTax,M$5,OverDate,"&lt;"&amp;DATE(YEAR($AC173),MONTH($AC173)+1,1),OverEnd,"&gt;="&amp;DATE(YEAR($AC173),MONTH($AC173),1)),(($BA173/12*$AA173)+(BB173*IF(1-$BC173=0,0,BD173/(1-$BC173))))-IF($F173="Terminated",0,SUMIFS(PayTaxDeduct,PayDate,"&lt;"&amp;$AC173,PayEmp,$C173)))</f>
        <v>43418.333333333372</v>
      </c>
      <c r="N173" s="133" cm="1">
        <f t="array" aca="1" ref="N173" ca="1">IF($F173="Terminated",0,IF($AA173=0,0,IF(ISNA(MATCH(N$5,DedListItem,0)),0,IF(COUNTIFS(OverEmp,$C173,OverDeduct,N$5,OverDate,"&lt;"&amp;DATE(YEAR($AC173),MONTH($AC173)+1,1),OverEnd,"&gt;="&amp;DATE(YEAR($AC173),MONTH($AC173),1))&gt;0,SUMIFS(OverValue,OverEmp,$C173,OverDeduct,N$5,OverDate,"&lt;"&amp;DATE(YEAR($AC173),MONTH($AC173)+1,1),OverEnd,"&gt;="&amp;DATE(YEAR($AC173),MONTH($AC173),1)),IF(OR(N$2="Fixed",N$2="Not Used"),(IF(COUNTIFS(EmpNo,$C173,OFFSET(Emp!$R$4,1,MATCH(N$5,DedListItem,0)-1,EmpCount,1),"&lt;&gt;")&gt;0,VLOOKUP($C173,EmpAll,COLUMN(Emp!$R$4)+MATCH(N$5,DedListItem,0)-1,0),OFFSET(Setup!$E$73,MATCH(N$5,DedListItem,0),0,1,1))*$AA173)-SUMIFS(OFFSET(N$6,1,0,PayCount,1),PayDate,"&lt;"&amp;$AC173,PayEmp,$C173),IF(ISNA(MATCH(N$2,EarnListItem,0))=FALSE,IF(OFFSET(Setup!$G$73,MATCH(N$5,DedListItem,0),0,1,1)="Taxable",SUMPRODUCT((PayEmp=$C173)*(PayDate&lt;=$AC173)*(PayEarnCode=N$2)*(PayEarnTax)*(PayEarnValues)),SUMPRODUCT((PayEmp=$C173)*(PayDate&lt;=$AC173)*(PayEarnCode=N$2)*(PayEarnValues)))*IF(COUNTIFS(EmpNo,$C173,OFFSET(Emp!$R$4,1,MATCH(N$5,DedListItem,0)-1,EmpCount,1),"&lt;&gt;")&gt;0,VLOOKUP($C173,EmpAll,COLUMN(Emp!$R$4)+MATCH(N$5,DedListItem,0)-1,0),OFFSET(Setup!$E$73,MATCH(N$5,DedListItem,0),0,1,1)),(MIN(IF(OFFSET(Setup!$G$73,MATCH(N$5,DedListItem,0),0,1,1)="Taxable",SUMPRODUCT((PayEmp=$C173)*(PayDate&lt;=$AC173)*(ISERROR(SEARCH(PayEarnCode,N$4)))*(PayEarnTax)*(PayEarnValues)),SUMPRODUCT((PayEmp=$C173)*(PayDate&lt;=$AC173)*(ISERROR(SEARCH(PayEarnCode,N$4)))*(PayEarnValues))),IF(ISNUMBER(N$3),N$3/12*$AA173,IgnoreMin)))*IF(COUNTIFS(EmpNo,$C173,OFFSET(Emp!$R$4,1,MATCH(N$5,DedListItem,0)-1,EmpCount,1),"&lt;&gt;")&gt;0,VLOOKUP($C173,EmpAll,COLUMN(Emp!$R$4)+MATCH(N$5,DedListItem,0)-1,0),OFFSET(Setup!$E$73,MATCH(N$5,DedListItem,0),0,1,1)))-SUMIFS(OFFSET(N$6,1,0,PayCount,1),PayDate,"&lt;"&amp;$AC173,PayEmp,$C173))))))</f>
        <v>177.12000000000012</v>
      </c>
      <c r="O173" s="133" cm="1">
        <f t="array" aca="1" ref="O173" ca="1">IF($F173="Terminated",0,IF($AA173=0,0,IF(ISNA(MATCH(O$5,DedListItem,0)),0,IF(COUNTIFS(OverEmp,$C173,OverDeduct,O$5,OverDate,"&lt;"&amp;DATE(YEAR($AC173),MONTH($AC173)+1,1),OverEnd,"&gt;="&amp;DATE(YEAR($AC173),MONTH($AC173),1))&gt;0,SUMIFS(OverValue,OverEmp,$C173,OverDeduct,O$5,OverDate,"&lt;"&amp;DATE(YEAR($AC173),MONTH($AC173)+1,1),OverEnd,"&gt;="&amp;DATE(YEAR($AC173),MONTH($AC173),1)),IF(OR(O$2="Fixed",O$2="Not Used"),(IF(COUNTIFS(EmpNo,$C173,OFFSET(Emp!$R$4,1,MATCH(O$5,DedListItem,0)-1,EmpCount,1),"&lt;&gt;")&gt;0,VLOOKUP($C173,EmpAll,COLUMN(Emp!$R$4)+MATCH(O$5,DedListItem,0)-1,0),OFFSET(Setup!$E$73,MATCH(O$5,DedListItem,0),0,1,1))*$AA173)-SUMIFS(OFFSET(O$6,1,0,PayCount,1),PayDate,"&lt;"&amp;$AC173,PayEmp,$C173),IF(ISNA(MATCH(O$2,EarnListItem,0))=FALSE,IF(OFFSET(Setup!$G$73,MATCH(O$5,DedListItem,0),0,1,1)="Taxable",SUMPRODUCT((PayEmp=$C173)*(PayDate&lt;=$AC173)*(PayEarnCode=O$2)*(PayEarnTax)*(PayEarnValues)),SUMPRODUCT((PayEmp=$C173)*(PayDate&lt;=$AC173)*(PayEarnCode=O$2)*(PayEarnValues)))*IF(COUNTIFS(EmpNo,$C173,OFFSET(Emp!$R$4,1,MATCH(O$5,DedListItem,0)-1,EmpCount,1),"&lt;&gt;")&gt;0,VLOOKUP($C173,EmpAll,COLUMN(Emp!$R$4)+MATCH(O$5,DedListItem,0)-1,0),OFFSET(Setup!$E$73,MATCH(O$5,DedListItem,0),0,1,1)),(MIN(IF(OFFSET(Setup!$G$73,MATCH(O$5,DedListItem,0),0,1,1)="Taxable",SUMPRODUCT((PayEmp=$C173)*(PayDate&lt;=$AC173)*(ISERROR(SEARCH(PayEarnCode,O$4)))*(PayEarnTax)*(PayEarnValues)),SUMPRODUCT((PayEmp=$C173)*(PayDate&lt;=$AC173)*(ISERROR(SEARCH(PayEarnCode,O$4)))*(PayEarnValues))),IF(ISNUMBER(O$3),O$3/12*$AA173,IgnoreMin)))*IF(COUNTIFS(EmpNo,$C173,OFFSET(Emp!$R$4,1,MATCH(O$5,DedListItem,0)-1,EmpCount,1),"&lt;&gt;")&gt;0,VLOOKUP($C173,EmpAll,COLUMN(Emp!$R$4)+MATCH(O$5,DedListItem,0)-1,0),OFFSET(Setup!$E$73,MATCH(O$5,DedListItem,0),0,1,1)))-SUMIFS(OFFSET(O$6,1,0,PayCount,1),PayDate,"&lt;"&amp;$AC173,PayEmp,$C173))))))</f>
        <v>0</v>
      </c>
      <c r="P173" s="133" cm="1">
        <f t="array" aca="1" ref="P173" ca="1">IF($F173="Terminated",0,IF($AA173=0,0,IF(ISNA(MATCH(P$5,DedListItem,0)),0,IF(COUNTIFS(OverEmp,$C173,OverDeduct,P$5,OverDate,"&lt;"&amp;DATE(YEAR($AC173),MONTH($AC173)+1,1),OverEnd,"&gt;="&amp;DATE(YEAR($AC173),MONTH($AC173),1))&gt;0,SUMIFS(OverValue,OverEmp,$C173,OverDeduct,P$5,OverDate,"&lt;"&amp;DATE(YEAR($AC173),MONTH($AC173)+1,1),OverEnd,"&gt;="&amp;DATE(YEAR($AC173),MONTH($AC173),1)),IF(OR(P$2="Fixed",P$2="Not Used"),(IF(COUNTIFS(EmpNo,$C173,OFFSET(Emp!$R$4,1,MATCH(P$5,DedListItem,0)-1,EmpCount,1),"&lt;&gt;")&gt;0,VLOOKUP($C173,EmpAll,COLUMN(Emp!$R$4)+MATCH(P$5,DedListItem,0)-1,0),OFFSET(Setup!$E$73,MATCH(P$5,DedListItem,0),0,1,1))*$AA173)-SUMIFS(OFFSET(P$6,1,0,PayCount,1),PayDate,"&lt;"&amp;$AC173,PayEmp,$C173),IF(ISNA(MATCH(P$2,EarnListItem,0))=FALSE,IF(OFFSET(Setup!$G$73,MATCH(P$5,DedListItem,0),0,1,1)="Taxable",SUMPRODUCT((PayEmp=$C173)*(PayDate&lt;=$AC173)*(PayEarnCode=P$2)*(PayEarnTax)*(PayEarnValues)),SUMPRODUCT((PayEmp=$C173)*(PayDate&lt;=$AC173)*(PayEarnCode=P$2)*(PayEarnValues)))*IF(COUNTIFS(EmpNo,$C173,OFFSET(Emp!$R$4,1,MATCH(P$5,DedListItem,0)-1,EmpCount,1),"&lt;&gt;")&gt;0,VLOOKUP($C173,EmpAll,COLUMN(Emp!$R$4)+MATCH(P$5,DedListItem,0)-1,0),OFFSET(Setup!$E$73,MATCH(P$5,DedListItem,0),0,1,1)),(MIN(IF(OFFSET(Setup!$G$73,MATCH(P$5,DedListItem,0),0,1,1)="Taxable",SUMPRODUCT((PayEmp=$C173)*(PayDate&lt;=$AC173)*(ISERROR(SEARCH(PayEarnCode,P$4)))*(PayEarnTax)*(PayEarnValues)),SUMPRODUCT((PayEmp=$C173)*(PayDate&lt;=$AC173)*(ISERROR(SEARCH(PayEarnCode,P$4)))*(PayEarnValues))),IF(ISNUMBER(P$3),P$3/12*$AA173,IgnoreMin)))*IF(COUNTIFS(EmpNo,$C173,OFFSET(Emp!$R$4,1,MATCH(P$5,DedListItem,0)-1,EmpCount,1),"&lt;&gt;")&gt;0,VLOOKUP($C173,EmpAll,COLUMN(Emp!$R$4)+MATCH(P$5,DedListItem,0)-1,0),OFFSET(Setup!$E$73,MATCH(P$5,DedListItem,0),0,1,1)))-SUMIFS(OFFSET(P$6,1,0,PayCount,1),PayDate,"&lt;"&amp;$AC173,PayEmp,$C173))))))</f>
        <v>0</v>
      </c>
      <c r="Q173" s="133" cm="1">
        <f t="array" aca="1" ref="Q173" ca="1">IF($F173="Terminated",0,IF($AA173=0,0,IF(ISNA(MATCH(Q$5,DedListItem,0)),0,IF(COUNTIFS(OverEmp,$C173,OverDeduct,Q$5,OverDate,"&lt;"&amp;DATE(YEAR($AC173),MONTH($AC173)+1,1),OverEnd,"&gt;="&amp;DATE(YEAR($AC173),MONTH($AC173),1))&gt;0,SUMIFS(OverValue,OverEmp,$C173,OverDeduct,Q$5,OverDate,"&lt;"&amp;DATE(YEAR($AC173),MONTH($AC173)+1,1),OverEnd,"&gt;="&amp;DATE(YEAR($AC173),MONTH($AC173),1)),IF(OR(Q$2="Fixed",Q$2="Not Used"),(IF(COUNTIFS(EmpNo,$C173,OFFSET(Emp!$R$4,1,MATCH(Q$5,DedListItem,0)-1,EmpCount,1),"&lt;&gt;")&gt;0,VLOOKUP($C173,EmpAll,COLUMN(Emp!$R$4)+MATCH(Q$5,DedListItem,0)-1,0),OFFSET(Setup!$E$73,MATCH(Q$5,DedListItem,0),0,1,1))*$AA173)-SUMIFS(OFFSET(Q$6,1,0,PayCount,1),PayDate,"&lt;"&amp;$AC173,PayEmp,$C173),IF(ISNA(MATCH(Q$2,EarnListItem,0))=FALSE,IF(OFFSET(Setup!$G$73,MATCH(Q$5,DedListItem,0),0,1,1)="Taxable",SUMPRODUCT((PayEmp=$C173)*(PayDate&lt;=$AC173)*(PayEarnCode=Q$2)*(PayEarnTax)*(PayEarnValues)),SUMPRODUCT((PayEmp=$C173)*(PayDate&lt;=$AC173)*(PayEarnCode=Q$2)*(PayEarnValues)))*IF(COUNTIFS(EmpNo,$C173,OFFSET(Emp!$R$4,1,MATCH(Q$5,DedListItem,0)-1,EmpCount,1),"&lt;&gt;")&gt;0,VLOOKUP($C173,EmpAll,COLUMN(Emp!$R$4)+MATCH(Q$5,DedListItem,0)-1,0),OFFSET(Setup!$E$73,MATCH(Q$5,DedListItem,0),0,1,1)),(MIN(IF(OFFSET(Setup!$G$73,MATCH(Q$5,DedListItem,0),0,1,1)="Taxable",SUMPRODUCT((PayEmp=$C173)*(PayDate&lt;=$AC173)*(ISERROR(SEARCH(PayEarnCode,Q$4)))*(PayEarnTax)*(PayEarnValues)),SUMPRODUCT((PayEmp=$C173)*(PayDate&lt;=$AC173)*(ISERROR(SEARCH(PayEarnCode,Q$4)))*(PayEarnValues))),IF(ISNUMBER(Q$3),Q$3/12*$AA173,IgnoreMin)))*IF(COUNTIFS(EmpNo,$C173,OFFSET(Emp!$R$4,1,MATCH(Q$5,DedListItem,0)-1,EmpCount,1),"&lt;&gt;")&gt;0,VLOOKUP($C173,EmpAll,COLUMN(Emp!$R$4)+MATCH(Q$5,DedListItem,0)-1,0),OFFSET(Setup!$E$73,MATCH(Q$5,DedListItem,0),0,1,1)))-SUMIFS(OFFSET(Q$6,1,0,PayCount,1),PayDate,"&lt;"&amp;$AC173,PayEmp,$C173))))))</f>
        <v>0</v>
      </c>
      <c r="R173" s="185">
        <f t="shared" ca="1" si="85"/>
        <v>43595.453333333375</v>
      </c>
      <c r="S173" s="139">
        <f t="shared" ca="1" si="86"/>
        <v>88404.55</v>
      </c>
      <c r="T173" s="133" cm="1">
        <f t="array" aca="1" ref="T173" ca="1">IF($F173="Terminated",0,IF($AA173=0,0,IF(ISNA(MATCH(T$5,CompListItem,0)),0,IF(COUNTIFS(OverEmp,$C173,OverComp,T$5,OverDate,"&lt;"&amp;DATE(YEAR($AC173),MONTH($AC173)+1,1),OverEnd,"&gt;="&amp;DATE(YEAR($AC173),MONTH($AC173),1))&gt;0,SUMIFS(OverValue,OverEmp,$C173,OverComp,T$5,OverDate,"&lt;"&amp;DATE(YEAR($AC173),MONTH($AC173)+1,1),OverEnd,"&gt;="&amp;DATE(YEAR($AC173),MONTH($AC173),1)),IF(OR(T$2="Fixed",T$2="Not Used"),(OFFSET(Setup!$E$81,MATCH(T$5,CompListItem,0),0,1,1)*$AA173)-SUMIFS(OFFSET(T$6,1,0,PayCount,1),PayDate,"&lt;"&amp;$AC173,PayEmp,$C173),IF(ISNA(MATCH(T$2,DedListItem,0))=FALSE,(SUMPRODUCT((PayEmp=$C173)*(PayDate&lt;=$AC173)*(PayDedList=T$2)*(PayDedValues))*OFFSET(Setup!$E$81,MATCH(T$5,CompListItem,0),0,1,1))-SUMIFS(OFFSET(T$6,1,0,PayCount,1),PayDate,"&lt;"&amp;$AC173,PayEmp,$C173),(MIN(IF(OFFSET(Setup!$G$81,MATCH(T$5,CompListItem,0),0,1,1)="Taxable",SUMPRODUCT((PayEmp=$C173)*(PayDate&lt;=$AC173)*(ISERROR(SEARCH(PayEarnCode,T$4)))*(PayEarnTax)*(PayEarnValues)),SUMPRODUCT((PayEmp=$C173)*(PayDate&lt;=$AC173)*(ISERROR(SEARCH(PayEarnCode,T$4)))*(PayEarnValues))),IF(ISNUMBER(T$3),T$3/12*$AA173,IgnoreMin)))*OFFSET(Setup!$E$81,MATCH(T$5,CompListItem,0),0,1,1)-SUMIFS(OFFSET(T$6,1,0,PayCount,1),PayDate,"&lt;"&amp;$AC173,PayEmp,$C173)))))))</f>
        <v>177.12000000000012</v>
      </c>
      <c r="U173" s="133" cm="1">
        <f t="array" aca="1" ref="U173" ca="1">IF($F173="Terminated",0,IF($AA173=0,0,IF(ISNA(MATCH(U$5,CompListItem,0)),0,IF(COUNTIFS(OverEmp,$C173,OverComp,U$5,OverDate,"&lt;"&amp;DATE(YEAR($AC173),MONTH($AC173)+1,1),OverEnd,"&gt;="&amp;DATE(YEAR($AC173),MONTH($AC173),1))&gt;0,SUMIFS(OverValue,OverEmp,$C173,OverComp,U$5,OverDate,"&lt;"&amp;DATE(YEAR($AC173),MONTH($AC173)+1,1),OverEnd,"&gt;="&amp;DATE(YEAR($AC173),MONTH($AC173),1)),IF(OR(U$2="Fixed",U$2="Not Used"),(OFFSET(Setup!$E$81,MATCH(U$5,CompListItem,0),0,1,1)*$AA173)-SUMIFS(OFFSET(U$6,1,0,PayCount,1),PayDate,"&lt;"&amp;$AC173,PayEmp,$C173),IF(ISNA(MATCH(U$2,DedListItem,0))=FALSE,(SUMPRODUCT((PayEmp=$C173)*(PayDate&lt;=$AC173)*(PayDedList=U$2)*(PayDedValues))*OFFSET(Setup!$E$81,MATCH(U$5,CompListItem,0),0,1,1))-SUMIFS(OFFSET(U$6,1,0,PayCount,1),PayDate,"&lt;"&amp;$AC173,PayEmp,$C173),(MIN(IF(OFFSET(Setup!$G$81,MATCH(U$5,CompListItem,0),0,1,1)="Taxable",SUMPRODUCT((PayEmp=$C173)*(PayDate&lt;=$AC173)*(ISERROR(SEARCH(PayEarnCode,U$4)))*(PayEarnTax)*(PayEarnValues)),SUMPRODUCT((PayEmp=$C173)*(PayDate&lt;=$AC173)*(ISERROR(SEARCH(PayEarnCode,U$4)))*(PayEarnValues))),IF(ISNUMBER(U$3),U$3/12*$AA173,IgnoreMin)))*OFFSET(Setup!$E$81,MATCH(U$5,CompListItem,0),0,1,1)-SUMIFS(OFFSET(U$6,1,0,PayCount,1),PayDate,"&lt;"&amp;$AC173,PayEmp,$C173)))))))</f>
        <v>1320</v>
      </c>
      <c r="V173" s="133" cm="1">
        <f t="array" aca="1" ref="V173" ca="1">IF($F173="Terminated",0,IF($AA173=0,0,IF(ISNA(MATCH(V$5,CompListItem,0)),0,IF(COUNTIFS(OverEmp,$C173,OverComp,V$5,OverDate,"&lt;"&amp;DATE(YEAR($AC173),MONTH($AC173)+1,1),OverEnd,"&gt;="&amp;DATE(YEAR($AC173),MONTH($AC173),1))&gt;0,SUMIFS(OverValue,OverEmp,$C173,OverComp,V$5,OverDate,"&lt;"&amp;DATE(YEAR($AC173),MONTH($AC173)+1,1),OverEnd,"&gt;="&amp;DATE(YEAR($AC173),MONTH($AC173),1)),IF(OR(V$2="Fixed",V$2="Not Used"),(OFFSET(Setup!$E$81,MATCH(V$5,CompListItem,0),0,1,1)*$AA173)-SUMIFS(OFFSET(V$6,1,0,PayCount,1),PayDate,"&lt;"&amp;$AC173,PayEmp,$C173),IF(ISNA(MATCH(V$2,DedListItem,0))=FALSE,(SUMPRODUCT((PayEmp=$C173)*(PayDate&lt;=$AC173)*(PayDedList=V$2)*(PayDedValues))*OFFSET(Setup!$E$81,MATCH(V$5,CompListItem,0),0,1,1))-SUMIFS(OFFSET(V$6,1,0,PayCount,1),PayDate,"&lt;"&amp;$AC173,PayEmp,$C173),(MIN(IF(OFFSET(Setup!$G$81,MATCH(V$5,CompListItem,0),0,1,1)="Taxable",SUMPRODUCT((PayEmp=$C173)*(PayDate&lt;=$AC173)*(ISERROR(SEARCH(PayEarnCode,V$4)))*(PayEarnTax)*(PayEarnValues)),SUMPRODUCT((PayEmp=$C173)*(PayDate&lt;=$AC173)*(ISERROR(SEARCH(PayEarnCode,V$4)))*(PayEarnValues))),IF(ISNUMBER(V$3),V$3/12*$AA173,IgnoreMin)))*OFFSET(Setup!$E$81,MATCH(V$5,CompListItem,0),0,1,1)-SUMIFS(OFFSET(V$6,1,0,PayCount,1),PayDate,"&lt;"&amp;$AC173,PayEmp,$C173)))))))</f>
        <v>0</v>
      </c>
      <c r="W173" s="133" cm="1">
        <f t="array" aca="1" ref="W173" ca="1">IF($F173="Terminated",0,IF($AA173=0,0,IF(ISNA(MATCH(W$5,CompListItem,0)),0,IF(COUNTIFS(OverEmp,$C173,OverComp,W$5,OverDate,"&lt;"&amp;DATE(YEAR($AC173),MONTH($AC173)+1,1),OverEnd,"&gt;="&amp;DATE(YEAR($AC173),MONTH($AC173),1))&gt;0,SUMIFS(OverValue,OverEmp,$C173,OverComp,W$5,OverDate,"&lt;"&amp;DATE(YEAR($AC173),MONTH($AC173)+1,1),OverEnd,"&gt;="&amp;DATE(YEAR($AC173),MONTH($AC173),1)),IF(OR(W$2="Fixed",W$2="Not Used"),(OFFSET(Setup!$E$81,MATCH(W$5,CompListItem,0),0,1,1)*$AA173)-SUMIFS(OFFSET(W$6,1,0,PayCount,1),PayDate,"&lt;"&amp;$AC173,PayEmp,$C173),IF(ISNA(MATCH(W$2,DedListItem,0))=FALSE,(SUMPRODUCT((PayEmp=$C173)*(PayDate&lt;=$AC173)*(PayDedList=W$2)*(PayDedValues))*OFFSET(Setup!$E$81,MATCH(W$5,CompListItem,0),0,1,1))-SUMIFS(OFFSET(W$6,1,0,PayCount,1),PayDate,"&lt;"&amp;$AC173,PayEmp,$C173),(MIN(IF(OFFSET(Setup!$G$81,MATCH(W$5,CompListItem,0),0,1,1)="Taxable",SUMPRODUCT((PayEmp=$C173)*(PayDate&lt;=$AC173)*(ISERROR(SEARCH(PayEarnCode,W$4)))*(PayEarnTax)*(PayEarnValues)),SUMPRODUCT((PayEmp=$C173)*(PayDate&lt;=$AC173)*(ISERROR(SEARCH(PayEarnCode,W$4)))*(PayEarnValues))),IF(ISNUMBER(W$3),W$3/12*$AA173,IgnoreMin)))*OFFSET(Setup!$E$81,MATCH(W$5,CompListItem,0),0,1,1)-SUMIFS(OFFSET(W$6,1,0,PayCount,1),PayDate,"&lt;"&amp;$AC173,PayEmp,$C173)))))))</f>
        <v>0</v>
      </c>
      <c r="X173" s="185">
        <f t="shared" ca="1" si="78"/>
        <v>1497.1200000000001</v>
      </c>
      <c r="Y173" s="139">
        <f t="shared" ca="1" si="87"/>
        <v>133497.12</v>
      </c>
      <c r="Z173" s="139">
        <f t="shared" ca="1" si="79"/>
        <v>45092.57</v>
      </c>
      <c r="AA173" s="146">
        <f ca="1">IF(OR($B173&lt;=Setup!$E$12,$B173&gt;=Setup!$D$12+1),0,IF($F173&lt;&gt;"Active",0,IF($AE173="Yes",$AB173,((YEAR($AC173)*12)+MONTH($AC173))-((YEAR($AD173)*12)+MONTH($AD173)-1))))</f>
        <v>12</v>
      </c>
      <c r="AB173" s="146">
        <f ca="1">IF(OR($B173&lt;=Setup!$E$12,$B173&gt;=Setup!$D$12+1),0,((YEAR($AC173)*12)+MONTH($AC173))-((YEAR(Setup!$E$12)*12)+MONTH(Setup!$E$12)))</f>
        <v>12</v>
      </c>
      <c r="AC173" s="186">
        <f t="shared" ca="1" si="83"/>
        <v>45347</v>
      </c>
      <c r="AD173" s="144">
        <f ca="1">IF(ISNA(VLOOKUP($C173,EmpAll,COLUMN(Emp!$E$4),0)),$AC173,IF(VLOOKUP($C173,EmpAll,COLUMN(Emp!$E$4),0)&lt;=Setup!$E$12,DATE(YEAR(Setup!$E$12),MONTH(Setup!$E$12)+1,1),VLOOKUP($C173,EmpAll,COLUMN(Emp!$E$4),0)))</f>
        <v>44986</v>
      </c>
      <c r="AE173" s="144" t="str">
        <f ca="1">IF(ISNA(VLOOKUP($C173,EmpAll,COLUMN(Emp!$G$1),0)),"-",IF(VLOOKUP($C173,EmpAll,COLUMN(Emp!$G$1),0)=0,"-",VLOOKUP($C173,EmpAll,COLUMN(Emp!$G$1),0)))</f>
        <v>-</v>
      </c>
      <c r="AF173" s="145">
        <f ca="1">IF(A173=PaySlip!$G$3,1,0)</f>
        <v>0</v>
      </c>
      <c r="AG173" s="130" cm="1">
        <f t="array" aca="1" ref="AG173" ca="1">IF(COUNTIFS(OverEmp,$C173,OverMed,"MED",OverDate,"&lt;"&amp;DATE(YEAR($AC173),MONTH($AC173)+1,1),OverEnd,"&gt;="&amp;DATE(YEAR($AC173),MONTH($AC173),1))&gt;0,SUMIFS(OverValue,OverEmp,$C173,OverMed,"MED",OverDate,"&lt;"&amp;DATE(YEAR($AC173),MONTH($AC173)+1,1),OverEnd,"&gt;="&amp;DATE(YEAR($AC173),MONTH($AC173),1)),IF(ISNA(VLOOKUP($C173,EmpAll,COLUMN(Emp!$N$4),0)),0,VLOOKUP($C173,EmpAll,COLUMN(Emp!$N$4),0)))</f>
        <v>3</v>
      </c>
      <c r="AH173" s="146">
        <f ca="1">VLOOKUP($AG173,MedList,COLUMN(Setup!$C$49),1)</f>
        <v>974</v>
      </c>
      <c r="AI173" s="146">
        <f t="shared" ca="1" si="70"/>
        <v>10704</v>
      </c>
      <c r="AJ173" s="101" t="str">
        <f ca="1">IF(ISNA(VLOOKUP($C173,EmpAll,COLUMN(Emp!$L$4),0)),"None!",VLOOKUP($C173,EmpAll,COLUMN(Emp!$L$4),0))</f>
        <v>A</v>
      </c>
      <c r="AK173" s="147">
        <f t="shared" ca="1" si="80"/>
        <v>17235</v>
      </c>
      <c r="AL173" s="101" t="str">
        <f ca="1">IF(ISNA(VLOOKUP($C173,Employees[],COLUMN(Emp!$M$4),0))=TRUE,"Error!",IF(VLOOKUP($C173,Employees[],COLUMN(Emp!$M$4),0)=0,"Yes",VLOOKUP($C173,Employees[],COLUMN(Emp!$M$4),0)))</f>
        <v>A</v>
      </c>
      <c r="AM173" s="148">
        <f t="shared" ca="1" si="71"/>
        <v>1584000</v>
      </c>
      <c r="AN173" s="148" cm="1">
        <f t="array" aca="1" ref="AN173" ca="1">-IF($F173="Terminated",0,IF($AA173=0,0,IF(ISNA(MATCH(AN$5,PayDedList,0)),0,MIN(IF(COUNTIFS(OverEmp,$C173,OverDeduct,AN$5,OverDate,"&lt;"&amp;DATE(YEAR($AC173),MONTH($AC173)+1,1),OverEnd,"&gt;="&amp;DATE(YEAR($AC173),MONTH($AC173),1))&gt;0,SUMPRODUCT((PayEmp=$C173)*(PayDate&lt;=$AC173)*(OFFSET($N$6,1,MATCH(AN$5,PayDedList,0)-1,PayCount,1)))/$AA173*12*AN$3,IF(OR(AN$1="Fixed",AN$1="Not Used"),SUMPRODUCT((PayEmp=$C173)*(PayDate&lt;=$AC173)*(OFFSET($N$6,1,MATCH(AN$5,PayDedList,0)-1,PayCount,1)))/$AA173*12*AN$3,IF(ISNA(MATCH(AN$1,EarnListItem,0))=FALSE,SUMPRODUCT((PayEmp=$C173)*(PayDate&lt;=$AC173)*(OFFSET($N$6,1,MATCH(AN$5,PayDedList,0)-1,PayCount,1)))/$AA173*12*AN$3,(MIN(((SUMPRODUCT((PayEmp=$C173)*(PayDate&lt;=$AC173)*(ISERROR(SEARCH(PayEarnCode,AN$2)))*(PayEarnType="Monthly")*(PayEarnValues))/$AA173*12)+(SUMPRODUCT((PayEmp=$C173)*(PayDate&lt;=$AC173)*(ISERROR(SEARCH(PayEarnCode,AN$2)))*(PayEarnType="Quarterly")*(PayEarnValues))/MAX(1,ROUNDDOWN($AB173/3,0))*4)+(SUMPRODUCT((PayEmp=$C173)*(PayDate&lt;=$AC173)*(ISERROR(SEARCH(PayEarnCode,AN$2)))*(PayEarnType="Bi-Annual")*(PayEarnValues))/MAX(1,ROUNDDOWN($AB173/6,0))*2)+(SUMPRODUCT((PayEmp=$C173)*(PayDate&lt;=$AC173)*(ISERROR(SEARCH(PayEarnCode,AN$2)))*(PayEarnType="Annual")*(PayEarnValues)))),IF(ISNUMBER(OFFSET($N$3,0,MATCH(AN$5,PayDedList,0)-1,1,1)),OFFSET($N$3,0,MATCH(AN$5,PayDedList,0)-1,1,1),IgnoreMin)))*IF(COUNTIFS(EmpNo,$C173,OFFSET(Emp!$R$4,1,MATCH(AN$5,DedListItem,0)-1,EmpCount,1),"&lt;&gt;")&gt;0,VLOOKUP($C173,EmpAll,COLUMN(Emp!$R$4)+MATCH(AN$5,DedListItem,0)-1,0),OFFSET(Setup!$E$73,MATCH(AN$5,DedListItem,0),0,1,1))*AN$3))),IF(ISNUMBER(AN$4),AN$4,IgnoreMin)))))</f>
        <v>0</v>
      </c>
      <c r="AO173" s="148" cm="1">
        <f t="array" aca="1" ref="AO173" ca="1">-IF($F173="Terminated",0,IF($AA173=0,0,IF(ISNA(MATCH(AO$5,PayDedList,0)),0,MIN(IF(COUNTIFS(OverEmp,$C173,OverDeduct,AO$5,OverDate,"&lt;"&amp;DATE(YEAR($AC173),MONTH($AC173)+1,1),OverEnd,"&gt;="&amp;DATE(YEAR($AC173),MONTH($AC173),1))&gt;0,SUMPRODUCT((PayEmp=$C173)*(PayDate&lt;=$AC173)*(OFFSET($N$6,1,MATCH(AO$5,PayDedList,0)-1,PayCount,1)))/$AA173*12*AO$3,IF(OR(AO$1="Fixed",AO$1="Not Used"),SUMPRODUCT((PayEmp=$C173)*(PayDate&lt;=$AC173)*(OFFSET($N$6,1,MATCH(AO$5,PayDedList,0)-1,PayCount,1)))/$AA173*12*AO$3,IF(ISNA(MATCH(AO$1,EarnListItem,0))=FALSE,SUMPRODUCT((PayEmp=$C173)*(PayDate&lt;=$AC173)*(OFFSET($N$6,1,MATCH(AO$5,PayDedList,0)-1,PayCount,1)))/$AA173*12*AO$3,(MIN(((SUMPRODUCT((PayEmp=$C173)*(PayDate&lt;=$AC173)*(ISERROR(SEARCH(PayEarnCode,AO$2)))*(PayEarnType="Monthly")*(PayEarnValues))/$AA173*12)+(SUMPRODUCT((PayEmp=$C173)*(PayDate&lt;=$AC173)*(ISERROR(SEARCH(PayEarnCode,AO$2)))*(PayEarnType="Quarterly")*(PayEarnValues))/MAX(1,ROUNDDOWN($AB173/3,0))*4)+(SUMPRODUCT((PayEmp=$C173)*(PayDate&lt;=$AC173)*(ISERROR(SEARCH(PayEarnCode,AO$2)))*(PayEarnType="Bi-Annual")*(PayEarnValues))/MAX(1,ROUNDDOWN($AB173/6,0))*2)+(SUMPRODUCT((PayEmp=$C173)*(PayDate&lt;=$AC173)*(ISERROR(SEARCH(PayEarnCode,AO$2)))*(PayEarnType="Annual")*(PayEarnValues)))),IF(ISNUMBER(OFFSET($N$3,0,MATCH(AO$5,PayDedList,0)-1,1,1)),OFFSET($N$3,0,MATCH(AO$5,PayDedList,0)-1,1,1),IgnoreMin)))*IF(COUNTIFS(EmpNo,$C173,OFFSET(Emp!$R$4,1,MATCH(AO$5,DedListItem,0)-1,EmpCount,1),"&lt;&gt;")&gt;0,VLOOKUP($C173,EmpAll,COLUMN(Emp!$R$4)+MATCH(AO$5,DedListItem,0)-1,0),OFFSET(Setup!$E$73,MATCH(AO$5,DedListItem,0),0,1,1))*AO$3))),IF(ISNUMBER(AO$4),AO$4,IgnoreMin)))))</f>
        <v>0</v>
      </c>
      <c r="AP173" s="148" cm="1">
        <f t="array" aca="1" ref="AP173" ca="1">-IF($F173="Terminated",0,IF($AA173=0,0,IF(ISNA(MATCH(AP$5,PayDedList,0)),0,MIN(IF(COUNTIFS(OverEmp,$C173,OverDeduct,AP$5,OverDate,"&lt;"&amp;DATE(YEAR($AC173),MONTH($AC173)+1,1),OverEnd,"&gt;="&amp;DATE(YEAR($AC173),MONTH($AC173),1))&gt;0,SUMPRODUCT((PayEmp=$C173)*(PayDate&lt;=$AC173)*(OFFSET($N$6,1,MATCH(AP$5,PayDedList,0)-1,PayCount,1)))/$AA173*12*AP$3,IF(OR(AP$1="Fixed",AP$1="Not Used"),SUMPRODUCT((PayEmp=$C173)*(PayDate&lt;=$AC173)*(OFFSET($N$6,1,MATCH(AP$5,PayDedList,0)-1,PayCount,1)))/$AA173*12*AP$3,IF(ISNA(MATCH(AP$1,EarnListItem,0))=FALSE,SUMPRODUCT((PayEmp=$C173)*(PayDate&lt;=$AC173)*(OFFSET($N$6,1,MATCH(AP$5,PayDedList,0)-1,PayCount,1)))/$AA173*12*AP$3,(MIN(((SUMPRODUCT((PayEmp=$C173)*(PayDate&lt;=$AC173)*(ISERROR(SEARCH(PayEarnCode,AP$2)))*(PayEarnType="Monthly")*(PayEarnValues))/$AA173*12)+(SUMPRODUCT((PayEmp=$C173)*(PayDate&lt;=$AC173)*(ISERROR(SEARCH(PayEarnCode,AP$2)))*(PayEarnType="Quarterly")*(PayEarnValues))/MAX(1,ROUNDDOWN($AB173/3,0))*4)+(SUMPRODUCT((PayEmp=$C173)*(PayDate&lt;=$AC173)*(ISERROR(SEARCH(PayEarnCode,AP$2)))*(PayEarnType="Bi-Annual")*(PayEarnValues))/MAX(1,ROUNDDOWN($AB173/6,0))*2)+(SUMPRODUCT((PayEmp=$C173)*(PayDate&lt;=$AC173)*(ISERROR(SEARCH(PayEarnCode,AP$2)))*(PayEarnType="Annual")*(PayEarnValues)))),IF(ISNUMBER(OFFSET($N$3,0,MATCH(AP$5,PayDedList,0)-1,1,1)),OFFSET($N$3,0,MATCH(AP$5,PayDedList,0)-1,1,1),IgnoreMin)))*IF(COUNTIFS(EmpNo,$C173,OFFSET(Emp!$R$4,1,MATCH(AP$5,DedListItem,0)-1,EmpCount,1),"&lt;&gt;")&gt;0,VLOOKUP($C173,EmpAll,COLUMN(Emp!$R$4)+MATCH(AP$5,DedListItem,0)-1,0),OFFSET(Setup!$E$73,MATCH(AP$5,DedListItem,0),0,1,1))*AP$3))),IF(ISNUMBER(AP$4),AP$4,IgnoreMin)))))</f>
        <v>0</v>
      </c>
      <c r="AQ173" s="148" cm="1">
        <f t="array" aca="1" ref="AQ173" ca="1">-IF($F173="Terminated",0,IF($AA173=0,0,IF(ISNA(MATCH(AQ$5,PayDedList,0)),0,MIN(IF(COUNTIFS(OverEmp,$C173,OverDeduct,AQ$5,OverDate,"&lt;"&amp;DATE(YEAR($AC173),MONTH($AC173)+1,1),OverEnd,"&gt;="&amp;DATE(YEAR($AC173),MONTH($AC173),1))&gt;0,SUMPRODUCT((PayEmp=$C173)*(PayDate&lt;=$AC173)*(OFFSET($N$6,1,MATCH(AQ$5,PayDedList,0)-1,PayCount,1)))/$AA173*12*AQ$3,IF(OR(AQ$1="Fixed",AQ$1="Not Used"),SUMPRODUCT((PayEmp=$C173)*(PayDate&lt;=$AC173)*(OFFSET($N$6,1,MATCH(AQ$5,PayDedList,0)-1,PayCount,1)))/$AA173*12*AQ$3,IF(ISNA(MATCH(AQ$1,EarnListItem,0))=FALSE,SUMPRODUCT((PayEmp=$C173)*(PayDate&lt;=$AC173)*(OFFSET($N$6,1,MATCH(AQ$5,PayDedList,0)-1,PayCount,1)))/$AA173*12*AQ$3,(MIN(((SUMPRODUCT((PayEmp=$C173)*(PayDate&lt;=$AC173)*(ISERROR(SEARCH(PayEarnCode,AQ$2)))*(PayEarnType="Monthly")*(PayEarnValues))/$AA173*12)+(SUMPRODUCT((PayEmp=$C173)*(PayDate&lt;=$AC173)*(ISERROR(SEARCH(PayEarnCode,AQ$2)))*(PayEarnType="Quarterly")*(PayEarnValues))/MAX(1,ROUNDDOWN($AB173/3,0))*4)+(SUMPRODUCT((PayEmp=$C173)*(PayDate&lt;=$AC173)*(ISERROR(SEARCH(PayEarnCode,AQ$2)))*(PayEarnType="Bi-Annual")*(PayEarnValues))/MAX(1,ROUNDDOWN($AB173/6,0))*2)+(SUMPRODUCT((PayEmp=$C173)*(PayDate&lt;=$AC173)*(ISERROR(SEARCH(PayEarnCode,AQ$2)))*(PayEarnType="Annual")*(PayEarnValues)))),IF(ISNUMBER(OFFSET($N$3,0,MATCH(AQ$5,PayDedList,0)-1,1,1)),OFFSET($N$3,0,MATCH(AQ$5,PayDedList,0)-1,1,1),IgnoreMin)))*IF(COUNTIFS(EmpNo,$C173,OFFSET(Emp!$R$4,1,MATCH(AQ$5,DedListItem,0)-1,EmpCount,1),"&lt;&gt;")&gt;0,VLOOKUP($C173,EmpAll,COLUMN(Emp!$R$4)+MATCH(AQ$5,DedListItem,0)-1,0),OFFSET(Setup!$E$73,MATCH(AQ$5,DedListItem,0),0,1,1))*AQ$3))),IF(ISNUMBER(AQ$4),AQ$4,IgnoreMin)))))</f>
        <v>0</v>
      </c>
      <c r="AR173" s="148">
        <f t="shared" ca="1" si="81"/>
        <v>1584000</v>
      </c>
      <c r="AS173" s="148">
        <f t="shared" ca="1" si="72"/>
        <v>1464000</v>
      </c>
      <c r="AT173" s="148" cm="1">
        <f t="array" aca="1" ref="AT173" ca="1">-IF($F173="Terminated",0,IF($AA173=0,0,IF(ISNA(MATCH(AT$5,PayDedList,0)),0,MIN(IF(COUNTIFS(OverEmp,$C173,OverDeduct,AT$5,OverDate,"&lt;"&amp;DATE(YEAR($AC173),MONTH($AC173)+1,1),OverEnd,"&gt;="&amp;DATE(YEAR($AC173),MONTH($AC173),1))&gt;0,SUMPRODUCT((PayEmp=$C173)*(PayDate&lt;=$AC173)*(OFFSET($N$6,1,MATCH(AT$5,PayDedList,0)-1,PayCount,1)))/$AA173*12*AT$3,IF(OR(AT$1="Fixed",AT$1="Not Used"),SUMPRODUCT((PayEmp=$C173)*(PayDate&lt;=$AC173)*(OFFSET($N$6,1,MATCH(AT$5,PayDedList,0)-1,PayCount,1)))/$AA173*12*AT$3,IF(ISNA(MATCH(OFFSET($N$2,0,MATCH(AT$5,PayDedList,0)-1,1,1),EarnListItem,0))=FALSE,SUMPRODUCT((PayEmp=$C173)*(PayDate&lt;=$AC173)*(OFFSET($N$6,1,MATCH(AT$5,PayDedList,0)-1,PayCount,1)))/$AA173*12*AT$3,(MIN(SUMPRODUCT((PayEmp=$C173)*(PayDate&lt;=$AC173)*(ISERROR(SEARCH(PayEarnCode,AT$2)))*(PayEarnType="Monthly")*(PayEarnValues))/$AA173*12,IF(ISNUMBER(OFFSET($N$3,0,MATCH(AT$5,PayDedList,0)-1,1,1)),OFFSET($N$3,0,MATCH(AT$5,PayDedList,0)-1,1,1),IgnoreMin)))*IF(COUNTIFS(EmpNo,$C173,OFFSET(Emp!$R$4,1,MATCH(AT$5,DedListItem,0)-1,EmpCount,1),"&lt;&gt;")&gt;0,VLOOKUP($C173,EmpAll,COLUMN(Emp!$R$4)+MATCH(AT$5,DedListItem,0)-1,0),OFFSET(Setup!$E$73,MATCH(AT$5,DedListItem,0),0,1,1))*AT$3))),IF(ISNUMBER(AT$4),AT$4,IgnoreMin)))))</f>
        <v>0</v>
      </c>
      <c r="AU173" s="148" cm="1">
        <f t="array" aca="1" ref="AU173" ca="1">-IF($F173="Terminated",0,IF($AA173=0,0,IF(ISNA(MATCH(AU$5,PayDedList,0)),0,MIN(IF(COUNTIFS(OverEmp,$C173,OverDeduct,AU$5,OverDate,"&lt;"&amp;DATE(YEAR($AC173),MONTH($AC173)+1,1),OverEnd,"&gt;="&amp;DATE(YEAR($AC173),MONTH($AC173),1))&gt;0,SUMPRODUCT((PayEmp=$C173)*(PayDate&lt;=$AC173)*(OFFSET($N$6,1,MATCH(AU$5,PayDedList,0)-1,PayCount,1)))/$AA173*12*AU$3,IF(OR(AU$1="Fixed",AU$1="Not Used"),SUMPRODUCT((PayEmp=$C173)*(PayDate&lt;=$AC173)*(OFFSET($N$6,1,MATCH(AU$5,PayDedList,0)-1,PayCount,1)))/$AA173*12*AU$3,IF(ISNA(MATCH(OFFSET($N$2,0,MATCH(AU$5,PayDedList,0)-1,1,1),EarnListItem,0))=FALSE,SUMPRODUCT((PayEmp=$C173)*(PayDate&lt;=$AC173)*(OFFSET($N$6,1,MATCH(AU$5,PayDedList,0)-1,PayCount,1)))/$AA173*12*AU$3,(MIN(SUMPRODUCT((PayEmp=$C173)*(PayDate&lt;=$AC173)*(ISERROR(SEARCH(PayEarnCode,AU$2)))*(PayEarnType="Monthly")*(PayEarnValues))/$AA173*12,IF(ISNUMBER(OFFSET($N$3,0,MATCH(AU$5,PayDedList,0)-1,1,1)),OFFSET($N$3,0,MATCH(AU$5,PayDedList,0)-1,1,1),IgnoreMin)))*IF(COUNTIFS(EmpNo,$C173,OFFSET(Emp!$R$4,1,MATCH(AU$5,DedListItem,0)-1,EmpCount,1),"&lt;&gt;")&gt;0,VLOOKUP($C173,EmpAll,COLUMN(Emp!$R$4)+MATCH(AU$5,DedListItem,0)-1,0),OFFSET(Setup!$E$73,MATCH(AU$5,DedListItem,0),0,1,1))*AU$3))),IF(ISNUMBER(AU$4),AU$4,IgnoreMin)))))</f>
        <v>0</v>
      </c>
      <c r="AV173" s="148" cm="1">
        <f t="array" aca="1" ref="AV173" ca="1">-IF($F173="Terminated",0,IF($AA173=0,0,IF(ISNA(MATCH(AV$5,PayDedList,0)),0,MIN(IF(COUNTIFS(OverEmp,$C173,OverDeduct,AV$5,OverDate,"&lt;"&amp;DATE(YEAR($AC173),MONTH($AC173)+1,1),OverEnd,"&gt;="&amp;DATE(YEAR($AC173),MONTH($AC173),1))&gt;0,SUMPRODUCT((PayEmp=$C173)*(PayDate&lt;=$AC173)*(OFFSET($N$6,1,MATCH(AV$5,PayDedList,0)-1,PayCount,1)))/$AA173*12*AV$3,IF(OR(AV$1="Fixed",AV$1="Not Used"),SUMPRODUCT((PayEmp=$C173)*(PayDate&lt;=$AC173)*(OFFSET($N$6,1,MATCH(AV$5,PayDedList,0)-1,PayCount,1)))/$AA173*12*AV$3,IF(ISNA(MATCH(OFFSET($N$2,0,MATCH(AV$5,PayDedList,0)-1,1,1),EarnListItem,0))=FALSE,SUMPRODUCT((PayEmp=$C173)*(PayDate&lt;=$AC173)*(OFFSET($N$6,1,MATCH(AV$5,PayDedList,0)-1,PayCount,1)))/$AA173*12*AV$3,(MIN(SUMPRODUCT((PayEmp=$C173)*(PayDate&lt;=$AC173)*(ISERROR(SEARCH(PayEarnCode,AV$2)))*(PayEarnType="Monthly")*(PayEarnValues))/$AA173*12,IF(ISNUMBER(OFFSET($N$3,0,MATCH(AV$5,PayDedList,0)-1,1,1)),OFFSET($N$3,0,MATCH(AV$5,PayDedList,0)-1,1,1),IgnoreMin)))*IF(COUNTIFS(EmpNo,$C173,OFFSET(Emp!$R$4,1,MATCH(AV$5,DedListItem,0)-1,EmpCount,1),"&lt;&gt;")&gt;0,VLOOKUP($C173,EmpAll,COLUMN(Emp!$R$4)+MATCH(AV$5,DedListItem,0)-1,0),OFFSET(Setup!$E$73,MATCH(AV$5,DedListItem,0),0,1,1))*AV$3))),IF(ISNUMBER(AV$4),AV$4,IgnoreMin)))))</f>
        <v>0</v>
      </c>
      <c r="AW173" s="148" cm="1">
        <f t="array" aca="1" ref="AW173" ca="1">-IF($F173="Terminated",0,IF($AA173=0,0,IF(ISNA(MATCH(AW$5,PayDedList,0)),0,MIN(IF(COUNTIFS(OverEmp,$C173,OverDeduct,AW$5,OverDate,"&lt;"&amp;DATE(YEAR($AC173),MONTH($AC173)+1,1),OverEnd,"&gt;="&amp;DATE(YEAR($AC173),MONTH($AC173),1))&gt;0,SUMPRODUCT((PayEmp=$C173)*(PayDate&lt;=$AC173)*(OFFSET($N$6,1,MATCH(AW$5,PayDedList,0)-1,PayCount,1)))/$AA173*12*AW$3,IF(OR(AW$1="Fixed",AW$1="Not Used"),SUMPRODUCT((PayEmp=$C173)*(PayDate&lt;=$AC173)*(OFFSET($N$6,1,MATCH(AW$5,PayDedList,0)-1,PayCount,1)))/$AA173*12*AW$3,IF(ISNA(MATCH(OFFSET($N$2,0,MATCH(AW$5,PayDedList,0)-1,1,1),EarnListItem,0))=FALSE,SUMPRODUCT((PayEmp=$C173)*(PayDate&lt;=$AC173)*(OFFSET($N$6,1,MATCH(AW$5,PayDedList,0)-1,PayCount,1)))/$AA173*12*AW$3,(MIN(SUMPRODUCT((PayEmp=$C173)*(PayDate&lt;=$AC173)*(ISERROR(SEARCH(PayEarnCode,AW$2)))*(PayEarnType="Monthly")*(PayEarnValues))/$AA173*12,IF(ISNUMBER(OFFSET($N$3,0,MATCH(AW$5,PayDedList,0)-1,1,1)),OFFSET($N$3,0,MATCH(AW$5,PayDedList,0)-1,1,1),IgnoreMin)))*IF(COUNTIFS(EmpNo,$C173,OFFSET(Emp!$R$4,1,MATCH(AW$5,DedListItem,0)-1,EmpCount,1),"&lt;&gt;")&gt;0,VLOOKUP($C173,EmpAll,COLUMN(Emp!$R$4)+MATCH(AW$5,DedListItem,0)-1,0),OFFSET(Setup!$E$73,MATCH(AW$5,DedListItem,0),0,1,1))*AW$3))),IF(ISNUMBER(AW$4),AW$4,IgnoreMin)))))</f>
        <v>0</v>
      </c>
      <c r="AX173" s="148">
        <f t="shared" ca="1" si="88"/>
        <v>1464000</v>
      </c>
      <c r="AY173" s="148">
        <f t="shared" ca="1" si="89"/>
        <v>120000</v>
      </c>
      <c r="AZ173" s="148">
        <f ca="1">IF(ISNUMBER($AL173),($AR173*$AL173)-$AI173-$AK173,MAX(0,IF($AL173="B",IF($AR173&lt;Setup!$C$32,($AR173*Setup!$D$32)-$AI173-$AK173,(($AR173-VLOOKUP($AR173,TaxAll2,1,1))*OFFSET(Setup!$D$32,MATCH($AR173,TaxBracket2,1),0,1,1))+OFFSET(Setup!$E$31,MATCH($AR173,TaxBracket2,1),0,1,1)-$AI173-$AK173),IF($AR173&lt;Setup!$C$21,($AR173*Setup!$D$21)-$AI173-$AK173,(($AR173-VLOOKUP($AR173,TaxAll1,1,1))*OFFSET(Setup!$D$21,MATCH($AR173,TaxBracket1,1),0,1,1))+OFFSET(Setup!$E$20,MATCH($AR173,TaxBracket1,1),0,1,1)-$AI173-$AK173))))</f>
        <v>521020</v>
      </c>
      <c r="BA173" s="148">
        <f ca="1">IF(ISNUMBER($AL173),($AX173*$AL173)-$AI173-$AK173,MAX(0,IF($AL173="B",IF($AX173&lt;Setup!$C$32,($AX173*Setup!$D$32)-$AI173-$AK173,(($AX173-VLOOKUP($AX173,TaxAll2,1,1))*OFFSET(Setup!$D$32,MATCH($AX173,TaxBracket2,1),0,1,1))+OFFSET(Setup!$E$31,MATCH($AX173,TaxBracket2,1),0,1,1)-$AI173-$AK173),IF($AX173&lt;Setup!$C$21,($AX173*Setup!$D$21)-$AI173-$AK173,(($AX173-VLOOKUP($AX173,TaxAll1,1,1))*OFFSET(Setup!$D$21,MATCH($AX173,TaxBracket1,1),0,1,1))+OFFSET(Setup!$E$20,MATCH($AX173,TaxBracket1,1),0,1,1)-$AI173-$AK173))))</f>
        <v>471820</v>
      </c>
      <c r="BB173" s="148">
        <f t="shared" ca="1" si="82"/>
        <v>49200</v>
      </c>
      <c r="BC173" s="150">
        <f t="shared" ca="1" si="75"/>
        <v>0.9242424242424242</v>
      </c>
      <c r="BD173" s="150">
        <f t="shared" ca="1" si="76"/>
        <v>7.575757575757576E-2</v>
      </c>
      <c r="BE173" s="148">
        <f t="shared" ca="1" si="77"/>
        <v>1584000</v>
      </c>
    </row>
    <row r="174" spans="1:57" ht="16.149999999999999" customHeight="1" x14ac:dyDescent="0.25">
      <c r="A174" s="10" t="str" cm="1">
        <f t="array" aca="1" ref="A174" ca="1">IF(ROW($A174)-ROW($A$6)&gt;EmpCount*12,"-",TEXT($B174,"yyyy")&amp;TEXT($B174,"mm")&amp;"-"&amp;$C174)</f>
        <v>202402-EXS003</v>
      </c>
      <c r="B174" s="137" cm="1">
        <f t="array" aca="1" ref="B174" ca="1">IF(ROW($A174)-ROW($A$6)&gt;EmpCount*12,Setup!$D$12,DATE(YEAR(Setup!$F$12),MONTH(Setup!$F$12)+ROUNDDOWN((ROW($A174)-ROW($A$6)-1)/EmpCount,0),IF(Setup!$C$14&gt;DAY(DATE(YEAR(Setup!$F$12),MONTH(Setup!$F$12)+ROUNDDOWN((ROW($A174)-ROW($A$6)-1)/EmpCount,0)+1,0)),DAY(DATE(YEAR(Setup!$F$12),MONTH(Setup!$F$12)+ROUNDDOWN((ROW($A174)-ROW($A$6)-1)/EmpCount,0)+1,0)),Setup!$C$14)))</f>
        <v>45347</v>
      </c>
      <c r="C174" s="101" t="str" cm="1">
        <f t="array" aca="1" ref="C174" ca="1">IF(ROW($A174)-ROW($A$6)&gt;EmpCount*12,"-",OFFSET(Emp!$A$4,ROW($A174)-ROW($A$6)-IF(ROW($A174)-ROW($A$6)&gt;EmpCount,ROUNDDOWN((ROW($A174)-ROW($A$6)-1)/EmpCount,0)*EmpCount,0),0,1,1))</f>
        <v>EXS003</v>
      </c>
      <c r="D174" s="10" t="str">
        <f ca="1">IF(ISNA(VLOOKUP($C174,EmpAll,COLUMN(Emp!$B$4),0)),"-",VLOOKUP($C174,EmpAll,COLUMN(Emp!$B$4),0))</f>
        <v>Wilson PG</v>
      </c>
      <c r="E174" s="145" t="str">
        <f ca="1">IF(ISNA(VLOOKUP($C174,EmpAll,COLUMN(Emp!$C$4),0)),"-",VLOOKUP($C174,EmpAll,COLUMN(Emp!$C$4),0))</f>
        <v>S</v>
      </c>
      <c r="F174" s="101" t="str">
        <f ca="1">IF(ISNA(VLOOKUP($C174,EmpAll,COLUMN(Emp!$A$4),0)),"-",IF(AND(VLOOKUP($C174,EmpAll,COLUMN(Emp!$E$4),0)&lt;&gt;0,VLOOKUP($C174,EmpAll,COLUMN(Emp!$E$4),0)&gt;=DATE(YEAR($AC174),MONTH($AC174)+1,0)),"Inactive",IF(AND(VLOOKUP($C174,EmpAll,COLUMN(Emp!$F$4),0)&lt;&gt;0,VLOOKUP($C174,EmpAll,COLUMN(Emp!$F$4),0)&lt;=DATE(YEAR($AC174),MONTH($AC174),0)),"Terminated","Active")))</f>
        <v>Active</v>
      </c>
      <c r="G174" s="133" cm="1">
        <f t="array" aca="1" ref="G174" ca="1">IF($F174&lt;&gt;"Active",0,IF(COUNTIFS(OverEmp,$C174,OverEarn,G$2,OverDate,"&lt;"&amp;DATE(YEAR($AC174),MONTH($AC174)+1,1),OverEnd,"&gt;="&amp;DATE(YEAR($AC174),MONTH($AC174),1))&gt;0,SUMIFS(OverValue,OverEmp,$C174,OverEarn,G$2,OverDate,"&lt;"&amp;DATE(YEAR($AC174),MONTH($AC174)+1,1),OverEnd,"&gt;="&amp;DATE(YEAR($AC174),MONTH($AC174),1)),IF(AND($AC174&gt;=Setup!$E$10,SUMIFS(EmpIncrease,EmpCode,$C174)&gt;0),SUMIFS(EmpIncrease,EmpCode,$C174),SUMIFS(EmpSalary,EmpCode,$C174))))</f>
        <v>16500</v>
      </c>
      <c r="H174" s="133" cm="1">
        <f t="array" aca="1" ref="H174" ca="1">IF($F174&lt;&gt;"Active",0,IF(COUNTIFS(OverEmp,$C174,OverEarn,H$2,OverDate,"&lt;"&amp;DATE(YEAR($AC174),MONTH($AC174)+1,1),OverEnd,"&gt;="&amp;DATE(YEAR($AC174),MONTH($AC174),1))&gt;0,SUMIFS(OverValue,OverEmp,$C174,OverEarn,H$2,OverDate,"&lt;"&amp;DATE(YEAR($AC174),MONTH($AC174)+1,1),OverEnd,"&gt;="&amp;DATE(YEAR($AC174),MONTH($AC174),1)),0))</f>
        <v>0</v>
      </c>
      <c r="I174" s="133" cm="1">
        <f t="array" aca="1" ref="I174" ca="1">IF($F174&lt;&gt;"Active",0,IF(COUNTIFS(OverEmp,$C174,OverEarn,I$2,OverDate,"&lt;"&amp;DATE(YEAR($AC174),MONTH($AC174)+1,1),OverEnd,"&gt;="&amp;DATE(YEAR($AC174),MONTH($AC174),1))&gt;0,SUMIFS(OverValue,OverEmp,$C174,OverEarn,I$2,OverDate,"&lt;"&amp;DATE(YEAR($AC174),MONTH($AC174)+1,1),OverEnd,"&gt;="&amp;DATE(YEAR($AC174),MONTH($AC174),1)),IF(MONTH(B174)=Setup!$C$15,SUMIFS(EmpBonus,EmpCode,$C174),0)))</f>
        <v>0</v>
      </c>
      <c r="J174" s="133" cm="1">
        <f t="array" aca="1" ref="J174" ca="1">IF($F174&lt;&gt;"Active",0,IF(COUNTIFS(OverEmp,$C174,OverEarn,J$2,OverDate,"&lt;"&amp;DATE(YEAR($AC174),MONTH($AC174)+1,1),OverEnd,"&gt;="&amp;DATE(YEAR($AC174),MONTH($AC174),1))&gt;0,SUMIFS(OverValue,OverEmp,$C174,OverEarn,J$2,OverDate,"&lt;"&amp;DATE(YEAR($AC174),MONTH($AC174)+1,1),OverEnd,"&gt;="&amp;DATE(YEAR($AC174),MONTH($AC174),1)),0))</f>
        <v>0</v>
      </c>
      <c r="K174" s="133" cm="1">
        <f t="array" aca="1" ref="K174" ca="1">IF($F174&lt;&gt;"Active",0,IF(COUNTIFS(OverEmp,$C174,OverEarn,K$2,OverDate,"&lt;"&amp;DATE(YEAR($AC174),MONTH($AC174)+1,1),OverEnd,"&gt;="&amp;DATE(YEAR($AC174),MONTH($AC174),1))&gt;0,SUMIFS(OverValue,OverEmp,$C174,OverEarn,K$2,OverDate,"&lt;"&amp;DATE(YEAR($AC174),MONTH($AC174)+1,1),OverEnd,"&gt;="&amp;DATE(YEAR($AC174),MONTH($AC174),1)),0))</f>
        <v>0</v>
      </c>
      <c r="L174" s="185">
        <f t="shared" ca="1" si="84"/>
        <v>16500</v>
      </c>
      <c r="M174" s="182" cm="1">
        <f t="array" aca="1" ref="M174" ca="1">IF(COUNTIFS(OverEmp,$C174,OverTax,M$5,OverDate,"&lt;"&amp;DATE(YEAR($AC174),MONTH($AC174)+1,1),OverEnd,"&gt;="&amp;DATE(YEAR($AC174),MONTH($AC174),1))&gt;0,SUMIFS(OverValue,OverEmp,$C174,OverTax,M$5,OverDate,"&lt;"&amp;DATE(YEAR($AC174),MONTH($AC174)+1,1),OverEnd,"&gt;="&amp;DATE(YEAR($AC174),MONTH($AC174),1)),(($BA174/12*$AA174)+(BB174*IF(1-$BC174=0,0,BD174/(1-$BC174))))-IF($F174="Terminated",0,SUMIFS(PayTaxDeduct,PayDate,"&lt;"&amp;$AC174,PayEmp,$C174)))</f>
        <v>1169.7499999999964</v>
      </c>
      <c r="N174" s="133" cm="1">
        <f t="array" aca="1" ref="N174" ca="1">IF($F174="Terminated",0,IF($AA174=0,0,IF(ISNA(MATCH(N$5,DedListItem,0)),0,IF(COUNTIFS(OverEmp,$C174,OverDeduct,N$5,OverDate,"&lt;"&amp;DATE(YEAR($AC174),MONTH($AC174)+1,1),OverEnd,"&gt;="&amp;DATE(YEAR($AC174),MONTH($AC174),1))&gt;0,SUMIFS(OverValue,OverEmp,$C174,OverDeduct,N$5,OverDate,"&lt;"&amp;DATE(YEAR($AC174),MONTH($AC174)+1,1),OverEnd,"&gt;="&amp;DATE(YEAR($AC174),MONTH($AC174),1)),IF(OR(N$2="Fixed",N$2="Not Used"),(IF(COUNTIFS(EmpNo,$C174,OFFSET(Emp!$R$4,1,MATCH(N$5,DedListItem,0)-1,EmpCount,1),"&lt;&gt;")&gt;0,VLOOKUP($C174,EmpAll,COLUMN(Emp!$R$4)+MATCH(N$5,DedListItem,0)-1,0),OFFSET(Setup!$E$73,MATCH(N$5,DedListItem,0),0,1,1))*$AA174)-SUMIFS(OFFSET(N$6,1,0,PayCount,1),PayDate,"&lt;"&amp;$AC174,PayEmp,$C174),IF(ISNA(MATCH(N$2,EarnListItem,0))=FALSE,IF(OFFSET(Setup!$G$73,MATCH(N$5,DedListItem,0),0,1,1)="Taxable",SUMPRODUCT((PayEmp=$C174)*(PayDate&lt;=$AC174)*(PayEarnCode=N$2)*(PayEarnTax)*(PayEarnValues)),SUMPRODUCT((PayEmp=$C174)*(PayDate&lt;=$AC174)*(PayEarnCode=N$2)*(PayEarnValues)))*IF(COUNTIFS(EmpNo,$C174,OFFSET(Emp!$R$4,1,MATCH(N$5,DedListItem,0)-1,EmpCount,1),"&lt;&gt;")&gt;0,VLOOKUP($C174,EmpAll,COLUMN(Emp!$R$4)+MATCH(N$5,DedListItem,0)-1,0),OFFSET(Setup!$E$73,MATCH(N$5,DedListItem,0),0,1,1)),(MIN(IF(OFFSET(Setup!$G$73,MATCH(N$5,DedListItem,0),0,1,1)="Taxable",SUMPRODUCT((PayEmp=$C174)*(PayDate&lt;=$AC174)*(ISERROR(SEARCH(PayEarnCode,N$4)))*(PayEarnTax)*(PayEarnValues)),SUMPRODUCT((PayEmp=$C174)*(PayDate&lt;=$AC174)*(ISERROR(SEARCH(PayEarnCode,N$4)))*(PayEarnValues))),IF(ISNUMBER(N$3),N$3/12*$AA174,IgnoreMin)))*IF(COUNTIFS(EmpNo,$C174,OFFSET(Emp!$R$4,1,MATCH(N$5,DedListItem,0)-1,EmpCount,1),"&lt;&gt;")&gt;0,VLOOKUP($C174,EmpAll,COLUMN(Emp!$R$4)+MATCH(N$5,DedListItem,0)-1,0),OFFSET(Setup!$E$73,MATCH(N$5,DedListItem,0),0,1,1)))-SUMIFS(OFFSET(N$6,1,0,PayCount,1),PayDate,"&lt;"&amp;$AC174,PayEmp,$C174))))))</f>
        <v>165</v>
      </c>
      <c r="O174" s="133" cm="1">
        <f t="array" aca="1" ref="O174" ca="1">IF($F174="Terminated",0,IF($AA174=0,0,IF(ISNA(MATCH(O$5,DedListItem,0)),0,IF(COUNTIFS(OverEmp,$C174,OverDeduct,O$5,OverDate,"&lt;"&amp;DATE(YEAR($AC174),MONTH($AC174)+1,1),OverEnd,"&gt;="&amp;DATE(YEAR($AC174),MONTH($AC174),1))&gt;0,SUMIFS(OverValue,OverEmp,$C174,OverDeduct,O$5,OverDate,"&lt;"&amp;DATE(YEAR($AC174),MONTH($AC174)+1,1),OverEnd,"&gt;="&amp;DATE(YEAR($AC174),MONTH($AC174),1)),IF(OR(O$2="Fixed",O$2="Not Used"),(IF(COUNTIFS(EmpNo,$C174,OFFSET(Emp!$R$4,1,MATCH(O$5,DedListItem,0)-1,EmpCount,1),"&lt;&gt;")&gt;0,VLOOKUP($C174,EmpAll,COLUMN(Emp!$R$4)+MATCH(O$5,DedListItem,0)-1,0),OFFSET(Setup!$E$73,MATCH(O$5,DedListItem,0),0,1,1))*$AA174)-SUMIFS(OFFSET(O$6,1,0,PayCount,1),PayDate,"&lt;"&amp;$AC174,PayEmp,$C174),IF(ISNA(MATCH(O$2,EarnListItem,0))=FALSE,IF(OFFSET(Setup!$G$73,MATCH(O$5,DedListItem,0),0,1,1)="Taxable",SUMPRODUCT((PayEmp=$C174)*(PayDate&lt;=$AC174)*(PayEarnCode=O$2)*(PayEarnTax)*(PayEarnValues)),SUMPRODUCT((PayEmp=$C174)*(PayDate&lt;=$AC174)*(PayEarnCode=O$2)*(PayEarnValues)))*IF(COUNTIFS(EmpNo,$C174,OFFSET(Emp!$R$4,1,MATCH(O$5,DedListItem,0)-1,EmpCount,1),"&lt;&gt;")&gt;0,VLOOKUP($C174,EmpAll,COLUMN(Emp!$R$4)+MATCH(O$5,DedListItem,0)-1,0),OFFSET(Setup!$E$73,MATCH(O$5,DedListItem,0),0,1,1)),(MIN(IF(OFFSET(Setup!$G$73,MATCH(O$5,DedListItem,0),0,1,1)="Taxable",SUMPRODUCT((PayEmp=$C174)*(PayDate&lt;=$AC174)*(ISERROR(SEARCH(PayEarnCode,O$4)))*(PayEarnTax)*(PayEarnValues)),SUMPRODUCT((PayEmp=$C174)*(PayDate&lt;=$AC174)*(ISERROR(SEARCH(PayEarnCode,O$4)))*(PayEarnValues))),IF(ISNUMBER(O$3),O$3/12*$AA174,IgnoreMin)))*IF(COUNTIFS(EmpNo,$C174,OFFSET(Emp!$R$4,1,MATCH(O$5,DedListItem,0)-1,EmpCount,1),"&lt;&gt;")&gt;0,VLOOKUP($C174,EmpAll,COLUMN(Emp!$R$4)+MATCH(O$5,DedListItem,0)-1,0),OFFSET(Setup!$E$73,MATCH(O$5,DedListItem,0),0,1,1)))-SUMIFS(OFFSET(O$6,1,0,PayCount,1),PayDate,"&lt;"&amp;$AC174,PayEmp,$C174))))))</f>
        <v>0</v>
      </c>
      <c r="P174" s="133" cm="1">
        <f t="array" aca="1" ref="P174" ca="1">IF($F174="Terminated",0,IF($AA174=0,0,IF(ISNA(MATCH(P$5,DedListItem,0)),0,IF(COUNTIFS(OverEmp,$C174,OverDeduct,P$5,OverDate,"&lt;"&amp;DATE(YEAR($AC174),MONTH($AC174)+1,1),OverEnd,"&gt;="&amp;DATE(YEAR($AC174),MONTH($AC174),1))&gt;0,SUMIFS(OverValue,OverEmp,$C174,OverDeduct,P$5,OverDate,"&lt;"&amp;DATE(YEAR($AC174),MONTH($AC174)+1,1),OverEnd,"&gt;="&amp;DATE(YEAR($AC174),MONTH($AC174),1)),IF(OR(P$2="Fixed",P$2="Not Used"),(IF(COUNTIFS(EmpNo,$C174,OFFSET(Emp!$R$4,1,MATCH(P$5,DedListItem,0)-1,EmpCount,1),"&lt;&gt;")&gt;0,VLOOKUP($C174,EmpAll,COLUMN(Emp!$R$4)+MATCH(P$5,DedListItem,0)-1,0),OFFSET(Setup!$E$73,MATCH(P$5,DedListItem,0),0,1,1))*$AA174)-SUMIFS(OFFSET(P$6,1,0,PayCount,1),PayDate,"&lt;"&amp;$AC174,PayEmp,$C174),IF(ISNA(MATCH(P$2,EarnListItem,0))=FALSE,IF(OFFSET(Setup!$G$73,MATCH(P$5,DedListItem,0),0,1,1)="Taxable",SUMPRODUCT((PayEmp=$C174)*(PayDate&lt;=$AC174)*(PayEarnCode=P$2)*(PayEarnTax)*(PayEarnValues)),SUMPRODUCT((PayEmp=$C174)*(PayDate&lt;=$AC174)*(PayEarnCode=P$2)*(PayEarnValues)))*IF(COUNTIFS(EmpNo,$C174,OFFSET(Emp!$R$4,1,MATCH(P$5,DedListItem,0)-1,EmpCount,1),"&lt;&gt;")&gt;0,VLOOKUP($C174,EmpAll,COLUMN(Emp!$R$4)+MATCH(P$5,DedListItem,0)-1,0),OFFSET(Setup!$E$73,MATCH(P$5,DedListItem,0),0,1,1)),(MIN(IF(OFFSET(Setup!$G$73,MATCH(P$5,DedListItem,0),0,1,1)="Taxable",SUMPRODUCT((PayEmp=$C174)*(PayDate&lt;=$AC174)*(ISERROR(SEARCH(PayEarnCode,P$4)))*(PayEarnTax)*(PayEarnValues)),SUMPRODUCT((PayEmp=$C174)*(PayDate&lt;=$AC174)*(ISERROR(SEARCH(PayEarnCode,P$4)))*(PayEarnValues))),IF(ISNUMBER(P$3),P$3/12*$AA174,IgnoreMin)))*IF(COUNTIFS(EmpNo,$C174,OFFSET(Emp!$R$4,1,MATCH(P$5,DedListItem,0)-1,EmpCount,1),"&lt;&gt;")&gt;0,VLOOKUP($C174,EmpAll,COLUMN(Emp!$R$4)+MATCH(P$5,DedListItem,0)-1,0),OFFSET(Setup!$E$73,MATCH(P$5,DedListItem,0),0,1,1)))-SUMIFS(OFFSET(P$6,1,0,PayCount,1),PayDate,"&lt;"&amp;$AC174,PayEmp,$C174))))))</f>
        <v>2000</v>
      </c>
      <c r="Q174" s="133" cm="1">
        <f t="array" aca="1" ref="Q174" ca="1">IF($F174="Terminated",0,IF($AA174=0,0,IF(ISNA(MATCH(Q$5,DedListItem,0)),0,IF(COUNTIFS(OverEmp,$C174,OverDeduct,Q$5,OverDate,"&lt;"&amp;DATE(YEAR($AC174),MONTH($AC174)+1,1),OverEnd,"&gt;="&amp;DATE(YEAR($AC174),MONTH($AC174),1))&gt;0,SUMIFS(OverValue,OverEmp,$C174,OverDeduct,Q$5,OverDate,"&lt;"&amp;DATE(YEAR($AC174),MONTH($AC174)+1,1),OverEnd,"&gt;="&amp;DATE(YEAR($AC174),MONTH($AC174),1)),IF(OR(Q$2="Fixed",Q$2="Not Used"),(IF(COUNTIFS(EmpNo,$C174,OFFSET(Emp!$R$4,1,MATCH(Q$5,DedListItem,0)-1,EmpCount,1),"&lt;&gt;")&gt;0,VLOOKUP($C174,EmpAll,COLUMN(Emp!$R$4)+MATCH(Q$5,DedListItem,0)-1,0),OFFSET(Setup!$E$73,MATCH(Q$5,DedListItem,0),0,1,1))*$AA174)-SUMIFS(OFFSET(Q$6,1,0,PayCount,1),PayDate,"&lt;"&amp;$AC174,PayEmp,$C174),IF(ISNA(MATCH(Q$2,EarnListItem,0))=FALSE,IF(OFFSET(Setup!$G$73,MATCH(Q$5,DedListItem,0),0,1,1)="Taxable",SUMPRODUCT((PayEmp=$C174)*(PayDate&lt;=$AC174)*(PayEarnCode=Q$2)*(PayEarnTax)*(PayEarnValues)),SUMPRODUCT((PayEmp=$C174)*(PayDate&lt;=$AC174)*(PayEarnCode=Q$2)*(PayEarnValues)))*IF(COUNTIFS(EmpNo,$C174,OFFSET(Emp!$R$4,1,MATCH(Q$5,DedListItem,0)-1,EmpCount,1),"&lt;&gt;")&gt;0,VLOOKUP($C174,EmpAll,COLUMN(Emp!$R$4)+MATCH(Q$5,DedListItem,0)-1,0),OFFSET(Setup!$E$73,MATCH(Q$5,DedListItem,0),0,1,1)),(MIN(IF(OFFSET(Setup!$G$73,MATCH(Q$5,DedListItem,0),0,1,1)="Taxable",SUMPRODUCT((PayEmp=$C174)*(PayDate&lt;=$AC174)*(ISERROR(SEARCH(PayEarnCode,Q$4)))*(PayEarnTax)*(PayEarnValues)),SUMPRODUCT((PayEmp=$C174)*(PayDate&lt;=$AC174)*(ISERROR(SEARCH(PayEarnCode,Q$4)))*(PayEarnValues))),IF(ISNUMBER(Q$3),Q$3/12*$AA174,IgnoreMin)))*IF(COUNTIFS(EmpNo,$C174,OFFSET(Emp!$R$4,1,MATCH(Q$5,DedListItem,0)-1,EmpCount,1),"&lt;&gt;")&gt;0,VLOOKUP($C174,EmpAll,COLUMN(Emp!$R$4)+MATCH(Q$5,DedListItem,0)-1,0),OFFSET(Setup!$E$73,MATCH(Q$5,DedListItem,0),0,1,1)))-SUMIFS(OFFSET(Q$6,1,0,PayCount,1),PayDate,"&lt;"&amp;$AC174,PayEmp,$C174))))))</f>
        <v>0</v>
      </c>
      <c r="R174" s="185">
        <f t="shared" ca="1" si="85"/>
        <v>3334.7499999999964</v>
      </c>
      <c r="S174" s="139">
        <f t="shared" ca="1" si="86"/>
        <v>13165.25</v>
      </c>
      <c r="T174" s="133" cm="1">
        <f t="array" aca="1" ref="T174" ca="1">IF($F174="Terminated",0,IF($AA174=0,0,IF(ISNA(MATCH(T$5,CompListItem,0)),0,IF(COUNTIFS(OverEmp,$C174,OverComp,T$5,OverDate,"&lt;"&amp;DATE(YEAR($AC174),MONTH($AC174)+1,1),OverEnd,"&gt;="&amp;DATE(YEAR($AC174),MONTH($AC174),1))&gt;0,SUMIFS(OverValue,OverEmp,$C174,OverComp,T$5,OverDate,"&lt;"&amp;DATE(YEAR($AC174),MONTH($AC174)+1,1),OverEnd,"&gt;="&amp;DATE(YEAR($AC174),MONTH($AC174),1)),IF(OR(T$2="Fixed",T$2="Not Used"),(OFFSET(Setup!$E$81,MATCH(T$5,CompListItem,0),0,1,1)*$AA174)-SUMIFS(OFFSET(T$6,1,0,PayCount,1),PayDate,"&lt;"&amp;$AC174,PayEmp,$C174),IF(ISNA(MATCH(T$2,DedListItem,0))=FALSE,(SUMPRODUCT((PayEmp=$C174)*(PayDate&lt;=$AC174)*(PayDedList=T$2)*(PayDedValues))*OFFSET(Setup!$E$81,MATCH(T$5,CompListItem,0),0,1,1))-SUMIFS(OFFSET(T$6,1,0,PayCount,1),PayDate,"&lt;"&amp;$AC174,PayEmp,$C174),(MIN(IF(OFFSET(Setup!$G$81,MATCH(T$5,CompListItem,0),0,1,1)="Taxable",SUMPRODUCT((PayEmp=$C174)*(PayDate&lt;=$AC174)*(ISERROR(SEARCH(PayEarnCode,T$4)))*(PayEarnTax)*(PayEarnValues)),SUMPRODUCT((PayEmp=$C174)*(PayDate&lt;=$AC174)*(ISERROR(SEARCH(PayEarnCode,T$4)))*(PayEarnValues))),IF(ISNUMBER(T$3),T$3/12*$AA174,IgnoreMin)))*OFFSET(Setup!$E$81,MATCH(T$5,CompListItem,0),0,1,1)-SUMIFS(OFFSET(T$6,1,0,PayCount,1),PayDate,"&lt;"&amp;$AC174,PayEmp,$C174)))))))</f>
        <v>165</v>
      </c>
      <c r="U174" s="133" cm="1">
        <f t="array" aca="1" ref="U174" ca="1">IF($F174="Terminated",0,IF($AA174=0,0,IF(ISNA(MATCH(U$5,CompListItem,0)),0,IF(COUNTIFS(OverEmp,$C174,OverComp,U$5,OverDate,"&lt;"&amp;DATE(YEAR($AC174),MONTH($AC174)+1,1),OverEnd,"&gt;="&amp;DATE(YEAR($AC174),MONTH($AC174),1))&gt;0,SUMIFS(OverValue,OverEmp,$C174,OverComp,U$5,OverDate,"&lt;"&amp;DATE(YEAR($AC174),MONTH($AC174)+1,1),OverEnd,"&gt;="&amp;DATE(YEAR($AC174),MONTH($AC174),1)),IF(OR(U$2="Fixed",U$2="Not Used"),(OFFSET(Setup!$E$81,MATCH(U$5,CompListItem,0),0,1,1)*$AA174)-SUMIFS(OFFSET(U$6,1,0,PayCount,1),PayDate,"&lt;"&amp;$AC174,PayEmp,$C174),IF(ISNA(MATCH(U$2,DedListItem,0))=FALSE,(SUMPRODUCT((PayEmp=$C174)*(PayDate&lt;=$AC174)*(PayDedList=U$2)*(PayDedValues))*OFFSET(Setup!$E$81,MATCH(U$5,CompListItem,0),0,1,1))-SUMIFS(OFFSET(U$6,1,0,PayCount,1),PayDate,"&lt;"&amp;$AC174,PayEmp,$C174),(MIN(IF(OFFSET(Setup!$G$81,MATCH(U$5,CompListItem,0),0,1,1)="Taxable",SUMPRODUCT((PayEmp=$C174)*(PayDate&lt;=$AC174)*(ISERROR(SEARCH(PayEarnCode,U$4)))*(PayEarnTax)*(PayEarnValues)),SUMPRODUCT((PayEmp=$C174)*(PayDate&lt;=$AC174)*(ISERROR(SEARCH(PayEarnCode,U$4)))*(PayEarnValues))),IF(ISNUMBER(U$3),U$3/12*$AA174,IgnoreMin)))*OFFSET(Setup!$E$81,MATCH(U$5,CompListItem,0),0,1,1)-SUMIFS(OFFSET(U$6,1,0,PayCount,1),PayDate,"&lt;"&amp;$AC174,PayEmp,$C174)))))))</f>
        <v>165</v>
      </c>
      <c r="V174" s="133" cm="1">
        <f t="array" aca="1" ref="V174" ca="1">IF($F174="Terminated",0,IF($AA174=0,0,IF(ISNA(MATCH(V$5,CompListItem,0)),0,IF(COUNTIFS(OverEmp,$C174,OverComp,V$5,OverDate,"&lt;"&amp;DATE(YEAR($AC174),MONTH($AC174)+1,1),OverEnd,"&gt;="&amp;DATE(YEAR($AC174),MONTH($AC174),1))&gt;0,SUMIFS(OverValue,OverEmp,$C174,OverComp,V$5,OverDate,"&lt;"&amp;DATE(YEAR($AC174),MONTH($AC174)+1,1),OverEnd,"&gt;="&amp;DATE(YEAR($AC174),MONTH($AC174),1)),IF(OR(V$2="Fixed",V$2="Not Used"),(OFFSET(Setup!$E$81,MATCH(V$5,CompListItem,0),0,1,1)*$AA174)-SUMIFS(OFFSET(V$6,1,0,PayCount,1),PayDate,"&lt;"&amp;$AC174,PayEmp,$C174),IF(ISNA(MATCH(V$2,DedListItem,0))=FALSE,(SUMPRODUCT((PayEmp=$C174)*(PayDate&lt;=$AC174)*(PayDedList=V$2)*(PayDedValues))*OFFSET(Setup!$E$81,MATCH(V$5,CompListItem,0),0,1,1))-SUMIFS(OFFSET(V$6,1,0,PayCount,1),PayDate,"&lt;"&amp;$AC174,PayEmp,$C174),(MIN(IF(OFFSET(Setup!$G$81,MATCH(V$5,CompListItem,0),0,1,1)="Taxable",SUMPRODUCT((PayEmp=$C174)*(PayDate&lt;=$AC174)*(ISERROR(SEARCH(PayEarnCode,V$4)))*(PayEarnTax)*(PayEarnValues)),SUMPRODUCT((PayEmp=$C174)*(PayDate&lt;=$AC174)*(ISERROR(SEARCH(PayEarnCode,V$4)))*(PayEarnValues))),IF(ISNUMBER(V$3),V$3/12*$AA174,IgnoreMin)))*OFFSET(Setup!$E$81,MATCH(V$5,CompListItem,0),0,1,1)-SUMIFS(OFFSET(V$6,1,0,PayCount,1),PayDate,"&lt;"&amp;$AC174,PayEmp,$C174)))))))</f>
        <v>0</v>
      </c>
      <c r="W174" s="133" cm="1">
        <f t="array" aca="1" ref="W174" ca="1">IF($F174="Terminated",0,IF($AA174=0,0,IF(ISNA(MATCH(W$5,CompListItem,0)),0,IF(COUNTIFS(OverEmp,$C174,OverComp,W$5,OverDate,"&lt;"&amp;DATE(YEAR($AC174),MONTH($AC174)+1,1),OverEnd,"&gt;="&amp;DATE(YEAR($AC174),MONTH($AC174),1))&gt;0,SUMIFS(OverValue,OverEmp,$C174,OverComp,W$5,OverDate,"&lt;"&amp;DATE(YEAR($AC174),MONTH($AC174)+1,1),OverEnd,"&gt;="&amp;DATE(YEAR($AC174),MONTH($AC174),1)),IF(OR(W$2="Fixed",W$2="Not Used"),(OFFSET(Setup!$E$81,MATCH(W$5,CompListItem,0),0,1,1)*$AA174)-SUMIFS(OFFSET(W$6,1,0,PayCount,1),PayDate,"&lt;"&amp;$AC174,PayEmp,$C174),IF(ISNA(MATCH(W$2,DedListItem,0))=FALSE,(SUMPRODUCT((PayEmp=$C174)*(PayDate&lt;=$AC174)*(PayDedList=W$2)*(PayDedValues))*OFFSET(Setup!$E$81,MATCH(W$5,CompListItem,0),0,1,1))-SUMIFS(OFFSET(W$6,1,0,PayCount,1),PayDate,"&lt;"&amp;$AC174,PayEmp,$C174),(MIN(IF(OFFSET(Setup!$G$81,MATCH(W$5,CompListItem,0),0,1,1)="Taxable",SUMPRODUCT((PayEmp=$C174)*(PayDate&lt;=$AC174)*(ISERROR(SEARCH(PayEarnCode,W$4)))*(PayEarnTax)*(PayEarnValues)),SUMPRODUCT((PayEmp=$C174)*(PayDate&lt;=$AC174)*(ISERROR(SEARCH(PayEarnCode,W$4)))*(PayEarnValues))),IF(ISNUMBER(W$3),W$3/12*$AA174,IgnoreMin)))*OFFSET(Setup!$E$81,MATCH(W$5,CompListItem,0),0,1,1)-SUMIFS(OFFSET(W$6,1,0,PayCount,1),PayDate,"&lt;"&amp;$AC174,PayEmp,$C174)))))))</f>
        <v>0</v>
      </c>
      <c r="X174" s="185">
        <f t="shared" ca="1" si="78"/>
        <v>330</v>
      </c>
      <c r="Y174" s="139">
        <f t="shared" ca="1" si="87"/>
        <v>16830</v>
      </c>
      <c r="Z174" s="139">
        <f t="shared" ca="1" si="79"/>
        <v>3664.75</v>
      </c>
      <c r="AA174" s="146">
        <f ca="1">IF(OR($B174&lt;=Setup!$E$12,$B174&gt;=Setup!$D$12+1),0,IF($F174&lt;&gt;"Active",0,IF($AE174="Yes",$AB174,((YEAR($AC174)*12)+MONTH($AC174))-((YEAR($AD174)*12)+MONTH($AD174)-1))))</f>
        <v>12</v>
      </c>
      <c r="AB174" s="146">
        <f ca="1">IF(OR($B174&lt;=Setup!$E$12,$B174&gt;=Setup!$D$12+1),0,((YEAR($AC174)*12)+MONTH($AC174))-((YEAR(Setup!$E$12)*12)+MONTH(Setup!$E$12)))</f>
        <v>12</v>
      </c>
      <c r="AC174" s="186">
        <f t="shared" ca="1" si="83"/>
        <v>45347</v>
      </c>
      <c r="AD174" s="144">
        <f ca="1">IF(ISNA(VLOOKUP($C174,EmpAll,COLUMN(Emp!$E$4),0)),$AC174,IF(VLOOKUP($C174,EmpAll,COLUMN(Emp!$E$4),0)&lt;=Setup!$E$12,DATE(YEAR(Setup!$E$12),MONTH(Setup!$E$12)+1,1),VLOOKUP($C174,EmpAll,COLUMN(Emp!$E$4),0)))</f>
        <v>44986</v>
      </c>
      <c r="AE174" s="144" t="str">
        <f ca="1">IF(ISNA(VLOOKUP($C174,EmpAll,COLUMN(Emp!$G$1),0)),"-",IF(VLOOKUP($C174,EmpAll,COLUMN(Emp!$G$1),0)=0,"-",VLOOKUP($C174,EmpAll,COLUMN(Emp!$G$1),0)))</f>
        <v>-</v>
      </c>
      <c r="AF174" s="145">
        <f ca="1">IF(A174=PaySlip!$G$3,1,0)</f>
        <v>0</v>
      </c>
      <c r="AG174" s="130" cm="1">
        <f t="array" aca="1" ref="AG174" ca="1">IF(COUNTIFS(OverEmp,$C174,OverMed,"MED",OverDate,"&lt;"&amp;DATE(YEAR($AC174),MONTH($AC174)+1,1),OverEnd,"&gt;="&amp;DATE(YEAR($AC174),MONTH($AC174),1))&gt;0,SUMIFS(OverValue,OverEmp,$C174,OverMed,"MED",OverDate,"&lt;"&amp;DATE(YEAR($AC174),MONTH($AC174)+1,1),OverEnd,"&gt;="&amp;DATE(YEAR($AC174),MONTH($AC174),1)),IF(ISNA(VLOOKUP($C174,EmpAll,COLUMN(Emp!$N$4),0)),0,VLOOKUP($C174,EmpAll,COLUMN(Emp!$N$4),0)))</f>
        <v>1</v>
      </c>
      <c r="AH174" s="146">
        <f ca="1">VLOOKUP($AG174,MedList,COLUMN(Setup!$C$49),1)</f>
        <v>364</v>
      </c>
      <c r="AI174" s="146">
        <f t="shared" ca="1" si="70"/>
        <v>4368</v>
      </c>
      <c r="AJ174" s="101" t="str">
        <f ca="1">IF(ISNA(VLOOKUP($C174,EmpAll,COLUMN(Emp!$L$4),0)),"None!",VLOOKUP($C174,EmpAll,COLUMN(Emp!$L$4),0))</f>
        <v>A</v>
      </c>
      <c r="AK174" s="147">
        <f t="shared" ca="1" si="80"/>
        <v>17235</v>
      </c>
      <c r="AL174" s="101" t="str">
        <f ca="1">IF(ISNA(VLOOKUP($C174,Employees[],COLUMN(Emp!$M$4),0))=TRUE,"Error!",IF(VLOOKUP($C174,Employees[],COLUMN(Emp!$M$4),0)=0,"Yes",VLOOKUP($C174,Employees[],COLUMN(Emp!$M$4),0)))</f>
        <v>A</v>
      </c>
      <c r="AM174" s="148">
        <f t="shared" ca="1" si="71"/>
        <v>198000</v>
      </c>
      <c r="AN174" s="148" cm="1">
        <f t="array" aca="1" ref="AN174" ca="1">-IF($F174="Terminated",0,IF($AA174=0,0,IF(ISNA(MATCH(AN$5,PayDedList,0)),0,MIN(IF(COUNTIFS(OverEmp,$C174,OverDeduct,AN$5,OverDate,"&lt;"&amp;DATE(YEAR($AC174),MONTH($AC174)+1,1),OverEnd,"&gt;="&amp;DATE(YEAR($AC174),MONTH($AC174),1))&gt;0,SUMPRODUCT((PayEmp=$C174)*(PayDate&lt;=$AC174)*(OFFSET($N$6,1,MATCH(AN$5,PayDedList,0)-1,PayCount,1)))/$AA174*12*AN$3,IF(OR(AN$1="Fixed",AN$1="Not Used"),SUMPRODUCT((PayEmp=$C174)*(PayDate&lt;=$AC174)*(OFFSET($N$6,1,MATCH(AN$5,PayDedList,0)-1,PayCount,1)))/$AA174*12*AN$3,IF(ISNA(MATCH(AN$1,EarnListItem,0))=FALSE,SUMPRODUCT((PayEmp=$C174)*(PayDate&lt;=$AC174)*(OFFSET($N$6,1,MATCH(AN$5,PayDedList,0)-1,PayCount,1)))/$AA174*12*AN$3,(MIN(((SUMPRODUCT((PayEmp=$C174)*(PayDate&lt;=$AC174)*(ISERROR(SEARCH(PayEarnCode,AN$2)))*(PayEarnType="Monthly")*(PayEarnValues))/$AA174*12)+(SUMPRODUCT((PayEmp=$C174)*(PayDate&lt;=$AC174)*(ISERROR(SEARCH(PayEarnCode,AN$2)))*(PayEarnType="Quarterly")*(PayEarnValues))/MAX(1,ROUNDDOWN($AB174/3,0))*4)+(SUMPRODUCT((PayEmp=$C174)*(PayDate&lt;=$AC174)*(ISERROR(SEARCH(PayEarnCode,AN$2)))*(PayEarnType="Bi-Annual")*(PayEarnValues))/MAX(1,ROUNDDOWN($AB174/6,0))*2)+(SUMPRODUCT((PayEmp=$C174)*(PayDate&lt;=$AC174)*(ISERROR(SEARCH(PayEarnCode,AN$2)))*(PayEarnType="Annual")*(PayEarnValues)))),IF(ISNUMBER(OFFSET($N$3,0,MATCH(AN$5,PayDedList,0)-1,1,1)),OFFSET($N$3,0,MATCH(AN$5,PayDedList,0)-1,1,1),IgnoreMin)))*IF(COUNTIFS(EmpNo,$C174,OFFSET(Emp!$R$4,1,MATCH(AN$5,DedListItem,0)-1,EmpCount,1),"&lt;&gt;")&gt;0,VLOOKUP($C174,EmpAll,COLUMN(Emp!$R$4)+MATCH(AN$5,DedListItem,0)-1,0),OFFSET(Setup!$E$73,MATCH(AN$5,DedListItem,0),0,1,1))*AN$3))),IF(ISNUMBER(AN$4),AN$4,IgnoreMin)))))</f>
        <v>0</v>
      </c>
      <c r="AO174" s="148" cm="1">
        <f t="array" aca="1" ref="AO174" ca="1">-IF($F174="Terminated",0,IF($AA174=0,0,IF(ISNA(MATCH(AO$5,PayDedList,0)),0,MIN(IF(COUNTIFS(OverEmp,$C174,OverDeduct,AO$5,OverDate,"&lt;"&amp;DATE(YEAR($AC174),MONTH($AC174)+1,1),OverEnd,"&gt;="&amp;DATE(YEAR($AC174),MONTH($AC174),1))&gt;0,SUMPRODUCT((PayEmp=$C174)*(PayDate&lt;=$AC174)*(OFFSET($N$6,1,MATCH(AO$5,PayDedList,0)-1,PayCount,1)))/$AA174*12*AO$3,IF(OR(AO$1="Fixed",AO$1="Not Used"),SUMPRODUCT((PayEmp=$C174)*(PayDate&lt;=$AC174)*(OFFSET($N$6,1,MATCH(AO$5,PayDedList,0)-1,PayCount,1)))/$AA174*12*AO$3,IF(ISNA(MATCH(AO$1,EarnListItem,0))=FALSE,SUMPRODUCT((PayEmp=$C174)*(PayDate&lt;=$AC174)*(OFFSET($N$6,1,MATCH(AO$5,PayDedList,0)-1,PayCount,1)))/$AA174*12*AO$3,(MIN(((SUMPRODUCT((PayEmp=$C174)*(PayDate&lt;=$AC174)*(ISERROR(SEARCH(PayEarnCode,AO$2)))*(PayEarnType="Monthly")*(PayEarnValues))/$AA174*12)+(SUMPRODUCT((PayEmp=$C174)*(PayDate&lt;=$AC174)*(ISERROR(SEARCH(PayEarnCode,AO$2)))*(PayEarnType="Quarterly")*(PayEarnValues))/MAX(1,ROUNDDOWN($AB174/3,0))*4)+(SUMPRODUCT((PayEmp=$C174)*(PayDate&lt;=$AC174)*(ISERROR(SEARCH(PayEarnCode,AO$2)))*(PayEarnType="Bi-Annual")*(PayEarnValues))/MAX(1,ROUNDDOWN($AB174/6,0))*2)+(SUMPRODUCT((PayEmp=$C174)*(PayDate&lt;=$AC174)*(ISERROR(SEARCH(PayEarnCode,AO$2)))*(PayEarnType="Annual")*(PayEarnValues)))),IF(ISNUMBER(OFFSET($N$3,0,MATCH(AO$5,PayDedList,0)-1,1,1)),OFFSET($N$3,0,MATCH(AO$5,PayDedList,0)-1,1,1),IgnoreMin)))*IF(COUNTIFS(EmpNo,$C174,OFFSET(Emp!$R$4,1,MATCH(AO$5,DedListItem,0)-1,EmpCount,1),"&lt;&gt;")&gt;0,VLOOKUP($C174,EmpAll,COLUMN(Emp!$R$4)+MATCH(AO$5,DedListItem,0)-1,0),OFFSET(Setup!$E$73,MATCH(AO$5,DedListItem,0),0,1,1))*AO$3))),IF(ISNUMBER(AO$4),AO$4,IgnoreMin)))))</f>
        <v>0</v>
      </c>
      <c r="AP174" s="148" cm="1">
        <f t="array" aca="1" ref="AP174" ca="1">-IF($F174="Terminated",0,IF($AA174=0,0,IF(ISNA(MATCH(AP$5,PayDedList,0)),0,MIN(IF(COUNTIFS(OverEmp,$C174,OverDeduct,AP$5,OverDate,"&lt;"&amp;DATE(YEAR($AC174),MONTH($AC174)+1,1),OverEnd,"&gt;="&amp;DATE(YEAR($AC174),MONTH($AC174),1))&gt;0,SUMPRODUCT((PayEmp=$C174)*(PayDate&lt;=$AC174)*(OFFSET($N$6,1,MATCH(AP$5,PayDedList,0)-1,PayCount,1)))/$AA174*12*AP$3,IF(OR(AP$1="Fixed",AP$1="Not Used"),SUMPRODUCT((PayEmp=$C174)*(PayDate&lt;=$AC174)*(OFFSET($N$6,1,MATCH(AP$5,PayDedList,0)-1,PayCount,1)))/$AA174*12*AP$3,IF(ISNA(MATCH(AP$1,EarnListItem,0))=FALSE,SUMPRODUCT((PayEmp=$C174)*(PayDate&lt;=$AC174)*(OFFSET($N$6,1,MATCH(AP$5,PayDedList,0)-1,PayCount,1)))/$AA174*12*AP$3,(MIN(((SUMPRODUCT((PayEmp=$C174)*(PayDate&lt;=$AC174)*(ISERROR(SEARCH(PayEarnCode,AP$2)))*(PayEarnType="Monthly")*(PayEarnValues))/$AA174*12)+(SUMPRODUCT((PayEmp=$C174)*(PayDate&lt;=$AC174)*(ISERROR(SEARCH(PayEarnCode,AP$2)))*(PayEarnType="Quarterly")*(PayEarnValues))/MAX(1,ROUNDDOWN($AB174/3,0))*4)+(SUMPRODUCT((PayEmp=$C174)*(PayDate&lt;=$AC174)*(ISERROR(SEARCH(PayEarnCode,AP$2)))*(PayEarnType="Bi-Annual")*(PayEarnValues))/MAX(1,ROUNDDOWN($AB174/6,0))*2)+(SUMPRODUCT((PayEmp=$C174)*(PayDate&lt;=$AC174)*(ISERROR(SEARCH(PayEarnCode,AP$2)))*(PayEarnType="Annual")*(PayEarnValues)))),IF(ISNUMBER(OFFSET($N$3,0,MATCH(AP$5,PayDedList,0)-1,1,1)),OFFSET($N$3,0,MATCH(AP$5,PayDedList,0)-1,1,1),IgnoreMin)))*IF(COUNTIFS(EmpNo,$C174,OFFSET(Emp!$R$4,1,MATCH(AP$5,DedListItem,0)-1,EmpCount,1),"&lt;&gt;")&gt;0,VLOOKUP($C174,EmpAll,COLUMN(Emp!$R$4)+MATCH(AP$5,DedListItem,0)-1,0),OFFSET(Setup!$E$73,MATCH(AP$5,DedListItem,0),0,1,1))*AP$3))),IF(ISNUMBER(AP$4),AP$4,IgnoreMin)))))</f>
        <v>0</v>
      </c>
      <c r="AQ174" s="148" cm="1">
        <f t="array" aca="1" ref="AQ174" ca="1">-IF($F174="Terminated",0,IF($AA174=0,0,IF(ISNA(MATCH(AQ$5,PayDedList,0)),0,MIN(IF(COUNTIFS(OverEmp,$C174,OverDeduct,AQ$5,OverDate,"&lt;"&amp;DATE(YEAR($AC174),MONTH($AC174)+1,1),OverEnd,"&gt;="&amp;DATE(YEAR($AC174),MONTH($AC174),1))&gt;0,SUMPRODUCT((PayEmp=$C174)*(PayDate&lt;=$AC174)*(OFFSET($N$6,1,MATCH(AQ$5,PayDedList,0)-1,PayCount,1)))/$AA174*12*AQ$3,IF(OR(AQ$1="Fixed",AQ$1="Not Used"),SUMPRODUCT((PayEmp=$C174)*(PayDate&lt;=$AC174)*(OFFSET($N$6,1,MATCH(AQ$5,PayDedList,0)-1,PayCount,1)))/$AA174*12*AQ$3,IF(ISNA(MATCH(AQ$1,EarnListItem,0))=FALSE,SUMPRODUCT((PayEmp=$C174)*(PayDate&lt;=$AC174)*(OFFSET($N$6,1,MATCH(AQ$5,PayDedList,0)-1,PayCount,1)))/$AA174*12*AQ$3,(MIN(((SUMPRODUCT((PayEmp=$C174)*(PayDate&lt;=$AC174)*(ISERROR(SEARCH(PayEarnCode,AQ$2)))*(PayEarnType="Monthly")*(PayEarnValues))/$AA174*12)+(SUMPRODUCT((PayEmp=$C174)*(PayDate&lt;=$AC174)*(ISERROR(SEARCH(PayEarnCode,AQ$2)))*(PayEarnType="Quarterly")*(PayEarnValues))/MAX(1,ROUNDDOWN($AB174/3,0))*4)+(SUMPRODUCT((PayEmp=$C174)*(PayDate&lt;=$AC174)*(ISERROR(SEARCH(PayEarnCode,AQ$2)))*(PayEarnType="Bi-Annual")*(PayEarnValues))/MAX(1,ROUNDDOWN($AB174/6,0))*2)+(SUMPRODUCT((PayEmp=$C174)*(PayDate&lt;=$AC174)*(ISERROR(SEARCH(PayEarnCode,AQ$2)))*(PayEarnType="Annual")*(PayEarnValues)))),IF(ISNUMBER(OFFSET($N$3,0,MATCH(AQ$5,PayDedList,0)-1,1,1)),OFFSET($N$3,0,MATCH(AQ$5,PayDedList,0)-1,1,1),IgnoreMin)))*IF(COUNTIFS(EmpNo,$C174,OFFSET(Emp!$R$4,1,MATCH(AQ$5,DedListItem,0)-1,EmpCount,1),"&lt;&gt;")&gt;0,VLOOKUP($C174,EmpAll,COLUMN(Emp!$R$4)+MATCH(AQ$5,DedListItem,0)-1,0),OFFSET(Setup!$E$73,MATCH(AQ$5,DedListItem,0),0,1,1))*AQ$3))),IF(ISNUMBER(AQ$4),AQ$4,IgnoreMin)))))</f>
        <v>0</v>
      </c>
      <c r="AR174" s="148">
        <f t="shared" ca="1" si="81"/>
        <v>198000</v>
      </c>
      <c r="AS174" s="148">
        <f t="shared" ca="1" si="72"/>
        <v>183000</v>
      </c>
      <c r="AT174" s="148" cm="1">
        <f t="array" aca="1" ref="AT174" ca="1">-IF($F174="Terminated",0,IF($AA174=0,0,IF(ISNA(MATCH(AT$5,PayDedList,0)),0,MIN(IF(COUNTIFS(OverEmp,$C174,OverDeduct,AT$5,OverDate,"&lt;"&amp;DATE(YEAR($AC174),MONTH($AC174)+1,1),OverEnd,"&gt;="&amp;DATE(YEAR($AC174),MONTH($AC174),1))&gt;0,SUMPRODUCT((PayEmp=$C174)*(PayDate&lt;=$AC174)*(OFFSET($N$6,1,MATCH(AT$5,PayDedList,0)-1,PayCount,1)))/$AA174*12*AT$3,IF(OR(AT$1="Fixed",AT$1="Not Used"),SUMPRODUCT((PayEmp=$C174)*(PayDate&lt;=$AC174)*(OFFSET($N$6,1,MATCH(AT$5,PayDedList,0)-1,PayCount,1)))/$AA174*12*AT$3,IF(ISNA(MATCH(OFFSET($N$2,0,MATCH(AT$5,PayDedList,0)-1,1,1),EarnListItem,0))=FALSE,SUMPRODUCT((PayEmp=$C174)*(PayDate&lt;=$AC174)*(OFFSET($N$6,1,MATCH(AT$5,PayDedList,0)-1,PayCount,1)))/$AA174*12*AT$3,(MIN(SUMPRODUCT((PayEmp=$C174)*(PayDate&lt;=$AC174)*(ISERROR(SEARCH(PayEarnCode,AT$2)))*(PayEarnType="Monthly")*(PayEarnValues))/$AA174*12,IF(ISNUMBER(OFFSET($N$3,0,MATCH(AT$5,PayDedList,0)-1,1,1)),OFFSET($N$3,0,MATCH(AT$5,PayDedList,0)-1,1,1),IgnoreMin)))*IF(COUNTIFS(EmpNo,$C174,OFFSET(Emp!$R$4,1,MATCH(AT$5,DedListItem,0)-1,EmpCount,1),"&lt;&gt;")&gt;0,VLOOKUP($C174,EmpAll,COLUMN(Emp!$R$4)+MATCH(AT$5,DedListItem,0)-1,0),OFFSET(Setup!$E$73,MATCH(AT$5,DedListItem,0),0,1,1))*AT$3))),IF(ISNUMBER(AT$4),AT$4,IgnoreMin)))))</f>
        <v>0</v>
      </c>
      <c r="AU174" s="148" cm="1">
        <f t="array" aca="1" ref="AU174" ca="1">-IF($F174="Terminated",0,IF($AA174=0,0,IF(ISNA(MATCH(AU$5,PayDedList,0)),0,MIN(IF(COUNTIFS(OverEmp,$C174,OverDeduct,AU$5,OverDate,"&lt;"&amp;DATE(YEAR($AC174),MONTH($AC174)+1,1),OverEnd,"&gt;="&amp;DATE(YEAR($AC174),MONTH($AC174),1))&gt;0,SUMPRODUCT((PayEmp=$C174)*(PayDate&lt;=$AC174)*(OFFSET($N$6,1,MATCH(AU$5,PayDedList,0)-1,PayCount,1)))/$AA174*12*AU$3,IF(OR(AU$1="Fixed",AU$1="Not Used"),SUMPRODUCT((PayEmp=$C174)*(PayDate&lt;=$AC174)*(OFFSET($N$6,1,MATCH(AU$5,PayDedList,0)-1,PayCount,1)))/$AA174*12*AU$3,IF(ISNA(MATCH(OFFSET($N$2,0,MATCH(AU$5,PayDedList,0)-1,1,1),EarnListItem,0))=FALSE,SUMPRODUCT((PayEmp=$C174)*(PayDate&lt;=$AC174)*(OFFSET($N$6,1,MATCH(AU$5,PayDedList,0)-1,PayCount,1)))/$AA174*12*AU$3,(MIN(SUMPRODUCT((PayEmp=$C174)*(PayDate&lt;=$AC174)*(ISERROR(SEARCH(PayEarnCode,AU$2)))*(PayEarnType="Monthly")*(PayEarnValues))/$AA174*12,IF(ISNUMBER(OFFSET($N$3,0,MATCH(AU$5,PayDedList,0)-1,1,1)),OFFSET($N$3,0,MATCH(AU$5,PayDedList,0)-1,1,1),IgnoreMin)))*IF(COUNTIFS(EmpNo,$C174,OFFSET(Emp!$R$4,1,MATCH(AU$5,DedListItem,0)-1,EmpCount,1),"&lt;&gt;")&gt;0,VLOOKUP($C174,EmpAll,COLUMN(Emp!$R$4)+MATCH(AU$5,DedListItem,0)-1,0),OFFSET(Setup!$E$73,MATCH(AU$5,DedListItem,0),0,1,1))*AU$3))),IF(ISNUMBER(AU$4),AU$4,IgnoreMin)))))</f>
        <v>0</v>
      </c>
      <c r="AV174" s="148" cm="1">
        <f t="array" aca="1" ref="AV174" ca="1">-IF($F174="Terminated",0,IF($AA174=0,0,IF(ISNA(MATCH(AV$5,PayDedList,0)),0,MIN(IF(COUNTIFS(OverEmp,$C174,OverDeduct,AV$5,OverDate,"&lt;"&amp;DATE(YEAR($AC174),MONTH($AC174)+1,1),OverEnd,"&gt;="&amp;DATE(YEAR($AC174),MONTH($AC174),1))&gt;0,SUMPRODUCT((PayEmp=$C174)*(PayDate&lt;=$AC174)*(OFFSET($N$6,1,MATCH(AV$5,PayDedList,0)-1,PayCount,1)))/$AA174*12*AV$3,IF(OR(AV$1="Fixed",AV$1="Not Used"),SUMPRODUCT((PayEmp=$C174)*(PayDate&lt;=$AC174)*(OFFSET($N$6,1,MATCH(AV$5,PayDedList,0)-1,PayCount,1)))/$AA174*12*AV$3,IF(ISNA(MATCH(OFFSET($N$2,0,MATCH(AV$5,PayDedList,0)-1,1,1),EarnListItem,0))=FALSE,SUMPRODUCT((PayEmp=$C174)*(PayDate&lt;=$AC174)*(OFFSET($N$6,1,MATCH(AV$5,PayDedList,0)-1,PayCount,1)))/$AA174*12*AV$3,(MIN(SUMPRODUCT((PayEmp=$C174)*(PayDate&lt;=$AC174)*(ISERROR(SEARCH(PayEarnCode,AV$2)))*(PayEarnType="Monthly")*(PayEarnValues))/$AA174*12,IF(ISNUMBER(OFFSET($N$3,0,MATCH(AV$5,PayDedList,0)-1,1,1)),OFFSET($N$3,0,MATCH(AV$5,PayDedList,0)-1,1,1),IgnoreMin)))*IF(COUNTIFS(EmpNo,$C174,OFFSET(Emp!$R$4,1,MATCH(AV$5,DedListItem,0)-1,EmpCount,1),"&lt;&gt;")&gt;0,VLOOKUP($C174,EmpAll,COLUMN(Emp!$R$4)+MATCH(AV$5,DedListItem,0)-1,0),OFFSET(Setup!$E$73,MATCH(AV$5,DedListItem,0),0,1,1))*AV$3))),IF(ISNUMBER(AV$4),AV$4,IgnoreMin)))))</f>
        <v>0</v>
      </c>
      <c r="AW174" s="148" cm="1">
        <f t="array" aca="1" ref="AW174" ca="1">-IF($F174="Terminated",0,IF($AA174=0,0,IF(ISNA(MATCH(AW$5,PayDedList,0)),0,MIN(IF(COUNTIFS(OverEmp,$C174,OverDeduct,AW$5,OverDate,"&lt;"&amp;DATE(YEAR($AC174),MONTH($AC174)+1,1),OverEnd,"&gt;="&amp;DATE(YEAR($AC174),MONTH($AC174),1))&gt;0,SUMPRODUCT((PayEmp=$C174)*(PayDate&lt;=$AC174)*(OFFSET($N$6,1,MATCH(AW$5,PayDedList,0)-1,PayCount,1)))/$AA174*12*AW$3,IF(OR(AW$1="Fixed",AW$1="Not Used"),SUMPRODUCT((PayEmp=$C174)*(PayDate&lt;=$AC174)*(OFFSET($N$6,1,MATCH(AW$5,PayDedList,0)-1,PayCount,1)))/$AA174*12*AW$3,IF(ISNA(MATCH(OFFSET($N$2,0,MATCH(AW$5,PayDedList,0)-1,1,1),EarnListItem,0))=FALSE,SUMPRODUCT((PayEmp=$C174)*(PayDate&lt;=$AC174)*(OFFSET($N$6,1,MATCH(AW$5,PayDedList,0)-1,PayCount,1)))/$AA174*12*AW$3,(MIN(SUMPRODUCT((PayEmp=$C174)*(PayDate&lt;=$AC174)*(ISERROR(SEARCH(PayEarnCode,AW$2)))*(PayEarnType="Monthly")*(PayEarnValues))/$AA174*12,IF(ISNUMBER(OFFSET($N$3,0,MATCH(AW$5,PayDedList,0)-1,1,1)),OFFSET($N$3,0,MATCH(AW$5,PayDedList,0)-1,1,1),IgnoreMin)))*IF(COUNTIFS(EmpNo,$C174,OFFSET(Emp!$R$4,1,MATCH(AW$5,DedListItem,0)-1,EmpCount,1),"&lt;&gt;")&gt;0,VLOOKUP($C174,EmpAll,COLUMN(Emp!$R$4)+MATCH(AW$5,DedListItem,0)-1,0),OFFSET(Setup!$E$73,MATCH(AW$5,DedListItem,0),0,1,1))*AW$3))),IF(ISNUMBER(AW$4),AW$4,IgnoreMin)))))</f>
        <v>0</v>
      </c>
      <c r="AX174" s="148">
        <f t="shared" ca="1" si="88"/>
        <v>183000</v>
      </c>
      <c r="AY174" s="148">
        <f t="shared" ca="1" si="89"/>
        <v>15000</v>
      </c>
      <c r="AZ174" s="148">
        <f ca="1">IF(ISNUMBER($AL174),($AR174*$AL174)-$AI174-$AK174,MAX(0,IF($AL174="B",IF($AR174&lt;Setup!$C$32,($AR174*Setup!$D$32)-$AI174-$AK174,(($AR174-VLOOKUP($AR174,TaxAll2,1,1))*OFFSET(Setup!$D$32,MATCH($AR174,TaxBracket2,1),0,1,1))+OFFSET(Setup!$E$31,MATCH($AR174,TaxBracket2,1),0,1,1)-$AI174-$AK174),IF($AR174&lt;Setup!$C$21,($AR174*Setup!$D$21)-$AI174-$AK174,(($AR174-VLOOKUP($AR174,TaxAll1,1,1))*OFFSET(Setup!$D$21,MATCH($AR174,TaxBracket1,1),0,1,1))+OFFSET(Setup!$E$20,MATCH($AR174,TaxBracket1,1),0,1,1)-$AI174-$AK174))))</f>
        <v>14037</v>
      </c>
      <c r="BA174" s="148">
        <f ca="1">IF(ISNUMBER($AL174),($AX174*$AL174)-$AI174-$AK174,MAX(0,IF($AL174="B",IF($AX174&lt;Setup!$C$32,($AX174*Setup!$D$32)-$AI174-$AK174,(($AX174-VLOOKUP($AX174,TaxAll2,1,1))*OFFSET(Setup!$D$32,MATCH($AX174,TaxBracket2,1),0,1,1))+OFFSET(Setup!$E$31,MATCH($AX174,TaxBracket2,1),0,1,1)-$AI174-$AK174),IF($AX174&lt;Setup!$C$21,($AX174*Setup!$D$21)-$AI174-$AK174,(($AX174-VLOOKUP($AX174,TaxAll1,1,1))*OFFSET(Setup!$D$21,MATCH($AX174,TaxBracket1,1),0,1,1))+OFFSET(Setup!$E$20,MATCH($AX174,TaxBracket1,1),0,1,1)-$AI174-$AK174))))</f>
        <v>11337</v>
      </c>
      <c r="BB174" s="148">
        <f t="shared" ca="1" si="82"/>
        <v>2700</v>
      </c>
      <c r="BC174" s="150">
        <f t="shared" ca="1" si="75"/>
        <v>0.9242424242424242</v>
      </c>
      <c r="BD174" s="150">
        <f t="shared" ca="1" si="76"/>
        <v>7.575757575757576E-2</v>
      </c>
      <c r="BE174" s="148">
        <f t="shared" ca="1" si="77"/>
        <v>198000</v>
      </c>
    </row>
    <row r="175" spans="1:57" ht="16.149999999999999" customHeight="1" x14ac:dyDescent="0.25">
      <c r="A175" s="10" t="str" cm="1">
        <f t="array" aca="1" ref="A175" ca="1">IF(ROW($A175)-ROW($A$6)&gt;EmpCount*12,"-",TEXT($B175,"yyyy")&amp;TEXT($B175,"mm")&amp;"-"&amp;$C175)</f>
        <v>202402-EXS004</v>
      </c>
      <c r="B175" s="137" cm="1">
        <f t="array" aca="1" ref="B175" ca="1">IF(ROW($A175)-ROW($A$6)&gt;EmpCount*12,Setup!$D$12,DATE(YEAR(Setup!$F$12),MONTH(Setup!$F$12)+ROUNDDOWN((ROW($A175)-ROW($A$6)-1)/EmpCount,0),IF(Setup!$C$14&gt;DAY(DATE(YEAR(Setup!$F$12),MONTH(Setup!$F$12)+ROUNDDOWN((ROW($A175)-ROW($A$6)-1)/EmpCount,0)+1,0)),DAY(DATE(YEAR(Setup!$F$12),MONTH(Setup!$F$12)+ROUNDDOWN((ROW($A175)-ROW($A$6)-1)/EmpCount,0)+1,0)),Setup!$C$14)))</f>
        <v>45347</v>
      </c>
      <c r="C175" s="101" t="str" cm="1">
        <f t="array" aca="1" ref="C175" ca="1">IF(ROW($A175)-ROW($A$6)&gt;EmpCount*12,"-",OFFSET(Emp!$A$4,ROW($A175)-ROW($A$6)-IF(ROW($A175)-ROW($A$6)&gt;EmpCount,ROUNDDOWN((ROW($A175)-ROW($A$6)-1)/EmpCount,0)*EmpCount,0),0,1,1))</f>
        <v>EXS004</v>
      </c>
      <c r="D175" s="10" t="str">
        <f ca="1">IF(ISNA(VLOOKUP($C175,EmpAll,COLUMN(Emp!$B$4),0)),"-",VLOOKUP($C175,EmpAll,COLUMN(Emp!$B$4),0))</f>
        <v>Osborne S</v>
      </c>
      <c r="E175" s="145" t="str">
        <f ca="1">IF(ISNA(VLOOKUP($C175,EmpAll,COLUMN(Emp!$C$4),0)),"-",VLOOKUP($C175,EmpAll,COLUMN(Emp!$C$4),0))</f>
        <v>S</v>
      </c>
      <c r="F175" s="101" t="str">
        <f ca="1">IF(ISNA(VLOOKUP($C175,EmpAll,COLUMN(Emp!$A$4),0)),"-",IF(AND(VLOOKUP($C175,EmpAll,COLUMN(Emp!$E$4),0)&lt;&gt;0,VLOOKUP($C175,EmpAll,COLUMN(Emp!$E$4),0)&gt;=DATE(YEAR($AC175),MONTH($AC175)+1,0)),"Inactive",IF(AND(VLOOKUP($C175,EmpAll,COLUMN(Emp!$F$4),0)&lt;&gt;0,VLOOKUP($C175,EmpAll,COLUMN(Emp!$F$4),0)&lt;=DATE(YEAR($AC175),MONTH($AC175),0)),"Terminated","Active")))</f>
        <v>Active</v>
      </c>
      <c r="G175" s="133" cm="1">
        <f t="array" aca="1" ref="G175" ca="1">IF($F175&lt;&gt;"Active",0,IF(COUNTIFS(OverEmp,$C175,OverEarn,G$2,OverDate,"&lt;"&amp;DATE(YEAR($AC175),MONTH($AC175)+1,1),OverEnd,"&gt;="&amp;DATE(YEAR($AC175),MONTH($AC175),1))&gt;0,SUMIFS(OverValue,OverEmp,$C175,OverEarn,G$2,OverDate,"&lt;"&amp;DATE(YEAR($AC175),MONTH($AC175)+1,1),OverEnd,"&gt;="&amp;DATE(YEAR($AC175),MONTH($AC175),1)),IF(AND($AC175&gt;=Setup!$E$10,SUMIFS(EmpIncrease,EmpCode,$C175)&gt;0),SUMIFS(EmpIncrease,EmpCode,$C175),SUMIFS(EmpSalary,EmpCode,$C175))))</f>
        <v>16500</v>
      </c>
      <c r="H175" s="133" cm="1">
        <f t="array" aca="1" ref="H175" ca="1">IF($F175&lt;&gt;"Active",0,IF(COUNTIFS(OverEmp,$C175,OverEarn,H$2,OverDate,"&lt;"&amp;DATE(YEAR($AC175),MONTH($AC175)+1,1),OverEnd,"&gt;="&amp;DATE(YEAR($AC175),MONTH($AC175),1))&gt;0,SUMIFS(OverValue,OverEmp,$C175,OverEarn,H$2,OverDate,"&lt;"&amp;DATE(YEAR($AC175),MONTH($AC175)+1,1),OverEnd,"&gt;="&amp;DATE(YEAR($AC175),MONTH($AC175),1)),0))</f>
        <v>0</v>
      </c>
      <c r="I175" s="133" cm="1">
        <f t="array" aca="1" ref="I175" ca="1">IF($F175&lt;&gt;"Active",0,IF(COUNTIFS(OverEmp,$C175,OverEarn,I$2,OverDate,"&lt;"&amp;DATE(YEAR($AC175),MONTH($AC175)+1,1),OverEnd,"&gt;="&amp;DATE(YEAR($AC175),MONTH($AC175),1))&gt;0,SUMIFS(OverValue,OverEmp,$C175,OverEarn,I$2,OverDate,"&lt;"&amp;DATE(YEAR($AC175),MONTH($AC175)+1,1),OverEnd,"&gt;="&amp;DATE(YEAR($AC175),MONTH($AC175),1)),IF(MONTH(B175)=Setup!$C$15,SUMIFS(EmpBonus,EmpCode,$C175),0)))</f>
        <v>0</v>
      </c>
      <c r="J175" s="133" cm="1">
        <f t="array" aca="1" ref="J175" ca="1">IF($F175&lt;&gt;"Active",0,IF(COUNTIFS(OverEmp,$C175,OverEarn,J$2,OverDate,"&lt;"&amp;DATE(YEAR($AC175),MONTH($AC175)+1,1),OverEnd,"&gt;="&amp;DATE(YEAR($AC175),MONTH($AC175),1))&gt;0,SUMIFS(OverValue,OverEmp,$C175,OverEarn,J$2,OverDate,"&lt;"&amp;DATE(YEAR($AC175),MONTH($AC175)+1,1),OverEnd,"&gt;="&amp;DATE(YEAR($AC175),MONTH($AC175),1)),0))</f>
        <v>0</v>
      </c>
      <c r="K175" s="133" cm="1">
        <f t="array" aca="1" ref="K175" ca="1">IF($F175&lt;&gt;"Active",0,IF(COUNTIFS(OverEmp,$C175,OverEarn,K$2,OverDate,"&lt;"&amp;DATE(YEAR($AC175),MONTH($AC175)+1,1),OverEnd,"&gt;="&amp;DATE(YEAR($AC175),MONTH($AC175),1))&gt;0,SUMIFS(OverValue,OverEmp,$C175,OverEarn,K$2,OverDate,"&lt;"&amp;DATE(YEAR($AC175),MONTH($AC175)+1,1),OverEnd,"&gt;="&amp;DATE(YEAR($AC175),MONTH($AC175),1)),0))</f>
        <v>0</v>
      </c>
      <c r="L175" s="185">
        <f t="shared" ca="1" si="84"/>
        <v>16500</v>
      </c>
      <c r="M175" s="182" cm="1">
        <f t="array" aca="1" ref="M175" ca="1">IF(COUNTIFS(OverEmp,$C175,OverTax,M$5,OverDate,"&lt;"&amp;DATE(YEAR($AC175),MONTH($AC175)+1,1),OverEnd,"&gt;="&amp;DATE(YEAR($AC175),MONTH($AC175),1))&gt;0,SUMIFS(OverValue,OverEmp,$C175,OverTax,M$5,OverDate,"&lt;"&amp;DATE(YEAR($AC175),MONTH($AC175)+1,1),OverEnd,"&gt;="&amp;DATE(YEAR($AC175),MONTH($AC175),1)),(($BA175/12*$AA175)+(BB175*IF(1-$BC175=0,0,BD175/(1-$BC175))))-IF($F175="Terminated",0,SUMIFS(PayTaxDeduct,PayDate,"&lt;"&amp;$AC175,PayEmp,$C175)))</f>
        <v>1169.7500000000018</v>
      </c>
      <c r="N175" s="133" cm="1">
        <f t="array" aca="1" ref="N175" ca="1">IF($F175="Terminated",0,IF($AA175=0,0,IF(ISNA(MATCH(N$5,DedListItem,0)),0,IF(COUNTIFS(OverEmp,$C175,OverDeduct,N$5,OverDate,"&lt;"&amp;DATE(YEAR($AC175),MONTH($AC175)+1,1),OverEnd,"&gt;="&amp;DATE(YEAR($AC175),MONTH($AC175),1))&gt;0,SUMIFS(OverValue,OverEmp,$C175,OverDeduct,N$5,OverDate,"&lt;"&amp;DATE(YEAR($AC175),MONTH($AC175)+1,1),OverEnd,"&gt;="&amp;DATE(YEAR($AC175),MONTH($AC175),1)),IF(OR(N$2="Fixed",N$2="Not Used"),(IF(COUNTIFS(EmpNo,$C175,OFFSET(Emp!$R$4,1,MATCH(N$5,DedListItem,0)-1,EmpCount,1),"&lt;&gt;")&gt;0,VLOOKUP($C175,EmpAll,COLUMN(Emp!$R$4)+MATCH(N$5,DedListItem,0)-1,0),OFFSET(Setup!$E$73,MATCH(N$5,DedListItem,0),0,1,1))*$AA175)-SUMIFS(OFFSET(N$6,1,0,PayCount,1),PayDate,"&lt;"&amp;$AC175,PayEmp,$C175),IF(ISNA(MATCH(N$2,EarnListItem,0))=FALSE,IF(OFFSET(Setup!$G$73,MATCH(N$5,DedListItem,0),0,1,1)="Taxable",SUMPRODUCT((PayEmp=$C175)*(PayDate&lt;=$AC175)*(PayEarnCode=N$2)*(PayEarnTax)*(PayEarnValues)),SUMPRODUCT((PayEmp=$C175)*(PayDate&lt;=$AC175)*(PayEarnCode=N$2)*(PayEarnValues)))*IF(COUNTIFS(EmpNo,$C175,OFFSET(Emp!$R$4,1,MATCH(N$5,DedListItem,0)-1,EmpCount,1),"&lt;&gt;")&gt;0,VLOOKUP($C175,EmpAll,COLUMN(Emp!$R$4)+MATCH(N$5,DedListItem,0)-1,0),OFFSET(Setup!$E$73,MATCH(N$5,DedListItem,0),0,1,1)),(MIN(IF(OFFSET(Setup!$G$73,MATCH(N$5,DedListItem,0),0,1,1)="Taxable",SUMPRODUCT((PayEmp=$C175)*(PayDate&lt;=$AC175)*(ISERROR(SEARCH(PayEarnCode,N$4)))*(PayEarnTax)*(PayEarnValues)),SUMPRODUCT((PayEmp=$C175)*(PayDate&lt;=$AC175)*(ISERROR(SEARCH(PayEarnCode,N$4)))*(PayEarnValues))),IF(ISNUMBER(N$3),N$3/12*$AA175,IgnoreMin)))*IF(COUNTIFS(EmpNo,$C175,OFFSET(Emp!$R$4,1,MATCH(N$5,DedListItem,0)-1,EmpCount,1),"&lt;&gt;")&gt;0,VLOOKUP($C175,EmpAll,COLUMN(Emp!$R$4)+MATCH(N$5,DedListItem,0)-1,0),OFFSET(Setup!$E$73,MATCH(N$5,DedListItem,0),0,1,1)))-SUMIFS(OFFSET(N$6,1,0,PayCount,1),PayDate,"&lt;"&amp;$AC175,PayEmp,$C175))))))</f>
        <v>165</v>
      </c>
      <c r="O175" s="133" cm="1">
        <f t="array" aca="1" ref="O175" ca="1">IF($F175="Terminated",0,IF($AA175=0,0,IF(ISNA(MATCH(O$5,DedListItem,0)),0,IF(COUNTIFS(OverEmp,$C175,OverDeduct,O$5,OverDate,"&lt;"&amp;DATE(YEAR($AC175),MONTH($AC175)+1,1),OverEnd,"&gt;="&amp;DATE(YEAR($AC175),MONTH($AC175),1))&gt;0,SUMIFS(OverValue,OverEmp,$C175,OverDeduct,O$5,OverDate,"&lt;"&amp;DATE(YEAR($AC175),MONTH($AC175)+1,1),OverEnd,"&gt;="&amp;DATE(YEAR($AC175),MONTH($AC175),1)),IF(OR(O$2="Fixed",O$2="Not Used"),(IF(COUNTIFS(EmpNo,$C175,OFFSET(Emp!$R$4,1,MATCH(O$5,DedListItem,0)-1,EmpCount,1),"&lt;&gt;")&gt;0,VLOOKUP($C175,EmpAll,COLUMN(Emp!$R$4)+MATCH(O$5,DedListItem,0)-1,0),OFFSET(Setup!$E$73,MATCH(O$5,DedListItem,0),0,1,1))*$AA175)-SUMIFS(OFFSET(O$6,1,0,PayCount,1),PayDate,"&lt;"&amp;$AC175,PayEmp,$C175),IF(ISNA(MATCH(O$2,EarnListItem,0))=FALSE,IF(OFFSET(Setup!$G$73,MATCH(O$5,DedListItem,0),0,1,1)="Taxable",SUMPRODUCT((PayEmp=$C175)*(PayDate&lt;=$AC175)*(PayEarnCode=O$2)*(PayEarnTax)*(PayEarnValues)),SUMPRODUCT((PayEmp=$C175)*(PayDate&lt;=$AC175)*(PayEarnCode=O$2)*(PayEarnValues)))*IF(COUNTIFS(EmpNo,$C175,OFFSET(Emp!$R$4,1,MATCH(O$5,DedListItem,0)-1,EmpCount,1),"&lt;&gt;")&gt;0,VLOOKUP($C175,EmpAll,COLUMN(Emp!$R$4)+MATCH(O$5,DedListItem,0)-1,0),OFFSET(Setup!$E$73,MATCH(O$5,DedListItem,0),0,1,1)),(MIN(IF(OFFSET(Setup!$G$73,MATCH(O$5,DedListItem,0),0,1,1)="Taxable",SUMPRODUCT((PayEmp=$C175)*(PayDate&lt;=$AC175)*(ISERROR(SEARCH(PayEarnCode,O$4)))*(PayEarnTax)*(PayEarnValues)),SUMPRODUCT((PayEmp=$C175)*(PayDate&lt;=$AC175)*(ISERROR(SEARCH(PayEarnCode,O$4)))*(PayEarnValues))),IF(ISNUMBER(O$3),O$3/12*$AA175,IgnoreMin)))*IF(COUNTIFS(EmpNo,$C175,OFFSET(Emp!$R$4,1,MATCH(O$5,DedListItem,0)-1,EmpCount,1),"&lt;&gt;")&gt;0,VLOOKUP($C175,EmpAll,COLUMN(Emp!$R$4)+MATCH(O$5,DedListItem,0)-1,0),OFFSET(Setup!$E$73,MATCH(O$5,DedListItem,0),0,1,1)))-SUMIFS(OFFSET(O$6,1,0,PayCount,1),PayDate,"&lt;"&amp;$AC175,PayEmp,$C175))))))</f>
        <v>0</v>
      </c>
      <c r="P175" s="133" cm="1">
        <f t="array" aca="1" ref="P175" ca="1">IF($F175="Terminated",0,IF($AA175=0,0,IF(ISNA(MATCH(P$5,DedListItem,0)),0,IF(COUNTIFS(OverEmp,$C175,OverDeduct,P$5,OverDate,"&lt;"&amp;DATE(YEAR($AC175),MONTH($AC175)+1,1),OverEnd,"&gt;="&amp;DATE(YEAR($AC175),MONTH($AC175),1))&gt;0,SUMIFS(OverValue,OverEmp,$C175,OverDeduct,P$5,OverDate,"&lt;"&amp;DATE(YEAR($AC175),MONTH($AC175)+1,1),OverEnd,"&gt;="&amp;DATE(YEAR($AC175),MONTH($AC175),1)),IF(OR(P$2="Fixed",P$2="Not Used"),(IF(COUNTIFS(EmpNo,$C175,OFFSET(Emp!$R$4,1,MATCH(P$5,DedListItem,0)-1,EmpCount,1),"&lt;&gt;")&gt;0,VLOOKUP($C175,EmpAll,COLUMN(Emp!$R$4)+MATCH(P$5,DedListItem,0)-1,0),OFFSET(Setup!$E$73,MATCH(P$5,DedListItem,0),0,1,1))*$AA175)-SUMIFS(OFFSET(P$6,1,0,PayCount,1),PayDate,"&lt;"&amp;$AC175,PayEmp,$C175),IF(ISNA(MATCH(P$2,EarnListItem,0))=FALSE,IF(OFFSET(Setup!$G$73,MATCH(P$5,DedListItem,0),0,1,1)="Taxable",SUMPRODUCT((PayEmp=$C175)*(PayDate&lt;=$AC175)*(PayEarnCode=P$2)*(PayEarnTax)*(PayEarnValues)),SUMPRODUCT((PayEmp=$C175)*(PayDate&lt;=$AC175)*(PayEarnCode=P$2)*(PayEarnValues)))*IF(COUNTIFS(EmpNo,$C175,OFFSET(Emp!$R$4,1,MATCH(P$5,DedListItem,0)-1,EmpCount,1),"&lt;&gt;")&gt;0,VLOOKUP($C175,EmpAll,COLUMN(Emp!$R$4)+MATCH(P$5,DedListItem,0)-1,0),OFFSET(Setup!$E$73,MATCH(P$5,DedListItem,0),0,1,1)),(MIN(IF(OFFSET(Setup!$G$73,MATCH(P$5,DedListItem,0),0,1,1)="Taxable",SUMPRODUCT((PayEmp=$C175)*(PayDate&lt;=$AC175)*(ISERROR(SEARCH(PayEarnCode,P$4)))*(PayEarnTax)*(PayEarnValues)),SUMPRODUCT((PayEmp=$C175)*(PayDate&lt;=$AC175)*(ISERROR(SEARCH(PayEarnCode,P$4)))*(PayEarnValues))),IF(ISNUMBER(P$3),P$3/12*$AA175,IgnoreMin)))*IF(COUNTIFS(EmpNo,$C175,OFFSET(Emp!$R$4,1,MATCH(P$5,DedListItem,0)-1,EmpCount,1),"&lt;&gt;")&gt;0,VLOOKUP($C175,EmpAll,COLUMN(Emp!$R$4)+MATCH(P$5,DedListItem,0)-1,0),OFFSET(Setup!$E$73,MATCH(P$5,DedListItem,0),0,1,1)))-SUMIFS(OFFSET(P$6,1,0,PayCount,1),PayDate,"&lt;"&amp;$AC175,PayEmp,$C175))))))</f>
        <v>500</v>
      </c>
      <c r="Q175" s="133" cm="1">
        <f t="array" aca="1" ref="Q175" ca="1">IF($F175="Terminated",0,IF($AA175=0,0,IF(ISNA(MATCH(Q$5,DedListItem,0)),0,IF(COUNTIFS(OverEmp,$C175,OverDeduct,Q$5,OverDate,"&lt;"&amp;DATE(YEAR($AC175),MONTH($AC175)+1,1),OverEnd,"&gt;="&amp;DATE(YEAR($AC175),MONTH($AC175),1))&gt;0,SUMIFS(OverValue,OverEmp,$C175,OverDeduct,Q$5,OverDate,"&lt;"&amp;DATE(YEAR($AC175),MONTH($AC175)+1,1),OverEnd,"&gt;="&amp;DATE(YEAR($AC175),MONTH($AC175),1)),IF(OR(Q$2="Fixed",Q$2="Not Used"),(IF(COUNTIFS(EmpNo,$C175,OFFSET(Emp!$R$4,1,MATCH(Q$5,DedListItem,0)-1,EmpCount,1),"&lt;&gt;")&gt;0,VLOOKUP($C175,EmpAll,COLUMN(Emp!$R$4)+MATCH(Q$5,DedListItem,0)-1,0),OFFSET(Setup!$E$73,MATCH(Q$5,DedListItem,0),0,1,1))*$AA175)-SUMIFS(OFFSET(Q$6,1,0,PayCount,1),PayDate,"&lt;"&amp;$AC175,PayEmp,$C175),IF(ISNA(MATCH(Q$2,EarnListItem,0))=FALSE,IF(OFFSET(Setup!$G$73,MATCH(Q$5,DedListItem,0),0,1,1)="Taxable",SUMPRODUCT((PayEmp=$C175)*(PayDate&lt;=$AC175)*(PayEarnCode=Q$2)*(PayEarnTax)*(PayEarnValues)),SUMPRODUCT((PayEmp=$C175)*(PayDate&lt;=$AC175)*(PayEarnCode=Q$2)*(PayEarnValues)))*IF(COUNTIFS(EmpNo,$C175,OFFSET(Emp!$R$4,1,MATCH(Q$5,DedListItem,0)-1,EmpCount,1),"&lt;&gt;")&gt;0,VLOOKUP($C175,EmpAll,COLUMN(Emp!$R$4)+MATCH(Q$5,DedListItem,0)-1,0),OFFSET(Setup!$E$73,MATCH(Q$5,DedListItem,0),0,1,1)),(MIN(IF(OFFSET(Setup!$G$73,MATCH(Q$5,DedListItem,0),0,1,1)="Taxable",SUMPRODUCT((PayEmp=$C175)*(PayDate&lt;=$AC175)*(ISERROR(SEARCH(PayEarnCode,Q$4)))*(PayEarnTax)*(PayEarnValues)),SUMPRODUCT((PayEmp=$C175)*(PayDate&lt;=$AC175)*(ISERROR(SEARCH(PayEarnCode,Q$4)))*(PayEarnValues))),IF(ISNUMBER(Q$3),Q$3/12*$AA175,IgnoreMin)))*IF(COUNTIFS(EmpNo,$C175,OFFSET(Emp!$R$4,1,MATCH(Q$5,DedListItem,0)-1,EmpCount,1),"&lt;&gt;")&gt;0,VLOOKUP($C175,EmpAll,COLUMN(Emp!$R$4)+MATCH(Q$5,DedListItem,0)-1,0),OFFSET(Setup!$E$73,MATCH(Q$5,DedListItem,0),0,1,1)))-SUMIFS(OFFSET(Q$6,1,0,PayCount,1),PayDate,"&lt;"&amp;$AC175,PayEmp,$C175))))))</f>
        <v>0</v>
      </c>
      <c r="R175" s="185">
        <f t="shared" ca="1" si="85"/>
        <v>1834.7500000000018</v>
      </c>
      <c r="S175" s="139">
        <f t="shared" ca="1" si="86"/>
        <v>14665.25</v>
      </c>
      <c r="T175" s="133" cm="1">
        <f t="array" aca="1" ref="T175" ca="1">IF($F175="Terminated",0,IF($AA175=0,0,IF(ISNA(MATCH(T$5,CompListItem,0)),0,IF(COUNTIFS(OverEmp,$C175,OverComp,T$5,OverDate,"&lt;"&amp;DATE(YEAR($AC175),MONTH($AC175)+1,1),OverEnd,"&gt;="&amp;DATE(YEAR($AC175),MONTH($AC175),1))&gt;0,SUMIFS(OverValue,OverEmp,$C175,OverComp,T$5,OverDate,"&lt;"&amp;DATE(YEAR($AC175),MONTH($AC175)+1,1),OverEnd,"&gt;="&amp;DATE(YEAR($AC175),MONTH($AC175),1)),IF(OR(T$2="Fixed",T$2="Not Used"),(OFFSET(Setup!$E$81,MATCH(T$5,CompListItem,0),0,1,1)*$AA175)-SUMIFS(OFFSET(T$6,1,0,PayCount,1),PayDate,"&lt;"&amp;$AC175,PayEmp,$C175),IF(ISNA(MATCH(T$2,DedListItem,0))=FALSE,(SUMPRODUCT((PayEmp=$C175)*(PayDate&lt;=$AC175)*(PayDedList=T$2)*(PayDedValues))*OFFSET(Setup!$E$81,MATCH(T$5,CompListItem,0),0,1,1))-SUMIFS(OFFSET(T$6,1,0,PayCount,1),PayDate,"&lt;"&amp;$AC175,PayEmp,$C175),(MIN(IF(OFFSET(Setup!$G$81,MATCH(T$5,CompListItem,0),0,1,1)="Taxable",SUMPRODUCT((PayEmp=$C175)*(PayDate&lt;=$AC175)*(ISERROR(SEARCH(PayEarnCode,T$4)))*(PayEarnTax)*(PayEarnValues)),SUMPRODUCT((PayEmp=$C175)*(PayDate&lt;=$AC175)*(ISERROR(SEARCH(PayEarnCode,T$4)))*(PayEarnValues))),IF(ISNUMBER(T$3),T$3/12*$AA175,IgnoreMin)))*OFFSET(Setup!$E$81,MATCH(T$5,CompListItem,0),0,1,1)-SUMIFS(OFFSET(T$6,1,0,PayCount,1),PayDate,"&lt;"&amp;$AC175,PayEmp,$C175)))))))</f>
        <v>165</v>
      </c>
      <c r="U175" s="133" cm="1">
        <f t="array" aca="1" ref="U175" ca="1">IF($F175="Terminated",0,IF($AA175=0,0,IF(ISNA(MATCH(U$5,CompListItem,0)),0,IF(COUNTIFS(OverEmp,$C175,OverComp,U$5,OverDate,"&lt;"&amp;DATE(YEAR($AC175),MONTH($AC175)+1,1),OverEnd,"&gt;="&amp;DATE(YEAR($AC175),MONTH($AC175),1))&gt;0,SUMIFS(OverValue,OverEmp,$C175,OverComp,U$5,OverDate,"&lt;"&amp;DATE(YEAR($AC175),MONTH($AC175)+1,1),OverEnd,"&gt;="&amp;DATE(YEAR($AC175),MONTH($AC175),1)),IF(OR(U$2="Fixed",U$2="Not Used"),(OFFSET(Setup!$E$81,MATCH(U$5,CompListItem,0),0,1,1)*$AA175)-SUMIFS(OFFSET(U$6,1,0,PayCount,1),PayDate,"&lt;"&amp;$AC175,PayEmp,$C175),IF(ISNA(MATCH(U$2,DedListItem,0))=FALSE,(SUMPRODUCT((PayEmp=$C175)*(PayDate&lt;=$AC175)*(PayDedList=U$2)*(PayDedValues))*OFFSET(Setup!$E$81,MATCH(U$5,CompListItem,0),0,1,1))-SUMIFS(OFFSET(U$6,1,0,PayCount,1),PayDate,"&lt;"&amp;$AC175,PayEmp,$C175),(MIN(IF(OFFSET(Setup!$G$81,MATCH(U$5,CompListItem,0),0,1,1)="Taxable",SUMPRODUCT((PayEmp=$C175)*(PayDate&lt;=$AC175)*(ISERROR(SEARCH(PayEarnCode,U$4)))*(PayEarnTax)*(PayEarnValues)),SUMPRODUCT((PayEmp=$C175)*(PayDate&lt;=$AC175)*(ISERROR(SEARCH(PayEarnCode,U$4)))*(PayEarnValues))),IF(ISNUMBER(U$3),U$3/12*$AA175,IgnoreMin)))*OFFSET(Setup!$E$81,MATCH(U$5,CompListItem,0),0,1,1)-SUMIFS(OFFSET(U$6,1,0,PayCount,1),PayDate,"&lt;"&amp;$AC175,PayEmp,$C175)))))))</f>
        <v>165</v>
      </c>
      <c r="V175" s="133" cm="1">
        <f t="array" aca="1" ref="V175" ca="1">IF($F175="Terminated",0,IF($AA175=0,0,IF(ISNA(MATCH(V$5,CompListItem,0)),0,IF(COUNTIFS(OverEmp,$C175,OverComp,V$5,OverDate,"&lt;"&amp;DATE(YEAR($AC175),MONTH($AC175)+1,1),OverEnd,"&gt;="&amp;DATE(YEAR($AC175),MONTH($AC175),1))&gt;0,SUMIFS(OverValue,OverEmp,$C175,OverComp,V$5,OverDate,"&lt;"&amp;DATE(YEAR($AC175),MONTH($AC175)+1,1),OverEnd,"&gt;="&amp;DATE(YEAR($AC175),MONTH($AC175),1)),IF(OR(V$2="Fixed",V$2="Not Used"),(OFFSET(Setup!$E$81,MATCH(V$5,CompListItem,0),0,1,1)*$AA175)-SUMIFS(OFFSET(V$6,1,0,PayCount,1),PayDate,"&lt;"&amp;$AC175,PayEmp,$C175),IF(ISNA(MATCH(V$2,DedListItem,0))=FALSE,(SUMPRODUCT((PayEmp=$C175)*(PayDate&lt;=$AC175)*(PayDedList=V$2)*(PayDedValues))*OFFSET(Setup!$E$81,MATCH(V$5,CompListItem,0),0,1,1))-SUMIFS(OFFSET(V$6,1,0,PayCount,1),PayDate,"&lt;"&amp;$AC175,PayEmp,$C175),(MIN(IF(OFFSET(Setup!$G$81,MATCH(V$5,CompListItem,0),0,1,1)="Taxable",SUMPRODUCT((PayEmp=$C175)*(PayDate&lt;=$AC175)*(ISERROR(SEARCH(PayEarnCode,V$4)))*(PayEarnTax)*(PayEarnValues)),SUMPRODUCT((PayEmp=$C175)*(PayDate&lt;=$AC175)*(ISERROR(SEARCH(PayEarnCode,V$4)))*(PayEarnValues))),IF(ISNUMBER(V$3),V$3/12*$AA175,IgnoreMin)))*OFFSET(Setup!$E$81,MATCH(V$5,CompListItem,0),0,1,1)-SUMIFS(OFFSET(V$6,1,0,PayCount,1),PayDate,"&lt;"&amp;$AC175,PayEmp,$C175)))))))</f>
        <v>0</v>
      </c>
      <c r="W175" s="133" cm="1">
        <f t="array" aca="1" ref="W175" ca="1">IF($F175="Terminated",0,IF($AA175=0,0,IF(ISNA(MATCH(W$5,CompListItem,0)),0,IF(COUNTIFS(OverEmp,$C175,OverComp,W$5,OverDate,"&lt;"&amp;DATE(YEAR($AC175),MONTH($AC175)+1,1),OverEnd,"&gt;="&amp;DATE(YEAR($AC175),MONTH($AC175),1))&gt;0,SUMIFS(OverValue,OverEmp,$C175,OverComp,W$5,OverDate,"&lt;"&amp;DATE(YEAR($AC175),MONTH($AC175)+1,1),OverEnd,"&gt;="&amp;DATE(YEAR($AC175),MONTH($AC175),1)),IF(OR(W$2="Fixed",W$2="Not Used"),(OFFSET(Setup!$E$81,MATCH(W$5,CompListItem,0),0,1,1)*$AA175)-SUMIFS(OFFSET(W$6,1,0,PayCount,1),PayDate,"&lt;"&amp;$AC175,PayEmp,$C175),IF(ISNA(MATCH(W$2,DedListItem,0))=FALSE,(SUMPRODUCT((PayEmp=$C175)*(PayDate&lt;=$AC175)*(PayDedList=W$2)*(PayDedValues))*OFFSET(Setup!$E$81,MATCH(W$5,CompListItem,0),0,1,1))-SUMIFS(OFFSET(W$6,1,0,PayCount,1),PayDate,"&lt;"&amp;$AC175,PayEmp,$C175),(MIN(IF(OFFSET(Setup!$G$81,MATCH(W$5,CompListItem,0),0,1,1)="Taxable",SUMPRODUCT((PayEmp=$C175)*(PayDate&lt;=$AC175)*(ISERROR(SEARCH(PayEarnCode,W$4)))*(PayEarnTax)*(PayEarnValues)),SUMPRODUCT((PayEmp=$C175)*(PayDate&lt;=$AC175)*(ISERROR(SEARCH(PayEarnCode,W$4)))*(PayEarnValues))),IF(ISNUMBER(W$3),W$3/12*$AA175,IgnoreMin)))*OFFSET(Setup!$E$81,MATCH(W$5,CompListItem,0),0,1,1)-SUMIFS(OFFSET(W$6,1,0,PayCount,1),PayDate,"&lt;"&amp;$AC175,PayEmp,$C175)))))))</f>
        <v>0</v>
      </c>
      <c r="X175" s="185">
        <f t="shared" ca="1" si="78"/>
        <v>330</v>
      </c>
      <c r="Y175" s="139">
        <f t="shared" ca="1" si="87"/>
        <v>16830</v>
      </c>
      <c r="Z175" s="139">
        <f t="shared" ca="1" si="79"/>
        <v>2164.75</v>
      </c>
      <c r="AA175" s="146">
        <f ca="1">IF(OR($B175&lt;=Setup!$E$12,$B175&gt;=Setup!$D$12+1),0,IF($F175&lt;&gt;"Active",0,IF($AE175="Yes",$AB175,((YEAR($AC175)*12)+MONTH($AC175))-((YEAR($AD175)*12)+MONTH($AD175)-1))))</f>
        <v>12</v>
      </c>
      <c r="AB175" s="146">
        <f ca="1">IF(OR($B175&lt;=Setup!$E$12,$B175&gt;=Setup!$D$12+1),0,((YEAR($AC175)*12)+MONTH($AC175))-((YEAR(Setup!$E$12)*12)+MONTH(Setup!$E$12)))</f>
        <v>12</v>
      </c>
      <c r="AC175" s="186">
        <f t="shared" ca="1" si="83"/>
        <v>45347</v>
      </c>
      <c r="AD175" s="144">
        <f ca="1">IF(ISNA(VLOOKUP($C175,EmpAll,COLUMN(Emp!$E$4),0)),$AC175,IF(VLOOKUP($C175,EmpAll,COLUMN(Emp!$E$4),0)&lt;=Setup!$E$12,DATE(YEAR(Setup!$E$12),MONTH(Setup!$E$12)+1,1),VLOOKUP($C175,EmpAll,COLUMN(Emp!$E$4),0)))</f>
        <v>44986</v>
      </c>
      <c r="AE175" s="144" t="str">
        <f ca="1">IF(ISNA(VLOOKUP($C175,EmpAll,COLUMN(Emp!$G$1),0)),"-",IF(VLOOKUP($C175,EmpAll,COLUMN(Emp!$G$1),0)=0,"-",VLOOKUP($C175,EmpAll,COLUMN(Emp!$G$1),0)))</f>
        <v>-</v>
      </c>
      <c r="AF175" s="145">
        <f ca="1">IF(A175=PaySlip!$G$3,1,0)</f>
        <v>0</v>
      </c>
      <c r="AG175" s="130" cm="1">
        <f t="array" aca="1" ref="AG175" ca="1">IF(COUNTIFS(OverEmp,$C175,OverMed,"MED",OverDate,"&lt;"&amp;DATE(YEAR($AC175),MONTH($AC175)+1,1),OverEnd,"&gt;="&amp;DATE(YEAR($AC175),MONTH($AC175),1))&gt;0,SUMIFS(OverValue,OverEmp,$C175,OverMed,"MED",OverDate,"&lt;"&amp;DATE(YEAR($AC175),MONTH($AC175)+1,1),OverEnd,"&gt;="&amp;DATE(YEAR($AC175),MONTH($AC175),1)),IF(ISNA(VLOOKUP($C175,EmpAll,COLUMN(Emp!$N$4),0)),0,VLOOKUP($C175,EmpAll,COLUMN(Emp!$N$4),0)))</f>
        <v>1</v>
      </c>
      <c r="AH175" s="146">
        <f ca="1">VLOOKUP($AG175,MedList,COLUMN(Setup!$C$49),1)</f>
        <v>364</v>
      </c>
      <c r="AI175" s="146">
        <f t="shared" ca="1" si="70"/>
        <v>4368</v>
      </c>
      <c r="AJ175" s="101" t="str">
        <f ca="1">IF(ISNA(VLOOKUP($C175,EmpAll,COLUMN(Emp!$L$4),0)),"None!",VLOOKUP($C175,EmpAll,COLUMN(Emp!$L$4),0))</f>
        <v>A</v>
      </c>
      <c r="AK175" s="147">
        <f t="shared" ca="1" si="80"/>
        <v>17235</v>
      </c>
      <c r="AL175" s="101" t="str">
        <f ca="1">IF(ISNA(VLOOKUP($C175,Employees[],COLUMN(Emp!$M$4),0))=TRUE,"Error!",IF(VLOOKUP($C175,Employees[],COLUMN(Emp!$M$4),0)=0,"Yes",VLOOKUP($C175,Employees[],COLUMN(Emp!$M$4),0)))</f>
        <v>A</v>
      </c>
      <c r="AM175" s="148">
        <f t="shared" ca="1" si="71"/>
        <v>201600</v>
      </c>
      <c r="AN175" s="148" cm="1">
        <f t="array" aca="1" ref="AN175" ca="1">-IF($F175="Terminated",0,IF($AA175=0,0,IF(ISNA(MATCH(AN$5,PayDedList,0)),0,MIN(IF(COUNTIFS(OverEmp,$C175,OverDeduct,AN$5,OverDate,"&lt;"&amp;DATE(YEAR($AC175),MONTH($AC175)+1,1),OverEnd,"&gt;="&amp;DATE(YEAR($AC175),MONTH($AC175),1))&gt;0,SUMPRODUCT((PayEmp=$C175)*(PayDate&lt;=$AC175)*(OFFSET($N$6,1,MATCH(AN$5,PayDedList,0)-1,PayCount,1)))/$AA175*12*AN$3,IF(OR(AN$1="Fixed",AN$1="Not Used"),SUMPRODUCT((PayEmp=$C175)*(PayDate&lt;=$AC175)*(OFFSET($N$6,1,MATCH(AN$5,PayDedList,0)-1,PayCount,1)))/$AA175*12*AN$3,IF(ISNA(MATCH(AN$1,EarnListItem,0))=FALSE,SUMPRODUCT((PayEmp=$C175)*(PayDate&lt;=$AC175)*(OFFSET($N$6,1,MATCH(AN$5,PayDedList,0)-1,PayCount,1)))/$AA175*12*AN$3,(MIN(((SUMPRODUCT((PayEmp=$C175)*(PayDate&lt;=$AC175)*(ISERROR(SEARCH(PayEarnCode,AN$2)))*(PayEarnType="Monthly")*(PayEarnValues))/$AA175*12)+(SUMPRODUCT((PayEmp=$C175)*(PayDate&lt;=$AC175)*(ISERROR(SEARCH(PayEarnCode,AN$2)))*(PayEarnType="Quarterly")*(PayEarnValues))/MAX(1,ROUNDDOWN($AB175/3,0))*4)+(SUMPRODUCT((PayEmp=$C175)*(PayDate&lt;=$AC175)*(ISERROR(SEARCH(PayEarnCode,AN$2)))*(PayEarnType="Bi-Annual")*(PayEarnValues))/MAX(1,ROUNDDOWN($AB175/6,0))*2)+(SUMPRODUCT((PayEmp=$C175)*(PayDate&lt;=$AC175)*(ISERROR(SEARCH(PayEarnCode,AN$2)))*(PayEarnType="Annual")*(PayEarnValues)))),IF(ISNUMBER(OFFSET($N$3,0,MATCH(AN$5,PayDedList,0)-1,1,1)),OFFSET($N$3,0,MATCH(AN$5,PayDedList,0)-1,1,1),IgnoreMin)))*IF(COUNTIFS(EmpNo,$C175,OFFSET(Emp!$R$4,1,MATCH(AN$5,DedListItem,0)-1,EmpCount,1),"&lt;&gt;")&gt;0,VLOOKUP($C175,EmpAll,COLUMN(Emp!$R$4)+MATCH(AN$5,DedListItem,0)-1,0),OFFSET(Setup!$E$73,MATCH(AN$5,DedListItem,0),0,1,1))*AN$3))),IF(ISNUMBER(AN$4),AN$4,IgnoreMin)))))</f>
        <v>0</v>
      </c>
      <c r="AO175" s="148" cm="1">
        <f t="array" aca="1" ref="AO175" ca="1">-IF($F175="Terminated",0,IF($AA175=0,0,IF(ISNA(MATCH(AO$5,PayDedList,0)),0,MIN(IF(COUNTIFS(OverEmp,$C175,OverDeduct,AO$5,OverDate,"&lt;"&amp;DATE(YEAR($AC175),MONTH($AC175)+1,1),OverEnd,"&gt;="&amp;DATE(YEAR($AC175),MONTH($AC175),1))&gt;0,SUMPRODUCT((PayEmp=$C175)*(PayDate&lt;=$AC175)*(OFFSET($N$6,1,MATCH(AO$5,PayDedList,0)-1,PayCount,1)))/$AA175*12*AO$3,IF(OR(AO$1="Fixed",AO$1="Not Used"),SUMPRODUCT((PayEmp=$C175)*(PayDate&lt;=$AC175)*(OFFSET($N$6,1,MATCH(AO$5,PayDedList,0)-1,PayCount,1)))/$AA175*12*AO$3,IF(ISNA(MATCH(AO$1,EarnListItem,0))=FALSE,SUMPRODUCT((PayEmp=$C175)*(PayDate&lt;=$AC175)*(OFFSET($N$6,1,MATCH(AO$5,PayDedList,0)-1,PayCount,1)))/$AA175*12*AO$3,(MIN(((SUMPRODUCT((PayEmp=$C175)*(PayDate&lt;=$AC175)*(ISERROR(SEARCH(PayEarnCode,AO$2)))*(PayEarnType="Monthly")*(PayEarnValues))/$AA175*12)+(SUMPRODUCT((PayEmp=$C175)*(PayDate&lt;=$AC175)*(ISERROR(SEARCH(PayEarnCode,AO$2)))*(PayEarnType="Quarterly")*(PayEarnValues))/MAX(1,ROUNDDOWN($AB175/3,0))*4)+(SUMPRODUCT((PayEmp=$C175)*(PayDate&lt;=$AC175)*(ISERROR(SEARCH(PayEarnCode,AO$2)))*(PayEarnType="Bi-Annual")*(PayEarnValues))/MAX(1,ROUNDDOWN($AB175/6,0))*2)+(SUMPRODUCT((PayEmp=$C175)*(PayDate&lt;=$AC175)*(ISERROR(SEARCH(PayEarnCode,AO$2)))*(PayEarnType="Annual")*(PayEarnValues)))),IF(ISNUMBER(OFFSET($N$3,0,MATCH(AO$5,PayDedList,0)-1,1,1)),OFFSET($N$3,0,MATCH(AO$5,PayDedList,0)-1,1,1),IgnoreMin)))*IF(COUNTIFS(EmpNo,$C175,OFFSET(Emp!$R$4,1,MATCH(AO$5,DedListItem,0)-1,EmpCount,1),"&lt;&gt;")&gt;0,VLOOKUP($C175,EmpAll,COLUMN(Emp!$R$4)+MATCH(AO$5,DedListItem,0)-1,0),OFFSET(Setup!$E$73,MATCH(AO$5,DedListItem,0),0,1,1))*AO$3))),IF(ISNUMBER(AO$4),AO$4,IgnoreMin)))))</f>
        <v>0</v>
      </c>
      <c r="AP175" s="148" cm="1">
        <f t="array" aca="1" ref="AP175" ca="1">-IF($F175="Terminated",0,IF($AA175=0,0,IF(ISNA(MATCH(AP$5,PayDedList,0)),0,MIN(IF(COUNTIFS(OverEmp,$C175,OverDeduct,AP$5,OverDate,"&lt;"&amp;DATE(YEAR($AC175),MONTH($AC175)+1,1),OverEnd,"&gt;="&amp;DATE(YEAR($AC175),MONTH($AC175),1))&gt;0,SUMPRODUCT((PayEmp=$C175)*(PayDate&lt;=$AC175)*(OFFSET($N$6,1,MATCH(AP$5,PayDedList,0)-1,PayCount,1)))/$AA175*12*AP$3,IF(OR(AP$1="Fixed",AP$1="Not Used"),SUMPRODUCT((PayEmp=$C175)*(PayDate&lt;=$AC175)*(OFFSET($N$6,1,MATCH(AP$5,PayDedList,0)-1,PayCount,1)))/$AA175*12*AP$3,IF(ISNA(MATCH(AP$1,EarnListItem,0))=FALSE,SUMPRODUCT((PayEmp=$C175)*(PayDate&lt;=$AC175)*(OFFSET($N$6,1,MATCH(AP$5,PayDedList,0)-1,PayCount,1)))/$AA175*12*AP$3,(MIN(((SUMPRODUCT((PayEmp=$C175)*(PayDate&lt;=$AC175)*(ISERROR(SEARCH(PayEarnCode,AP$2)))*(PayEarnType="Monthly")*(PayEarnValues))/$AA175*12)+(SUMPRODUCT((PayEmp=$C175)*(PayDate&lt;=$AC175)*(ISERROR(SEARCH(PayEarnCode,AP$2)))*(PayEarnType="Quarterly")*(PayEarnValues))/MAX(1,ROUNDDOWN($AB175/3,0))*4)+(SUMPRODUCT((PayEmp=$C175)*(PayDate&lt;=$AC175)*(ISERROR(SEARCH(PayEarnCode,AP$2)))*(PayEarnType="Bi-Annual")*(PayEarnValues))/MAX(1,ROUNDDOWN($AB175/6,0))*2)+(SUMPRODUCT((PayEmp=$C175)*(PayDate&lt;=$AC175)*(ISERROR(SEARCH(PayEarnCode,AP$2)))*(PayEarnType="Annual")*(PayEarnValues)))),IF(ISNUMBER(OFFSET($N$3,0,MATCH(AP$5,PayDedList,0)-1,1,1)),OFFSET($N$3,0,MATCH(AP$5,PayDedList,0)-1,1,1),IgnoreMin)))*IF(COUNTIFS(EmpNo,$C175,OFFSET(Emp!$R$4,1,MATCH(AP$5,DedListItem,0)-1,EmpCount,1),"&lt;&gt;")&gt;0,VLOOKUP($C175,EmpAll,COLUMN(Emp!$R$4)+MATCH(AP$5,DedListItem,0)-1,0),OFFSET(Setup!$E$73,MATCH(AP$5,DedListItem,0),0,1,1))*AP$3))),IF(ISNUMBER(AP$4),AP$4,IgnoreMin)))))</f>
        <v>0</v>
      </c>
      <c r="AQ175" s="148" cm="1">
        <f t="array" aca="1" ref="AQ175" ca="1">-IF($F175="Terminated",0,IF($AA175=0,0,IF(ISNA(MATCH(AQ$5,PayDedList,0)),0,MIN(IF(COUNTIFS(OverEmp,$C175,OverDeduct,AQ$5,OverDate,"&lt;"&amp;DATE(YEAR($AC175),MONTH($AC175)+1,1),OverEnd,"&gt;="&amp;DATE(YEAR($AC175),MONTH($AC175),1))&gt;0,SUMPRODUCT((PayEmp=$C175)*(PayDate&lt;=$AC175)*(OFFSET($N$6,1,MATCH(AQ$5,PayDedList,0)-1,PayCount,1)))/$AA175*12*AQ$3,IF(OR(AQ$1="Fixed",AQ$1="Not Used"),SUMPRODUCT((PayEmp=$C175)*(PayDate&lt;=$AC175)*(OFFSET($N$6,1,MATCH(AQ$5,PayDedList,0)-1,PayCount,1)))/$AA175*12*AQ$3,IF(ISNA(MATCH(AQ$1,EarnListItem,0))=FALSE,SUMPRODUCT((PayEmp=$C175)*(PayDate&lt;=$AC175)*(OFFSET($N$6,1,MATCH(AQ$5,PayDedList,0)-1,PayCount,1)))/$AA175*12*AQ$3,(MIN(((SUMPRODUCT((PayEmp=$C175)*(PayDate&lt;=$AC175)*(ISERROR(SEARCH(PayEarnCode,AQ$2)))*(PayEarnType="Monthly")*(PayEarnValues))/$AA175*12)+(SUMPRODUCT((PayEmp=$C175)*(PayDate&lt;=$AC175)*(ISERROR(SEARCH(PayEarnCode,AQ$2)))*(PayEarnType="Quarterly")*(PayEarnValues))/MAX(1,ROUNDDOWN($AB175/3,0))*4)+(SUMPRODUCT((PayEmp=$C175)*(PayDate&lt;=$AC175)*(ISERROR(SEARCH(PayEarnCode,AQ$2)))*(PayEarnType="Bi-Annual")*(PayEarnValues))/MAX(1,ROUNDDOWN($AB175/6,0))*2)+(SUMPRODUCT((PayEmp=$C175)*(PayDate&lt;=$AC175)*(ISERROR(SEARCH(PayEarnCode,AQ$2)))*(PayEarnType="Annual")*(PayEarnValues)))),IF(ISNUMBER(OFFSET($N$3,0,MATCH(AQ$5,PayDedList,0)-1,1,1)),OFFSET($N$3,0,MATCH(AQ$5,PayDedList,0)-1,1,1),IgnoreMin)))*IF(COUNTIFS(EmpNo,$C175,OFFSET(Emp!$R$4,1,MATCH(AQ$5,DedListItem,0)-1,EmpCount,1),"&lt;&gt;")&gt;0,VLOOKUP($C175,EmpAll,COLUMN(Emp!$R$4)+MATCH(AQ$5,DedListItem,0)-1,0),OFFSET(Setup!$E$73,MATCH(AQ$5,DedListItem,0),0,1,1))*AQ$3))),IF(ISNUMBER(AQ$4),AQ$4,IgnoreMin)))))</f>
        <v>0</v>
      </c>
      <c r="AR175" s="148">
        <f t="shared" ca="1" si="81"/>
        <v>201600</v>
      </c>
      <c r="AS175" s="148">
        <f t="shared" ca="1" si="72"/>
        <v>183000</v>
      </c>
      <c r="AT175" s="148" cm="1">
        <f t="array" aca="1" ref="AT175" ca="1">-IF($F175="Terminated",0,IF($AA175=0,0,IF(ISNA(MATCH(AT$5,PayDedList,0)),0,MIN(IF(COUNTIFS(OverEmp,$C175,OverDeduct,AT$5,OverDate,"&lt;"&amp;DATE(YEAR($AC175),MONTH($AC175)+1,1),OverEnd,"&gt;="&amp;DATE(YEAR($AC175),MONTH($AC175),1))&gt;0,SUMPRODUCT((PayEmp=$C175)*(PayDate&lt;=$AC175)*(OFFSET($N$6,1,MATCH(AT$5,PayDedList,0)-1,PayCount,1)))/$AA175*12*AT$3,IF(OR(AT$1="Fixed",AT$1="Not Used"),SUMPRODUCT((PayEmp=$C175)*(PayDate&lt;=$AC175)*(OFFSET($N$6,1,MATCH(AT$5,PayDedList,0)-1,PayCount,1)))/$AA175*12*AT$3,IF(ISNA(MATCH(OFFSET($N$2,0,MATCH(AT$5,PayDedList,0)-1,1,1),EarnListItem,0))=FALSE,SUMPRODUCT((PayEmp=$C175)*(PayDate&lt;=$AC175)*(OFFSET($N$6,1,MATCH(AT$5,PayDedList,0)-1,PayCount,1)))/$AA175*12*AT$3,(MIN(SUMPRODUCT((PayEmp=$C175)*(PayDate&lt;=$AC175)*(ISERROR(SEARCH(PayEarnCode,AT$2)))*(PayEarnType="Monthly")*(PayEarnValues))/$AA175*12,IF(ISNUMBER(OFFSET($N$3,0,MATCH(AT$5,PayDedList,0)-1,1,1)),OFFSET($N$3,0,MATCH(AT$5,PayDedList,0)-1,1,1),IgnoreMin)))*IF(COUNTIFS(EmpNo,$C175,OFFSET(Emp!$R$4,1,MATCH(AT$5,DedListItem,0)-1,EmpCount,1),"&lt;&gt;")&gt;0,VLOOKUP($C175,EmpAll,COLUMN(Emp!$R$4)+MATCH(AT$5,DedListItem,0)-1,0),OFFSET(Setup!$E$73,MATCH(AT$5,DedListItem,0),0,1,1))*AT$3))),IF(ISNUMBER(AT$4),AT$4,IgnoreMin)))))</f>
        <v>0</v>
      </c>
      <c r="AU175" s="148" cm="1">
        <f t="array" aca="1" ref="AU175" ca="1">-IF($F175="Terminated",0,IF($AA175=0,0,IF(ISNA(MATCH(AU$5,PayDedList,0)),0,MIN(IF(COUNTIFS(OverEmp,$C175,OverDeduct,AU$5,OverDate,"&lt;"&amp;DATE(YEAR($AC175),MONTH($AC175)+1,1),OverEnd,"&gt;="&amp;DATE(YEAR($AC175),MONTH($AC175),1))&gt;0,SUMPRODUCT((PayEmp=$C175)*(PayDate&lt;=$AC175)*(OFFSET($N$6,1,MATCH(AU$5,PayDedList,0)-1,PayCount,1)))/$AA175*12*AU$3,IF(OR(AU$1="Fixed",AU$1="Not Used"),SUMPRODUCT((PayEmp=$C175)*(PayDate&lt;=$AC175)*(OFFSET($N$6,1,MATCH(AU$5,PayDedList,0)-1,PayCount,1)))/$AA175*12*AU$3,IF(ISNA(MATCH(OFFSET($N$2,0,MATCH(AU$5,PayDedList,0)-1,1,1),EarnListItem,0))=FALSE,SUMPRODUCT((PayEmp=$C175)*(PayDate&lt;=$AC175)*(OFFSET($N$6,1,MATCH(AU$5,PayDedList,0)-1,PayCount,1)))/$AA175*12*AU$3,(MIN(SUMPRODUCT((PayEmp=$C175)*(PayDate&lt;=$AC175)*(ISERROR(SEARCH(PayEarnCode,AU$2)))*(PayEarnType="Monthly")*(PayEarnValues))/$AA175*12,IF(ISNUMBER(OFFSET($N$3,0,MATCH(AU$5,PayDedList,0)-1,1,1)),OFFSET($N$3,0,MATCH(AU$5,PayDedList,0)-1,1,1),IgnoreMin)))*IF(COUNTIFS(EmpNo,$C175,OFFSET(Emp!$R$4,1,MATCH(AU$5,DedListItem,0)-1,EmpCount,1),"&lt;&gt;")&gt;0,VLOOKUP($C175,EmpAll,COLUMN(Emp!$R$4)+MATCH(AU$5,DedListItem,0)-1,0),OFFSET(Setup!$E$73,MATCH(AU$5,DedListItem,0),0,1,1))*AU$3))),IF(ISNUMBER(AU$4),AU$4,IgnoreMin)))))</f>
        <v>0</v>
      </c>
      <c r="AV175" s="148" cm="1">
        <f t="array" aca="1" ref="AV175" ca="1">-IF($F175="Terminated",0,IF($AA175=0,0,IF(ISNA(MATCH(AV$5,PayDedList,0)),0,MIN(IF(COUNTIFS(OverEmp,$C175,OverDeduct,AV$5,OverDate,"&lt;"&amp;DATE(YEAR($AC175),MONTH($AC175)+1,1),OverEnd,"&gt;="&amp;DATE(YEAR($AC175),MONTH($AC175),1))&gt;0,SUMPRODUCT((PayEmp=$C175)*(PayDate&lt;=$AC175)*(OFFSET($N$6,1,MATCH(AV$5,PayDedList,0)-1,PayCount,1)))/$AA175*12*AV$3,IF(OR(AV$1="Fixed",AV$1="Not Used"),SUMPRODUCT((PayEmp=$C175)*(PayDate&lt;=$AC175)*(OFFSET($N$6,1,MATCH(AV$5,PayDedList,0)-1,PayCount,1)))/$AA175*12*AV$3,IF(ISNA(MATCH(OFFSET($N$2,0,MATCH(AV$5,PayDedList,0)-1,1,1),EarnListItem,0))=FALSE,SUMPRODUCT((PayEmp=$C175)*(PayDate&lt;=$AC175)*(OFFSET($N$6,1,MATCH(AV$5,PayDedList,0)-1,PayCount,1)))/$AA175*12*AV$3,(MIN(SUMPRODUCT((PayEmp=$C175)*(PayDate&lt;=$AC175)*(ISERROR(SEARCH(PayEarnCode,AV$2)))*(PayEarnType="Monthly")*(PayEarnValues))/$AA175*12,IF(ISNUMBER(OFFSET($N$3,0,MATCH(AV$5,PayDedList,0)-1,1,1)),OFFSET($N$3,0,MATCH(AV$5,PayDedList,0)-1,1,1),IgnoreMin)))*IF(COUNTIFS(EmpNo,$C175,OFFSET(Emp!$R$4,1,MATCH(AV$5,DedListItem,0)-1,EmpCount,1),"&lt;&gt;")&gt;0,VLOOKUP($C175,EmpAll,COLUMN(Emp!$R$4)+MATCH(AV$5,DedListItem,0)-1,0),OFFSET(Setup!$E$73,MATCH(AV$5,DedListItem,0),0,1,1))*AV$3))),IF(ISNUMBER(AV$4),AV$4,IgnoreMin)))))</f>
        <v>0</v>
      </c>
      <c r="AW175" s="148" cm="1">
        <f t="array" aca="1" ref="AW175" ca="1">-IF($F175="Terminated",0,IF($AA175=0,0,IF(ISNA(MATCH(AW$5,PayDedList,0)),0,MIN(IF(COUNTIFS(OverEmp,$C175,OverDeduct,AW$5,OverDate,"&lt;"&amp;DATE(YEAR($AC175),MONTH($AC175)+1,1),OverEnd,"&gt;="&amp;DATE(YEAR($AC175),MONTH($AC175),1))&gt;0,SUMPRODUCT((PayEmp=$C175)*(PayDate&lt;=$AC175)*(OFFSET($N$6,1,MATCH(AW$5,PayDedList,0)-1,PayCount,1)))/$AA175*12*AW$3,IF(OR(AW$1="Fixed",AW$1="Not Used"),SUMPRODUCT((PayEmp=$C175)*(PayDate&lt;=$AC175)*(OFFSET($N$6,1,MATCH(AW$5,PayDedList,0)-1,PayCount,1)))/$AA175*12*AW$3,IF(ISNA(MATCH(OFFSET($N$2,0,MATCH(AW$5,PayDedList,0)-1,1,1),EarnListItem,0))=FALSE,SUMPRODUCT((PayEmp=$C175)*(PayDate&lt;=$AC175)*(OFFSET($N$6,1,MATCH(AW$5,PayDedList,0)-1,PayCount,1)))/$AA175*12*AW$3,(MIN(SUMPRODUCT((PayEmp=$C175)*(PayDate&lt;=$AC175)*(ISERROR(SEARCH(PayEarnCode,AW$2)))*(PayEarnType="Monthly")*(PayEarnValues))/$AA175*12,IF(ISNUMBER(OFFSET($N$3,0,MATCH(AW$5,PayDedList,0)-1,1,1)),OFFSET($N$3,0,MATCH(AW$5,PayDedList,0)-1,1,1),IgnoreMin)))*IF(COUNTIFS(EmpNo,$C175,OFFSET(Emp!$R$4,1,MATCH(AW$5,DedListItem,0)-1,EmpCount,1),"&lt;&gt;")&gt;0,VLOOKUP($C175,EmpAll,COLUMN(Emp!$R$4)+MATCH(AW$5,DedListItem,0)-1,0),OFFSET(Setup!$E$73,MATCH(AW$5,DedListItem,0),0,1,1))*AW$3))),IF(ISNUMBER(AW$4),AW$4,IgnoreMin)))))</f>
        <v>0</v>
      </c>
      <c r="AX175" s="148">
        <f t="shared" ca="1" si="88"/>
        <v>183000</v>
      </c>
      <c r="AY175" s="148">
        <f t="shared" ca="1" si="89"/>
        <v>18600</v>
      </c>
      <c r="AZ175" s="148">
        <f ca="1">IF(ISNUMBER($AL175),($AR175*$AL175)-$AI175-$AK175,MAX(0,IF($AL175="B",IF($AR175&lt;Setup!$C$32,($AR175*Setup!$D$32)-$AI175-$AK175,(($AR175-VLOOKUP($AR175,TaxAll2,1,1))*OFFSET(Setup!$D$32,MATCH($AR175,TaxBracket2,1),0,1,1))+OFFSET(Setup!$E$31,MATCH($AR175,TaxBracket2,1),0,1,1)-$AI175-$AK175),IF($AR175&lt;Setup!$C$21,($AR175*Setup!$D$21)-$AI175-$AK175,(($AR175-VLOOKUP($AR175,TaxAll1,1,1))*OFFSET(Setup!$D$21,MATCH($AR175,TaxBracket1,1),0,1,1))+OFFSET(Setup!$E$20,MATCH($AR175,TaxBracket1,1),0,1,1)-$AI175-$AK175))))</f>
        <v>14685</v>
      </c>
      <c r="BA175" s="148">
        <f ca="1">IF(ISNUMBER($AL175),($AX175*$AL175)-$AI175-$AK175,MAX(0,IF($AL175="B",IF($AX175&lt;Setup!$C$32,($AX175*Setup!$D$32)-$AI175-$AK175,(($AX175-VLOOKUP($AX175,TaxAll2,1,1))*OFFSET(Setup!$D$32,MATCH($AX175,TaxBracket2,1),0,1,1))+OFFSET(Setup!$E$31,MATCH($AX175,TaxBracket2,1),0,1,1)-$AI175-$AK175),IF($AX175&lt;Setup!$C$21,($AX175*Setup!$D$21)-$AI175-$AK175,(($AX175-VLOOKUP($AX175,TaxAll1,1,1))*OFFSET(Setup!$D$21,MATCH($AX175,TaxBracket1,1),0,1,1))+OFFSET(Setup!$E$20,MATCH($AX175,TaxBracket1,1),0,1,1)-$AI175-$AK175))))</f>
        <v>11337</v>
      </c>
      <c r="BB175" s="148">
        <f t="shared" ca="1" si="82"/>
        <v>3348</v>
      </c>
      <c r="BC175" s="150">
        <f t="shared" ca="1" si="75"/>
        <v>0.90773809523809523</v>
      </c>
      <c r="BD175" s="150">
        <f t="shared" ca="1" si="76"/>
        <v>9.2261904761904767E-2</v>
      </c>
      <c r="BE175" s="148">
        <f t="shared" ca="1" si="77"/>
        <v>201600</v>
      </c>
    </row>
    <row r="176" spans="1:57" ht="16.149999999999999" customHeight="1" x14ac:dyDescent="0.25">
      <c r="A176" s="10" t="str" cm="1">
        <f t="array" aca="1" ref="A176" ca="1">IF(ROW($A176)-ROW($A$6)&gt;EmpCount*12,"-",TEXT($B176,"yyyy")&amp;TEXT($B176,"mm")&amp;"-"&amp;$C176)</f>
        <v>202402-EXS005</v>
      </c>
      <c r="B176" s="137" cm="1">
        <f t="array" aca="1" ref="B176" ca="1">IF(ROW($A176)-ROW($A$6)&gt;EmpCount*12,Setup!$D$12,DATE(YEAR(Setup!$F$12),MONTH(Setup!$F$12)+ROUNDDOWN((ROW($A176)-ROW($A$6)-1)/EmpCount,0),IF(Setup!$C$14&gt;DAY(DATE(YEAR(Setup!$F$12),MONTH(Setup!$F$12)+ROUNDDOWN((ROW($A176)-ROW($A$6)-1)/EmpCount,0)+1,0)),DAY(DATE(YEAR(Setup!$F$12),MONTH(Setup!$F$12)+ROUNDDOWN((ROW($A176)-ROW($A$6)-1)/EmpCount,0)+1,0)),Setup!$C$14)))</f>
        <v>45347</v>
      </c>
      <c r="C176" s="101" t="str" cm="1">
        <f t="array" aca="1" ref="C176" ca="1">IF(ROW($A176)-ROW($A$6)&gt;EmpCount*12,"-",OFFSET(Emp!$A$4,ROW($A176)-ROW($A$6)-IF(ROW($A176)-ROW($A$6)&gt;EmpCount,ROUNDDOWN((ROW($A176)-ROW($A$6)-1)/EmpCount,0)*EmpCount,0),0,1,1))</f>
        <v>EXS005</v>
      </c>
      <c r="D176" s="10" t="str">
        <f ca="1">IF(ISNA(VLOOKUP($C176,EmpAll,COLUMN(Emp!$B$4),0)),"-",VLOOKUP($C176,EmpAll,COLUMN(Emp!$B$4),0))</f>
        <v>Miller R</v>
      </c>
      <c r="E176" s="145" t="str">
        <f ca="1">IF(ISNA(VLOOKUP($C176,EmpAll,COLUMN(Emp!$C$4),0)),"-",VLOOKUP($C176,EmpAll,COLUMN(Emp!$C$4),0))</f>
        <v>S</v>
      </c>
      <c r="F176" s="101" t="str">
        <f ca="1">IF(ISNA(VLOOKUP($C176,EmpAll,COLUMN(Emp!$A$4),0)),"-",IF(AND(VLOOKUP($C176,EmpAll,COLUMN(Emp!$E$4),0)&lt;&gt;0,VLOOKUP($C176,EmpAll,COLUMN(Emp!$E$4),0)&gt;=DATE(YEAR($AC176),MONTH($AC176)+1,0)),"Inactive",IF(AND(VLOOKUP($C176,EmpAll,COLUMN(Emp!$F$4),0)&lt;&gt;0,VLOOKUP($C176,EmpAll,COLUMN(Emp!$F$4),0)&lt;=DATE(YEAR($AC176),MONTH($AC176),0)),"Terminated","Active")))</f>
        <v>Terminated</v>
      </c>
      <c r="G176" s="133" cm="1">
        <f t="array" aca="1" ref="G176" ca="1">IF($F176&lt;&gt;"Active",0,IF(COUNTIFS(OverEmp,$C176,OverEarn,G$2,OverDate,"&lt;"&amp;DATE(YEAR($AC176),MONTH($AC176)+1,1),OverEnd,"&gt;="&amp;DATE(YEAR($AC176),MONTH($AC176),1))&gt;0,SUMIFS(OverValue,OverEmp,$C176,OverEarn,G$2,OverDate,"&lt;"&amp;DATE(YEAR($AC176),MONTH($AC176)+1,1),OverEnd,"&gt;="&amp;DATE(YEAR($AC176),MONTH($AC176),1)),IF(AND($AC176&gt;=Setup!$E$10,SUMIFS(EmpIncrease,EmpCode,$C176)&gt;0),SUMIFS(EmpIncrease,EmpCode,$C176),SUMIFS(EmpSalary,EmpCode,$C176))))</f>
        <v>0</v>
      </c>
      <c r="H176" s="133" cm="1">
        <f t="array" aca="1" ref="H176" ca="1">IF($F176&lt;&gt;"Active",0,IF(COUNTIFS(OverEmp,$C176,OverEarn,H$2,OverDate,"&lt;"&amp;DATE(YEAR($AC176),MONTH($AC176)+1,1),OverEnd,"&gt;="&amp;DATE(YEAR($AC176),MONTH($AC176),1))&gt;0,SUMIFS(OverValue,OverEmp,$C176,OverEarn,H$2,OverDate,"&lt;"&amp;DATE(YEAR($AC176),MONTH($AC176)+1,1),OverEnd,"&gt;="&amp;DATE(YEAR($AC176),MONTH($AC176),1)),0))</f>
        <v>0</v>
      </c>
      <c r="I176" s="133" cm="1">
        <f t="array" aca="1" ref="I176" ca="1">IF($F176&lt;&gt;"Active",0,IF(COUNTIFS(OverEmp,$C176,OverEarn,I$2,OverDate,"&lt;"&amp;DATE(YEAR($AC176),MONTH($AC176)+1,1),OverEnd,"&gt;="&amp;DATE(YEAR($AC176),MONTH($AC176),1))&gt;0,SUMIFS(OverValue,OverEmp,$C176,OverEarn,I$2,OverDate,"&lt;"&amp;DATE(YEAR($AC176),MONTH($AC176)+1,1),OverEnd,"&gt;="&amp;DATE(YEAR($AC176),MONTH($AC176),1)),IF(MONTH(B176)=Setup!$C$15,SUMIFS(EmpBonus,EmpCode,$C176),0)))</f>
        <v>0</v>
      </c>
      <c r="J176" s="133" cm="1">
        <f t="array" aca="1" ref="J176" ca="1">IF($F176&lt;&gt;"Active",0,IF(COUNTIFS(OverEmp,$C176,OverEarn,J$2,OverDate,"&lt;"&amp;DATE(YEAR($AC176),MONTH($AC176)+1,1),OverEnd,"&gt;="&amp;DATE(YEAR($AC176),MONTH($AC176),1))&gt;0,SUMIFS(OverValue,OverEmp,$C176,OverEarn,J$2,OverDate,"&lt;"&amp;DATE(YEAR($AC176),MONTH($AC176)+1,1),OverEnd,"&gt;="&amp;DATE(YEAR($AC176),MONTH($AC176),1)),0))</f>
        <v>0</v>
      </c>
      <c r="K176" s="133" cm="1">
        <f t="array" aca="1" ref="K176" ca="1">IF($F176&lt;&gt;"Active",0,IF(COUNTIFS(OverEmp,$C176,OverEarn,K$2,OverDate,"&lt;"&amp;DATE(YEAR($AC176),MONTH($AC176)+1,1),OverEnd,"&gt;="&amp;DATE(YEAR($AC176),MONTH($AC176),1))&gt;0,SUMIFS(OverValue,OverEmp,$C176,OverEarn,K$2,OverDate,"&lt;"&amp;DATE(YEAR($AC176),MONTH($AC176)+1,1),OverEnd,"&gt;="&amp;DATE(YEAR($AC176),MONTH($AC176),1)),0))</f>
        <v>0</v>
      </c>
      <c r="L176" s="185">
        <f t="shared" ca="1" si="84"/>
        <v>0</v>
      </c>
      <c r="M176" s="182" cm="1">
        <f t="array" aca="1" ref="M176" ca="1">IF(COUNTIFS(OverEmp,$C176,OverTax,M$5,OverDate,"&lt;"&amp;DATE(YEAR($AC176),MONTH($AC176)+1,1),OverEnd,"&gt;="&amp;DATE(YEAR($AC176),MONTH($AC176),1))&gt;0,SUMIFS(OverValue,OverEmp,$C176,OverTax,M$5,OverDate,"&lt;"&amp;DATE(YEAR($AC176),MONTH($AC176)+1,1),OverEnd,"&gt;="&amp;DATE(YEAR($AC176),MONTH($AC176),1)),(($BA176/12*$AA176)+(BB176*IF(1-$BC176=0,0,BD176/(1-$BC176))))-IF($F176="Terminated",0,SUMIFS(PayTaxDeduct,PayDate,"&lt;"&amp;$AC176,PayEmp,$C176)))</f>
        <v>0</v>
      </c>
      <c r="N176" s="133" cm="1">
        <f t="array" aca="1" ref="N176" ca="1">IF($F176="Terminated",0,IF($AA176=0,0,IF(ISNA(MATCH(N$5,DedListItem,0)),0,IF(COUNTIFS(OverEmp,$C176,OverDeduct,N$5,OverDate,"&lt;"&amp;DATE(YEAR($AC176),MONTH($AC176)+1,1),OverEnd,"&gt;="&amp;DATE(YEAR($AC176),MONTH($AC176),1))&gt;0,SUMIFS(OverValue,OverEmp,$C176,OverDeduct,N$5,OverDate,"&lt;"&amp;DATE(YEAR($AC176),MONTH($AC176)+1,1),OverEnd,"&gt;="&amp;DATE(YEAR($AC176),MONTH($AC176),1)),IF(OR(N$2="Fixed",N$2="Not Used"),(IF(COUNTIFS(EmpNo,$C176,OFFSET(Emp!$R$4,1,MATCH(N$5,DedListItem,0)-1,EmpCount,1),"&lt;&gt;")&gt;0,VLOOKUP($C176,EmpAll,COLUMN(Emp!$R$4)+MATCH(N$5,DedListItem,0)-1,0),OFFSET(Setup!$E$73,MATCH(N$5,DedListItem,0),0,1,1))*$AA176)-SUMIFS(OFFSET(N$6,1,0,PayCount,1),PayDate,"&lt;"&amp;$AC176,PayEmp,$C176),IF(ISNA(MATCH(N$2,EarnListItem,0))=FALSE,IF(OFFSET(Setup!$G$73,MATCH(N$5,DedListItem,0),0,1,1)="Taxable",SUMPRODUCT((PayEmp=$C176)*(PayDate&lt;=$AC176)*(PayEarnCode=N$2)*(PayEarnTax)*(PayEarnValues)),SUMPRODUCT((PayEmp=$C176)*(PayDate&lt;=$AC176)*(PayEarnCode=N$2)*(PayEarnValues)))*IF(COUNTIFS(EmpNo,$C176,OFFSET(Emp!$R$4,1,MATCH(N$5,DedListItem,0)-1,EmpCount,1),"&lt;&gt;")&gt;0,VLOOKUP($C176,EmpAll,COLUMN(Emp!$R$4)+MATCH(N$5,DedListItem,0)-1,0),OFFSET(Setup!$E$73,MATCH(N$5,DedListItem,0),0,1,1)),(MIN(IF(OFFSET(Setup!$G$73,MATCH(N$5,DedListItem,0),0,1,1)="Taxable",SUMPRODUCT((PayEmp=$C176)*(PayDate&lt;=$AC176)*(ISERROR(SEARCH(PayEarnCode,N$4)))*(PayEarnTax)*(PayEarnValues)),SUMPRODUCT((PayEmp=$C176)*(PayDate&lt;=$AC176)*(ISERROR(SEARCH(PayEarnCode,N$4)))*(PayEarnValues))),IF(ISNUMBER(N$3),N$3/12*$AA176,IgnoreMin)))*IF(COUNTIFS(EmpNo,$C176,OFFSET(Emp!$R$4,1,MATCH(N$5,DedListItem,0)-1,EmpCount,1),"&lt;&gt;")&gt;0,VLOOKUP($C176,EmpAll,COLUMN(Emp!$R$4)+MATCH(N$5,DedListItem,0)-1,0),OFFSET(Setup!$E$73,MATCH(N$5,DedListItem,0),0,1,1)))-SUMIFS(OFFSET(N$6,1,0,PayCount,1),PayDate,"&lt;"&amp;$AC176,PayEmp,$C176))))))</f>
        <v>0</v>
      </c>
      <c r="O176" s="133" cm="1">
        <f t="array" aca="1" ref="O176" ca="1">IF($F176="Terminated",0,IF($AA176=0,0,IF(ISNA(MATCH(O$5,DedListItem,0)),0,IF(COUNTIFS(OverEmp,$C176,OverDeduct,O$5,OverDate,"&lt;"&amp;DATE(YEAR($AC176),MONTH($AC176)+1,1),OverEnd,"&gt;="&amp;DATE(YEAR($AC176),MONTH($AC176),1))&gt;0,SUMIFS(OverValue,OverEmp,$C176,OverDeduct,O$5,OverDate,"&lt;"&amp;DATE(YEAR($AC176),MONTH($AC176)+1,1),OverEnd,"&gt;="&amp;DATE(YEAR($AC176),MONTH($AC176),1)),IF(OR(O$2="Fixed",O$2="Not Used"),(IF(COUNTIFS(EmpNo,$C176,OFFSET(Emp!$R$4,1,MATCH(O$5,DedListItem,0)-1,EmpCount,1),"&lt;&gt;")&gt;0,VLOOKUP($C176,EmpAll,COLUMN(Emp!$R$4)+MATCH(O$5,DedListItem,0)-1,0),OFFSET(Setup!$E$73,MATCH(O$5,DedListItem,0),0,1,1))*$AA176)-SUMIFS(OFFSET(O$6,1,0,PayCount,1),PayDate,"&lt;"&amp;$AC176,PayEmp,$C176),IF(ISNA(MATCH(O$2,EarnListItem,0))=FALSE,IF(OFFSET(Setup!$G$73,MATCH(O$5,DedListItem,0),0,1,1)="Taxable",SUMPRODUCT((PayEmp=$C176)*(PayDate&lt;=$AC176)*(PayEarnCode=O$2)*(PayEarnTax)*(PayEarnValues)),SUMPRODUCT((PayEmp=$C176)*(PayDate&lt;=$AC176)*(PayEarnCode=O$2)*(PayEarnValues)))*IF(COUNTIFS(EmpNo,$C176,OFFSET(Emp!$R$4,1,MATCH(O$5,DedListItem,0)-1,EmpCount,1),"&lt;&gt;")&gt;0,VLOOKUP($C176,EmpAll,COLUMN(Emp!$R$4)+MATCH(O$5,DedListItem,0)-1,0),OFFSET(Setup!$E$73,MATCH(O$5,DedListItem,0),0,1,1)),(MIN(IF(OFFSET(Setup!$G$73,MATCH(O$5,DedListItem,0),0,1,1)="Taxable",SUMPRODUCT((PayEmp=$C176)*(PayDate&lt;=$AC176)*(ISERROR(SEARCH(PayEarnCode,O$4)))*(PayEarnTax)*(PayEarnValues)),SUMPRODUCT((PayEmp=$C176)*(PayDate&lt;=$AC176)*(ISERROR(SEARCH(PayEarnCode,O$4)))*(PayEarnValues))),IF(ISNUMBER(O$3),O$3/12*$AA176,IgnoreMin)))*IF(COUNTIFS(EmpNo,$C176,OFFSET(Emp!$R$4,1,MATCH(O$5,DedListItem,0)-1,EmpCount,1),"&lt;&gt;")&gt;0,VLOOKUP($C176,EmpAll,COLUMN(Emp!$R$4)+MATCH(O$5,DedListItem,0)-1,0),OFFSET(Setup!$E$73,MATCH(O$5,DedListItem,0),0,1,1)))-SUMIFS(OFFSET(O$6,1,0,PayCount,1),PayDate,"&lt;"&amp;$AC176,PayEmp,$C176))))))</f>
        <v>0</v>
      </c>
      <c r="P176" s="133" cm="1">
        <f t="array" aca="1" ref="P176" ca="1">IF($F176="Terminated",0,IF($AA176=0,0,IF(ISNA(MATCH(P$5,DedListItem,0)),0,IF(COUNTIFS(OverEmp,$C176,OverDeduct,P$5,OverDate,"&lt;"&amp;DATE(YEAR($AC176),MONTH($AC176)+1,1),OverEnd,"&gt;="&amp;DATE(YEAR($AC176),MONTH($AC176),1))&gt;0,SUMIFS(OverValue,OverEmp,$C176,OverDeduct,P$5,OverDate,"&lt;"&amp;DATE(YEAR($AC176),MONTH($AC176)+1,1),OverEnd,"&gt;="&amp;DATE(YEAR($AC176),MONTH($AC176),1)),IF(OR(P$2="Fixed",P$2="Not Used"),(IF(COUNTIFS(EmpNo,$C176,OFFSET(Emp!$R$4,1,MATCH(P$5,DedListItem,0)-1,EmpCount,1),"&lt;&gt;")&gt;0,VLOOKUP($C176,EmpAll,COLUMN(Emp!$R$4)+MATCH(P$5,DedListItem,0)-1,0),OFFSET(Setup!$E$73,MATCH(P$5,DedListItem,0),0,1,1))*$AA176)-SUMIFS(OFFSET(P$6,1,0,PayCount,1),PayDate,"&lt;"&amp;$AC176,PayEmp,$C176),IF(ISNA(MATCH(P$2,EarnListItem,0))=FALSE,IF(OFFSET(Setup!$G$73,MATCH(P$5,DedListItem,0),0,1,1)="Taxable",SUMPRODUCT((PayEmp=$C176)*(PayDate&lt;=$AC176)*(PayEarnCode=P$2)*(PayEarnTax)*(PayEarnValues)),SUMPRODUCT((PayEmp=$C176)*(PayDate&lt;=$AC176)*(PayEarnCode=P$2)*(PayEarnValues)))*IF(COUNTIFS(EmpNo,$C176,OFFSET(Emp!$R$4,1,MATCH(P$5,DedListItem,0)-1,EmpCount,1),"&lt;&gt;")&gt;0,VLOOKUP($C176,EmpAll,COLUMN(Emp!$R$4)+MATCH(P$5,DedListItem,0)-1,0),OFFSET(Setup!$E$73,MATCH(P$5,DedListItem,0),0,1,1)),(MIN(IF(OFFSET(Setup!$G$73,MATCH(P$5,DedListItem,0),0,1,1)="Taxable",SUMPRODUCT((PayEmp=$C176)*(PayDate&lt;=$AC176)*(ISERROR(SEARCH(PayEarnCode,P$4)))*(PayEarnTax)*(PayEarnValues)),SUMPRODUCT((PayEmp=$C176)*(PayDate&lt;=$AC176)*(ISERROR(SEARCH(PayEarnCode,P$4)))*(PayEarnValues))),IF(ISNUMBER(P$3),P$3/12*$AA176,IgnoreMin)))*IF(COUNTIFS(EmpNo,$C176,OFFSET(Emp!$R$4,1,MATCH(P$5,DedListItem,0)-1,EmpCount,1),"&lt;&gt;")&gt;0,VLOOKUP($C176,EmpAll,COLUMN(Emp!$R$4)+MATCH(P$5,DedListItem,0)-1,0),OFFSET(Setup!$E$73,MATCH(P$5,DedListItem,0),0,1,1)))-SUMIFS(OFFSET(P$6,1,0,PayCount,1),PayDate,"&lt;"&amp;$AC176,PayEmp,$C176))))))</f>
        <v>0</v>
      </c>
      <c r="Q176" s="133" cm="1">
        <f t="array" aca="1" ref="Q176" ca="1">IF($F176="Terminated",0,IF($AA176=0,0,IF(ISNA(MATCH(Q$5,DedListItem,0)),0,IF(COUNTIFS(OverEmp,$C176,OverDeduct,Q$5,OverDate,"&lt;"&amp;DATE(YEAR($AC176),MONTH($AC176)+1,1),OverEnd,"&gt;="&amp;DATE(YEAR($AC176),MONTH($AC176),1))&gt;0,SUMIFS(OverValue,OverEmp,$C176,OverDeduct,Q$5,OverDate,"&lt;"&amp;DATE(YEAR($AC176),MONTH($AC176)+1,1),OverEnd,"&gt;="&amp;DATE(YEAR($AC176),MONTH($AC176),1)),IF(OR(Q$2="Fixed",Q$2="Not Used"),(IF(COUNTIFS(EmpNo,$C176,OFFSET(Emp!$R$4,1,MATCH(Q$5,DedListItem,0)-1,EmpCount,1),"&lt;&gt;")&gt;0,VLOOKUP($C176,EmpAll,COLUMN(Emp!$R$4)+MATCH(Q$5,DedListItem,0)-1,0),OFFSET(Setup!$E$73,MATCH(Q$5,DedListItem,0),0,1,1))*$AA176)-SUMIFS(OFFSET(Q$6,1,0,PayCount,1),PayDate,"&lt;"&amp;$AC176,PayEmp,$C176),IF(ISNA(MATCH(Q$2,EarnListItem,0))=FALSE,IF(OFFSET(Setup!$G$73,MATCH(Q$5,DedListItem,0),0,1,1)="Taxable",SUMPRODUCT((PayEmp=$C176)*(PayDate&lt;=$AC176)*(PayEarnCode=Q$2)*(PayEarnTax)*(PayEarnValues)),SUMPRODUCT((PayEmp=$C176)*(PayDate&lt;=$AC176)*(PayEarnCode=Q$2)*(PayEarnValues)))*IF(COUNTIFS(EmpNo,$C176,OFFSET(Emp!$R$4,1,MATCH(Q$5,DedListItem,0)-1,EmpCount,1),"&lt;&gt;")&gt;0,VLOOKUP($C176,EmpAll,COLUMN(Emp!$R$4)+MATCH(Q$5,DedListItem,0)-1,0),OFFSET(Setup!$E$73,MATCH(Q$5,DedListItem,0),0,1,1)),(MIN(IF(OFFSET(Setup!$G$73,MATCH(Q$5,DedListItem,0),0,1,1)="Taxable",SUMPRODUCT((PayEmp=$C176)*(PayDate&lt;=$AC176)*(ISERROR(SEARCH(PayEarnCode,Q$4)))*(PayEarnTax)*(PayEarnValues)),SUMPRODUCT((PayEmp=$C176)*(PayDate&lt;=$AC176)*(ISERROR(SEARCH(PayEarnCode,Q$4)))*(PayEarnValues))),IF(ISNUMBER(Q$3),Q$3/12*$AA176,IgnoreMin)))*IF(COUNTIFS(EmpNo,$C176,OFFSET(Emp!$R$4,1,MATCH(Q$5,DedListItem,0)-1,EmpCount,1),"&lt;&gt;")&gt;0,VLOOKUP($C176,EmpAll,COLUMN(Emp!$R$4)+MATCH(Q$5,DedListItem,0)-1,0),OFFSET(Setup!$E$73,MATCH(Q$5,DedListItem,0),0,1,1)))-SUMIFS(OFFSET(Q$6,1,0,PayCount,1),PayDate,"&lt;"&amp;$AC176,PayEmp,$C176))))))</f>
        <v>0</v>
      </c>
      <c r="R176" s="185">
        <f t="shared" ca="1" si="85"/>
        <v>0</v>
      </c>
      <c r="S176" s="139">
        <f t="shared" ca="1" si="86"/>
        <v>0</v>
      </c>
      <c r="T176" s="133" cm="1">
        <f t="array" aca="1" ref="T176" ca="1">IF($F176="Terminated",0,IF($AA176=0,0,IF(ISNA(MATCH(T$5,CompListItem,0)),0,IF(COUNTIFS(OverEmp,$C176,OverComp,T$5,OverDate,"&lt;"&amp;DATE(YEAR($AC176),MONTH($AC176)+1,1),OverEnd,"&gt;="&amp;DATE(YEAR($AC176),MONTH($AC176),1))&gt;0,SUMIFS(OverValue,OverEmp,$C176,OverComp,T$5,OverDate,"&lt;"&amp;DATE(YEAR($AC176),MONTH($AC176)+1,1),OverEnd,"&gt;="&amp;DATE(YEAR($AC176),MONTH($AC176),1)),IF(OR(T$2="Fixed",T$2="Not Used"),(OFFSET(Setup!$E$81,MATCH(T$5,CompListItem,0),0,1,1)*$AA176)-SUMIFS(OFFSET(T$6,1,0,PayCount,1),PayDate,"&lt;"&amp;$AC176,PayEmp,$C176),IF(ISNA(MATCH(T$2,DedListItem,0))=FALSE,(SUMPRODUCT((PayEmp=$C176)*(PayDate&lt;=$AC176)*(PayDedList=T$2)*(PayDedValues))*OFFSET(Setup!$E$81,MATCH(T$5,CompListItem,0),0,1,1))-SUMIFS(OFFSET(T$6,1,0,PayCount,1),PayDate,"&lt;"&amp;$AC176,PayEmp,$C176),(MIN(IF(OFFSET(Setup!$G$81,MATCH(T$5,CompListItem,0),0,1,1)="Taxable",SUMPRODUCT((PayEmp=$C176)*(PayDate&lt;=$AC176)*(ISERROR(SEARCH(PayEarnCode,T$4)))*(PayEarnTax)*(PayEarnValues)),SUMPRODUCT((PayEmp=$C176)*(PayDate&lt;=$AC176)*(ISERROR(SEARCH(PayEarnCode,T$4)))*(PayEarnValues))),IF(ISNUMBER(T$3),T$3/12*$AA176,IgnoreMin)))*OFFSET(Setup!$E$81,MATCH(T$5,CompListItem,0),0,1,1)-SUMIFS(OFFSET(T$6,1,0,PayCount,1),PayDate,"&lt;"&amp;$AC176,PayEmp,$C176)))))))</f>
        <v>0</v>
      </c>
      <c r="U176" s="133" cm="1">
        <f t="array" aca="1" ref="U176" ca="1">IF($F176="Terminated",0,IF($AA176=0,0,IF(ISNA(MATCH(U$5,CompListItem,0)),0,IF(COUNTIFS(OverEmp,$C176,OverComp,U$5,OverDate,"&lt;"&amp;DATE(YEAR($AC176),MONTH($AC176)+1,1),OverEnd,"&gt;="&amp;DATE(YEAR($AC176),MONTH($AC176),1))&gt;0,SUMIFS(OverValue,OverEmp,$C176,OverComp,U$5,OverDate,"&lt;"&amp;DATE(YEAR($AC176),MONTH($AC176)+1,1),OverEnd,"&gt;="&amp;DATE(YEAR($AC176),MONTH($AC176),1)),IF(OR(U$2="Fixed",U$2="Not Used"),(OFFSET(Setup!$E$81,MATCH(U$5,CompListItem,0),0,1,1)*$AA176)-SUMIFS(OFFSET(U$6,1,0,PayCount,1),PayDate,"&lt;"&amp;$AC176,PayEmp,$C176),IF(ISNA(MATCH(U$2,DedListItem,0))=FALSE,(SUMPRODUCT((PayEmp=$C176)*(PayDate&lt;=$AC176)*(PayDedList=U$2)*(PayDedValues))*OFFSET(Setup!$E$81,MATCH(U$5,CompListItem,0),0,1,1))-SUMIFS(OFFSET(U$6,1,0,PayCount,1),PayDate,"&lt;"&amp;$AC176,PayEmp,$C176),(MIN(IF(OFFSET(Setup!$G$81,MATCH(U$5,CompListItem,0),0,1,1)="Taxable",SUMPRODUCT((PayEmp=$C176)*(PayDate&lt;=$AC176)*(ISERROR(SEARCH(PayEarnCode,U$4)))*(PayEarnTax)*(PayEarnValues)),SUMPRODUCT((PayEmp=$C176)*(PayDate&lt;=$AC176)*(ISERROR(SEARCH(PayEarnCode,U$4)))*(PayEarnValues))),IF(ISNUMBER(U$3),U$3/12*$AA176,IgnoreMin)))*OFFSET(Setup!$E$81,MATCH(U$5,CompListItem,0),0,1,1)-SUMIFS(OFFSET(U$6,1,0,PayCount,1),PayDate,"&lt;"&amp;$AC176,PayEmp,$C176)))))))</f>
        <v>0</v>
      </c>
      <c r="V176" s="133" cm="1">
        <f t="array" aca="1" ref="V176" ca="1">IF($F176="Terminated",0,IF($AA176=0,0,IF(ISNA(MATCH(V$5,CompListItem,0)),0,IF(COUNTIFS(OverEmp,$C176,OverComp,V$5,OverDate,"&lt;"&amp;DATE(YEAR($AC176),MONTH($AC176)+1,1),OverEnd,"&gt;="&amp;DATE(YEAR($AC176),MONTH($AC176),1))&gt;0,SUMIFS(OverValue,OverEmp,$C176,OverComp,V$5,OverDate,"&lt;"&amp;DATE(YEAR($AC176),MONTH($AC176)+1,1),OverEnd,"&gt;="&amp;DATE(YEAR($AC176),MONTH($AC176),1)),IF(OR(V$2="Fixed",V$2="Not Used"),(OFFSET(Setup!$E$81,MATCH(V$5,CompListItem,0),0,1,1)*$AA176)-SUMIFS(OFFSET(V$6,1,0,PayCount,1),PayDate,"&lt;"&amp;$AC176,PayEmp,$C176),IF(ISNA(MATCH(V$2,DedListItem,0))=FALSE,(SUMPRODUCT((PayEmp=$C176)*(PayDate&lt;=$AC176)*(PayDedList=V$2)*(PayDedValues))*OFFSET(Setup!$E$81,MATCH(V$5,CompListItem,0),0,1,1))-SUMIFS(OFFSET(V$6,1,0,PayCount,1),PayDate,"&lt;"&amp;$AC176,PayEmp,$C176),(MIN(IF(OFFSET(Setup!$G$81,MATCH(V$5,CompListItem,0),0,1,1)="Taxable",SUMPRODUCT((PayEmp=$C176)*(PayDate&lt;=$AC176)*(ISERROR(SEARCH(PayEarnCode,V$4)))*(PayEarnTax)*(PayEarnValues)),SUMPRODUCT((PayEmp=$C176)*(PayDate&lt;=$AC176)*(ISERROR(SEARCH(PayEarnCode,V$4)))*(PayEarnValues))),IF(ISNUMBER(V$3),V$3/12*$AA176,IgnoreMin)))*OFFSET(Setup!$E$81,MATCH(V$5,CompListItem,0),0,1,1)-SUMIFS(OFFSET(V$6,1,0,PayCount,1),PayDate,"&lt;"&amp;$AC176,PayEmp,$C176)))))))</f>
        <v>0</v>
      </c>
      <c r="W176" s="133" cm="1">
        <f t="array" aca="1" ref="W176" ca="1">IF($F176="Terminated",0,IF($AA176=0,0,IF(ISNA(MATCH(W$5,CompListItem,0)),0,IF(COUNTIFS(OverEmp,$C176,OverComp,W$5,OverDate,"&lt;"&amp;DATE(YEAR($AC176),MONTH($AC176)+1,1),OverEnd,"&gt;="&amp;DATE(YEAR($AC176),MONTH($AC176),1))&gt;0,SUMIFS(OverValue,OverEmp,$C176,OverComp,W$5,OverDate,"&lt;"&amp;DATE(YEAR($AC176),MONTH($AC176)+1,1),OverEnd,"&gt;="&amp;DATE(YEAR($AC176),MONTH($AC176),1)),IF(OR(W$2="Fixed",W$2="Not Used"),(OFFSET(Setup!$E$81,MATCH(W$5,CompListItem,0),0,1,1)*$AA176)-SUMIFS(OFFSET(W$6,1,0,PayCount,1),PayDate,"&lt;"&amp;$AC176,PayEmp,$C176),IF(ISNA(MATCH(W$2,DedListItem,0))=FALSE,(SUMPRODUCT((PayEmp=$C176)*(PayDate&lt;=$AC176)*(PayDedList=W$2)*(PayDedValues))*OFFSET(Setup!$E$81,MATCH(W$5,CompListItem,0),0,1,1))-SUMIFS(OFFSET(W$6,1,0,PayCount,1),PayDate,"&lt;"&amp;$AC176,PayEmp,$C176),(MIN(IF(OFFSET(Setup!$G$81,MATCH(W$5,CompListItem,0),0,1,1)="Taxable",SUMPRODUCT((PayEmp=$C176)*(PayDate&lt;=$AC176)*(ISERROR(SEARCH(PayEarnCode,W$4)))*(PayEarnTax)*(PayEarnValues)),SUMPRODUCT((PayEmp=$C176)*(PayDate&lt;=$AC176)*(ISERROR(SEARCH(PayEarnCode,W$4)))*(PayEarnValues))),IF(ISNUMBER(W$3),W$3/12*$AA176,IgnoreMin)))*OFFSET(Setup!$E$81,MATCH(W$5,CompListItem,0),0,1,1)-SUMIFS(OFFSET(W$6,1,0,PayCount,1),PayDate,"&lt;"&amp;$AC176,PayEmp,$C176)))))))</f>
        <v>0</v>
      </c>
      <c r="X176" s="185">
        <f t="shared" ca="1" si="78"/>
        <v>0</v>
      </c>
      <c r="Y176" s="139">
        <f t="shared" ca="1" si="87"/>
        <v>0</v>
      </c>
      <c r="Z176" s="139">
        <f t="shared" ca="1" si="79"/>
        <v>0</v>
      </c>
      <c r="AA176" s="146">
        <f ca="1">IF(OR($B176&lt;=Setup!$E$12,$B176&gt;=Setup!$D$12+1),0,IF($F176&lt;&gt;"Active",0,IF($AE176="Yes",$AB176,((YEAR($AC176)*12)+MONTH($AC176))-((YEAR($AD176)*12)+MONTH($AD176)-1))))</f>
        <v>0</v>
      </c>
      <c r="AB176" s="146">
        <f ca="1">IF(OR($B176&lt;=Setup!$E$12,$B176&gt;=Setup!$D$12+1),0,((YEAR($AC176)*12)+MONTH($AC176))-((YEAR(Setup!$E$12)*12)+MONTH(Setup!$E$12)))</f>
        <v>12</v>
      </c>
      <c r="AC176" s="186">
        <f t="shared" ca="1" si="83"/>
        <v>45347</v>
      </c>
      <c r="AD176" s="144">
        <f ca="1">IF(ISNA(VLOOKUP($C176,EmpAll,COLUMN(Emp!$E$4),0)),$AC176,IF(VLOOKUP($C176,EmpAll,COLUMN(Emp!$E$4),0)&lt;=Setup!$E$12,DATE(YEAR(Setup!$E$12),MONTH(Setup!$E$12)+1,1),VLOOKUP($C176,EmpAll,COLUMN(Emp!$E$4),0)))</f>
        <v>44986</v>
      </c>
      <c r="AE176" s="144" t="str">
        <f ca="1">IF(ISNA(VLOOKUP($C176,EmpAll,COLUMN(Emp!$G$1),0)),"-",IF(VLOOKUP($C176,EmpAll,COLUMN(Emp!$G$1),0)=0,"-",VLOOKUP($C176,EmpAll,COLUMN(Emp!$G$1),0)))</f>
        <v>-</v>
      </c>
      <c r="AF176" s="145">
        <f ca="1">IF(A176=PaySlip!$G$3,1,0)</f>
        <v>0</v>
      </c>
      <c r="AG176" s="130" cm="1">
        <f t="array" aca="1" ref="AG176" ca="1">IF(COUNTIFS(OverEmp,$C176,OverMed,"MED",OverDate,"&lt;"&amp;DATE(YEAR($AC176),MONTH($AC176)+1,1),OverEnd,"&gt;="&amp;DATE(YEAR($AC176),MONTH($AC176),1))&gt;0,SUMIFS(OverValue,OverEmp,$C176,OverMed,"MED",OverDate,"&lt;"&amp;DATE(YEAR($AC176),MONTH($AC176)+1,1),OverEnd,"&gt;="&amp;DATE(YEAR($AC176),MONTH($AC176),1)),IF(ISNA(VLOOKUP($C176,EmpAll,COLUMN(Emp!$N$4),0)),0,VLOOKUP($C176,EmpAll,COLUMN(Emp!$N$4),0)))</f>
        <v>1</v>
      </c>
      <c r="AH176" s="146">
        <f ca="1">VLOOKUP($AG176,MedList,COLUMN(Setup!$C$49),1)</f>
        <v>364</v>
      </c>
      <c r="AI176" s="146">
        <f t="shared" ca="1" si="70"/>
        <v>8736</v>
      </c>
      <c r="AJ176" s="101" t="str">
        <f ca="1">IF(ISNA(VLOOKUP($C176,EmpAll,COLUMN(Emp!$L$4),0)),"None!",VLOOKUP($C176,EmpAll,COLUMN(Emp!$L$4),0))</f>
        <v>A</v>
      </c>
      <c r="AK176" s="147">
        <f t="shared" ca="1" si="80"/>
        <v>17235</v>
      </c>
      <c r="AL176" s="101" t="str">
        <f ca="1">IF(ISNA(VLOOKUP($C176,Employees[],COLUMN(Emp!$M$4),0))=TRUE,"Error!",IF(VLOOKUP($C176,Employees[],COLUMN(Emp!$M$4),0)=0,"Yes",VLOOKUP($C176,Employees[],COLUMN(Emp!$M$4),0)))</f>
        <v>A</v>
      </c>
      <c r="AM176" s="148">
        <f t="shared" ca="1" si="71"/>
        <v>0</v>
      </c>
      <c r="AN176" s="148" cm="1">
        <f t="array" aca="1" ref="AN176" ca="1">-IF($F176="Terminated",0,IF($AA176=0,0,IF(ISNA(MATCH(AN$5,PayDedList,0)),0,MIN(IF(COUNTIFS(OverEmp,$C176,OverDeduct,AN$5,OverDate,"&lt;"&amp;DATE(YEAR($AC176),MONTH($AC176)+1,1),OverEnd,"&gt;="&amp;DATE(YEAR($AC176),MONTH($AC176),1))&gt;0,SUMPRODUCT((PayEmp=$C176)*(PayDate&lt;=$AC176)*(OFFSET($N$6,1,MATCH(AN$5,PayDedList,0)-1,PayCount,1)))/$AA176*12*AN$3,IF(OR(AN$1="Fixed",AN$1="Not Used"),SUMPRODUCT((PayEmp=$C176)*(PayDate&lt;=$AC176)*(OFFSET($N$6,1,MATCH(AN$5,PayDedList,0)-1,PayCount,1)))/$AA176*12*AN$3,IF(ISNA(MATCH(AN$1,EarnListItem,0))=FALSE,SUMPRODUCT((PayEmp=$C176)*(PayDate&lt;=$AC176)*(OFFSET($N$6,1,MATCH(AN$5,PayDedList,0)-1,PayCount,1)))/$AA176*12*AN$3,(MIN(((SUMPRODUCT((PayEmp=$C176)*(PayDate&lt;=$AC176)*(ISERROR(SEARCH(PayEarnCode,AN$2)))*(PayEarnType="Monthly")*(PayEarnValues))/$AA176*12)+(SUMPRODUCT((PayEmp=$C176)*(PayDate&lt;=$AC176)*(ISERROR(SEARCH(PayEarnCode,AN$2)))*(PayEarnType="Quarterly")*(PayEarnValues))/MAX(1,ROUNDDOWN($AB176/3,0))*4)+(SUMPRODUCT((PayEmp=$C176)*(PayDate&lt;=$AC176)*(ISERROR(SEARCH(PayEarnCode,AN$2)))*(PayEarnType="Bi-Annual")*(PayEarnValues))/MAX(1,ROUNDDOWN($AB176/6,0))*2)+(SUMPRODUCT((PayEmp=$C176)*(PayDate&lt;=$AC176)*(ISERROR(SEARCH(PayEarnCode,AN$2)))*(PayEarnType="Annual")*(PayEarnValues)))),IF(ISNUMBER(OFFSET($N$3,0,MATCH(AN$5,PayDedList,0)-1,1,1)),OFFSET($N$3,0,MATCH(AN$5,PayDedList,0)-1,1,1),IgnoreMin)))*IF(COUNTIFS(EmpNo,$C176,OFFSET(Emp!$R$4,1,MATCH(AN$5,DedListItem,0)-1,EmpCount,1),"&lt;&gt;")&gt;0,VLOOKUP($C176,EmpAll,COLUMN(Emp!$R$4)+MATCH(AN$5,DedListItem,0)-1,0),OFFSET(Setup!$E$73,MATCH(AN$5,DedListItem,0),0,1,1))*AN$3))),IF(ISNUMBER(AN$4),AN$4,IgnoreMin)))))</f>
        <v>0</v>
      </c>
      <c r="AO176" s="148" cm="1">
        <f t="array" aca="1" ref="AO176" ca="1">-IF($F176="Terminated",0,IF($AA176=0,0,IF(ISNA(MATCH(AO$5,PayDedList,0)),0,MIN(IF(COUNTIFS(OverEmp,$C176,OverDeduct,AO$5,OverDate,"&lt;"&amp;DATE(YEAR($AC176),MONTH($AC176)+1,1),OverEnd,"&gt;="&amp;DATE(YEAR($AC176),MONTH($AC176),1))&gt;0,SUMPRODUCT((PayEmp=$C176)*(PayDate&lt;=$AC176)*(OFFSET($N$6,1,MATCH(AO$5,PayDedList,0)-1,PayCount,1)))/$AA176*12*AO$3,IF(OR(AO$1="Fixed",AO$1="Not Used"),SUMPRODUCT((PayEmp=$C176)*(PayDate&lt;=$AC176)*(OFFSET($N$6,1,MATCH(AO$5,PayDedList,0)-1,PayCount,1)))/$AA176*12*AO$3,IF(ISNA(MATCH(AO$1,EarnListItem,0))=FALSE,SUMPRODUCT((PayEmp=$C176)*(PayDate&lt;=$AC176)*(OFFSET($N$6,1,MATCH(AO$5,PayDedList,0)-1,PayCount,1)))/$AA176*12*AO$3,(MIN(((SUMPRODUCT((PayEmp=$C176)*(PayDate&lt;=$AC176)*(ISERROR(SEARCH(PayEarnCode,AO$2)))*(PayEarnType="Monthly")*(PayEarnValues))/$AA176*12)+(SUMPRODUCT((PayEmp=$C176)*(PayDate&lt;=$AC176)*(ISERROR(SEARCH(PayEarnCode,AO$2)))*(PayEarnType="Quarterly")*(PayEarnValues))/MAX(1,ROUNDDOWN($AB176/3,0))*4)+(SUMPRODUCT((PayEmp=$C176)*(PayDate&lt;=$AC176)*(ISERROR(SEARCH(PayEarnCode,AO$2)))*(PayEarnType="Bi-Annual")*(PayEarnValues))/MAX(1,ROUNDDOWN($AB176/6,0))*2)+(SUMPRODUCT((PayEmp=$C176)*(PayDate&lt;=$AC176)*(ISERROR(SEARCH(PayEarnCode,AO$2)))*(PayEarnType="Annual")*(PayEarnValues)))),IF(ISNUMBER(OFFSET($N$3,0,MATCH(AO$5,PayDedList,0)-1,1,1)),OFFSET($N$3,0,MATCH(AO$5,PayDedList,0)-1,1,1),IgnoreMin)))*IF(COUNTIFS(EmpNo,$C176,OFFSET(Emp!$R$4,1,MATCH(AO$5,DedListItem,0)-1,EmpCount,1),"&lt;&gt;")&gt;0,VLOOKUP($C176,EmpAll,COLUMN(Emp!$R$4)+MATCH(AO$5,DedListItem,0)-1,0),OFFSET(Setup!$E$73,MATCH(AO$5,DedListItem,0),0,1,1))*AO$3))),IF(ISNUMBER(AO$4),AO$4,IgnoreMin)))))</f>
        <v>0</v>
      </c>
      <c r="AP176" s="148" cm="1">
        <f t="array" aca="1" ref="AP176" ca="1">-IF($F176="Terminated",0,IF($AA176=0,0,IF(ISNA(MATCH(AP$5,PayDedList,0)),0,MIN(IF(COUNTIFS(OverEmp,$C176,OverDeduct,AP$5,OverDate,"&lt;"&amp;DATE(YEAR($AC176),MONTH($AC176)+1,1),OverEnd,"&gt;="&amp;DATE(YEAR($AC176),MONTH($AC176),1))&gt;0,SUMPRODUCT((PayEmp=$C176)*(PayDate&lt;=$AC176)*(OFFSET($N$6,1,MATCH(AP$5,PayDedList,0)-1,PayCount,1)))/$AA176*12*AP$3,IF(OR(AP$1="Fixed",AP$1="Not Used"),SUMPRODUCT((PayEmp=$C176)*(PayDate&lt;=$AC176)*(OFFSET($N$6,1,MATCH(AP$5,PayDedList,0)-1,PayCount,1)))/$AA176*12*AP$3,IF(ISNA(MATCH(AP$1,EarnListItem,0))=FALSE,SUMPRODUCT((PayEmp=$C176)*(PayDate&lt;=$AC176)*(OFFSET($N$6,1,MATCH(AP$5,PayDedList,0)-1,PayCount,1)))/$AA176*12*AP$3,(MIN(((SUMPRODUCT((PayEmp=$C176)*(PayDate&lt;=$AC176)*(ISERROR(SEARCH(PayEarnCode,AP$2)))*(PayEarnType="Monthly")*(PayEarnValues))/$AA176*12)+(SUMPRODUCT((PayEmp=$C176)*(PayDate&lt;=$AC176)*(ISERROR(SEARCH(PayEarnCode,AP$2)))*(PayEarnType="Quarterly")*(PayEarnValues))/MAX(1,ROUNDDOWN($AB176/3,0))*4)+(SUMPRODUCT((PayEmp=$C176)*(PayDate&lt;=$AC176)*(ISERROR(SEARCH(PayEarnCode,AP$2)))*(PayEarnType="Bi-Annual")*(PayEarnValues))/MAX(1,ROUNDDOWN($AB176/6,0))*2)+(SUMPRODUCT((PayEmp=$C176)*(PayDate&lt;=$AC176)*(ISERROR(SEARCH(PayEarnCode,AP$2)))*(PayEarnType="Annual")*(PayEarnValues)))),IF(ISNUMBER(OFFSET($N$3,0,MATCH(AP$5,PayDedList,0)-1,1,1)),OFFSET($N$3,0,MATCH(AP$5,PayDedList,0)-1,1,1),IgnoreMin)))*IF(COUNTIFS(EmpNo,$C176,OFFSET(Emp!$R$4,1,MATCH(AP$5,DedListItem,0)-1,EmpCount,1),"&lt;&gt;")&gt;0,VLOOKUP($C176,EmpAll,COLUMN(Emp!$R$4)+MATCH(AP$5,DedListItem,0)-1,0),OFFSET(Setup!$E$73,MATCH(AP$5,DedListItem,0),0,1,1))*AP$3))),IF(ISNUMBER(AP$4),AP$4,IgnoreMin)))))</f>
        <v>0</v>
      </c>
      <c r="AQ176" s="148" cm="1">
        <f t="array" aca="1" ref="AQ176" ca="1">-IF($F176="Terminated",0,IF($AA176=0,0,IF(ISNA(MATCH(AQ$5,PayDedList,0)),0,MIN(IF(COUNTIFS(OverEmp,$C176,OverDeduct,AQ$5,OverDate,"&lt;"&amp;DATE(YEAR($AC176),MONTH($AC176)+1,1),OverEnd,"&gt;="&amp;DATE(YEAR($AC176),MONTH($AC176),1))&gt;0,SUMPRODUCT((PayEmp=$C176)*(PayDate&lt;=$AC176)*(OFFSET($N$6,1,MATCH(AQ$5,PayDedList,0)-1,PayCount,1)))/$AA176*12*AQ$3,IF(OR(AQ$1="Fixed",AQ$1="Not Used"),SUMPRODUCT((PayEmp=$C176)*(PayDate&lt;=$AC176)*(OFFSET($N$6,1,MATCH(AQ$5,PayDedList,0)-1,PayCount,1)))/$AA176*12*AQ$3,IF(ISNA(MATCH(AQ$1,EarnListItem,0))=FALSE,SUMPRODUCT((PayEmp=$C176)*(PayDate&lt;=$AC176)*(OFFSET($N$6,1,MATCH(AQ$5,PayDedList,0)-1,PayCount,1)))/$AA176*12*AQ$3,(MIN(((SUMPRODUCT((PayEmp=$C176)*(PayDate&lt;=$AC176)*(ISERROR(SEARCH(PayEarnCode,AQ$2)))*(PayEarnType="Monthly")*(PayEarnValues))/$AA176*12)+(SUMPRODUCT((PayEmp=$C176)*(PayDate&lt;=$AC176)*(ISERROR(SEARCH(PayEarnCode,AQ$2)))*(PayEarnType="Quarterly")*(PayEarnValues))/MAX(1,ROUNDDOWN($AB176/3,0))*4)+(SUMPRODUCT((PayEmp=$C176)*(PayDate&lt;=$AC176)*(ISERROR(SEARCH(PayEarnCode,AQ$2)))*(PayEarnType="Bi-Annual")*(PayEarnValues))/MAX(1,ROUNDDOWN($AB176/6,0))*2)+(SUMPRODUCT((PayEmp=$C176)*(PayDate&lt;=$AC176)*(ISERROR(SEARCH(PayEarnCode,AQ$2)))*(PayEarnType="Annual")*(PayEarnValues)))),IF(ISNUMBER(OFFSET($N$3,0,MATCH(AQ$5,PayDedList,0)-1,1,1)),OFFSET($N$3,0,MATCH(AQ$5,PayDedList,0)-1,1,1),IgnoreMin)))*IF(COUNTIFS(EmpNo,$C176,OFFSET(Emp!$R$4,1,MATCH(AQ$5,DedListItem,0)-1,EmpCount,1),"&lt;&gt;")&gt;0,VLOOKUP($C176,EmpAll,COLUMN(Emp!$R$4)+MATCH(AQ$5,DedListItem,0)-1,0),OFFSET(Setup!$E$73,MATCH(AQ$5,DedListItem,0),0,1,1))*AQ$3))),IF(ISNUMBER(AQ$4),AQ$4,IgnoreMin)))))</f>
        <v>0</v>
      </c>
      <c r="AR176" s="148">
        <f t="shared" ca="1" si="81"/>
        <v>0</v>
      </c>
      <c r="AS176" s="148">
        <f t="shared" ca="1" si="72"/>
        <v>0</v>
      </c>
      <c r="AT176" s="148" cm="1">
        <f t="array" aca="1" ref="AT176" ca="1">-IF($F176="Terminated",0,IF($AA176=0,0,IF(ISNA(MATCH(AT$5,PayDedList,0)),0,MIN(IF(COUNTIFS(OverEmp,$C176,OverDeduct,AT$5,OverDate,"&lt;"&amp;DATE(YEAR($AC176),MONTH($AC176)+1,1),OverEnd,"&gt;="&amp;DATE(YEAR($AC176),MONTH($AC176),1))&gt;0,SUMPRODUCT((PayEmp=$C176)*(PayDate&lt;=$AC176)*(OFFSET($N$6,1,MATCH(AT$5,PayDedList,0)-1,PayCount,1)))/$AA176*12*AT$3,IF(OR(AT$1="Fixed",AT$1="Not Used"),SUMPRODUCT((PayEmp=$C176)*(PayDate&lt;=$AC176)*(OFFSET($N$6,1,MATCH(AT$5,PayDedList,0)-1,PayCount,1)))/$AA176*12*AT$3,IF(ISNA(MATCH(OFFSET($N$2,0,MATCH(AT$5,PayDedList,0)-1,1,1),EarnListItem,0))=FALSE,SUMPRODUCT((PayEmp=$C176)*(PayDate&lt;=$AC176)*(OFFSET($N$6,1,MATCH(AT$5,PayDedList,0)-1,PayCount,1)))/$AA176*12*AT$3,(MIN(SUMPRODUCT((PayEmp=$C176)*(PayDate&lt;=$AC176)*(ISERROR(SEARCH(PayEarnCode,AT$2)))*(PayEarnType="Monthly")*(PayEarnValues))/$AA176*12,IF(ISNUMBER(OFFSET($N$3,0,MATCH(AT$5,PayDedList,0)-1,1,1)),OFFSET($N$3,0,MATCH(AT$5,PayDedList,0)-1,1,1),IgnoreMin)))*IF(COUNTIFS(EmpNo,$C176,OFFSET(Emp!$R$4,1,MATCH(AT$5,DedListItem,0)-1,EmpCount,1),"&lt;&gt;")&gt;0,VLOOKUP($C176,EmpAll,COLUMN(Emp!$R$4)+MATCH(AT$5,DedListItem,0)-1,0),OFFSET(Setup!$E$73,MATCH(AT$5,DedListItem,0),0,1,1))*AT$3))),IF(ISNUMBER(AT$4),AT$4,IgnoreMin)))))</f>
        <v>0</v>
      </c>
      <c r="AU176" s="148" cm="1">
        <f t="array" aca="1" ref="AU176" ca="1">-IF($F176="Terminated",0,IF($AA176=0,0,IF(ISNA(MATCH(AU$5,PayDedList,0)),0,MIN(IF(COUNTIFS(OverEmp,$C176,OverDeduct,AU$5,OverDate,"&lt;"&amp;DATE(YEAR($AC176),MONTH($AC176)+1,1),OverEnd,"&gt;="&amp;DATE(YEAR($AC176),MONTH($AC176),1))&gt;0,SUMPRODUCT((PayEmp=$C176)*(PayDate&lt;=$AC176)*(OFFSET($N$6,1,MATCH(AU$5,PayDedList,0)-1,PayCount,1)))/$AA176*12*AU$3,IF(OR(AU$1="Fixed",AU$1="Not Used"),SUMPRODUCT((PayEmp=$C176)*(PayDate&lt;=$AC176)*(OFFSET($N$6,1,MATCH(AU$5,PayDedList,0)-1,PayCount,1)))/$AA176*12*AU$3,IF(ISNA(MATCH(OFFSET($N$2,0,MATCH(AU$5,PayDedList,0)-1,1,1),EarnListItem,0))=FALSE,SUMPRODUCT((PayEmp=$C176)*(PayDate&lt;=$AC176)*(OFFSET($N$6,1,MATCH(AU$5,PayDedList,0)-1,PayCount,1)))/$AA176*12*AU$3,(MIN(SUMPRODUCT((PayEmp=$C176)*(PayDate&lt;=$AC176)*(ISERROR(SEARCH(PayEarnCode,AU$2)))*(PayEarnType="Monthly")*(PayEarnValues))/$AA176*12,IF(ISNUMBER(OFFSET($N$3,0,MATCH(AU$5,PayDedList,0)-1,1,1)),OFFSET($N$3,0,MATCH(AU$5,PayDedList,0)-1,1,1),IgnoreMin)))*IF(COUNTIFS(EmpNo,$C176,OFFSET(Emp!$R$4,1,MATCH(AU$5,DedListItem,0)-1,EmpCount,1),"&lt;&gt;")&gt;0,VLOOKUP($C176,EmpAll,COLUMN(Emp!$R$4)+MATCH(AU$5,DedListItem,0)-1,0),OFFSET(Setup!$E$73,MATCH(AU$5,DedListItem,0),0,1,1))*AU$3))),IF(ISNUMBER(AU$4),AU$4,IgnoreMin)))))</f>
        <v>0</v>
      </c>
      <c r="AV176" s="148" cm="1">
        <f t="array" aca="1" ref="AV176" ca="1">-IF($F176="Terminated",0,IF($AA176=0,0,IF(ISNA(MATCH(AV$5,PayDedList,0)),0,MIN(IF(COUNTIFS(OverEmp,$C176,OverDeduct,AV$5,OverDate,"&lt;"&amp;DATE(YEAR($AC176),MONTH($AC176)+1,1),OverEnd,"&gt;="&amp;DATE(YEAR($AC176),MONTH($AC176),1))&gt;0,SUMPRODUCT((PayEmp=$C176)*(PayDate&lt;=$AC176)*(OFFSET($N$6,1,MATCH(AV$5,PayDedList,0)-1,PayCount,1)))/$AA176*12*AV$3,IF(OR(AV$1="Fixed",AV$1="Not Used"),SUMPRODUCT((PayEmp=$C176)*(PayDate&lt;=$AC176)*(OFFSET($N$6,1,MATCH(AV$5,PayDedList,0)-1,PayCount,1)))/$AA176*12*AV$3,IF(ISNA(MATCH(OFFSET($N$2,0,MATCH(AV$5,PayDedList,0)-1,1,1),EarnListItem,0))=FALSE,SUMPRODUCT((PayEmp=$C176)*(PayDate&lt;=$AC176)*(OFFSET($N$6,1,MATCH(AV$5,PayDedList,0)-1,PayCount,1)))/$AA176*12*AV$3,(MIN(SUMPRODUCT((PayEmp=$C176)*(PayDate&lt;=$AC176)*(ISERROR(SEARCH(PayEarnCode,AV$2)))*(PayEarnType="Monthly")*(PayEarnValues))/$AA176*12,IF(ISNUMBER(OFFSET($N$3,0,MATCH(AV$5,PayDedList,0)-1,1,1)),OFFSET($N$3,0,MATCH(AV$5,PayDedList,0)-1,1,1),IgnoreMin)))*IF(COUNTIFS(EmpNo,$C176,OFFSET(Emp!$R$4,1,MATCH(AV$5,DedListItem,0)-1,EmpCount,1),"&lt;&gt;")&gt;0,VLOOKUP($C176,EmpAll,COLUMN(Emp!$R$4)+MATCH(AV$5,DedListItem,0)-1,0),OFFSET(Setup!$E$73,MATCH(AV$5,DedListItem,0),0,1,1))*AV$3))),IF(ISNUMBER(AV$4),AV$4,IgnoreMin)))))</f>
        <v>0</v>
      </c>
      <c r="AW176" s="148" cm="1">
        <f t="array" aca="1" ref="AW176" ca="1">-IF($F176="Terminated",0,IF($AA176=0,0,IF(ISNA(MATCH(AW$5,PayDedList,0)),0,MIN(IF(COUNTIFS(OverEmp,$C176,OverDeduct,AW$5,OverDate,"&lt;"&amp;DATE(YEAR($AC176),MONTH($AC176)+1,1),OverEnd,"&gt;="&amp;DATE(YEAR($AC176),MONTH($AC176),1))&gt;0,SUMPRODUCT((PayEmp=$C176)*(PayDate&lt;=$AC176)*(OFFSET($N$6,1,MATCH(AW$5,PayDedList,0)-1,PayCount,1)))/$AA176*12*AW$3,IF(OR(AW$1="Fixed",AW$1="Not Used"),SUMPRODUCT((PayEmp=$C176)*(PayDate&lt;=$AC176)*(OFFSET($N$6,1,MATCH(AW$5,PayDedList,0)-1,PayCount,1)))/$AA176*12*AW$3,IF(ISNA(MATCH(OFFSET($N$2,0,MATCH(AW$5,PayDedList,0)-1,1,1),EarnListItem,0))=FALSE,SUMPRODUCT((PayEmp=$C176)*(PayDate&lt;=$AC176)*(OFFSET($N$6,1,MATCH(AW$5,PayDedList,0)-1,PayCount,1)))/$AA176*12*AW$3,(MIN(SUMPRODUCT((PayEmp=$C176)*(PayDate&lt;=$AC176)*(ISERROR(SEARCH(PayEarnCode,AW$2)))*(PayEarnType="Monthly")*(PayEarnValues))/$AA176*12,IF(ISNUMBER(OFFSET($N$3,0,MATCH(AW$5,PayDedList,0)-1,1,1)),OFFSET($N$3,0,MATCH(AW$5,PayDedList,0)-1,1,1),IgnoreMin)))*IF(COUNTIFS(EmpNo,$C176,OFFSET(Emp!$R$4,1,MATCH(AW$5,DedListItem,0)-1,EmpCount,1),"&lt;&gt;")&gt;0,VLOOKUP($C176,EmpAll,COLUMN(Emp!$R$4)+MATCH(AW$5,DedListItem,0)-1,0),OFFSET(Setup!$E$73,MATCH(AW$5,DedListItem,0),0,1,1))*AW$3))),IF(ISNUMBER(AW$4),AW$4,IgnoreMin)))))</f>
        <v>0</v>
      </c>
      <c r="AX176" s="148">
        <f t="shared" ca="1" si="88"/>
        <v>0</v>
      </c>
      <c r="AY176" s="148">
        <f t="shared" ca="1" si="89"/>
        <v>0</v>
      </c>
      <c r="AZ176" s="148">
        <f ca="1">IF(ISNUMBER($AL176),($AR176*$AL176)-$AI176-$AK176,MAX(0,IF($AL176="B",IF($AR176&lt;Setup!$C$32,($AR176*Setup!$D$32)-$AI176-$AK176,(($AR176-VLOOKUP($AR176,TaxAll2,1,1))*OFFSET(Setup!$D$32,MATCH($AR176,TaxBracket2,1),0,1,1))+OFFSET(Setup!$E$31,MATCH($AR176,TaxBracket2,1),0,1,1)-$AI176-$AK176),IF($AR176&lt;Setup!$C$21,($AR176*Setup!$D$21)-$AI176-$AK176,(($AR176-VLOOKUP($AR176,TaxAll1,1,1))*OFFSET(Setup!$D$21,MATCH($AR176,TaxBracket1,1),0,1,1))+OFFSET(Setup!$E$20,MATCH($AR176,TaxBracket1,1),0,1,1)-$AI176-$AK176))))</f>
        <v>0</v>
      </c>
      <c r="BA176" s="148">
        <f ca="1">IF(ISNUMBER($AL176),($AX176*$AL176)-$AI176-$AK176,MAX(0,IF($AL176="B",IF($AX176&lt;Setup!$C$32,($AX176*Setup!$D$32)-$AI176-$AK176,(($AX176-VLOOKUP($AX176,TaxAll2,1,1))*OFFSET(Setup!$D$32,MATCH($AX176,TaxBracket2,1),0,1,1))+OFFSET(Setup!$E$31,MATCH($AX176,TaxBracket2,1),0,1,1)-$AI176-$AK176),IF($AX176&lt;Setup!$C$21,($AX176*Setup!$D$21)-$AI176-$AK176,(($AX176-VLOOKUP($AX176,TaxAll1,1,1))*OFFSET(Setup!$D$21,MATCH($AX176,TaxBracket1,1),0,1,1))+OFFSET(Setup!$E$20,MATCH($AX176,TaxBracket1,1),0,1,1)-$AI176-$AK176))))</f>
        <v>0</v>
      </c>
      <c r="BB176" s="148">
        <f t="shared" ca="1" si="82"/>
        <v>0</v>
      </c>
      <c r="BC176" s="150">
        <f t="shared" ca="1" si="75"/>
        <v>0</v>
      </c>
      <c r="BD176" s="150">
        <f t="shared" ca="1" si="76"/>
        <v>0</v>
      </c>
      <c r="BE176" s="148">
        <f t="shared" ca="1" si="77"/>
        <v>0</v>
      </c>
    </row>
    <row r="177" spans="1:57" ht="16.149999999999999" customHeight="1" x14ac:dyDescent="0.25">
      <c r="A177" s="10" t="str" cm="1">
        <f t="array" aca="1" ref="A177" ca="1">IF(ROW($A177)-ROW($A$6)&gt;EmpCount*12,"-",TEXT($B177,"yyyy")&amp;TEXT($B177,"mm")&amp;"-"&amp;$C177)</f>
        <v>202402-EXS006</v>
      </c>
      <c r="B177" s="137" cm="1">
        <f t="array" aca="1" ref="B177" ca="1">IF(ROW($A177)-ROW($A$6)&gt;EmpCount*12,Setup!$D$12,DATE(YEAR(Setup!$F$12),MONTH(Setup!$F$12)+ROUNDDOWN((ROW($A177)-ROW($A$6)-1)/EmpCount,0),IF(Setup!$C$14&gt;DAY(DATE(YEAR(Setup!$F$12),MONTH(Setup!$F$12)+ROUNDDOWN((ROW($A177)-ROW($A$6)-1)/EmpCount,0)+1,0)),DAY(DATE(YEAR(Setup!$F$12),MONTH(Setup!$F$12)+ROUNDDOWN((ROW($A177)-ROW($A$6)-1)/EmpCount,0)+1,0)),Setup!$C$14)))</f>
        <v>45347</v>
      </c>
      <c r="C177" s="101" t="str" cm="1">
        <f t="array" aca="1" ref="C177" ca="1">IF(ROW($A177)-ROW($A$6)&gt;EmpCount*12,"-",OFFSET(Emp!$A$4,ROW($A177)-ROW($A$6)-IF(ROW($A177)-ROW($A$6)&gt;EmpCount,ROUNDDOWN((ROW($A177)-ROW($A$6)-1)/EmpCount,0)*EmpCount,0),0,1,1))</f>
        <v>EXS006</v>
      </c>
      <c r="D177" s="10" t="str">
        <f ca="1">IF(ISNA(VLOOKUP($C177,EmpAll,COLUMN(Emp!$B$4),0)),"-",VLOOKUP($C177,EmpAll,COLUMN(Emp!$B$4),0))</f>
        <v>Andrews MS</v>
      </c>
      <c r="E177" s="145" t="str">
        <f ca="1">IF(ISNA(VLOOKUP($C177,EmpAll,COLUMN(Emp!$C$4),0)),"-",VLOOKUP($C177,EmpAll,COLUMN(Emp!$C$4),0))</f>
        <v>S</v>
      </c>
      <c r="F177" s="101" t="str">
        <f ca="1">IF(ISNA(VLOOKUP($C177,EmpAll,COLUMN(Emp!$A$4),0)),"-",IF(AND(VLOOKUP($C177,EmpAll,COLUMN(Emp!$E$4),0)&lt;&gt;0,VLOOKUP($C177,EmpAll,COLUMN(Emp!$E$4),0)&gt;=DATE(YEAR($AC177),MONTH($AC177)+1,0)),"Inactive",IF(AND(VLOOKUP($C177,EmpAll,COLUMN(Emp!$F$4),0)&lt;&gt;0,VLOOKUP($C177,EmpAll,COLUMN(Emp!$F$4),0)&lt;=DATE(YEAR($AC177),MONTH($AC177),0)),"Terminated","Active")))</f>
        <v>Active</v>
      </c>
      <c r="G177" s="133" cm="1">
        <f t="array" aca="1" ref="G177" ca="1">IF($F177&lt;&gt;"Active",0,IF(COUNTIFS(OverEmp,$C177,OverEarn,G$2,OverDate,"&lt;"&amp;DATE(YEAR($AC177),MONTH($AC177)+1,1),OverEnd,"&gt;="&amp;DATE(YEAR($AC177),MONTH($AC177),1))&gt;0,SUMIFS(OverValue,OverEmp,$C177,OverEarn,G$2,OverDate,"&lt;"&amp;DATE(YEAR($AC177),MONTH($AC177)+1,1),OverEnd,"&gt;="&amp;DATE(YEAR($AC177),MONTH($AC177),1)),IF(AND($AC177&gt;=Setup!$E$10,SUMIFS(EmpIncrease,EmpCode,$C177)&gt;0),SUMIFS(EmpIncrease,EmpCode,$C177),SUMIFS(EmpSalary,EmpCode,$C177))))</f>
        <v>11000</v>
      </c>
      <c r="H177" s="133" cm="1">
        <f t="array" aca="1" ref="H177" ca="1">IF($F177&lt;&gt;"Active",0,IF(COUNTIFS(OverEmp,$C177,OverEarn,H$2,OverDate,"&lt;"&amp;DATE(YEAR($AC177),MONTH($AC177)+1,1),OverEnd,"&gt;="&amp;DATE(YEAR($AC177),MONTH($AC177),1))&gt;0,SUMIFS(OverValue,OverEmp,$C177,OverEarn,H$2,OverDate,"&lt;"&amp;DATE(YEAR($AC177),MONTH($AC177)+1,1),OverEnd,"&gt;="&amp;DATE(YEAR($AC177),MONTH($AC177),1)),0))</f>
        <v>0</v>
      </c>
      <c r="I177" s="133" cm="1">
        <f t="array" aca="1" ref="I177" ca="1">IF($F177&lt;&gt;"Active",0,IF(COUNTIFS(OverEmp,$C177,OverEarn,I$2,OverDate,"&lt;"&amp;DATE(YEAR($AC177),MONTH($AC177)+1,1),OverEnd,"&gt;="&amp;DATE(YEAR($AC177),MONTH($AC177),1))&gt;0,SUMIFS(OverValue,OverEmp,$C177,OverEarn,I$2,OverDate,"&lt;"&amp;DATE(YEAR($AC177),MONTH($AC177)+1,1),OverEnd,"&gt;="&amp;DATE(YEAR($AC177),MONTH($AC177),1)),IF(MONTH(B177)=Setup!$C$15,SUMIFS(EmpBonus,EmpCode,$C177),0)))</f>
        <v>0</v>
      </c>
      <c r="J177" s="133" cm="1">
        <f t="array" aca="1" ref="J177" ca="1">IF($F177&lt;&gt;"Active",0,IF(COUNTIFS(OverEmp,$C177,OverEarn,J$2,OverDate,"&lt;"&amp;DATE(YEAR($AC177),MONTH($AC177)+1,1),OverEnd,"&gt;="&amp;DATE(YEAR($AC177),MONTH($AC177),1))&gt;0,SUMIFS(OverValue,OverEmp,$C177,OverEarn,J$2,OverDate,"&lt;"&amp;DATE(YEAR($AC177),MONTH($AC177)+1,1),OverEnd,"&gt;="&amp;DATE(YEAR($AC177),MONTH($AC177),1)),0))</f>
        <v>0</v>
      </c>
      <c r="K177" s="133" cm="1">
        <f t="array" aca="1" ref="K177" ca="1">IF($F177&lt;&gt;"Active",0,IF(COUNTIFS(OverEmp,$C177,OverEarn,K$2,OverDate,"&lt;"&amp;DATE(YEAR($AC177),MONTH($AC177)+1,1),OverEnd,"&gt;="&amp;DATE(YEAR($AC177),MONTH($AC177),1))&gt;0,SUMIFS(OverValue,OverEmp,$C177,OverEarn,K$2,OverDate,"&lt;"&amp;DATE(YEAR($AC177),MONTH($AC177)+1,1),OverEnd,"&gt;="&amp;DATE(YEAR($AC177),MONTH($AC177),1)),0))</f>
        <v>0</v>
      </c>
      <c r="L177" s="185">
        <f t="shared" ca="1" si="84"/>
        <v>11000</v>
      </c>
      <c r="M177" s="182" cm="1">
        <f t="array" aca="1" ref="M177" ca="1">IF(COUNTIFS(OverEmp,$C177,OverTax,M$5,OverDate,"&lt;"&amp;DATE(YEAR($AC177),MONTH($AC177)+1,1),OverEnd,"&gt;="&amp;DATE(YEAR($AC177),MONTH($AC177),1))&gt;0,SUMIFS(OverValue,OverEmp,$C177,OverTax,M$5,OverDate,"&lt;"&amp;DATE(YEAR($AC177),MONTH($AC177)+1,1),OverEnd,"&gt;="&amp;DATE(YEAR($AC177),MONTH($AC177),1)),(($BA177/12*$AA177)+(BB177*IF(1-$BC177=0,0,BD177/(1-$BC177))))-IF($F177="Terminated",0,SUMIFS(PayTaxDeduct,PayDate,"&lt;"&amp;$AC177,PayEmp,$C177)))</f>
        <v>179.74999999999841</v>
      </c>
      <c r="N177" s="133" cm="1">
        <f t="array" aca="1" ref="N177" ca="1">IF($F177="Terminated",0,IF($AA177=0,0,IF(ISNA(MATCH(N$5,DedListItem,0)),0,IF(COUNTIFS(OverEmp,$C177,OverDeduct,N$5,OverDate,"&lt;"&amp;DATE(YEAR($AC177),MONTH($AC177)+1,1),OverEnd,"&gt;="&amp;DATE(YEAR($AC177),MONTH($AC177),1))&gt;0,SUMIFS(OverValue,OverEmp,$C177,OverDeduct,N$5,OverDate,"&lt;"&amp;DATE(YEAR($AC177),MONTH($AC177)+1,1),OverEnd,"&gt;="&amp;DATE(YEAR($AC177),MONTH($AC177),1)),IF(OR(N$2="Fixed",N$2="Not Used"),(IF(COUNTIFS(EmpNo,$C177,OFFSET(Emp!$R$4,1,MATCH(N$5,DedListItem,0)-1,EmpCount,1),"&lt;&gt;")&gt;0,VLOOKUP($C177,EmpAll,COLUMN(Emp!$R$4)+MATCH(N$5,DedListItem,0)-1,0),OFFSET(Setup!$E$73,MATCH(N$5,DedListItem,0),0,1,1))*$AA177)-SUMIFS(OFFSET(N$6,1,0,PayCount,1),PayDate,"&lt;"&amp;$AC177,PayEmp,$C177),IF(ISNA(MATCH(N$2,EarnListItem,0))=FALSE,IF(OFFSET(Setup!$G$73,MATCH(N$5,DedListItem,0),0,1,1)="Taxable",SUMPRODUCT((PayEmp=$C177)*(PayDate&lt;=$AC177)*(PayEarnCode=N$2)*(PayEarnTax)*(PayEarnValues)),SUMPRODUCT((PayEmp=$C177)*(PayDate&lt;=$AC177)*(PayEarnCode=N$2)*(PayEarnValues)))*IF(COUNTIFS(EmpNo,$C177,OFFSET(Emp!$R$4,1,MATCH(N$5,DedListItem,0)-1,EmpCount,1),"&lt;&gt;")&gt;0,VLOOKUP($C177,EmpAll,COLUMN(Emp!$R$4)+MATCH(N$5,DedListItem,0)-1,0),OFFSET(Setup!$E$73,MATCH(N$5,DedListItem,0),0,1,1)),(MIN(IF(OFFSET(Setup!$G$73,MATCH(N$5,DedListItem,0),0,1,1)="Taxable",SUMPRODUCT((PayEmp=$C177)*(PayDate&lt;=$AC177)*(ISERROR(SEARCH(PayEarnCode,N$4)))*(PayEarnTax)*(PayEarnValues)),SUMPRODUCT((PayEmp=$C177)*(PayDate&lt;=$AC177)*(ISERROR(SEARCH(PayEarnCode,N$4)))*(PayEarnValues))),IF(ISNUMBER(N$3),N$3/12*$AA177,IgnoreMin)))*IF(COUNTIFS(EmpNo,$C177,OFFSET(Emp!$R$4,1,MATCH(N$5,DedListItem,0)-1,EmpCount,1),"&lt;&gt;")&gt;0,VLOOKUP($C177,EmpAll,COLUMN(Emp!$R$4)+MATCH(N$5,DedListItem,0)-1,0),OFFSET(Setup!$E$73,MATCH(N$5,DedListItem,0),0,1,1)))-SUMIFS(OFFSET(N$6,1,0,PayCount,1),PayDate,"&lt;"&amp;$AC177,PayEmp,$C177))))))</f>
        <v>110</v>
      </c>
      <c r="O177" s="133" cm="1">
        <f t="array" aca="1" ref="O177" ca="1">IF($F177="Terminated",0,IF($AA177=0,0,IF(ISNA(MATCH(O$5,DedListItem,0)),0,IF(COUNTIFS(OverEmp,$C177,OverDeduct,O$5,OverDate,"&lt;"&amp;DATE(YEAR($AC177),MONTH($AC177)+1,1),OverEnd,"&gt;="&amp;DATE(YEAR($AC177),MONTH($AC177),1))&gt;0,SUMIFS(OverValue,OverEmp,$C177,OverDeduct,O$5,OverDate,"&lt;"&amp;DATE(YEAR($AC177),MONTH($AC177)+1,1),OverEnd,"&gt;="&amp;DATE(YEAR($AC177),MONTH($AC177),1)),IF(OR(O$2="Fixed",O$2="Not Used"),(IF(COUNTIFS(EmpNo,$C177,OFFSET(Emp!$R$4,1,MATCH(O$5,DedListItem,0)-1,EmpCount,1),"&lt;&gt;")&gt;0,VLOOKUP($C177,EmpAll,COLUMN(Emp!$R$4)+MATCH(O$5,DedListItem,0)-1,0),OFFSET(Setup!$E$73,MATCH(O$5,DedListItem,0),0,1,1))*$AA177)-SUMIFS(OFFSET(O$6,1,0,PayCount,1),PayDate,"&lt;"&amp;$AC177,PayEmp,$C177),IF(ISNA(MATCH(O$2,EarnListItem,0))=FALSE,IF(OFFSET(Setup!$G$73,MATCH(O$5,DedListItem,0),0,1,1)="Taxable",SUMPRODUCT((PayEmp=$C177)*(PayDate&lt;=$AC177)*(PayEarnCode=O$2)*(PayEarnTax)*(PayEarnValues)),SUMPRODUCT((PayEmp=$C177)*(PayDate&lt;=$AC177)*(PayEarnCode=O$2)*(PayEarnValues)))*IF(COUNTIFS(EmpNo,$C177,OFFSET(Emp!$R$4,1,MATCH(O$5,DedListItem,0)-1,EmpCount,1),"&lt;&gt;")&gt;0,VLOOKUP($C177,EmpAll,COLUMN(Emp!$R$4)+MATCH(O$5,DedListItem,0)-1,0),OFFSET(Setup!$E$73,MATCH(O$5,DedListItem,0),0,1,1)),(MIN(IF(OFFSET(Setup!$G$73,MATCH(O$5,DedListItem,0),0,1,1)="Taxable",SUMPRODUCT((PayEmp=$C177)*(PayDate&lt;=$AC177)*(ISERROR(SEARCH(PayEarnCode,O$4)))*(PayEarnTax)*(PayEarnValues)),SUMPRODUCT((PayEmp=$C177)*(PayDate&lt;=$AC177)*(ISERROR(SEARCH(PayEarnCode,O$4)))*(PayEarnValues))),IF(ISNUMBER(O$3),O$3/12*$AA177,IgnoreMin)))*IF(COUNTIFS(EmpNo,$C177,OFFSET(Emp!$R$4,1,MATCH(O$5,DedListItem,0)-1,EmpCount,1),"&lt;&gt;")&gt;0,VLOOKUP($C177,EmpAll,COLUMN(Emp!$R$4)+MATCH(O$5,DedListItem,0)-1,0),OFFSET(Setup!$E$73,MATCH(O$5,DedListItem,0),0,1,1)))-SUMIFS(OFFSET(O$6,1,0,PayCount,1),PayDate,"&lt;"&amp;$AC177,PayEmp,$C177))))))</f>
        <v>0</v>
      </c>
      <c r="P177" s="133" cm="1">
        <f t="array" aca="1" ref="P177" ca="1">IF($F177="Terminated",0,IF($AA177=0,0,IF(ISNA(MATCH(P$5,DedListItem,0)),0,IF(COUNTIFS(OverEmp,$C177,OverDeduct,P$5,OverDate,"&lt;"&amp;DATE(YEAR($AC177),MONTH($AC177)+1,1),OverEnd,"&gt;="&amp;DATE(YEAR($AC177),MONTH($AC177),1))&gt;0,SUMIFS(OverValue,OverEmp,$C177,OverDeduct,P$5,OverDate,"&lt;"&amp;DATE(YEAR($AC177),MONTH($AC177)+1,1),OverEnd,"&gt;="&amp;DATE(YEAR($AC177),MONTH($AC177),1)),IF(OR(P$2="Fixed",P$2="Not Used"),(IF(COUNTIFS(EmpNo,$C177,OFFSET(Emp!$R$4,1,MATCH(P$5,DedListItem,0)-1,EmpCount,1),"&lt;&gt;")&gt;0,VLOOKUP($C177,EmpAll,COLUMN(Emp!$R$4)+MATCH(P$5,DedListItem,0)-1,0),OFFSET(Setup!$E$73,MATCH(P$5,DedListItem,0),0,1,1))*$AA177)-SUMIFS(OFFSET(P$6,1,0,PayCount,1),PayDate,"&lt;"&amp;$AC177,PayEmp,$C177),IF(ISNA(MATCH(P$2,EarnListItem,0))=FALSE,IF(OFFSET(Setup!$G$73,MATCH(P$5,DedListItem,0),0,1,1)="Taxable",SUMPRODUCT((PayEmp=$C177)*(PayDate&lt;=$AC177)*(PayEarnCode=P$2)*(PayEarnTax)*(PayEarnValues)),SUMPRODUCT((PayEmp=$C177)*(PayDate&lt;=$AC177)*(PayEarnCode=P$2)*(PayEarnValues)))*IF(COUNTIFS(EmpNo,$C177,OFFSET(Emp!$R$4,1,MATCH(P$5,DedListItem,0)-1,EmpCount,1),"&lt;&gt;")&gt;0,VLOOKUP($C177,EmpAll,COLUMN(Emp!$R$4)+MATCH(P$5,DedListItem,0)-1,0),OFFSET(Setup!$E$73,MATCH(P$5,DedListItem,0),0,1,1)),(MIN(IF(OFFSET(Setup!$G$73,MATCH(P$5,DedListItem,0),0,1,1)="Taxable",SUMPRODUCT((PayEmp=$C177)*(PayDate&lt;=$AC177)*(ISERROR(SEARCH(PayEarnCode,P$4)))*(PayEarnTax)*(PayEarnValues)),SUMPRODUCT((PayEmp=$C177)*(PayDate&lt;=$AC177)*(ISERROR(SEARCH(PayEarnCode,P$4)))*(PayEarnValues))),IF(ISNUMBER(P$3),P$3/12*$AA177,IgnoreMin)))*IF(COUNTIFS(EmpNo,$C177,OFFSET(Emp!$R$4,1,MATCH(P$5,DedListItem,0)-1,EmpCount,1),"&lt;&gt;")&gt;0,VLOOKUP($C177,EmpAll,COLUMN(Emp!$R$4)+MATCH(P$5,DedListItem,0)-1,0),OFFSET(Setup!$E$73,MATCH(P$5,DedListItem,0),0,1,1)))-SUMIFS(OFFSET(P$6,1,0,PayCount,1),PayDate,"&lt;"&amp;$AC177,PayEmp,$C177))))))</f>
        <v>0</v>
      </c>
      <c r="Q177" s="133" cm="1">
        <f t="array" aca="1" ref="Q177" ca="1">IF($F177="Terminated",0,IF($AA177=0,0,IF(ISNA(MATCH(Q$5,DedListItem,0)),0,IF(COUNTIFS(OverEmp,$C177,OverDeduct,Q$5,OverDate,"&lt;"&amp;DATE(YEAR($AC177),MONTH($AC177)+1,1),OverEnd,"&gt;="&amp;DATE(YEAR($AC177),MONTH($AC177),1))&gt;0,SUMIFS(OverValue,OverEmp,$C177,OverDeduct,Q$5,OverDate,"&lt;"&amp;DATE(YEAR($AC177),MONTH($AC177)+1,1),OverEnd,"&gt;="&amp;DATE(YEAR($AC177),MONTH($AC177),1)),IF(OR(Q$2="Fixed",Q$2="Not Used"),(IF(COUNTIFS(EmpNo,$C177,OFFSET(Emp!$R$4,1,MATCH(Q$5,DedListItem,0)-1,EmpCount,1),"&lt;&gt;")&gt;0,VLOOKUP($C177,EmpAll,COLUMN(Emp!$R$4)+MATCH(Q$5,DedListItem,0)-1,0),OFFSET(Setup!$E$73,MATCH(Q$5,DedListItem,0),0,1,1))*$AA177)-SUMIFS(OFFSET(Q$6,1,0,PayCount,1),PayDate,"&lt;"&amp;$AC177,PayEmp,$C177),IF(ISNA(MATCH(Q$2,EarnListItem,0))=FALSE,IF(OFFSET(Setup!$G$73,MATCH(Q$5,DedListItem,0),0,1,1)="Taxable",SUMPRODUCT((PayEmp=$C177)*(PayDate&lt;=$AC177)*(PayEarnCode=Q$2)*(PayEarnTax)*(PayEarnValues)),SUMPRODUCT((PayEmp=$C177)*(PayDate&lt;=$AC177)*(PayEarnCode=Q$2)*(PayEarnValues)))*IF(COUNTIFS(EmpNo,$C177,OFFSET(Emp!$R$4,1,MATCH(Q$5,DedListItem,0)-1,EmpCount,1),"&lt;&gt;")&gt;0,VLOOKUP($C177,EmpAll,COLUMN(Emp!$R$4)+MATCH(Q$5,DedListItem,0)-1,0),OFFSET(Setup!$E$73,MATCH(Q$5,DedListItem,0),0,1,1)),(MIN(IF(OFFSET(Setup!$G$73,MATCH(Q$5,DedListItem,0),0,1,1)="Taxable",SUMPRODUCT((PayEmp=$C177)*(PayDate&lt;=$AC177)*(ISERROR(SEARCH(PayEarnCode,Q$4)))*(PayEarnTax)*(PayEarnValues)),SUMPRODUCT((PayEmp=$C177)*(PayDate&lt;=$AC177)*(ISERROR(SEARCH(PayEarnCode,Q$4)))*(PayEarnValues))),IF(ISNUMBER(Q$3),Q$3/12*$AA177,IgnoreMin)))*IF(COUNTIFS(EmpNo,$C177,OFFSET(Emp!$R$4,1,MATCH(Q$5,DedListItem,0)-1,EmpCount,1),"&lt;&gt;")&gt;0,VLOOKUP($C177,EmpAll,COLUMN(Emp!$R$4)+MATCH(Q$5,DedListItem,0)-1,0),OFFSET(Setup!$E$73,MATCH(Q$5,DedListItem,0),0,1,1)))-SUMIFS(OFFSET(Q$6,1,0,PayCount,1),PayDate,"&lt;"&amp;$AC177,PayEmp,$C177))))))</f>
        <v>0</v>
      </c>
      <c r="R177" s="185">
        <f t="shared" ca="1" si="85"/>
        <v>289.74999999999841</v>
      </c>
      <c r="S177" s="139">
        <f t="shared" ca="1" si="86"/>
        <v>10710.25</v>
      </c>
      <c r="T177" s="133" cm="1">
        <f t="array" aca="1" ref="T177" ca="1">IF($F177="Terminated",0,IF($AA177=0,0,IF(ISNA(MATCH(T$5,CompListItem,0)),0,IF(COUNTIFS(OverEmp,$C177,OverComp,T$5,OverDate,"&lt;"&amp;DATE(YEAR($AC177),MONTH($AC177)+1,1),OverEnd,"&gt;="&amp;DATE(YEAR($AC177),MONTH($AC177),1))&gt;0,SUMIFS(OverValue,OverEmp,$C177,OverComp,T$5,OverDate,"&lt;"&amp;DATE(YEAR($AC177),MONTH($AC177)+1,1),OverEnd,"&gt;="&amp;DATE(YEAR($AC177),MONTH($AC177),1)),IF(OR(T$2="Fixed",T$2="Not Used"),(OFFSET(Setup!$E$81,MATCH(T$5,CompListItem,0),0,1,1)*$AA177)-SUMIFS(OFFSET(T$6,1,0,PayCount,1),PayDate,"&lt;"&amp;$AC177,PayEmp,$C177),IF(ISNA(MATCH(T$2,DedListItem,0))=FALSE,(SUMPRODUCT((PayEmp=$C177)*(PayDate&lt;=$AC177)*(PayDedList=T$2)*(PayDedValues))*OFFSET(Setup!$E$81,MATCH(T$5,CompListItem,0),0,1,1))-SUMIFS(OFFSET(T$6,1,0,PayCount,1),PayDate,"&lt;"&amp;$AC177,PayEmp,$C177),(MIN(IF(OFFSET(Setup!$G$81,MATCH(T$5,CompListItem,0),0,1,1)="Taxable",SUMPRODUCT((PayEmp=$C177)*(PayDate&lt;=$AC177)*(ISERROR(SEARCH(PayEarnCode,T$4)))*(PayEarnTax)*(PayEarnValues)),SUMPRODUCT((PayEmp=$C177)*(PayDate&lt;=$AC177)*(ISERROR(SEARCH(PayEarnCode,T$4)))*(PayEarnValues))),IF(ISNUMBER(T$3),T$3/12*$AA177,IgnoreMin)))*OFFSET(Setup!$E$81,MATCH(T$5,CompListItem,0),0,1,1)-SUMIFS(OFFSET(T$6,1,0,PayCount,1),PayDate,"&lt;"&amp;$AC177,PayEmp,$C177)))))))</f>
        <v>110</v>
      </c>
      <c r="U177" s="133" cm="1">
        <f t="array" aca="1" ref="U177" ca="1">IF($F177="Terminated",0,IF($AA177=0,0,IF(ISNA(MATCH(U$5,CompListItem,0)),0,IF(COUNTIFS(OverEmp,$C177,OverComp,U$5,OverDate,"&lt;"&amp;DATE(YEAR($AC177),MONTH($AC177)+1,1),OverEnd,"&gt;="&amp;DATE(YEAR($AC177),MONTH($AC177),1))&gt;0,SUMIFS(OverValue,OverEmp,$C177,OverComp,U$5,OverDate,"&lt;"&amp;DATE(YEAR($AC177),MONTH($AC177)+1,1),OverEnd,"&gt;="&amp;DATE(YEAR($AC177),MONTH($AC177),1)),IF(OR(U$2="Fixed",U$2="Not Used"),(OFFSET(Setup!$E$81,MATCH(U$5,CompListItem,0),0,1,1)*$AA177)-SUMIFS(OFFSET(U$6,1,0,PayCount,1),PayDate,"&lt;"&amp;$AC177,PayEmp,$C177),IF(ISNA(MATCH(U$2,DedListItem,0))=FALSE,(SUMPRODUCT((PayEmp=$C177)*(PayDate&lt;=$AC177)*(PayDedList=U$2)*(PayDedValues))*OFFSET(Setup!$E$81,MATCH(U$5,CompListItem,0),0,1,1))-SUMIFS(OFFSET(U$6,1,0,PayCount,1),PayDate,"&lt;"&amp;$AC177,PayEmp,$C177),(MIN(IF(OFFSET(Setup!$G$81,MATCH(U$5,CompListItem,0),0,1,1)="Taxable",SUMPRODUCT((PayEmp=$C177)*(PayDate&lt;=$AC177)*(ISERROR(SEARCH(PayEarnCode,U$4)))*(PayEarnTax)*(PayEarnValues)),SUMPRODUCT((PayEmp=$C177)*(PayDate&lt;=$AC177)*(ISERROR(SEARCH(PayEarnCode,U$4)))*(PayEarnValues))),IF(ISNUMBER(U$3),U$3/12*$AA177,IgnoreMin)))*OFFSET(Setup!$E$81,MATCH(U$5,CompListItem,0),0,1,1)-SUMIFS(OFFSET(U$6,1,0,PayCount,1),PayDate,"&lt;"&amp;$AC177,PayEmp,$C177)))))))</f>
        <v>110</v>
      </c>
      <c r="V177" s="133" cm="1">
        <f t="array" aca="1" ref="V177" ca="1">IF($F177="Terminated",0,IF($AA177=0,0,IF(ISNA(MATCH(V$5,CompListItem,0)),0,IF(COUNTIFS(OverEmp,$C177,OverComp,V$5,OverDate,"&lt;"&amp;DATE(YEAR($AC177),MONTH($AC177)+1,1),OverEnd,"&gt;="&amp;DATE(YEAR($AC177),MONTH($AC177),1))&gt;0,SUMIFS(OverValue,OverEmp,$C177,OverComp,V$5,OverDate,"&lt;"&amp;DATE(YEAR($AC177),MONTH($AC177)+1,1),OverEnd,"&gt;="&amp;DATE(YEAR($AC177),MONTH($AC177),1)),IF(OR(V$2="Fixed",V$2="Not Used"),(OFFSET(Setup!$E$81,MATCH(V$5,CompListItem,0),0,1,1)*$AA177)-SUMIFS(OFFSET(V$6,1,0,PayCount,1),PayDate,"&lt;"&amp;$AC177,PayEmp,$C177),IF(ISNA(MATCH(V$2,DedListItem,0))=FALSE,(SUMPRODUCT((PayEmp=$C177)*(PayDate&lt;=$AC177)*(PayDedList=V$2)*(PayDedValues))*OFFSET(Setup!$E$81,MATCH(V$5,CompListItem,0),0,1,1))-SUMIFS(OFFSET(V$6,1,0,PayCount,1),PayDate,"&lt;"&amp;$AC177,PayEmp,$C177),(MIN(IF(OFFSET(Setup!$G$81,MATCH(V$5,CompListItem,0),0,1,1)="Taxable",SUMPRODUCT((PayEmp=$C177)*(PayDate&lt;=$AC177)*(ISERROR(SEARCH(PayEarnCode,V$4)))*(PayEarnTax)*(PayEarnValues)),SUMPRODUCT((PayEmp=$C177)*(PayDate&lt;=$AC177)*(ISERROR(SEARCH(PayEarnCode,V$4)))*(PayEarnValues))),IF(ISNUMBER(V$3),V$3/12*$AA177,IgnoreMin)))*OFFSET(Setup!$E$81,MATCH(V$5,CompListItem,0),0,1,1)-SUMIFS(OFFSET(V$6,1,0,PayCount,1),PayDate,"&lt;"&amp;$AC177,PayEmp,$C177)))))))</f>
        <v>0</v>
      </c>
      <c r="W177" s="133" cm="1">
        <f t="array" aca="1" ref="W177" ca="1">IF($F177="Terminated",0,IF($AA177=0,0,IF(ISNA(MATCH(W$5,CompListItem,0)),0,IF(COUNTIFS(OverEmp,$C177,OverComp,W$5,OverDate,"&lt;"&amp;DATE(YEAR($AC177),MONTH($AC177)+1,1),OverEnd,"&gt;="&amp;DATE(YEAR($AC177),MONTH($AC177),1))&gt;0,SUMIFS(OverValue,OverEmp,$C177,OverComp,W$5,OverDate,"&lt;"&amp;DATE(YEAR($AC177),MONTH($AC177)+1,1),OverEnd,"&gt;="&amp;DATE(YEAR($AC177),MONTH($AC177),1)),IF(OR(W$2="Fixed",W$2="Not Used"),(OFFSET(Setup!$E$81,MATCH(W$5,CompListItem,0),0,1,1)*$AA177)-SUMIFS(OFFSET(W$6,1,0,PayCount,1),PayDate,"&lt;"&amp;$AC177,PayEmp,$C177),IF(ISNA(MATCH(W$2,DedListItem,0))=FALSE,(SUMPRODUCT((PayEmp=$C177)*(PayDate&lt;=$AC177)*(PayDedList=W$2)*(PayDedValues))*OFFSET(Setup!$E$81,MATCH(W$5,CompListItem,0),0,1,1))-SUMIFS(OFFSET(W$6,1,0,PayCount,1),PayDate,"&lt;"&amp;$AC177,PayEmp,$C177),(MIN(IF(OFFSET(Setup!$G$81,MATCH(W$5,CompListItem,0),0,1,1)="Taxable",SUMPRODUCT((PayEmp=$C177)*(PayDate&lt;=$AC177)*(ISERROR(SEARCH(PayEarnCode,W$4)))*(PayEarnTax)*(PayEarnValues)),SUMPRODUCT((PayEmp=$C177)*(PayDate&lt;=$AC177)*(ISERROR(SEARCH(PayEarnCode,W$4)))*(PayEarnValues))),IF(ISNUMBER(W$3),W$3/12*$AA177,IgnoreMin)))*OFFSET(Setup!$E$81,MATCH(W$5,CompListItem,0),0,1,1)-SUMIFS(OFFSET(W$6,1,0,PayCount,1),PayDate,"&lt;"&amp;$AC177,PayEmp,$C177)))))))</f>
        <v>0</v>
      </c>
      <c r="X177" s="185">
        <f t="shared" ca="1" si="78"/>
        <v>220</v>
      </c>
      <c r="Y177" s="139">
        <f t="shared" ca="1" si="87"/>
        <v>11220</v>
      </c>
      <c r="Z177" s="139">
        <f t="shared" ca="1" si="79"/>
        <v>509.75</v>
      </c>
      <c r="AA177" s="146">
        <f ca="1">IF(OR($B177&lt;=Setup!$E$12,$B177&gt;=Setup!$D$12+1),0,IF($F177&lt;&gt;"Active",0,IF($AE177="Yes",$AB177,((YEAR($AC177)*12)+MONTH($AC177))-((YEAR($AD177)*12)+MONTH($AD177)-1))))</f>
        <v>12</v>
      </c>
      <c r="AB177" s="146">
        <f ca="1">IF(OR($B177&lt;=Setup!$E$12,$B177&gt;=Setup!$D$12+1),0,((YEAR($AC177)*12)+MONTH($AC177))-((YEAR(Setup!$E$12)*12)+MONTH(Setup!$E$12)))</f>
        <v>12</v>
      </c>
      <c r="AC177" s="186">
        <f t="shared" ca="1" si="83"/>
        <v>45347</v>
      </c>
      <c r="AD177" s="144">
        <f ca="1">IF(ISNA(VLOOKUP($C177,EmpAll,COLUMN(Emp!$E$4),0)),$AC177,IF(VLOOKUP($C177,EmpAll,COLUMN(Emp!$E$4),0)&lt;=Setup!$E$12,DATE(YEAR(Setup!$E$12),MONTH(Setup!$E$12)+1,1),VLOOKUP($C177,EmpAll,COLUMN(Emp!$E$4),0)))</f>
        <v>44986</v>
      </c>
      <c r="AE177" s="144" t="str">
        <f ca="1">IF(ISNA(VLOOKUP($C177,EmpAll,COLUMN(Emp!$G$1),0)),"-",IF(VLOOKUP($C177,EmpAll,COLUMN(Emp!$G$1),0)=0,"-",VLOOKUP($C177,EmpAll,COLUMN(Emp!$G$1),0)))</f>
        <v>-</v>
      </c>
      <c r="AF177" s="145">
        <f ca="1">IF(A177=PaySlip!$G$3,1,0)</f>
        <v>0</v>
      </c>
      <c r="AG177" s="130" cm="1">
        <f t="array" aca="1" ref="AG177" ca="1">IF(COUNTIFS(OverEmp,$C177,OverMed,"MED",OverDate,"&lt;"&amp;DATE(YEAR($AC177),MONTH($AC177)+1,1),OverEnd,"&gt;="&amp;DATE(YEAR($AC177),MONTH($AC177),1))&gt;0,SUMIFS(OverValue,OverEmp,$C177,OverMed,"MED",OverDate,"&lt;"&amp;DATE(YEAR($AC177),MONTH($AC177)+1,1),OverEnd,"&gt;="&amp;DATE(YEAR($AC177),MONTH($AC177),1)),IF(ISNA(VLOOKUP($C177,EmpAll,COLUMN(Emp!$N$4),0)),0,VLOOKUP($C177,EmpAll,COLUMN(Emp!$N$4),0)))</f>
        <v>1</v>
      </c>
      <c r="AH177" s="146">
        <f ca="1">VLOOKUP($AG177,MedList,COLUMN(Setup!$C$49),1)</f>
        <v>364</v>
      </c>
      <c r="AI177" s="146">
        <f t="shared" ca="1" si="70"/>
        <v>4368</v>
      </c>
      <c r="AJ177" s="101" t="str">
        <f ca="1">IF(ISNA(VLOOKUP($C177,EmpAll,COLUMN(Emp!$L$4),0)),"None!",VLOOKUP($C177,EmpAll,COLUMN(Emp!$L$4),0))</f>
        <v>A</v>
      </c>
      <c r="AK177" s="147">
        <f t="shared" ca="1" si="80"/>
        <v>17235</v>
      </c>
      <c r="AL177" s="101" t="str">
        <f ca="1">IF(ISNA(VLOOKUP($C177,Employees[],COLUMN(Emp!$M$4),0))=TRUE,"Error!",IF(VLOOKUP($C177,Employees[],COLUMN(Emp!$M$4),0)=0,"Yes",VLOOKUP($C177,Employees[],COLUMN(Emp!$M$4),0)))</f>
        <v>A</v>
      </c>
      <c r="AM177" s="148">
        <f t="shared" ca="1" si="71"/>
        <v>132000</v>
      </c>
      <c r="AN177" s="148" cm="1">
        <f t="array" aca="1" ref="AN177" ca="1">-IF($F177="Terminated",0,IF($AA177=0,0,IF(ISNA(MATCH(AN$5,PayDedList,0)),0,MIN(IF(COUNTIFS(OverEmp,$C177,OverDeduct,AN$5,OverDate,"&lt;"&amp;DATE(YEAR($AC177),MONTH($AC177)+1,1),OverEnd,"&gt;="&amp;DATE(YEAR($AC177),MONTH($AC177),1))&gt;0,SUMPRODUCT((PayEmp=$C177)*(PayDate&lt;=$AC177)*(OFFSET($N$6,1,MATCH(AN$5,PayDedList,0)-1,PayCount,1)))/$AA177*12*AN$3,IF(OR(AN$1="Fixed",AN$1="Not Used"),SUMPRODUCT((PayEmp=$C177)*(PayDate&lt;=$AC177)*(OFFSET($N$6,1,MATCH(AN$5,PayDedList,0)-1,PayCount,1)))/$AA177*12*AN$3,IF(ISNA(MATCH(AN$1,EarnListItem,0))=FALSE,SUMPRODUCT((PayEmp=$C177)*(PayDate&lt;=$AC177)*(OFFSET($N$6,1,MATCH(AN$5,PayDedList,0)-1,PayCount,1)))/$AA177*12*AN$3,(MIN(((SUMPRODUCT((PayEmp=$C177)*(PayDate&lt;=$AC177)*(ISERROR(SEARCH(PayEarnCode,AN$2)))*(PayEarnType="Monthly")*(PayEarnValues))/$AA177*12)+(SUMPRODUCT((PayEmp=$C177)*(PayDate&lt;=$AC177)*(ISERROR(SEARCH(PayEarnCode,AN$2)))*(PayEarnType="Quarterly")*(PayEarnValues))/MAX(1,ROUNDDOWN($AB177/3,0))*4)+(SUMPRODUCT((PayEmp=$C177)*(PayDate&lt;=$AC177)*(ISERROR(SEARCH(PayEarnCode,AN$2)))*(PayEarnType="Bi-Annual")*(PayEarnValues))/MAX(1,ROUNDDOWN($AB177/6,0))*2)+(SUMPRODUCT((PayEmp=$C177)*(PayDate&lt;=$AC177)*(ISERROR(SEARCH(PayEarnCode,AN$2)))*(PayEarnType="Annual")*(PayEarnValues)))),IF(ISNUMBER(OFFSET($N$3,0,MATCH(AN$5,PayDedList,0)-1,1,1)),OFFSET($N$3,0,MATCH(AN$5,PayDedList,0)-1,1,1),IgnoreMin)))*IF(COUNTIFS(EmpNo,$C177,OFFSET(Emp!$R$4,1,MATCH(AN$5,DedListItem,0)-1,EmpCount,1),"&lt;&gt;")&gt;0,VLOOKUP($C177,EmpAll,COLUMN(Emp!$R$4)+MATCH(AN$5,DedListItem,0)-1,0),OFFSET(Setup!$E$73,MATCH(AN$5,DedListItem,0),0,1,1))*AN$3))),IF(ISNUMBER(AN$4),AN$4,IgnoreMin)))))</f>
        <v>0</v>
      </c>
      <c r="AO177" s="148" cm="1">
        <f t="array" aca="1" ref="AO177" ca="1">-IF($F177="Terminated",0,IF($AA177=0,0,IF(ISNA(MATCH(AO$5,PayDedList,0)),0,MIN(IF(COUNTIFS(OverEmp,$C177,OverDeduct,AO$5,OverDate,"&lt;"&amp;DATE(YEAR($AC177),MONTH($AC177)+1,1),OverEnd,"&gt;="&amp;DATE(YEAR($AC177),MONTH($AC177),1))&gt;0,SUMPRODUCT((PayEmp=$C177)*(PayDate&lt;=$AC177)*(OFFSET($N$6,1,MATCH(AO$5,PayDedList,0)-1,PayCount,1)))/$AA177*12*AO$3,IF(OR(AO$1="Fixed",AO$1="Not Used"),SUMPRODUCT((PayEmp=$C177)*(PayDate&lt;=$AC177)*(OFFSET($N$6,1,MATCH(AO$5,PayDedList,0)-1,PayCount,1)))/$AA177*12*AO$3,IF(ISNA(MATCH(AO$1,EarnListItem,0))=FALSE,SUMPRODUCT((PayEmp=$C177)*(PayDate&lt;=$AC177)*(OFFSET($N$6,1,MATCH(AO$5,PayDedList,0)-1,PayCount,1)))/$AA177*12*AO$3,(MIN(((SUMPRODUCT((PayEmp=$C177)*(PayDate&lt;=$AC177)*(ISERROR(SEARCH(PayEarnCode,AO$2)))*(PayEarnType="Monthly")*(PayEarnValues))/$AA177*12)+(SUMPRODUCT((PayEmp=$C177)*(PayDate&lt;=$AC177)*(ISERROR(SEARCH(PayEarnCode,AO$2)))*(PayEarnType="Quarterly")*(PayEarnValues))/MAX(1,ROUNDDOWN($AB177/3,0))*4)+(SUMPRODUCT((PayEmp=$C177)*(PayDate&lt;=$AC177)*(ISERROR(SEARCH(PayEarnCode,AO$2)))*(PayEarnType="Bi-Annual")*(PayEarnValues))/MAX(1,ROUNDDOWN($AB177/6,0))*2)+(SUMPRODUCT((PayEmp=$C177)*(PayDate&lt;=$AC177)*(ISERROR(SEARCH(PayEarnCode,AO$2)))*(PayEarnType="Annual")*(PayEarnValues)))),IF(ISNUMBER(OFFSET($N$3,0,MATCH(AO$5,PayDedList,0)-1,1,1)),OFFSET($N$3,0,MATCH(AO$5,PayDedList,0)-1,1,1),IgnoreMin)))*IF(COUNTIFS(EmpNo,$C177,OFFSET(Emp!$R$4,1,MATCH(AO$5,DedListItem,0)-1,EmpCount,1),"&lt;&gt;")&gt;0,VLOOKUP($C177,EmpAll,COLUMN(Emp!$R$4)+MATCH(AO$5,DedListItem,0)-1,0),OFFSET(Setup!$E$73,MATCH(AO$5,DedListItem,0),0,1,1))*AO$3))),IF(ISNUMBER(AO$4),AO$4,IgnoreMin)))))</f>
        <v>0</v>
      </c>
      <c r="AP177" s="148" cm="1">
        <f t="array" aca="1" ref="AP177" ca="1">-IF($F177="Terminated",0,IF($AA177=0,0,IF(ISNA(MATCH(AP$5,PayDedList,0)),0,MIN(IF(COUNTIFS(OverEmp,$C177,OverDeduct,AP$5,OverDate,"&lt;"&amp;DATE(YEAR($AC177),MONTH($AC177)+1,1),OverEnd,"&gt;="&amp;DATE(YEAR($AC177),MONTH($AC177),1))&gt;0,SUMPRODUCT((PayEmp=$C177)*(PayDate&lt;=$AC177)*(OFFSET($N$6,1,MATCH(AP$5,PayDedList,0)-1,PayCount,1)))/$AA177*12*AP$3,IF(OR(AP$1="Fixed",AP$1="Not Used"),SUMPRODUCT((PayEmp=$C177)*(PayDate&lt;=$AC177)*(OFFSET($N$6,1,MATCH(AP$5,PayDedList,0)-1,PayCount,1)))/$AA177*12*AP$3,IF(ISNA(MATCH(AP$1,EarnListItem,0))=FALSE,SUMPRODUCT((PayEmp=$C177)*(PayDate&lt;=$AC177)*(OFFSET($N$6,1,MATCH(AP$5,PayDedList,0)-1,PayCount,1)))/$AA177*12*AP$3,(MIN(((SUMPRODUCT((PayEmp=$C177)*(PayDate&lt;=$AC177)*(ISERROR(SEARCH(PayEarnCode,AP$2)))*(PayEarnType="Monthly")*(PayEarnValues))/$AA177*12)+(SUMPRODUCT((PayEmp=$C177)*(PayDate&lt;=$AC177)*(ISERROR(SEARCH(PayEarnCode,AP$2)))*(PayEarnType="Quarterly")*(PayEarnValues))/MAX(1,ROUNDDOWN($AB177/3,0))*4)+(SUMPRODUCT((PayEmp=$C177)*(PayDate&lt;=$AC177)*(ISERROR(SEARCH(PayEarnCode,AP$2)))*(PayEarnType="Bi-Annual")*(PayEarnValues))/MAX(1,ROUNDDOWN($AB177/6,0))*2)+(SUMPRODUCT((PayEmp=$C177)*(PayDate&lt;=$AC177)*(ISERROR(SEARCH(PayEarnCode,AP$2)))*(PayEarnType="Annual")*(PayEarnValues)))),IF(ISNUMBER(OFFSET($N$3,0,MATCH(AP$5,PayDedList,0)-1,1,1)),OFFSET($N$3,0,MATCH(AP$5,PayDedList,0)-1,1,1),IgnoreMin)))*IF(COUNTIFS(EmpNo,$C177,OFFSET(Emp!$R$4,1,MATCH(AP$5,DedListItem,0)-1,EmpCount,1),"&lt;&gt;")&gt;0,VLOOKUP($C177,EmpAll,COLUMN(Emp!$R$4)+MATCH(AP$5,DedListItem,0)-1,0),OFFSET(Setup!$E$73,MATCH(AP$5,DedListItem,0),0,1,1))*AP$3))),IF(ISNUMBER(AP$4),AP$4,IgnoreMin)))))</f>
        <v>0</v>
      </c>
      <c r="AQ177" s="148" cm="1">
        <f t="array" aca="1" ref="AQ177" ca="1">-IF($F177="Terminated",0,IF($AA177=0,0,IF(ISNA(MATCH(AQ$5,PayDedList,0)),0,MIN(IF(COUNTIFS(OverEmp,$C177,OverDeduct,AQ$5,OverDate,"&lt;"&amp;DATE(YEAR($AC177),MONTH($AC177)+1,1),OverEnd,"&gt;="&amp;DATE(YEAR($AC177),MONTH($AC177),1))&gt;0,SUMPRODUCT((PayEmp=$C177)*(PayDate&lt;=$AC177)*(OFFSET($N$6,1,MATCH(AQ$5,PayDedList,0)-1,PayCount,1)))/$AA177*12*AQ$3,IF(OR(AQ$1="Fixed",AQ$1="Not Used"),SUMPRODUCT((PayEmp=$C177)*(PayDate&lt;=$AC177)*(OFFSET($N$6,1,MATCH(AQ$5,PayDedList,0)-1,PayCount,1)))/$AA177*12*AQ$3,IF(ISNA(MATCH(AQ$1,EarnListItem,0))=FALSE,SUMPRODUCT((PayEmp=$C177)*(PayDate&lt;=$AC177)*(OFFSET($N$6,1,MATCH(AQ$5,PayDedList,0)-1,PayCount,1)))/$AA177*12*AQ$3,(MIN(((SUMPRODUCT((PayEmp=$C177)*(PayDate&lt;=$AC177)*(ISERROR(SEARCH(PayEarnCode,AQ$2)))*(PayEarnType="Monthly")*(PayEarnValues))/$AA177*12)+(SUMPRODUCT((PayEmp=$C177)*(PayDate&lt;=$AC177)*(ISERROR(SEARCH(PayEarnCode,AQ$2)))*(PayEarnType="Quarterly")*(PayEarnValues))/MAX(1,ROUNDDOWN($AB177/3,0))*4)+(SUMPRODUCT((PayEmp=$C177)*(PayDate&lt;=$AC177)*(ISERROR(SEARCH(PayEarnCode,AQ$2)))*(PayEarnType="Bi-Annual")*(PayEarnValues))/MAX(1,ROUNDDOWN($AB177/6,0))*2)+(SUMPRODUCT((PayEmp=$C177)*(PayDate&lt;=$AC177)*(ISERROR(SEARCH(PayEarnCode,AQ$2)))*(PayEarnType="Annual")*(PayEarnValues)))),IF(ISNUMBER(OFFSET($N$3,0,MATCH(AQ$5,PayDedList,0)-1,1,1)),OFFSET($N$3,0,MATCH(AQ$5,PayDedList,0)-1,1,1),IgnoreMin)))*IF(COUNTIFS(EmpNo,$C177,OFFSET(Emp!$R$4,1,MATCH(AQ$5,DedListItem,0)-1,EmpCount,1),"&lt;&gt;")&gt;0,VLOOKUP($C177,EmpAll,COLUMN(Emp!$R$4)+MATCH(AQ$5,DedListItem,0)-1,0),OFFSET(Setup!$E$73,MATCH(AQ$5,DedListItem,0),0,1,1))*AQ$3))),IF(ISNUMBER(AQ$4),AQ$4,IgnoreMin)))))</f>
        <v>0</v>
      </c>
      <c r="AR177" s="148">
        <f t="shared" ca="1" si="81"/>
        <v>132000</v>
      </c>
      <c r="AS177" s="148">
        <f t="shared" ca="1" si="72"/>
        <v>122000</v>
      </c>
      <c r="AT177" s="148" cm="1">
        <f t="array" aca="1" ref="AT177" ca="1">-IF($F177="Terminated",0,IF($AA177=0,0,IF(ISNA(MATCH(AT$5,PayDedList,0)),0,MIN(IF(COUNTIFS(OverEmp,$C177,OverDeduct,AT$5,OverDate,"&lt;"&amp;DATE(YEAR($AC177),MONTH($AC177)+1,1),OverEnd,"&gt;="&amp;DATE(YEAR($AC177),MONTH($AC177),1))&gt;0,SUMPRODUCT((PayEmp=$C177)*(PayDate&lt;=$AC177)*(OFFSET($N$6,1,MATCH(AT$5,PayDedList,0)-1,PayCount,1)))/$AA177*12*AT$3,IF(OR(AT$1="Fixed",AT$1="Not Used"),SUMPRODUCT((PayEmp=$C177)*(PayDate&lt;=$AC177)*(OFFSET($N$6,1,MATCH(AT$5,PayDedList,0)-1,PayCount,1)))/$AA177*12*AT$3,IF(ISNA(MATCH(OFFSET($N$2,0,MATCH(AT$5,PayDedList,0)-1,1,1),EarnListItem,0))=FALSE,SUMPRODUCT((PayEmp=$C177)*(PayDate&lt;=$AC177)*(OFFSET($N$6,1,MATCH(AT$5,PayDedList,0)-1,PayCount,1)))/$AA177*12*AT$3,(MIN(SUMPRODUCT((PayEmp=$C177)*(PayDate&lt;=$AC177)*(ISERROR(SEARCH(PayEarnCode,AT$2)))*(PayEarnType="Monthly")*(PayEarnValues))/$AA177*12,IF(ISNUMBER(OFFSET($N$3,0,MATCH(AT$5,PayDedList,0)-1,1,1)),OFFSET($N$3,0,MATCH(AT$5,PayDedList,0)-1,1,1),IgnoreMin)))*IF(COUNTIFS(EmpNo,$C177,OFFSET(Emp!$R$4,1,MATCH(AT$5,DedListItem,0)-1,EmpCount,1),"&lt;&gt;")&gt;0,VLOOKUP($C177,EmpAll,COLUMN(Emp!$R$4)+MATCH(AT$5,DedListItem,0)-1,0),OFFSET(Setup!$E$73,MATCH(AT$5,DedListItem,0),0,1,1))*AT$3))),IF(ISNUMBER(AT$4),AT$4,IgnoreMin)))))</f>
        <v>0</v>
      </c>
      <c r="AU177" s="148" cm="1">
        <f t="array" aca="1" ref="AU177" ca="1">-IF($F177="Terminated",0,IF($AA177=0,0,IF(ISNA(MATCH(AU$5,PayDedList,0)),0,MIN(IF(COUNTIFS(OverEmp,$C177,OverDeduct,AU$5,OverDate,"&lt;"&amp;DATE(YEAR($AC177),MONTH($AC177)+1,1),OverEnd,"&gt;="&amp;DATE(YEAR($AC177),MONTH($AC177),1))&gt;0,SUMPRODUCT((PayEmp=$C177)*(PayDate&lt;=$AC177)*(OFFSET($N$6,1,MATCH(AU$5,PayDedList,0)-1,PayCount,1)))/$AA177*12*AU$3,IF(OR(AU$1="Fixed",AU$1="Not Used"),SUMPRODUCT((PayEmp=$C177)*(PayDate&lt;=$AC177)*(OFFSET($N$6,1,MATCH(AU$5,PayDedList,0)-1,PayCount,1)))/$AA177*12*AU$3,IF(ISNA(MATCH(OFFSET($N$2,0,MATCH(AU$5,PayDedList,0)-1,1,1),EarnListItem,0))=FALSE,SUMPRODUCT((PayEmp=$C177)*(PayDate&lt;=$AC177)*(OFFSET($N$6,1,MATCH(AU$5,PayDedList,0)-1,PayCount,1)))/$AA177*12*AU$3,(MIN(SUMPRODUCT((PayEmp=$C177)*(PayDate&lt;=$AC177)*(ISERROR(SEARCH(PayEarnCode,AU$2)))*(PayEarnType="Monthly")*(PayEarnValues))/$AA177*12,IF(ISNUMBER(OFFSET($N$3,0,MATCH(AU$5,PayDedList,0)-1,1,1)),OFFSET($N$3,0,MATCH(AU$5,PayDedList,0)-1,1,1),IgnoreMin)))*IF(COUNTIFS(EmpNo,$C177,OFFSET(Emp!$R$4,1,MATCH(AU$5,DedListItem,0)-1,EmpCount,1),"&lt;&gt;")&gt;0,VLOOKUP($C177,EmpAll,COLUMN(Emp!$R$4)+MATCH(AU$5,DedListItem,0)-1,0),OFFSET(Setup!$E$73,MATCH(AU$5,DedListItem,0),0,1,1))*AU$3))),IF(ISNUMBER(AU$4),AU$4,IgnoreMin)))))</f>
        <v>0</v>
      </c>
      <c r="AV177" s="148" cm="1">
        <f t="array" aca="1" ref="AV177" ca="1">-IF($F177="Terminated",0,IF($AA177=0,0,IF(ISNA(MATCH(AV$5,PayDedList,0)),0,MIN(IF(COUNTIFS(OverEmp,$C177,OverDeduct,AV$5,OverDate,"&lt;"&amp;DATE(YEAR($AC177),MONTH($AC177)+1,1),OverEnd,"&gt;="&amp;DATE(YEAR($AC177),MONTH($AC177),1))&gt;0,SUMPRODUCT((PayEmp=$C177)*(PayDate&lt;=$AC177)*(OFFSET($N$6,1,MATCH(AV$5,PayDedList,0)-1,PayCount,1)))/$AA177*12*AV$3,IF(OR(AV$1="Fixed",AV$1="Not Used"),SUMPRODUCT((PayEmp=$C177)*(PayDate&lt;=$AC177)*(OFFSET($N$6,1,MATCH(AV$5,PayDedList,0)-1,PayCount,1)))/$AA177*12*AV$3,IF(ISNA(MATCH(OFFSET($N$2,0,MATCH(AV$5,PayDedList,0)-1,1,1),EarnListItem,0))=FALSE,SUMPRODUCT((PayEmp=$C177)*(PayDate&lt;=$AC177)*(OFFSET($N$6,1,MATCH(AV$5,PayDedList,0)-1,PayCount,1)))/$AA177*12*AV$3,(MIN(SUMPRODUCT((PayEmp=$C177)*(PayDate&lt;=$AC177)*(ISERROR(SEARCH(PayEarnCode,AV$2)))*(PayEarnType="Monthly")*(PayEarnValues))/$AA177*12,IF(ISNUMBER(OFFSET($N$3,0,MATCH(AV$5,PayDedList,0)-1,1,1)),OFFSET($N$3,0,MATCH(AV$5,PayDedList,0)-1,1,1),IgnoreMin)))*IF(COUNTIFS(EmpNo,$C177,OFFSET(Emp!$R$4,1,MATCH(AV$5,DedListItem,0)-1,EmpCount,1),"&lt;&gt;")&gt;0,VLOOKUP($C177,EmpAll,COLUMN(Emp!$R$4)+MATCH(AV$5,DedListItem,0)-1,0),OFFSET(Setup!$E$73,MATCH(AV$5,DedListItem,0),0,1,1))*AV$3))),IF(ISNUMBER(AV$4),AV$4,IgnoreMin)))))</f>
        <v>0</v>
      </c>
      <c r="AW177" s="148" cm="1">
        <f t="array" aca="1" ref="AW177" ca="1">-IF($F177="Terminated",0,IF($AA177=0,0,IF(ISNA(MATCH(AW$5,PayDedList,0)),0,MIN(IF(COUNTIFS(OverEmp,$C177,OverDeduct,AW$5,OverDate,"&lt;"&amp;DATE(YEAR($AC177),MONTH($AC177)+1,1),OverEnd,"&gt;="&amp;DATE(YEAR($AC177),MONTH($AC177),1))&gt;0,SUMPRODUCT((PayEmp=$C177)*(PayDate&lt;=$AC177)*(OFFSET($N$6,1,MATCH(AW$5,PayDedList,0)-1,PayCount,1)))/$AA177*12*AW$3,IF(OR(AW$1="Fixed",AW$1="Not Used"),SUMPRODUCT((PayEmp=$C177)*(PayDate&lt;=$AC177)*(OFFSET($N$6,1,MATCH(AW$5,PayDedList,0)-1,PayCount,1)))/$AA177*12*AW$3,IF(ISNA(MATCH(OFFSET($N$2,0,MATCH(AW$5,PayDedList,0)-1,1,1),EarnListItem,0))=FALSE,SUMPRODUCT((PayEmp=$C177)*(PayDate&lt;=$AC177)*(OFFSET($N$6,1,MATCH(AW$5,PayDedList,0)-1,PayCount,1)))/$AA177*12*AW$3,(MIN(SUMPRODUCT((PayEmp=$C177)*(PayDate&lt;=$AC177)*(ISERROR(SEARCH(PayEarnCode,AW$2)))*(PayEarnType="Monthly")*(PayEarnValues))/$AA177*12,IF(ISNUMBER(OFFSET($N$3,0,MATCH(AW$5,PayDedList,0)-1,1,1)),OFFSET($N$3,0,MATCH(AW$5,PayDedList,0)-1,1,1),IgnoreMin)))*IF(COUNTIFS(EmpNo,$C177,OFFSET(Emp!$R$4,1,MATCH(AW$5,DedListItem,0)-1,EmpCount,1),"&lt;&gt;")&gt;0,VLOOKUP($C177,EmpAll,COLUMN(Emp!$R$4)+MATCH(AW$5,DedListItem,0)-1,0),OFFSET(Setup!$E$73,MATCH(AW$5,DedListItem,0),0,1,1))*AW$3))),IF(ISNUMBER(AW$4),AW$4,IgnoreMin)))))</f>
        <v>0</v>
      </c>
      <c r="AX177" s="148">
        <f t="shared" ca="1" si="88"/>
        <v>122000</v>
      </c>
      <c r="AY177" s="148">
        <f t="shared" ca="1" si="89"/>
        <v>10000</v>
      </c>
      <c r="AZ177" s="148">
        <f ca="1">IF(ISNUMBER($AL177),($AR177*$AL177)-$AI177-$AK177,MAX(0,IF($AL177="B",IF($AR177&lt;Setup!$C$32,($AR177*Setup!$D$32)-$AI177-$AK177,(($AR177-VLOOKUP($AR177,TaxAll2,1,1))*OFFSET(Setup!$D$32,MATCH($AR177,TaxBracket2,1),0,1,1))+OFFSET(Setup!$E$31,MATCH($AR177,TaxBracket2,1),0,1,1)-$AI177-$AK177),IF($AR177&lt;Setup!$C$21,($AR177*Setup!$D$21)-$AI177-$AK177,(($AR177-VLOOKUP($AR177,TaxAll1,1,1))*OFFSET(Setup!$D$21,MATCH($AR177,TaxBracket1,1),0,1,1))+OFFSET(Setup!$E$20,MATCH($AR177,TaxBracket1,1),0,1,1)-$AI177-$AK177))))</f>
        <v>2157</v>
      </c>
      <c r="BA177" s="148">
        <f ca="1">IF(ISNUMBER($AL177),($AX177*$AL177)-$AI177-$AK177,MAX(0,IF($AL177="B",IF($AX177&lt;Setup!$C$32,($AX177*Setup!$D$32)-$AI177-$AK177,(($AX177-VLOOKUP($AX177,TaxAll2,1,1))*OFFSET(Setup!$D$32,MATCH($AX177,TaxBracket2,1),0,1,1))+OFFSET(Setup!$E$31,MATCH($AX177,TaxBracket2,1),0,1,1)-$AI177-$AK177),IF($AX177&lt;Setup!$C$21,($AX177*Setup!$D$21)-$AI177-$AK177,(($AX177-VLOOKUP($AX177,TaxAll1,1,1))*OFFSET(Setup!$D$21,MATCH($AX177,TaxBracket1,1),0,1,1))+OFFSET(Setup!$E$20,MATCH($AX177,TaxBracket1,1),0,1,1)-$AI177-$AK177))))</f>
        <v>357</v>
      </c>
      <c r="BB177" s="148">
        <f t="shared" ca="1" si="82"/>
        <v>1800</v>
      </c>
      <c r="BC177" s="150">
        <f t="shared" ca="1" si="75"/>
        <v>0.9242424242424242</v>
      </c>
      <c r="BD177" s="150">
        <f t="shared" ca="1" si="76"/>
        <v>7.575757575757576E-2</v>
      </c>
      <c r="BE177" s="148">
        <f t="shared" ca="1" si="77"/>
        <v>132000</v>
      </c>
    </row>
    <row r="178" spans="1:57" ht="16.149999999999999" customHeight="1" x14ac:dyDescent="0.25">
      <c r="A178" s="10" t="str" cm="1">
        <f t="array" aca="1" ref="A178" ca="1">IF(ROW($A178)-ROW($A$6)&gt;EmpCount*12,"-",TEXT($B178,"yyyy")&amp;TEXT($B178,"mm")&amp;"-"&amp;$C178)</f>
        <v>202402-EXS007</v>
      </c>
      <c r="B178" s="137" cm="1">
        <f t="array" aca="1" ref="B178" ca="1">IF(ROW($A178)-ROW($A$6)&gt;EmpCount*12,Setup!$D$12,DATE(YEAR(Setup!$F$12),MONTH(Setup!$F$12)+ROUNDDOWN((ROW($A178)-ROW($A$6)-1)/EmpCount,0),IF(Setup!$C$14&gt;DAY(DATE(YEAR(Setup!$F$12),MONTH(Setup!$F$12)+ROUNDDOWN((ROW($A178)-ROW($A$6)-1)/EmpCount,0)+1,0)),DAY(DATE(YEAR(Setup!$F$12),MONTH(Setup!$F$12)+ROUNDDOWN((ROW($A178)-ROW($A$6)-1)/EmpCount,0)+1,0)),Setup!$C$14)))</f>
        <v>45347</v>
      </c>
      <c r="C178" s="101" t="str" cm="1">
        <f t="array" aca="1" ref="C178" ca="1">IF(ROW($A178)-ROW($A$6)&gt;EmpCount*12,"-",OFFSET(Emp!$A$4,ROW($A178)-ROW($A$6)-IF(ROW($A178)-ROW($A$6)&gt;EmpCount,ROUNDDOWN((ROW($A178)-ROW($A$6)-1)/EmpCount,0)*EmpCount,0),0,1,1))</f>
        <v>EXS007</v>
      </c>
      <c r="D178" s="10" t="str">
        <f ca="1">IF(ISNA(VLOOKUP($C178,EmpAll,COLUMN(Emp!$B$4),0)),"-",VLOOKUP($C178,EmpAll,COLUMN(Emp!$B$4),0))</f>
        <v>Phillips KE</v>
      </c>
      <c r="E178" s="145" t="str">
        <f ca="1">IF(ISNA(VLOOKUP($C178,EmpAll,COLUMN(Emp!$C$4),0)),"-",VLOOKUP($C178,EmpAll,COLUMN(Emp!$C$4),0))</f>
        <v>A</v>
      </c>
      <c r="F178" s="101" t="str">
        <f ca="1">IF(ISNA(VLOOKUP($C178,EmpAll,COLUMN(Emp!$A$4),0)),"-",IF(AND(VLOOKUP($C178,EmpAll,COLUMN(Emp!$E$4),0)&lt;&gt;0,VLOOKUP($C178,EmpAll,COLUMN(Emp!$E$4),0)&gt;=DATE(YEAR($AC178),MONTH($AC178)+1,0)),"Inactive",IF(AND(VLOOKUP($C178,EmpAll,COLUMN(Emp!$F$4),0)&lt;&gt;0,VLOOKUP($C178,EmpAll,COLUMN(Emp!$F$4),0)&lt;=DATE(YEAR($AC178),MONTH($AC178),0)),"Terminated","Active")))</f>
        <v>Terminated</v>
      </c>
      <c r="G178" s="133" cm="1">
        <f t="array" aca="1" ref="G178" ca="1">IF($F178&lt;&gt;"Active",0,IF(COUNTIFS(OverEmp,$C178,OverEarn,G$2,OverDate,"&lt;"&amp;DATE(YEAR($AC178),MONTH($AC178)+1,1),OverEnd,"&gt;="&amp;DATE(YEAR($AC178),MONTH($AC178),1))&gt;0,SUMIFS(OverValue,OverEmp,$C178,OverEarn,G$2,OverDate,"&lt;"&amp;DATE(YEAR($AC178),MONTH($AC178)+1,1),OverEnd,"&gt;="&amp;DATE(YEAR($AC178),MONTH($AC178),1)),IF(AND($AC178&gt;=Setup!$E$10,SUMIFS(EmpIncrease,EmpCode,$C178)&gt;0),SUMIFS(EmpIncrease,EmpCode,$C178),SUMIFS(EmpSalary,EmpCode,$C178))))</f>
        <v>0</v>
      </c>
      <c r="H178" s="133" cm="1">
        <f t="array" aca="1" ref="H178" ca="1">IF($F178&lt;&gt;"Active",0,IF(COUNTIFS(OverEmp,$C178,OverEarn,H$2,OverDate,"&lt;"&amp;DATE(YEAR($AC178),MONTH($AC178)+1,1),OverEnd,"&gt;="&amp;DATE(YEAR($AC178),MONTH($AC178),1))&gt;0,SUMIFS(OverValue,OverEmp,$C178,OverEarn,H$2,OverDate,"&lt;"&amp;DATE(YEAR($AC178),MONTH($AC178)+1,1),OverEnd,"&gt;="&amp;DATE(YEAR($AC178),MONTH($AC178),1)),0))</f>
        <v>0</v>
      </c>
      <c r="I178" s="133" cm="1">
        <f t="array" aca="1" ref="I178" ca="1">IF($F178&lt;&gt;"Active",0,IF(COUNTIFS(OverEmp,$C178,OverEarn,I$2,OverDate,"&lt;"&amp;DATE(YEAR($AC178),MONTH($AC178)+1,1),OverEnd,"&gt;="&amp;DATE(YEAR($AC178),MONTH($AC178),1))&gt;0,SUMIFS(OverValue,OverEmp,$C178,OverEarn,I$2,OverDate,"&lt;"&amp;DATE(YEAR($AC178),MONTH($AC178)+1,1),OverEnd,"&gt;="&amp;DATE(YEAR($AC178),MONTH($AC178),1)),IF(MONTH(B178)=Setup!$C$15,SUMIFS(EmpBonus,EmpCode,$C178),0)))</f>
        <v>0</v>
      </c>
      <c r="J178" s="133" cm="1">
        <f t="array" aca="1" ref="J178" ca="1">IF($F178&lt;&gt;"Active",0,IF(COUNTIFS(OverEmp,$C178,OverEarn,J$2,OverDate,"&lt;"&amp;DATE(YEAR($AC178),MONTH($AC178)+1,1),OverEnd,"&gt;="&amp;DATE(YEAR($AC178),MONTH($AC178),1))&gt;0,SUMIFS(OverValue,OverEmp,$C178,OverEarn,J$2,OverDate,"&lt;"&amp;DATE(YEAR($AC178),MONTH($AC178)+1,1),OverEnd,"&gt;="&amp;DATE(YEAR($AC178),MONTH($AC178),1)),0))</f>
        <v>0</v>
      </c>
      <c r="K178" s="133" cm="1">
        <f t="array" aca="1" ref="K178" ca="1">IF($F178&lt;&gt;"Active",0,IF(COUNTIFS(OverEmp,$C178,OverEarn,K$2,OverDate,"&lt;"&amp;DATE(YEAR($AC178),MONTH($AC178)+1,1),OverEnd,"&gt;="&amp;DATE(YEAR($AC178),MONTH($AC178),1))&gt;0,SUMIFS(OverValue,OverEmp,$C178,OverEarn,K$2,OverDate,"&lt;"&amp;DATE(YEAR($AC178),MONTH($AC178)+1,1),OverEnd,"&gt;="&amp;DATE(YEAR($AC178),MONTH($AC178),1)),0))</f>
        <v>0</v>
      </c>
      <c r="L178" s="185">
        <f t="shared" ca="1" si="84"/>
        <v>0</v>
      </c>
      <c r="M178" s="182" cm="1">
        <f t="array" aca="1" ref="M178" ca="1">IF(COUNTIFS(OverEmp,$C178,OverTax,M$5,OverDate,"&lt;"&amp;DATE(YEAR($AC178),MONTH($AC178)+1,1),OverEnd,"&gt;="&amp;DATE(YEAR($AC178),MONTH($AC178),1))&gt;0,SUMIFS(OverValue,OverEmp,$C178,OverTax,M$5,OverDate,"&lt;"&amp;DATE(YEAR($AC178),MONTH($AC178)+1,1),OverEnd,"&gt;="&amp;DATE(YEAR($AC178),MONTH($AC178),1)),(($BA178/12*$AA178)+(BB178*IF(1-$BC178=0,0,BD178/(1-$BC178))))-IF($F178="Terminated",0,SUMIFS(PayTaxDeduct,PayDate,"&lt;"&amp;$AC178,PayEmp,$C178)))</f>
        <v>0</v>
      </c>
      <c r="N178" s="133" cm="1">
        <f t="array" aca="1" ref="N178" ca="1">IF($F178="Terminated",0,IF($AA178=0,0,IF(ISNA(MATCH(N$5,DedListItem,0)),0,IF(COUNTIFS(OverEmp,$C178,OverDeduct,N$5,OverDate,"&lt;"&amp;DATE(YEAR($AC178),MONTH($AC178)+1,1),OverEnd,"&gt;="&amp;DATE(YEAR($AC178),MONTH($AC178),1))&gt;0,SUMIFS(OverValue,OverEmp,$C178,OverDeduct,N$5,OverDate,"&lt;"&amp;DATE(YEAR($AC178),MONTH($AC178)+1,1),OverEnd,"&gt;="&amp;DATE(YEAR($AC178),MONTH($AC178),1)),IF(OR(N$2="Fixed",N$2="Not Used"),(IF(COUNTIFS(EmpNo,$C178,OFFSET(Emp!$R$4,1,MATCH(N$5,DedListItem,0)-1,EmpCount,1),"&lt;&gt;")&gt;0,VLOOKUP($C178,EmpAll,COLUMN(Emp!$R$4)+MATCH(N$5,DedListItem,0)-1,0),OFFSET(Setup!$E$73,MATCH(N$5,DedListItem,0),0,1,1))*$AA178)-SUMIFS(OFFSET(N$6,1,0,PayCount,1),PayDate,"&lt;"&amp;$AC178,PayEmp,$C178),IF(ISNA(MATCH(N$2,EarnListItem,0))=FALSE,IF(OFFSET(Setup!$G$73,MATCH(N$5,DedListItem,0),0,1,1)="Taxable",SUMPRODUCT((PayEmp=$C178)*(PayDate&lt;=$AC178)*(PayEarnCode=N$2)*(PayEarnTax)*(PayEarnValues)),SUMPRODUCT((PayEmp=$C178)*(PayDate&lt;=$AC178)*(PayEarnCode=N$2)*(PayEarnValues)))*IF(COUNTIFS(EmpNo,$C178,OFFSET(Emp!$R$4,1,MATCH(N$5,DedListItem,0)-1,EmpCount,1),"&lt;&gt;")&gt;0,VLOOKUP($C178,EmpAll,COLUMN(Emp!$R$4)+MATCH(N$5,DedListItem,0)-1,0),OFFSET(Setup!$E$73,MATCH(N$5,DedListItem,0),0,1,1)),(MIN(IF(OFFSET(Setup!$G$73,MATCH(N$5,DedListItem,0),0,1,1)="Taxable",SUMPRODUCT((PayEmp=$C178)*(PayDate&lt;=$AC178)*(ISERROR(SEARCH(PayEarnCode,N$4)))*(PayEarnTax)*(PayEarnValues)),SUMPRODUCT((PayEmp=$C178)*(PayDate&lt;=$AC178)*(ISERROR(SEARCH(PayEarnCode,N$4)))*(PayEarnValues))),IF(ISNUMBER(N$3),N$3/12*$AA178,IgnoreMin)))*IF(COUNTIFS(EmpNo,$C178,OFFSET(Emp!$R$4,1,MATCH(N$5,DedListItem,0)-1,EmpCount,1),"&lt;&gt;")&gt;0,VLOOKUP($C178,EmpAll,COLUMN(Emp!$R$4)+MATCH(N$5,DedListItem,0)-1,0),OFFSET(Setup!$E$73,MATCH(N$5,DedListItem,0),0,1,1)))-SUMIFS(OFFSET(N$6,1,0,PayCount,1),PayDate,"&lt;"&amp;$AC178,PayEmp,$C178))))))</f>
        <v>0</v>
      </c>
      <c r="O178" s="133" cm="1">
        <f t="array" aca="1" ref="O178" ca="1">IF($F178="Terminated",0,IF($AA178=0,0,IF(ISNA(MATCH(O$5,DedListItem,0)),0,IF(COUNTIFS(OverEmp,$C178,OverDeduct,O$5,OverDate,"&lt;"&amp;DATE(YEAR($AC178),MONTH($AC178)+1,1),OverEnd,"&gt;="&amp;DATE(YEAR($AC178),MONTH($AC178),1))&gt;0,SUMIFS(OverValue,OverEmp,$C178,OverDeduct,O$5,OverDate,"&lt;"&amp;DATE(YEAR($AC178),MONTH($AC178)+1,1),OverEnd,"&gt;="&amp;DATE(YEAR($AC178),MONTH($AC178),1)),IF(OR(O$2="Fixed",O$2="Not Used"),(IF(COUNTIFS(EmpNo,$C178,OFFSET(Emp!$R$4,1,MATCH(O$5,DedListItem,0)-1,EmpCount,1),"&lt;&gt;")&gt;0,VLOOKUP($C178,EmpAll,COLUMN(Emp!$R$4)+MATCH(O$5,DedListItem,0)-1,0),OFFSET(Setup!$E$73,MATCH(O$5,DedListItem,0),0,1,1))*$AA178)-SUMIFS(OFFSET(O$6,1,0,PayCount,1),PayDate,"&lt;"&amp;$AC178,PayEmp,$C178),IF(ISNA(MATCH(O$2,EarnListItem,0))=FALSE,IF(OFFSET(Setup!$G$73,MATCH(O$5,DedListItem,0),0,1,1)="Taxable",SUMPRODUCT((PayEmp=$C178)*(PayDate&lt;=$AC178)*(PayEarnCode=O$2)*(PayEarnTax)*(PayEarnValues)),SUMPRODUCT((PayEmp=$C178)*(PayDate&lt;=$AC178)*(PayEarnCode=O$2)*(PayEarnValues)))*IF(COUNTIFS(EmpNo,$C178,OFFSET(Emp!$R$4,1,MATCH(O$5,DedListItem,0)-1,EmpCount,1),"&lt;&gt;")&gt;0,VLOOKUP($C178,EmpAll,COLUMN(Emp!$R$4)+MATCH(O$5,DedListItem,0)-1,0),OFFSET(Setup!$E$73,MATCH(O$5,DedListItem,0),0,1,1)),(MIN(IF(OFFSET(Setup!$G$73,MATCH(O$5,DedListItem,0),0,1,1)="Taxable",SUMPRODUCT((PayEmp=$C178)*(PayDate&lt;=$AC178)*(ISERROR(SEARCH(PayEarnCode,O$4)))*(PayEarnTax)*(PayEarnValues)),SUMPRODUCT((PayEmp=$C178)*(PayDate&lt;=$AC178)*(ISERROR(SEARCH(PayEarnCode,O$4)))*(PayEarnValues))),IF(ISNUMBER(O$3),O$3/12*$AA178,IgnoreMin)))*IF(COUNTIFS(EmpNo,$C178,OFFSET(Emp!$R$4,1,MATCH(O$5,DedListItem,0)-1,EmpCount,1),"&lt;&gt;")&gt;0,VLOOKUP($C178,EmpAll,COLUMN(Emp!$R$4)+MATCH(O$5,DedListItem,0)-1,0),OFFSET(Setup!$E$73,MATCH(O$5,DedListItem,0),0,1,1)))-SUMIFS(OFFSET(O$6,1,0,PayCount,1),PayDate,"&lt;"&amp;$AC178,PayEmp,$C178))))))</f>
        <v>0</v>
      </c>
      <c r="P178" s="133" cm="1">
        <f t="array" aca="1" ref="P178" ca="1">IF($F178="Terminated",0,IF($AA178=0,0,IF(ISNA(MATCH(P$5,DedListItem,0)),0,IF(COUNTIFS(OverEmp,$C178,OverDeduct,P$5,OverDate,"&lt;"&amp;DATE(YEAR($AC178),MONTH($AC178)+1,1),OverEnd,"&gt;="&amp;DATE(YEAR($AC178),MONTH($AC178),1))&gt;0,SUMIFS(OverValue,OverEmp,$C178,OverDeduct,P$5,OverDate,"&lt;"&amp;DATE(YEAR($AC178),MONTH($AC178)+1,1),OverEnd,"&gt;="&amp;DATE(YEAR($AC178),MONTH($AC178),1)),IF(OR(P$2="Fixed",P$2="Not Used"),(IF(COUNTIFS(EmpNo,$C178,OFFSET(Emp!$R$4,1,MATCH(P$5,DedListItem,0)-1,EmpCount,1),"&lt;&gt;")&gt;0,VLOOKUP($C178,EmpAll,COLUMN(Emp!$R$4)+MATCH(P$5,DedListItem,0)-1,0),OFFSET(Setup!$E$73,MATCH(P$5,DedListItem,0),0,1,1))*$AA178)-SUMIFS(OFFSET(P$6,1,0,PayCount,1),PayDate,"&lt;"&amp;$AC178,PayEmp,$C178),IF(ISNA(MATCH(P$2,EarnListItem,0))=FALSE,IF(OFFSET(Setup!$G$73,MATCH(P$5,DedListItem,0),0,1,1)="Taxable",SUMPRODUCT((PayEmp=$C178)*(PayDate&lt;=$AC178)*(PayEarnCode=P$2)*(PayEarnTax)*(PayEarnValues)),SUMPRODUCT((PayEmp=$C178)*(PayDate&lt;=$AC178)*(PayEarnCode=P$2)*(PayEarnValues)))*IF(COUNTIFS(EmpNo,$C178,OFFSET(Emp!$R$4,1,MATCH(P$5,DedListItem,0)-1,EmpCount,1),"&lt;&gt;")&gt;0,VLOOKUP($C178,EmpAll,COLUMN(Emp!$R$4)+MATCH(P$5,DedListItem,0)-1,0),OFFSET(Setup!$E$73,MATCH(P$5,DedListItem,0),0,1,1)),(MIN(IF(OFFSET(Setup!$G$73,MATCH(P$5,DedListItem,0),0,1,1)="Taxable",SUMPRODUCT((PayEmp=$C178)*(PayDate&lt;=$AC178)*(ISERROR(SEARCH(PayEarnCode,P$4)))*(PayEarnTax)*(PayEarnValues)),SUMPRODUCT((PayEmp=$C178)*(PayDate&lt;=$AC178)*(ISERROR(SEARCH(PayEarnCode,P$4)))*(PayEarnValues))),IF(ISNUMBER(P$3),P$3/12*$AA178,IgnoreMin)))*IF(COUNTIFS(EmpNo,$C178,OFFSET(Emp!$R$4,1,MATCH(P$5,DedListItem,0)-1,EmpCount,1),"&lt;&gt;")&gt;0,VLOOKUP($C178,EmpAll,COLUMN(Emp!$R$4)+MATCH(P$5,DedListItem,0)-1,0),OFFSET(Setup!$E$73,MATCH(P$5,DedListItem,0),0,1,1)))-SUMIFS(OFFSET(P$6,1,0,PayCount,1),PayDate,"&lt;"&amp;$AC178,PayEmp,$C178))))))</f>
        <v>0</v>
      </c>
      <c r="Q178" s="133" cm="1">
        <f t="array" aca="1" ref="Q178" ca="1">IF($F178="Terminated",0,IF($AA178=0,0,IF(ISNA(MATCH(Q$5,DedListItem,0)),0,IF(COUNTIFS(OverEmp,$C178,OverDeduct,Q$5,OverDate,"&lt;"&amp;DATE(YEAR($AC178),MONTH($AC178)+1,1),OverEnd,"&gt;="&amp;DATE(YEAR($AC178),MONTH($AC178),1))&gt;0,SUMIFS(OverValue,OverEmp,$C178,OverDeduct,Q$5,OverDate,"&lt;"&amp;DATE(YEAR($AC178),MONTH($AC178)+1,1),OverEnd,"&gt;="&amp;DATE(YEAR($AC178),MONTH($AC178),1)),IF(OR(Q$2="Fixed",Q$2="Not Used"),(IF(COUNTIFS(EmpNo,$C178,OFFSET(Emp!$R$4,1,MATCH(Q$5,DedListItem,0)-1,EmpCount,1),"&lt;&gt;")&gt;0,VLOOKUP($C178,EmpAll,COLUMN(Emp!$R$4)+MATCH(Q$5,DedListItem,0)-1,0),OFFSET(Setup!$E$73,MATCH(Q$5,DedListItem,0),0,1,1))*$AA178)-SUMIFS(OFFSET(Q$6,1,0,PayCount,1),PayDate,"&lt;"&amp;$AC178,PayEmp,$C178),IF(ISNA(MATCH(Q$2,EarnListItem,0))=FALSE,IF(OFFSET(Setup!$G$73,MATCH(Q$5,DedListItem,0),0,1,1)="Taxable",SUMPRODUCT((PayEmp=$C178)*(PayDate&lt;=$AC178)*(PayEarnCode=Q$2)*(PayEarnTax)*(PayEarnValues)),SUMPRODUCT((PayEmp=$C178)*(PayDate&lt;=$AC178)*(PayEarnCode=Q$2)*(PayEarnValues)))*IF(COUNTIFS(EmpNo,$C178,OFFSET(Emp!$R$4,1,MATCH(Q$5,DedListItem,0)-1,EmpCount,1),"&lt;&gt;")&gt;0,VLOOKUP($C178,EmpAll,COLUMN(Emp!$R$4)+MATCH(Q$5,DedListItem,0)-1,0),OFFSET(Setup!$E$73,MATCH(Q$5,DedListItem,0),0,1,1)),(MIN(IF(OFFSET(Setup!$G$73,MATCH(Q$5,DedListItem,0),0,1,1)="Taxable",SUMPRODUCT((PayEmp=$C178)*(PayDate&lt;=$AC178)*(ISERROR(SEARCH(PayEarnCode,Q$4)))*(PayEarnTax)*(PayEarnValues)),SUMPRODUCT((PayEmp=$C178)*(PayDate&lt;=$AC178)*(ISERROR(SEARCH(PayEarnCode,Q$4)))*(PayEarnValues))),IF(ISNUMBER(Q$3),Q$3/12*$AA178,IgnoreMin)))*IF(COUNTIFS(EmpNo,$C178,OFFSET(Emp!$R$4,1,MATCH(Q$5,DedListItem,0)-1,EmpCount,1),"&lt;&gt;")&gt;0,VLOOKUP($C178,EmpAll,COLUMN(Emp!$R$4)+MATCH(Q$5,DedListItem,0)-1,0),OFFSET(Setup!$E$73,MATCH(Q$5,DedListItem,0),0,1,1)))-SUMIFS(OFFSET(Q$6,1,0,PayCount,1),PayDate,"&lt;"&amp;$AC178,PayEmp,$C178))))))</f>
        <v>0</v>
      </c>
      <c r="R178" s="185">
        <f t="shared" ca="1" si="85"/>
        <v>0</v>
      </c>
      <c r="S178" s="139">
        <f t="shared" ca="1" si="86"/>
        <v>0</v>
      </c>
      <c r="T178" s="133" cm="1">
        <f t="array" aca="1" ref="T178" ca="1">IF($F178="Terminated",0,IF($AA178=0,0,IF(ISNA(MATCH(T$5,CompListItem,0)),0,IF(COUNTIFS(OverEmp,$C178,OverComp,T$5,OverDate,"&lt;"&amp;DATE(YEAR($AC178),MONTH($AC178)+1,1),OverEnd,"&gt;="&amp;DATE(YEAR($AC178),MONTH($AC178),1))&gt;0,SUMIFS(OverValue,OverEmp,$C178,OverComp,T$5,OverDate,"&lt;"&amp;DATE(YEAR($AC178),MONTH($AC178)+1,1),OverEnd,"&gt;="&amp;DATE(YEAR($AC178),MONTH($AC178),1)),IF(OR(T$2="Fixed",T$2="Not Used"),(OFFSET(Setup!$E$81,MATCH(T$5,CompListItem,0),0,1,1)*$AA178)-SUMIFS(OFFSET(T$6,1,0,PayCount,1),PayDate,"&lt;"&amp;$AC178,PayEmp,$C178),IF(ISNA(MATCH(T$2,DedListItem,0))=FALSE,(SUMPRODUCT((PayEmp=$C178)*(PayDate&lt;=$AC178)*(PayDedList=T$2)*(PayDedValues))*OFFSET(Setup!$E$81,MATCH(T$5,CompListItem,0),0,1,1))-SUMIFS(OFFSET(T$6,1,0,PayCount,1),PayDate,"&lt;"&amp;$AC178,PayEmp,$C178),(MIN(IF(OFFSET(Setup!$G$81,MATCH(T$5,CompListItem,0),0,1,1)="Taxable",SUMPRODUCT((PayEmp=$C178)*(PayDate&lt;=$AC178)*(ISERROR(SEARCH(PayEarnCode,T$4)))*(PayEarnTax)*(PayEarnValues)),SUMPRODUCT((PayEmp=$C178)*(PayDate&lt;=$AC178)*(ISERROR(SEARCH(PayEarnCode,T$4)))*(PayEarnValues))),IF(ISNUMBER(T$3),T$3/12*$AA178,IgnoreMin)))*OFFSET(Setup!$E$81,MATCH(T$5,CompListItem,0),0,1,1)-SUMIFS(OFFSET(T$6,1,0,PayCount,1),PayDate,"&lt;"&amp;$AC178,PayEmp,$C178)))))))</f>
        <v>0</v>
      </c>
      <c r="U178" s="133" cm="1">
        <f t="array" aca="1" ref="U178" ca="1">IF($F178="Terminated",0,IF($AA178=0,0,IF(ISNA(MATCH(U$5,CompListItem,0)),0,IF(COUNTIFS(OverEmp,$C178,OverComp,U$5,OverDate,"&lt;"&amp;DATE(YEAR($AC178),MONTH($AC178)+1,1),OverEnd,"&gt;="&amp;DATE(YEAR($AC178),MONTH($AC178),1))&gt;0,SUMIFS(OverValue,OverEmp,$C178,OverComp,U$5,OverDate,"&lt;"&amp;DATE(YEAR($AC178),MONTH($AC178)+1,1),OverEnd,"&gt;="&amp;DATE(YEAR($AC178),MONTH($AC178),1)),IF(OR(U$2="Fixed",U$2="Not Used"),(OFFSET(Setup!$E$81,MATCH(U$5,CompListItem,0),0,1,1)*$AA178)-SUMIFS(OFFSET(U$6,1,0,PayCount,1),PayDate,"&lt;"&amp;$AC178,PayEmp,$C178),IF(ISNA(MATCH(U$2,DedListItem,0))=FALSE,(SUMPRODUCT((PayEmp=$C178)*(PayDate&lt;=$AC178)*(PayDedList=U$2)*(PayDedValues))*OFFSET(Setup!$E$81,MATCH(U$5,CompListItem,0),0,1,1))-SUMIFS(OFFSET(U$6,1,0,PayCount,1),PayDate,"&lt;"&amp;$AC178,PayEmp,$C178),(MIN(IF(OFFSET(Setup!$G$81,MATCH(U$5,CompListItem,0),0,1,1)="Taxable",SUMPRODUCT((PayEmp=$C178)*(PayDate&lt;=$AC178)*(ISERROR(SEARCH(PayEarnCode,U$4)))*(PayEarnTax)*(PayEarnValues)),SUMPRODUCT((PayEmp=$C178)*(PayDate&lt;=$AC178)*(ISERROR(SEARCH(PayEarnCode,U$4)))*(PayEarnValues))),IF(ISNUMBER(U$3),U$3/12*$AA178,IgnoreMin)))*OFFSET(Setup!$E$81,MATCH(U$5,CompListItem,0),0,1,1)-SUMIFS(OFFSET(U$6,1,0,PayCount,1),PayDate,"&lt;"&amp;$AC178,PayEmp,$C178)))))))</f>
        <v>0</v>
      </c>
      <c r="V178" s="133" cm="1">
        <f t="array" aca="1" ref="V178" ca="1">IF($F178="Terminated",0,IF($AA178=0,0,IF(ISNA(MATCH(V$5,CompListItem,0)),0,IF(COUNTIFS(OverEmp,$C178,OverComp,V$5,OverDate,"&lt;"&amp;DATE(YEAR($AC178),MONTH($AC178)+1,1),OverEnd,"&gt;="&amp;DATE(YEAR($AC178),MONTH($AC178),1))&gt;0,SUMIFS(OverValue,OverEmp,$C178,OverComp,V$5,OverDate,"&lt;"&amp;DATE(YEAR($AC178),MONTH($AC178)+1,1),OverEnd,"&gt;="&amp;DATE(YEAR($AC178),MONTH($AC178),1)),IF(OR(V$2="Fixed",V$2="Not Used"),(OFFSET(Setup!$E$81,MATCH(V$5,CompListItem,0),0,1,1)*$AA178)-SUMIFS(OFFSET(V$6,1,0,PayCount,1),PayDate,"&lt;"&amp;$AC178,PayEmp,$C178),IF(ISNA(MATCH(V$2,DedListItem,0))=FALSE,(SUMPRODUCT((PayEmp=$C178)*(PayDate&lt;=$AC178)*(PayDedList=V$2)*(PayDedValues))*OFFSET(Setup!$E$81,MATCH(V$5,CompListItem,0),0,1,1))-SUMIFS(OFFSET(V$6,1,0,PayCount,1),PayDate,"&lt;"&amp;$AC178,PayEmp,$C178),(MIN(IF(OFFSET(Setup!$G$81,MATCH(V$5,CompListItem,0),0,1,1)="Taxable",SUMPRODUCT((PayEmp=$C178)*(PayDate&lt;=$AC178)*(ISERROR(SEARCH(PayEarnCode,V$4)))*(PayEarnTax)*(PayEarnValues)),SUMPRODUCT((PayEmp=$C178)*(PayDate&lt;=$AC178)*(ISERROR(SEARCH(PayEarnCode,V$4)))*(PayEarnValues))),IF(ISNUMBER(V$3),V$3/12*$AA178,IgnoreMin)))*OFFSET(Setup!$E$81,MATCH(V$5,CompListItem,0),0,1,1)-SUMIFS(OFFSET(V$6,1,0,PayCount,1),PayDate,"&lt;"&amp;$AC178,PayEmp,$C178)))))))</f>
        <v>0</v>
      </c>
      <c r="W178" s="133" cm="1">
        <f t="array" aca="1" ref="W178" ca="1">IF($F178="Terminated",0,IF($AA178=0,0,IF(ISNA(MATCH(W$5,CompListItem,0)),0,IF(COUNTIFS(OverEmp,$C178,OverComp,W$5,OverDate,"&lt;"&amp;DATE(YEAR($AC178),MONTH($AC178)+1,1),OverEnd,"&gt;="&amp;DATE(YEAR($AC178),MONTH($AC178),1))&gt;0,SUMIFS(OverValue,OverEmp,$C178,OverComp,W$5,OverDate,"&lt;"&amp;DATE(YEAR($AC178),MONTH($AC178)+1,1),OverEnd,"&gt;="&amp;DATE(YEAR($AC178),MONTH($AC178),1)),IF(OR(W$2="Fixed",W$2="Not Used"),(OFFSET(Setup!$E$81,MATCH(W$5,CompListItem,0),0,1,1)*$AA178)-SUMIFS(OFFSET(W$6,1,0,PayCount,1),PayDate,"&lt;"&amp;$AC178,PayEmp,$C178),IF(ISNA(MATCH(W$2,DedListItem,0))=FALSE,(SUMPRODUCT((PayEmp=$C178)*(PayDate&lt;=$AC178)*(PayDedList=W$2)*(PayDedValues))*OFFSET(Setup!$E$81,MATCH(W$5,CompListItem,0),0,1,1))-SUMIFS(OFFSET(W$6,1,0,PayCount,1),PayDate,"&lt;"&amp;$AC178,PayEmp,$C178),(MIN(IF(OFFSET(Setup!$G$81,MATCH(W$5,CompListItem,0),0,1,1)="Taxable",SUMPRODUCT((PayEmp=$C178)*(PayDate&lt;=$AC178)*(ISERROR(SEARCH(PayEarnCode,W$4)))*(PayEarnTax)*(PayEarnValues)),SUMPRODUCT((PayEmp=$C178)*(PayDate&lt;=$AC178)*(ISERROR(SEARCH(PayEarnCode,W$4)))*(PayEarnValues))),IF(ISNUMBER(W$3),W$3/12*$AA178,IgnoreMin)))*OFFSET(Setup!$E$81,MATCH(W$5,CompListItem,0),0,1,1)-SUMIFS(OFFSET(W$6,1,0,PayCount,1),PayDate,"&lt;"&amp;$AC178,PayEmp,$C178)))))))</f>
        <v>0</v>
      </c>
      <c r="X178" s="185">
        <f t="shared" ca="1" si="78"/>
        <v>0</v>
      </c>
      <c r="Y178" s="139">
        <f t="shared" ca="1" si="87"/>
        <v>0</v>
      </c>
      <c r="Z178" s="139">
        <f t="shared" ca="1" si="79"/>
        <v>0</v>
      </c>
      <c r="AA178" s="146">
        <f ca="1">IF(OR($B178&lt;=Setup!$E$12,$B178&gt;=Setup!$D$12+1),0,IF($F178&lt;&gt;"Active",0,IF($AE178="Yes",$AB178,((YEAR($AC178)*12)+MONTH($AC178))-((YEAR($AD178)*12)+MONTH($AD178)-1))))</f>
        <v>0</v>
      </c>
      <c r="AB178" s="146">
        <f ca="1">IF(OR($B178&lt;=Setup!$E$12,$B178&gt;=Setup!$D$12+1),0,((YEAR($AC178)*12)+MONTH($AC178))-((YEAR(Setup!$E$12)*12)+MONTH(Setup!$E$12)))</f>
        <v>12</v>
      </c>
      <c r="AC178" s="186">
        <f t="shared" ca="1" si="83"/>
        <v>45347</v>
      </c>
      <c r="AD178" s="144">
        <f ca="1">IF(ISNA(VLOOKUP($C178,EmpAll,COLUMN(Emp!$E$4),0)),$AC178,IF(VLOOKUP($C178,EmpAll,COLUMN(Emp!$E$4),0)&lt;=Setup!$E$12,DATE(YEAR(Setup!$E$12),MONTH(Setup!$E$12)+1,1),VLOOKUP($C178,EmpAll,COLUMN(Emp!$E$4),0)))</f>
        <v>44986</v>
      </c>
      <c r="AE178" s="144" t="str">
        <f ca="1">IF(ISNA(VLOOKUP($C178,EmpAll,COLUMN(Emp!$G$1),0)),"-",IF(VLOOKUP($C178,EmpAll,COLUMN(Emp!$G$1),0)=0,"-",VLOOKUP($C178,EmpAll,COLUMN(Emp!$G$1),0)))</f>
        <v>-</v>
      </c>
      <c r="AF178" s="145">
        <f ca="1">IF(A178=PaySlip!$G$3,1,0)</f>
        <v>0</v>
      </c>
      <c r="AG178" s="130" cm="1">
        <f t="array" aca="1" ref="AG178" ca="1">IF(COUNTIFS(OverEmp,$C178,OverMed,"MED",OverDate,"&lt;"&amp;DATE(YEAR($AC178),MONTH($AC178)+1,1),OverEnd,"&gt;="&amp;DATE(YEAR($AC178),MONTH($AC178),1))&gt;0,SUMIFS(OverValue,OverEmp,$C178,OverMed,"MED",OverDate,"&lt;"&amp;DATE(YEAR($AC178),MONTH($AC178)+1,1),OverEnd,"&gt;="&amp;DATE(YEAR($AC178),MONTH($AC178),1)),IF(ISNA(VLOOKUP($C178,EmpAll,COLUMN(Emp!$N$4),0)),0,VLOOKUP($C178,EmpAll,COLUMN(Emp!$N$4),0)))</f>
        <v>0</v>
      </c>
      <c r="AH178" s="146">
        <f ca="1">VLOOKUP($AG178,MedList,COLUMN(Setup!$C$49),1)</f>
        <v>0</v>
      </c>
      <c r="AI178" s="146">
        <f t="shared" ca="1" si="70"/>
        <v>0</v>
      </c>
      <c r="AJ178" s="101" t="str">
        <f ca="1">IF(ISNA(VLOOKUP($C178,EmpAll,COLUMN(Emp!$L$4),0)),"None!",VLOOKUP($C178,EmpAll,COLUMN(Emp!$L$4),0))</f>
        <v>A</v>
      </c>
      <c r="AK178" s="147">
        <f t="shared" ca="1" si="80"/>
        <v>17235</v>
      </c>
      <c r="AL178" s="101" t="str">
        <f ca="1">IF(ISNA(VLOOKUP($C178,Employees[],COLUMN(Emp!$M$4),0))=TRUE,"Error!",IF(VLOOKUP($C178,Employees[],COLUMN(Emp!$M$4),0)=0,"Yes",VLOOKUP($C178,Employees[],COLUMN(Emp!$M$4),0)))</f>
        <v>A</v>
      </c>
      <c r="AM178" s="148">
        <f t="shared" ca="1" si="71"/>
        <v>0</v>
      </c>
      <c r="AN178" s="148" cm="1">
        <f t="array" aca="1" ref="AN178" ca="1">-IF($F178="Terminated",0,IF($AA178=0,0,IF(ISNA(MATCH(AN$5,PayDedList,0)),0,MIN(IF(COUNTIFS(OverEmp,$C178,OverDeduct,AN$5,OverDate,"&lt;"&amp;DATE(YEAR($AC178),MONTH($AC178)+1,1),OverEnd,"&gt;="&amp;DATE(YEAR($AC178),MONTH($AC178),1))&gt;0,SUMPRODUCT((PayEmp=$C178)*(PayDate&lt;=$AC178)*(OFFSET($N$6,1,MATCH(AN$5,PayDedList,0)-1,PayCount,1)))/$AA178*12*AN$3,IF(OR(AN$1="Fixed",AN$1="Not Used"),SUMPRODUCT((PayEmp=$C178)*(PayDate&lt;=$AC178)*(OFFSET($N$6,1,MATCH(AN$5,PayDedList,0)-1,PayCount,1)))/$AA178*12*AN$3,IF(ISNA(MATCH(AN$1,EarnListItem,0))=FALSE,SUMPRODUCT((PayEmp=$C178)*(PayDate&lt;=$AC178)*(OFFSET($N$6,1,MATCH(AN$5,PayDedList,0)-1,PayCount,1)))/$AA178*12*AN$3,(MIN(((SUMPRODUCT((PayEmp=$C178)*(PayDate&lt;=$AC178)*(ISERROR(SEARCH(PayEarnCode,AN$2)))*(PayEarnType="Monthly")*(PayEarnValues))/$AA178*12)+(SUMPRODUCT((PayEmp=$C178)*(PayDate&lt;=$AC178)*(ISERROR(SEARCH(PayEarnCode,AN$2)))*(PayEarnType="Quarterly")*(PayEarnValues))/MAX(1,ROUNDDOWN($AB178/3,0))*4)+(SUMPRODUCT((PayEmp=$C178)*(PayDate&lt;=$AC178)*(ISERROR(SEARCH(PayEarnCode,AN$2)))*(PayEarnType="Bi-Annual")*(PayEarnValues))/MAX(1,ROUNDDOWN($AB178/6,0))*2)+(SUMPRODUCT((PayEmp=$C178)*(PayDate&lt;=$AC178)*(ISERROR(SEARCH(PayEarnCode,AN$2)))*(PayEarnType="Annual")*(PayEarnValues)))),IF(ISNUMBER(OFFSET($N$3,0,MATCH(AN$5,PayDedList,0)-1,1,1)),OFFSET($N$3,0,MATCH(AN$5,PayDedList,0)-1,1,1),IgnoreMin)))*IF(COUNTIFS(EmpNo,$C178,OFFSET(Emp!$R$4,1,MATCH(AN$5,DedListItem,0)-1,EmpCount,1),"&lt;&gt;")&gt;0,VLOOKUP($C178,EmpAll,COLUMN(Emp!$R$4)+MATCH(AN$5,DedListItem,0)-1,0),OFFSET(Setup!$E$73,MATCH(AN$5,DedListItem,0),0,1,1))*AN$3))),IF(ISNUMBER(AN$4),AN$4,IgnoreMin)))))</f>
        <v>0</v>
      </c>
      <c r="AO178" s="148" cm="1">
        <f t="array" aca="1" ref="AO178" ca="1">-IF($F178="Terminated",0,IF($AA178=0,0,IF(ISNA(MATCH(AO$5,PayDedList,0)),0,MIN(IF(COUNTIFS(OverEmp,$C178,OverDeduct,AO$5,OverDate,"&lt;"&amp;DATE(YEAR($AC178),MONTH($AC178)+1,1),OverEnd,"&gt;="&amp;DATE(YEAR($AC178),MONTH($AC178),1))&gt;0,SUMPRODUCT((PayEmp=$C178)*(PayDate&lt;=$AC178)*(OFFSET($N$6,1,MATCH(AO$5,PayDedList,0)-1,PayCount,1)))/$AA178*12*AO$3,IF(OR(AO$1="Fixed",AO$1="Not Used"),SUMPRODUCT((PayEmp=$C178)*(PayDate&lt;=$AC178)*(OFFSET($N$6,1,MATCH(AO$5,PayDedList,0)-1,PayCount,1)))/$AA178*12*AO$3,IF(ISNA(MATCH(AO$1,EarnListItem,0))=FALSE,SUMPRODUCT((PayEmp=$C178)*(PayDate&lt;=$AC178)*(OFFSET($N$6,1,MATCH(AO$5,PayDedList,0)-1,PayCount,1)))/$AA178*12*AO$3,(MIN(((SUMPRODUCT((PayEmp=$C178)*(PayDate&lt;=$AC178)*(ISERROR(SEARCH(PayEarnCode,AO$2)))*(PayEarnType="Monthly")*(PayEarnValues))/$AA178*12)+(SUMPRODUCT((PayEmp=$C178)*(PayDate&lt;=$AC178)*(ISERROR(SEARCH(PayEarnCode,AO$2)))*(PayEarnType="Quarterly")*(PayEarnValues))/MAX(1,ROUNDDOWN($AB178/3,0))*4)+(SUMPRODUCT((PayEmp=$C178)*(PayDate&lt;=$AC178)*(ISERROR(SEARCH(PayEarnCode,AO$2)))*(PayEarnType="Bi-Annual")*(PayEarnValues))/MAX(1,ROUNDDOWN($AB178/6,0))*2)+(SUMPRODUCT((PayEmp=$C178)*(PayDate&lt;=$AC178)*(ISERROR(SEARCH(PayEarnCode,AO$2)))*(PayEarnType="Annual")*(PayEarnValues)))),IF(ISNUMBER(OFFSET($N$3,0,MATCH(AO$5,PayDedList,0)-1,1,1)),OFFSET($N$3,0,MATCH(AO$5,PayDedList,0)-1,1,1),IgnoreMin)))*IF(COUNTIFS(EmpNo,$C178,OFFSET(Emp!$R$4,1,MATCH(AO$5,DedListItem,0)-1,EmpCount,1),"&lt;&gt;")&gt;0,VLOOKUP($C178,EmpAll,COLUMN(Emp!$R$4)+MATCH(AO$5,DedListItem,0)-1,0),OFFSET(Setup!$E$73,MATCH(AO$5,DedListItem,0),0,1,1))*AO$3))),IF(ISNUMBER(AO$4),AO$4,IgnoreMin)))))</f>
        <v>0</v>
      </c>
      <c r="AP178" s="148" cm="1">
        <f t="array" aca="1" ref="AP178" ca="1">-IF($F178="Terminated",0,IF($AA178=0,0,IF(ISNA(MATCH(AP$5,PayDedList,0)),0,MIN(IF(COUNTIFS(OverEmp,$C178,OverDeduct,AP$5,OverDate,"&lt;"&amp;DATE(YEAR($AC178),MONTH($AC178)+1,1),OverEnd,"&gt;="&amp;DATE(YEAR($AC178),MONTH($AC178),1))&gt;0,SUMPRODUCT((PayEmp=$C178)*(PayDate&lt;=$AC178)*(OFFSET($N$6,1,MATCH(AP$5,PayDedList,0)-1,PayCount,1)))/$AA178*12*AP$3,IF(OR(AP$1="Fixed",AP$1="Not Used"),SUMPRODUCT((PayEmp=$C178)*(PayDate&lt;=$AC178)*(OFFSET($N$6,1,MATCH(AP$5,PayDedList,0)-1,PayCount,1)))/$AA178*12*AP$3,IF(ISNA(MATCH(AP$1,EarnListItem,0))=FALSE,SUMPRODUCT((PayEmp=$C178)*(PayDate&lt;=$AC178)*(OFFSET($N$6,1,MATCH(AP$5,PayDedList,0)-1,PayCount,1)))/$AA178*12*AP$3,(MIN(((SUMPRODUCT((PayEmp=$C178)*(PayDate&lt;=$AC178)*(ISERROR(SEARCH(PayEarnCode,AP$2)))*(PayEarnType="Monthly")*(PayEarnValues))/$AA178*12)+(SUMPRODUCT((PayEmp=$C178)*(PayDate&lt;=$AC178)*(ISERROR(SEARCH(PayEarnCode,AP$2)))*(PayEarnType="Quarterly")*(PayEarnValues))/MAX(1,ROUNDDOWN($AB178/3,0))*4)+(SUMPRODUCT((PayEmp=$C178)*(PayDate&lt;=$AC178)*(ISERROR(SEARCH(PayEarnCode,AP$2)))*(PayEarnType="Bi-Annual")*(PayEarnValues))/MAX(1,ROUNDDOWN($AB178/6,0))*2)+(SUMPRODUCT((PayEmp=$C178)*(PayDate&lt;=$AC178)*(ISERROR(SEARCH(PayEarnCode,AP$2)))*(PayEarnType="Annual")*(PayEarnValues)))),IF(ISNUMBER(OFFSET($N$3,0,MATCH(AP$5,PayDedList,0)-1,1,1)),OFFSET($N$3,0,MATCH(AP$5,PayDedList,0)-1,1,1),IgnoreMin)))*IF(COUNTIFS(EmpNo,$C178,OFFSET(Emp!$R$4,1,MATCH(AP$5,DedListItem,0)-1,EmpCount,1),"&lt;&gt;")&gt;0,VLOOKUP($C178,EmpAll,COLUMN(Emp!$R$4)+MATCH(AP$5,DedListItem,0)-1,0),OFFSET(Setup!$E$73,MATCH(AP$5,DedListItem,0),0,1,1))*AP$3))),IF(ISNUMBER(AP$4),AP$4,IgnoreMin)))))</f>
        <v>0</v>
      </c>
      <c r="AQ178" s="148" cm="1">
        <f t="array" aca="1" ref="AQ178" ca="1">-IF($F178="Terminated",0,IF($AA178=0,0,IF(ISNA(MATCH(AQ$5,PayDedList,0)),0,MIN(IF(COUNTIFS(OverEmp,$C178,OverDeduct,AQ$5,OverDate,"&lt;"&amp;DATE(YEAR($AC178),MONTH($AC178)+1,1),OverEnd,"&gt;="&amp;DATE(YEAR($AC178),MONTH($AC178),1))&gt;0,SUMPRODUCT((PayEmp=$C178)*(PayDate&lt;=$AC178)*(OFFSET($N$6,1,MATCH(AQ$5,PayDedList,0)-1,PayCount,1)))/$AA178*12*AQ$3,IF(OR(AQ$1="Fixed",AQ$1="Not Used"),SUMPRODUCT((PayEmp=$C178)*(PayDate&lt;=$AC178)*(OFFSET($N$6,1,MATCH(AQ$5,PayDedList,0)-1,PayCount,1)))/$AA178*12*AQ$3,IF(ISNA(MATCH(AQ$1,EarnListItem,0))=FALSE,SUMPRODUCT((PayEmp=$C178)*(PayDate&lt;=$AC178)*(OFFSET($N$6,1,MATCH(AQ$5,PayDedList,0)-1,PayCount,1)))/$AA178*12*AQ$3,(MIN(((SUMPRODUCT((PayEmp=$C178)*(PayDate&lt;=$AC178)*(ISERROR(SEARCH(PayEarnCode,AQ$2)))*(PayEarnType="Monthly")*(PayEarnValues))/$AA178*12)+(SUMPRODUCT((PayEmp=$C178)*(PayDate&lt;=$AC178)*(ISERROR(SEARCH(PayEarnCode,AQ$2)))*(PayEarnType="Quarterly")*(PayEarnValues))/MAX(1,ROUNDDOWN($AB178/3,0))*4)+(SUMPRODUCT((PayEmp=$C178)*(PayDate&lt;=$AC178)*(ISERROR(SEARCH(PayEarnCode,AQ$2)))*(PayEarnType="Bi-Annual")*(PayEarnValues))/MAX(1,ROUNDDOWN($AB178/6,0))*2)+(SUMPRODUCT((PayEmp=$C178)*(PayDate&lt;=$AC178)*(ISERROR(SEARCH(PayEarnCode,AQ$2)))*(PayEarnType="Annual")*(PayEarnValues)))),IF(ISNUMBER(OFFSET($N$3,0,MATCH(AQ$5,PayDedList,0)-1,1,1)),OFFSET($N$3,0,MATCH(AQ$5,PayDedList,0)-1,1,1),IgnoreMin)))*IF(COUNTIFS(EmpNo,$C178,OFFSET(Emp!$R$4,1,MATCH(AQ$5,DedListItem,0)-1,EmpCount,1),"&lt;&gt;")&gt;0,VLOOKUP($C178,EmpAll,COLUMN(Emp!$R$4)+MATCH(AQ$5,DedListItem,0)-1,0),OFFSET(Setup!$E$73,MATCH(AQ$5,DedListItem,0),0,1,1))*AQ$3))),IF(ISNUMBER(AQ$4),AQ$4,IgnoreMin)))))</f>
        <v>0</v>
      </c>
      <c r="AR178" s="148">
        <f t="shared" ca="1" si="81"/>
        <v>0</v>
      </c>
      <c r="AS178" s="148">
        <f t="shared" ca="1" si="72"/>
        <v>0</v>
      </c>
      <c r="AT178" s="148" cm="1">
        <f t="array" aca="1" ref="AT178" ca="1">-IF($F178="Terminated",0,IF($AA178=0,0,IF(ISNA(MATCH(AT$5,PayDedList,0)),0,MIN(IF(COUNTIFS(OverEmp,$C178,OverDeduct,AT$5,OverDate,"&lt;"&amp;DATE(YEAR($AC178),MONTH($AC178)+1,1),OverEnd,"&gt;="&amp;DATE(YEAR($AC178),MONTH($AC178),1))&gt;0,SUMPRODUCT((PayEmp=$C178)*(PayDate&lt;=$AC178)*(OFFSET($N$6,1,MATCH(AT$5,PayDedList,0)-1,PayCount,1)))/$AA178*12*AT$3,IF(OR(AT$1="Fixed",AT$1="Not Used"),SUMPRODUCT((PayEmp=$C178)*(PayDate&lt;=$AC178)*(OFFSET($N$6,1,MATCH(AT$5,PayDedList,0)-1,PayCount,1)))/$AA178*12*AT$3,IF(ISNA(MATCH(OFFSET($N$2,0,MATCH(AT$5,PayDedList,0)-1,1,1),EarnListItem,0))=FALSE,SUMPRODUCT((PayEmp=$C178)*(PayDate&lt;=$AC178)*(OFFSET($N$6,1,MATCH(AT$5,PayDedList,0)-1,PayCount,1)))/$AA178*12*AT$3,(MIN(SUMPRODUCT((PayEmp=$C178)*(PayDate&lt;=$AC178)*(ISERROR(SEARCH(PayEarnCode,AT$2)))*(PayEarnType="Monthly")*(PayEarnValues))/$AA178*12,IF(ISNUMBER(OFFSET($N$3,0,MATCH(AT$5,PayDedList,0)-1,1,1)),OFFSET($N$3,0,MATCH(AT$5,PayDedList,0)-1,1,1),IgnoreMin)))*IF(COUNTIFS(EmpNo,$C178,OFFSET(Emp!$R$4,1,MATCH(AT$5,DedListItem,0)-1,EmpCount,1),"&lt;&gt;")&gt;0,VLOOKUP($C178,EmpAll,COLUMN(Emp!$R$4)+MATCH(AT$5,DedListItem,0)-1,0),OFFSET(Setup!$E$73,MATCH(AT$5,DedListItem,0),0,1,1))*AT$3))),IF(ISNUMBER(AT$4),AT$4,IgnoreMin)))))</f>
        <v>0</v>
      </c>
      <c r="AU178" s="148" cm="1">
        <f t="array" aca="1" ref="AU178" ca="1">-IF($F178="Terminated",0,IF($AA178=0,0,IF(ISNA(MATCH(AU$5,PayDedList,0)),0,MIN(IF(COUNTIFS(OverEmp,$C178,OverDeduct,AU$5,OverDate,"&lt;"&amp;DATE(YEAR($AC178),MONTH($AC178)+1,1),OverEnd,"&gt;="&amp;DATE(YEAR($AC178),MONTH($AC178),1))&gt;0,SUMPRODUCT((PayEmp=$C178)*(PayDate&lt;=$AC178)*(OFFSET($N$6,1,MATCH(AU$5,PayDedList,0)-1,PayCount,1)))/$AA178*12*AU$3,IF(OR(AU$1="Fixed",AU$1="Not Used"),SUMPRODUCT((PayEmp=$C178)*(PayDate&lt;=$AC178)*(OFFSET($N$6,1,MATCH(AU$5,PayDedList,0)-1,PayCount,1)))/$AA178*12*AU$3,IF(ISNA(MATCH(OFFSET($N$2,0,MATCH(AU$5,PayDedList,0)-1,1,1),EarnListItem,0))=FALSE,SUMPRODUCT((PayEmp=$C178)*(PayDate&lt;=$AC178)*(OFFSET($N$6,1,MATCH(AU$5,PayDedList,0)-1,PayCount,1)))/$AA178*12*AU$3,(MIN(SUMPRODUCT((PayEmp=$C178)*(PayDate&lt;=$AC178)*(ISERROR(SEARCH(PayEarnCode,AU$2)))*(PayEarnType="Monthly")*(PayEarnValues))/$AA178*12,IF(ISNUMBER(OFFSET($N$3,0,MATCH(AU$5,PayDedList,0)-1,1,1)),OFFSET($N$3,0,MATCH(AU$5,PayDedList,0)-1,1,1),IgnoreMin)))*IF(COUNTIFS(EmpNo,$C178,OFFSET(Emp!$R$4,1,MATCH(AU$5,DedListItem,0)-1,EmpCount,1),"&lt;&gt;")&gt;0,VLOOKUP($C178,EmpAll,COLUMN(Emp!$R$4)+MATCH(AU$5,DedListItem,0)-1,0),OFFSET(Setup!$E$73,MATCH(AU$5,DedListItem,0),0,1,1))*AU$3))),IF(ISNUMBER(AU$4),AU$4,IgnoreMin)))))</f>
        <v>0</v>
      </c>
      <c r="AV178" s="148" cm="1">
        <f t="array" aca="1" ref="AV178" ca="1">-IF($F178="Terminated",0,IF($AA178=0,0,IF(ISNA(MATCH(AV$5,PayDedList,0)),0,MIN(IF(COUNTIFS(OverEmp,$C178,OverDeduct,AV$5,OverDate,"&lt;"&amp;DATE(YEAR($AC178),MONTH($AC178)+1,1),OverEnd,"&gt;="&amp;DATE(YEAR($AC178),MONTH($AC178),1))&gt;0,SUMPRODUCT((PayEmp=$C178)*(PayDate&lt;=$AC178)*(OFFSET($N$6,1,MATCH(AV$5,PayDedList,0)-1,PayCount,1)))/$AA178*12*AV$3,IF(OR(AV$1="Fixed",AV$1="Not Used"),SUMPRODUCT((PayEmp=$C178)*(PayDate&lt;=$AC178)*(OFFSET($N$6,1,MATCH(AV$5,PayDedList,0)-1,PayCount,1)))/$AA178*12*AV$3,IF(ISNA(MATCH(OFFSET($N$2,0,MATCH(AV$5,PayDedList,0)-1,1,1),EarnListItem,0))=FALSE,SUMPRODUCT((PayEmp=$C178)*(PayDate&lt;=$AC178)*(OFFSET($N$6,1,MATCH(AV$5,PayDedList,0)-1,PayCount,1)))/$AA178*12*AV$3,(MIN(SUMPRODUCT((PayEmp=$C178)*(PayDate&lt;=$AC178)*(ISERROR(SEARCH(PayEarnCode,AV$2)))*(PayEarnType="Monthly")*(PayEarnValues))/$AA178*12,IF(ISNUMBER(OFFSET($N$3,0,MATCH(AV$5,PayDedList,0)-1,1,1)),OFFSET($N$3,0,MATCH(AV$5,PayDedList,0)-1,1,1),IgnoreMin)))*IF(COUNTIFS(EmpNo,$C178,OFFSET(Emp!$R$4,1,MATCH(AV$5,DedListItem,0)-1,EmpCount,1),"&lt;&gt;")&gt;0,VLOOKUP($C178,EmpAll,COLUMN(Emp!$R$4)+MATCH(AV$5,DedListItem,0)-1,0),OFFSET(Setup!$E$73,MATCH(AV$5,DedListItem,0),0,1,1))*AV$3))),IF(ISNUMBER(AV$4),AV$4,IgnoreMin)))))</f>
        <v>0</v>
      </c>
      <c r="AW178" s="148" cm="1">
        <f t="array" aca="1" ref="AW178" ca="1">-IF($F178="Terminated",0,IF($AA178=0,0,IF(ISNA(MATCH(AW$5,PayDedList,0)),0,MIN(IF(COUNTIFS(OverEmp,$C178,OverDeduct,AW$5,OverDate,"&lt;"&amp;DATE(YEAR($AC178),MONTH($AC178)+1,1),OverEnd,"&gt;="&amp;DATE(YEAR($AC178),MONTH($AC178),1))&gt;0,SUMPRODUCT((PayEmp=$C178)*(PayDate&lt;=$AC178)*(OFFSET($N$6,1,MATCH(AW$5,PayDedList,0)-1,PayCount,1)))/$AA178*12*AW$3,IF(OR(AW$1="Fixed",AW$1="Not Used"),SUMPRODUCT((PayEmp=$C178)*(PayDate&lt;=$AC178)*(OFFSET($N$6,1,MATCH(AW$5,PayDedList,0)-1,PayCount,1)))/$AA178*12*AW$3,IF(ISNA(MATCH(OFFSET($N$2,0,MATCH(AW$5,PayDedList,0)-1,1,1),EarnListItem,0))=FALSE,SUMPRODUCT((PayEmp=$C178)*(PayDate&lt;=$AC178)*(OFFSET($N$6,1,MATCH(AW$5,PayDedList,0)-1,PayCount,1)))/$AA178*12*AW$3,(MIN(SUMPRODUCT((PayEmp=$C178)*(PayDate&lt;=$AC178)*(ISERROR(SEARCH(PayEarnCode,AW$2)))*(PayEarnType="Monthly")*(PayEarnValues))/$AA178*12,IF(ISNUMBER(OFFSET($N$3,0,MATCH(AW$5,PayDedList,0)-1,1,1)),OFFSET($N$3,0,MATCH(AW$5,PayDedList,0)-1,1,1),IgnoreMin)))*IF(COUNTIFS(EmpNo,$C178,OFFSET(Emp!$R$4,1,MATCH(AW$5,DedListItem,0)-1,EmpCount,1),"&lt;&gt;")&gt;0,VLOOKUP($C178,EmpAll,COLUMN(Emp!$R$4)+MATCH(AW$5,DedListItem,0)-1,0),OFFSET(Setup!$E$73,MATCH(AW$5,DedListItem,0),0,1,1))*AW$3))),IF(ISNUMBER(AW$4),AW$4,IgnoreMin)))))</f>
        <v>0</v>
      </c>
      <c r="AX178" s="148">
        <f t="shared" ca="1" si="88"/>
        <v>0</v>
      </c>
      <c r="AY178" s="148">
        <f t="shared" ca="1" si="89"/>
        <v>0</v>
      </c>
      <c r="AZ178" s="148">
        <f ca="1">IF(ISNUMBER($AL178),($AR178*$AL178)-$AI178-$AK178,MAX(0,IF($AL178="B",IF($AR178&lt;Setup!$C$32,($AR178*Setup!$D$32)-$AI178-$AK178,(($AR178-VLOOKUP($AR178,TaxAll2,1,1))*OFFSET(Setup!$D$32,MATCH($AR178,TaxBracket2,1),0,1,1))+OFFSET(Setup!$E$31,MATCH($AR178,TaxBracket2,1),0,1,1)-$AI178-$AK178),IF($AR178&lt;Setup!$C$21,($AR178*Setup!$D$21)-$AI178-$AK178,(($AR178-VLOOKUP($AR178,TaxAll1,1,1))*OFFSET(Setup!$D$21,MATCH($AR178,TaxBracket1,1),0,1,1))+OFFSET(Setup!$E$20,MATCH($AR178,TaxBracket1,1),0,1,1)-$AI178-$AK178))))</f>
        <v>0</v>
      </c>
      <c r="BA178" s="148">
        <f ca="1">IF(ISNUMBER($AL178),($AX178*$AL178)-$AI178-$AK178,MAX(0,IF($AL178="B",IF($AX178&lt;Setup!$C$32,($AX178*Setup!$D$32)-$AI178-$AK178,(($AX178-VLOOKUP($AX178,TaxAll2,1,1))*OFFSET(Setup!$D$32,MATCH($AX178,TaxBracket2,1),0,1,1))+OFFSET(Setup!$E$31,MATCH($AX178,TaxBracket2,1),0,1,1)-$AI178-$AK178),IF($AX178&lt;Setup!$C$21,($AX178*Setup!$D$21)-$AI178-$AK178,(($AX178-VLOOKUP($AX178,TaxAll1,1,1))*OFFSET(Setup!$D$21,MATCH($AX178,TaxBracket1,1),0,1,1))+OFFSET(Setup!$E$20,MATCH($AX178,TaxBracket1,1),0,1,1)-$AI178-$AK178))))</f>
        <v>0</v>
      </c>
      <c r="BB178" s="148">
        <f t="shared" ca="1" si="82"/>
        <v>0</v>
      </c>
      <c r="BC178" s="150">
        <f t="shared" ca="1" si="75"/>
        <v>0</v>
      </c>
      <c r="BD178" s="150">
        <f t="shared" ca="1" si="76"/>
        <v>0</v>
      </c>
      <c r="BE178" s="148">
        <f t="shared" ca="1" si="77"/>
        <v>0</v>
      </c>
    </row>
    <row r="179" spans="1:57" ht="16.149999999999999" customHeight="1" x14ac:dyDescent="0.25">
      <c r="A179" s="10" t="str" cm="1">
        <f t="array" aca="1" ref="A179" ca="1">IF(ROW($A179)-ROW($A$6)&gt;EmpCount*12,"-",TEXT($B179,"yyyy")&amp;TEXT($B179,"mm")&amp;"-"&amp;$C179)</f>
        <v>202402-EXS008</v>
      </c>
      <c r="B179" s="137" cm="1">
        <f t="array" aca="1" ref="B179" ca="1">IF(ROW($A179)-ROW($A$6)&gt;EmpCount*12,Setup!$D$12,DATE(YEAR(Setup!$F$12),MONTH(Setup!$F$12)+ROUNDDOWN((ROW($A179)-ROW($A$6)-1)/EmpCount,0),IF(Setup!$C$14&gt;DAY(DATE(YEAR(Setup!$F$12),MONTH(Setup!$F$12)+ROUNDDOWN((ROW($A179)-ROW($A$6)-1)/EmpCount,0)+1,0)),DAY(DATE(YEAR(Setup!$F$12),MONTH(Setup!$F$12)+ROUNDDOWN((ROW($A179)-ROW($A$6)-1)/EmpCount,0)+1,0)),Setup!$C$14)))</f>
        <v>45347</v>
      </c>
      <c r="C179" s="101" t="str" cm="1">
        <f t="array" aca="1" ref="C179" ca="1">IF(ROW($A179)-ROW($A$6)&gt;EmpCount*12,"-",OFFSET(Emp!$A$4,ROW($A179)-ROW($A$6)-IF(ROW($A179)-ROW($A$6)&gt;EmpCount,ROUNDDOWN((ROW($A179)-ROW($A$6)-1)/EmpCount,0)*EmpCount,0),0,1,1))</f>
        <v>EXS008</v>
      </c>
      <c r="D179" s="10" t="str">
        <f ca="1">IF(ISNA(VLOOKUP($C179,EmpAll,COLUMN(Emp!$B$4),0)),"-",VLOOKUP($C179,EmpAll,COLUMN(Emp!$B$4),0))</f>
        <v>Matthews B</v>
      </c>
      <c r="E179" s="145" t="str">
        <f ca="1">IF(ISNA(VLOOKUP($C179,EmpAll,COLUMN(Emp!$C$4),0)),"-",VLOOKUP($C179,EmpAll,COLUMN(Emp!$C$4),0))</f>
        <v>A</v>
      </c>
      <c r="F179" s="101" t="str">
        <f ca="1">IF(ISNA(VLOOKUP($C179,EmpAll,COLUMN(Emp!$A$4),0)),"-",IF(AND(VLOOKUP($C179,EmpAll,COLUMN(Emp!$E$4),0)&lt;&gt;0,VLOOKUP($C179,EmpAll,COLUMN(Emp!$E$4),0)&gt;=DATE(YEAR($AC179),MONTH($AC179)+1,0)),"Inactive",IF(AND(VLOOKUP($C179,EmpAll,COLUMN(Emp!$F$4),0)&lt;&gt;0,VLOOKUP($C179,EmpAll,COLUMN(Emp!$F$4),0)&lt;=DATE(YEAR($AC179),MONTH($AC179),0)),"Terminated","Active")))</f>
        <v>Active</v>
      </c>
      <c r="G179" s="133" cm="1">
        <f t="array" aca="1" ref="G179" ca="1">IF($F179&lt;&gt;"Active",0,IF(COUNTIFS(OverEmp,$C179,OverEarn,G$2,OverDate,"&lt;"&amp;DATE(YEAR($AC179),MONTH($AC179)+1,1),OverEnd,"&gt;="&amp;DATE(YEAR($AC179),MONTH($AC179),1))&gt;0,SUMIFS(OverValue,OverEmp,$C179,OverEarn,G$2,OverDate,"&lt;"&amp;DATE(YEAR($AC179),MONTH($AC179)+1,1),OverEnd,"&gt;="&amp;DATE(YEAR($AC179),MONTH($AC179),1)),IF(AND($AC179&gt;=Setup!$E$10,SUMIFS(EmpIncrease,EmpCode,$C179)&gt;0),SUMIFS(EmpIncrease,EmpCode,$C179),SUMIFS(EmpSalary,EmpCode,$C179))))</f>
        <v>10000</v>
      </c>
      <c r="H179" s="133" cm="1">
        <f t="array" aca="1" ref="H179" ca="1">IF($F179&lt;&gt;"Active",0,IF(COUNTIFS(OverEmp,$C179,OverEarn,H$2,OverDate,"&lt;"&amp;DATE(YEAR($AC179),MONTH($AC179)+1,1),OverEnd,"&gt;="&amp;DATE(YEAR($AC179),MONTH($AC179),1))&gt;0,SUMIFS(OverValue,OverEmp,$C179,OverEarn,H$2,OverDate,"&lt;"&amp;DATE(YEAR($AC179),MONTH($AC179)+1,1),OverEnd,"&gt;="&amp;DATE(YEAR($AC179),MONTH($AC179),1)),0))</f>
        <v>0</v>
      </c>
      <c r="I179" s="133" cm="1">
        <f t="array" aca="1" ref="I179" ca="1">IF($F179&lt;&gt;"Active",0,IF(COUNTIFS(OverEmp,$C179,OverEarn,I$2,OverDate,"&lt;"&amp;DATE(YEAR($AC179),MONTH($AC179)+1,1),OverEnd,"&gt;="&amp;DATE(YEAR($AC179),MONTH($AC179),1))&gt;0,SUMIFS(OverValue,OverEmp,$C179,OverEarn,I$2,OverDate,"&lt;"&amp;DATE(YEAR($AC179),MONTH($AC179)+1,1),OverEnd,"&gt;="&amp;DATE(YEAR($AC179),MONTH($AC179),1)),IF(MONTH(B179)=Setup!$C$15,SUMIFS(EmpBonus,EmpCode,$C179),0)))</f>
        <v>0</v>
      </c>
      <c r="J179" s="133" cm="1">
        <f t="array" aca="1" ref="J179" ca="1">IF($F179&lt;&gt;"Active",0,IF(COUNTIFS(OverEmp,$C179,OverEarn,J$2,OverDate,"&lt;"&amp;DATE(YEAR($AC179),MONTH($AC179)+1,1),OverEnd,"&gt;="&amp;DATE(YEAR($AC179),MONTH($AC179),1))&gt;0,SUMIFS(OverValue,OverEmp,$C179,OverEarn,J$2,OverDate,"&lt;"&amp;DATE(YEAR($AC179),MONTH($AC179)+1,1),OverEnd,"&gt;="&amp;DATE(YEAR($AC179),MONTH($AC179),1)),0))</f>
        <v>0</v>
      </c>
      <c r="K179" s="133" cm="1">
        <f t="array" aca="1" ref="K179" ca="1">IF($F179&lt;&gt;"Active",0,IF(COUNTIFS(OverEmp,$C179,OverEarn,K$2,OverDate,"&lt;"&amp;DATE(YEAR($AC179),MONTH($AC179)+1,1),OverEnd,"&gt;="&amp;DATE(YEAR($AC179),MONTH($AC179),1))&gt;0,SUMIFS(OverValue,OverEmp,$C179,OverEarn,K$2,OverDate,"&lt;"&amp;DATE(YEAR($AC179),MONTH($AC179)+1,1),OverEnd,"&gt;="&amp;DATE(YEAR($AC179),MONTH($AC179),1)),0))</f>
        <v>0</v>
      </c>
      <c r="L179" s="185">
        <f t="shared" ca="1" si="84"/>
        <v>10000</v>
      </c>
      <c r="M179" s="182" cm="1">
        <f t="array" aca="1" ref="M179" ca="1">IF(COUNTIFS(OverEmp,$C179,OverTax,M$5,OverDate,"&lt;"&amp;DATE(YEAR($AC179),MONTH($AC179)+1,1),OverEnd,"&gt;="&amp;DATE(YEAR($AC179),MONTH($AC179),1))&gt;0,SUMIFS(OverValue,OverEmp,$C179,OverTax,M$5,OverDate,"&lt;"&amp;DATE(YEAR($AC179),MONTH($AC179)+1,1),OverEnd,"&gt;="&amp;DATE(YEAR($AC179),MONTH($AC179),1)),(($BA179/12*$AA179)+(BB179*IF(1-$BC179=0,0,BD179/(1-$BC179))))-IF($F179="Terminated",0,SUMIFS(PayTaxDeduct,PayDate,"&lt;"&amp;$AC179,PayEmp,$C179)))</f>
        <v>363.75000000000136</v>
      </c>
      <c r="N179" s="133" cm="1">
        <f t="array" aca="1" ref="N179" ca="1">IF($F179="Terminated",0,IF($AA179=0,0,IF(ISNA(MATCH(N$5,DedListItem,0)),0,IF(COUNTIFS(OverEmp,$C179,OverDeduct,N$5,OverDate,"&lt;"&amp;DATE(YEAR($AC179),MONTH($AC179)+1,1),OverEnd,"&gt;="&amp;DATE(YEAR($AC179),MONTH($AC179),1))&gt;0,SUMIFS(OverValue,OverEmp,$C179,OverDeduct,N$5,OverDate,"&lt;"&amp;DATE(YEAR($AC179),MONTH($AC179)+1,1),OverEnd,"&gt;="&amp;DATE(YEAR($AC179),MONTH($AC179),1)),IF(OR(N$2="Fixed",N$2="Not Used"),(IF(COUNTIFS(EmpNo,$C179,OFFSET(Emp!$R$4,1,MATCH(N$5,DedListItem,0)-1,EmpCount,1),"&lt;&gt;")&gt;0,VLOOKUP($C179,EmpAll,COLUMN(Emp!$R$4)+MATCH(N$5,DedListItem,0)-1,0),OFFSET(Setup!$E$73,MATCH(N$5,DedListItem,0),0,1,1))*$AA179)-SUMIFS(OFFSET(N$6,1,0,PayCount,1),PayDate,"&lt;"&amp;$AC179,PayEmp,$C179),IF(ISNA(MATCH(N$2,EarnListItem,0))=FALSE,IF(OFFSET(Setup!$G$73,MATCH(N$5,DedListItem,0),0,1,1)="Taxable",SUMPRODUCT((PayEmp=$C179)*(PayDate&lt;=$AC179)*(PayEarnCode=N$2)*(PayEarnTax)*(PayEarnValues)),SUMPRODUCT((PayEmp=$C179)*(PayDate&lt;=$AC179)*(PayEarnCode=N$2)*(PayEarnValues)))*IF(COUNTIFS(EmpNo,$C179,OFFSET(Emp!$R$4,1,MATCH(N$5,DedListItem,0)-1,EmpCount,1),"&lt;&gt;")&gt;0,VLOOKUP($C179,EmpAll,COLUMN(Emp!$R$4)+MATCH(N$5,DedListItem,0)-1,0),OFFSET(Setup!$E$73,MATCH(N$5,DedListItem,0),0,1,1)),(MIN(IF(OFFSET(Setup!$G$73,MATCH(N$5,DedListItem,0),0,1,1)="Taxable",SUMPRODUCT((PayEmp=$C179)*(PayDate&lt;=$AC179)*(ISERROR(SEARCH(PayEarnCode,N$4)))*(PayEarnTax)*(PayEarnValues)),SUMPRODUCT((PayEmp=$C179)*(PayDate&lt;=$AC179)*(ISERROR(SEARCH(PayEarnCode,N$4)))*(PayEarnValues))),IF(ISNUMBER(N$3),N$3/12*$AA179,IgnoreMin)))*IF(COUNTIFS(EmpNo,$C179,OFFSET(Emp!$R$4,1,MATCH(N$5,DedListItem,0)-1,EmpCount,1),"&lt;&gt;")&gt;0,VLOOKUP($C179,EmpAll,COLUMN(Emp!$R$4)+MATCH(N$5,DedListItem,0)-1,0),OFFSET(Setup!$E$73,MATCH(N$5,DedListItem,0),0,1,1)))-SUMIFS(OFFSET(N$6,1,0,PayCount,1),PayDate,"&lt;"&amp;$AC179,PayEmp,$C179))))))</f>
        <v>100</v>
      </c>
      <c r="O179" s="133" cm="1">
        <f t="array" aca="1" ref="O179" ca="1">IF($F179="Terminated",0,IF($AA179=0,0,IF(ISNA(MATCH(O$5,DedListItem,0)),0,IF(COUNTIFS(OverEmp,$C179,OverDeduct,O$5,OverDate,"&lt;"&amp;DATE(YEAR($AC179),MONTH($AC179)+1,1),OverEnd,"&gt;="&amp;DATE(YEAR($AC179),MONTH($AC179),1))&gt;0,SUMIFS(OverValue,OverEmp,$C179,OverDeduct,O$5,OverDate,"&lt;"&amp;DATE(YEAR($AC179),MONTH($AC179)+1,1),OverEnd,"&gt;="&amp;DATE(YEAR($AC179),MONTH($AC179),1)),IF(OR(O$2="Fixed",O$2="Not Used"),(IF(COUNTIFS(EmpNo,$C179,OFFSET(Emp!$R$4,1,MATCH(O$5,DedListItem,0)-1,EmpCount,1),"&lt;&gt;")&gt;0,VLOOKUP($C179,EmpAll,COLUMN(Emp!$R$4)+MATCH(O$5,DedListItem,0)-1,0),OFFSET(Setup!$E$73,MATCH(O$5,DedListItem,0),0,1,1))*$AA179)-SUMIFS(OFFSET(O$6,1,0,PayCount,1),PayDate,"&lt;"&amp;$AC179,PayEmp,$C179),IF(ISNA(MATCH(O$2,EarnListItem,0))=FALSE,IF(OFFSET(Setup!$G$73,MATCH(O$5,DedListItem,0),0,1,1)="Taxable",SUMPRODUCT((PayEmp=$C179)*(PayDate&lt;=$AC179)*(PayEarnCode=O$2)*(PayEarnTax)*(PayEarnValues)),SUMPRODUCT((PayEmp=$C179)*(PayDate&lt;=$AC179)*(PayEarnCode=O$2)*(PayEarnValues)))*IF(COUNTIFS(EmpNo,$C179,OFFSET(Emp!$R$4,1,MATCH(O$5,DedListItem,0)-1,EmpCount,1),"&lt;&gt;")&gt;0,VLOOKUP($C179,EmpAll,COLUMN(Emp!$R$4)+MATCH(O$5,DedListItem,0)-1,0),OFFSET(Setup!$E$73,MATCH(O$5,DedListItem,0),0,1,1)),(MIN(IF(OFFSET(Setup!$G$73,MATCH(O$5,DedListItem,0),0,1,1)="Taxable",SUMPRODUCT((PayEmp=$C179)*(PayDate&lt;=$AC179)*(ISERROR(SEARCH(PayEarnCode,O$4)))*(PayEarnTax)*(PayEarnValues)),SUMPRODUCT((PayEmp=$C179)*(PayDate&lt;=$AC179)*(ISERROR(SEARCH(PayEarnCode,O$4)))*(PayEarnValues))),IF(ISNUMBER(O$3),O$3/12*$AA179,IgnoreMin)))*IF(COUNTIFS(EmpNo,$C179,OFFSET(Emp!$R$4,1,MATCH(O$5,DedListItem,0)-1,EmpCount,1),"&lt;&gt;")&gt;0,VLOOKUP($C179,EmpAll,COLUMN(Emp!$R$4)+MATCH(O$5,DedListItem,0)-1,0),OFFSET(Setup!$E$73,MATCH(O$5,DedListItem,0),0,1,1)))-SUMIFS(OFFSET(O$6,1,0,PayCount,1),PayDate,"&lt;"&amp;$AC179,PayEmp,$C179))))))</f>
        <v>0</v>
      </c>
      <c r="P179" s="133" cm="1">
        <f t="array" aca="1" ref="P179" ca="1">IF($F179="Terminated",0,IF($AA179=0,0,IF(ISNA(MATCH(P$5,DedListItem,0)),0,IF(COUNTIFS(OverEmp,$C179,OverDeduct,P$5,OverDate,"&lt;"&amp;DATE(YEAR($AC179),MONTH($AC179)+1,1),OverEnd,"&gt;="&amp;DATE(YEAR($AC179),MONTH($AC179),1))&gt;0,SUMIFS(OverValue,OverEmp,$C179,OverDeduct,P$5,OverDate,"&lt;"&amp;DATE(YEAR($AC179),MONTH($AC179)+1,1),OverEnd,"&gt;="&amp;DATE(YEAR($AC179),MONTH($AC179),1)),IF(OR(P$2="Fixed",P$2="Not Used"),(IF(COUNTIFS(EmpNo,$C179,OFFSET(Emp!$R$4,1,MATCH(P$5,DedListItem,0)-1,EmpCount,1),"&lt;&gt;")&gt;0,VLOOKUP($C179,EmpAll,COLUMN(Emp!$R$4)+MATCH(P$5,DedListItem,0)-1,0),OFFSET(Setup!$E$73,MATCH(P$5,DedListItem,0),0,1,1))*$AA179)-SUMIFS(OFFSET(P$6,1,0,PayCount,1),PayDate,"&lt;"&amp;$AC179,PayEmp,$C179),IF(ISNA(MATCH(P$2,EarnListItem,0))=FALSE,IF(OFFSET(Setup!$G$73,MATCH(P$5,DedListItem,0),0,1,1)="Taxable",SUMPRODUCT((PayEmp=$C179)*(PayDate&lt;=$AC179)*(PayEarnCode=P$2)*(PayEarnTax)*(PayEarnValues)),SUMPRODUCT((PayEmp=$C179)*(PayDate&lt;=$AC179)*(PayEarnCode=P$2)*(PayEarnValues)))*IF(COUNTIFS(EmpNo,$C179,OFFSET(Emp!$R$4,1,MATCH(P$5,DedListItem,0)-1,EmpCount,1),"&lt;&gt;")&gt;0,VLOOKUP($C179,EmpAll,COLUMN(Emp!$R$4)+MATCH(P$5,DedListItem,0)-1,0),OFFSET(Setup!$E$73,MATCH(P$5,DedListItem,0),0,1,1)),(MIN(IF(OFFSET(Setup!$G$73,MATCH(P$5,DedListItem,0),0,1,1)="Taxable",SUMPRODUCT((PayEmp=$C179)*(PayDate&lt;=$AC179)*(ISERROR(SEARCH(PayEarnCode,P$4)))*(PayEarnTax)*(PayEarnValues)),SUMPRODUCT((PayEmp=$C179)*(PayDate&lt;=$AC179)*(ISERROR(SEARCH(PayEarnCode,P$4)))*(PayEarnValues))),IF(ISNUMBER(P$3),P$3/12*$AA179,IgnoreMin)))*IF(COUNTIFS(EmpNo,$C179,OFFSET(Emp!$R$4,1,MATCH(P$5,DedListItem,0)-1,EmpCount,1),"&lt;&gt;")&gt;0,VLOOKUP($C179,EmpAll,COLUMN(Emp!$R$4)+MATCH(P$5,DedListItem,0)-1,0),OFFSET(Setup!$E$73,MATCH(P$5,DedListItem,0),0,1,1)))-SUMIFS(OFFSET(P$6,1,0,PayCount,1),PayDate,"&lt;"&amp;$AC179,PayEmp,$C179))))))</f>
        <v>0</v>
      </c>
      <c r="Q179" s="133" cm="1">
        <f t="array" aca="1" ref="Q179" ca="1">IF($F179="Terminated",0,IF($AA179=0,0,IF(ISNA(MATCH(Q$5,DedListItem,0)),0,IF(COUNTIFS(OverEmp,$C179,OverDeduct,Q$5,OverDate,"&lt;"&amp;DATE(YEAR($AC179),MONTH($AC179)+1,1),OverEnd,"&gt;="&amp;DATE(YEAR($AC179),MONTH($AC179),1))&gt;0,SUMIFS(OverValue,OverEmp,$C179,OverDeduct,Q$5,OverDate,"&lt;"&amp;DATE(YEAR($AC179),MONTH($AC179)+1,1),OverEnd,"&gt;="&amp;DATE(YEAR($AC179),MONTH($AC179),1)),IF(OR(Q$2="Fixed",Q$2="Not Used"),(IF(COUNTIFS(EmpNo,$C179,OFFSET(Emp!$R$4,1,MATCH(Q$5,DedListItem,0)-1,EmpCount,1),"&lt;&gt;")&gt;0,VLOOKUP($C179,EmpAll,COLUMN(Emp!$R$4)+MATCH(Q$5,DedListItem,0)-1,0),OFFSET(Setup!$E$73,MATCH(Q$5,DedListItem,0),0,1,1))*$AA179)-SUMIFS(OFFSET(Q$6,1,0,PayCount,1),PayDate,"&lt;"&amp;$AC179,PayEmp,$C179),IF(ISNA(MATCH(Q$2,EarnListItem,0))=FALSE,IF(OFFSET(Setup!$G$73,MATCH(Q$5,DedListItem,0),0,1,1)="Taxable",SUMPRODUCT((PayEmp=$C179)*(PayDate&lt;=$AC179)*(PayEarnCode=Q$2)*(PayEarnTax)*(PayEarnValues)),SUMPRODUCT((PayEmp=$C179)*(PayDate&lt;=$AC179)*(PayEarnCode=Q$2)*(PayEarnValues)))*IF(COUNTIFS(EmpNo,$C179,OFFSET(Emp!$R$4,1,MATCH(Q$5,DedListItem,0)-1,EmpCount,1),"&lt;&gt;")&gt;0,VLOOKUP($C179,EmpAll,COLUMN(Emp!$R$4)+MATCH(Q$5,DedListItem,0)-1,0),OFFSET(Setup!$E$73,MATCH(Q$5,DedListItem,0),0,1,1)),(MIN(IF(OFFSET(Setup!$G$73,MATCH(Q$5,DedListItem,0),0,1,1)="Taxable",SUMPRODUCT((PayEmp=$C179)*(PayDate&lt;=$AC179)*(ISERROR(SEARCH(PayEarnCode,Q$4)))*(PayEarnTax)*(PayEarnValues)),SUMPRODUCT((PayEmp=$C179)*(PayDate&lt;=$AC179)*(ISERROR(SEARCH(PayEarnCode,Q$4)))*(PayEarnValues))),IF(ISNUMBER(Q$3),Q$3/12*$AA179,IgnoreMin)))*IF(COUNTIFS(EmpNo,$C179,OFFSET(Emp!$R$4,1,MATCH(Q$5,DedListItem,0)-1,EmpCount,1),"&lt;&gt;")&gt;0,VLOOKUP($C179,EmpAll,COLUMN(Emp!$R$4)+MATCH(Q$5,DedListItem,0)-1,0),OFFSET(Setup!$E$73,MATCH(Q$5,DedListItem,0),0,1,1)))-SUMIFS(OFFSET(Q$6,1,0,PayCount,1),PayDate,"&lt;"&amp;$AC179,PayEmp,$C179))))))</f>
        <v>0</v>
      </c>
      <c r="R179" s="185">
        <f t="shared" ca="1" si="85"/>
        <v>463.75000000000136</v>
      </c>
      <c r="S179" s="139">
        <f t="shared" ca="1" si="86"/>
        <v>9536.25</v>
      </c>
      <c r="T179" s="133" cm="1">
        <f t="array" aca="1" ref="T179" ca="1">IF($F179="Terminated",0,IF($AA179=0,0,IF(ISNA(MATCH(T$5,CompListItem,0)),0,IF(COUNTIFS(OverEmp,$C179,OverComp,T$5,OverDate,"&lt;"&amp;DATE(YEAR($AC179),MONTH($AC179)+1,1),OverEnd,"&gt;="&amp;DATE(YEAR($AC179),MONTH($AC179),1))&gt;0,SUMIFS(OverValue,OverEmp,$C179,OverComp,T$5,OverDate,"&lt;"&amp;DATE(YEAR($AC179),MONTH($AC179)+1,1),OverEnd,"&gt;="&amp;DATE(YEAR($AC179),MONTH($AC179),1)),IF(OR(T$2="Fixed",T$2="Not Used"),(OFFSET(Setup!$E$81,MATCH(T$5,CompListItem,0),0,1,1)*$AA179)-SUMIFS(OFFSET(T$6,1,0,PayCount,1),PayDate,"&lt;"&amp;$AC179,PayEmp,$C179),IF(ISNA(MATCH(T$2,DedListItem,0))=FALSE,(SUMPRODUCT((PayEmp=$C179)*(PayDate&lt;=$AC179)*(PayDedList=T$2)*(PayDedValues))*OFFSET(Setup!$E$81,MATCH(T$5,CompListItem,0),0,1,1))-SUMIFS(OFFSET(T$6,1,0,PayCount,1),PayDate,"&lt;"&amp;$AC179,PayEmp,$C179),(MIN(IF(OFFSET(Setup!$G$81,MATCH(T$5,CompListItem,0),0,1,1)="Taxable",SUMPRODUCT((PayEmp=$C179)*(PayDate&lt;=$AC179)*(ISERROR(SEARCH(PayEarnCode,T$4)))*(PayEarnTax)*(PayEarnValues)),SUMPRODUCT((PayEmp=$C179)*(PayDate&lt;=$AC179)*(ISERROR(SEARCH(PayEarnCode,T$4)))*(PayEarnValues))),IF(ISNUMBER(T$3),T$3/12*$AA179,IgnoreMin)))*OFFSET(Setup!$E$81,MATCH(T$5,CompListItem,0),0,1,1)-SUMIFS(OFFSET(T$6,1,0,PayCount,1),PayDate,"&lt;"&amp;$AC179,PayEmp,$C179)))))))</f>
        <v>100</v>
      </c>
      <c r="U179" s="133" cm="1">
        <f t="array" aca="1" ref="U179" ca="1">IF($F179="Terminated",0,IF($AA179=0,0,IF(ISNA(MATCH(U$5,CompListItem,0)),0,IF(COUNTIFS(OverEmp,$C179,OverComp,U$5,OverDate,"&lt;"&amp;DATE(YEAR($AC179),MONTH($AC179)+1,1),OverEnd,"&gt;="&amp;DATE(YEAR($AC179),MONTH($AC179),1))&gt;0,SUMIFS(OverValue,OverEmp,$C179,OverComp,U$5,OverDate,"&lt;"&amp;DATE(YEAR($AC179),MONTH($AC179)+1,1),OverEnd,"&gt;="&amp;DATE(YEAR($AC179),MONTH($AC179),1)),IF(OR(U$2="Fixed",U$2="Not Used"),(OFFSET(Setup!$E$81,MATCH(U$5,CompListItem,0),0,1,1)*$AA179)-SUMIFS(OFFSET(U$6,1,0,PayCount,1),PayDate,"&lt;"&amp;$AC179,PayEmp,$C179),IF(ISNA(MATCH(U$2,DedListItem,0))=FALSE,(SUMPRODUCT((PayEmp=$C179)*(PayDate&lt;=$AC179)*(PayDedList=U$2)*(PayDedValues))*OFFSET(Setup!$E$81,MATCH(U$5,CompListItem,0),0,1,1))-SUMIFS(OFFSET(U$6,1,0,PayCount,1),PayDate,"&lt;"&amp;$AC179,PayEmp,$C179),(MIN(IF(OFFSET(Setup!$G$81,MATCH(U$5,CompListItem,0),0,1,1)="Taxable",SUMPRODUCT((PayEmp=$C179)*(PayDate&lt;=$AC179)*(ISERROR(SEARCH(PayEarnCode,U$4)))*(PayEarnTax)*(PayEarnValues)),SUMPRODUCT((PayEmp=$C179)*(PayDate&lt;=$AC179)*(ISERROR(SEARCH(PayEarnCode,U$4)))*(PayEarnValues))),IF(ISNUMBER(U$3),U$3/12*$AA179,IgnoreMin)))*OFFSET(Setup!$E$81,MATCH(U$5,CompListItem,0),0,1,1)-SUMIFS(OFFSET(U$6,1,0,PayCount,1),PayDate,"&lt;"&amp;$AC179,PayEmp,$C179)))))))</f>
        <v>100</v>
      </c>
      <c r="V179" s="133" cm="1">
        <f t="array" aca="1" ref="V179" ca="1">IF($F179="Terminated",0,IF($AA179=0,0,IF(ISNA(MATCH(V$5,CompListItem,0)),0,IF(COUNTIFS(OverEmp,$C179,OverComp,V$5,OverDate,"&lt;"&amp;DATE(YEAR($AC179),MONTH($AC179)+1,1),OverEnd,"&gt;="&amp;DATE(YEAR($AC179),MONTH($AC179),1))&gt;0,SUMIFS(OverValue,OverEmp,$C179,OverComp,V$5,OverDate,"&lt;"&amp;DATE(YEAR($AC179),MONTH($AC179)+1,1),OverEnd,"&gt;="&amp;DATE(YEAR($AC179),MONTH($AC179),1)),IF(OR(V$2="Fixed",V$2="Not Used"),(OFFSET(Setup!$E$81,MATCH(V$5,CompListItem,0),0,1,1)*$AA179)-SUMIFS(OFFSET(V$6,1,0,PayCount,1),PayDate,"&lt;"&amp;$AC179,PayEmp,$C179),IF(ISNA(MATCH(V$2,DedListItem,0))=FALSE,(SUMPRODUCT((PayEmp=$C179)*(PayDate&lt;=$AC179)*(PayDedList=V$2)*(PayDedValues))*OFFSET(Setup!$E$81,MATCH(V$5,CompListItem,0),0,1,1))-SUMIFS(OFFSET(V$6,1,0,PayCount,1),PayDate,"&lt;"&amp;$AC179,PayEmp,$C179),(MIN(IF(OFFSET(Setup!$G$81,MATCH(V$5,CompListItem,0),0,1,1)="Taxable",SUMPRODUCT((PayEmp=$C179)*(PayDate&lt;=$AC179)*(ISERROR(SEARCH(PayEarnCode,V$4)))*(PayEarnTax)*(PayEarnValues)),SUMPRODUCT((PayEmp=$C179)*(PayDate&lt;=$AC179)*(ISERROR(SEARCH(PayEarnCode,V$4)))*(PayEarnValues))),IF(ISNUMBER(V$3),V$3/12*$AA179,IgnoreMin)))*OFFSET(Setup!$E$81,MATCH(V$5,CompListItem,0),0,1,1)-SUMIFS(OFFSET(V$6,1,0,PayCount,1),PayDate,"&lt;"&amp;$AC179,PayEmp,$C179)))))))</f>
        <v>0</v>
      </c>
      <c r="W179" s="133" cm="1">
        <f t="array" aca="1" ref="W179" ca="1">IF($F179="Terminated",0,IF($AA179=0,0,IF(ISNA(MATCH(W$5,CompListItem,0)),0,IF(COUNTIFS(OverEmp,$C179,OverComp,W$5,OverDate,"&lt;"&amp;DATE(YEAR($AC179),MONTH($AC179)+1,1),OverEnd,"&gt;="&amp;DATE(YEAR($AC179),MONTH($AC179),1))&gt;0,SUMIFS(OverValue,OverEmp,$C179,OverComp,W$5,OverDate,"&lt;"&amp;DATE(YEAR($AC179),MONTH($AC179)+1,1),OverEnd,"&gt;="&amp;DATE(YEAR($AC179),MONTH($AC179),1)),IF(OR(W$2="Fixed",W$2="Not Used"),(OFFSET(Setup!$E$81,MATCH(W$5,CompListItem,0),0,1,1)*$AA179)-SUMIFS(OFFSET(W$6,1,0,PayCount,1),PayDate,"&lt;"&amp;$AC179,PayEmp,$C179),IF(ISNA(MATCH(W$2,DedListItem,0))=FALSE,(SUMPRODUCT((PayEmp=$C179)*(PayDate&lt;=$AC179)*(PayDedList=W$2)*(PayDedValues))*OFFSET(Setup!$E$81,MATCH(W$5,CompListItem,0),0,1,1))-SUMIFS(OFFSET(W$6,1,0,PayCount,1),PayDate,"&lt;"&amp;$AC179,PayEmp,$C179),(MIN(IF(OFFSET(Setup!$G$81,MATCH(W$5,CompListItem,0),0,1,1)="Taxable",SUMPRODUCT((PayEmp=$C179)*(PayDate&lt;=$AC179)*(ISERROR(SEARCH(PayEarnCode,W$4)))*(PayEarnTax)*(PayEarnValues)),SUMPRODUCT((PayEmp=$C179)*(PayDate&lt;=$AC179)*(ISERROR(SEARCH(PayEarnCode,W$4)))*(PayEarnValues))),IF(ISNUMBER(W$3),W$3/12*$AA179,IgnoreMin)))*OFFSET(Setup!$E$81,MATCH(W$5,CompListItem,0),0,1,1)-SUMIFS(OFFSET(W$6,1,0,PayCount,1),PayDate,"&lt;"&amp;$AC179,PayEmp,$C179)))))))</f>
        <v>0</v>
      </c>
      <c r="X179" s="185">
        <f t="shared" ca="1" si="78"/>
        <v>200</v>
      </c>
      <c r="Y179" s="139">
        <f t="shared" ca="1" si="87"/>
        <v>10200</v>
      </c>
      <c r="Z179" s="139">
        <f t="shared" ca="1" si="79"/>
        <v>663.75</v>
      </c>
      <c r="AA179" s="146">
        <f ca="1">IF(OR($B179&lt;=Setup!$E$12,$B179&gt;=Setup!$D$12+1),0,IF($F179&lt;&gt;"Active",0,IF($AE179="Yes",$AB179,((YEAR($AC179)*12)+MONTH($AC179))-((YEAR($AD179)*12)+MONTH($AD179)-1))))</f>
        <v>12</v>
      </c>
      <c r="AB179" s="146">
        <f ca="1">IF(OR($B179&lt;=Setup!$E$12,$B179&gt;=Setup!$D$12+1),0,((YEAR($AC179)*12)+MONTH($AC179))-((YEAR(Setup!$E$12)*12)+MONTH(Setup!$E$12)))</f>
        <v>12</v>
      </c>
      <c r="AC179" s="186">
        <f t="shared" ca="1" si="83"/>
        <v>45347</v>
      </c>
      <c r="AD179" s="144">
        <f ca="1">IF(ISNA(VLOOKUP($C179,EmpAll,COLUMN(Emp!$E$4),0)),$AC179,IF(VLOOKUP($C179,EmpAll,COLUMN(Emp!$E$4),0)&lt;=Setup!$E$12,DATE(YEAR(Setup!$E$12),MONTH(Setup!$E$12)+1,1),VLOOKUP($C179,EmpAll,COLUMN(Emp!$E$4),0)))</f>
        <v>44986</v>
      </c>
      <c r="AE179" s="144" t="str">
        <f ca="1">IF(ISNA(VLOOKUP($C179,EmpAll,COLUMN(Emp!$G$1),0)),"-",IF(VLOOKUP($C179,EmpAll,COLUMN(Emp!$G$1),0)=0,"-",VLOOKUP($C179,EmpAll,COLUMN(Emp!$G$1),0)))</f>
        <v>-</v>
      </c>
      <c r="AF179" s="145">
        <f ca="1">IF(A179=PaySlip!$G$3,1,0)</f>
        <v>0</v>
      </c>
      <c r="AG179" s="130" cm="1">
        <f t="array" aca="1" ref="AG179" ca="1">IF(COUNTIFS(OverEmp,$C179,OverMed,"MED",OverDate,"&lt;"&amp;DATE(YEAR($AC179),MONTH($AC179)+1,1),OverEnd,"&gt;="&amp;DATE(YEAR($AC179),MONTH($AC179),1))&gt;0,SUMIFS(OverValue,OverEmp,$C179,OverMed,"MED",OverDate,"&lt;"&amp;DATE(YEAR($AC179),MONTH($AC179)+1,1),OverEnd,"&gt;="&amp;DATE(YEAR($AC179),MONTH($AC179),1)),IF(ISNA(VLOOKUP($C179,EmpAll,COLUMN(Emp!$N$4),0)),0,VLOOKUP($C179,EmpAll,COLUMN(Emp!$N$4),0)))</f>
        <v>0</v>
      </c>
      <c r="AH179" s="146">
        <f ca="1">VLOOKUP($AG179,MedList,COLUMN(Setup!$C$49),1)</f>
        <v>0</v>
      </c>
      <c r="AI179" s="146">
        <f t="shared" ca="1" si="70"/>
        <v>0</v>
      </c>
      <c r="AJ179" s="101" t="str">
        <f ca="1">IF(ISNA(VLOOKUP($C179,EmpAll,COLUMN(Emp!$L$4),0)),"None!",VLOOKUP($C179,EmpAll,COLUMN(Emp!$L$4),0))</f>
        <v>A</v>
      </c>
      <c r="AK179" s="147">
        <f t="shared" ca="1" si="80"/>
        <v>17235</v>
      </c>
      <c r="AL179" s="101" t="str">
        <f ca="1">IF(ISNA(VLOOKUP($C179,Employees[],COLUMN(Emp!$M$4),0))=TRUE,"Error!",IF(VLOOKUP($C179,Employees[],COLUMN(Emp!$M$4),0)=0,"Yes",VLOOKUP($C179,Employees[],COLUMN(Emp!$M$4),0)))</f>
        <v>A</v>
      </c>
      <c r="AM179" s="148">
        <f t="shared" ca="1" si="71"/>
        <v>119000</v>
      </c>
      <c r="AN179" s="148" cm="1">
        <f t="array" aca="1" ref="AN179" ca="1">-IF($F179="Terminated",0,IF($AA179=0,0,IF(ISNA(MATCH(AN$5,PayDedList,0)),0,MIN(IF(COUNTIFS(OverEmp,$C179,OverDeduct,AN$5,OverDate,"&lt;"&amp;DATE(YEAR($AC179),MONTH($AC179)+1,1),OverEnd,"&gt;="&amp;DATE(YEAR($AC179),MONTH($AC179),1))&gt;0,SUMPRODUCT((PayEmp=$C179)*(PayDate&lt;=$AC179)*(OFFSET($N$6,1,MATCH(AN$5,PayDedList,0)-1,PayCount,1)))/$AA179*12*AN$3,IF(OR(AN$1="Fixed",AN$1="Not Used"),SUMPRODUCT((PayEmp=$C179)*(PayDate&lt;=$AC179)*(OFFSET($N$6,1,MATCH(AN$5,PayDedList,0)-1,PayCount,1)))/$AA179*12*AN$3,IF(ISNA(MATCH(AN$1,EarnListItem,0))=FALSE,SUMPRODUCT((PayEmp=$C179)*(PayDate&lt;=$AC179)*(OFFSET($N$6,1,MATCH(AN$5,PayDedList,0)-1,PayCount,1)))/$AA179*12*AN$3,(MIN(((SUMPRODUCT((PayEmp=$C179)*(PayDate&lt;=$AC179)*(ISERROR(SEARCH(PayEarnCode,AN$2)))*(PayEarnType="Monthly")*(PayEarnValues))/$AA179*12)+(SUMPRODUCT((PayEmp=$C179)*(PayDate&lt;=$AC179)*(ISERROR(SEARCH(PayEarnCode,AN$2)))*(PayEarnType="Quarterly")*(PayEarnValues))/MAX(1,ROUNDDOWN($AB179/3,0))*4)+(SUMPRODUCT((PayEmp=$C179)*(PayDate&lt;=$AC179)*(ISERROR(SEARCH(PayEarnCode,AN$2)))*(PayEarnType="Bi-Annual")*(PayEarnValues))/MAX(1,ROUNDDOWN($AB179/6,0))*2)+(SUMPRODUCT((PayEmp=$C179)*(PayDate&lt;=$AC179)*(ISERROR(SEARCH(PayEarnCode,AN$2)))*(PayEarnType="Annual")*(PayEarnValues)))),IF(ISNUMBER(OFFSET($N$3,0,MATCH(AN$5,PayDedList,0)-1,1,1)),OFFSET($N$3,0,MATCH(AN$5,PayDedList,0)-1,1,1),IgnoreMin)))*IF(COUNTIFS(EmpNo,$C179,OFFSET(Emp!$R$4,1,MATCH(AN$5,DedListItem,0)-1,EmpCount,1),"&lt;&gt;")&gt;0,VLOOKUP($C179,EmpAll,COLUMN(Emp!$R$4)+MATCH(AN$5,DedListItem,0)-1,0),OFFSET(Setup!$E$73,MATCH(AN$5,DedListItem,0),0,1,1))*AN$3))),IF(ISNUMBER(AN$4),AN$4,IgnoreMin)))))</f>
        <v>0</v>
      </c>
      <c r="AO179" s="148" cm="1">
        <f t="array" aca="1" ref="AO179" ca="1">-IF($F179="Terminated",0,IF($AA179=0,0,IF(ISNA(MATCH(AO$5,PayDedList,0)),0,MIN(IF(COUNTIFS(OverEmp,$C179,OverDeduct,AO$5,OverDate,"&lt;"&amp;DATE(YEAR($AC179),MONTH($AC179)+1,1),OverEnd,"&gt;="&amp;DATE(YEAR($AC179),MONTH($AC179),1))&gt;0,SUMPRODUCT((PayEmp=$C179)*(PayDate&lt;=$AC179)*(OFFSET($N$6,1,MATCH(AO$5,PayDedList,0)-1,PayCount,1)))/$AA179*12*AO$3,IF(OR(AO$1="Fixed",AO$1="Not Used"),SUMPRODUCT((PayEmp=$C179)*(PayDate&lt;=$AC179)*(OFFSET($N$6,1,MATCH(AO$5,PayDedList,0)-1,PayCount,1)))/$AA179*12*AO$3,IF(ISNA(MATCH(AO$1,EarnListItem,0))=FALSE,SUMPRODUCT((PayEmp=$C179)*(PayDate&lt;=$AC179)*(OFFSET($N$6,1,MATCH(AO$5,PayDedList,0)-1,PayCount,1)))/$AA179*12*AO$3,(MIN(((SUMPRODUCT((PayEmp=$C179)*(PayDate&lt;=$AC179)*(ISERROR(SEARCH(PayEarnCode,AO$2)))*(PayEarnType="Monthly")*(PayEarnValues))/$AA179*12)+(SUMPRODUCT((PayEmp=$C179)*(PayDate&lt;=$AC179)*(ISERROR(SEARCH(PayEarnCode,AO$2)))*(PayEarnType="Quarterly")*(PayEarnValues))/MAX(1,ROUNDDOWN($AB179/3,0))*4)+(SUMPRODUCT((PayEmp=$C179)*(PayDate&lt;=$AC179)*(ISERROR(SEARCH(PayEarnCode,AO$2)))*(PayEarnType="Bi-Annual")*(PayEarnValues))/MAX(1,ROUNDDOWN($AB179/6,0))*2)+(SUMPRODUCT((PayEmp=$C179)*(PayDate&lt;=$AC179)*(ISERROR(SEARCH(PayEarnCode,AO$2)))*(PayEarnType="Annual")*(PayEarnValues)))),IF(ISNUMBER(OFFSET($N$3,0,MATCH(AO$5,PayDedList,0)-1,1,1)),OFFSET($N$3,0,MATCH(AO$5,PayDedList,0)-1,1,1),IgnoreMin)))*IF(COUNTIFS(EmpNo,$C179,OFFSET(Emp!$R$4,1,MATCH(AO$5,DedListItem,0)-1,EmpCount,1),"&lt;&gt;")&gt;0,VLOOKUP($C179,EmpAll,COLUMN(Emp!$R$4)+MATCH(AO$5,DedListItem,0)-1,0),OFFSET(Setup!$E$73,MATCH(AO$5,DedListItem,0),0,1,1))*AO$3))),IF(ISNUMBER(AO$4),AO$4,IgnoreMin)))))</f>
        <v>0</v>
      </c>
      <c r="AP179" s="148" cm="1">
        <f t="array" aca="1" ref="AP179" ca="1">-IF($F179="Terminated",0,IF($AA179=0,0,IF(ISNA(MATCH(AP$5,PayDedList,0)),0,MIN(IF(COUNTIFS(OverEmp,$C179,OverDeduct,AP$5,OverDate,"&lt;"&amp;DATE(YEAR($AC179),MONTH($AC179)+1,1),OverEnd,"&gt;="&amp;DATE(YEAR($AC179),MONTH($AC179),1))&gt;0,SUMPRODUCT((PayEmp=$C179)*(PayDate&lt;=$AC179)*(OFFSET($N$6,1,MATCH(AP$5,PayDedList,0)-1,PayCount,1)))/$AA179*12*AP$3,IF(OR(AP$1="Fixed",AP$1="Not Used"),SUMPRODUCT((PayEmp=$C179)*(PayDate&lt;=$AC179)*(OFFSET($N$6,1,MATCH(AP$5,PayDedList,0)-1,PayCount,1)))/$AA179*12*AP$3,IF(ISNA(MATCH(AP$1,EarnListItem,0))=FALSE,SUMPRODUCT((PayEmp=$C179)*(PayDate&lt;=$AC179)*(OFFSET($N$6,1,MATCH(AP$5,PayDedList,0)-1,PayCount,1)))/$AA179*12*AP$3,(MIN(((SUMPRODUCT((PayEmp=$C179)*(PayDate&lt;=$AC179)*(ISERROR(SEARCH(PayEarnCode,AP$2)))*(PayEarnType="Monthly")*(PayEarnValues))/$AA179*12)+(SUMPRODUCT((PayEmp=$C179)*(PayDate&lt;=$AC179)*(ISERROR(SEARCH(PayEarnCode,AP$2)))*(PayEarnType="Quarterly")*(PayEarnValues))/MAX(1,ROUNDDOWN($AB179/3,0))*4)+(SUMPRODUCT((PayEmp=$C179)*(PayDate&lt;=$AC179)*(ISERROR(SEARCH(PayEarnCode,AP$2)))*(PayEarnType="Bi-Annual")*(PayEarnValues))/MAX(1,ROUNDDOWN($AB179/6,0))*2)+(SUMPRODUCT((PayEmp=$C179)*(PayDate&lt;=$AC179)*(ISERROR(SEARCH(PayEarnCode,AP$2)))*(PayEarnType="Annual")*(PayEarnValues)))),IF(ISNUMBER(OFFSET($N$3,0,MATCH(AP$5,PayDedList,0)-1,1,1)),OFFSET($N$3,0,MATCH(AP$5,PayDedList,0)-1,1,1),IgnoreMin)))*IF(COUNTIFS(EmpNo,$C179,OFFSET(Emp!$R$4,1,MATCH(AP$5,DedListItem,0)-1,EmpCount,1),"&lt;&gt;")&gt;0,VLOOKUP($C179,EmpAll,COLUMN(Emp!$R$4)+MATCH(AP$5,DedListItem,0)-1,0),OFFSET(Setup!$E$73,MATCH(AP$5,DedListItem,0),0,1,1))*AP$3))),IF(ISNUMBER(AP$4),AP$4,IgnoreMin)))))</f>
        <v>0</v>
      </c>
      <c r="AQ179" s="148" cm="1">
        <f t="array" aca="1" ref="AQ179" ca="1">-IF($F179="Terminated",0,IF($AA179=0,0,IF(ISNA(MATCH(AQ$5,PayDedList,0)),0,MIN(IF(COUNTIFS(OverEmp,$C179,OverDeduct,AQ$5,OverDate,"&lt;"&amp;DATE(YEAR($AC179),MONTH($AC179)+1,1),OverEnd,"&gt;="&amp;DATE(YEAR($AC179),MONTH($AC179),1))&gt;0,SUMPRODUCT((PayEmp=$C179)*(PayDate&lt;=$AC179)*(OFFSET($N$6,1,MATCH(AQ$5,PayDedList,0)-1,PayCount,1)))/$AA179*12*AQ$3,IF(OR(AQ$1="Fixed",AQ$1="Not Used"),SUMPRODUCT((PayEmp=$C179)*(PayDate&lt;=$AC179)*(OFFSET($N$6,1,MATCH(AQ$5,PayDedList,0)-1,PayCount,1)))/$AA179*12*AQ$3,IF(ISNA(MATCH(AQ$1,EarnListItem,0))=FALSE,SUMPRODUCT((PayEmp=$C179)*(PayDate&lt;=$AC179)*(OFFSET($N$6,1,MATCH(AQ$5,PayDedList,0)-1,PayCount,1)))/$AA179*12*AQ$3,(MIN(((SUMPRODUCT((PayEmp=$C179)*(PayDate&lt;=$AC179)*(ISERROR(SEARCH(PayEarnCode,AQ$2)))*(PayEarnType="Monthly")*(PayEarnValues))/$AA179*12)+(SUMPRODUCT((PayEmp=$C179)*(PayDate&lt;=$AC179)*(ISERROR(SEARCH(PayEarnCode,AQ$2)))*(PayEarnType="Quarterly")*(PayEarnValues))/MAX(1,ROUNDDOWN($AB179/3,0))*4)+(SUMPRODUCT((PayEmp=$C179)*(PayDate&lt;=$AC179)*(ISERROR(SEARCH(PayEarnCode,AQ$2)))*(PayEarnType="Bi-Annual")*(PayEarnValues))/MAX(1,ROUNDDOWN($AB179/6,0))*2)+(SUMPRODUCT((PayEmp=$C179)*(PayDate&lt;=$AC179)*(ISERROR(SEARCH(PayEarnCode,AQ$2)))*(PayEarnType="Annual")*(PayEarnValues)))),IF(ISNUMBER(OFFSET($N$3,0,MATCH(AQ$5,PayDedList,0)-1,1,1)),OFFSET($N$3,0,MATCH(AQ$5,PayDedList,0)-1,1,1),IgnoreMin)))*IF(COUNTIFS(EmpNo,$C179,OFFSET(Emp!$R$4,1,MATCH(AQ$5,DedListItem,0)-1,EmpCount,1),"&lt;&gt;")&gt;0,VLOOKUP($C179,EmpAll,COLUMN(Emp!$R$4)+MATCH(AQ$5,DedListItem,0)-1,0),OFFSET(Setup!$E$73,MATCH(AQ$5,DedListItem,0),0,1,1))*AQ$3))),IF(ISNUMBER(AQ$4),AQ$4,IgnoreMin)))))</f>
        <v>0</v>
      </c>
      <c r="AR179" s="148">
        <f t="shared" ca="1" si="81"/>
        <v>119000</v>
      </c>
      <c r="AS179" s="148">
        <f t="shared" ca="1" si="72"/>
        <v>110000</v>
      </c>
      <c r="AT179" s="148" cm="1">
        <f t="array" aca="1" ref="AT179" ca="1">-IF($F179="Terminated",0,IF($AA179=0,0,IF(ISNA(MATCH(AT$5,PayDedList,0)),0,MIN(IF(COUNTIFS(OverEmp,$C179,OverDeduct,AT$5,OverDate,"&lt;"&amp;DATE(YEAR($AC179),MONTH($AC179)+1,1),OverEnd,"&gt;="&amp;DATE(YEAR($AC179),MONTH($AC179),1))&gt;0,SUMPRODUCT((PayEmp=$C179)*(PayDate&lt;=$AC179)*(OFFSET($N$6,1,MATCH(AT$5,PayDedList,0)-1,PayCount,1)))/$AA179*12*AT$3,IF(OR(AT$1="Fixed",AT$1="Not Used"),SUMPRODUCT((PayEmp=$C179)*(PayDate&lt;=$AC179)*(OFFSET($N$6,1,MATCH(AT$5,PayDedList,0)-1,PayCount,1)))/$AA179*12*AT$3,IF(ISNA(MATCH(OFFSET($N$2,0,MATCH(AT$5,PayDedList,0)-1,1,1),EarnListItem,0))=FALSE,SUMPRODUCT((PayEmp=$C179)*(PayDate&lt;=$AC179)*(OFFSET($N$6,1,MATCH(AT$5,PayDedList,0)-1,PayCount,1)))/$AA179*12*AT$3,(MIN(SUMPRODUCT((PayEmp=$C179)*(PayDate&lt;=$AC179)*(ISERROR(SEARCH(PayEarnCode,AT$2)))*(PayEarnType="Monthly")*(PayEarnValues))/$AA179*12,IF(ISNUMBER(OFFSET($N$3,0,MATCH(AT$5,PayDedList,0)-1,1,1)),OFFSET($N$3,0,MATCH(AT$5,PayDedList,0)-1,1,1),IgnoreMin)))*IF(COUNTIFS(EmpNo,$C179,OFFSET(Emp!$R$4,1,MATCH(AT$5,DedListItem,0)-1,EmpCount,1),"&lt;&gt;")&gt;0,VLOOKUP($C179,EmpAll,COLUMN(Emp!$R$4)+MATCH(AT$5,DedListItem,0)-1,0),OFFSET(Setup!$E$73,MATCH(AT$5,DedListItem,0),0,1,1))*AT$3))),IF(ISNUMBER(AT$4),AT$4,IgnoreMin)))))</f>
        <v>0</v>
      </c>
      <c r="AU179" s="148" cm="1">
        <f t="array" aca="1" ref="AU179" ca="1">-IF($F179="Terminated",0,IF($AA179=0,0,IF(ISNA(MATCH(AU$5,PayDedList,0)),0,MIN(IF(COUNTIFS(OverEmp,$C179,OverDeduct,AU$5,OverDate,"&lt;"&amp;DATE(YEAR($AC179),MONTH($AC179)+1,1),OverEnd,"&gt;="&amp;DATE(YEAR($AC179),MONTH($AC179),1))&gt;0,SUMPRODUCT((PayEmp=$C179)*(PayDate&lt;=$AC179)*(OFFSET($N$6,1,MATCH(AU$5,PayDedList,0)-1,PayCount,1)))/$AA179*12*AU$3,IF(OR(AU$1="Fixed",AU$1="Not Used"),SUMPRODUCT((PayEmp=$C179)*(PayDate&lt;=$AC179)*(OFFSET($N$6,1,MATCH(AU$5,PayDedList,0)-1,PayCount,1)))/$AA179*12*AU$3,IF(ISNA(MATCH(OFFSET($N$2,0,MATCH(AU$5,PayDedList,0)-1,1,1),EarnListItem,0))=FALSE,SUMPRODUCT((PayEmp=$C179)*(PayDate&lt;=$AC179)*(OFFSET($N$6,1,MATCH(AU$5,PayDedList,0)-1,PayCount,1)))/$AA179*12*AU$3,(MIN(SUMPRODUCT((PayEmp=$C179)*(PayDate&lt;=$AC179)*(ISERROR(SEARCH(PayEarnCode,AU$2)))*(PayEarnType="Monthly")*(PayEarnValues))/$AA179*12,IF(ISNUMBER(OFFSET($N$3,0,MATCH(AU$5,PayDedList,0)-1,1,1)),OFFSET($N$3,0,MATCH(AU$5,PayDedList,0)-1,1,1),IgnoreMin)))*IF(COUNTIFS(EmpNo,$C179,OFFSET(Emp!$R$4,1,MATCH(AU$5,DedListItem,0)-1,EmpCount,1),"&lt;&gt;")&gt;0,VLOOKUP($C179,EmpAll,COLUMN(Emp!$R$4)+MATCH(AU$5,DedListItem,0)-1,0),OFFSET(Setup!$E$73,MATCH(AU$5,DedListItem,0),0,1,1))*AU$3))),IF(ISNUMBER(AU$4),AU$4,IgnoreMin)))))</f>
        <v>0</v>
      </c>
      <c r="AV179" s="148" cm="1">
        <f t="array" aca="1" ref="AV179" ca="1">-IF($F179="Terminated",0,IF($AA179=0,0,IF(ISNA(MATCH(AV$5,PayDedList,0)),0,MIN(IF(COUNTIFS(OverEmp,$C179,OverDeduct,AV$5,OverDate,"&lt;"&amp;DATE(YEAR($AC179),MONTH($AC179)+1,1),OverEnd,"&gt;="&amp;DATE(YEAR($AC179),MONTH($AC179),1))&gt;0,SUMPRODUCT((PayEmp=$C179)*(PayDate&lt;=$AC179)*(OFFSET($N$6,1,MATCH(AV$5,PayDedList,0)-1,PayCount,1)))/$AA179*12*AV$3,IF(OR(AV$1="Fixed",AV$1="Not Used"),SUMPRODUCT((PayEmp=$C179)*(PayDate&lt;=$AC179)*(OFFSET($N$6,1,MATCH(AV$5,PayDedList,0)-1,PayCount,1)))/$AA179*12*AV$3,IF(ISNA(MATCH(OFFSET($N$2,0,MATCH(AV$5,PayDedList,0)-1,1,1),EarnListItem,0))=FALSE,SUMPRODUCT((PayEmp=$C179)*(PayDate&lt;=$AC179)*(OFFSET($N$6,1,MATCH(AV$5,PayDedList,0)-1,PayCount,1)))/$AA179*12*AV$3,(MIN(SUMPRODUCT((PayEmp=$C179)*(PayDate&lt;=$AC179)*(ISERROR(SEARCH(PayEarnCode,AV$2)))*(PayEarnType="Monthly")*(PayEarnValues))/$AA179*12,IF(ISNUMBER(OFFSET($N$3,0,MATCH(AV$5,PayDedList,0)-1,1,1)),OFFSET($N$3,0,MATCH(AV$5,PayDedList,0)-1,1,1),IgnoreMin)))*IF(COUNTIFS(EmpNo,$C179,OFFSET(Emp!$R$4,1,MATCH(AV$5,DedListItem,0)-1,EmpCount,1),"&lt;&gt;")&gt;0,VLOOKUP($C179,EmpAll,COLUMN(Emp!$R$4)+MATCH(AV$5,DedListItem,0)-1,0),OFFSET(Setup!$E$73,MATCH(AV$5,DedListItem,0),0,1,1))*AV$3))),IF(ISNUMBER(AV$4),AV$4,IgnoreMin)))))</f>
        <v>0</v>
      </c>
      <c r="AW179" s="148" cm="1">
        <f t="array" aca="1" ref="AW179" ca="1">-IF($F179="Terminated",0,IF($AA179=0,0,IF(ISNA(MATCH(AW$5,PayDedList,0)),0,MIN(IF(COUNTIFS(OverEmp,$C179,OverDeduct,AW$5,OverDate,"&lt;"&amp;DATE(YEAR($AC179),MONTH($AC179)+1,1),OverEnd,"&gt;="&amp;DATE(YEAR($AC179),MONTH($AC179),1))&gt;0,SUMPRODUCT((PayEmp=$C179)*(PayDate&lt;=$AC179)*(OFFSET($N$6,1,MATCH(AW$5,PayDedList,0)-1,PayCount,1)))/$AA179*12*AW$3,IF(OR(AW$1="Fixed",AW$1="Not Used"),SUMPRODUCT((PayEmp=$C179)*(PayDate&lt;=$AC179)*(OFFSET($N$6,1,MATCH(AW$5,PayDedList,0)-1,PayCount,1)))/$AA179*12*AW$3,IF(ISNA(MATCH(OFFSET($N$2,0,MATCH(AW$5,PayDedList,0)-1,1,1),EarnListItem,0))=FALSE,SUMPRODUCT((PayEmp=$C179)*(PayDate&lt;=$AC179)*(OFFSET($N$6,1,MATCH(AW$5,PayDedList,0)-1,PayCount,1)))/$AA179*12*AW$3,(MIN(SUMPRODUCT((PayEmp=$C179)*(PayDate&lt;=$AC179)*(ISERROR(SEARCH(PayEarnCode,AW$2)))*(PayEarnType="Monthly")*(PayEarnValues))/$AA179*12,IF(ISNUMBER(OFFSET($N$3,0,MATCH(AW$5,PayDedList,0)-1,1,1)),OFFSET($N$3,0,MATCH(AW$5,PayDedList,0)-1,1,1),IgnoreMin)))*IF(COUNTIFS(EmpNo,$C179,OFFSET(Emp!$R$4,1,MATCH(AW$5,DedListItem,0)-1,EmpCount,1),"&lt;&gt;")&gt;0,VLOOKUP($C179,EmpAll,COLUMN(Emp!$R$4)+MATCH(AW$5,DedListItem,0)-1,0),OFFSET(Setup!$E$73,MATCH(AW$5,DedListItem,0),0,1,1))*AW$3))),IF(ISNUMBER(AW$4),AW$4,IgnoreMin)))))</f>
        <v>0</v>
      </c>
      <c r="AX179" s="148">
        <f t="shared" ca="1" si="88"/>
        <v>110000</v>
      </c>
      <c r="AY179" s="148">
        <f t="shared" ca="1" si="89"/>
        <v>9000</v>
      </c>
      <c r="AZ179" s="148">
        <f ca="1">IF(ISNUMBER($AL179),($AR179*$AL179)-$AI179-$AK179,MAX(0,IF($AL179="B",IF($AR179&lt;Setup!$C$32,($AR179*Setup!$D$32)-$AI179-$AK179,(($AR179-VLOOKUP($AR179,TaxAll2,1,1))*OFFSET(Setup!$D$32,MATCH($AR179,TaxBracket2,1),0,1,1))+OFFSET(Setup!$E$31,MATCH($AR179,TaxBracket2,1),0,1,1)-$AI179-$AK179),IF($AR179&lt;Setup!$C$21,($AR179*Setup!$D$21)-$AI179-$AK179,(($AR179-VLOOKUP($AR179,TaxAll1,1,1))*OFFSET(Setup!$D$21,MATCH($AR179,TaxBracket1,1),0,1,1))+OFFSET(Setup!$E$20,MATCH($AR179,TaxBracket1,1),0,1,1)-$AI179-$AK179))))</f>
        <v>4185</v>
      </c>
      <c r="BA179" s="148">
        <f ca="1">IF(ISNUMBER($AL179),($AX179*$AL179)-$AI179-$AK179,MAX(0,IF($AL179="B",IF($AX179&lt;Setup!$C$32,($AX179*Setup!$D$32)-$AI179-$AK179,(($AX179-VLOOKUP($AX179,TaxAll2,1,1))*OFFSET(Setup!$D$32,MATCH($AX179,TaxBracket2,1),0,1,1))+OFFSET(Setup!$E$31,MATCH($AX179,TaxBracket2,1),0,1,1)-$AI179-$AK179),IF($AX179&lt;Setup!$C$21,($AX179*Setup!$D$21)-$AI179-$AK179,(($AX179-VLOOKUP($AX179,TaxAll1,1,1))*OFFSET(Setup!$D$21,MATCH($AX179,TaxBracket1,1),0,1,1))+OFFSET(Setup!$E$20,MATCH($AX179,TaxBracket1,1),0,1,1)-$AI179-$AK179))))</f>
        <v>2565</v>
      </c>
      <c r="BB179" s="148">
        <f t="shared" ca="1" si="82"/>
        <v>1620</v>
      </c>
      <c r="BC179" s="150">
        <f t="shared" ca="1" si="75"/>
        <v>0.92436974789915971</v>
      </c>
      <c r="BD179" s="150">
        <f t="shared" ca="1" si="76"/>
        <v>7.5630252100840331E-2</v>
      </c>
      <c r="BE179" s="148">
        <f t="shared" ca="1" si="77"/>
        <v>119000</v>
      </c>
    </row>
    <row r="180" spans="1:57" ht="16.149999999999999" customHeight="1" x14ac:dyDescent="0.25">
      <c r="A180" s="10" t="str" cm="1">
        <f t="array" aca="1" ref="A180" ca="1">IF(ROW($A180)-ROW($A$6)&gt;EmpCount*12,"-",TEXT($B180,"yyyy")&amp;TEXT($B180,"mm")&amp;"-"&amp;$C180)</f>
        <v>202402-EXS009</v>
      </c>
      <c r="B180" s="137" cm="1">
        <f t="array" aca="1" ref="B180" ca="1">IF(ROW($A180)-ROW($A$6)&gt;EmpCount*12,Setup!$D$12,DATE(YEAR(Setup!$F$12),MONTH(Setup!$F$12)+ROUNDDOWN((ROW($A180)-ROW($A$6)-1)/EmpCount,0),IF(Setup!$C$14&gt;DAY(DATE(YEAR(Setup!$F$12),MONTH(Setup!$F$12)+ROUNDDOWN((ROW($A180)-ROW($A$6)-1)/EmpCount,0)+1,0)),DAY(DATE(YEAR(Setup!$F$12),MONTH(Setup!$F$12)+ROUNDDOWN((ROW($A180)-ROW($A$6)-1)/EmpCount,0)+1,0)),Setup!$C$14)))</f>
        <v>45347</v>
      </c>
      <c r="C180" s="101" t="str" cm="1">
        <f t="array" aca="1" ref="C180" ca="1">IF(ROW($A180)-ROW($A$6)&gt;EmpCount*12,"-",OFFSET(Emp!$A$4,ROW($A180)-ROW($A$6)-IF(ROW($A180)-ROW($A$6)&gt;EmpCount,ROUNDDOWN((ROW($A180)-ROW($A$6)-1)/EmpCount,0)*EmpCount,0),0,1,1))</f>
        <v>EXS009</v>
      </c>
      <c r="D180" s="10" t="str">
        <f ca="1">IF(ISNA(VLOOKUP($C180,EmpAll,COLUMN(Emp!$B$4),0)),"-",VLOOKUP($C180,EmpAll,COLUMN(Emp!$B$4),0))</f>
        <v>Brown JT</v>
      </c>
      <c r="E180" s="145" t="str">
        <f ca="1">IF(ISNA(VLOOKUP($C180,EmpAll,COLUMN(Emp!$C$4),0)),"-",VLOOKUP($C180,EmpAll,COLUMN(Emp!$C$4),0))</f>
        <v>A</v>
      </c>
      <c r="F180" s="101" t="str">
        <f ca="1">IF(ISNA(VLOOKUP($C180,EmpAll,COLUMN(Emp!$A$4),0)),"-",IF(AND(VLOOKUP($C180,EmpAll,COLUMN(Emp!$E$4),0)&lt;&gt;0,VLOOKUP($C180,EmpAll,COLUMN(Emp!$E$4),0)&gt;=DATE(YEAR($AC180),MONTH($AC180)+1,0)),"Inactive",IF(AND(VLOOKUP($C180,EmpAll,COLUMN(Emp!$F$4),0)&lt;&gt;0,VLOOKUP($C180,EmpAll,COLUMN(Emp!$F$4),0)&lt;=DATE(YEAR($AC180),MONTH($AC180),0)),"Terminated","Active")))</f>
        <v>Active</v>
      </c>
      <c r="G180" s="133" cm="1">
        <f t="array" aca="1" ref="G180" ca="1">IF($F180&lt;&gt;"Active",0,IF(COUNTIFS(OverEmp,$C180,OverEarn,G$2,OverDate,"&lt;"&amp;DATE(YEAR($AC180),MONTH($AC180)+1,1),OverEnd,"&gt;="&amp;DATE(YEAR($AC180),MONTH($AC180),1))&gt;0,SUMIFS(OverValue,OverEmp,$C180,OverEarn,G$2,OverDate,"&lt;"&amp;DATE(YEAR($AC180),MONTH($AC180)+1,1),OverEnd,"&gt;="&amp;DATE(YEAR($AC180),MONTH($AC180),1)),IF(AND($AC180&gt;=Setup!$E$10,SUMIFS(EmpIncrease,EmpCode,$C180)&gt;0),SUMIFS(EmpIncrease,EmpCode,$C180),SUMIFS(EmpSalary,EmpCode,$C180))))</f>
        <v>10000</v>
      </c>
      <c r="H180" s="133" cm="1">
        <f t="array" aca="1" ref="H180" ca="1">IF($F180&lt;&gt;"Active",0,IF(COUNTIFS(OverEmp,$C180,OverEarn,H$2,OverDate,"&lt;"&amp;DATE(YEAR($AC180),MONTH($AC180)+1,1),OverEnd,"&gt;="&amp;DATE(YEAR($AC180),MONTH($AC180),1))&gt;0,SUMIFS(OverValue,OverEmp,$C180,OverEarn,H$2,OverDate,"&lt;"&amp;DATE(YEAR($AC180),MONTH($AC180)+1,1),OverEnd,"&gt;="&amp;DATE(YEAR($AC180),MONTH($AC180),1)),0))</f>
        <v>0</v>
      </c>
      <c r="I180" s="133" cm="1">
        <f t="array" aca="1" ref="I180" ca="1">IF($F180&lt;&gt;"Active",0,IF(COUNTIFS(OverEmp,$C180,OverEarn,I$2,OverDate,"&lt;"&amp;DATE(YEAR($AC180),MONTH($AC180)+1,1),OverEnd,"&gt;="&amp;DATE(YEAR($AC180),MONTH($AC180),1))&gt;0,SUMIFS(OverValue,OverEmp,$C180,OverEarn,I$2,OverDate,"&lt;"&amp;DATE(YEAR($AC180),MONTH($AC180)+1,1),OverEnd,"&gt;="&amp;DATE(YEAR($AC180),MONTH($AC180),1)),IF(MONTH(B180)=Setup!$C$15,SUMIFS(EmpBonus,EmpCode,$C180),0)))</f>
        <v>0</v>
      </c>
      <c r="J180" s="133" cm="1">
        <f t="array" aca="1" ref="J180" ca="1">IF($F180&lt;&gt;"Active",0,IF(COUNTIFS(OverEmp,$C180,OverEarn,J$2,OverDate,"&lt;"&amp;DATE(YEAR($AC180),MONTH($AC180)+1,1),OverEnd,"&gt;="&amp;DATE(YEAR($AC180),MONTH($AC180),1))&gt;0,SUMIFS(OverValue,OverEmp,$C180,OverEarn,J$2,OverDate,"&lt;"&amp;DATE(YEAR($AC180),MONTH($AC180)+1,1),OverEnd,"&gt;="&amp;DATE(YEAR($AC180),MONTH($AC180),1)),0))</f>
        <v>0</v>
      </c>
      <c r="K180" s="133" cm="1">
        <f t="array" aca="1" ref="K180" ca="1">IF($F180&lt;&gt;"Active",0,IF(COUNTIFS(OverEmp,$C180,OverEarn,K$2,OverDate,"&lt;"&amp;DATE(YEAR($AC180),MONTH($AC180)+1,1),OverEnd,"&gt;="&amp;DATE(YEAR($AC180),MONTH($AC180),1))&gt;0,SUMIFS(OverValue,OverEmp,$C180,OverEarn,K$2,OverDate,"&lt;"&amp;DATE(YEAR($AC180),MONTH($AC180)+1,1),OverEnd,"&gt;="&amp;DATE(YEAR($AC180),MONTH($AC180),1)),0))</f>
        <v>0</v>
      </c>
      <c r="L180" s="185">
        <f t="shared" ca="1" si="84"/>
        <v>10000</v>
      </c>
      <c r="M180" s="182" cm="1">
        <f t="array" aca="1" ref="M180" ca="1">IF(COUNTIFS(OverEmp,$C180,OverTax,M$5,OverDate,"&lt;"&amp;DATE(YEAR($AC180),MONTH($AC180)+1,1),OverEnd,"&gt;="&amp;DATE(YEAR($AC180),MONTH($AC180),1))&gt;0,SUMIFS(OverValue,OverEmp,$C180,OverTax,M$5,OverDate,"&lt;"&amp;DATE(YEAR($AC180),MONTH($AC180)+1,1),OverEnd,"&gt;="&amp;DATE(YEAR($AC180),MONTH($AC180),1)),(($BA180/12*$AA180)+(BB180*IF(1-$BC180=0,0,BD180/(1-$BC180))))-IF($F180="Terminated",0,SUMIFS(PayTaxDeduct,PayDate,"&lt;"&amp;$AC180,PayEmp,$C180)))</f>
        <v>363.75000000000136</v>
      </c>
      <c r="N180" s="133" cm="1">
        <f t="array" aca="1" ref="N180" ca="1">IF($F180="Terminated",0,IF($AA180=0,0,IF(ISNA(MATCH(N$5,DedListItem,0)),0,IF(COUNTIFS(OverEmp,$C180,OverDeduct,N$5,OverDate,"&lt;"&amp;DATE(YEAR($AC180),MONTH($AC180)+1,1),OverEnd,"&gt;="&amp;DATE(YEAR($AC180),MONTH($AC180),1))&gt;0,SUMIFS(OverValue,OverEmp,$C180,OverDeduct,N$5,OverDate,"&lt;"&amp;DATE(YEAR($AC180),MONTH($AC180)+1,1),OverEnd,"&gt;="&amp;DATE(YEAR($AC180),MONTH($AC180),1)),IF(OR(N$2="Fixed",N$2="Not Used"),(IF(COUNTIFS(EmpNo,$C180,OFFSET(Emp!$R$4,1,MATCH(N$5,DedListItem,0)-1,EmpCount,1),"&lt;&gt;")&gt;0,VLOOKUP($C180,EmpAll,COLUMN(Emp!$R$4)+MATCH(N$5,DedListItem,0)-1,0),OFFSET(Setup!$E$73,MATCH(N$5,DedListItem,0),0,1,1))*$AA180)-SUMIFS(OFFSET(N$6,1,0,PayCount,1),PayDate,"&lt;"&amp;$AC180,PayEmp,$C180),IF(ISNA(MATCH(N$2,EarnListItem,0))=FALSE,IF(OFFSET(Setup!$G$73,MATCH(N$5,DedListItem,0),0,1,1)="Taxable",SUMPRODUCT((PayEmp=$C180)*(PayDate&lt;=$AC180)*(PayEarnCode=N$2)*(PayEarnTax)*(PayEarnValues)),SUMPRODUCT((PayEmp=$C180)*(PayDate&lt;=$AC180)*(PayEarnCode=N$2)*(PayEarnValues)))*IF(COUNTIFS(EmpNo,$C180,OFFSET(Emp!$R$4,1,MATCH(N$5,DedListItem,0)-1,EmpCount,1),"&lt;&gt;")&gt;0,VLOOKUP($C180,EmpAll,COLUMN(Emp!$R$4)+MATCH(N$5,DedListItem,0)-1,0),OFFSET(Setup!$E$73,MATCH(N$5,DedListItem,0),0,1,1)),(MIN(IF(OFFSET(Setup!$G$73,MATCH(N$5,DedListItem,0),0,1,1)="Taxable",SUMPRODUCT((PayEmp=$C180)*(PayDate&lt;=$AC180)*(ISERROR(SEARCH(PayEarnCode,N$4)))*(PayEarnTax)*(PayEarnValues)),SUMPRODUCT((PayEmp=$C180)*(PayDate&lt;=$AC180)*(ISERROR(SEARCH(PayEarnCode,N$4)))*(PayEarnValues))),IF(ISNUMBER(N$3),N$3/12*$AA180,IgnoreMin)))*IF(COUNTIFS(EmpNo,$C180,OFFSET(Emp!$R$4,1,MATCH(N$5,DedListItem,0)-1,EmpCount,1),"&lt;&gt;")&gt;0,VLOOKUP($C180,EmpAll,COLUMN(Emp!$R$4)+MATCH(N$5,DedListItem,0)-1,0),OFFSET(Setup!$E$73,MATCH(N$5,DedListItem,0),0,1,1)))-SUMIFS(OFFSET(N$6,1,0,PayCount,1),PayDate,"&lt;"&amp;$AC180,PayEmp,$C180))))))</f>
        <v>100</v>
      </c>
      <c r="O180" s="133" cm="1">
        <f t="array" aca="1" ref="O180" ca="1">IF($F180="Terminated",0,IF($AA180=0,0,IF(ISNA(MATCH(O$5,DedListItem,0)),0,IF(COUNTIFS(OverEmp,$C180,OverDeduct,O$5,OverDate,"&lt;"&amp;DATE(YEAR($AC180),MONTH($AC180)+1,1),OverEnd,"&gt;="&amp;DATE(YEAR($AC180),MONTH($AC180),1))&gt;0,SUMIFS(OverValue,OverEmp,$C180,OverDeduct,O$5,OverDate,"&lt;"&amp;DATE(YEAR($AC180),MONTH($AC180)+1,1),OverEnd,"&gt;="&amp;DATE(YEAR($AC180),MONTH($AC180),1)),IF(OR(O$2="Fixed",O$2="Not Used"),(IF(COUNTIFS(EmpNo,$C180,OFFSET(Emp!$R$4,1,MATCH(O$5,DedListItem,0)-1,EmpCount,1),"&lt;&gt;")&gt;0,VLOOKUP($C180,EmpAll,COLUMN(Emp!$R$4)+MATCH(O$5,DedListItem,0)-1,0),OFFSET(Setup!$E$73,MATCH(O$5,DedListItem,0),0,1,1))*$AA180)-SUMIFS(OFFSET(O$6,1,0,PayCount,1),PayDate,"&lt;"&amp;$AC180,PayEmp,$C180),IF(ISNA(MATCH(O$2,EarnListItem,0))=FALSE,IF(OFFSET(Setup!$G$73,MATCH(O$5,DedListItem,0),0,1,1)="Taxable",SUMPRODUCT((PayEmp=$C180)*(PayDate&lt;=$AC180)*(PayEarnCode=O$2)*(PayEarnTax)*(PayEarnValues)),SUMPRODUCT((PayEmp=$C180)*(PayDate&lt;=$AC180)*(PayEarnCode=O$2)*(PayEarnValues)))*IF(COUNTIFS(EmpNo,$C180,OFFSET(Emp!$R$4,1,MATCH(O$5,DedListItem,0)-1,EmpCount,1),"&lt;&gt;")&gt;0,VLOOKUP($C180,EmpAll,COLUMN(Emp!$R$4)+MATCH(O$5,DedListItem,0)-1,0),OFFSET(Setup!$E$73,MATCH(O$5,DedListItem,0),0,1,1)),(MIN(IF(OFFSET(Setup!$G$73,MATCH(O$5,DedListItem,0),0,1,1)="Taxable",SUMPRODUCT((PayEmp=$C180)*(PayDate&lt;=$AC180)*(ISERROR(SEARCH(PayEarnCode,O$4)))*(PayEarnTax)*(PayEarnValues)),SUMPRODUCT((PayEmp=$C180)*(PayDate&lt;=$AC180)*(ISERROR(SEARCH(PayEarnCode,O$4)))*(PayEarnValues))),IF(ISNUMBER(O$3),O$3/12*$AA180,IgnoreMin)))*IF(COUNTIFS(EmpNo,$C180,OFFSET(Emp!$R$4,1,MATCH(O$5,DedListItem,0)-1,EmpCount,1),"&lt;&gt;")&gt;0,VLOOKUP($C180,EmpAll,COLUMN(Emp!$R$4)+MATCH(O$5,DedListItem,0)-1,0),OFFSET(Setup!$E$73,MATCH(O$5,DedListItem,0),0,1,1)))-SUMIFS(OFFSET(O$6,1,0,PayCount,1),PayDate,"&lt;"&amp;$AC180,PayEmp,$C180))))))</f>
        <v>0</v>
      </c>
      <c r="P180" s="133" cm="1">
        <f t="array" aca="1" ref="P180" ca="1">IF($F180="Terminated",0,IF($AA180=0,0,IF(ISNA(MATCH(P$5,DedListItem,0)),0,IF(COUNTIFS(OverEmp,$C180,OverDeduct,P$5,OverDate,"&lt;"&amp;DATE(YEAR($AC180),MONTH($AC180)+1,1),OverEnd,"&gt;="&amp;DATE(YEAR($AC180),MONTH($AC180),1))&gt;0,SUMIFS(OverValue,OverEmp,$C180,OverDeduct,P$5,OverDate,"&lt;"&amp;DATE(YEAR($AC180),MONTH($AC180)+1,1),OverEnd,"&gt;="&amp;DATE(YEAR($AC180),MONTH($AC180),1)),IF(OR(P$2="Fixed",P$2="Not Used"),(IF(COUNTIFS(EmpNo,$C180,OFFSET(Emp!$R$4,1,MATCH(P$5,DedListItem,0)-1,EmpCount,1),"&lt;&gt;")&gt;0,VLOOKUP($C180,EmpAll,COLUMN(Emp!$R$4)+MATCH(P$5,DedListItem,0)-1,0),OFFSET(Setup!$E$73,MATCH(P$5,DedListItem,0),0,1,1))*$AA180)-SUMIFS(OFFSET(P$6,1,0,PayCount,1),PayDate,"&lt;"&amp;$AC180,PayEmp,$C180),IF(ISNA(MATCH(P$2,EarnListItem,0))=FALSE,IF(OFFSET(Setup!$G$73,MATCH(P$5,DedListItem,0),0,1,1)="Taxable",SUMPRODUCT((PayEmp=$C180)*(PayDate&lt;=$AC180)*(PayEarnCode=P$2)*(PayEarnTax)*(PayEarnValues)),SUMPRODUCT((PayEmp=$C180)*(PayDate&lt;=$AC180)*(PayEarnCode=P$2)*(PayEarnValues)))*IF(COUNTIFS(EmpNo,$C180,OFFSET(Emp!$R$4,1,MATCH(P$5,DedListItem,0)-1,EmpCount,1),"&lt;&gt;")&gt;0,VLOOKUP($C180,EmpAll,COLUMN(Emp!$R$4)+MATCH(P$5,DedListItem,0)-1,0),OFFSET(Setup!$E$73,MATCH(P$5,DedListItem,0),0,1,1)),(MIN(IF(OFFSET(Setup!$G$73,MATCH(P$5,DedListItem,0),0,1,1)="Taxable",SUMPRODUCT((PayEmp=$C180)*(PayDate&lt;=$AC180)*(ISERROR(SEARCH(PayEarnCode,P$4)))*(PayEarnTax)*(PayEarnValues)),SUMPRODUCT((PayEmp=$C180)*(PayDate&lt;=$AC180)*(ISERROR(SEARCH(PayEarnCode,P$4)))*(PayEarnValues))),IF(ISNUMBER(P$3),P$3/12*$AA180,IgnoreMin)))*IF(COUNTIFS(EmpNo,$C180,OFFSET(Emp!$R$4,1,MATCH(P$5,DedListItem,0)-1,EmpCount,1),"&lt;&gt;")&gt;0,VLOOKUP($C180,EmpAll,COLUMN(Emp!$R$4)+MATCH(P$5,DedListItem,0)-1,0),OFFSET(Setup!$E$73,MATCH(P$5,DedListItem,0),0,1,1)))-SUMIFS(OFFSET(P$6,1,0,PayCount,1),PayDate,"&lt;"&amp;$AC180,PayEmp,$C180))))))</f>
        <v>0</v>
      </c>
      <c r="Q180" s="133" cm="1">
        <f t="array" aca="1" ref="Q180" ca="1">IF($F180="Terminated",0,IF($AA180=0,0,IF(ISNA(MATCH(Q$5,DedListItem,0)),0,IF(COUNTIFS(OverEmp,$C180,OverDeduct,Q$5,OverDate,"&lt;"&amp;DATE(YEAR($AC180),MONTH($AC180)+1,1),OverEnd,"&gt;="&amp;DATE(YEAR($AC180),MONTH($AC180),1))&gt;0,SUMIFS(OverValue,OverEmp,$C180,OverDeduct,Q$5,OverDate,"&lt;"&amp;DATE(YEAR($AC180),MONTH($AC180)+1,1),OverEnd,"&gt;="&amp;DATE(YEAR($AC180),MONTH($AC180),1)),IF(OR(Q$2="Fixed",Q$2="Not Used"),(IF(COUNTIFS(EmpNo,$C180,OFFSET(Emp!$R$4,1,MATCH(Q$5,DedListItem,0)-1,EmpCount,1),"&lt;&gt;")&gt;0,VLOOKUP($C180,EmpAll,COLUMN(Emp!$R$4)+MATCH(Q$5,DedListItem,0)-1,0),OFFSET(Setup!$E$73,MATCH(Q$5,DedListItem,0),0,1,1))*$AA180)-SUMIFS(OFFSET(Q$6,1,0,PayCount,1),PayDate,"&lt;"&amp;$AC180,PayEmp,$C180),IF(ISNA(MATCH(Q$2,EarnListItem,0))=FALSE,IF(OFFSET(Setup!$G$73,MATCH(Q$5,DedListItem,0),0,1,1)="Taxable",SUMPRODUCT((PayEmp=$C180)*(PayDate&lt;=$AC180)*(PayEarnCode=Q$2)*(PayEarnTax)*(PayEarnValues)),SUMPRODUCT((PayEmp=$C180)*(PayDate&lt;=$AC180)*(PayEarnCode=Q$2)*(PayEarnValues)))*IF(COUNTIFS(EmpNo,$C180,OFFSET(Emp!$R$4,1,MATCH(Q$5,DedListItem,0)-1,EmpCount,1),"&lt;&gt;")&gt;0,VLOOKUP($C180,EmpAll,COLUMN(Emp!$R$4)+MATCH(Q$5,DedListItem,0)-1,0),OFFSET(Setup!$E$73,MATCH(Q$5,DedListItem,0),0,1,1)),(MIN(IF(OFFSET(Setup!$G$73,MATCH(Q$5,DedListItem,0),0,1,1)="Taxable",SUMPRODUCT((PayEmp=$C180)*(PayDate&lt;=$AC180)*(ISERROR(SEARCH(PayEarnCode,Q$4)))*(PayEarnTax)*(PayEarnValues)),SUMPRODUCT((PayEmp=$C180)*(PayDate&lt;=$AC180)*(ISERROR(SEARCH(PayEarnCode,Q$4)))*(PayEarnValues))),IF(ISNUMBER(Q$3),Q$3/12*$AA180,IgnoreMin)))*IF(COUNTIFS(EmpNo,$C180,OFFSET(Emp!$R$4,1,MATCH(Q$5,DedListItem,0)-1,EmpCount,1),"&lt;&gt;")&gt;0,VLOOKUP($C180,EmpAll,COLUMN(Emp!$R$4)+MATCH(Q$5,DedListItem,0)-1,0),OFFSET(Setup!$E$73,MATCH(Q$5,DedListItem,0),0,1,1)))-SUMIFS(OFFSET(Q$6,1,0,PayCount,1),PayDate,"&lt;"&amp;$AC180,PayEmp,$C180))))))</f>
        <v>0</v>
      </c>
      <c r="R180" s="185">
        <f t="shared" ca="1" si="85"/>
        <v>463.75000000000136</v>
      </c>
      <c r="S180" s="139">
        <f t="shared" ca="1" si="86"/>
        <v>9536.25</v>
      </c>
      <c r="T180" s="133" cm="1">
        <f t="array" aca="1" ref="T180" ca="1">IF($F180="Terminated",0,IF($AA180=0,0,IF(ISNA(MATCH(T$5,CompListItem,0)),0,IF(COUNTIFS(OverEmp,$C180,OverComp,T$5,OverDate,"&lt;"&amp;DATE(YEAR($AC180),MONTH($AC180)+1,1),OverEnd,"&gt;="&amp;DATE(YEAR($AC180),MONTH($AC180),1))&gt;0,SUMIFS(OverValue,OverEmp,$C180,OverComp,T$5,OverDate,"&lt;"&amp;DATE(YEAR($AC180),MONTH($AC180)+1,1),OverEnd,"&gt;="&amp;DATE(YEAR($AC180),MONTH($AC180),1)),IF(OR(T$2="Fixed",T$2="Not Used"),(OFFSET(Setup!$E$81,MATCH(T$5,CompListItem,0),0,1,1)*$AA180)-SUMIFS(OFFSET(T$6,1,0,PayCount,1),PayDate,"&lt;"&amp;$AC180,PayEmp,$C180),IF(ISNA(MATCH(T$2,DedListItem,0))=FALSE,(SUMPRODUCT((PayEmp=$C180)*(PayDate&lt;=$AC180)*(PayDedList=T$2)*(PayDedValues))*OFFSET(Setup!$E$81,MATCH(T$5,CompListItem,0),0,1,1))-SUMIFS(OFFSET(T$6,1,0,PayCount,1),PayDate,"&lt;"&amp;$AC180,PayEmp,$C180),(MIN(IF(OFFSET(Setup!$G$81,MATCH(T$5,CompListItem,0),0,1,1)="Taxable",SUMPRODUCT((PayEmp=$C180)*(PayDate&lt;=$AC180)*(ISERROR(SEARCH(PayEarnCode,T$4)))*(PayEarnTax)*(PayEarnValues)),SUMPRODUCT((PayEmp=$C180)*(PayDate&lt;=$AC180)*(ISERROR(SEARCH(PayEarnCode,T$4)))*(PayEarnValues))),IF(ISNUMBER(T$3),T$3/12*$AA180,IgnoreMin)))*OFFSET(Setup!$E$81,MATCH(T$5,CompListItem,0),0,1,1)-SUMIFS(OFFSET(T$6,1,0,PayCount,1),PayDate,"&lt;"&amp;$AC180,PayEmp,$C180)))))))</f>
        <v>100</v>
      </c>
      <c r="U180" s="133" cm="1">
        <f t="array" aca="1" ref="U180" ca="1">IF($F180="Terminated",0,IF($AA180=0,0,IF(ISNA(MATCH(U$5,CompListItem,0)),0,IF(COUNTIFS(OverEmp,$C180,OverComp,U$5,OverDate,"&lt;"&amp;DATE(YEAR($AC180),MONTH($AC180)+1,1),OverEnd,"&gt;="&amp;DATE(YEAR($AC180),MONTH($AC180),1))&gt;0,SUMIFS(OverValue,OverEmp,$C180,OverComp,U$5,OverDate,"&lt;"&amp;DATE(YEAR($AC180),MONTH($AC180)+1,1),OverEnd,"&gt;="&amp;DATE(YEAR($AC180),MONTH($AC180),1)),IF(OR(U$2="Fixed",U$2="Not Used"),(OFFSET(Setup!$E$81,MATCH(U$5,CompListItem,0),0,1,1)*$AA180)-SUMIFS(OFFSET(U$6,1,0,PayCount,1),PayDate,"&lt;"&amp;$AC180,PayEmp,$C180),IF(ISNA(MATCH(U$2,DedListItem,0))=FALSE,(SUMPRODUCT((PayEmp=$C180)*(PayDate&lt;=$AC180)*(PayDedList=U$2)*(PayDedValues))*OFFSET(Setup!$E$81,MATCH(U$5,CompListItem,0),0,1,1))-SUMIFS(OFFSET(U$6,1,0,PayCount,1),PayDate,"&lt;"&amp;$AC180,PayEmp,$C180),(MIN(IF(OFFSET(Setup!$G$81,MATCH(U$5,CompListItem,0),0,1,1)="Taxable",SUMPRODUCT((PayEmp=$C180)*(PayDate&lt;=$AC180)*(ISERROR(SEARCH(PayEarnCode,U$4)))*(PayEarnTax)*(PayEarnValues)),SUMPRODUCT((PayEmp=$C180)*(PayDate&lt;=$AC180)*(ISERROR(SEARCH(PayEarnCode,U$4)))*(PayEarnValues))),IF(ISNUMBER(U$3),U$3/12*$AA180,IgnoreMin)))*OFFSET(Setup!$E$81,MATCH(U$5,CompListItem,0),0,1,1)-SUMIFS(OFFSET(U$6,1,0,PayCount,1),PayDate,"&lt;"&amp;$AC180,PayEmp,$C180)))))))</f>
        <v>100</v>
      </c>
      <c r="V180" s="133" cm="1">
        <f t="array" aca="1" ref="V180" ca="1">IF($F180="Terminated",0,IF($AA180=0,0,IF(ISNA(MATCH(V$5,CompListItem,0)),0,IF(COUNTIFS(OverEmp,$C180,OverComp,V$5,OverDate,"&lt;"&amp;DATE(YEAR($AC180),MONTH($AC180)+1,1),OverEnd,"&gt;="&amp;DATE(YEAR($AC180),MONTH($AC180),1))&gt;0,SUMIFS(OverValue,OverEmp,$C180,OverComp,V$5,OverDate,"&lt;"&amp;DATE(YEAR($AC180),MONTH($AC180)+1,1),OverEnd,"&gt;="&amp;DATE(YEAR($AC180),MONTH($AC180),1)),IF(OR(V$2="Fixed",V$2="Not Used"),(OFFSET(Setup!$E$81,MATCH(V$5,CompListItem,0),0,1,1)*$AA180)-SUMIFS(OFFSET(V$6,1,0,PayCount,1),PayDate,"&lt;"&amp;$AC180,PayEmp,$C180),IF(ISNA(MATCH(V$2,DedListItem,0))=FALSE,(SUMPRODUCT((PayEmp=$C180)*(PayDate&lt;=$AC180)*(PayDedList=V$2)*(PayDedValues))*OFFSET(Setup!$E$81,MATCH(V$5,CompListItem,0),0,1,1))-SUMIFS(OFFSET(V$6,1,0,PayCount,1),PayDate,"&lt;"&amp;$AC180,PayEmp,$C180),(MIN(IF(OFFSET(Setup!$G$81,MATCH(V$5,CompListItem,0),0,1,1)="Taxable",SUMPRODUCT((PayEmp=$C180)*(PayDate&lt;=$AC180)*(ISERROR(SEARCH(PayEarnCode,V$4)))*(PayEarnTax)*(PayEarnValues)),SUMPRODUCT((PayEmp=$C180)*(PayDate&lt;=$AC180)*(ISERROR(SEARCH(PayEarnCode,V$4)))*(PayEarnValues))),IF(ISNUMBER(V$3),V$3/12*$AA180,IgnoreMin)))*OFFSET(Setup!$E$81,MATCH(V$5,CompListItem,0),0,1,1)-SUMIFS(OFFSET(V$6,1,0,PayCount,1),PayDate,"&lt;"&amp;$AC180,PayEmp,$C180)))))))</f>
        <v>0</v>
      </c>
      <c r="W180" s="133" cm="1">
        <f t="array" aca="1" ref="W180" ca="1">IF($F180="Terminated",0,IF($AA180=0,0,IF(ISNA(MATCH(W$5,CompListItem,0)),0,IF(COUNTIFS(OverEmp,$C180,OverComp,W$5,OverDate,"&lt;"&amp;DATE(YEAR($AC180),MONTH($AC180)+1,1),OverEnd,"&gt;="&amp;DATE(YEAR($AC180),MONTH($AC180),1))&gt;0,SUMIFS(OverValue,OverEmp,$C180,OverComp,W$5,OverDate,"&lt;"&amp;DATE(YEAR($AC180),MONTH($AC180)+1,1),OverEnd,"&gt;="&amp;DATE(YEAR($AC180),MONTH($AC180),1)),IF(OR(W$2="Fixed",W$2="Not Used"),(OFFSET(Setup!$E$81,MATCH(W$5,CompListItem,0),0,1,1)*$AA180)-SUMIFS(OFFSET(W$6,1,0,PayCount,1),PayDate,"&lt;"&amp;$AC180,PayEmp,$C180),IF(ISNA(MATCH(W$2,DedListItem,0))=FALSE,(SUMPRODUCT((PayEmp=$C180)*(PayDate&lt;=$AC180)*(PayDedList=W$2)*(PayDedValues))*OFFSET(Setup!$E$81,MATCH(W$5,CompListItem,0),0,1,1))-SUMIFS(OFFSET(W$6,1,0,PayCount,1),PayDate,"&lt;"&amp;$AC180,PayEmp,$C180),(MIN(IF(OFFSET(Setup!$G$81,MATCH(W$5,CompListItem,0),0,1,1)="Taxable",SUMPRODUCT((PayEmp=$C180)*(PayDate&lt;=$AC180)*(ISERROR(SEARCH(PayEarnCode,W$4)))*(PayEarnTax)*(PayEarnValues)),SUMPRODUCT((PayEmp=$C180)*(PayDate&lt;=$AC180)*(ISERROR(SEARCH(PayEarnCode,W$4)))*(PayEarnValues))),IF(ISNUMBER(W$3),W$3/12*$AA180,IgnoreMin)))*OFFSET(Setup!$E$81,MATCH(W$5,CompListItem,0),0,1,1)-SUMIFS(OFFSET(W$6,1,0,PayCount,1),PayDate,"&lt;"&amp;$AC180,PayEmp,$C180)))))))</f>
        <v>0</v>
      </c>
      <c r="X180" s="185">
        <f t="shared" ca="1" si="78"/>
        <v>200</v>
      </c>
      <c r="Y180" s="139">
        <f t="shared" ca="1" si="87"/>
        <v>10200</v>
      </c>
      <c r="Z180" s="139">
        <f t="shared" ca="1" si="79"/>
        <v>663.75</v>
      </c>
      <c r="AA180" s="146">
        <f ca="1">IF(OR($B180&lt;=Setup!$E$12,$B180&gt;=Setup!$D$12+1),0,IF($F180&lt;&gt;"Active",0,IF($AE180="Yes",$AB180,((YEAR($AC180)*12)+MONTH($AC180))-((YEAR($AD180)*12)+MONTH($AD180)-1))))</f>
        <v>12</v>
      </c>
      <c r="AB180" s="146">
        <f ca="1">IF(OR($B180&lt;=Setup!$E$12,$B180&gt;=Setup!$D$12+1),0,((YEAR($AC180)*12)+MONTH($AC180))-((YEAR(Setup!$E$12)*12)+MONTH(Setup!$E$12)))</f>
        <v>12</v>
      </c>
      <c r="AC180" s="186">
        <f t="shared" ca="1" si="83"/>
        <v>45347</v>
      </c>
      <c r="AD180" s="144">
        <f ca="1">IF(ISNA(VLOOKUP($C180,EmpAll,COLUMN(Emp!$E$4),0)),$AC180,IF(VLOOKUP($C180,EmpAll,COLUMN(Emp!$E$4),0)&lt;=Setup!$E$12,DATE(YEAR(Setup!$E$12),MONTH(Setup!$E$12)+1,1),VLOOKUP($C180,EmpAll,COLUMN(Emp!$E$4),0)))</f>
        <v>44986</v>
      </c>
      <c r="AE180" s="144" t="str">
        <f ca="1">IF(ISNA(VLOOKUP($C180,EmpAll,COLUMN(Emp!$G$1),0)),"-",IF(VLOOKUP($C180,EmpAll,COLUMN(Emp!$G$1),0)=0,"-",VLOOKUP($C180,EmpAll,COLUMN(Emp!$G$1),0)))</f>
        <v>-</v>
      </c>
      <c r="AF180" s="145">
        <f ca="1">IF(A180=PaySlip!$G$3,1,0)</f>
        <v>0</v>
      </c>
      <c r="AG180" s="130" cm="1">
        <f t="array" aca="1" ref="AG180" ca="1">IF(COUNTIFS(OverEmp,$C180,OverMed,"MED",OverDate,"&lt;"&amp;DATE(YEAR($AC180),MONTH($AC180)+1,1),OverEnd,"&gt;="&amp;DATE(YEAR($AC180),MONTH($AC180),1))&gt;0,SUMIFS(OverValue,OverEmp,$C180,OverMed,"MED",OverDate,"&lt;"&amp;DATE(YEAR($AC180),MONTH($AC180)+1,1),OverEnd,"&gt;="&amp;DATE(YEAR($AC180),MONTH($AC180),1)),IF(ISNA(VLOOKUP($C180,EmpAll,COLUMN(Emp!$N$4),0)),0,VLOOKUP($C180,EmpAll,COLUMN(Emp!$N$4),0)))</f>
        <v>0</v>
      </c>
      <c r="AH180" s="146">
        <f ca="1">VLOOKUP($AG180,MedList,COLUMN(Setup!$C$49),1)</f>
        <v>0</v>
      </c>
      <c r="AI180" s="146">
        <f t="shared" ca="1" si="70"/>
        <v>0</v>
      </c>
      <c r="AJ180" s="101" t="str">
        <f ca="1">IF(ISNA(VLOOKUP($C180,EmpAll,COLUMN(Emp!$L$4),0)),"None!",VLOOKUP($C180,EmpAll,COLUMN(Emp!$L$4),0))</f>
        <v>A</v>
      </c>
      <c r="AK180" s="147">
        <f t="shared" ca="1" si="80"/>
        <v>17235</v>
      </c>
      <c r="AL180" s="101" t="str">
        <f ca="1">IF(ISNA(VLOOKUP($C180,Employees[],COLUMN(Emp!$M$4),0))=TRUE,"Error!",IF(VLOOKUP($C180,Employees[],COLUMN(Emp!$M$4),0)=0,"Yes",VLOOKUP($C180,Employees[],COLUMN(Emp!$M$4),0)))</f>
        <v>A</v>
      </c>
      <c r="AM180" s="148">
        <f t="shared" ca="1" si="71"/>
        <v>119000</v>
      </c>
      <c r="AN180" s="148" cm="1">
        <f t="array" aca="1" ref="AN180" ca="1">-IF($F180="Terminated",0,IF($AA180=0,0,IF(ISNA(MATCH(AN$5,PayDedList,0)),0,MIN(IF(COUNTIFS(OverEmp,$C180,OverDeduct,AN$5,OverDate,"&lt;"&amp;DATE(YEAR($AC180),MONTH($AC180)+1,1),OverEnd,"&gt;="&amp;DATE(YEAR($AC180),MONTH($AC180),1))&gt;0,SUMPRODUCT((PayEmp=$C180)*(PayDate&lt;=$AC180)*(OFFSET($N$6,1,MATCH(AN$5,PayDedList,0)-1,PayCount,1)))/$AA180*12*AN$3,IF(OR(AN$1="Fixed",AN$1="Not Used"),SUMPRODUCT((PayEmp=$C180)*(PayDate&lt;=$AC180)*(OFFSET($N$6,1,MATCH(AN$5,PayDedList,0)-1,PayCount,1)))/$AA180*12*AN$3,IF(ISNA(MATCH(AN$1,EarnListItem,0))=FALSE,SUMPRODUCT((PayEmp=$C180)*(PayDate&lt;=$AC180)*(OFFSET($N$6,1,MATCH(AN$5,PayDedList,0)-1,PayCount,1)))/$AA180*12*AN$3,(MIN(((SUMPRODUCT((PayEmp=$C180)*(PayDate&lt;=$AC180)*(ISERROR(SEARCH(PayEarnCode,AN$2)))*(PayEarnType="Monthly")*(PayEarnValues))/$AA180*12)+(SUMPRODUCT((PayEmp=$C180)*(PayDate&lt;=$AC180)*(ISERROR(SEARCH(PayEarnCode,AN$2)))*(PayEarnType="Quarterly")*(PayEarnValues))/MAX(1,ROUNDDOWN($AB180/3,0))*4)+(SUMPRODUCT((PayEmp=$C180)*(PayDate&lt;=$AC180)*(ISERROR(SEARCH(PayEarnCode,AN$2)))*(PayEarnType="Bi-Annual")*(PayEarnValues))/MAX(1,ROUNDDOWN($AB180/6,0))*2)+(SUMPRODUCT((PayEmp=$C180)*(PayDate&lt;=$AC180)*(ISERROR(SEARCH(PayEarnCode,AN$2)))*(PayEarnType="Annual")*(PayEarnValues)))),IF(ISNUMBER(OFFSET($N$3,0,MATCH(AN$5,PayDedList,0)-1,1,1)),OFFSET($N$3,0,MATCH(AN$5,PayDedList,0)-1,1,1),IgnoreMin)))*IF(COUNTIFS(EmpNo,$C180,OFFSET(Emp!$R$4,1,MATCH(AN$5,DedListItem,0)-1,EmpCount,1),"&lt;&gt;")&gt;0,VLOOKUP($C180,EmpAll,COLUMN(Emp!$R$4)+MATCH(AN$5,DedListItem,0)-1,0),OFFSET(Setup!$E$73,MATCH(AN$5,DedListItem,0),0,1,1))*AN$3))),IF(ISNUMBER(AN$4),AN$4,IgnoreMin)))))</f>
        <v>0</v>
      </c>
      <c r="AO180" s="148" cm="1">
        <f t="array" aca="1" ref="AO180" ca="1">-IF($F180="Terminated",0,IF($AA180=0,0,IF(ISNA(MATCH(AO$5,PayDedList,0)),0,MIN(IF(COUNTIFS(OverEmp,$C180,OverDeduct,AO$5,OverDate,"&lt;"&amp;DATE(YEAR($AC180),MONTH($AC180)+1,1),OverEnd,"&gt;="&amp;DATE(YEAR($AC180),MONTH($AC180),1))&gt;0,SUMPRODUCT((PayEmp=$C180)*(PayDate&lt;=$AC180)*(OFFSET($N$6,1,MATCH(AO$5,PayDedList,0)-1,PayCount,1)))/$AA180*12*AO$3,IF(OR(AO$1="Fixed",AO$1="Not Used"),SUMPRODUCT((PayEmp=$C180)*(PayDate&lt;=$AC180)*(OFFSET($N$6,1,MATCH(AO$5,PayDedList,0)-1,PayCount,1)))/$AA180*12*AO$3,IF(ISNA(MATCH(AO$1,EarnListItem,0))=FALSE,SUMPRODUCT((PayEmp=$C180)*(PayDate&lt;=$AC180)*(OFFSET($N$6,1,MATCH(AO$5,PayDedList,0)-1,PayCount,1)))/$AA180*12*AO$3,(MIN(((SUMPRODUCT((PayEmp=$C180)*(PayDate&lt;=$AC180)*(ISERROR(SEARCH(PayEarnCode,AO$2)))*(PayEarnType="Monthly")*(PayEarnValues))/$AA180*12)+(SUMPRODUCT((PayEmp=$C180)*(PayDate&lt;=$AC180)*(ISERROR(SEARCH(PayEarnCode,AO$2)))*(PayEarnType="Quarterly")*(PayEarnValues))/MAX(1,ROUNDDOWN($AB180/3,0))*4)+(SUMPRODUCT((PayEmp=$C180)*(PayDate&lt;=$AC180)*(ISERROR(SEARCH(PayEarnCode,AO$2)))*(PayEarnType="Bi-Annual")*(PayEarnValues))/MAX(1,ROUNDDOWN($AB180/6,0))*2)+(SUMPRODUCT((PayEmp=$C180)*(PayDate&lt;=$AC180)*(ISERROR(SEARCH(PayEarnCode,AO$2)))*(PayEarnType="Annual")*(PayEarnValues)))),IF(ISNUMBER(OFFSET($N$3,0,MATCH(AO$5,PayDedList,0)-1,1,1)),OFFSET($N$3,0,MATCH(AO$5,PayDedList,0)-1,1,1),IgnoreMin)))*IF(COUNTIFS(EmpNo,$C180,OFFSET(Emp!$R$4,1,MATCH(AO$5,DedListItem,0)-1,EmpCount,1),"&lt;&gt;")&gt;0,VLOOKUP($C180,EmpAll,COLUMN(Emp!$R$4)+MATCH(AO$5,DedListItem,0)-1,0),OFFSET(Setup!$E$73,MATCH(AO$5,DedListItem,0),0,1,1))*AO$3))),IF(ISNUMBER(AO$4),AO$4,IgnoreMin)))))</f>
        <v>0</v>
      </c>
      <c r="AP180" s="148" cm="1">
        <f t="array" aca="1" ref="AP180" ca="1">-IF($F180="Terminated",0,IF($AA180=0,0,IF(ISNA(MATCH(AP$5,PayDedList,0)),0,MIN(IF(COUNTIFS(OverEmp,$C180,OverDeduct,AP$5,OverDate,"&lt;"&amp;DATE(YEAR($AC180),MONTH($AC180)+1,1),OverEnd,"&gt;="&amp;DATE(YEAR($AC180),MONTH($AC180),1))&gt;0,SUMPRODUCT((PayEmp=$C180)*(PayDate&lt;=$AC180)*(OFFSET($N$6,1,MATCH(AP$5,PayDedList,0)-1,PayCount,1)))/$AA180*12*AP$3,IF(OR(AP$1="Fixed",AP$1="Not Used"),SUMPRODUCT((PayEmp=$C180)*(PayDate&lt;=$AC180)*(OFFSET($N$6,1,MATCH(AP$5,PayDedList,0)-1,PayCount,1)))/$AA180*12*AP$3,IF(ISNA(MATCH(AP$1,EarnListItem,0))=FALSE,SUMPRODUCT((PayEmp=$C180)*(PayDate&lt;=$AC180)*(OFFSET($N$6,1,MATCH(AP$5,PayDedList,0)-1,PayCount,1)))/$AA180*12*AP$3,(MIN(((SUMPRODUCT((PayEmp=$C180)*(PayDate&lt;=$AC180)*(ISERROR(SEARCH(PayEarnCode,AP$2)))*(PayEarnType="Monthly")*(PayEarnValues))/$AA180*12)+(SUMPRODUCT((PayEmp=$C180)*(PayDate&lt;=$AC180)*(ISERROR(SEARCH(PayEarnCode,AP$2)))*(PayEarnType="Quarterly")*(PayEarnValues))/MAX(1,ROUNDDOWN($AB180/3,0))*4)+(SUMPRODUCT((PayEmp=$C180)*(PayDate&lt;=$AC180)*(ISERROR(SEARCH(PayEarnCode,AP$2)))*(PayEarnType="Bi-Annual")*(PayEarnValues))/MAX(1,ROUNDDOWN($AB180/6,0))*2)+(SUMPRODUCT((PayEmp=$C180)*(PayDate&lt;=$AC180)*(ISERROR(SEARCH(PayEarnCode,AP$2)))*(PayEarnType="Annual")*(PayEarnValues)))),IF(ISNUMBER(OFFSET($N$3,0,MATCH(AP$5,PayDedList,0)-1,1,1)),OFFSET($N$3,0,MATCH(AP$5,PayDedList,0)-1,1,1),IgnoreMin)))*IF(COUNTIFS(EmpNo,$C180,OFFSET(Emp!$R$4,1,MATCH(AP$5,DedListItem,0)-1,EmpCount,1),"&lt;&gt;")&gt;0,VLOOKUP($C180,EmpAll,COLUMN(Emp!$R$4)+MATCH(AP$5,DedListItem,0)-1,0),OFFSET(Setup!$E$73,MATCH(AP$5,DedListItem,0),0,1,1))*AP$3))),IF(ISNUMBER(AP$4),AP$4,IgnoreMin)))))</f>
        <v>0</v>
      </c>
      <c r="AQ180" s="148" cm="1">
        <f t="array" aca="1" ref="AQ180" ca="1">-IF($F180="Terminated",0,IF($AA180=0,0,IF(ISNA(MATCH(AQ$5,PayDedList,0)),0,MIN(IF(COUNTIFS(OverEmp,$C180,OverDeduct,AQ$5,OverDate,"&lt;"&amp;DATE(YEAR($AC180),MONTH($AC180)+1,1),OverEnd,"&gt;="&amp;DATE(YEAR($AC180),MONTH($AC180),1))&gt;0,SUMPRODUCT((PayEmp=$C180)*(PayDate&lt;=$AC180)*(OFFSET($N$6,1,MATCH(AQ$5,PayDedList,0)-1,PayCount,1)))/$AA180*12*AQ$3,IF(OR(AQ$1="Fixed",AQ$1="Not Used"),SUMPRODUCT((PayEmp=$C180)*(PayDate&lt;=$AC180)*(OFFSET($N$6,1,MATCH(AQ$5,PayDedList,0)-1,PayCount,1)))/$AA180*12*AQ$3,IF(ISNA(MATCH(AQ$1,EarnListItem,0))=FALSE,SUMPRODUCT((PayEmp=$C180)*(PayDate&lt;=$AC180)*(OFFSET($N$6,1,MATCH(AQ$5,PayDedList,0)-1,PayCount,1)))/$AA180*12*AQ$3,(MIN(((SUMPRODUCT((PayEmp=$C180)*(PayDate&lt;=$AC180)*(ISERROR(SEARCH(PayEarnCode,AQ$2)))*(PayEarnType="Monthly")*(PayEarnValues))/$AA180*12)+(SUMPRODUCT((PayEmp=$C180)*(PayDate&lt;=$AC180)*(ISERROR(SEARCH(PayEarnCode,AQ$2)))*(PayEarnType="Quarterly")*(PayEarnValues))/MAX(1,ROUNDDOWN($AB180/3,0))*4)+(SUMPRODUCT((PayEmp=$C180)*(PayDate&lt;=$AC180)*(ISERROR(SEARCH(PayEarnCode,AQ$2)))*(PayEarnType="Bi-Annual")*(PayEarnValues))/MAX(1,ROUNDDOWN($AB180/6,0))*2)+(SUMPRODUCT((PayEmp=$C180)*(PayDate&lt;=$AC180)*(ISERROR(SEARCH(PayEarnCode,AQ$2)))*(PayEarnType="Annual")*(PayEarnValues)))),IF(ISNUMBER(OFFSET($N$3,0,MATCH(AQ$5,PayDedList,0)-1,1,1)),OFFSET($N$3,0,MATCH(AQ$5,PayDedList,0)-1,1,1),IgnoreMin)))*IF(COUNTIFS(EmpNo,$C180,OFFSET(Emp!$R$4,1,MATCH(AQ$5,DedListItem,0)-1,EmpCount,1),"&lt;&gt;")&gt;0,VLOOKUP($C180,EmpAll,COLUMN(Emp!$R$4)+MATCH(AQ$5,DedListItem,0)-1,0),OFFSET(Setup!$E$73,MATCH(AQ$5,DedListItem,0),0,1,1))*AQ$3))),IF(ISNUMBER(AQ$4),AQ$4,IgnoreMin)))))</f>
        <v>0</v>
      </c>
      <c r="AR180" s="148">
        <f t="shared" ca="1" si="81"/>
        <v>119000</v>
      </c>
      <c r="AS180" s="148">
        <f t="shared" ca="1" si="72"/>
        <v>110000</v>
      </c>
      <c r="AT180" s="148" cm="1">
        <f t="array" aca="1" ref="AT180" ca="1">-IF($F180="Terminated",0,IF($AA180=0,0,IF(ISNA(MATCH(AT$5,PayDedList,0)),0,MIN(IF(COUNTIFS(OverEmp,$C180,OverDeduct,AT$5,OverDate,"&lt;"&amp;DATE(YEAR($AC180),MONTH($AC180)+1,1),OverEnd,"&gt;="&amp;DATE(YEAR($AC180),MONTH($AC180),1))&gt;0,SUMPRODUCT((PayEmp=$C180)*(PayDate&lt;=$AC180)*(OFFSET($N$6,1,MATCH(AT$5,PayDedList,0)-1,PayCount,1)))/$AA180*12*AT$3,IF(OR(AT$1="Fixed",AT$1="Not Used"),SUMPRODUCT((PayEmp=$C180)*(PayDate&lt;=$AC180)*(OFFSET($N$6,1,MATCH(AT$5,PayDedList,0)-1,PayCount,1)))/$AA180*12*AT$3,IF(ISNA(MATCH(OFFSET($N$2,0,MATCH(AT$5,PayDedList,0)-1,1,1),EarnListItem,0))=FALSE,SUMPRODUCT((PayEmp=$C180)*(PayDate&lt;=$AC180)*(OFFSET($N$6,1,MATCH(AT$5,PayDedList,0)-1,PayCount,1)))/$AA180*12*AT$3,(MIN(SUMPRODUCT((PayEmp=$C180)*(PayDate&lt;=$AC180)*(ISERROR(SEARCH(PayEarnCode,AT$2)))*(PayEarnType="Monthly")*(PayEarnValues))/$AA180*12,IF(ISNUMBER(OFFSET($N$3,0,MATCH(AT$5,PayDedList,0)-1,1,1)),OFFSET($N$3,0,MATCH(AT$5,PayDedList,0)-1,1,1),IgnoreMin)))*IF(COUNTIFS(EmpNo,$C180,OFFSET(Emp!$R$4,1,MATCH(AT$5,DedListItem,0)-1,EmpCount,1),"&lt;&gt;")&gt;0,VLOOKUP($C180,EmpAll,COLUMN(Emp!$R$4)+MATCH(AT$5,DedListItem,0)-1,0),OFFSET(Setup!$E$73,MATCH(AT$5,DedListItem,0),0,1,1))*AT$3))),IF(ISNUMBER(AT$4),AT$4,IgnoreMin)))))</f>
        <v>0</v>
      </c>
      <c r="AU180" s="148" cm="1">
        <f t="array" aca="1" ref="AU180" ca="1">-IF($F180="Terminated",0,IF($AA180=0,0,IF(ISNA(MATCH(AU$5,PayDedList,0)),0,MIN(IF(COUNTIFS(OverEmp,$C180,OverDeduct,AU$5,OverDate,"&lt;"&amp;DATE(YEAR($AC180),MONTH($AC180)+1,1),OverEnd,"&gt;="&amp;DATE(YEAR($AC180),MONTH($AC180),1))&gt;0,SUMPRODUCT((PayEmp=$C180)*(PayDate&lt;=$AC180)*(OFFSET($N$6,1,MATCH(AU$5,PayDedList,0)-1,PayCount,1)))/$AA180*12*AU$3,IF(OR(AU$1="Fixed",AU$1="Not Used"),SUMPRODUCT((PayEmp=$C180)*(PayDate&lt;=$AC180)*(OFFSET($N$6,1,MATCH(AU$5,PayDedList,0)-1,PayCount,1)))/$AA180*12*AU$3,IF(ISNA(MATCH(OFFSET($N$2,0,MATCH(AU$5,PayDedList,0)-1,1,1),EarnListItem,0))=FALSE,SUMPRODUCT((PayEmp=$C180)*(PayDate&lt;=$AC180)*(OFFSET($N$6,1,MATCH(AU$5,PayDedList,0)-1,PayCount,1)))/$AA180*12*AU$3,(MIN(SUMPRODUCT((PayEmp=$C180)*(PayDate&lt;=$AC180)*(ISERROR(SEARCH(PayEarnCode,AU$2)))*(PayEarnType="Monthly")*(PayEarnValues))/$AA180*12,IF(ISNUMBER(OFFSET($N$3,0,MATCH(AU$5,PayDedList,0)-1,1,1)),OFFSET($N$3,0,MATCH(AU$5,PayDedList,0)-1,1,1),IgnoreMin)))*IF(COUNTIFS(EmpNo,$C180,OFFSET(Emp!$R$4,1,MATCH(AU$5,DedListItem,0)-1,EmpCount,1),"&lt;&gt;")&gt;0,VLOOKUP($C180,EmpAll,COLUMN(Emp!$R$4)+MATCH(AU$5,DedListItem,0)-1,0),OFFSET(Setup!$E$73,MATCH(AU$5,DedListItem,0),0,1,1))*AU$3))),IF(ISNUMBER(AU$4),AU$4,IgnoreMin)))))</f>
        <v>0</v>
      </c>
      <c r="AV180" s="148" cm="1">
        <f t="array" aca="1" ref="AV180" ca="1">-IF($F180="Terminated",0,IF($AA180=0,0,IF(ISNA(MATCH(AV$5,PayDedList,0)),0,MIN(IF(COUNTIFS(OverEmp,$C180,OverDeduct,AV$5,OverDate,"&lt;"&amp;DATE(YEAR($AC180),MONTH($AC180)+1,1),OverEnd,"&gt;="&amp;DATE(YEAR($AC180),MONTH($AC180),1))&gt;0,SUMPRODUCT((PayEmp=$C180)*(PayDate&lt;=$AC180)*(OFFSET($N$6,1,MATCH(AV$5,PayDedList,0)-1,PayCount,1)))/$AA180*12*AV$3,IF(OR(AV$1="Fixed",AV$1="Not Used"),SUMPRODUCT((PayEmp=$C180)*(PayDate&lt;=$AC180)*(OFFSET($N$6,1,MATCH(AV$5,PayDedList,0)-1,PayCount,1)))/$AA180*12*AV$3,IF(ISNA(MATCH(OFFSET($N$2,0,MATCH(AV$5,PayDedList,0)-1,1,1),EarnListItem,0))=FALSE,SUMPRODUCT((PayEmp=$C180)*(PayDate&lt;=$AC180)*(OFFSET($N$6,1,MATCH(AV$5,PayDedList,0)-1,PayCount,1)))/$AA180*12*AV$3,(MIN(SUMPRODUCT((PayEmp=$C180)*(PayDate&lt;=$AC180)*(ISERROR(SEARCH(PayEarnCode,AV$2)))*(PayEarnType="Monthly")*(PayEarnValues))/$AA180*12,IF(ISNUMBER(OFFSET($N$3,0,MATCH(AV$5,PayDedList,0)-1,1,1)),OFFSET($N$3,0,MATCH(AV$5,PayDedList,0)-1,1,1),IgnoreMin)))*IF(COUNTIFS(EmpNo,$C180,OFFSET(Emp!$R$4,1,MATCH(AV$5,DedListItem,0)-1,EmpCount,1),"&lt;&gt;")&gt;0,VLOOKUP($C180,EmpAll,COLUMN(Emp!$R$4)+MATCH(AV$5,DedListItem,0)-1,0),OFFSET(Setup!$E$73,MATCH(AV$5,DedListItem,0),0,1,1))*AV$3))),IF(ISNUMBER(AV$4),AV$4,IgnoreMin)))))</f>
        <v>0</v>
      </c>
      <c r="AW180" s="148" cm="1">
        <f t="array" aca="1" ref="AW180" ca="1">-IF($F180="Terminated",0,IF($AA180=0,0,IF(ISNA(MATCH(AW$5,PayDedList,0)),0,MIN(IF(COUNTIFS(OverEmp,$C180,OverDeduct,AW$5,OverDate,"&lt;"&amp;DATE(YEAR($AC180),MONTH($AC180)+1,1),OverEnd,"&gt;="&amp;DATE(YEAR($AC180),MONTH($AC180),1))&gt;0,SUMPRODUCT((PayEmp=$C180)*(PayDate&lt;=$AC180)*(OFFSET($N$6,1,MATCH(AW$5,PayDedList,0)-1,PayCount,1)))/$AA180*12*AW$3,IF(OR(AW$1="Fixed",AW$1="Not Used"),SUMPRODUCT((PayEmp=$C180)*(PayDate&lt;=$AC180)*(OFFSET($N$6,1,MATCH(AW$5,PayDedList,0)-1,PayCount,1)))/$AA180*12*AW$3,IF(ISNA(MATCH(OFFSET($N$2,0,MATCH(AW$5,PayDedList,0)-1,1,1),EarnListItem,0))=FALSE,SUMPRODUCT((PayEmp=$C180)*(PayDate&lt;=$AC180)*(OFFSET($N$6,1,MATCH(AW$5,PayDedList,0)-1,PayCount,1)))/$AA180*12*AW$3,(MIN(SUMPRODUCT((PayEmp=$C180)*(PayDate&lt;=$AC180)*(ISERROR(SEARCH(PayEarnCode,AW$2)))*(PayEarnType="Monthly")*(PayEarnValues))/$AA180*12,IF(ISNUMBER(OFFSET($N$3,0,MATCH(AW$5,PayDedList,0)-1,1,1)),OFFSET($N$3,0,MATCH(AW$5,PayDedList,0)-1,1,1),IgnoreMin)))*IF(COUNTIFS(EmpNo,$C180,OFFSET(Emp!$R$4,1,MATCH(AW$5,DedListItem,0)-1,EmpCount,1),"&lt;&gt;")&gt;0,VLOOKUP($C180,EmpAll,COLUMN(Emp!$R$4)+MATCH(AW$5,DedListItem,0)-1,0),OFFSET(Setup!$E$73,MATCH(AW$5,DedListItem,0),0,1,1))*AW$3))),IF(ISNUMBER(AW$4),AW$4,IgnoreMin)))))</f>
        <v>0</v>
      </c>
      <c r="AX180" s="148">
        <f t="shared" ca="1" si="88"/>
        <v>110000</v>
      </c>
      <c r="AY180" s="148">
        <f t="shared" ca="1" si="89"/>
        <v>9000</v>
      </c>
      <c r="AZ180" s="148">
        <f ca="1">IF(ISNUMBER($AL180),($AR180*$AL180)-$AI180-$AK180,MAX(0,IF($AL180="B",IF($AR180&lt;Setup!$C$32,($AR180*Setup!$D$32)-$AI180-$AK180,(($AR180-VLOOKUP($AR180,TaxAll2,1,1))*OFFSET(Setup!$D$32,MATCH($AR180,TaxBracket2,1),0,1,1))+OFFSET(Setup!$E$31,MATCH($AR180,TaxBracket2,1),0,1,1)-$AI180-$AK180),IF($AR180&lt;Setup!$C$21,($AR180*Setup!$D$21)-$AI180-$AK180,(($AR180-VLOOKUP($AR180,TaxAll1,1,1))*OFFSET(Setup!$D$21,MATCH($AR180,TaxBracket1,1),0,1,1))+OFFSET(Setup!$E$20,MATCH($AR180,TaxBracket1,1),0,1,1)-$AI180-$AK180))))</f>
        <v>4185</v>
      </c>
      <c r="BA180" s="148">
        <f ca="1">IF(ISNUMBER($AL180),($AX180*$AL180)-$AI180-$AK180,MAX(0,IF($AL180="B",IF($AX180&lt;Setup!$C$32,($AX180*Setup!$D$32)-$AI180-$AK180,(($AX180-VLOOKUP($AX180,TaxAll2,1,1))*OFFSET(Setup!$D$32,MATCH($AX180,TaxBracket2,1),0,1,1))+OFFSET(Setup!$E$31,MATCH($AX180,TaxBracket2,1),0,1,1)-$AI180-$AK180),IF($AX180&lt;Setup!$C$21,($AX180*Setup!$D$21)-$AI180-$AK180,(($AX180-VLOOKUP($AX180,TaxAll1,1,1))*OFFSET(Setup!$D$21,MATCH($AX180,TaxBracket1,1),0,1,1))+OFFSET(Setup!$E$20,MATCH($AX180,TaxBracket1,1),0,1,1)-$AI180-$AK180))))</f>
        <v>2565</v>
      </c>
      <c r="BB180" s="148">
        <f t="shared" ca="1" si="82"/>
        <v>1620</v>
      </c>
      <c r="BC180" s="150">
        <f t="shared" ca="1" si="75"/>
        <v>0.92436974789915971</v>
      </c>
      <c r="BD180" s="150">
        <f t="shared" ca="1" si="76"/>
        <v>7.5630252100840331E-2</v>
      </c>
      <c r="BE180" s="148">
        <f t="shared" ca="1" si="77"/>
        <v>119000</v>
      </c>
    </row>
    <row r="181" spans="1:57" ht="16.149999999999999" customHeight="1" x14ac:dyDescent="0.25">
      <c r="A181" s="10" t="str" cm="1">
        <f t="array" aca="1" ref="A181" ca="1">IF(ROW($A181)-ROW($A$6)&gt;EmpCount*12,"-",TEXT($B181,"yyyy")&amp;TEXT($B181,"mm")&amp;"-"&amp;$C181)</f>
        <v>202402-EXS010</v>
      </c>
      <c r="B181" s="137" cm="1">
        <f t="array" aca="1" ref="B181" ca="1">IF(ROW($A181)-ROW($A$6)&gt;EmpCount*12,Setup!$D$12,DATE(YEAR(Setup!$F$12),MONTH(Setup!$F$12)+ROUNDDOWN((ROW($A181)-ROW($A$6)-1)/EmpCount,0),IF(Setup!$C$14&gt;DAY(DATE(YEAR(Setup!$F$12),MONTH(Setup!$F$12)+ROUNDDOWN((ROW($A181)-ROW($A$6)-1)/EmpCount,0)+1,0)),DAY(DATE(YEAR(Setup!$F$12),MONTH(Setup!$F$12)+ROUNDDOWN((ROW($A181)-ROW($A$6)-1)/EmpCount,0)+1,0)),Setup!$C$14)))</f>
        <v>45347</v>
      </c>
      <c r="C181" s="101" t="str" cm="1">
        <f t="array" aca="1" ref="C181" ca="1">IF(ROW($A181)-ROW($A$6)&gt;EmpCount*12,"-",OFFSET(Emp!$A$4,ROW($A181)-ROW($A$6)-IF(ROW($A181)-ROW($A$6)&gt;EmpCount,ROUNDDOWN((ROW($A181)-ROW($A$6)-1)/EmpCount,0)*EmpCount,0),0,1,1))</f>
        <v>EXS010</v>
      </c>
      <c r="D181" s="10" t="str">
        <f ca="1">IF(ISNA(VLOOKUP($C181,EmpAll,COLUMN(Emp!$B$4),0)),"-",VLOOKUP($C181,EmpAll,COLUMN(Emp!$B$4),0))</f>
        <v>Lewis I</v>
      </c>
      <c r="E181" s="145" t="str">
        <f ca="1">IF(ISNA(VLOOKUP($C181,EmpAll,COLUMN(Emp!$C$4),0)),"-",VLOOKUP($C181,EmpAll,COLUMN(Emp!$C$4),0))</f>
        <v>A</v>
      </c>
      <c r="F181" s="101" t="str">
        <f ca="1">IF(ISNA(VLOOKUP($C181,EmpAll,COLUMN(Emp!$A$4),0)),"-",IF(AND(VLOOKUP($C181,EmpAll,COLUMN(Emp!$E$4),0)&lt;&gt;0,VLOOKUP($C181,EmpAll,COLUMN(Emp!$E$4),0)&gt;=DATE(YEAR($AC181),MONTH($AC181)+1,0)),"Inactive",IF(AND(VLOOKUP($C181,EmpAll,COLUMN(Emp!$F$4),0)&lt;&gt;0,VLOOKUP($C181,EmpAll,COLUMN(Emp!$F$4),0)&lt;=DATE(YEAR($AC181),MONTH($AC181),0)),"Terminated","Active")))</f>
        <v>Active</v>
      </c>
      <c r="G181" s="133" cm="1">
        <f t="array" aca="1" ref="G181" ca="1">IF($F181&lt;&gt;"Active",0,IF(COUNTIFS(OverEmp,$C181,OverEarn,G$2,OverDate,"&lt;"&amp;DATE(YEAR($AC181),MONTH($AC181)+1,1),OverEnd,"&gt;="&amp;DATE(YEAR($AC181),MONTH($AC181),1))&gt;0,SUMIFS(OverValue,OverEmp,$C181,OverEarn,G$2,OverDate,"&lt;"&amp;DATE(YEAR($AC181),MONTH($AC181)+1,1),OverEnd,"&gt;="&amp;DATE(YEAR($AC181),MONTH($AC181),1)),IF(AND($AC181&gt;=Setup!$E$10,SUMIFS(EmpIncrease,EmpCode,$C181)&gt;0),SUMIFS(EmpIncrease,EmpCode,$C181),SUMIFS(EmpSalary,EmpCode,$C181))))</f>
        <v>10000</v>
      </c>
      <c r="H181" s="133" cm="1">
        <f t="array" aca="1" ref="H181" ca="1">IF($F181&lt;&gt;"Active",0,IF(COUNTIFS(OverEmp,$C181,OverEarn,H$2,OverDate,"&lt;"&amp;DATE(YEAR($AC181),MONTH($AC181)+1,1),OverEnd,"&gt;="&amp;DATE(YEAR($AC181),MONTH($AC181),1))&gt;0,SUMIFS(OverValue,OverEmp,$C181,OverEarn,H$2,OverDate,"&lt;"&amp;DATE(YEAR($AC181),MONTH($AC181)+1,1),OverEnd,"&gt;="&amp;DATE(YEAR($AC181),MONTH($AC181),1)),0))</f>
        <v>0</v>
      </c>
      <c r="I181" s="133" cm="1">
        <f t="array" aca="1" ref="I181" ca="1">IF($F181&lt;&gt;"Active",0,IF(COUNTIFS(OverEmp,$C181,OverEarn,I$2,OverDate,"&lt;"&amp;DATE(YEAR($AC181),MONTH($AC181)+1,1),OverEnd,"&gt;="&amp;DATE(YEAR($AC181),MONTH($AC181),1))&gt;0,SUMIFS(OverValue,OverEmp,$C181,OverEarn,I$2,OverDate,"&lt;"&amp;DATE(YEAR($AC181),MONTH($AC181)+1,1),OverEnd,"&gt;="&amp;DATE(YEAR($AC181),MONTH($AC181),1)),IF(MONTH(B181)=Setup!$C$15,SUMIFS(EmpBonus,EmpCode,$C181),0)))</f>
        <v>0</v>
      </c>
      <c r="J181" s="133" cm="1">
        <f t="array" aca="1" ref="J181" ca="1">IF($F181&lt;&gt;"Active",0,IF(COUNTIFS(OverEmp,$C181,OverEarn,J$2,OverDate,"&lt;"&amp;DATE(YEAR($AC181),MONTH($AC181)+1,1),OverEnd,"&gt;="&amp;DATE(YEAR($AC181),MONTH($AC181),1))&gt;0,SUMIFS(OverValue,OverEmp,$C181,OverEarn,J$2,OverDate,"&lt;"&amp;DATE(YEAR($AC181),MONTH($AC181)+1,1),OverEnd,"&gt;="&amp;DATE(YEAR($AC181),MONTH($AC181),1)),0))</f>
        <v>0</v>
      </c>
      <c r="K181" s="133" cm="1">
        <f t="array" aca="1" ref="K181" ca="1">IF($F181&lt;&gt;"Active",0,IF(COUNTIFS(OverEmp,$C181,OverEarn,K$2,OverDate,"&lt;"&amp;DATE(YEAR($AC181),MONTH($AC181)+1,1),OverEnd,"&gt;="&amp;DATE(YEAR($AC181),MONTH($AC181),1))&gt;0,SUMIFS(OverValue,OverEmp,$C181,OverEarn,K$2,OverDate,"&lt;"&amp;DATE(YEAR($AC181),MONTH($AC181)+1,1),OverEnd,"&gt;="&amp;DATE(YEAR($AC181),MONTH($AC181),1)),0))</f>
        <v>0</v>
      </c>
      <c r="L181" s="185">
        <f t="shared" ca="1" si="84"/>
        <v>10000</v>
      </c>
      <c r="M181" s="182" cm="1">
        <f t="array" aca="1" ref="M181" ca="1">IF(COUNTIFS(OverEmp,$C181,OverTax,M$5,OverDate,"&lt;"&amp;DATE(YEAR($AC181),MONTH($AC181)+1,1),OverEnd,"&gt;="&amp;DATE(YEAR($AC181),MONTH($AC181),1))&gt;0,SUMIFS(OverValue,OverEmp,$C181,OverTax,M$5,OverDate,"&lt;"&amp;DATE(YEAR($AC181),MONTH($AC181)+1,1),OverEnd,"&gt;="&amp;DATE(YEAR($AC181),MONTH($AC181),1)),(($BA181/12*$AA181)+(BB181*IF(1-$BC181=0,0,BD181/(1-$BC181))))-IF($F181="Terminated",0,SUMIFS(PayTaxDeduct,PayDate,"&lt;"&amp;$AC181,PayEmp,$C181)))</f>
        <v>363.75000000000136</v>
      </c>
      <c r="N181" s="133" cm="1">
        <f t="array" aca="1" ref="N181" ca="1">IF($F181="Terminated",0,IF($AA181=0,0,IF(ISNA(MATCH(N$5,DedListItem,0)),0,IF(COUNTIFS(OverEmp,$C181,OverDeduct,N$5,OverDate,"&lt;"&amp;DATE(YEAR($AC181),MONTH($AC181)+1,1),OverEnd,"&gt;="&amp;DATE(YEAR($AC181),MONTH($AC181),1))&gt;0,SUMIFS(OverValue,OverEmp,$C181,OverDeduct,N$5,OverDate,"&lt;"&amp;DATE(YEAR($AC181),MONTH($AC181)+1,1),OverEnd,"&gt;="&amp;DATE(YEAR($AC181),MONTH($AC181),1)),IF(OR(N$2="Fixed",N$2="Not Used"),(IF(COUNTIFS(EmpNo,$C181,OFFSET(Emp!$R$4,1,MATCH(N$5,DedListItem,0)-1,EmpCount,1),"&lt;&gt;")&gt;0,VLOOKUP($C181,EmpAll,COLUMN(Emp!$R$4)+MATCH(N$5,DedListItem,0)-1,0),OFFSET(Setup!$E$73,MATCH(N$5,DedListItem,0),0,1,1))*$AA181)-SUMIFS(OFFSET(N$6,1,0,PayCount,1),PayDate,"&lt;"&amp;$AC181,PayEmp,$C181),IF(ISNA(MATCH(N$2,EarnListItem,0))=FALSE,IF(OFFSET(Setup!$G$73,MATCH(N$5,DedListItem,0),0,1,1)="Taxable",SUMPRODUCT((PayEmp=$C181)*(PayDate&lt;=$AC181)*(PayEarnCode=N$2)*(PayEarnTax)*(PayEarnValues)),SUMPRODUCT((PayEmp=$C181)*(PayDate&lt;=$AC181)*(PayEarnCode=N$2)*(PayEarnValues)))*IF(COUNTIFS(EmpNo,$C181,OFFSET(Emp!$R$4,1,MATCH(N$5,DedListItem,0)-1,EmpCount,1),"&lt;&gt;")&gt;0,VLOOKUP($C181,EmpAll,COLUMN(Emp!$R$4)+MATCH(N$5,DedListItem,0)-1,0),OFFSET(Setup!$E$73,MATCH(N$5,DedListItem,0),0,1,1)),(MIN(IF(OFFSET(Setup!$G$73,MATCH(N$5,DedListItem,0),0,1,1)="Taxable",SUMPRODUCT((PayEmp=$C181)*(PayDate&lt;=$AC181)*(ISERROR(SEARCH(PayEarnCode,N$4)))*(PayEarnTax)*(PayEarnValues)),SUMPRODUCT((PayEmp=$C181)*(PayDate&lt;=$AC181)*(ISERROR(SEARCH(PayEarnCode,N$4)))*(PayEarnValues))),IF(ISNUMBER(N$3),N$3/12*$AA181,IgnoreMin)))*IF(COUNTIFS(EmpNo,$C181,OFFSET(Emp!$R$4,1,MATCH(N$5,DedListItem,0)-1,EmpCount,1),"&lt;&gt;")&gt;0,VLOOKUP($C181,EmpAll,COLUMN(Emp!$R$4)+MATCH(N$5,DedListItem,0)-1,0),OFFSET(Setup!$E$73,MATCH(N$5,DedListItem,0),0,1,1)))-SUMIFS(OFFSET(N$6,1,0,PayCount,1),PayDate,"&lt;"&amp;$AC181,PayEmp,$C181))))))</f>
        <v>100</v>
      </c>
      <c r="O181" s="133" cm="1">
        <f t="array" aca="1" ref="O181" ca="1">IF($F181="Terminated",0,IF($AA181=0,0,IF(ISNA(MATCH(O$5,DedListItem,0)),0,IF(COUNTIFS(OverEmp,$C181,OverDeduct,O$5,OverDate,"&lt;"&amp;DATE(YEAR($AC181),MONTH($AC181)+1,1),OverEnd,"&gt;="&amp;DATE(YEAR($AC181),MONTH($AC181),1))&gt;0,SUMIFS(OverValue,OverEmp,$C181,OverDeduct,O$5,OverDate,"&lt;"&amp;DATE(YEAR($AC181),MONTH($AC181)+1,1),OverEnd,"&gt;="&amp;DATE(YEAR($AC181),MONTH($AC181),1)),IF(OR(O$2="Fixed",O$2="Not Used"),(IF(COUNTIFS(EmpNo,$C181,OFFSET(Emp!$R$4,1,MATCH(O$5,DedListItem,0)-1,EmpCount,1),"&lt;&gt;")&gt;0,VLOOKUP($C181,EmpAll,COLUMN(Emp!$R$4)+MATCH(O$5,DedListItem,0)-1,0),OFFSET(Setup!$E$73,MATCH(O$5,DedListItem,0),0,1,1))*$AA181)-SUMIFS(OFFSET(O$6,1,0,PayCount,1),PayDate,"&lt;"&amp;$AC181,PayEmp,$C181),IF(ISNA(MATCH(O$2,EarnListItem,0))=FALSE,IF(OFFSET(Setup!$G$73,MATCH(O$5,DedListItem,0),0,1,1)="Taxable",SUMPRODUCT((PayEmp=$C181)*(PayDate&lt;=$AC181)*(PayEarnCode=O$2)*(PayEarnTax)*(PayEarnValues)),SUMPRODUCT((PayEmp=$C181)*(PayDate&lt;=$AC181)*(PayEarnCode=O$2)*(PayEarnValues)))*IF(COUNTIFS(EmpNo,$C181,OFFSET(Emp!$R$4,1,MATCH(O$5,DedListItem,0)-1,EmpCount,1),"&lt;&gt;")&gt;0,VLOOKUP($C181,EmpAll,COLUMN(Emp!$R$4)+MATCH(O$5,DedListItem,0)-1,0),OFFSET(Setup!$E$73,MATCH(O$5,DedListItem,0),0,1,1)),(MIN(IF(OFFSET(Setup!$G$73,MATCH(O$5,DedListItem,0),0,1,1)="Taxable",SUMPRODUCT((PayEmp=$C181)*(PayDate&lt;=$AC181)*(ISERROR(SEARCH(PayEarnCode,O$4)))*(PayEarnTax)*(PayEarnValues)),SUMPRODUCT((PayEmp=$C181)*(PayDate&lt;=$AC181)*(ISERROR(SEARCH(PayEarnCode,O$4)))*(PayEarnValues))),IF(ISNUMBER(O$3),O$3/12*$AA181,IgnoreMin)))*IF(COUNTIFS(EmpNo,$C181,OFFSET(Emp!$R$4,1,MATCH(O$5,DedListItem,0)-1,EmpCount,1),"&lt;&gt;")&gt;0,VLOOKUP($C181,EmpAll,COLUMN(Emp!$R$4)+MATCH(O$5,DedListItem,0)-1,0),OFFSET(Setup!$E$73,MATCH(O$5,DedListItem,0),0,1,1)))-SUMIFS(OFFSET(O$6,1,0,PayCount,1),PayDate,"&lt;"&amp;$AC181,PayEmp,$C181))))))</f>
        <v>0</v>
      </c>
      <c r="P181" s="133" cm="1">
        <f t="array" aca="1" ref="P181" ca="1">IF($F181="Terminated",0,IF($AA181=0,0,IF(ISNA(MATCH(P$5,DedListItem,0)),0,IF(COUNTIFS(OverEmp,$C181,OverDeduct,P$5,OverDate,"&lt;"&amp;DATE(YEAR($AC181),MONTH($AC181)+1,1),OverEnd,"&gt;="&amp;DATE(YEAR($AC181),MONTH($AC181),1))&gt;0,SUMIFS(OverValue,OverEmp,$C181,OverDeduct,P$5,OverDate,"&lt;"&amp;DATE(YEAR($AC181),MONTH($AC181)+1,1),OverEnd,"&gt;="&amp;DATE(YEAR($AC181),MONTH($AC181),1)),IF(OR(P$2="Fixed",P$2="Not Used"),(IF(COUNTIFS(EmpNo,$C181,OFFSET(Emp!$R$4,1,MATCH(P$5,DedListItem,0)-1,EmpCount,1),"&lt;&gt;")&gt;0,VLOOKUP($C181,EmpAll,COLUMN(Emp!$R$4)+MATCH(P$5,DedListItem,0)-1,0),OFFSET(Setup!$E$73,MATCH(P$5,DedListItem,0),0,1,1))*$AA181)-SUMIFS(OFFSET(P$6,1,0,PayCount,1),PayDate,"&lt;"&amp;$AC181,PayEmp,$C181),IF(ISNA(MATCH(P$2,EarnListItem,0))=FALSE,IF(OFFSET(Setup!$G$73,MATCH(P$5,DedListItem,0),0,1,1)="Taxable",SUMPRODUCT((PayEmp=$C181)*(PayDate&lt;=$AC181)*(PayEarnCode=P$2)*(PayEarnTax)*(PayEarnValues)),SUMPRODUCT((PayEmp=$C181)*(PayDate&lt;=$AC181)*(PayEarnCode=P$2)*(PayEarnValues)))*IF(COUNTIFS(EmpNo,$C181,OFFSET(Emp!$R$4,1,MATCH(P$5,DedListItem,0)-1,EmpCount,1),"&lt;&gt;")&gt;0,VLOOKUP($C181,EmpAll,COLUMN(Emp!$R$4)+MATCH(P$5,DedListItem,0)-1,0),OFFSET(Setup!$E$73,MATCH(P$5,DedListItem,0),0,1,1)),(MIN(IF(OFFSET(Setup!$G$73,MATCH(P$5,DedListItem,0),0,1,1)="Taxable",SUMPRODUCT((PayEmp=$C181)*(PayDate&lt;=$AC181)*(ISERROR(SEARCH(PayEarnCode,P$4)))*(PayEarnTax)*(PayEarnValues)),SUMPRODUCT((PayEmp=$C181)*(PayDate&lt;=$AC181)*(ISERROR(SEARCH(PayEarnCode,P$4)))*(PayEarnValues))),IF(ISNUMBER(P$3),P$3/12*$AA181,IgnoreMin)))*IF(COUNTIFS(EmpNo,$C181,OFFSET(Emp!$R$4,1,MATCH(P$5,DedListItem,0)-1,EmpCount,1),"&lt;&gt;")&gt;0,VLOOKUP($C181,EmpAll,COLUMN(Emp!$R$4)+MATCH(P$5,DedListItem,0)-1,0),OFFSET(Setup!$E$73,MATCH(P$5,DedListItem,0),0,1,1)))-SUMIFS(OFFSET(P$6,1,0,PayCount,1),PayDate,"&lt;"&amp;$AC181,PayEmp,$C181))))))</f>
        <v>0</v>
      </c>
      <c r="Q181" s="133" cm="1">
        <f t="array" aca="1" ref="Q181" ca="1">IF($F181="Terminated",0,IF($AA181=0,0,IF(ISNA(MATCH(Q$5,DedListItem,0)),0,IF(COUNTIFS(OverEmp,$C181,OverDeduct,Q$5,OverDate,"&lt;"&amp;DATE(YEAR($AC181),MONTH($AC181)+1,1),OverEnd,"&gt;="&amp;DATE(YEAR($AC181),MONTH($AC181),1))&gt;0,SUMIFS(OverValue,OverEmp,$C181,OverDeduct,Q$5,OverDate,"&lt;"&amp;DATE(YEAR($AC181),MONTH($AC181)+1,1),OverEnd,"&gt;="&amp;DATE(YEAR($AC181),MONTH($AC181),1)),IF(OR(Q$2="Fixed",Q$2="Not Used"),(IF(COUNTIFS(EmpNo,$C181,OFFSET(Emp!$R$4,1,MATCH(Q$5,DedListItem,0)-1,EmpCount,1),"&lt;&gt;")&gt;0,VLOOKUP($C181,EmpAll,COLUMN(Emp!$R$4)+MATCH(Q$5,DedListItem,0)-1,0),OFFSET(Setup!$E$73,MATCH(Q$5,DedListItem,0),0,1,1))*$AA181)-SUMIFS(OFFSET(Q$6,1,0,PayCount,1),PayDate,"&lt;"&amp;$AC181,PayEmp,$C181),IF(ISNA(MATCH(Q$2,EarnListItem,0))=FALSE,IF(OFFSET(Setup!$G$73,MATCH(Q$5,DedListItem,0),0,1,1)="Taxable",SUMPRODUCT((PayEmp=$C181)*(PayDate&lt;=$AC181)*(PayEarnCode=Q$2)*(PayEarnTax)*(PayEarnValues)),SUMPRODUCT((PayEmp=$C181)*(PayDate&lt;=$AC181)*(PayEarnCode=Q$2)*(PayEarnValues)))*IF(COUNTIFS(EmpNo,$C181,OFFSET(Emp!$R$4,1,MATCH(Q$5,DedListItem,0)-1,EmpCount,1),"&lt;&gt;")&gt;0,VLOOKUP($C181,EmpAll,COLUMN(Emp!$R$4)+MATCH(Q$5,DedListItem,0)-1,0),OFFSET(Setup!$E$73,MATCH(Q$5,DedListItem,0),0,1,1)),(MIN(IF(OFFSET(Setup!$G$73,MATCH(Q$5,DedListItem,0),0,1,1)="Taxable",SUMPRODUCT((PayEmp=$C181)*(PayDate&lt;=$AC181)*(ISERROR(SEARCH(PayEarnCode,Q$4)))*(PayEarnTax)*(PayEarnValues)),SUMPRODUCT((PayEmp=$C181)*(PayDate&lt;=$AC181)*(ISERROR(SEARCH(PayEarnCode,Q$4)))*(PayEarnValues))),IF(ISNUMBER(Q$3),Q$3/12*$AA181,IgnoreMin)))*IF(COUNTIFS(EmpNo,$C181,OFFSET(Emp!$R$4,1,MATCH(Q$5,DedListItem,0)-1,EmpCount,1),"&lt;&gt;")&gt;0,VLOOKUP($C181,EmpAll,COLUMN(Emp!$R$4)+MATCH(Q$5,DedListItem,0)-1,0),OFFSET(Setup!$E$73,MATCH(Q$5,DedListItem,0),0,1,1)))-SUMIFS(OFFSET(Q$6,1,0,PayCount,1),PayDate,"&lt;"&amp;$AC181,PayEmp,$C181))))))</f>
        <v>0</v>
      </c>
      <c r="R181" s="185">
        <f t="shared" ca="1" si="85"/>
        <v>463.75000000000136</v>
      </c>
      <c r="S181" s="139">
        <f t="shared" ca="1" si="86"/>
        <v>9536.25</v>
      </c>
      <c r="T181" s="133" cm="1">
        <f t="array" aca="1" ref="T181" ca="1">IF($F181="Terminated",0,IF($AA181=0,0,IF(ISNA(MATCH(T$5,CompListItem,0)),0,IF(COUNTIFS(OverEmp,$C181,OverComp,T$5,OverDate,"&lt;"&amp;DATE(YEAR($AC181),MONTH($AC181)+1,1),OverEnd,"&gt;="&amp;DATE(YEAR($AC181),MONTH($AC181),1))&gt;0,SUMIFS(OverValue,OverEmp,$C181,OverComp,T$5,OverDate,"&lt;"&amp;DATE(YEAR($AC181),MONTH($AC181)+1,1),OverEnd,"&gt;="&amp;DATE(YEAR($AC181),MONTH($AC181),1)),IF(OR(T$2="Fixed",T$2="Not Used"),(OFFSET(Setup!$E$81,MATCH(T$5,CompListItem,0),0,1,1)*$AA181)-SUMIFS(OFFSET(T$6,1,0,PayCount,1),PayDate,"&lt;"&amp;$AC181,PayEmp,$C181),IF(ISNA(MATCH(T$2,DedListItem,0))=FALSE,(SUMPRODUCT((PayEmp=$C181)*(PayDate&lt;=$AC181)*(PayDedList=T$2)*(PayDedValues))*OFFSET(Setup!$E$81,MATCH(T$5,CompListItem,0),0,1,1))-SUMIFS(OFFSET(T$6,1,0,PayCount,1),PayDate,"&lt;"&amp;$AC181,PayEmp,$C181),(MIN(IF(OFFSET(Setup!$G$81,MATCH(T$5,CompListItem,0),0,1,1)="Taxable",SUMPRODUCT((PayEmp=$C181)*(PayDate&lt;=$AC181)*(ISERROR(SEARCH(PayEarnCode,T$4)))*(PayEarnTax)*(PayEarnValues)),SUMPRODUCT((PayEmp=$C181)*(PayDate&lt;=$AC181)*(ISERROR(SEARCH(PayEarnCode,T$4)))*(PayEarnValues))),IF(ISNUMBER(T$3),T$3/12*$AA181,IgnoreMin)))*OFFSET(Setup!$E$81,MATCH(T$5,CompListItem,0),0,1,1)-SUMIFS(OFFSET(T$6,1,0,PayCount,1),PayDate,"&lt;"&amp;$AC181,PayEmp,$C181)))))))</f>
        <v>100</v>
      </c>
      <c r="U181" s="133" cm="1">
        <f t="array" aca="1" ref="U181" ca="1">IF($F181="Terminated",0,IF($AA181=0,0,IF(ISNA(MATCH(U$5,CompListItem,0)),0,IF(COUNTIFS(OverEmp,$C181,OverComp,U$5,OverDate,"&lt;"&amp;DATE(YEAR($AC181),MONTH($AC181)+1,1),OverEnd,"&gt;="&amp;DATE(YEAR($AC181),MONTH($AC181),1))&gt;0,SUMIFS(OverValue,OverEmp,$C181,OverComp,U$5,OverDate,"&lt;"&amp;DATE(YEAR($AC181),MONTH($AC181)+1,1),OverEnd,"&gt;="&amp;DATE(YEAR($AC181),MONTH($AC181),1)),IF(OR(U$2="Fixed",U$2="Not Used"),(OFFSET(Setup!$E$81,MATCH(U$5,CompListItem,0),0,1,1)*$AA181)-SUMIFS(OFFSET(U$6,1,0,PayCount,1),PayDate,"&lt;"&amp;$AC181,PayEmp,$C181),IF(ISNA(MATCH(U$2,DedListItem,0))=FALSE,(SUMPRODUCT((PayEmp=$C181)*(PayDate&lt;=$AC181)*(PayDedList=U$2)*(PayDedValues))*OFFSET(Setup!$E$81,MATCH(U$5,CompListItem,0),0,1,1))-SUMIFS(OFFSET(U$6,1,0,PayCount,1),PayDate,"&lt;"&amp;$AC181,PayEmp,$C181),(MIN(IF(OFFSET(Setup!$G$81,MATCH(U$5,CompListItem,0),0,1,1)="Taxable",SUMPRODUCT((PayEmp=$C181)*(PayDate&lt;=$AC181)*(ISERROR(SEARCH(PayEarnCode,U$4)))*(PayEarnTax)*(PayEarnValues)),SUMPRODUCT((PayEmp=$C181)*(PayDate&lt;=$AC181)*(ISERROR(SEARCH(PayEarnCode,U$4)))*(PayEarnValues))),IF(ISNUMBER(U$3),U$3/12*$AA181,IgnoreMin)))*OFFSET(Setup!$E$81,MATCH(U$5,CompListItem,0),0,1,1)-SUMIFS(OFFSET(U$6,1,0,PayCount,1),PayDate,"&lt;"&amp;$AC181,PayEmp,$C181)))))))</f>
        <v>100</v>
      </c>
      <c r="V181" s="133" cm="1">
        <f t="array" aca="1" ref="V181" ca="1">IF($F181="Terminated",0,IF($AA181=0,0,IF(ISNA(MATCH(V$5,CompListItem,0)),0,IF(COUNTIFS(OverEmp,$C181,OverComp,V$5,OverDate,"&lt;"&amp;DATE(YEAR($AC181),MONTH($AC181)+1,1),OverEnd,"&gt;="&amp;DATE(YEAR($AC181),MONTH($AC181),1))&gt;0,SUMIFS(OverValue,OverEmp,$C181,OverComp,V$5,OverDate,"&lt;"&amp;DATE(YEAR($AC181),MONTH($AC181)+1,1),OverEnd,"&gt;="&amp;DATE(YEAR($AC181),MONTH($AC181),1)),IF(OR(V$2="Fixed",V$2="Not Used"),(OFFSET(Setup!$E$81,MATCH(V$5,CompListItem,0),0,1,1)*$AA181)-SUMIFS(OFFSET(V$6,1,0,PayCount,1),PayDate,"&lt;"&amp;$AC181,PayEmp,$C181),IF(ISNA(MATCH(V$2,DedListItem,0))=FALSE,(SUMPRODUCT((PayEmp=$C181)*(PayDate&lt;=$AC181)*(PayDedList=V$2)*(PayDedValues))*OFFSET(Setup!$E$81,MATCH(V$5,CompListItem,0),0,1,1))-SUMIFS(OFFSET(V$6,1,0,PayCount,1),PayDate,"&lt;"&amp;$AC181,PayEmp,$C181),(MIN(IF(OFFSET(Setup!$G$81,MATCH(V$5,CompListItem,0),0,1,1)="Taxable",SUMPRODUCT((PayEmp=$C181)*(PayDate&lt;=$AC181)*(ISERROR(SEARCH(PayEarnCode,V$4)))*(PayEarnTax)*(PayEarnValues)),SUMPRODUCT((PayEmp=$C181)*(PayDate&lt;=$AC181)*(ISERROR(SEARCH(PayEarnCode,V$4)))*(PayEarnValues))),IF(ISNUMBER(V$3),V$3/12*$AA181,IgnoreMin)))*OFFSET(Setup!$E$81,MATCH(V$5,CompListItem,0),0,1,1)-SUMIFS(OFFSET(V$6,1,0,PayCount,1),PayDate,"&lt;"&amp;$AC181,PayEmp,$C181)))))))</f>
        <v>0</v>
      </c>
      <c r="W181" s="133" cm="1">
        <f t="array" aca="1" ref="W181" ca="1">IF($F181="Terminated",0,IF($AA181=0,0,IF(ISNA(MATCH(W$5,CompListItem,0)),0,IF(COUNTIFS(OverEmp,$C181,OverComp,W$5,OverDate,"&lt;"&amp;DATE(YEAR($AC181),MONTH($AC181)+1,1),OverEnd,"&gt;="&amp;DATE(YEAR($AC181),MONTH($AC181),1))&gt;0,SUMIFS(OverValue,OverEmp,$C181,OverComp,W$5,OverDate,"&lt;"&amp;DATE(YEAR($AC181),MONTH($AC181)+1,1),OverEnd,"&gt;="&amp;DATE(YEAR($AC181),MONTH($AC181),1)),IF(OR(W$2="Fixed",W$2="Not Used"),(OFFSET(Setup!$E$81,MATCH(W$5,CompListItem,0),0,1,1)*$AA181)-SUMIFS(OFFSET(W$6,1,0,PayCount,1),PayDate,"&lt;"&amp;$AC181,PayEmp,$C181),IF(ISNA(MATCH(W$2,DedListItem,0))=FALSE,(SUMPRODUCT((PayEmp=$C181)*(PayDate&lt;=$AC181)*(PayDedList=W$2)*(PayDedValues))*OFFSET(Setup!$E$81,MATCH(W$5,CompListItem,0),0,1,1))-SUMIFS(OFFSET(W$6,1,0,PayCount,1),PayDate,"&lt;"&amp;$AC181,PayEmp,$C181),(MIN(IF(OFFSET(Setup!$G$81,MATCH(W$5,CompListItem,0),0,1,1)="Taxable",SUMPRODUCT((PayEmp=$C181)*(PayDate&lt;=$AC181)*(ISERROR(SEARCH(PayEarnCode,W$4)))*(PayEarnTax)*(PayEarnValues)),SUMPRODUCT((PayEmp=$C181)*(PayDate&lt;=$AC181)*(ISERROR(SEARCH(PayEarnCode,W$4)))*(PayEarnValues))),IF(ISNUMBER(W$3),W$3/12*$AA181,IgnoreMin)))*OFFSET(Setup!$E$81,MATCH(W$5,CompListItem,0),0,1,1)-SUMIFS(OFFSET(W$6,1,0,PayCount,1),PayDate,"&lt;"&amp;$AC181,PayEmp,$C181)))))))</f>
        <v>0</v>
      </c>
      <c r="X181" s="185">
        <f t="shared" ca="1" si="78"/>
        <v>200</v>
      </c>
      <c r="Y181" s="139">
        <f t="shared" ca="1" si="87"/>
        <v>10200</v>
      </c>
      <c r="Z181" s="139">
        <f t="shared" ca="1" si="79"/>
        <v>663.75</v>
      </c>
      <c r="AA181" s="146">
        <f ca="1">IF(OR($B181&lt;=Setup!$E$12,$B181&gt;=Setup!$D$12+1),0,IF($F181&lt;&gt;"Active",0,IF($AE181="Yes",$AB181,((YEAR($AC181)*12)+MONTH($AC181))-((YEAR($AD181)*12)+MONTH($AD181)-1))))</f>
        <v>12</v>
      </c>
      <c r="AB181" s="146">
        <f ca="1">IF(OR($B181&lt;=Setup!$E$12,$B181&gt;=Setup!$D$12+1),0,((YEAR($AC181)*12)+MONTH($AC181))-((YEAR(Setup!$E$12)*12)+MONTH(Setup!$E$12)))</f>
        <v>12</v>
      </c>
      <c r="AC181" s="186">
        <f t="shared" ca="1" si="83"/>
        <v>45347</v>
      </c>
      <c r="AD181" s="144">
        <f ca="1">IF(ISNA(VLOOKUP($C181,EmpAll,COLUMN(Emp!$E$4),0)),$AC181,IF(VLOOKUP($C181,EmpAll,COLUMN(Emp!$E$4),0)&lt;=Setup!$E$12,DATE(YEAR(Setup!$E$12),MONTH(Setup!$E$12)+1,1),VLOOKUP($C181,EmpAll,COLUMN(Emp!$E$4),0)))</f>
        <v>44986</v>
      </c>
      <c r="AE181" s="144" t="str">
        <f ca="1">IF(ISNA(VLOOKUP($C181,EmpAll,COLUMN(Emp!$G$1),0)),"-",IF(VLOOKUP($C181,EmpAll,COLUMN(Emp!$G$1),0)=0,"-",VLOOKUP($C181,EmpAll,COLUMN(Emp!$G$1),0)))</f>
        <v>-</v>
      </c>
      <c r="AF181" s="145">
        <f ca="1">IF(A181=PaySlip!$G$3,1,0)</f>
        <v>0</v>
      </c>
      <c r="AG181" s="130" cm="1">
        <f t="array" aca="1" ref="AG181" ca="1">IF(COUNTIFS(OverEmp,$C181,OverMed,"MED",OverDate,"&lt;"&amp;DATE(YEAR($AC181),MONTH($AC181)+1,1),OverEnd,"&gt;="&amp;DATE(YEAR($AC181),MONTH($AC181),1))&gt;0,SUMIFS(OverValue,OverEmp,$C181,OverMed,"MED",OverDate,"&lt;"&amp;DATE(YEAR($AC181),MONTH($AC181)+1,1),OverEnd,"&gt;="&amp;DATE(YEAR($AC181),MONTH($AC181),1)),IF(ISNA(VLOOKUP($C181,EmpAll,COLUMN(Emp!$N$4),0)),0,VLOOKUP($C181,EmpAll,COLUMN(Emp!$N$4),0)))</f>
        <v>0</v>
      </c>
      <c r="AH181" s="146">
        <f ca="1">VLOOKUP($AG181,MedList,COLUMN(Setup!$C$49),1)</f>
        <v>0</v>
      </c>
      <c r="AI181" s="146">
        <f t="shared" ca="1" si="70"/>
        <v>0</v>
      </c>
      <c r="AJ181" s="101" t="str">
        <f ca="1">IF(ISNA(VLOOKUP($C181,EmpAll,COLUMN(Emp!$L$4),0)),"None!",VLOOKUP($C181,EmpAll,COLUMN(Emp!$L$4),0))</f>
        <v>A</v>
      </c>
      <c r="AK181" s="147">
        <f t="shared" ca="1" si="80"/>
        <v>17235</v>
      </c>
      <c r="AL181" s="101" t="str">
        <f ca="1">IF(ISNA(VLOOKUP($C181,Employees[],COLUMN(Emp!$M$4),0))=TRUE,"Error!",IF(VLOOKUP($C181,Employees[],COLUMN(Emp!$M$4),0)=0,"Yes",VLOOKUP($C181,Employees[],COLUMN(Emp!$M$4),0)))</f>
        <v>A</v>
      </c>
      <c r="AM181" s="148">
        <f t="shared" ca="1" si="71"/>
        <v>119000</v>
      </c>
      <c r="AN181" s="148" cm="1">
        <f t="array" aca="1" ref="AN181" ca="1">-IF($F181="Terminated",0,IF($AA181=0,0,IF(ISNA(MATCH(AN$5,PayDedList,0)),0,MIN(IF(COUNTIFS(OverEmp,$C181,OverDeduct,AN$5,OverDate,"&lt;"&amp;DATE(YEAR($AC181),MONTH($AC181)+1,1),OverEnd,"&gt;="&amp;DATE(YEAR($AC181),MONTH($AC181),1))&gt;0,SUMPRODUCT((PayEmp=$C181)*(PayDate&lt;=$AC181)*(OFFSET($N$6,1,MATCH(AN$5,PayDedList,0)-1,PayCount,1)))/$AA181*12*AN$3,IF(OR(AN$1="Fixed",AN$1="Not Used"),SUMPRODUCT((PayEmp=$C181)*(PayDate&lt;=$AC181)*(OFFSET($N$6,1,MATCH(AN$5,PayDedList,0)-1,PayCount,1)))/$AA181*12*AN$3,IF(ISNA(MATCH(AN$1,EarnListItem,0))=FALSE,SUMPRODUCT((PayEmp=$C181)*(PayDate&lt;=$AC181)*(OFFSET($N$6,1,MATCH(AN$5,PayDedList,0)-1,PayCount,1)))/$AA181*12*AN$3,(MIN(((SUMPRODUCT((PayEmp=$C181)*(PayDate&lt;=$AC181)*(ISERROR(SEARCH(PayEarnCode,AN$2)))*(PayEarnType="Monthly")*(PayEarnValues))/$AA181*12)+(SUMPRODUCT((PayEmp=$C181)*(PayDate&lt;=$AC181)*(ISERROR(SEARCH(PayEarnCode,AN$2)))*(PayEarnType="Quarterly")*(PayEarnValues))/MAX(1,ROUNDDOWN($AB181/3,0))*4)+(SUMPRODUCT((PayEmp=$C181)*(PayDate&lt;=$AC181)*(ISERROR(SEARCH(PayEarnCode,AN$2)))*(PayEarnType="Bi-Annual")*(PayEarnValues))/MAX(1,ROUNDDOWN($AB181/6,0))*2)+(SUMPRODUCT((PayEmp=$C181)*(PayDate&lt;=$AC181)*(ISERROR(SEARCH(PayEarnCode,AN$2)))*(PayEarnType="Annual")*(PayEarnValues)))),IF(ISNUMBER(OFFSET($N$3,0,MATCH(AN$5,PayDedList,0)-1,1,1)),OFFSET($N$3,0,MATCH(AN$5,PayDedList,0)-1,1,1),IgnoreMin)))*IF(COUNTIFS(EmpNo,$C181,OFFSET(Emp!$R$4,1,MATCH(AN$5,DedListItem,0)-1,EmpCount,1),"&lt;&gt;")&gt;0,VLOOKUP($C181,EmpAll,COLUMN(Emp!$R$4)+MATCH(AN$5,DedListItem,0)-1,0),OFFSET(Setup!$E$73,MATCH(AN$5,DedListItem,0),0,1,1))*AN$3))),IF(ISNUMBER(AN$4),AN$4,IgnoreMin)))))</f>
        <v>0</v>
      </c>
      <c r="AO181" s="148" cm="1">
        <f t="array" aca="1" ref="AO181" ca="1">-IF($F181="Terminated",0,IF($AA181=0,0,IF(ISNA(MATCH(AO$5,PayDedList,0)),0,MIN(IF(COUNTIFS(OverEmp,$C181,OverDeduct,AO$5,OverDate,"&lt;"&amp;DATE(YEAR($AC181),MONTH($AC181)+1,1),OverEnd,"&gt;="&amp;DATE(YEAR($AC181),MONTH($AC181),1))&gt;0,SUMPRODUCT((PayEmp=$C181)*(PayDate&lt;=$AC181)*(OFFSET($N$6,1,MATCH(AO$5,PayDedList,0)-1,PayCount,1)))/$AA181*12*AO$3,IF(OR(AO$1="Fixed",AO$1="Not Used"),SUMPRODUCT((PayEmp=$C181)*(PayDate&lt;=$AC181)*(OFFSET($N$6,1,MATCH(AO$5,PayDedList,0)-1,PayCount,1)))/$AA181*12*AO$3,IF(ISNA(MATCH(AO$1,EarnListItem,0))=FALSE,SUMPRODUCT((PayEmp=$C181)*(PayDate&lt;=$AC181)*(OFFSET($N$6,1,MATCH(AO$5,PayDedList,0)-1,PayCount,1)))/$AA181*12*AO$3,(MIN(((SUMPRODUCT((PayEmp=$C181)*(PayDate&lt;=$AC181)*(ISERROR(SEARCH(PayEarnCode,AO$2)))*(PayEarnType="Monthly")*(PayEarnValues))/$AA181*12)+(SUMPRODUCT((PayEmp=$C181)*(PayDate&lt;=$AC181)*(ISERROR(SEARCH(PayEarnCode,AO$2)))*(PayEarnType="Quarterly")*(PayEarnValues))/MAX(1,ROUNDDOWN($AB181/3,0))*4)+(SUMPRODUCT((PayEmp=$C181)*(PayDate&lt;=$AC181)*(ISERROR(SEARCH(PayEarnCode,AO$2)))*(PayEarnType="Bi-Annual")*(PayEarnValues))/MAX(1,ROUNDDOWN($AB181/6,0))*2)+(SUMPRODUCT((PayEmp=$C181)*(PayDate&lt;=$AC181)*(ISERROR(SEARCH(PayEarnCode,AO$2)))*(PayEarnType="Annual")*(PayEarnValues)))),IF(ISNUMBER(OFFSET($N$3,0,MATCH(AO$5,PayDedList,0)-1,1,1)),OFFSET($N$3,0,MATCH(AO$5,PayDedList,0)-1,1,1),IgnoreMin)))*IF(COUNTIFS(EmpNo,$C181,OFFSET(Emp!$R$4,1,MATCH(AO$5,DedListItem,0)-1,EmpCount,1),"&lt;&gt;")&gt;0,VLOOKUP($C181,EmpAll,COLUMN(Emp!$R$4)+MATCH(AO$5,DedListItem,0)-1,0),OFFSET(Setup!$E$73,MATCH(AO$5,DedListItem,0),0,1,1))*AO$3))),IF(ISNUMBER(AO$4),AO$4,IgnoreMin)))))</f>
        <v>0</v>
      </c>
      <c r="AP181" s="148" cm="1">
        <f t="array" aca="1" ref="AP181" ca="1">-IF($F181="Terminated",0,IF($AA181=0,0,IF(ISNA(MATCH(AP$5,PayDedList,0)),0,MIN(IF(COUNTIFS(OverEmp,$C181,OverDeduct,AP$5,OverDate,"&lt;"&amp;DATE(YEAR($AC181),MONTH($AC181)+1,1),OverEnd,"&gt;="&amp;DATE(YEAR($AC181),MONTH($AC181),1))&gt;0,SUMPRODUCT((PayEmp=$C181)*(PayDate&lt;=$AC181)*(OFFSET($N$6,1,MATCH(AP$5,PayDedList,0)-1,PayCount,1)))/$AA181*12*AP$3,IF(OR(AP$1="Fixed",AP$1="Not Used"),SUMPRODUCT((PayEmp=$C181)*(PayDate&lt;=$AC181)*(OFFSET($N$6,1,MATCH(AP$5,PayDedList,0)-1,PayCount,1)))/$AA181*12*AP$3,IF(ISNA(MATCH(AP$1,EarnListItem,0))=FALSE,SUMPRODUCT((PayEmp=$C181)*(PayDate&lt;=$AC181)*(OFFSET($N$6,1,MATCH(AP$5,PayDedList,0)-1,PayCount,1)))/$AA181*12*AP$3,(MIN(((SUMPRODUCT((PayEmp=$C181)*(PayDate&lt;=$AC181)*(ISERROR(SEARCH(PayEarnCode,AP$2)))*(PayEarnType="Monthly")*(PayEarnValues))/$AA181*12)+(SUMPRODUCT((PayEmp=$C181)*(PayDate&lt;=$AC181)*(ISERROR(SEARCH(PayEarnCode,AP$2)))*(PayEarnType="Quarterly")*(PayEarnValues))/MAX(1,ROUNDDOWN($AB181/3,0))*4)+(SUMPRODUCT((PayEmp=$C181)*(PayDate&lt;=$AC181)*(ISERROR(SEARCH(PayEarnCode,AP$2)))*(PayEarnType="Bi-Annual")*(PayEarnValues))/MAX(1,ROUNDDOWN($AB181/6,0))*2)+(SUMPRODUCT((PayEmp=$C181)*(PayDate&lt;=$AC181)*(ISERROR(SEARCH(PayEarnCode,AP$2)))*(PayEarnType="Annual")*(PayEarnValues)))),IF(ISNUMBER(OFFSET($N$3,0,MATCH(AP$5,PayDedList,0)-1,1,1)),OFFSET($N$3,0,MATCH(AP$5,PayDedList,0)-1,1,1),IgnoreMin)))*IF(COUNTIFS(EmpNo,$C181,OFFSET(Emp!$R$4,1,MATCH(AP$5,DedListItem,0)-1,EmpCount,1),"&lt;&gt;")&gt;0,VLOOKUP($C181,EmpAll,COLUMN(Emp!$R$4)+MATCH(AP$5,DedListItem,0)-1,0),OFFSET(Setup!$E$73,MATCH(AP$5,DedListItem,0),0,1,1))*AP$3))),IF(ISNUMBER(AP$4),AP$4,IgnoreMin)))))</f>
        <v>0</v>
      </c>
      <c r="AQ181" s="148" cm="1">
        <f t="array" aca="1" ref="AQ181" ca="1">-IF($F181="Terminated",0,IF($AA181=0,0,IF(ISNA(MATCH(AQ$5,PayDedList,0)),0,MIN(IF(COUNTIFS(OverEmp,$C181,OverDeduct,AQ$5,OverDate,"&lt;"&amp;DATE(YEAR($AC181),MONTH($AC181)+1,1),OverEnd,"&gt;="&amp;DATE(YEAR($AC181),MONTH($AC181),1))&gt;0,SUMPRODUCT((PayEmp=$C181)*(PayDate&lt;=$AC181)*(OFFSET($N$6,1,MATCH(AQ$5,PayDedList,0)-1,PayCount,1)))/$AA181*12*AQ$3,IF(OR(AQ$1="Fixed",AQ$1="Not Used"),SUMPRODUCT((PayEmp=$C181)*(PayDate&lt;=$AC181)*(OFFSET($N$6,1,MATCH(AQ$5,PayDedList,0)-1,PayCount,1)))/$AA181*12*AQ$3,IF(ISNA(MATCH(AQ$1,EarnListItem,0))=FALSE,SUMPRODUCT((PayEmp=$C181)*(PayDate&lt;=$AC181)*(OFFSET($N$6,1,MATCH(AQ$5,PayDedList,0)-1,PayCount,1)))/$AA181*12*AQ$3,(MIN(((SUMPRODUCT((PayEmp=$C181)*(PayDate&lt;=$AC181)*(ISERROR(SEARCH(PayEarnCode,AQ$2)))*(PayEarnType="Monthly")*(PayEarnValues))/$AA181*12)+(SUMPRODUCT((PayEmp=$C181)*(PayDate&lt;=$AC181)*(ISERROR(SEARCH(PayEarnCode,AQ$2)))*(PayEarnType="Quarterly")*(PayEarnValues))/MAX(1,ROUNDDOWN($AB181/3,0))*4)+(SUMPRODUCT((PayEmp=$C181)*(PayDate&lt;=$AC181)*(ISERROR(SEARCH(PayEarnCode,AQ$2)))*(PayEarnType="Bi-Annual")*(PayEarnValues))/MAX(1,ROUNDDOWN($AB181/6,0))*2)+(SUMPRODUCT((PayEmp=$C181)*(PayDate&lt;=$AC181)*(ISERROR(SEARCH(PayEarnCode,AQ$2)))*(PayEarnType="Annual")*(PayEarnValues)))),IF(ISNUMBER(OFFSET($N$3,0,MATCH(AQ$5,PayDedList,0)-1,1,1)),OFFSET($N$3,0,MATCH(AQ$5,PayDedList,0)-1,1,1),IgnoreMin)))*IF(COUNTIFS(EmpNo,$C181,OFFSET(Emp!$R$4,1,MATCH(AQ$5,DedListItem,0)-1,EmpCount,1),"&lt;&gt;")&gt;0,VLOOKUP($C181,EmpAll,COLUMN(Emp!$R$4)+MATCH(AQ$5,DedListItem,0)-1,0),OFFSET(Setup!$E$73,MATCH(AQ$5,DedListItem,0),0,1,1))*AQ$3))),IF(ISNUMBER(AQ$4),AQ$4,IgnoreMin)))))</f>
        <v>0</v>
      </c>
      <c r="AR181" s="148">
        <f t="shared" ca="1" si="81"/>
        <v>119000</v>
      </c>
      <c r="AS181" s="148">
        <f t="shared" ca="1" si="72"/>
        <v>110000</v>
      </c>
      <c r="AT181" s="148" cm="1">
        <f t="array" aca="1" ref="AT181" ca="1">-IF($F181="Terminated",0,IF($AA181=0,0,IF(ISNA(MATCH(AT$5,PayDedList,0)),0,MIN(IF(COUNTIFS(OverEmp,$C181,OverDeduct,AT$5,OverDate,"&lt;"&amp;DATE(YEAR($AC181),MONTH($AC181)+1,1),OverEnd,"&gt;="&amp;DATE(YEAR($AC181),MONTH($AC181),1))&gt;0,SUMPRODUCT((PayEmp=$C181)*(PayDate&lt;=$AC181)*(OFFSET($N$6,1,MATCH(AT$5,PayDedList,0)-1,PayCount,1)))/$AA181*12*AT$3,IF(OR(AT$1="Fixed",AT$1="Not Used"),SUMPRODUCT((PayEmp=$C181)*(PayDate&lt;=$AC181)*(OFFSET($N$6,1,MATCH(AT$5,PayDedList,0)-1,PayCount,1)))/$AA181*12*AT$3,IF(ISNA(MATCH(OFFSET($N$2,0,MATCH(AT$5,PayDedList,0)-1,1,1),EarnListItem,0))=FALSE,SUMPRODUCT((PayEmp=$C181)*(PayDate&lt;=$AC181)*(OFFSET($N$6,1,MATCH(AT$5,PayDedList,0)-1,PayCount,1)))/$AA181*12*AT$3,(MIN(SUMPRODUCT((PayEmp=$C181)*(PayDate&lt;=$AC181)*(ISERROR(SEARCH(PayEarnCode,AT$2)))*(PayEarnType="Monthly")*(PayEarnValues))/$AA181*12,IF(ISNUMBER(OFFSET($N$3,0,MATCH(AT$5,PayDedList,0)-1,1,1)),OFFSET($N$3,0,MATCH(AT$5,PayDedList,0)-1,1,1),IgnoreMin)))*IF(COUNTIFS(EmpNo,$C181,OFFSET(Emp!$R$4,1,MATCH(AT$5,DedListItem,0)-1,EmpCount,1),"&lt;&gt;")&gt;0,VLOOKUP($C181,EmpAll,COLUMN(Emp!$R$4)+MATCH(AT$5,DedListItem,0)-1,0),OFFSET(Setup!$E$73,MATCH(AT$5,DedListItem,0),0,1,1))*AT$3))),IF(ISNUMBER(AT$4),AT$4,IgnoreMin)))))</f>
        <v>0</v>
      </c>
      <c r="AU181" s="148" cm="1">
        <f t="array" aca="1" ref="AU181" ca="1">-IF($F181="Terminated",0,IF($AA181=0,0,IF(ISNA(MATCH(AU$5,PayDedList,0)),0,MIN(IF(COUNTIFS(OverEmp,$C181,OverDeduct,AU$5,OverDate,"&lt;"&amp;DATE(YEAR($AC181),MONTH($AC181)+1,1),OverEnd,"&gt;="&amp;DATE(YEAR($AC181),MONTH($AC181),1))&gt;0,SUMPRODUCT((PayEmp=$C181)*(PayDate&lt;=$AC181)*(OFFSET($N$6,1,MATCH(AU$5,PayDedList,0)-1,PayCount,1)))/$AA181*12*AU$3,IF(OR(AU$1="Fixed",AU$1="Not Used"),SUMPRODUCT((PayEmp=$C181)*(PayDate&lt;=$AC181)*(OFFSET($N$6,1,MATCH(AU$5,PayDedList,0)-1,PayCount,1)))/$AA181*12*AU$3,IF(ISNA(MATCH(OFFSET($N$2,0,MATCH(AU$5,PayDedList,0)-1,1,1),EarnListItem,0))=FALSE,SUMPRODUCT((PayEmp=$C181)*(PayDate&lt;=$AC181)*(OFFSET($N$6,1,MATCH(AU$5,PayDedList,0)-1,PayCount,1)))/$AA181*12*AU$3,(MIN(SUMPRODUCT((PayEmp=$C181)*(PayDate&lt;=$AC181)*(ISERROR(SEARCH(PayEarnCode,AU$2)))*(PayEarnType="Monthly")*(PayEarnValues))/$AA181*12,IF(ISNUMBER(OFFSET($N$3,0,MATCH(AU$5,PayDedList,0)-1,1,1)),OFFSET($N$3,0,MATCH(AU$5,PayDedList,0)-1,1,1),IgnoreMin)))*IF(COUNTIFS(EmpNo,$C181,OFFSET(Emp!$R$4,1,MATCH(AU$5,DedListItem,0)-1,EmpCount,1),"&lt;&gt;")&gt;0,VLOOKUP($C181,EmpAll,COLUMN(Emp!$R$4)+MATCH(AU$5,DedListItem,0)-1,0),OFFSET(Setup!$E$73,MATCH(AU$5,DedListItem,0),0,1,1))*AU$3))),IF(ISNUMBER(AU$4),AU$4,IgnoreMin)))))</f>
        <v>0</v>
      </c>
      <c r="AV181" s="148" cm="1">
        <f t="array" aca="1" ref="AV181" ca="1">-IF($F181="Terminated",0,IF($AA181=0,0,IF(ISNA(MATCH(AV$5,PayDedList,0)),0,MIN(IF(COUNTIFS(OverEmp,$C181,OverDeduct,AV$5,OverDate,"&lt;"&amp;DATE(YEAR($AC181),MONTH($AC181)+1,1),OverEnd,"&gt;="&amp;DATE(YEAR($AC181),MONTH($AC181),1))&gt;0,SUMPRODUCT((PayEmp=$C181)*(PayDate&lt;=$AC181)*(OFFSET($N$6,1,MATCH(AV$5,PayDedList,0)-1,PayCount,1)))/$AA181*12*AV$3,IF(OR(AV$1="Fixed",AV$1="Not Used"),SUMPRODUCT((PayEmp=$C181)*(PayDate&lt;=$AC181)*(OFFSET($N$6,1,MATCH(AV$5,PayDedList,0)-1,PayCount,1)))/$AA181*12*AV$3,IF(ISNA(MATCH(OFFSET($N$2,0,MATCH(AV$5,PayDedList,0)-1,1,1),EarnListItem,0))=FALSE,SUMPRODUCT((PayEmp=$C181)*(PayDate&lt;=$AC181)*(OFFSET($N$6,1,MATCH(AV$5,PayDedList,0)-1,PayCount,1)))/$AA181*12*AV$3,(MIN(SUMPRODUCT((PayEmp=$C181)*(PayDate&lt;=$AC181)*(ISERROR(SEARCH(PayEarnCode,AV$2)))*(PayEarnType="Monthly")*(PayEarnValues))/$AA181*12,IF(ISNUMBER(OFFSET($N$3,0,MATCH(AV$5,PayDedList,0)-1,1,1)),OFFSET($N$3,0,MATCH(AV$5,PayDedList,0)-1,1,1),IgnoreMin)))*IF(COUNTIFS(EmpNo,$C181,OFFSET(Emp!$R$4,1,MATCH(AV$5,DedListItem,0)-1,EmpCount,1),"&lt;&gt;")&gt;0,VLOOKUP($C181,EmpAll,COLUMN(Emp!$R$4)+MATCH(AV$5,DedListItem,0)-1,0),OFFSET(Setup!$E$73,MATCH(AV$5,DedListItem,0),0,1,1))*AV$3))),IF(ISNUMBER(AV$4),AV$4,IgnoreMin)))))</f>
        <v>0</v>
      </c>
      <c r="AW181" s="148" cm="1">
        <f t="array" aca="1" ref="AW181" ca="1">-IF($F181="Terminated",0,IF($AA181=0,0,IF(ISNA(MATCH(AW$5,PayDedList,0)),0,MIN(IF(COUNTIFS(OverEmp,$C181,OverDeduct,AW$5,OverDate,"&lt;"&amp;DATE(YEAR($AC181),MONTH($AC181)+1,1),OverEnd,"&gt;="&amp;DATE(YEAR($AC181),MONTH($AC181),1))&gt;0,SUMPRODUCT((PayEmp=$C181)*(PayDate&lt;=$AC181)*(OFFSET($N$6,1,MATCH(AW$5,PayDedList,0)-1,PayCount,1)))/$AA181*12*AW$3,IF(OR(AW$1="Fixed",AW$1="Not Used"),SUMPRODUCT((PayEmp=$C181)*(PayDate&lt;=$AC181)*(OFFSET($N$6,1,MATCH(AW$5,PayDedList,0)-1,PayCount,1)))/$AA181*12*AW$3,IF(ISNA(MATCH(OFFSET($N$2,0,MATCH(AW$5,PayDedList,0)-1,1,1),EarnListItem,0))=FALSE,SUMPRODUCT((PayEmp=$C181)*(PayDate&lt;=$AC181)*(OFFSET($N$6,1,MATCH(AW$5,PayDedList,0)-1,PayCount,1)))/$AA181*12*AW$3,(MIN(SUMPRODUCT((PayEmp=$C181)*(PayDate&lt;=$AC181)*(ISERROR(SEARCH(PayEarnCode,AW$2)))*(PayEarnType="Monthly")*(PayEarnValues))/$AA181*12,IF(ISNUMBER(OFFSET($N$3,0,MATCH(AW$5,PayDedList,0)-1,1,1)),OFFSET($N$3,0,MATCH(AW$5,PayDedList,0)-1,1,1),IgnoreMin)))*IF(COUNTIFS(EmpNo,$C181,OFFSET(Emp!$R$4,1,MATCH(AW$5,DedListItem,0)-1,EmpCount,1),"&lt;&gt;")&gt;0,VLOOKUP($C181,EmpAll,COLUMN(Emp!$R$4)+MATCH(AW$5,DedListItem,0)-1,0),OFFSET(Setup!$E$73,MATCH(AW$5,DedListItem,0),0,1,1))*AW$3))),IF(ISNUMBER(AW$4),AW$4,IgnoreMin)))))</f>
        <v>0</v>
      </c>
      <c r="AX181" s="148">
        <f t="shared" ca="1" si="88"/>
        <v>110000</v>
      </c>
      <c r="AY181" s="148">
        <f t="shared" ca="1" si="89"/>
        <v>9000</v>
      </c>
      <c r="AZ181" s="148">
        <f ca="1">IF(ISNUMBER($AL181),($AR181*$AL181)-$AI181-$AK181,MAX(0,IF($AL181="B",IF($AR181&lt;Setup!$C$32,($AR181*Setup!$D$32)-$AI181-$AK181,(($AR181-VLOOKUP($AR181,TaxAll2,1,1))*OFFSET(Setup!$D$32,MATCH($AR181,TaxBracket2,1),0,1,1))+OFFSET(Setup!$E$31,MATCH($AR181,TaxBracket2,1),0,1,1)-$AI181-$AK181),IF($AR181&lt;Setup!$C$21,($AR181*Setup!$D$21)-$AI181-$AK181,(($AR181-VLOOKUP($AR181,TaxAll1,1,1))*OFFSET(Setup!$D$21,MATCH($AR181,TaxBracket1,1),0,1,1))+OFFSET(Setup!$E$20,MATCH($AR181,TaxBracket1,1),0,1,1)-$AI181-$AK181))))</f>
        <v>4185</v>
      </c>
      <c r="BA181" s="148">
        <f ca="1">IF(ISNUMBER($AL181),($AX181*$AL181)-$AI181-$AK181,MAX(0,IF($AL181="B",IF($AX181&lt;Setup!$C$32,($AX181*Setup!$D$32)-$AI181-$AK181,(($AX181-VLOOKUP($AX181,TaxAll2,1,1))*OFFSET(Setup!$D$32,MATCH($AX181,TaxBracket2,1),0,1,1))+OFFSET(Setup!$E$31,MATCH($AX181,TaxBracket2,1),0,1,1)-$AI181-$AK181),IF($AX181&lt;Setup!$C$21,($AX181*Setup!$D$21)-$AI181-$AK181,(($AX181-VLOOKUP($AX181,TaxAll1,1,1))*OFFSET(Setup!$D$21,MATCH($AX181,TaxBracket1,1),0,1,1))+OFFSET(Setup!$E$20,MATCH($AX181,TaxBracket1,1),0,1,1)-$AI181-$AK181))))</f>
        <v>2565</v>
      </c>
      <c r="BB181" s="148">
        <f t="shared" ca="1" si="82"/>
        <v>1620</v>
      </c>
      <c r="BC181" s="150">
        <f t="shared" ca="1" si="75"/>
        <v>0.92436974789915971</v>
      </c>
      <c r="BD181" s="150">
        <f t="shared" ca="1" si="76"/>
        <v>7.5630252100840331E-2</v>
      </c>
      <c r="BE181" s="148">
        <f t="shared" ca="1" si="77"/>
        <v>119000</v>
      </c>
    </row>
    <row r="182" spans="1:57" ht="16.149999999999999" customHeight="1" x14ac:dyDescent="0.25">
      <c r="A182" s="10" t="str" cm="1">
        <f t="array" aca="1" ref="A182" ca="1">IF(ROW($A182)-ROW($A$6)&gt;EmpCount*12,"-",TEXT($B182,"yyyy")&amp;TEXT($B182,"mm")&amp;"-"&amp;$C182)</f>
        <v>202402-EXS011</v>
      </c>
      <c r="B182" s="137" cm="1">
        <f t="array" aca="1" ref="B182" ca="1">IF(ROW($A182)-ROW($A$6)&gt;EmpCount*12,Setup!$D$12,DATE(YEAR(Setup!$F$12),MONTH(Setup!$F$12)+ROUNDDOWN((ROW($A182)-ROW($A$6)-1)/EmpCount,0),IF(Setup!$C$14&gt;DAY(DATE(YEAR(Setup!$F$12),MONTH(Setup!$F$12)+ROUNDDOWN((ROW($A182)-ROW($A$6)-1)/EmpCount,0)+1,0)),DAY(DATE(YEAR(Setup!$F$12),MONTH(Setup!$F$12)+ROUNDDOWN((ROW($A182)-ROW($A$6)-1)/EmpCount,0)+1,0)),Setup!$C$14)))</f>
        <v>45347</v>
      </c>
      <c r="C182" s="101" t="str" cm="1">
        <f t="array" aca="1" ref="C182" ca="1">IF(ROW($A182)-ROW($A$6)&gt;EmpCount*12,"-",OFFSET(Emp!$A$4,ROW($A182)-ROW($A$6)-IF(ROW($A182)-ROW($A$6)&gt;EmpCount,ROUNDDOWN((ROW($A182)-ROW($A$6)-1)/EmpCount,0)*EmpCount,0),0,1,1))</f>
        <v>EXS011</v>
      </c>
      <c r="D182" s="10" t="str">
        <f ca="1">IF(ISNA(VLOOKUP($C182,EmpAll,COLUMN(Emp!$B$4),0)),"-",VLOOKUP($C182,EmpAll,COLUMN(Emp!$B$4),0))</f>
        <v>Newport GD</v>
      </c>
      <c r="E182" s="145" t="str">
        <f ca="1">IF(ISNA(VLOOKUP($C182,EmpAll,COLUMN(Emp!$C$4),0)),"-",VLOOKUP($C182,EmpAll,COLUMN(Emp!$C$4),0))</f>
        <v>A</v>
      </c>
      <c r="F182" s="101" t="str">
        <f ca="1">IF(ISNA(VLOOKUP($C182,EmpAll,COLUMN(Emp!$A$4),0)),"-",IF(AND(VLOOKUP($C182,EmpAll,COLUMN(Emp!$E$4),0)&lt;&gt;0,VLOOKUP($C182,EmpAll,COLUMN(Emp!$E$4),0)&gt;=DATE(YEAR($AC182),MONTH($AC182)+1,0)),"Inactive",IF(AND(VLOOKUP($C182,EmpAll,COLUMN(Emp!$F$4),0)&lt;&gt;0,VLOOKUP($C182,EmpAll,COLUMN(Emp!$F$4),0)&lt;=DATE(YEAR($AC182),MONTH($AC182),0)),"Terminated","Active")))</f>
        <v>Active</v>
      </c>
      <c r="G182" s="133" cm="1">
        <f t="array" aca="1" ref="G182" ca="1">IF($F182&lt;&gt;"Active",0,IF(COUNTIFS(OverEmp,$C182,OverEarn,G$2,OverDate,"&lt;"&amp;DATE(YEAR($AC182),MONTH($AC182)+1,1),OverEnd,"&gt;="&amp;DATE(YEAR($AC182),MONTH($AC182),1))&gt;0,SUMIFS(OverValue,OverEmp,$C182,OverEarn,G$2,OverDate,"&lt;"&amp;DATE(YEAR($AC182),MONTH($AC182)+1,1),OverEnd,"&gt;="&amp;DATE(YEAR($AC182),MONTH($AC182),1)),IF(AND($AC182&gt;=Setup!$E$10,SUMIFS(EmpIncrease,EmpCode,$C182)&gt;0),SUMIFS(EmpIncrease,EmpCode,$C182),SUMIFS(EmpSalary,EmpCode,$C182))))</f>
        <v>6000</v>
      </c>
      <c r="H182" s="133" cm="1">
        <f t="array" aca="1" ref="H182" ca="1">IF($F182&lt;&gt;"Active",0,IF(COUNTIFS(OverEmp,$C182,OverEarn,H$2,OverDate,"&lt;"&amp;DATE(YEAR($AC182),MONTH($AC182)+1,1),OverEnd,"&gt;="&amp;DATE(YEAR($AC182),MONTH($AC182),1))&gt;0,SUMIFS(OverValue,OverEmp,$C182,OverEarn,H$2,OverDate,"&lt;"&amp;DATE(YEAR($AC182),MONTH($AC182)+1,1),OverEnd,"&gt;="&amp;DATE(YEAR($AC182),MONTH($AC182),1)),0))</f>
        <v>0</v>
      </c>
      <c r="I182" s="133" cm="1">
        <f t="array" aca="1" ref="I182" ca="1">IF($F182&lt;&gt;"Active",0,IF(COUNTIFS(OverEmp,$C182,OverEarn,I$2,OverDate,"&lt;"&amp;DATE(YEAR($AC182),MONTH($AC182)+1,1),OverEnd,"&gt;="&amp;DATE(YEAR($AC182),MONTH($AC182),1))&gt;0,SUMIFS(OverValue,OverEmp,$C182,OverEarn,I$2,OverDate,"&lt;"&amp;DATE(YEAR($AC182),MONTH($AC182)+1,1),OverEnd,"&gt;="&amp;DATE(YEAR($AC182),MONTH($AC182),1)),IF(MONTH(B182)=Setup!$C$15,SUMIFS(EmpBonus,EmpCode,$C182),0)))</f>
        <v>0</v>
      </c>
      <c r="J182" s="133" cm="1">
        <f t="array" aca="1" ref="J182" ca="1">IF($F182&lt;&gt;"Active",0,IF(COUNTIFS(OverEmp,$C182,OverEarn,J$2,OverDate,"&lt;"&amp;DATE(YEAR($AC182),MONTH($AC182)+1,1),OverEnd,"&gt;="&amp;DATE(YEAR($AC182),MONTH($AC182),1))&gt;0,SUMIFS(OverValue,OverEmp,$C182,OverEarn,J$2,OverDate,"&lt;"&amp;DATE(YEAR($AC182),MONTH($AC182)+1,1),OverEnd,"&gt;="&amp;DATE(YEAR($AC182),MONTH($AC182),1)),0))</f>
        <v>0</v>
      </c>
      <c r="K182" s="133" cm="1">
        <f t="array" aca="1" ref="K182" ca="1">IF($F182&lt;&gt;"Active",0,IF(COUNTIFS(OverEmp,$C182,OverEarn,K$2,OverDate,"&lt;"&amp;DATE(YEAR($AC182),MONTH($AC182)+1,1),OverEnd,"&gt;="&amp;DATE(YEAR($AC182),MONTH($AC182),1))&gt;0,SUMIFS(OverValue,OverEmp,$C182,OverEarn,K$2,OverDate,"&lt;"&amp;DATE(YEAR($AC182),MONTH($AC182)+1,1),OverEnd,"&gt;="&amp;DATE(YEAR($AC182),MONTH($AC182),1)),0))</f>
        <v>0</v>
      </c>
      <c r="L182" s="185">
        <f t="shared" ca="1" si="84"/>
        <v>6000</v>
      </c>
      <c r="M182" s="182" cm="1">
        <f t="array" aca="1" ref="M182" ca="1">IF(COUNTIFS(OverEmp,$C182,OverTax,M$5,OverDate,"&lt;"&amp;DATE(YEAR($AC182),MONTH($AC182)+1,1),OverEnd,"&gt;="&amp;DATE(YEAR($AC182),MONTH($AC182),1))&gt;0,SUMIFS(OverValue,OverEmp,$C182,OverTax,M$5,OverDate,"&lt;"&amp;DATE(YEAR($AC182),MONTH($AC182)+1,1),OverEnd,"&gt;="&amp;DATE(YEAR($AC182),MONTH($AC182),1)),(($BA182/12*$AA182)+(BB182*IF(1-$BC182=0,0,BD182/(1-$BC182))))-IF($F182="Terminated",0,SUMIFS(PayTaxDeduct,PayDate,"&lt;"&amp;$AC182,PayEmp,$C182)))</f>
        <v>0</v>
      </c>
      <c r="N182" s="133" cm="1">
        <f t="array" aca="1" ref="N182" ca="1">IF($F182="Terminated",0,IF($AA182=0,0,IF(ISNA(MATCH(N$5,DedListItem,0)),0,IF(COUNTIFS(OverEmp,$C182,OverDeduct,N$5,OverDate,"&lt;"&amp;DATE(YEAR($AC182),MONTH($AC182)+1,1),OverEnd,"&gt;="&amp;DATE(YEAR($AC182),MONTH($AC182),1))&gt;0,SUMIFS(OverValue,OverEmp,$C182,OverDeduct,N$5,OverDate,"&lt;"&amp;DATE(YEAR($AC182),MONTH($AC182)+1,1),OverEnd,"&gt;="&amp;DATE(YEAR($AC182),MONTH($AC182),1)),IF(OR(N$2="Fixed",N$2="Not Used"),(IF(COUNTIFS(EmpNo,$C182,OFFSET(Emp!$R$4,1,MATCH(N$5,DedListItem,0)-1,EmpCount,1),"&lt;&gt;")&gt;0,VLOOKUP($C182,EmpAll,COLUMN(Emp!$R$4)+MATCH(N$5,DedListItem,0)-1,0),OFFSET(Setup!$E$73,MATCH(N$5,DedListItem,0),0,1,1))*$AA182)-SUMIFS(OFFSET(N$6,1,0,PayCount,1),PayDate,"&lt;"&amp;$AC182,PayEmp,$C182),IF(ISNA(MATCH(N$2,EarnListItem,0))=FALSE,IF(OFFSET(Setup!$G$73,MATCH(N$5,DedListItem,0),0,1,1)="Taxable",SUMPRODUCT((PayEmp=$C182)*(PayDate&lt;=$AC182)*(PayEarnCode=N$2)*(PayEarnTax)*(PayEarnValues)),SUMPRODUCT((PayEmp=$C182)*(PayDate&lt;=$AC182)*(PayEarnCode=N$2)*(PayEarnValues)))*IF(COUNTIFS(EmpNo,$C182,OFFSET(Emp!$R$4,1,MATCH(N$5,DedListItem,0)-1,EmpCount,1),"&lt;&gt;")&gt;0,VLOOKUP($C182,EmpAll,COLUMN(Emp!$R$4)+MATCH(N$5,DedListItem,0)-1,0),OFFSET(Setup!$E$73,MATCH(N$5,DedListItem,0),0,1,1)),(MIN(IF(OFFSET(Setup!$G$73,MATCH(N$5,DedListItem,0),0,1,1)="Taxable",SUMPRODUCT((PayEmp=$C182)*(PayDate&lt;=$AC182)*(ISERROR(SEARCH(PayEarnCode,N$4)))*(PayEarnTax)*(PayEarnValues)),SUMPRODUCT((PayEmp=$C182)*(PayDate&lt;=$AC182)*(ISERROR(SEARCH(PayEarnCode,N$4)))*(PayEarnValues))),IF(ISNUMBER(N$3),N$3/12*$AA182,IgnoreMin)))*IF(COUNTIFS(EmpNo,$C182,OFFSET(Emp!$R$4,1,MATCH(N$5,DedListItem,0)-1,EmpCount,1),"&lt;&gt;")&gt;0,VLOOKUP($C182,EmpAll,COLUMN(Emp!$R$4)+MATCH(N$5,DedListItem,0)-1,0),OFFSET(Setup!$E$73,MATCH(N$5,DedListItem,0),0,1,1)))-SUMIFS(OFFSET(N$6,1,0,PayCount,1),PayDate,"&lt;"&amp;$AC182,PayEmp,$C182))))))</f>
        <v>60</v>
      </c>
      <c r="O182" s="133" cm="1">
        <f t="array" aca="1" ref="O182" ca="1">IF($F182="Terminated",0,IF($AA182=0,0,IF(ISNA(MATCH(O$5,DedListItem,0)),0,IF(COUNTIFS(OverEmp,$C182,OverDeduct,O$5,OverDate,"&lt;"&amp;DATE(YEAR($AC182),MONTH($AC182)+1,1),OverEnd,"&gt;="&amp;DATE(YEAR($AC182),MONTH($AC182),1))&gt;0,SUMIFS(OverValue,OverEmp,$C182,OverDeduct,O$5,OverDate,"&lt;"&amp;DATE(YEAR($AC182),MONTH($AC182)+1,1),OverEnd,"&gt;="&amp;DATE(YEAR($AC182),MONTH($AC182),1)),IF(OR(O$2="Fixed",O$2="Not Used"),(IF(COUNTIFS(EmpNo,$C182,OFFSET(Emp!$R$4,1,MATCH(O$5,DedListItem,0)-1,EmpCount,1),"&lt;&gt;")&gt;0,VLOOKUP($C182,EmpAll,COLUMN(Emp!$R$4)+MATCH(O$5,DedListItem,0)-1,0),OFFSET(Setup!$E$73,MATCH(O$5,DedListItem,0),0,1,1))*$AA182)-SUMIFS(OFFSET(O$6,1,0,PayCount,1),PayDate,"&lt;"&amp;$AC182,PayEmp,$C182),IF(ISNA(MATCH(O$2,EarnListItem,0))=FALSE,IF(OFFSET(Setup!$G$73,MATCH(O$5,DedListItem,0),0,1,1)="Taxable",SUMPRODUCT((PayEmp=$C182)*(PayDate&lt;=$AC182)*(PayEarnCode=O$2)*(PayEarnTax)*(PayEarnValues)),SUMPRODUCT((PayEmp=$C182)*(PayDate&lt;=$AC182)*(PayEarnCode=O$2)*(PayEarnValues)))*IF(COUNTIFS(EmpNo,$C182,OFFSET(Emp!$R$4,1,MATCH(O$5,DedListItem,0)-1,EmpCount,1),"&lt;&gt;")&gt;0,VLOOKUP($C182,EmpAll,COLUMN(Emp!$R$4)+MATCH(O$5,DedListItem,0)-1,0),OFFSET(Setup!$E$73,MATCH(O$5,DedListItem,0),0,1,1)),(MIN(IF(OFFSET(Setup!$G$73,MATCH(O$5,DedListItem,0),0,1,1)="Taxable",SUMPRODUCT((PayEmp=$C182)*(PayDate&lt;=$AC182)*(ISERROR(SEARCH(PayEarnCode,O$4)))*(PayEarnTax)*(PayEarnValues)),SUMPRODUCT((PayEmp=$C182)*(PayDate&lt;=$AC182)*(ISERROR(SEARCH(PayEarnCode,O$4)))*(PayEarnValues))),IF(ISNUMBER(O$3),O$3/12*$AA182,IgnoreMin)))*IF(COUNTIFS(EmpNo,$C182,OFFSET(Emp!$R$4,1,MATCH(O$5,DedListItem,0)-1,EmpCount,1),"&lt;&gt;")&gt;0,VLOOKUP($C182,EmpAll,COLUMN(Emp!$R$4)+MATCH(O$5,DedListItem,0)-1,0),OFFSET(Setup!$E$73,MATCH(O$5,DedListItem,0),0,1,1)))-SUMIFS(OFFSET(O$6,1,0,PayCount,1),PayDate,"&lt;"&amp;$AC182,PayEmp,$C182))))))</f>
        <v>0</v>
      </c>
      <c r="P182" s="133" cm="1">
        <f t="array" aca="1" ref="P182" ca="1">IF($F182="Terminated",0,IF($AA182=0,0,IF(ISNA(MATCH(P$5,DedListItem,0)),0,IF(COUNTIFS(OverEmp,$C182,OverDeduct,P$5,OverDate,"&lt;"&amp;DATE(YEAR($AC182),MONTH($AC182)+1,1),OverEnd,"&gt;="&amp;DATE(YEAR($AC182),MONTH($AC182),1))&gt;0,SUMIFS(OverValue,OverEmp,$C182,OverDeduct,P$5,OverDate,"&lt;"&amp;DATE(YEAR($AC182),MONTH($AC182)+1,1),OverEnd,"&gt;="&amp;DATE(YEAR($AC182),MONTH($AC182),1)),IF(OR(P$2="Fixed",P$2="Not Used"),(IF(COUNTIFS(EmpNo,$C182,OFFSET(Emp!$R$4,1,MATCH(P$5,DedListItem,0)-1,EmpCount,1),"&lt;&gt;")&gt;0,VLOOKUP($C182,EmpAll,COLUMN(Emp!$R$4)+MATCH(P$5,DedListItem,0)-1,0),OFFSET(Setup!$E$73,MATCH(P$5,DedListItem,0),0,1,1))*$AA182)-SUMIFS(OFFSET(P$6,1,0,PayCount,1),PayDate,"&lt;"&amp;$AC182,PayEmp,$C182),IF(ISNA(MATCH(P$2,EarnListItem,0))=FALSE,IF(OFFSET(Setup!$G$73,MATCH(P$5,DedListItem,0),0,1,1)="Taxable",SUMPRODUCT((PayEmp=$C182)*(PayDate&lt;=$AC182)*(PayEarnCode=P$2)*(PayEarnTax)*(PayEarnValues)),SUMPRODUCT((PayEmp=$C182)*(PayDate&lt;=$AC182)*(PayEarnCode=P$2)*(PayEarnValues)))*IF(COUNTIFS(EmpNo,$C182,OFFSET(Emp!$R$4,1,MATCH(P$5,DedListItem,0)-1,EmpCount,1),"&lt;&gt;")&gt;0,VLOOKUP($C182,EmpAll,COLUMN(Emp!$R$4)+MATCH(P$5,DedListItem,0)-1,0),OFFSET(Setup!$E$73,MATCH(P$5,DedListItem,0),0,1,1)),(MIN(IF(OFFSET(Setup!$G$73,MATCH(P$5,DedListItem,0),0,1,1)="Taxable",SUMPRODUCT((PayEmp=$C182)*(PayDate&lt;=$AC182)*(ISERROR(SEARCH(PayEarnCode,P$4)))*(PayEarnTax)*(PayEarnValues)),SUMPRODUCT((PayEmp=$C182)*(PayDate&lt;=$AC182)*(ISERROR(SEARCH(PayEarnCode,P$4)))*(PayEarnValues))),IF(ISNUMBER(P$3),P$3/12*$AA182,IgnoreMin)))*IF(COUNTIFS(EmpNo,$C182,OFFSET(Emp!$R$4,1,MATCH(P$5,DedListItem,0)-1,EmpCount,1),"&lt;&gt;")&gt;0,VLOOKUP($C182,EmpAll,COLUMN(Emp!$R$4)+MATCH(P$5,DedListItem,0)-1,0),OFFSET(Setup!$E$73,MATCH(P$5,DedListItem,0),0,1,1)))-SUMIFS(OFFSET(P$6,1,0,PayCount,1),PayDate,"&lt;"&amp;$AC182,PayEmp,$C182))))))</f>
        <v>0</v>
      </c>
      <c r="Q182" s="133" cm="1">
        <f t="array" aca="1" ref="Q182" ca="1">IF($F182="Terminated",0,IF($AA182=0,0,IF(ISNA(MATCH(Q$5,DedListItem,0)),0,IF(COUNTIFS(OverEmp,$C182,OverDeduct,Q$5,OverDate,"&lt;"&amp;DATE(YEAR($AC182),MONTH($AC182)+1,1),OverEnd,"&gt;="&amp;DATE(YEAR($AC182),MONTH($AC182),1))&gt;0,SUMIFS(OverValue,OverEmp,$C182,OverDeduct,Q$5,OverDate,"&lt;"&amp;DATE(YEAR($AC182),MONTH($AC182)+1,1),OverEnd,"&gt;="&amp;DATE(YEAR($AC182),MONTH($AC182),1)),IF(OR(Q$2="Fixed",Q$2="Not Used"),(IF(COUNTIFS(EmpNo,$C182,OFFSET(Emp!$R$4,1,MATCH(Q$5,DedListItem,0)-1,EmpCount,1),"&lt;&gt;")&gt;0,VLOOKUP($C182,EmpAll,COLUMN(Emp!$R$4)+MATCH(Q$5,DedListItem,0)-1,0),OFFSET(Setup!$E$73,MATCH(Q$5,DedListItem,0),0,1,1))*$AA182)-SUMIFS(OFFSET(Q$6,1,0,PayCount,1),PayDate,"&lt;"&amp;$AC182,PayEmp,$C182),IF(ISNA(MATCH(Q$2,EarnListItem,0))=FALSE,IF(OFFSET(Setup!$G$73,MATCH(Q$5,DedListItem,0),0,1,1)="Taxable",SUMPRODUCT((PayEmp=$C182)*(PayDate&lt;=$AC182)*(PayEarnCode=Q$2)*(PayEarnTax)*(PayEarnValues)),SUMPRODUCT((PayEmp=$C182)*(PayDate&lt;=$AC182)*(PayEarnCode=Q$2)*(PayEarnValues)))*IF(COUNTIFS(EmpNo,$C182,OFFSET(Emp!$R$4,1,MATCH(Q$5,DedListItem,0)-1,EmpCount,1),"&lt;&gt;")&gt;0,VLOOKUP($C182,EmpAll,COLUMN(Emp!$R$4)+MATCH(Q$5,DedListItem,0)-1,0),OFFSET(Setup!$E$73,MATCH(Q$5,DedListItem,0),0,1,1)),(MIN(IF(OFFSET(Setup!$G$73,MATCH(Q$5,DedListItem,0),0,1,1)="Taxable",SUMPRODUCT((PayEmp=$C182)*(PayDate&lt;=$AC182)*(ISERROR(SEARCH(PayEarnCode,Q$4)))*(PayEarnTax)*(PayEarnValues)),SUMPRODUCT((PayEmp=$C182)*(PayDate&lt;=$AC182)*(ISERROR(SEARCH(PayEarnCode,Q$4)))*(PayEarnValues))),IF(ISNUMBER(Q$3),Q$3/12*$AA182,IgnoreMin)))*IF(COUNTIFS(EmpNo,$C182,OFFSET(Emp!$R$4,1,MATCH(Q$5,DedListItem,0)-1,EmpCount,1),"&lt;&gt;")&gt;0,VLOOKUP($C182,EmpAll,COLUMN(Emp!$R$4)+MATCH(Q$5,DedListItem,0)-1,0),OFFSET(Setup!$E$73,MATCH(Q$5,DedListItem,0),0,1,1)))-SUMIFS(OFFSET(Q$6,1,0,PayCount,1),PayDate,"&lt;"&amp;$AC182,PayEmp,$C182))))))</f>
        <v>0</v>
      </c>
      <c r="R182" s="185">
        <f t="shared" ca="1" si="85"/>
        <v>60</v>
      </c>
      <c r="S182" s="139">
        <f t="shared" ca="1" si="86"/>
        <v>5940</v>
      </c>
      <c r="T182" s="133" cm="1">
        <f t="array" aca="1" ref="T182" ca="1">IF($F182="Terminated",0,IF($AA182=0,0,IF(ISNA(MATCH(T$5,CompListItem,0)),0,IF(COUNTIFS(OverEmp,$C182,OverComp,T$5,OverDate,"&lt;"&amp;DATE(YEAR($AC182),MONTH($AC182)+1,1),OverEnd,"&gt;="&amp;DATE(YEAR($AC182),MONTH($AC182),1))&gt;0,SUMIFS(OverValue,OverEmp,$C182,OverComp,T$5,OverDate,"&lt;"&amp;DATE(YEAR($AC182),MONTH($AC182)+1,1),OverEnd,"&gt;="&amp;DATE(YEAR($AC182),MONTH($AC182),1)),IF(OR(T$2="Fixed",T$2="Not Used"),(OFFSET(Setup!$E$81,MATCH(T$5,CompListItem,0),0,1,1)*$AA182)-SUMIFS(OFFSET(T$6,1,0,PayCount,1),PayDate,"&lt;"&amp;$AC182,PayEmp,$C182),IF(ISNA(MATCH(T$2,DedListItem,0))=FALSE,(SUMPRODUCT((PayEmp=$C182)*(PayDate&lt;=$AC182)*(PayDedList=T$2)*(PayDedValues))*OFFSET(Setup!$E$81,MATCH(T$5,CompListItem,0),0,1,1))-SUMIFS(OFFSET(T$6,1,0,PayCount,1),PayDate,"&lt;"&amp;$AC182,PayEmp,$C182),(MIN(IF(OFFSET(Setup!$G$81,MATCH(T$5,CompListItem,0),0,1,1)="Taxable",SUMPRODUCT((PayEmp=$C182)*(PayDate&lt;=$AC182)*(ISERROR(SEARCH(PayEarnCode,T$4)))*(PayEarnTax)*(PayEarnValues)),SUMPRODUCT((PayEmp=$C182)*(PayDate&lt;=$AC182)*(ISERROR(SEARCH(PayEarnCode,T$4)))*(PayEarnValues))),IF(ISNUMBER(T$3),T$3/12*$AA182,IgnoreMin)))*OFFSET(Setup!$E$81,MATCH(T$5,CompListItem,0),0,1,1)-SUMIFS(OFFSET(T$6,1,0,PayCount,1),PayDate,"&lt;"&amp;$AC182,PayEmp,$C182)))))))</f>
        <v>60</v>
      </c>
      <c r="U182" s="133" cm="1">
        <f t="array" aca="1" ref="U182" ca="1">IF($F182="Terminated",0,IF($AA182=0,0,IF(ISNA(MATCH(U$5,CompListItem,0)),0,IF(COUNTIFS(OverEmp,$C182,OverComp,U$5,OverDate,"&lt;"&amp;DATE(YEAR($AC182),MONTH($AC182)+1,1),OverEnd,"&gt;="&amp;DATE(YEAR($AC182),MONTH($AC182),1))&gt;0,SUMIFS(OverValue,OverEmp,$C182,OverComp,U$5,OverDate,"&lt;"&amp;DATE(YEAR($AC182),MONTH($AC182)+1,1),OverEnd,"&gt;="&amp;DATE(YEAR($AC182),MONTH($AC182),1)),IF(OR(U$2="Fixed",U$2="Not Used"),(OFFSET(Setup!$E$81,MATCH(U$5,CompListItem,0),0,1,1)*$AA182)-SUMIFS(OFFSET(U$6,1,0,PayCount,1),PayDate,"&lt;"&amp;$AC182,PayEmp,$C182),IF(ISNA(MATCH(U$2,DedListItem,0))=FALSE,(SUMPRODUCT((PayEmp=$C182)*(PayDate&lt;=$AC182)*(PayDedList=U$2)*(PayDedValues))*OFFSET(Setup!$E$81,MATCH(U$5,CompListItem,0),0,1,1))-SUMIFS(OFFSET(U$6,1,0,PayCount,1),PayDate,"&lt;"&amp;$AC182,PayEmp,$C182),(MIN(IF(OFFSET(Setup!$G$81,MATCH(U$5,CompListItem,0),0,1,1)="Taxable",SUMPRODUCT((PayEmp=$C182)*(PayDate&lt;=$AC182)*(ISERROR(SEARCH(PayEarnCode,U$4)))*(PayEarnTax)*(PayEarnValues)),SUMPRODUCT((PayEmp=$C182)*(PayDate&lt;=$AC182)*(ISERROR(SEARCH(PayEarnCode,U$4)))*(PayEarnValues))),IF(ISNUMBER(U$3),U$3/12*$AA182,IgnoreMin)))*OFFSET(Setup!$E$81,MATCH(U$5,CompListItem,0),0,1,1)-SUMIFS(OFFSET(U$6,1,0,PayCount,1),PayDate,"&lt;"&amp;$AC182,PayEmp,$C182)))))))</f>
        <v>60</v>
      </c>
      <c r="V182" s="133" cm="1">
        <f t="array" aca="1" ref="V182" ca="1">IF($F182="Terminated",0,IF($AA182=0,0,IF(ISNA(MATCH(V$5,CompListItem,0)),0,IF(COUNTIFS(OverEmp,$C182,OverComp,V$5,OverDate,"&lt;"&amp;DATE(YEAR($AC182),MONTH($AC182)+1,1),OverEnd,"&gt;="&amp;DATE(YEAR($AC182),MONTH($AC182),1))&gt;0,SUMIFS(OverValue,OverEmp,$C182,OverComp,V$5,OverDate,"&lt;"&amp;DATE(YEAR($AC182),MONTH($AC182)+1,1),OverEnd,"&gt;="&amp;DATE(YEAR($AC182),MONTH($AC182),1)),IF(OR(V$2="Fixed",V$2="Not Used"),(OFFSET(Setup!$E$81,MATCH(V$5,CompListItem,0),0,1,1)*$AA182)-SUMIFS(OFFSET(V$6,1,0,PayCount,1),PayDate,"&lt;"&amp;$AC182,PayEmp,$C182),IF(ISNA(MATCH(V$2,DedListItem,0))=FALSE,(SUMPRODUCT((PayEmp=$C182)*(PayDate&lt;=$AC182)*(PayDedList=V$2)*(PayDedValues))*OFFSET(Setup!$E$81,MATCH(V$5,CompListItem,0),0,1,1))-SUMIFS(OFFSET(V$6,1,0,PayCount,1),PayDate,"&lt;"&amp;$AC182,PayEmp,$C182),(MIN(IF(OFFSET(Setup!$G$81,MATCH(V$5,CompListItem,0),0,1,1)="Taxable",SUMPRODUCT((PayEmp=$C182)*(PayDate&lt;=$AC182)*(ISERROR(SEARCH(PayEarnCode,V$4)))*(PayEarnTax)*(PayEarnValues)),SUMPRODUCT((PayEmp=$C182)*(PayDate&lt;=$AC182)*(ISERROR(SEARCH(PayEarnCode,V$4)))*(PayEarnValues))),IF(ISNUMBER(V$3),V$3/12*$AA182,IgnoreMin)))*OFFSET(Setup!$E$81,MATCH(V$5,CompListItem,0),0,1,1)-SUMIFS(OFFSET(V$6,1,0,PayCount,1),PayDate,"&lt;"&amp;$AC182,PayEmp,$C182)))))))</f>
        <v>0</v>
      </c>
      <c r="W182" s="133" cm="1">
        <f t="array" aca="1" ref="W182" ca="1">IF($F182="Terminated",0,IF($AA182=0,0,IF(ISNA(MATCH(W$5,CompListItem,0)),0,IF(COUNTIFS(OverEmp,$C182,OverComp,W$5,OverDate,"&lt;"&amp;DATE(YEAR($AC182),MONTH($AC182)+1,1),OverEnd,"&gt;="&amp;DATE(YEAR($AC182),MONTH($AC182),1))&gt;0,SUMIFS(OverValue,OverEmp,$C182,OverComp,W$5,OverDate,"&lt;"&amp;DATE(YEAR($AC182),MONTH($AC182)+1,1),OverEnd,"&gt;="&amp;DATE(YEAR($AC182),MONTH($AC182),1)),IF(OR(W$2="Fixed",W$2="Not Used"),(OFFSET(Setup!$E$81,MATCH(W$5,CompListItem,0),0,1,1)*$AA182)-SUMIFS(OFFSET(W$6,1,0,PayCount,1),PayDate,"&lt;"&amp;$AC182,PayEmp,$C182),IF(ISNA(MATCH(W$2,DedListItem,0))=FALSE,(SUMPRODUCT((PayEmp=$C182)*(PayDate&lt;=$AC182)*(PayDedList=W$2)*(PayDedValues))*OFFSET(Setup!$E$81,MATCH(W$5,CompListItem,0),0,1,1))-SUMIFS(OFFSET(W$6,1,0,PayCount,1),PayDate,"&lt;"&amp;$AC182,PayEmp,$C182),(MIN(IF(OFFSET(Setup!$G$81,MATCH(W$5,CompListItem,0),0,1,1)="Taxable",SUMPRODUCT((PayEmp=$C182)*(PayDate&lt;=$AC182)*(ISERROR(SEARCH(PayEarnCode,W$4)))*(PayEarnTax)*(PayEarnValues)),SUMPRODUCT((PayEmp=$C182)*(PayDate&lt;=$AC182)*(ISERROR(SEARCH(PayEarnCode,W$4)))*(PayEarnValues))),IF(ISNUMBER(W$3),W$3/12*$AA182,IgnoreMin)))*OFFSET(Setup!$E$81,MATCH(W$5,CompListItem,0),0,1,1)-SUMIFS(OFFSET(W$6,1,0,PayCount,1),PayDate,"&lt;"&amp;$AC182,PayEmp,$C182)))))))</f>
        <v>0</v>
      </c>
      <c r="X182" s="185">
        <f t="shared" ca="1" si="78"/>
        <v>120</v>
      </c>
      <c r="Y182" s="139">
        <f t="shared" ca="1" si="87"/>
        <v>6120</v>
      </c>
      <c r="Z182" s="139">
        <f t="shared" ca="1" si="79"/>
        <v>180</v>
      </c>
      <c r="AA182" s="146">
        <f ca="1">IF(OR($B182&lt;=Setup!$E$12,$B182&gt;=Setup!$D$12+1),0,IF($F182&lt;&gt;"Active",0,IF($AE182="Yes",$AB182,((YEAR($AC182)*12)+MONTH($AC182))-((YEAR($AD182)*12)+MONTH($AD182)-1))))</f>
        <v>12</v>
      </c>
      <c r="AB182" s="146">
        <f ca="1">IF(OR($B182&lt;=Setup!$E$12,$B182&gt;=Setup!$D$12+1),0,((YEAR($AC182)*12)+MONTH($AC182))-((YEAR(Setup!$E$12)*12)+MONTH(Setup!$E$12)))</f>
        <v>12</v>
      </c>
      <c r="AC182" s="186">
        <f t="shared" ca="1" si="83"/>
        <v>45347</v>
      </c>
      <c r="AD182" s="144">
        <f ca="1">IF(ISNA(VLOOKUP($C182,EmpAll,COLUMN(Emp!$E$4),0)),$AC182,IF(VLOOKUP($C182,EmpAll,COLUMN(Emp!$E$4),0)&lt;=Setup!$E$12,DATE(YEAR(Setup!$E$12),MONTH(Setup!$E$12)+1,1),VLOOKUP($C182,EmpAll,COLUMN(Emp!$E$4),0)))</f>
        <v>44986</v>
      </c>
      <c r="AE182" s="144" t="str">
        <f ca="1">IF(ISNA(VLOOKUP($C182,EmpAll,COLUMN(Emp!$G$1),0)),"-",IF(VLOOKUP($C182,EmpAll,COLUMN(Emp!$G$1),0)=0,"-",VLOOKUP($C182,EmpAll,COLUMN(Emp!$G$1),0)))</f>
        <v>-</v>
      </c>
      <c r="AF182" s="145">
        <f ca="1">IF(A182=PaySlip!$G$3,1,0)</f>
        <v>0</v>
      </c>
      <c r="AG182" s="130" cm="1">
        <f t="array" aca="1" ref="AG182" ca="1">IF(COUNTIFS(OverEmp,$C182,OverMed,"MED",OverDate,"&lt;"&amp;DATE(YEAR($AC182),MONTH($AC182)+1,1),OverEnd,"&gt;="&amp;DATE(YEAR($AC182),MONTH($AC182),1))&gt;0,SUMIFS(OverValue,OverEmp,$C182,OverMed,"MED",OverDate,"&lt;"&amp;DATE(YEAR($AC182),MONTH($AC182)+1,1),OverEnd,"&gt;="&amp;DATE(YEAR($AC182),MONTH($AC182),1)),IF(ISNA(VLOOKUP($C182,EmpAll,COLUMN(Emp!$N$4),0)),0,VLOOKUP($C182,EmpAll,COLUMN(Emp!$N$4),0)))</f>
        <v>0</v>
      </c>
      <c r="AH182" s="146">
        <f ca="1">VLOOKUP($AG182,MedList,COLUMN(Setup!$C$49),1)</f>
        <v>0</v>
      </c>
      <c r="AI182" s="146">
        <f t="shared" ca="1" si="70"/>
        <v>0</v>
      </c>
      <c r="AJ182" s="101" t="str">
        <f ca="1">IF(ISNA(VLOOKUP($C182,EmpAll,COLUMN(Emp!$L$4),0)),"None!",VLOOKUP($C182,EmpAll,COLUMN(Emp!$L$4),0))</f>
        <v>A</v>
      </c>
      <c r="AK182" s="147">
        <f t="shared" ca="1" si="80"/>
        <v>17235</v>
      </c>
      <c r="AL182" s="101" t="str">
        <f ca="1">IF(ISNA(VLOOKUP($C182,Employees[],COLUMN(Emp!$M$4),0))=TRUE,"Error!",IF(VLOOKUP($C182,Employees[],COLUMN(Emp!$M$4),0)=0,"Yes",VLOOKUP($C182,Employees[],COLUMN(Emp!$M$4),0)))</f>
        <v>A</v>
      </c>
      <c r="AM182" s="148">
        <f t="shared" ca="1" si="71"/>
        <v>67000</v>
      </c>
      <c r="AN182" s="148" cm="1">
        <f t="array" aca="1" ref="AN182" ca="1">-IF($F182="Terminated",0,IF($AA182=0,0,IF(ISNA(MATCH(AN$5,PayDedList,0)),0,MIN(IF(COUNTIFS(OverEmp,$C182,OverDeduct,AN$5,OverDate,"&lt;"&amp;DATE(YEAR($AC182),MONTH($AC182)+1,1),OverEnd,"&gt;="&amp;DATE(YEAR($AC182),MONTH($AC182),1))&gt;0,SUMPRODUCT((PayEmp=$C182)*(PayDate&lt;=$AC182)*(OFFSET($N$6,1,MATCH(AN$5,PayDedList,0)-1,PayCount,1)))/$AA182*12*AN$3,IF(OR(AN$1="Fixed",AN$1="Not Used"),SUMPRODUCT((PayEmp=$C182)*(PayDate&lt;=$AC182)*(OFFSET($N$6,1,MATCH(AN$5,PayDedList,0)-1,PayCount,1)))/$AA182*12*AN$3,IF(ISNA(MATCH(AN$1,EarnListItem,0))=FALSE,SUMPRODUCT((PayEmp=$C182)*(PayDate&lt;=$AC182)*(OFFSET($N$6,1,MATCH(AN$5,PayDedList,0)-1,PayCount,1)))/$AA182*12*AN$3,(MIN(((SUMPRODUCT((PayEmp=$C182)*(PayDate&lt;=$AC182)*(ISERROR(SEARCH(PayEarnCode,AN$2)))*(PayEarnType="Monthly")*(PayEarnValues))/$AA182*12)+(SUMPRODUCT((PayEmp=$C182)*(PayDate&lt;=$AC182)*(ISERROR(SEARCH(PayEarnCode,AN$2)))*(PayEarnType="Quarterly")*(PayEarnValues))/MAX(1,ROUNDDOWN($AB182/3,0))*4)+(SUMPRODUCT((PayEmp=$C182)*(PayDate&lt;=$AC182)*(ISERROR(SEARCH(PayEarnCode,AN$2)))*(PayEarnType="Bi-Annual")*(PayEarnValues))/MAX(1,ROUNDDOWN($AB182/6,0))*2)+(SUMPRODUCT((PayEmp=$C182)*(PayDate&lt;=$AC182)*(ISERROR(SEARCH(PayEarnCode,AN$2)))*(PayEarnType="Annual")*(PayEarnValues)))),IF(ISNUMBER(OFFSET($N$3,0,MATCH(AN$5,PayDedList,0)-1,1,1)),OFFSET($N$3,0,MATCH(AN$5,PayDedList,0)-1,1,1),IgnoreMin)))*IF(COUNTIFS(EmpNo,$C182,OFFSET(Emp!$R$4,1,MATCH(AN$5,DedListItem,0)-1,EmpCount,1),"&lt;&gt;")&gt;0,VLOOKUP($C182,EmpAll,COLUMN(Emp!$R$4)+MATCH(AN$5,DedListItem,0)-1,0),OFFSET(Setup!$E$73,MATCH(AN$5,DedListItem,0),0,1,1))*AN$3))),IF(ISNUMBER(AN$4),AN$4,IgnoreMin)))))</f>
        <v>0</v>
      </c>
      <c r="AO182" s="148" cm="1">
        <f t="array" aca="1" ref="AO182" ca="1">-IF($F182="Terminated",0,IF($AA182=0,0,IF(ISNA(MATCH(AO$5,PayDedList,0)),0,MIN(IF(COUNTIFS(OverEmp,$C182,OverDeduct,AO$5,OverDate,"&lt;"&amp;DATE(YEAR($AC182),MONTH($AC182)+1,1),OverEnd,"&gt;="&amp;DATE(YEAR($AC182),MONTH($AC182),1))&gt;0,SUMPRODUCT((PayEmp=$C182)*(PayDate&lt;=$AC182)*(OFFSET($N$6,1,MATCH(AO$5,PayDedList,0)-1,PayCount,1)))/$AA182*12*AO$3,IF(OR(AO$1="Fixed",AO$1="Not Used"),SUMPRODUCT((PayEmp=$C182)*(PayDate&lt;=$AC182)*(OFFSET($N$6,1,MATCH(AO$5,PayDedList,0)-1,PayCount,1)))/$AA182*12*AO$3,IF(ISNA(MATCH(AO$1,EarnListItem,0))=FALSE,SUMPRODUCT((PayEmp=$C182)*(PayDate&lt;=$AC182)*(OFFSET($N$6,1,MATCH(AO$5,PayDedList,0)-1,PayCount,1)))/$AA182*12*AO$3,(MIN(((SUMPRODUCT((PayEmp=$C182)*(PayDate&lt;=$AC182)*(ISERROR(SEARCH(PayEarnCode,AO$2)))*(PayEarnType="Monthly")*(PayEarnValues))/$AA182*12)+(SUMPRODUCT((PayEmp=$C182)*(PayDate&lt;=$AC182)*(ISERROR(SEARCH(PayEarnCode,AO$2)))*(PayEarnType="Quarterly")*(PayEarnValues))/MAX(1,ROUNDDOWN($AB182/3,0))*4)+(SUMPRODUCT((PayEmp=$C182)*(PayDate&lt;=$AC182)*(ISERROR(SEARCH(PayEarnCode,AO$2)))*(PayEarnType="Bi-Annual")*(PayEarnValues))/MAX(1,ROUNDDOWN($AB182/6,0))*2)+(SUMPRODUCT((PayEmp=$C182)*(PayDate&lt;=$AC182)*(ISERROR(SEARCH(PayEarnCode,AO$2)))*(PayEarnType="Annual")*(PayEarnValues)))),IF(ISNUMBER(OFFSET($N$3,0,MATCH(AO$5,PayDedList,0)-1,1,1)),OFFSET($N$3,0,MATCH(AO$5,PayDedList,0)-1,1,1),IgnoreMin)))*IF(COUNTIFS(EmpNo,$C182,OFFSET(Emp!$R$4,1,MATCH(AO$5,DedListItem,0)-1,EmpCount,1),"&lt;&gt;")&gt;0,VLOOKUP($C182,EmpAll,COLUMN(Emp!$R$4)+MATCH(AO$5,DedListItem,0)-1,0),OFFSET(Setup!$E$73,MATCH(AO$5,DedListItem,0),0,1,1))*AO$3))),IF(ISNUMBER(AO$4),AO$4,IgnoreMin)))))</f>
        <v>0</v>
      </c>
      <c r="AP182" s="148" cm="1">
        <f t="array" aca="1" ref="AP182" ca="1">-IF($F182="Terminated",0,IF($AA182=0,0,IF(ISNA(MATCH(AP$5,PayDedList,0)),0,MIN(IF(COUNTIFS(OverEmp,$C182,OverDeduct,AP$5,OverDate,"&lt;"&amp;DATE(YEAR($AC182),MONTH($AC182)+1,1),OverEnd,"&gt;="&amp;DATE(YEAR($AC182),MONTH($AC182),1))&gt;0,SUMPRODUCT((PayEmp=$C182)*(PayDate&lt;=$AC182)*(OFFSET($N$6,1,MATCH(AP$5,PayDedList,0)-1,PayCount,1)))/$AA182*12*AP$3,IF(OR(AP$1="Fixed",AP$1="Not Used"),SUMPRODUCT((PayEmp=$C182)*(PayDate&lt;=$AC182)*(OFFSET($N$6,1,MATCH(AP$5,PayDedList,0)-1,PayCount,1)))/$AA182*12*AP$3,IF(ISNA(MATCH(AP$1,EarnListItem,0))=FALSE,SUMPRODUCT((PayEmp=$C182)*(PayDate&lt;=$AC182)*(OFFSET($N$6,1,MATCH(AP$5,PayDedList,0)-1,PayCount,1)))/$AA182*12*AP$3,(MIN(((SUMPRODUCT((PayEmp=$C182)*(PayDate&lt;=$AC182)*(ISERROR(SEARCH(PayEarnCode,AP$2)))*(PayEarnType="Monthly")*(PayEarnValues))/$AA182*12)+(SUMPRODUCT((PayEmp=$C182)*(PayDate&lt;=$AC182)*(ISERROR(SEARCH(PayEarnCode,AP$2)))*(PayEarnType="Quarterly")*(PayEarnValues))/MAX(1,ROUNDDOWN($AB182/3,0))*4)+(SUMPRODUCT((PayEmp=$C182)*(PayDate&lt;=$AC182)*(ISERROR(SEARCH(PayEarnCode,AP$2)))*(PayEarnType="Bi-Annual")*(PayEarnValues))/MAX(1,ROUNDDOWN($AB182/6,0))*2)+(SUMPRODUCT((PayEmp=$C182)*(PayDate&lt;=$AC182)*(ISERROR(SEARCH(PayEarnCode,AP$2)))*(PayEarnType="Annual")*(PayEarnValues)))),IF(ISNUMBER(OFFSET($N$3,0,MATCH(AP$5,PayDedList,0)-1,1,1)),OFFSET($N$3,0,MATCH(AP$5,PayDedList,0)-1,1,1),IgnoreMin)))*IF(COUNTIFS(EmpNo,$C182,OFFSET(Emp!$R$4,1,MATCH(AP$5,DedListItem,0)-1,EmpCount,1),"&lt;&gt;")&gt;0,VLOOKUP($C182,EmpAll,COLUMN(Emp!$R$4)+MATCH(AP$5,DedListItem,0)-1,0),OFFSET(Setup!$E$73,MATCH(AP$5,DedListItem,0),0,1,1))*AP$3))),IF(ISNUMBER(AP$4),AP$4,IgnoreMin)))))</f>
        <v>0</v>
      </c>
      <c r="AQ182" s="148" cm="1">
        <f t="array" aca="1" ref="AQ182" ca="1">-IF($F182="Terminated",0,IF($AA182=0,0,IF(ISNA(MATCH(AQ$5,PayDedList,0)),0,MIN(IF(COUNTIFS(OverEmp,$C182,OverDeduct,AQ$5,OverDate,"&lt;"&amp;DATE(YEAR($AC182),MONTH($AC182)+1,1),OverEnd,"&gt;="&amp;DATE(YEAR($AC182),MONTH($AC182),1))&gt;0,SUMPRODUCT((PayEmp=$C182)*(PayDate&lt;=$AC182)*(OFFSET($N$6,1,MATCH(AQ$5,PayDedList,0)-1,PayCount,1)))/$AA182*12*AQ$3,IF(OR(AQ$1="Fixed",AQ$1="Not Used"),SUMPRODUCT((PayEmp=$C182)*(PayDate&lt;=$AC182)*(OFFSET($N$6,1,MATCH(AQ$5,PayDedList,0)-1,PayCount,1)))/$AA182*12*AQ$3,IF(ISNA(MATCH(AQ$1,EarnListItem,0))=FALSE,SUMPRODUCT((PayEmp=$C182)*(PayDate&lt;=$AC182)*(OFFSET($N$6,1,MATCH(AQ$5,PayDedList,0)-1,PayCount,1)))/$AA182*12*AQ$3,(MIN(((SUMPRODUCT((PayEmp=$C182)*(PayDate&lt;=$AC182)*(ISERROR(SEARCH(PayEarnCode,AQ$2)))*(PayEarnType="Monthly")*(PayEarnValues))/$AA182*12)+(SUMPRODUCT((PayEmp=$C182)*(PayDate&lt;=$AC182)*(ISERROR(SEARCH(PayEarnCode,AQ$2)))*(PayEarnType="Quarterly")*(PayEarnValues))/MAX(1,ROUNDDOWN($AB182/3,0))*4)+(SUMPRODUCT((PayEmp=$C182)*(PayDate&lt;=$AC182)*(ISERROR(SEARCH(PayEarnCode,AQ$2)))*(PayEarnType="Bi-Annual")*(PayEarnValues))/MAX(1,ROUNDDOWN($AB182/6,0))*2)+(SUMPRODUCT((PayEmp=$C182)*(PayDate&lt;=$AC182)*(ISERROR(SEARCH(PayEarnCode,AQ$2)))*(PayEarnType="Annual")*(PayEarnValues)))),IF(ISNUMBER(OFFSET($N$3,0,MATCH(AQ$5,PayDedList,0)-1,1,1)),OFFSET($N$3,0,MATCH(AQ$5,PayDedList,0)-1,1,1),IgnoreMin)))*IF(COUNTIFS(EmpNo,$C182,OFFSET(Emp!$R$4,1,MATCH(AQ$5,DedListItem,0)-1,EmpCount,1),"&lt;&gt;")&gt;0,VLOOKUP($C182,EmpAll,COLUMN(Emp!$R$4)+MATCH(AQ$5,DedListItem,0)-1,0),OFFSET(Setup!$E$73,MATCH(AQ$5,DedListItem,0),0,1,1))*AQ$3))),IF(ISNUMBER(AQ$4),AQ$4,IgnoreMin)))))</f>
        <v>0</v>
      </c>
      <c r="AR182" s="148">
        <f t="shared" ca="1" si="81"/>
        <v>67000</v>
      </c>
      <c r="AS182" s="148">
        <f t="shared" ca="1" si="72"/>
        <v>62000</v>
      </c>
      <c r="AT182" s="148" cm="1">
        <f t="array" aca="1" ref="AT182" ca="1">-IF($F182="Terminated",0,IF($AA182=0,0,IF(ISNA(MATCH(AT$5,PayDedList,0)),0,MIN(IF(COUNTIFS(OverEmp,$C182,OverDeduct,AT$5,OverDate,"&lt;"&amp;DATE(YEAR($AC182),MONTH($AC182)+1,1),OverEnd,"&gt;="&amp;DATE(YEAR($AC182),MONTH($AC182),1))&gt;0,SUMPRODUCT((PayEmp=$C182)*(PayDate&lt;=$AC182)*(OFFSET($N$6,1,MATCH(AT$5,PayDedList,0)-1,PayCount,1)))/$AA182*12*AT$3,IF(OR(AT$1="Fixed",AT$1="Not Used"),SUMPRODUCT((PayEmp=$C182)*(PayDate&lt;=$AC182)*(OFFSET($N$6,1,MATCH(AT$5,PayDedList,0)-1,PayCount,1)))/$AA182*12*AT$3,IF(ISNA(MATCH(OFFSET($N$2,0,MATCH(AT$5,PayDedList,0)-1,1,1),EarnListItem,0))=FALSE,SUMPRODUCT((PayEmp=$C182)*(PayDate&lt;=$AC182)*(OFFSET($N$6,1,MATCH(AT$5,PayDedList,0)-1,PayCount,1)))/$AA182*12*AT$3,(MIN(SUMPRODUCT((PayEmp=$C182)*(PayDate&lt;=$AC182)*(ISERROR(SEARCH(PayEarnCode,AT$2)))*(PayEarnType="Monthly")*(PayEarnValues))/$AA182*12,IF(ISNUMBER(OFFSET($N$3,0,MATCH(AT$5,PayDedList,0)-1,1,1)),OFFSET($N$3,0,MATCH(AT$5,PayDedList,0)-1,1,1),IgnoreMin)))*IF(COUNTIFS(EmpNo,$C182,OFFSET(Emp!$R$4,1,MATCH(AT$5,DedListItem,0)-1,EmpCount,1),"&lt;&gt;")&gt;0,VLOOKUP($C182,EmpAll,COLUMN(Emp!$R$4)+MATCH(AT$5,DedListItem,0)-1,0),OFFSET(Setup!$E$73,MATCH(AT$5,DedListItem,0),0,1,1))*AT$3))),IF(ISNUMBER(AT$4),AT$4,IgnoreMin)))))</f>
        <v>0</v>
      </c>
      <c r="AU182" s="148" cm="1">
        <f t="array" aca="1" ref="AU182" ca="1">-IF($F182="Terminated",0,IF($AA182=0,0,IF(ISNA(MATCH(AU$5,PayDedList,0)),0,MIN(IF(COUNTIFS(OverEmp,$C182,OverDeduct,AU$5,OverDate,"&lt;"&amp;DATE(YEAR($AC182),MONTH($AC182)+1,1),OverEnd,"&gt;="&amp;DATE(YEAR($AC182),MONTH($AC182),1))&gt;0,SUMPRODUCT((PayEmp=$C182)*(PayDate&lt;=$AC182)*(OFFSET($N$6,1,MATCH(AU$5,PayDedList,0)-1,PayCount,1)))/$AA182*12*AU$3,IF(OR(AU$1="Fixed",AU$1="Not Used"),SUMPRODUCT((PayEmp=$C182)*(PayDate&lt;=$AC182)*(OFFSET($N$6,1,MATCH(AU$5,PayDedList,0)-1,PayCount,1)))/$AA182*12*AU$3,IF(ISNA(MATCH(OFFSET($N$2,0,MATCH(AU$5,PayDedList,0)-1,1,1),EarnListItem,0))=FALSE,SUMPRODUCT((PayEmp=$C182)*(PayDate&lt;=$AC182)*(OFFSET($N$6,1,MATCH(AU$5,PayDedList,0)-1,PayCount,1)))/$AA182*12*AU$3,(MIN(SUMPRODUCT((PayEmp=$C182)*(PayDate&lt;=$AC182)*(ISERROR(SEARCH(PayEarnCode,AU$2)))*(PayEarnType="Monthly")*(PayEarnValues))/$AA182*12,IF(ISNUMBER(OFFSET($N$3,0,MATCH(AU$5,PayDedList,0)-1,1,1)),OFFSET($N$3,0,MATCH(AU$5,PayDedList,0)-1,1,1),IgnoreMin)))*IF(COUNTIFS(EmpNo,$C182,OFFSET(Emp!$R$4,1,MATCH(AU$5,DedListItem,0)-1,EmpCount,1),"&lt;&gt;")&gt;0,VLOOKUP($C182,EmpAll,COLUMN(Emp!$R$4)+MATCH(AU$5,DedListItem,0)-1,0),OFFSET(Setup!$E$73,MATCH(AU$5,DedListItem,0),0,1,1))*AU$3))),IF(ISNUMBER(AU$4),AU$4,IgnoreMin)))))</f>
        <v>0</v>
      </c>
      <c r="AV182" s="148" cm="1">
        <f t="array" aca="1" ref="AV182" ca="1">-IF($F182="Terminated",0,IF($AA182=0,0,IF(ISNA(MATCH(AV$5,PayDedList,0)),0,MIN(IF(COUNTIFS(OverEmp,$C182,OverDeduct,AV$5,OverDate,"&lt;"&amp;DATE(YEAR($AC182),MONTH($AC182)+1,1),OverEnd,"&gt;="&amp;DATE(YEAR($AC182),MONTH($AC182),1))&gt;0,SUMPRODUCT((PayEmp=$C182)*(PayDate&lt;=$AC182)*(OFFSET($N$6,1,MATCH(AV$5,PayDedList,0)-1,PayCount,1)))/$AA182*12*AV$3,IF(OR(AV$1="Fixed",AV$1="Not Used"),SUMPRODUCT((PayEmp=$C182)*(PayDate&lt;=$AC182)*(OFFSET($N$6,1,MATCH(AV$5,PayDedList,0)-1,PayCount,1)))/$AA182*12*AV$3,IF(ISNA(MATCH(OFFSET($N$2,0,MATCH(AV$5,PayDedList,0)-1,1,1),EarnListItem,0))=FALSE,SUMPRODUCT((PayEmp=$C182)*(PayDate&lt;=$AC182)*(OFFSET($N$6,1,MATCH(AV$5,PayDedList,0)-1,PayCount,1)))/$AA182*12*AV$3,(MIN(SUMPRODUCT((PayEmp=$C182)*(PayDate&lt;=$AC182)*(ISERROR(SEARCH(PayEarnCode,AV$2)))*(PayEarnType="Monthly")*(PayEarnValues))/$AA182*12,IF(ISNUMBER(OFFSET($N$3,0,MATCH(AV$5,PayDedList,0)-1,1,1)),OFFSET($N$3,0,MATCH(AV$5,PayDedList,0)-1,1,1),IgnoreMin)))*IF(COUNTIFS(EmpNo,$C182,OFFSET(Emp!$R$4,1,MATCH(AV$5,DedListItem,0)-1,EmpCount,1),"&lt;&gt;")&gt;0,VLOOKUP($C182,EmpAll,COLUMN(Emp!$R$4)+MATCH(AV$5,DedListItem,0)-1,0),OFFSET(Setup!$E$73,MATCH(AV$5,DedListItem,0),0,1,1))*AV$3))),IF(ISNUMBER(AV$4),AV$4,IgnoreMin)))))</f>
        <v>0</v>
      </c>
      <c r="AW182" s="148" cm="1">
        <f t="array" aca="1" ref="AW182" ca="1">-IF($F182="Terminated",0,IF($AA182=0,0,IF(ISNA(MATCH(AW$5,PayDedList,0)),0,MIN(IF(COUNTIFS(OverEmp,$C182,OverDeduct,AW$5,OverDate,"&lt;"&amp;DATE(YEAR($AC182),MONTH($AC182)+1,1),OverEnd,"&gt;="&amp;DATE(YEAR($AC182),MONTH($AC182),1))&gt;0,SUMPRODUCT((PayEmp=$C182)*(PayDate&lt;=$AC182)*(OFFSET($N$6,1,MATCH(AW$5,PayDedList,0)-1,PayCount,1)))/$AA182*12*AW$3,IF(OR(AW$1="Fixed",AW$1="Not Used"),SUMPRODUCT((PayEmp=$C182)*(PayDate&lt;=$AC182)*(OFFSET($N$6,1,MATCH(AW$5,PayDedList,0)-1,PayCount,1)))/$AA182*12*AW$3,IF(ISNA(MATCH(OFFSET($N$2,0,MATCH(AW$5,PayDedList,0)-1,1,1),EarnListItem,0))=FALSE,SUMPRODUCT((PayEmp=$C182)*(PayDate&lt;=$AC182)*(OFFSET($N$6,1,MATCH(AW$5,PayDedList,0)-1,PayCount,1)))/$AA182*12*AW$3,(MIN(SUMPRODUCT((PayEmp=$C182)*(PayDate&lt;=$AC182)*(ISERROR(SEARCH(PayEarnCode,AW$2)))*(PayEarnType="Monthly")*(PayEarnValues))/$AA182*12,IF(ISNUMBER(OFFSET($N$3,0,MATCH(AW$5,PayDedList,0)-1,1,1)),OFFSET($N$3,0,MATCH(AW$5,PayDedList,0)-1,1,1),IgnoreMin)))*IF(COUNTIFS(EmpNo,$C182,OFFSET(Emp!$R$4,1,MATCH(AW$5,DedListItem,0)-1,EmpCount,1),"&lt;&gt;")&gt;0,VLOOKUP($C182,EmpAll,COLUMN(Emp!$R$4)+MATCH(AW$5,DedListItem,0)-1,0),OFFSET(Setup!$E$73,MATCH(AW$5,DedListItem,0),0,1,1))*AW$3))),IF(ISNUMBER(AW$4),AW$4,IgnoreMin)))))</f>
        <v>0</v>
      </c>
      <c r="AX182" s="148">
        <f t="shared" ca="1" si="88"/>
        <v>62000</v>
      </c>
      <c r="AY182" s="148">
        <f t="shared" ca="1" si="89"/>
        <v>5000</v>
      </c>
      <c r="AZ182" s="148">
        <f ca="1">IF(ISNUMBER($AL182),($AR182*$AL182)-$AI182-$AK182,MAX(0,IF($AL182="B",IF($AR182&lt;Setup!$C$32,($AR182*Setup!$D$32)-$AI182-$AK182,(($AR182-VLOOKUP($AR182,TaxAll2,1,1))*OFFSET(Setup!$D$32,MATCH($AR182,TaxBracket2,1),0,1,1))+OFFSET(Setup!$E$31,MATCH($AR182,TaxBracket2,1),0,1,1)-$AI182-$AK182),IF($AR182&lt;Setup!$C$21,($AR182*Setup!$D$21)-$AI182-$AK182,(($AR182-VLOOKUP($AR182,TaxAll1,1,1))*OFFSET(Setup!$D$21,MATCH($AR182,TaxBracket1,1),0,1,1))+OFFSET(Setup!$E$20,MATCH($AR182,TaxBracket1,1),0,1,1)-$AI182-$AK182))))</f>
        <v>0</v>
      </c>
      <c r="BA182" s="148">
        <f ca="1">IF(ISNUMBER($AL182),($AX182*$AL182)-$AI182-$AK182,MAX(0,IF($AL182="B",IF($AX182&lt;Setup!$C$32,($AX182*Setup!$D$32)-$AI182-$AK182,(($AX182-VLOOKUP($AX182,TaxAll2,1,1))*OFFSET(Setup!$D$32,MATCH($AX182,TaxBracket2,1),0,1,1))+OFFSET(Setup!$E$31,MATCH($AX182,TaxBracket2,1),0,1,1)-$AI182-$AK182),IF($AX182&lt;Setup!$C$21,($AX182*Setup!$D$21)-$AI182-$AK182,(($AX182-VLOOKUP($AX182,TaxAll1,1,1))*OFFSET(Setup!$D$21,MATCH($AX182,TaxBracket1,1),0,1,1))+OFFSET(Setup!$E$20,MATCH($AX182,TaxBracket1,1),0,1,1)-$AI182-$AK182))))</f>
        <v>0</v>
      </c>
      <c r="BB182" s="148">
        <f t="shared" ca="1" si="82"/>
        <v>0</v>
      </c>
      <c r="BC182" s="150">
        <f t="shared" ca="1" si="75"/>
        <v>0.92537313432835822</v>
      </c>
      <c r="BD182" s="150">
        <f t="shared" ca="1" si="76"/>
        <v>7.4626865671641784E-2</v>
      </c>
      <c r="BE182" s="148">
        <f t="shared" ca="1" si="77"/>
        <v>67000</v>
      </c>
    </row>
    <row r="183" spans="1:57" ht="16.149999999999999" customHeight="1" x14ac:dyDescent="0.25">
      <c r="A183" s="10" t="str" cm="1">
        <f t="array" aca="1" ref="A183" ca="1">IF(ROW($A183)-ROW($A$6)&gt;EmpCount*12,"-",TEXT($B183,"yyyy")&amp;TEXT($B183,"mm")&amp;"-"&amp;$C183)</f>
        <v>202402-EXS012</v>
      </c>
      <c r="B183" s="137" cm="1">
        <f t="array" aca="1" ref="B183" ca="1">IF(ROW($A183)-ROW($A$6)&gt;EmpCount*12,Setup!$D$12,DATE(YEAR(Setup!$F$12),MONTH(Setup!$F$12)+ROUNDDOWN((ROW($A183)-ROW($A$6)-1)/EmpCount,0),IF(Setup!$C$14&gt;DAY(DATE(YEAR(Setup!$F$12),MONTH(Setup!$F$12)+ROUNDDOWN((ROW($A183)-ROW($A$6)-1)/EmpCount,0)+1,0)),DAY(DATE(YEAR(Setup!$F$12),MONTH(Setup!$F$12)+ROUNDDOWN((ROW($A183)-ROW($A$6)-1)/EmpCount,0)+1,0)),Setup!$C$14)))</f>
        <v>45347</v>
      </c>
      <c r="C183" s="101" t="str" cm="1">
        <f t="array" aca="1" ref="C183" ca="1">IF(ROW($A183)-ROW($A$6)&gt;EmpCount*12,"-",OFFSET(Emp!$A$4,ROW($A183)-ROW($A$6)-IF(ROW($A183)-ROW($A$6)&gt;EmpCount,ROUNDDOWN((ROW($A183)-ROW($A$6)-1)/EmpCount,0)*EmpCount,0),0,1,1))</f>
        <v>EXS012</v>
      </c>
      <c r="D183" s="10" t="str">
        <f ca="1">IF(ISNA(VLOOKUP($C183,EmpAll,COLUMN(Emp!$B$4),0)),"-",VLOOKUP($C183,EmpAll,COLUMN(Emp!$B$4),0))</f>
        <v>Williams VS</v>
      </c>
      <c r="E183" s="145" t="str">
        <f ca="1">IF(ISNA(VLOOKUP($C183,EmpAll,COLUMN(Emp!$C$4),0)),"-",VLOOKUP($C183,EmpAll,COLUMN(Emp!$C$4),0))</f>
        <v>A</v>
      </c>
      <c r="F183" s="101" t="str">
        <f ca="1">IF(ISNA(VLOOKUP($C183,EmpAll,COLUMN(Emp!$A$4),0)),"-",IF(AND(VLOOKUP($C183,EmpAll,COLUMN(Emp!$E$4),0)&lt;&gt;0,VLOOKUP($C183,EmpAll,COLUMN(Emp!$E$4),0)&gt;=DATE(YEAR($AC183),MONTH($AC183)+1,0)),"Inactive",IF(AND(VLOOKUP($C183,EmpAll,COLUMN(Emp!$F$4),0)&lt;&gt;0,VLOOKUP($C183,EmpAll,COLUMN(Emp!$F$4),0)&lt;=DATE(YEAR($AC183),MONTH($AC183),0)),"Terminated","Active")))</f>
        <v>Active</v>
      </c>
      <c r="G183" s="133" cm="1">
        <f t="array" aca="1" ref="G183" ca="1">IF($F183&lt;&gt;"Active",0,IF(COUNTIFS(OverEmp,$C183,OverEarn,G$2,OverDate,"&lt;"&amp;DATE(YEAR($AC183),MONTH($AC183)+1,1),OverEnd,"&gt;="&amp;DATE(YEAR($AC183),MONTH($AC183),1))&gt;0,SUMIFS(OverValue,OverEmp,$C183,OverEarn,G$2,OverDate,"&lt;"&amp;DATE(YEAR($AC183),MONTH($AC183)+1,1),OverEnd,"&gt;="&amp;DATE(YEAR($AC183),MONTH($AC183),1)),IF(AND($AC183&gt;=Setup!$E$10,SUMIFS(EmpIncrease,EmpCode,$C183)&gt;0),SUMIFS(EmpIncrease,EmpCode,$C183),SUMIFS(EmpSalary,EmpCode,$C183))))</f>
        <v>6000</v>
      </c>
      <c r="H183" s="133" cm="1">
        <f t="array" aca="1" ref="H183" ca="1">IF($F183&lt;&gt;"Active",0,IF(COUNTIFS(OverEmp,$C183,OverEarn,H$2,OverDate,"&lt;"&amp;DATE(YEAR($AC183),MONTH($AC183)+1,1),OverEnd,"&gt;="&amp;DATE(YEAR($AC183),MONTH($AC183),1))&gt;0,SUMIFS(OverValue,OverEmp,$C183,OverEarn,H$2,OverDate,"&lt;"&amp;DATE(YEAR($AC183),MONTH($AC183)+1,1),OverEnd,"&gt;="&amp;DATE(YEAR($AC183),MONTH($AC183),1)),0))</f>
        <v>0</v>
      </c>
      <c r="I183" s="133" cm="1">
        <f t="array" aca="1" ref="I183" ca="1">IF($F183&lt;&gt;"Active",0,IF(COUNTIFS(OverEmp,$C183,OverEarn,I$2,OverDate,"&lt;"&amp;DATE(YEAR($AC183),MONTH($AC183)+1,1),OverEnd,"&gt;="&amp;DATE(YEAR($AC183),MONTH($AC183),1))&gt;0,SUMIFS(OverValue,OverEmp,$C183,OverEarn,I$2,OverDate,"&lt;"&amp;DATE(YEAR($AC183),MONTH($AC183)+1,1),OverEnd,"&gt;="&amp;DATE(YEAR($AC183),MONTH($AC183),1)),IF(MONTH(B183)=Setup!$C$15,SUMIFS(EmpBonus,EmpCode,$C183),0)))</f>
        <v>0</v>
      </c>
      <c r="J183" s="133" cm="1">
        <f t="array" aca="1" ref="J183" ca="1">IF($F183&lt;&gt;"Active",0,IF(COUNTIFS(OverEmp,$C183,OverEarn,J$2,OverDate,"&lt;"&amp;DATE(YEAR($AC183),MONTH($AC183)+1,1),OverEnd,"&gt;="&amp;DATE(YEAR($AC183),MONTH($AC183),1))&gt;0,SUMIFS(OverValue,OverEmp,$C183,OverEarn,J$2,OverDate,"&lt;"&amp;DATE(YEAR($AC183),MONTH($AC183)+1,1),OverEnd,"&gt;="&amp;DATE(YEAR($AC183),MONTH($AC183),1)),0))</f>
        <v>0</v>
      </c>
      <c r="K183" s="133" cm="1">
        <f t="array" aca="1" ref="K183" ca="1">IF($F183&lt;&gt;"Active",0,IF(COUNTIFS(OverEmp,$C183,OverEarn,K$2,OverDate,"&lt;"&amp;DATE(YEAR($AC183),MONTH($AC183)+1,1),OverEnd,"&gt;="&amp;DATE(YEAR($AC183),MONTH($AC183),1))&gt;0,SUMIFS(OverValue,OverEmp,$C183,OverEarn,K$2,OverDate,"&lt;"&amp;DATE(YEAR($AC183),MONTH($AC183)+1,1),OverEnd,"&gt;="&amp;DATE(YEAR($AC183),MONTH($AC183),1)),0))</f>
        <v>0</v>
      </c>
      <c r="L183" s="185">
        <f t="shared" ca="1" si="84"/>
        <v>6000</v>
      </c>
      <c r="M183" s="182" cm="1">
        <f t="array" aca="1" ref="M183" ca="1">IF(COUNTIFS(OverEmp,$C183,OverTax,M$5,OverDate,"&lt;"&amp;DATE(YEAR($AC183),MONTH($AC183)+1,1),OverEnd,"&gt;="&amp;DATE(YEAR($AC183),MONTH($AC183),1))&gt;0,SUMIFS(OverValue,OverEmp,$C183,OverTax,M$5,OverDate,"&lt;"&amp;DATE(YEAR($AC183),MONTH($AC183)+1,1),OverEnd,"&gt;="&amp;DATE(YEAR($AC183),MONTH($AC183),1)),(($BA183/12*$AA183)+(BB183*IF(1-$BC183=0,0,BD183/(1-$BC183))))-IF($F183="Terminated",0,SUMIFS(PayTaxDeduct,PayDate,"&lt;"&amp;$AC183,PayEmp,$C183)))</f>
        <v>0</v>
      </c>
      <c r="N183" s="133" cm="1">
        <f t="array" aca="1" ref="N183" ca="1">IF($F183="Terminated",0,IF($AA183=0,0,IF(ISNA(MATCH(N$5,DedListItem,0)),0,IF(COUNTIFS(OverEmp,$C183,OverDeduct,N$5,OverDate,"&lt;"&amp;DATE(YEAR($AC183),MONTH($AC183)+1,1),OverEnd,"&gt;="&amp;DATE(YEAR($AC183),MONTH($AC183),1))&gt;0,SUMIFS(OverValue,OverEmp,$C183,OverDeduct,N$5,OverDate,"&lt;"&amp;DATE(YEAR($AC183),MONTH($AC183)+1,1),OverEnd,"&gt;="&amp;DATE(YEAR($AC183),MONTH($AC183),1)),IF(OR(N$2="Fixed",N$2="Not Used"),(IF(COUNTIFS(EmpNo,$C183,OFFSET(Emp!$R$4,1,MATCH(N$5,DedListItem,0)-1,EmpCount,1),"&lt;&gt;")&gt;0,VLOOKUP($C183,EmpAll,COLUMN(Emp!$R$4)+MATCH(N$5,DedListItem,0)-1,0),OFFSET(Setup!$E$73,MATCH(N$5,DedListItem,0),0,1,1))*$AA183)-SUMIFS(OFFSET(N$6,1,0,PayCount,1),PayDate,"&lt;"&amp;$AC183,PayEmp,$C183),IF(ISNA(MATCH(N$2,EarnListItem,0))=FALSE,IF(OFFSET(Setup!$G$73,MATCH(N$5,DedListItem,0),0,1,1)="Taxable",SUMPRODUCT((PayEmp=$C183)*(PayDate&lt;=$AC183)*(PayEarnCode=N$2)*(PayEarnTax)*(PayEarnValues)),SUMPRODUCT((PayEmp=$C183)*(PayDate&lt;=$AC183)*(PayEarnCode=N$2)*(PayEarnValues)))*IF(COUNTIFS(EmpNo,$C183,OFFSET(Emp!$R$4,1,MATCH(N$5,DedListItem,0)-1,EmpCount,1),"&lt;&gt;")&gt;0,VLOOKUP($C183,EmpAll,COLUMN(Emp!$R$4)+MATCH(N$5,DedListItem,0)-1,0),OFFSET(Setup!$E$73,MATCH(N$5,DedListItem,0),0,1,1)),(MIN(IF(OFFSET(Setup!$G$73,MATCH(N$5,DedListItem,0),0,1,1)="Taxable",SUMPRODUCT((PayEmp=$C183)*(PayDate&lt;=$AC183)*(ISERROR(SEARCH(PayEarnCode,N$4)))*(PayEarnTax)*(PayEarnValues)),SUMPRODUCT((PayEmp=$C183)*(PayDate&lt;=$AC183)*(ISERROR(SEARCH(PayEarnCode,N$4)))*(PayEarnValues))),IF(ISNUMBER(N$3),N$3/12*$AA183,IgnoreMin)))*IF(COUNTIFS(EmpNo,$C183,OFFSET(Emp!$R$4,1,MATCH(N$5,DedListItem,0)-1,EmpCount,1),"&lt;&gt;")&gt;0,VLOOKUP($C183,EmpAll,COLUMN(Emp!$R$4)+MATCH(N$5,DedListItem,0)-1,0),OFFSET(Setup!$E$73,MATCH(N$5,DedListItem,0),0,1,1)))-SUMIFS(OFFSET(N$6,1,0,PayCount,1),PayDate,"&lt;"&amp;$AC183,PayEmp,$C183))))))</f>
        <v>60</v>
      </c>
      <c r="O183" s="133" cm="1">
        <f t="array" aca="1" ref="O183" ca="1">IF($F183="Terminated",0,IF($AA183=0,0,IF(ISNA(MATCH(O$5,DedListItem,0)),0,IF(COUNTIFS(OverEmp,$C183,OverDeduct,O$5,OverDate,"&lt;"&amp;DATE(YEAR($AC183),MONTH($AC183)+1,1),OverEnd,"&gt;="&amp;DATE(YEAR($AC183),MONTH($AC183),1))&gt;0,SUMIFS(OverValue,OverEmp,$C183,OverDeduct,O$5,OverDate,"&lt;"&amp;DATE(YEAR($AC183),MONTH($AC183)+1,1),OverEnd,"&gt;="&amp;DATE(YEAR($AC183),MONTH($AC183),1)),IF(OR(O$2="Fixed",O$2="Not Used"),(IF(COUNTIFS(EmpNo,$C183,OFFSET(Emp!$R$4,1,MATCH(O$5,DedListItem,0)-1,EmpCount,1),"&lt;&gt;")&gt;0,VLOOKUP($C183,EmpAll,COLUMN(Emp!$R$4)+MATCH(O$5,DedListItem,0)-1,0),OFFSET(Setup!$E$73,MATCH(O$5,DedListItem,0),0,1,1))*$AA183)-SUMIFS(OFFSET(O$6,1,0,PayCount,1),PayDate,"&lt;"&amp;$AC183,PayEmp,$C183),IF(ISNA(MATCH(O$2,EarnListItem,0))=FALSE,IF(OFFSET(Setup!$G$73,MATCH(O$5,DedListItem,0),0,1,1)="Taxable",SUMPRODUCT((PayEmp=$C183)*(PayDate&lt;=$AC183)*(PayEarnCode=O$2)*(PayEarnTax)*(PayEarnValues)),SUMPRODUCT((PayEmp=$C183)*(PayDate&lt;=$AC183)*(PayEarnCode=O$2)*(PayEarnValues)))*IF(COUNTIFS(EmpNo,$C183,OFFSET(Emp!$R$4,1,MATCH(O$5,DedListItem,0)-1,EmpCount,1),"&lt;&gt;")&gt;0,VLOOKUP($C183,EmpAll,COLUMN(Emp!$R$4)+MATCH(O$5,DedListItem,0)-1,0),OFFSET(Setup!$E$73,MATCH(O$5,DedListItem,0),0,1,1)),(MIN(IF(OFFSET(Setup!$G$73,MATCH(O$5,DedListItem,0),0,1,1)="Taxable",SUMPRODUCT((PayEmp=$C183)*(PayDate&lt;=$AC183)*(ISERROR(SEARCH(PayEarnCode,O$4)))*(PayEarnTax)*(PayEarnValues)),SUMPRODUCT((PayEmp=$C183)*(PayDate&lt;=$AC183)*(ISERROR(SEARCH(PayEarnCode,O$4)))*(PayEarnValues))),IF(ISNUMBER(O$3),O$3/12*$AA183,IgnoreMin)))*IF(COUNTIFS(EmpNo,$C183,OFFSET(Emp!$R$4,1,MATCH(O$5,DedListItem,0)-1,EmpCount,1),"&lt;&gt;")&gt;0,VLOOKUP($C183,EmpAll,COLUMN(Emp!$R$4)+MATCH(O$5,DedListItem,0)-1,0),OFFSET(Setup!$E$73,MATCH(O$5,DedListItem,0),0,1,1)))-SUMIFS(OFFSET(O$6,1,0,PayCount,1),PayDate,"&lt;"&amp;$AC183,PayEmp,$C183))))))</f>
        <v>0</v>
      </c>
      <c r="P183" s="133" cm="1">
        <f t="array" aca="1" ref="P183" ca="1">IF($F183="Terminated",0,IF($AA183=0,0,IF(ISNA(MATCH(P$5,DedListItem,0)),0,IF(COUNTIFS(OverEmp,$C183,OverDeduct,P$5,OverDate,"&lt;"&amp;DATE(YEAR($AC183),MONTH($AC183)+1,1),OverEnd,"&gt;="&amp;DATE(YEAR($AC183),MONTH($AC183),1))&gt;0,SUMIFS(OverValue,OverEmp,$C183,OverDeduct,P$5,OverDate,"&lt;"&amp;DATE(YEAR($AC183),MONTH($AC183)+1,1),OverEnd,"&gt;="&amp;DATE(YEAR($AC183),MONTH($AC183),1)),IF(OR(P$2="Fixed",P$2="Not Used"),(IF(COUNTIFS(EmpNo,$C183,OFFSET(Emp!$R$4,1,MATCH(P$5,DedListItem,0)-1,EmpCount,1),"&lt;&gt;")&gt;0,VLOOKUP($C183,EmpAll,COLUMN(Emp!$R$4)+MATCH(P$5,DedListItem,0)-1,0),OFFSET(Setup!$E$73,MATCH(P$5,DedListItem,0),0,1,1))*$AA183)-SUMIFS(OFFSET(P$6,1,0,PayCount,1),PayDate,"&lt;"&amp;$AC183,PayEmp,$C183),IF(ISNA(MATCH(P$2,EarnListItem,0))=FALSE,IF(OFFSET(Setup!$G$73,MATCH(P$5,DedListItem,0),0,1,1)="Taxable",SUMPRODUCT((PayEmp=$C183)*(PayDate&lt;=$AC183)*(PayEarnCode=P$2)*(PayEarnTax)*(PayEarnValues)),SUMPRODUCT((PayEmp=$C183)*(PayDate&lt;=$AC183)*(PayEarnCode=P$2)*(PayEarnValues)))*IF(COUNTIFS(EmpNo,$C183,OFFSET(Emp!$R$4,1,MATCH(P$5,DedListItem,0)-1,EmpCount,1),"&lt;&gt;")&gt;0,VLOOKUP($C183,EmpAll,COLUMN(Emp!$R$4)+MATCH(P$5,DedListItem,0)-1,0),OFFSET(Setup!$E$73,MATCH(P$5,DedListItem,0),0,1,1)),(MIN(IF(OFFSET(Setup!$G$73,MATCH(P$5,DedListItem,0),0,1,1)="Taxable",SUMPRODUCT((PayEmp=$C183)*(PayDate&lt;=$AC183)*(ISERROR(SEARCH(PayEarnCode,P$4)))*(PayEarnTax)*(PayEarnValues)),SUMPRODUCT((PayEmp=$C183)*(PayDate&lt;=$AC183)*(ISERROR(SEARCH(PayEarnCode,P$4)))*(PayEarnValues))),IF(ISNUMBER(P$3),P$3/12*$AA183,IgnoreMin)))*IF(COUNTIFS(EmpNo,$C183,OFFSET(Emp!$R$4,1,MATCH(P$5,DedListItem,0)-1,EmpCount,1),"&lt;&gt;")&gt;0,VLOOKUP($C183,EmpAll,COLUMN(Emp!$R$4)+MATCH(P$5,DedListItem,0)-1,0),OFFSET(Setup!$E$73,MATCH(P$5,DedListItem,0),0,1,1)))-SUMIFS(OFFSET(P$6,1,0,PayCount,1),PayDate,"&lt;"&amp;$AC183,PayEmp,$C183))))))</f>
        <v>0</v>
      </c>
      <c r="Q183" s="133" cm="1">
        <f t="array" aca="1" ref="Q183" ca="1">IF($F183="Terminated",0,IF($AA183=0,0,IF(ISNA(MATCH(Q$5,DedListItem,0)),0,IF(COUNTIFS(OverEmp,$C183,OverDeduct,Q$5,OverDate,"&lt;"&amp;DATE(YEAR($AC183),MONTH($AC183)+1,1),OverEnd,"&gt;="&amp;DATE(YEAR($AC183),MONTH($AC183),1))&gt;0,SUMIFS(OverValue,OverEmp,$C183,OverDeduct,Q$5,OverDate,"&lt;"&amp;DATE(YEAR($AC183),MONTH($AC183)+1,1),OverEnd,"&gt;="&amp;DATE(YEAR($AC183),MONTH($AC183),1)),IF(OR(Q$2="Fixed",Q$2="Not Used"),(IF(COUNTIFS(EmpNo,$C183,OFFSET(Emp!$R$4,1,MATCH(Q$5,DedListItem,0)-1,EmpCount,1),"&lt;&gt;")&gt;0,VLOOKUP($C183,EmpAll,COLUMN(Emp!$R$4)+MATCH(Q$5,DedListItem,0)-1,0),OFFSET(Setup!$E$73,MATCH(Q$5,DedListItem,0),0,1,1))*$AA183)-SUMIFS(OFFSET(Q$6,1,0,PayCount,1),PayDate,"&lt;"&amp;$AC183,PayEmp,$C183),IF(ISNA(MATCH(Q$2,EarnListItem,0))=FALSE,IF(OFFSET(Setup!$G$73,MATCH(Q$5,DedListItem,0),0,1,1)="Taxable",SUMPRODUCT((PayEmp=$C183)*(PayDate&lt;=$AC183)*(PayEarnCode=Q$2)*(PayEarnTax)*(PayEarnValues)),SUMPRODUCT((PayEmp=$C183)*(PayDate&lt;=$AC183)*(PayEarnCode=Q$2)*(PayEarnValues)))*IF(COUNTIFS(EmpNo,$C183,OFFSET(Emp!$R$4,1,MATCH(Q$5,DedListItem,0)-1,EmpCount,1),"&lt;&gt;")&gt;0,VLOOKUP($C183,EmpAll,COLUMN(Emp!$R$4)+MATCH(Q$5,DedListItem,0)-1,0),OFFSET(Setup!$E$73,MATCH(Q$5,DedListItem,0),0,1,1)),(MIN(IF(OFFSET(Setup!$G$73,MATCH(Q$5,DedListItem,0),0,1,1)="Taxable",SUMPRODUCT((PayEmp=$C183)*(PayDate&lt;=$AC183)*(ISERROR(SEARCH(PayEarnCode,Q$4)))*(PayEarnTax)*(PayEarnValues)),SUMPRODUCT((PayEmp=$C183)*(PayDate&lt;=$AC183)*(ISERROR(SEARCH(PayEarnCode,Q$4)))*(PayEarnValues))),IF(ISNUMBER(Q$3),Q$3/12*$AA183,IgnoreMin)))*IF(COUNTIFS(EmpNo,$C183,OFFSET(Emp!$R$4,1,MATCH(Q$5,DedListItem,0)-1,EmpCount,1),"&lt;&gt;")&gt;0,VLOOKUP($C183,EmpAll,COLUMN(Emp!$R$4)+MATCH(Q$5,DedListItem,0)-1,0),OFFSET(Setup!$E$73,MATCH(Q$5,DedListItem,0),0,1,1)))-SUMIFS(OFFSET(Q$6,1,0,PayCount,1),PayDate,"&lt;"&amp;$AC183,PayEmp,$C183))))))</f>
        <v>0</v>
      </c>
      <c r="R183" s="185">
        <f t="shared" ca="1" si="85"/>
        <v>60</v>
      </c>
      <c r="S183" s="139">
        <f t="shared" ca="1" si="86"/>
        <v>5940</v>
      </c>
      <c r="T183" s="133" cm="1">
        <f t="array" aca="1" ref="T183" ca="1">IF($F183="Terminated",0,IF($AA183=0,0,IF(ISNA(MATCH(T$5,CompListItem,0)),0,IF(COUNTIFS(OverEmp,$C183,OverComp,T$5,OverDate,"&lt;"&amp;DATE(YEAR($AC183),MONTH($AC183)+1,1),OverEnd,"&gt;="&amp;DATE(YEAR($AC183),MONTH($AC183),1))&gt;0,SUMIFS(OverValue,OverEmp,$C183,OverComp,T$5,OverDate,"&lt;"&amp;DATE(YEAR($AC183),MONTH($AC183)+1,1),OverEnd,"&gt;="&amp;DATE(YEAR($AC183),MONTH($AC183),1)),IF(OR(T$2="Fixed",T$2="Not Used"),(OFFSET(Setup!$E$81,MATCH(T$5,CompListItem,0),0,1,1)*$AA183)-SUMIFS(OFFSET(T$6,1,0,PayCount,1),PayDate,"&lt;"&amp;$AC183,PayEmp,$C183),IF(ISNA(MATCH(T$2,DedListItem,0))=FALSE,(SUMPRODUCT((PayEmp=$C183)*(PayDate&lt;=$AC183)*(PayDedList=T$2)*(PayDedValues))*OFFSET(Setup!$E$81,MATCH(T$5,CompListItem,0),0,1,1))-SUMIFS(OFFSET(T$6,1,0,PayCount,1),PayDate,"&lt;"&amp;$AC183,PayEmp,$C183),(MIN(IF(OFFSET(Setup!$G$81,MATCH(T$5,CompListItem,0),0,1,1)="Taxable",SUMPRODUCT((PayEmp=$C183)*(PayDate&lt;=$AC183)*(ISERROR(SEARCH(PayEarnCode,T$4)))*(PayEarnTax)*(PayEarnValues)),SUMPRODUCT((PayEmp=$C183)*(PayDate&lt;=$AC183)*(ISERROR(SEARCH(PayEarnCode,T$4)))*(PayEarnValues))),IF(ISNUMBER(T$3),T$3/12*$AA183,IgnoreMin)))*OFFSET(Setup!$E$81,MATCH(T$5,CompListItem,0),0,1,1)-SUMIFS(OFFSET(T$6,1,0,PayCount,1),PayDate,"&lt;"&amp;$AC183,PayEmp,$C183)))))))</f>
        <v>60</v>
      </c>
      <c r="U183" s="133" cm="1">
        <f t="array" aca="1" ref="U183" ca="1">IF($F183="Terminated",0,IF($AA183=0,0,IF(ISNA(MATCH(U$5,CompListItem,0)),0,IF(COUNTIFS(OverEmp,$C183,OverComp,U$5,OverDate,"&lt;"&amp;DATE(YEAR($AC183),MONTH($AC183)+1,1),OverEnd,"&gt;="&amp;DATE(YEAR($AC183),MONTH($AC183),1))&gt;0,SUMIFS(OverValue,OverEmp,$C183,OverComp,U$5,OverDate,"&lt;"&amp;DATE(YEAR($AC183),MONTH($AC183)+1,1),OverEnd,"&gt;="&amp;DATE(YEAR($AC183),MONTH($AC183),1)),IF(OR(U$2="Fixed",U$2="Not Used"),(OFFSET(Setup!$E$81,MATCH(U$5,CompListItem,0),0,1,1)*$AA183)-SUMIFS(OFFSET(U$6,1,0,PayCount,1),PayDate,"&lt;"&amp;$AC183,PayEmp,$C183),IF(ISNA(MATCH(U$2,DedListItem,0))=FALSE,(SUMPRODUCT((PayEmp=$C183)*(PayDate&lt;=$AC183)*(PayDedList=U$2)*(PayDedValues))*OFFSET(Setup!$E$81,MATCH(U$5,CompListItem,0),0,1,1))-SUMIFS(OFFSET(U$6,1,0,PayCount,1),PayDate,"&lt;"&amp;$AC183,PayEmp,$C183),(MIN(IF(OFFSET(Setup!$G$81,MATCH(U$5,CompListItem,0),0,1,1)="Taxable",SUMPRODUCT((PayEmp=$C183)*(PayDate&lt;=$AC183)*(ISERROR(SEARCH(PayEarnCode,U$4)))*(PayEarnTax)*(PayEarnValues)),SUMPRODUCT((PayEmp=$C183)*(PayDate&lt;=$AC183)*(ISERROR(SEARCH(PayEarnCode,U$4)))*(PayEarnValues))),IF(ISNUMBER(U$3),U$3/12*$AA183,IgnoreMin)))*OFFSET(Setup!$E$81,MATCH(U$5,CompListItem,0),0,1,1)-SUMIFS(OFFSET(U$6,1,0,PayCount,1),PayDate,"&lt;"&amp;$AC183,PayEmp,$C183)))))))</f>
        <v>60</v>
      </c>
      <c r="V183" s="133" cm="1">
        <f t="array" aca="1" ref="V183" ca="1">IF($F183="Terminated",0,IF($AA183=0,0,IF(ISNA(MATCH(V$5,CompListItem,0)),0,IF(COUNTIFS(OverEmp,$C183,OverComp,V$5,OverDate,"&lt;"&amp;DATE(YEAR($AC183),MONTH($AC183)+1,1),OverEnd,"&gt;="&amp;DATE(YEAR($AC183),MONTH($AC183),1))&gt;0,SUMIFS(OverValue,OverEmp,$C183,OverComp,V$5,OverDate,"&lt;"&amp;DATE(YEAR($AC183),MONTH($AC183)+1,1),OverEnd,"&gt;="&amp;DATE(YEAR($AC183),MONTH($AC183),1)),IF(OR(V$2="Fixed",V$2="Not Used"),(OFFSET(Setup!$E$81,MATCH(V$5,CompListItem,0),0,1,1)*$AA183)-SUMIFS(OFFSET(V$6,1,0,PayCount,1),PayDate,"&lt;"&amp;$AC183,PayEmp,$C183),IF(ISNA(MATCH(V$2,DedListItem,0))=FALSE,(SUMPRODUCT((PayEmp=$C183)*(PayDate&lt;=$AC183)*(PayDedList=V$2)*(PayDedValues))*OFFSET(Setup!$E$81,MATCH(V$5,CompListItem,0),0,1,1))-SUMIFS(OFFSET(V$6,1,0,PayCount,1),PayDate,"&lt;"&amp;$AC183,PayEmp,$C183),(MIN(IF(OFFSET(Setup!$G$81,MATCH(V$5,CompListItem,0),0,1,1)="Taxable",SUMPRODUCT((PayEmp=$C183)*(PayDate&lt;=$AC183)*(ISERROR(SEARCH(PayEarnCode,V$4)))*(PayEarnTax)*(PayEarnValues)),SUMPRODUCT((PayEmp=$C183)*(PayDate&lt;=$AC183)*(ISERROR(SEARCH(PayEarnCode,V$4)))*(PayEarnValues))),IF(ISNUMBER(V$3),V$3/12*$AA183,IgnoreMin)))*OFFSET(Setup!$E$81,MATCH(V$5,CompListItem,0),0,1,1)-SUMIFS(OFFSET(V$6,1,0,PayCount,1),PayDate,"&lt;"&amp;$AC183,PayEmp,$C183)))))))</f>
        <v>0</v>
      </c>
      <c r="W183" s="133" cm="1">
        <f t="array" aca="1" ref="W183" ca="1">IF($F183="Terminated",0,IF($AA183=0,0,IF(ISNA(MATCH(W$5,CompListItem,0)),0,IF(COUNTIFS(OverEmp,$C183,OverComp,W$5,OverDate,"&lt;"&amp;DATE(YEAR($AC183),MONTH($AC183)+1,1),OverEnd,"&gt;="&amp;DATE(YEAR($AC183),MONTH($AC183),1))&gt;0,SUMIFS(OverValue,OverEmp,$C183,OverComp,W$5,OverDate,"&lt;"&amp;DATE(YEAR($AC183),MONTH($AC183)+1,1),OverEnd,"&gt;="&amp;DATE(YEAR($AC183),MONTH($AC183),1)),IF(OR(W$2="Fixed",W$2="Not Used"),(OFFSET(Setup!$E$81,MATCH(W$5,CompListItem,0),0,1,1)*$AA183)-SUMIFS(OFFSET(W$6,1,0,PayCount,1),PayDate,"&lt;"&amp;$AC183,PayEmp,$C183),IF(ISNA(MATCH(W$2,DedListItem,0))=FALSE,(SUMPRODUCT((PayEmp=$C183)*(PayDate&lt;=$AC183)*(PayDedList=W$2)*(PayDedValues))*OFFSET(Setup!$E$81,MATCH(W$5,CompListItem,0),0,1,1))-SUMIFS(OFFSET(W$6,1,0,PayCount,1),PayDate,"&lt;"&amp;$AC183,PayEmp,$C183),(MIN(IF(OFFSET(Setup!$G$81,MATCH(W$5,CompListItem,0),0,1,1)="Taxable",SUMPRODUCT((PayEmp=$C183)*(PayDate&lt;=$AC183)*(ISERROR(SEARCH(PayEarnCode,W$4)))*(PayEarnTax)*(PayEarnValues)),SUMPRODUCT((PayEmp=$C183)*(PayDate&lt;=$AC183)*(ISERROR(SEARCH(PayEarnCode,W$4)))*(PayEarnValues))),IF(ISNUMBER(W$3),W$3/12*$AA183,IgnoreMin)))*OFFSET(Setup!$E$81,MATCH(W$5,CompListItem,0),0,1,1)-SUMIFS(OFFSET(W$6,1,0,PayCount,1),PayDate,"&lt;"&amp;$AC183,PayEmp,$C183)))))))</f>
        <v>0</v>
      </c>
      <c r="X183" s="185">
        <f t="shared" ca="1" si="78"/>
        <v>120</v>
      </c>
      <c r="Y183" s="139">
        <f t="shared" ca="1" si="87"/>
        <v>6120</v>
      </c>
      <c r="Z183" s="139">
        <f t="shared" ca="1" si="79"/>
        <v>180</v>
      </c>
      <c r="AA183" s="146">
        <f ca="1">IF(OR($B183&lt;=Setup!$E$12,$B183&gt;=Setup!$D$12+1),0,IF($F183&lt;&gt;"Active",0,IF($AE183="Yes",$AB183,((YEAR($AC183)*12)+MONTH($AC183))-((YEAR($AD183)*12)+MONTH($AD183)-1))))</f>
        <v>12</v>
      </c>
      <c r="AB183" s="146">
        <f ca="1">IF(OR($B183&lt;=Setup!$E$12,$B183&gt;=Setup!$D$12+1),0,((YEAR($AC183)*12)+MONTH($AC183))-((YEAR(Setup!$E$12)*12)+MONTH(Setup!$E$12)))</f>
        <v>12</v>
      </c>
      <c r="AC183" s="186">
        <f t="shared" ca="1" si="83"/>
        <v>45347</v>
      </c>
      <c r="AD183" s="144">
        <f ca="1">IF(ISNA(VLOOKUP($C183,EmpAll,COLUMN(Emp!$E$4),0)),$AC183,IF(VLOOKUP($C183,EmpAll,COLUMN(Emp!$E$4),0)&lt;=Setup!$E$12,DATE(YEAR(Setup!$E$12),MONTH(Setup!$E$12)+1,1),VLOOKUP($C183,EmpAll,COLUMN(Emp!$E$4),0)))</f>
        <v>44986</v>
      </c>
      <c r="AE183" s="144" t="str">
        <f ca="1">IF(ISNA(VLOOKUP($C183,EmpAll,COLUMN(Emp!$G$1),0)),"-",IF(VLOOKUP($C183,EmpAll,COLUMN(Emp!$G$1),0)=0,"-",VLOOKUP($C183,EmpAll,COLUMN(Emp!$G$1),0)))</f>
        <v>-</v>
      </c>
      <c r="AF183" s="145">
        <f ca="1">IF(A183=PaySlip!$G$3,1,0)</f>
        <v>0</v>
      </c>
      <c r="AG183" s="130" cm="1">
        <f t="array" aca="1" ref="AG183" ca="1">IF(COUNTIFS(OverEmp,$C183,OverMed,"MED",OverDate,"&lt;"&amp;DATE(YEAR($AC183),MONTH($AC183)+1,1),OverEnd,"&gt;="&amp;DATE(YEAR($AC183),MONTH($AC183),1))&gt;0,SUMIFS(OverValue,OverEmp,$C183,OverMed,"MED",OverDate,"&lt;"&amp;DATE(YEAR($AC183),MONTH($AC183)+1,1),OverEnd,"&gt;="&amp;DATE(YEAR($AC183),MONTH($AC183),1)),IF(ISNA(VLOOKUP($C183,EmpAll,COLUMN(Emp!$N$4),0)),0,VLOOKUP($C183,EmpAll,COLUMN(Emp!$N$4),0)))</f>
        <v>0</v>
      </c>
      <c r="AH183" s="146">
        <f ca="1">VLOOKUP($AG183,MedList,COLUMN(Setup!$C$49),1)</f>
        <v>0</v>
      </c>
      <c r="AI183" s="146">
        <f t="shared" ca="1" si="70"/>
        <v>0</v>
      </c>
      <c r="AJ183" s="101" t="str">
        <f ca="1">IF(ISNA(VLOOKUP($C183,EmpAll,COLUMN(Emp!$L$4),0)),"None!",VLOOKUP($C183,EmpAll,COLUMN(Emp!$L$4),0))</f>
        <v>A</v>
      </c>
      <c r="AK183" s="147">
        <f t="shared" ca="1" si="80"/>
        <v>17235</v>
      </c>
      <c r="AL183" s="101" t="str">
        <f ca="1">IF(ISNA(VLOOKUP($C183,Employees[],COLUMN(Emp!$M$4),0))=TRUE,"Error!",IF(VLOOKUP($C183,Employees[],COLUMN(Emp!$M$4),0)=0,"Yes",VLOOKUP($C183,Employees[],COLUMN(Emp!$M$4),0)))</f>
        <v>A</v>
      </c>
      <c r="AM183" s="148">
        <f t="shared" ca="1" si="71"/>
        <v>67000</v>
      </c>
      <c r="AN183" s="148" cm="1">
        <f t="array" aca="1" ref="AN183" ca="1">-IF($F183="Terminated",0,IF($AA183=0,0,IF(ISNA(MATCH(AN$5,PayDedList,0)),0,MIN(IF(COUNTIFS(OverEmp,$C183,OverDeduct,AN$5,OverDate,"&lt;"&amp;DATE(YEAR($AC183),MONTH($AC183)+1,1),OverEnd,"&gt;="&amp;DATE(YEAR($AC183),MONTH($AC183),1))&gt;0,SUMPRODUCT((PayEmp=$C183)*(PayDate&lt;=$AC183)*(OFFSET($N$6,1,MATCH(AN$5,PayDedList,0)-1,PayCount,1)))/$AA183*12*AN$3,IF(OR(AN$1="Fixed",AN$1="Not Used"),SUMPRODUCT((PayEmp=$C183)*(PayDate&lt;=$AC183)*(OFFSET($N$6,1,MATCH(AN$5,PayDedList,0)-1,PayCount,1)))/$AA183*12*AN$3,IF(ISNA(MATCH(AN$1,EarnListItem,0))=FALSE,SUMPRODUCT((PayEmp=$C183)*(PayDate&lt;=$AC183)*(OFFSET($N$6,1,MATCH(AN$5,PayDedList,0)-1,PayCount,1)))/$AA183*12*AN$3,(MIN(((SUMPRODUCT((PayEmp=$C183)*(PayDate&lt;=$AC183)*(ISERROR(SEARCH(PayEarnCode,AN$2)))*(PayEarnType="Monthly")*(PayEarnValues))/$AA183*12)+(SUMPRODUCT((PayEmp=$C183)*(PayDate&lt;=$AC183)*(ISERROR(SEARCH(PayEarnCode,AN$2)))*(PayEarnType="Quarterly")*(PayEarnValues))/MAX(1,ROUNDDOWN($AB183/3,0))*4)+(SUMPRODUCT((PayEmp=$C183)*(PayDate&lt;=$AC183)*(ISERROR(SEARCH(PayEarnCode,AN$2)))*(PayEarnType="Bi-Annual")*(PayEarnValues))/MAX(1,ROUNDDOWN($AB183/6,0))*2)+(SUMPRODUCT((PayEmp=$C183)*(PayDate&lt;=$AC183)*(ISERROR(SEARCH(PayEarnCode,AN$2)))*(PayEarnType="Annual")*(PayEarnValues)))),IF(ISNUMBER(OFFSET($N$3,0,MATCH(AN$5,PayDedList,0)-1,1,1)),OFFSET($N$3,0,MATCH(AN$5,PayDedList,0)-1,1,1),IgnoreMin)))*IF(COUNTIFS(EmpNo,$C183,OFFSET(Emp!$R$4,1,MATCH(AN$5,DedListItem,0)-1,EmpCount,1),"&lt;&gt;")&gt;0,VLOOKUP($C183,EmpAll,COLUMN(Emp!$R$4)+MATCH(AN$5,DedListItem,0)-1,0),OFFSET(Setup!$E$73,MATCH(AN$5,DedListItem,0),0,1,1))*AN$3))),IF(ISNUMBER(AN$4),AN$4,IgnoreMin)))))</f>
        <v>0</v>
      </c>
      <c r="AO183" s="148" cm="1">
        <f t="array" aca="1" ref="AO183" ca="1">-IF($F183="Terminated",0,IF($AA183=0,0,IF(ISNA(MATCH(AO$5,PayDedList,0)),0,MIN(IF(COUNTIFS(OverEmp,$C183,OverDeduct,AO$5,OverDate,"&lt;"&amp;DATE(YEAR($AC183),MONTH($AC183)+1,1),OverEnd,"&gt;="&amp;DATE(YEAR($AC183),MONTH($AC183),1))&gt;0,SUMPRODUCT((PayEmp=$C183)*(PayDate&lt;=$AC183)*(OFFSET($N$6,1,MATCH(AO$5,PayDedList,0)-1,PayCount,1)))/$AA183*12*AO$3,IF(OR(AO$1="Fixed",AO$1="Not Used"),SUMPRODUCT((PayEmp=$C183)*(PayDate&lt;=$AC183)*(OFFSET($N$6,1,MATCH(AO$5,PayDedList,0)-1,PayCount,1)))/$AA183*12*AO$3,IF(ISNA(MATCH(AO$1,EarnListItem,0))=FALSE,SUMPRODUCT((PayEmp=$C183)*(PayDate&lt;=$AC183)*(OFFSET($N$6,1,MATCH(AO$5,PayDedList,0)-1,PayCount,1)))/$AA183*12*AO$3,(MIN(((SUMPRODUCT((PayEmp=$C183)*(PayDate&lt;=$AC183)*(ISERROR(SEARCH(PayEarnCode,AO$2)))*(PayEarnType="Monthly")*(PayEarnValues))/$AA183*12)+(SUMPRODUCT((PayEmp=$C183)*(PayDate&lt;=$AC183)*(ISERROR(SEARCH(PayEarnCode,AO$2)))*(PayEarnType="Quarterly")*(PayEarnValues))/MAX(1,ROUNDDOWN($AB183/3,0))*4)+(SUMPRODUCT((PayEmp=$C183)*(PayDate&lt;=$AC183)*(ISERROR(SEARCH(PayEarnCode,AO$2)))*(PayEarnType="Bi-Annual")*(PayEarnValues))/MAX(1,ROUNDDOWN($AB183/6,0))*2)+(SUMPRODUCT((PayEmp=$C183)*(PayDate&lt;=$AC183)*(ISERROR(SEARCH(PayEarnCode,AO$2)))*(PayEarnType="Annual")*(PayEarnValues)))),IF(ISNUMBER(OFFSET($N$3,0,MATCH(AO$5,PayDedList,0)-1,1,1)),OFFSET($N$3,0,MATCH(AO$5,PayDedList,0)-1,1,1),IgnoreMin)))*IF(COUNTIFS(EmpNo,$C183,OFFSET(Emp!$R$4,1,MATCH(AO$5,DedListItem,0)-1,EmpCount,1),"&lt;&gt;")&gt;0,VLOOKUP($C183,EmpAll,COLUMN(Emp!$R$4)+MATCH(AO$5,DedListItem,0)-1,0),OFFSET(Setup!$E$73,MATCH(AO$5,DedListItem,0),0,1,1))*AO$3))),IF(ISNUMBER(AO$4),AO$4,IgnoreMin)))))</f>
        <v>0</v>
      </c>
      <c r="AP183" s="148" cm="1">
        <f t="array" aca="1" ref="AP183" ca="1">-IF($F183="Terminated",0,IF($AA183=0,0,IF(ISNA(MATCH(AP$5,PayDedList,0)),0,MIN(IF(COUNTIFS(OverEmp,$C183,OverDeduct,AP$5,OverDate,"&lt;"&amp;DATE(YEAR($AC183),MONTH($AC183)+1,1),OverEnd,"&gt;="&amp;DATE(YEAR($AC183),MONTH($AC183),1))&gt;0,SUMPRODUCT((PayEmp=$C183)*(PayDate&lt;=$AC183)*(OFFSET($N$6,1,MATCH(AP$5,PayDedList,0)-1,PayCount,1)))/$AA183*12*AP$3,IF(OR(AP$1="Fixed",AP$1="Not Used"),SUMPRODUCT((PayEmp=$C183)*(PayDate&lt;=$AC183)*(OFFSET($N$6,1,MATCH(AP$5,PayDedList,0)-1,PayCount,1)))/$AA183*12*AP$3,IF(ISNA(MATCH(AP$1,EarnListItem,0))=FALSE,SUMPRODUCT((PayEmp=$C183)*(PayDate&lt;=$AC183)*(OFFSET($N$6,1,MATCH(AP$5,PayDedList,0)-1,PayCount,1)))/$AA183*12*AP$3,(MIN(((SUMPRODUCT((PayEmp=$C183)*(PayDate&lt;=$AC183)*(ISERROR(SEARCH(PayEarnCode,AP$2)))*(PayEarnType="Monthly")*(PayEarnValues))/$AA183*12)+(SUMPRODUCT((PayEmp=$C183)*(PayDate&lt;=$AC183)*(ISERROR(SEARCH(PayEarnCode,AP$2)))*(PayEarnType="Quarterly")*(PayEarnValues))/MAX(1,ROUNDDOWN($AB183/3,0))*4)+(SUMPRODUCT((PayEmp=$C183)*(PayDate&lt;=$AC183)*(ISERROR(SEARCH(PayEarnCode,AP$2)))*(PayEarnType="Bi-Annual")*(PayEarnValues))/MAX(1,ROUNDDOWN($AB183/6,0))*2)+(SUMPRODUCT((PayEmp=$C183)*(PayDate&lt;=$AC183)*(ISERROR(SEARCH(PayEarnCode,AP$2)))*(PayEarnType="Annual")*(PayEarnValues)))),IF(ISNUMBER(OFFSET($N$3,0,MATCH(AP$5,PayDedList,0)-1,1,1)),OFFSET($N$3,0,MATCH(AP$5,PayDedList,0)-1,1,1),IgnoreMin)))*IF(COUNTIFS(EmpNo,$C183,OFFSET(Emp!$R$4,1,MATCH(AP$5,DedListItem,0)-1,EmpCount,1),"&lt;&gt;")&gt;0,VLOOKUP($C183,EmpAll,COLUMN(Emp!$R$4)+MATCH(AP$5,DedListItem,0)-1,0),OFFSET(Setup!$E$73,MATCH(AP$5,DedListItem,0),0,1,1))*AP$3))),IF(ISNUMBER(AP$4),AP$4,IgnoreMin)))))</f>
        <v>0</v>
      </c>
      <c r="AQ183" s="148" cm="1">
        <f t="array" aca="1" ref="AQ183" ca="1">-IF($F183="Terminated",0,IF($AA183=0,0,IF(ISNA(MATCH(AQ$5,PayDedList,0)),0,MIN(IF(COUNTIFS(OverEmp,$C183,OverDeduct,AQ$5,OverDate,"&lt;"&amp;DATE(YEAR($AC183),MONTH($AC183)+1,1),OverEnd,"&gt;="&amp;DATE(YEAR($AC183),MONTH($AC183),1))&gt;0,SUMPRODUCT((PayEmp=$C183)*(PayDate&lt;=$AC183)*(OFFSET($N$6,1,MATCH(AQ$5,PayDedList,0)-1,PayCount,1)))/$AA183*12*AQ$3,IF(OR(AQ$1="Fixed",AQ$1="Not Used"),SUMPRODUCT((PayEmp=$C183)*(PayDate&lt;=$AC183)*(OFFSET($N$6,1,MATCH(AQ$5,PayDedList,0)-1,PayCount,1)))/$AA183*12*AQ$3,IF(ISNA(MATCH(AQ$1,EarnListItem,0))=FALSE,SUMPRODUCT((PayEmp=$C183)*(PayDate&lt;=$AC183)*(OFFSET($N$6,1,MATCH(AQ$5,PayDedList,0)-1,PayCount,1)))/$AA183*12*AQ$3,(MIN(((SUMPRODUCT((PayEmp=$C183)*(PayDate&lt;=$AC183)*(ISERROR(SEARCH(PayEarnCode,AQ$2)))*(PayEarnType="Monthly")*(PayEarnValues))/$AA183*12)+(SUMPRODUCT((PayEmp=$C183)*(PayDate&lt;=$AC183)*(ISERROR(SEARCH(PayEarnCode,AQ$2)))*(PayEarnType="Quarterly")*(PayEarnValues))/MAX(1,ROUNDDOWN($AB183/3,0))*4)+(SUMPRODUCT((PayEmp=$C183)*(PayDate&lt;=$AC183)*(ISERROR(SEARCH(PayEarnCode,AQ$2)))*(PayEarnType="Bi-Annual")*(PayEarnValues))/MAX(1,ROUNDDOWN($AB183/6,0))*2)+(SUMPRODUCT((PayEmp=$C183)*(PayDate&lt;=$AC183)*(ISERROR(SEARCH(PayEarnCode,AQ$2)))*(PayEarnType="Annual")*(PayEarnValues)))),IF(ISNUMBER(OFFSET($N$3,0,MATCH(AQ$5,PayDedList,0)-1,1,1)),OFFSET($N$3,0,MATCH(AQ$5,PayDedList,0)-1,1,1),IgnoreMin)))*IF(COUNTIFS(EmpNo,$C183,OFFSET(Emp!$R$4,1,MATCH(AQ$5,DedListItem,0)-1,EmpCount,1),"&lt;&gt;")&gt;0,VLOOKUP($C183,EmpAll,COLUMN(Emp!$R$4)+MATCH(AQ$5,DedListItem,0)-1,0),OFFSET(Setup!$E$73,MATCH(AQ$5,DedListItem,0),0,1,1))*AQ$3))),IF(ISNUMBER(AQ$4),AQ$4,IgnoreMin)))))</f>
        <v>0</v>
      </c>
      <c r="AR183" s="148">
        <f t="shared" ca="1" si="81"/>
        <v>67000</v>
      </c>
      <c r="AS183" s="148">
        <f t="shared" ca="1" si="72"/>
        <v>62000</v>
      </c>
      <c r="AT183" s="148" cm="1">
        <f t="array" aca="1" ref="AT183" ca="1">-IF($F183="Terminated",0,IF($AA183=0,0,IF(ISNA(MATCH(AT$5,PayDedList,0)),0,MIN(IF(COUNTIFS(OverEmp,$C183,OverDeduct,AT$5,OverDate,"&lt;"&amp;DATE(YEAR($AC183),MONTH($AC183)+1,1),OverEnd,"&gt;="&amp;DATE(YEAR($AC183),MONTH($AC183),1))&gt;0,SUMPRODUCT((PayEmp=$C183)*(PayDate&lt;=$AC183)*(OFFSET($N$6,1,MATCH(AT$5,PayDedList,0)-1,PayCount,1)))/$AA183*12*AT$3,IF(OR(AT$1="Fixed",AT$1="Not Used"),SUMPRODUCT((PayEmp=$C183)*(PayDate&lt;=$AC183)*(OFFSET($N$6,1,MATCH(AT$5,PayDedList,0)-1,PayCount,1)))/$AA183*12*AT$3,IF(ISNA(MATCH(OFFSET($N$2,0,MATCH(AT$5,PayDedList,0)-1,1,1),EarnListItem,0))=FALSE,SUMPRODUCT((PayEmp=$C183)*(PayDate&lt;=$AC183)*(OFFSET($N$6,1,MATCH(AT$5,PayDedList,0)-1,PayCount,1)))/$AA183*12*AT$3,(MIN(SUMPRODUCT((PayEmp=$C183)*(PayDate&lt;=$AC183)*(ISERROR(SEARCH(PayEarnCode,AT$2)))*(PayEarnType="Monthly")*(PayEarnValues))/$AA183*12,IF(ISNUMBER(OFFSET($N$3,0,MATCH(AT$5,PayDedList,0)-1,1,1)),OFFSET($N$3,0,MATCH(AT$5,PayDedList,0)-1,1,1),IgnoreMin)))*IF(COUNTIFS(EmpNo,$C183,OFFSET(Emp!$R$4,1,MATCH(AT$5,DedListItem,0)-1,EmpCount,1),"&lt;&gt;")&gt;0,VLOOKUP($C183,EmpAll,COLUMN(Emp!$R$4)+MATCH(AT$5,DedListItem,0)-1,0),OFFSET(Setup!$E$73,MATCH(AT$5,DedListItem,0),0,1,1))*AT$3))),IF(ISNUMBER(AT$4),AT$4,IgnoreMin)))))</f>
        <v>0</v>
      </c>
      <c r="AU183" s="148" cm="1">
        <f t="array" aca="1" ref="AU183" ca="1">-IF($F183="Terminated",0,IF($AA183=0,0,IF(ISNA(MATCH(AU$5,PayDedList,0)),0,MIN(IF(COUNTIFS(OverEmp,$C183,OverDeduct,AU$5,OverDate,"&lt;"&amp;DATE(YEAR($AC183),MONTH($AC183)+1,1),OverEnd,"&gt;="&amp;DATE(YEAR($AC183),MONTH($AC183),1))&gt;0,SUMPRODUCT((PayEmp=$C183)*(PayDate&lt;=$AC183)*(OFFSET($N$6,1,MATCH(AU$5,PayDedList,0)-1,PayCount,1)))/$AA183*12*AU$3,IF(OR(AU$1="Fixed",AU$1="Not Used"),SUMPRODUCT((PayEmp=$C183)*(PayDate&lt;=$AC183)*(OFFSET($N$6,1,MATCH(AU$5,PayDedList,0)-1,PayCount,1)))/$AA183*12*AU$3,IF(ISNA(MATCH(OFFSET($N$2,0,MATCH(AU$5,PayDedList,0)-1,1,1),EarnListItem,0))=FALSE,SUMPRODUCT((PayEmp=$C183)*(PayDate&lt;=$AC183)*(OFFSET($N$6,1,MATCH(AU$5,PayDedList,0)-1,PayCount,1)))/$AA183*12*AU$3,(MIN(SUMPRODUCT((PayEmp=$C183)*(PayDate&lt;=$AC183)*(ISERROR(SEARCH(PayEarnCode,AU$2)))*(PayEarnType="Monthly")*(PayEarnValues))/$AA183*12,IF(ISNUMBER(OFFSET($N$3,0,MATCH(AU$5,PayDedList,0)-1,1,1)),OFFSET($N$3,0,MATCH(AU$5,PayDedList,0)-1,1,1),IgnoreMin)))*IF(COUNTIFS(EmpNo,$C183,OFFSET(Emp!$R$4,1,MATCH(AU$5,DedListItem,0)-1,EmpCount,1),"&lt;&gt;")&gt;0,VLOOKUP($C183,EmpAll,COLUMN(Emp!$R$4)+MATCH(AU$5,DedListItem,0)-1,0),OFFSET(Setup!$E$73,MATCH(AU$5,DedListItem,0),0,1,1))*AU$3))),IF(ISNUMBER(AU$4),AU$4,IgnoreMin)))))</f>
        <v>0</v>
      </c>
      <c r="AV183" s="148" cm="1">
        <f t="array" aca="1" ref="AV183" ca="1">-IF($F183="Terminated",0,IF($AA183=0,0,IF(ISNA(MATCH(AV$5,PayDedList,0)),0,MIN(IF(COUNTIFS(OverEmp,$C183,OverDeduct,AV$5,OverDate,"&lt;"&amp;DATE(YEAR($AC183),MONTH($AC183)+1,1),OverEnd,"&gt;="&amp;DATE(YEAR($AC183),MONTH($AC183),1))&gt;0,SUMPRODUCT((PayEmp=$C183)*(PayDate&lt;=$AC183)*(OFFSET($N$6,1,MATCH(AV$5,PayDedList,0)-1,PayCount,1)))/$AA183*12*AV$3,IF(OR(AV$1="Fixed",AV$1="Not Used"),SUMPRODUCT((PayEmp=$C183)*(PayDate&lt;=$AC183)*(OFFSET($N$6,1,MATCH(AV$5,PayDedList,0)-1,PayCount,1)))/$AA183*12*AV$3,IF(ISNA(MATCH(OFFSET($N$2,0,MATCH(AV$5,PayDedList,0)-1,1,1),EarnListItem,0))=FALSE,SUMPRODUCT((PayEmp=$C183)*(PayDate&lt;=$AC183)*(OFFSET($N$6,1,MATCH(AV$5,PayDedList,0)-1,PayCount,1)))/$AA183*12*AV$3,(MIN(SUMPRODUCT((PayEmp=$C183)*(PayDate&lt;=$AC183)*(ISERROR(SEARCH(PayEarnCode,AV$2)))*(PayEarnType="Monthly")*(PayEarnValues))/$AA183*12,IF(ISNUMBER(OFFSET($N$3,0,MATCH(AV$5,PayDedList,0)-1,1,1)),OFFSET($N$3,0,MATCH(AV$5,PayDedList,0)-1,1,1),IgnoreMin)))*IF(COUNTIFS(EmpNo,$C183,OFFSET(Emp!$R$4,1,MATCH(AV$5,DedListItem,0)-1,EmpCount,1),"&lt;&gt;")&gt;0,VLOOKUP($C183,EmpAll,COLUMN(Emp!$R$4)+MATCH(AV$5,DedListItem,0)-1,0),OFFSET(Setup!$E$73,MATCH(AV$5,DedListItem,0),0,1,1))*AV$3))),IF(ISNUMBER(AV$4),AV$4,IgnoreMin)))))</f>
        <v>0</v>
      </c>
      <c r="AW183" s="148" cm="1">
        <f t="array" aca="1" ref="AW183" ca="1">-IF($F183="Terminated",0,IF($AA183=0,0,IF(ISNA(MATCH(AW$5,PayDedList,0)),0,MIN(IF(COUNTIFS(OverEmp,$C183,OverDeduct,AW$5,OverDate,"&lt;"&amp;DATE(YEAR($AC183),MONTH($AC183)+1,1),OverEnd,"&gt;="&amp;DATE(YEAR($AC183),MONTH($AC183),1))&gt;0,SUMPRODUCT((PayEmp=$C183)*(PayDate&lt;=$AC183)*(OFFSET($N$6,1,MATCH(AW$5,PayDedList,0)-1,PayCount,1)))/$AA183*12*AW$3,IF(OR(AW$1="Fixed",AW$1="Not Used"),SUMPRODUCT((PayEmp=$C183)*(PayDate&lt;=$AC183)*(OFFSET($N$6,1,MATCH(AW$5,PayDedList,0)-1,PayCount,1)))/$AA183*12*AW$3,IF(ISNA(MATCH(OFFSET($N$2,0,MATCH(AW$5,PayDedList,0)-1,1,1),EarnListItem,0))=FALSE,SUMPRODUCT((PayEmp=$C183)*(PayDate&lt;=$AC183)*(OFFSET($N$6,1,MATCH(AW$5,PayDedList,0)-1,PayCount,1)))/$AA183*12*AW$3,(MIN(SUMPRODUCT((PayEmp=$C183)*(PayDate&lt;=$AC183)*(ISERROR(SEARCH(PayEarnCode,AW$2)))*(PayEarnType="Monthly")*(PayEarnValues))/$AA183*12,IF(ISNUMBER(OFFSET($N$3,0,MATCH(AW$5,PayDedList,0)-1,1,1)),OFFSET($N$3,0,MATCH(AW$5,PayDedList,0)-1,1,1),IgnoreMin)))*IF(COUNTIFS(EmpNo,$C183,OFFSET(Emp!$R$4,1,MATCH(AW$5,DedListItem,0)-1,EmpCount,1),"&lt;&gt;")&gt;0,VLOOKUP($C183,EmpAll,COLUMN(Emp!$R$4)+MATCH(AW$5,DedListItem,0)-1,0),OFFSET(Setup!$E$73,MATCH(AW$5,DedListItem,0),0,1,1))*AW$3))),IF(ISNUMBER(AW$4),AW$4,IgnoreMin)))))</f>
        <v>0</v>
      </c>
      <c r="AX183" s="148">
        <f t="shared" ca="1" si="88"/>
        <v>62000</v>
      </c>
      <c r="AY183" s="148">
        <f t="shared" ca="1" si="89"/>
        <v>5000</v>
      </c>
      <c r="AZ183" s="148">
        <f ca="1">IF(ISNUMBER($AL183),($AR183*$AL183)-$AI183-$AK183,MAX(0,IF($AL183="B",IF($AR183&lt;Setup!$C$32,($AR183*Setup!$D$32)-$AI183-$AK183,(($AR183-VLOOKUP($AR183,TaxAll2,1,1))*OFFSET(Setup!$D$32,MATCH($AR183,TaxBracket2,1),0,1,1))+OFFSET(Setup!$E$31,MATCH($AR183,TaxBracket2,1),0,1,1)-$AI183-$AK183),IF($AR183&lt;Setup!$C$21,($AR183*Setup!$D$21)-$AI183-$AK183,(($AR183-VLOOKUP($AR183,TaxAll1,1,1))*OFFSET(Setup!$D$21,MATCH($AR183,TaxBracket1,1),0,1,1))+OFFSET(Setup!$E$20,MATCH($AR183,TaxBracket1,1),0,1,1)-$AI183-$AK183))))</f>
        <v>0</v>
      </c>
      <c r="BA183" s="148">
        <f ca="1">IF(ISNUMBER($AL183),($AX183*$AL183)-$AI183-$AK183,MAX(0,IF($AL183="B",IF($AX183&lt;Setup!$C$32,($AX183*Setup!$D$32)-$AI183-$AK183,(($AX183-VLOOKUP($AX183,TaxAll2,1,1))*OFFSET(Setup!$D$32,MATCH($AX183,TaxBracket2,1),0,1,1))+OFFSET(Setup!$E$31,MATCH($AX183,TaxBracket2,1),0,1,1)-$AI183-$AK183),IF($AX183&lt;Setup!$C$21,($AX183*Setup!$D$21)-$AI183-$AK183,(($AX183-VLOOKUP($AX183,TaxAll1,1,1))*OFFSET(Setup!$D$21,MATCH($AX183,TaxBracket1,1),0,1,1))+OFFSET(Setup!$E$20,MATCH($AX183,TaxBracket1,1),0,1,1)-$AI183-$AK183))))</f>
        <v>0</v>
      </c>
      <c r="BB183" s="148">
        <f t="shared" ca="1" si="82"/>
        <v>0</v>
      </c>
      <c r="BC183" s="150">
        <f t="shared" ca="1" si="75"/>
        <v>0.92537313432835822</v>
      </c>
      <c r="BD183" s="150">
        <f t="shared" ca="1" si="76"/>
        <v>7.4626865671641784E-2</v>
      </c>
      <c r="BE183" s="148">
        <f t="shared" ca="1" si="77"/>
        <v>67000</v>
      </c>
    </row>
    <row r="184" spans="1:57" ht="16.149999999999999" customHeight="1" x14ac:dyDescent="0.25">
      <c r="A184" s="10" t="str" cm="1">
        <f t="array" aca="1" ref="A184" ca="1">IF(ROW($A184)-ROW($A$6)&gt;EmpCount*12,"-",TEXT($B184,"yyyy")&amp;TEXT($B184,"mm")&amp;"-"&amp;$C184)</f>
        <v>202402-EXS013</v>
      </c>
      <c r="B184" s="137" cm="1">
        <f t="array" aca="1" ref="B184" ca="1">IF(ROW($A184)-ROW($A$6)&gt;EmpCount*12,Setup!$D$12,DATE(YEAR(Setup!$F$12),MONTH(Setup!$F$12)+ROUNDDOWN((ROW($A184)-ROW($A$6)-1)/EmpCount,0),IF(Setup!$C$14&gt;DAY(DATE(YEAR(Setup!$F$12),MONTH(Setup!$F$12)+ROUNDDOWN((ROW($A184)-ROW($A$6)-1)/EmpCount,0)+1,0)),DAY(DATE(YEAR(Setup!$F$12),MONTH(Setup!$F$12)+ROUNDDOWN((ROW($A184)-ROW($A$6)-1)/EmpCount,0)+1,0)),Setup!$C$14)))</f>
        <v>45347</v>
      </c>
      <c r="C184" s="101" t="str" cm="1">
        <f t="array" aca="1" ref="C184" ca="1">IF(ROW($A184)-ROW($A$6)&gt;EmpCount*12,"-",OFFSET(Emp!$A$4,ROW($A184)-ROW($A$6)-IF(ROW($A184)-ROW($A$6)&gt;EmpCount,ROUNDDOWN((ROW($A184)-ROW($A$6)-1)/EmpCount,0)*EmpCount,0),0,1,1))</f>
        <v>EXS013</v>
      </c>
      <c r="D184" s="10" t="str">
        <f ca="1">IF(ISNA(VLOOKUP($C184,EmpAll,COLUMN(Emp!$B$4),0)),"-",VLOOKUP($C184,EmpAll,COLUMN(Emp!$B$4),0))</f>
        <v>East WD</v>
      </c>
      <c r="E184" s="145" t="str">
        <f ca="1">IF(ISNA(VLOOKUP($C184,EmpAll,COLUMN(Emp!$C$4),0)),"-",VLOOKUP($C184,EmpAll,COLUMN(Emp!$C$4),0))</f>
        <v>A</v>
      </c>
      <c r="F184" s="101" t="str">
        <f ca="1">IF(ISNA(VLOOKUP($C184,EmpAll,COLUMN(Emp!$A$4),0)),"-",IF(AND(VLOOKUP($C184,EmpAll,COLUMN(Emp!$E$4),0)&lt;&gt;0,VLOOKUP($C184,EmpAll,COLUMN(Emp!$E$4),0)&gt;=DATE(YEAR($AC184),MONTH($AC184)+1,0)),"Inactive",IF(AND(VLOOKUP($C184,EmpAll,COLUMN(Emp!$F$4),0)&lt;&gt;0,VLOOKUP($C184,EmpAll,COLUMN(Emp!$F$4),0)&lt;=DATE(YEAR($AC184),MONTH($AC184),0)),"Terminated","Active")))</f>
        <v>Active</v>
      </c>
      <c r="G184" s="133" cm="1">
        <f t="array" aca="1" ref="G184" ca="1">IF($F184&lt;&gt;"Active",0,IF(COUNTIFS(OverEmp,$C184,OverEarn,G$2,OverDate,"&lt;"&amp;DATE(YEAR($AC184),MONTH($AC184)+1,1),OverEnd,"&gt;="&amp;DATE(YEAR($AC184),MONTH($AC184),1))&gt;0,SUMIFS(OverValue,OverEmp,$C184,OverEarn,G$2,OverDate,"&lt;"&amp;DATE(YEAR($AC184),MONTH($AC184)+1,1),OverEnd,"&gt;="&amp;DATE(YEAR($AC184),MONTH($AC184),1)),IF(AND($AC184&gt;=Setup!$E$10,SUMIFS(EmpIncrease,EmpCode,$C184)&gt;0),SUMIFS(EmpIncrease,EmpCode,$C184),SUMIFS(EmpSalary,EmpCode,$C184))))</f>
        <v>6000</v>
      </c>
      <c r="H184" s="133" cm="1">
        <f t="array" aca="1" ref="H184" ca="1">IF($F184&lt;&gt;"Active",0,IF(COUNTIFS(OverEmp,$C184,OverEarn,H$2,OverDate,"&lt;"&amp;DATE(YEAR($AC184),MONTH($AC184)+1,1),OverEnd,"&gt;="&amp;DATE(YEAR($AC184),MONTH($AC184),1))&gt;0,SUMIFS(OverValue,OverEmp,$C184,OverEarn,H$2,OverDate,"&lt;"&amp;DATE(YEAR($AC184),MONTH($AC184)+1,1),OverEnd,"&gt;="&amp;DATE(YEAR($AC184),MONTH($AC184),1)),0))</f>
        <v>0</v>
      </c>
      <c r="I184" s="133" cm="1">
        <f t="array" aca="1" ref="I184" ca="1">IF($F184&lt;&gt;"Active",0,IF(COUNTIFS(OverEmp,$C184,OverEarn,I$2,OverDate,"&lt;"&amp;DATE(YEAR($AC184),MONTH($AC184)+1,1),OverEnd,"&gt;="&amp;DATE(YEAR($AC184),MONTH($AC184),1))&gt;0,SUMIFS(OverValue,OverEmp,$C184,OverEarn,I$2,OverDate,"&lt;"&amp;DATE(YEAR($AC184),MONTH($AC184)+1,1),OverEnd,"&gt;="&amp;DATE(YEAR($AC184),MONTH($AC184),1)),IF(MONTH(B184)=Setup!$C$15,SUMIFS(EmpBonus,EmpCode,$C184),0)))</f>
        <v>0</v>
      </c>
      <c r="J184" s="133" cm="1">
        <f t="array" aca="1" ref="J184" ca="1">IF($F184&lt;&gt;"Active",0,IF(COUNTIFS(OverEmp,$C184,OverEarn,J$2,OverDate,"&lt;"&amp;DATE(YEAR($AC184),MONTH($AC184)+1,1),OverEnd,"&gt;="&amp;DATE(YEAR($AC184),MONTH($AC184),1))&gt;0,SUMIFS(OverValue,OverEmp,$C184,OverEarn,J$2,OverDate,"&lt;"&amp;DATE(YEAR($AC184),MONTH($AC184)+1,1),OverEnd,"&gt;="&amp;DATE(YEAR($AC184),MONTH($AC184),1)),0))</f>
        <v>0</v>
      </c>
      <c r="K184" s="133" cm="1">
        <f t="array" aca="1" ref="K184" ca="1">IF($F184&lt;&gt;"Active",0,IF(COUNTIFS(OverEmp,$C184,OverEarn,K$2,OverDate,"&lt;"&amp;DATE(YEAR($AC184),MONTH($AC184)+1,1),OverEnd,"&gt;="&amp;DATE(YEAR($AC184),MONTH($AC184),1))&gt;0,SUMIFS(OverValue,OverEmp,$C184,OverEarn,K$2,OverDate,"&lt;"&amp;DATE(YEAR($AC184),MONTH($AC184)+1,1),OverEnd,"&gt;="&amp;DATE(YEAR($AC184),MONTH($AC184),1)),0))</f>
        <v>0</v>
      </c>
      <c r="L184" s="185">
        <f t="shared" ca="1" si="84"/>
        <v>6000</v>
      </c>
      <c r="M184" s="182" cm="1">
        <f t="array" aca="1" ref="M184" ca="1">IF(COUNTIFS(OverEmp,$C184,OverTax,M$5,OverDate,"&lt;"&amp;DATE(YEAR($AC184),MONTH($AC184)+1,1),OverEnd,"&gt;="&amp;DATE(YEAR($AC184),MONTH($AC184),1))&gt;0,SUMIFS(OverValue,OverEmp,$C184,OverTax,M$5,OverDate,"&lt;"&amp;DATE(YEAR($AC184),MONTH($AC184)+1,1),OverEnd,"&gt;="&amp;DATE(YEAR($AC184),MONTH($AC184),1)),(($BA184/12*$AA184)+(BB184*IF(1-$BC184=0,0,BD184/(1-$BC184))))-IF($F184="Terminated",0,SUMIFS(PayTaxDeduct,PayDate,"&lt;"&amp;$AC184,PayEmp,$C184)))</f>
        <v>0</v>
      </c>
      <c r="N184" s="133" cm="1">
        <f t="array" aca="1" ref="N184" ca="1">IF($F184="Terminated",0,IF($AA184=0,0,IF(ISNA(MATCH(N$5,DedListItem,0)),0,IF(COUNTIFS(OverEmp,$C184,OverDeduct,N$5,OverDate,"&lt;"&amp;DATE(YEAR($AC184),MONTH($AC184)+1,1),OverEnd,"&gt;="&amp;DATE(YEAR($AC184),MONTH($AC184),1))&gt;0,SUMIFS(OverValue,OverEmp,$C184,OverDeduct,N$5,OverDate,"&lt;"&amp;DATE(YEAR($AC184),MONTH($AC184)+1,1),OverEnd,"&gt;="&amp;DATE(YEAR($AC184),MONTH($AC184),1)),IF(OR(N$2="Fixed",N$2="Not Used"),(IF(COUNTIFS(EmpNo,$C184,OFFSET(Emp!$R$4,1,MATCH(N$5,DedListItem,0)-1,EmpCount,1),"&lt;&gt;")&gt;0,VLOOKUP($C184,EmpAll,COLUMN(Emp!$R$4)+MATCH(N$5,DedListItem,0)-1,0),OFFSET(Setup!$E$73,MATCH(N$5,DedListItem,0),0,1,1))*$AA184)-SUMIFS(OFFSET(N$6,1,0,PayCount,1),PayDate,"&lt;"&amp;$AC184,PayEmp,$C184),IF(ISNA(MATCH(N$2,EarnListItem,0))=FALSE,IF(OFFSET(Setup!$G$73,MATCH(N$5,DedListItem,0),0,1,1)="Taxable",SUMPRODUCT((PayEmp=$C184)*(PayDate&lt;=$AC184)*(PayEarnCode=N$2)*(PayEarnTax)*(PayEarnValues)),SUMPRODUCT((PayEmp=$C184)*(PayDate&lt;=$AC184)*(PayEarnCode=N$2)*(PayEarnValues)))*IF(COUNTIFS(EmpNo,$C184,OFFSET(Emp!$R$4,1,MATCH(N$5,DedListItem,0)-1,EmpCount,1),"&lt;&gt;")&gt;0,VLOOKUP($C184,EmpAll,COLUMN(Emp!$R$4)+MATCH(N$5,DedListItem,0)-1,0),OFFSET(Setup!$E$73,MATCH(N$5,DedListItem,0),0,1,1)),(MIN(IF(OFFSET(Setup!$G$73,MATCH(N$5,DedListItem,0),0,1,1)="Taxable",SUMPRODUCT((PayEmp=$C184)*(PayDate&lt;=$AC184)*(ISERROR(SEARCH(PayEarnCode,N$4)))*(PayEarnTax)*(PayEarnValues)),SUMPRODUCT((PayEmp=$C184)*(PayDate&lt;=$AC184)*(ISERROR(SEARCH(PayEarnCode,N$4)))*(PayEarnValues))),IF(ISNUMBER(N$3),N$3/12*$AA184,IgnoreMin)))*IF(COUNTIFS(EmpNo,$C184,OFFSET(Emp!$R$4,1,MATCH(N$5,DedListItem,0)-1,EmpCount,1),"&lt;&gt;")&gt;0,VLOOKUP($C184,EmpAll,COLUMN(Emp!$R$4)+MATCH(N$5,DedListItem,0)-1,0),OFFSET(Setup!$E$73,MATCH(N$5,DedListItem,0),0,1,1)))-SUMIFS(OFFSET(N$6,1,0,PayCount,1),PayDate,"&lt;"&amp;$AC184,PayEmp,$C184))))))</f>
        <v>60</v>
      </c>
      <c r="O184" s="133" cm="1">
        <f t="array" aca="1" ref="O184" ca="1">IF($F184="Terminated",0,IF($AA184=0,0,IF(ISNA(MATCH(O$5,DedListItem,0)),0,IF(COUNTIFS(OverEmp,$C184,OverDeduct,O$5,OverDate,"&lt;"&amp;DATE(YEAR($AC184),MONTH($AC184)+1,1),OverEnd,"&gt;="&amp;DATE(YEAR($AC184),MONTH($AC184),1))&gt;0,SUMIFS(OverValue,OverEmp,$C184,OverDeduct,O$5,OverDate,"&lt;"&amp;DATE(YEAR($AC184),MONTH($AC184)+1,1),OverEnd,"&gt;="&amp;DATE(YEAR($AC184),MONTH($AC184),1)),IF(OR(O$2="Fixed",O$2="Not Used"),(IF(COUNTIFS(EmpNo,$C184,OFFSET(Emp!$R$4,1,MATCH(O$5,DedListItem,0)-1,EmpCount,1),"&lt;&gt;")&gt;0,VLOOKUP($C184,EmpAll,COLUMN(Emp!$R$4)+MATCH(O$5,DedListItem,0)-1,0),OFFSET(Setup!$E$73,MATCH(O$5,DedListItem,0),0,1,1))*$AA184)-SUMIFS(OFFSET(O$6,1,0,PayCount,1),PayDate,"&lt;"&amp;$AC184,PayEmp,$C184),IF(ISNA(MATCH(O$2,EarnListItem,0))=FALSE,IF(OFFSET(Setup!$G$73,MATCH(O$5,DedListItem,0),0,1,1)="Taxable",SUMPRODUCT((PayEmp=$C184)*(PayDate&lt;=$AC184)*(PayEarnCode=O$2)*(PayEarnTax)*(PayEarnValues)),SUMPRODUCT((PayEmp=$C184)*(PayDate&lt;=$AC184)*(PayEarnCode=O$2)*(PayEarnValues)))*IF(COUNTIFS(EmpNo,$C184,OFFSET(Emp!$R$4,1,MATCH(O$5,DedListItem,0)-1,EmpCount,1),"&lt;&gt;")&gt;0,VLOOKUP($C184,EmpAll,COLUMN(Emp!$R$4)+MATCH(O$5,DedListItem,0)-1,0),OFFSET(Setup!$E$73,MATCH(O$5,DedListItem,0),0,1,1)),(MIN(IF(OFFSET(Setup!$G$73,MATCH(O$5,DedListItem,0),0,1,1)="Taxable",SUMPRODUCT((PayEmp=$C184)*(PayDate&lt;=$AC184)*(ISERROR(SEARCH(PayEarnCode,O$4)))*(PayEarnTax)*(PayEarnValues)),SUMPRODUCT((PayEmp=$C184)*(PayDate&lt;=$AC184)*(ISERROR(SEARCH(PayEarnCode,O$4)))*(PayEarnValues))),IF(ISNUMBER(O$3),O$3/12*$AA184,IgnoreMin)))*IF(COUNTIFS(EmpNo,$C184,OFFSET(Emp!$R$4,1,MATCH(O$5,DedListItem,0)-1,EmpCount,1),"&lt;&gt;")&gt;0,VLOOKUP($C184,EmpAll,COLUMN(Emp!$R$4)+MATCH(O$5,DedListItem,0)-1,0),OFFSET(Setup!$E$73,MATCH(O$5,DedListItem,0),0,1,1)))-SUMIFS(OFFSET(O$6,1,0,PayCount,1),PayDate,"&lt;"&amp;$AC184,PayEmp,$C184))))))</f>
        <v>0</v>
      </c>
      <c r="P184" s="133" cm="1">
        <f t="array" aca="1" ref="P184" ca="1">IF($F184="Terminated",0,IF($AA184=0,0,IF(ISNA(MATCH(P$5,DedListItem,0)),0,IF(COUNTIFS(OverEmp,$C184,OverDeduct,P$5,OverDate,"&lt;"&amp;DATE(YEAR($AC184),MONTH($AC184)+1,1),OverEnd,"&gt;="&amp;DATE(YEAR($AC184),MONTH($AC184),1))&gt;0,SUMIFS(OverValue,OverEmp,$C184,OverDeduct,P$5,OverDate,"&lt;"&amp;DATE(YEAR($AC184),MONTH($AC184)+1,1),OverEnd,"&gt;="&amp;DATE(YEAR($AC184),MONTH($AC184),1)),IF(OR(P$2="Fixed",P$2="Not Used"),(IF(COUNTIFS(EmpNo,$C184,OFFSET(Emp!$R$4,1,MATCH(P$5,DedListItem,0)-1,EmpCount,1),"&lt;&gt;")&gt;0,VLOOKUP($C184,EmpAll,COLUMN(Emp!$R$4)+MATCH(P$5,DedListItem,0)-1,0),OFFSET(Setup!$E$73,MATCH(P$5,DedListItem,0),0,1,1))*$AA184)-SUMIFS(OFFSET(P$6,1,0,PayCount,1),PayDate,"&lt;"&amp;$AC184,PayEmp,$C184),IF(ISNA(MATCH(P$2,EarnListItem,0))=FALSE,IF(OFFSET(Setup!$G$73,MATCH(P$5,DedListItem,0),0,1,1)="Taxable",SUMPRODUCT((PayEmp=$C184)*(PayDate&lt;=$AC184)*(PayEarnCode=P$2)*(PayEarnTax)*(PayEarnValues)),SUMPRODUCT((PayEmp=$C184)*(PayDate&lt;=$AC184)*(PayEarnCode=P$2)*(PayEarnValues)))*IF(COUNTIFS(EmpNo,$C184,OFFSET(Emp!$R$4,1,MATCH(P$5,DedListItem,0)-1,EmpCount,1),"&lt;&gt;")&gt;0,VLOOKUP($C184,EmpAll,COLUMN(Emp!$R$4)+MATCH(P$5,DedListItem,0)-1,0),OFFSET(Setup!$E$73,MATCH(P$5,DedListItem,0),0,1,1)),(MIN(IF(OFFSET(Setup!$G$73,MATCH(P$5,DedListItem,0),0,1,1)="Taxable",SUMPRODUCT((PayEmp=$C184)*(PayDate&lt;=$AC184)*(ISERROR(SEARCH(PayEarnCode,P$4)))*(PayEarnTax)*(PayEarnValues)),SUMPRODUCT((PayEmp=$C184)*(PayDate&lt;=$AC184)*(ISERROR(SEARCH(PayEarnCode,P$4)))*(PayEarnValues))),IF(ISNUMBER(P$3),P$3/12*$AA184,IgnoreMin)))*IF(COUNTIFS(EmpNo,$C184,OFFSET(Emp!$R$4,1,MATCH(P$5,DedListItem,0)-1,EmpCount,1),"&lt;&gt;")&gt;0,VLOOKUP($C184,EmpAll,COLUMN(Emp!$R$4)+MATCH(P$5,DedListItem,0)-1,0),OFFSET(Setup!$E$73,MATCH(P$5,DedListItem,0),0,1,1)))-SUMIFS(OFFSET(P$6,1,0,PayCount,1),PayDate,"&lt;"&amp;$AC184,PayEmp,$C184))))))</f>
        <v>0</v>
      </c>
      <c r="Q184" s="133" cm="1">
        <f t="array" aca="1" ref="Q184" ca="1">IF($F184="Terminated",0,IF($AA184=0,0,IF(ISNA(MATCH(Q$5,DedListItem,0)),0,IF(COUNTIFS(OverEmp,$C184,OverDeduct,Q$5,OverDate,"&lt;"&amp;DATE(YEAR($AC184),MONTH($AC184)+1,1),OverEnd,"&gt;="&amp;DATE(YEAR($AC184),MONTH($AC184),1))&gt;0,SUMIFS(OverValue,OverEmp,$C184,OverDeduct,Q$5,OverDate,"&lt;"&amp;DATE(YEAR($AC184),MONTH($AC184)+1,1),OverEnd,"&gt;="&amp;DATE(YEAR($AC184),MONTH($AC184),1)),IF(OR(Q$2="Fixed",Q$2="Not Used"),(IF(COUNTIFS(EmpNo,$C184,OFFSET(Emp!$R$4,1,MATCH(Q$5,DedListItem,0)-1,EmpCount,1),"&lt;&gt;")&gt;0,VLOOKUP($C184,EmpAll,COLUMN(Emp!$R$4)+MATCH(Q$5,DedListItem,0)-1,0),OFFSET(Setup!$E$73,MATCH(Q$5,DedListItem,0),0,1,1))*$AA184)-SUMIFS(OFFSET(Q$6,1,0,PayCount,1),PayDate,"&lt;"&amp;$AC184,PayEmp,$C184),IF(ISNA(MATCH(Q$2,EarnListItem,0))=FALSE,IF(OFFSET(Setup!$G$73,MATCH(Q$5,DedListItem,0),0,1,1)="Taxable",SUMPRODUCT((PayEmp=$C184)*(PayDate&lt;=$AC184)*(PayEarnCode=Q$2)*(PayEarnTax)*(PayEarnValues)),SUMPRODUCT((PayEmp=$C184)*(PayDate&lt;=$AC184)*(PayEarnCode=Q$2)*(PayEarnValues)))*IF(COUNTIFS(EmpNo,$C184,OFFSET(Emp!$R$4,1,MATCH(Q$5,DedListItem,0)-1,EmpCount,1),"&lt;&gt;")&gt;0,VLOOKUP($C184,EmpAll,COLUMN(Emp!$R$4)+MATCH(Q$5,DedListItem,0)-1,0),OFFSET(Setup!$E$73,MATCH(Q$5,DedListItem,0),0,1,1)),(MIN(IF(OFFSET(Setup!$G$73,MATCH(Q$5,DedListItem,0),0,1,1)="Taxable",SUMPRODUCT((PayEmp=$C184)*(PayDate&lt;=$AC184)*(ISERROR(SEARCH(PayEarnCode,Q$4)))*(PayEarnTax)*(PayEarnValues)),SUMPRODUCT((PayEmp=$C184)*(PayDate&lt;=$AC184)*(ISERROR(SEARCH(PayEarnCode,Q$4)))*(PayEarnValues))),IF(ISNUMBER(Q$3),Q$3/12*$AA184,IgnoreMin)))*IF(COUNTIFS(EmpNo,$C184,OFFSET(Emp!$R$4,1,MATCH(Q$5,DedListItem,0)-1,EmpCount,1),"&lt;&gt;")&gt;0,VLOOKUP($C184,EmpAll,COLUMN(Emp!$R$4)+MATCH(Q$5,DedListItem,0)-1,0),OFFSET(Setup!$E$73,MATCH(Q$5,DedListItem,0),0,1,1)))-SUMIFS(OFFSET(Q$6,1,0,PayCount,1),PayDate,"&lt;"&amp;$AC184,PayEmp,$C184))))))</f>
        <v>0</v>
      </c>
      <c r="R184" s="185">
        <f t="shared" ca="1" si="85"/>
        <v>60</v>
      </c>
      <c r="S184" s="139">
        <f t="shared" ca="1" si="86"/>
        <v>5940</v>
      </c>
      <c r="T184" s="133" cm="1">
        <f t="array" aca="1" ref="T184" ca="1">IF($F184="Terminated",0,IF($AA184=0,0,IF(ISNA(MATCH(T$5,CompListItem,0)),0,IF(COUNTIFS(OverEmp,$C184,OverComp,T$5,OverDate,"&lt;"&amp;DATE(YEAR($AC184),MONTH($AC184)+1,1),OverEnd,"&gt;="&amp;DATE(YEAR($AC184),MONTH($AC184),1))&gt;0,SUMIFS(OverValue,OverEmp,$C184,OverComp,T$5,OverDate,"&lt;"&amp;DATE(YEAR($AC184),MONTH($AC184)+1,1),OverEnd,"&gt;="&amp;DATE(YEAR($AC184),MONTH($AC184),1)),IF(OR(T$2="Fixed",T$2="Not Used"),(OFFSET(Setup!$E$81,MATCH(T$5,CompListItem,0),0,1,1)*$AA184)-SUMIFS(OFFSET(T$6,1,0,PayCount,1),PayDate,"&lt;"&amp;$AC184,PayEmp,$C184),IF(ISNA(MATCH(T$2,DedListItem,0))=FALSE,(SUMPRODUCT((PayEmp=$C184)*(PayDate&lt;=$AC184)*(PayDedList=T$2)*(PayDedValues))*OFFSET(Setup!$E$81,MATCH(T$5,CompListItem,0),0,1,1))-SUMIFS(OFFSET(T$6,1,0,PayCount,1),PayDate,"&lt;"&amp;$AC184,PayEmp,$C184),(MIN(IF(OFFSET(Setup!$G$81,MATCH(T$5,CompListItem,0),0,1,1)="Taxable",SUMPRODUCT((PayEmp=$C184)*(PayDate&lt;=$AC184)*(ISERROR(SEARCH(PayEarnCode,T$4)))*(PayEarnTax)*(PayEarnValues)),SUMPRODUCT((PayEmp=$C184)*(PayDate&lt;=$AC184)*(ISERROR(SEARCH(PayEarnCode,T$4)))*(PayEarnValues))),IF(ISNUMBER(T$3),T$3/12*$AA184,IgnoreMin)))*OFFSET(Setup!$E$81,MATCH(T$5,CompListItem,0),0,1,1)-SUMIFS(OFFSET(T$6,1,0,PayCount,1),PayDate,"&lt;"&amp;$AC184,PayEmp,$C184)))))))</f>
        <v>60</v>
      </c>
      <c r="U184" s="133" cm="1">
        <f t="array" aca="1" ref="U184" ca="1">IF($F184="Terminated",0,IF($AA184=0,0,IF(ISNA(MATCH(U$5,CompListItem,0)),0,IF(COUNTIFS(OverEmp,$C184,OverComp,U$5,OverDate,"&lt;"&amp;DATE(YEAR($AC184),MONTH($AC184)+1,1),OverEnd,"&gt;="&amp;DATE(YEAR($AC184),MONTH($AC184),1))&gt;0,SUMIFS(OverValue,OverEmp,$C184,OverComp,U$5,OverDate,"&lt;"&amp;DATE(YEAR($AC184),MONTH($AC184)+1,1),OverEnd,"&gt;="&amp;DATE(YEAR($AC184),MONTH($AC184),1)),IF(OR(U$2="Fixed",U$2="Not Used"),(OFFSET(Setup!$E$81,MATCH(U$5,CompListItem,0),0,1,1)*$AA184)-SUMIFS(OFFSET(U$6,1,0,PayCount,1),PayDate,"&lt;"&amp;$AC184,PayEmp,$C184),IF(ISNA(MATCH(U$2,DedListItem,0))=FALSE,(SUMPRODUCT((PayEmp=$C184)*(PayDate&lt;=$AC184)*(PayDedList=U$2)*(PayDedValues))*OFFSET(Setup!$E$81,MATCH(U$5,CompListItem,0),0,1,1))-SUMIFS(OFFSET(U$6,1,0,PayCount,1),PayDate,"&lt;"&amp;$AC184,PayEmp,$C184),(MIN(IF(OFFSET(Setup!$G$81,MATCH(U$5,CompListItem,0),0,1,1)="Taxable",SUMPRODUCT((PayEmp=$C184)*(PayDate&lt;=$AC184)*(ISERROR(SEARCH(PayEarnCode,U$4)))*(PayEarnTax)*(PayEarnValues)),SUMPRODUCT((PayEmp=$C184)*(PayDate&lt;=$AC184)*(ISERROR(SEARCH(PayEarnCode,U$4)))*(PayEarnValues))),IF(ISNUMBER(U$3),U$3/12*$AA184,IgnoreMin)))*OFFSET(Setup!$E$81,MATCH(U$5,CompListItem,0),0,1,1)-SUMIFS(OFFSET(U$6,1,0,PayCount,1),PayDate,"&lt;"&amp;$AC184,PayEmp,$C184)))))))</f>
        <v>60</v>
      </c>
      <c r="V184" s="133" cm="1">
        <f t="array" aca="1" ref="V184" ca="1">IF($F184="Terminated",0,IF($AA184=0,0,IF(ISNA(MATCH(V$5,CompListItem,0)),0,IF(COUNTIFS(OverEmp,$C184,OverComp,V$5,OverDate,"&lt;"&amp;DATE(YEAR($AC184),MONTH($AC184)+1,1),OverEnd,"&gt;="&amp;DATE(YEAR($AC184),MONTH($AC184),1))&gt;0,SUMIFS(OverValue,OverEmp,$C184,OverComp,V$5,OverDate,"&lt;"&amp;DATE(YEAR($AC184),MONTH($AC184)+1,1),OverEnd,"&gt;="&amp;DATE(YEAR($AC184),MONTH($AC184),1)),IF(OR(V$2="Fixed",V$2="Not Used"),(OFFSET(Setup!$E$81,MATCH(V$5,CompListItem,0),0,1,1)*$AA184)-SUMIFS(OFFSET(V$6,1,0,PayCount,1),PayDate,"&lt;"&amp;$AC184,PayEmp,$C184),IF(ISNA(MATCH(V$2,DedListItem,0))=FALSE,(SUMPRODUCT((PayEmp=$C184)*(PayDate&lt;=$AC184)*(PayDedList=V$2)*(PayDedValues))*OFFSET(Setup!$E$81,MATCH(V$5,CompListItem,0),0,1,1))-SUMIFS(OFFSET(V$6,1,0,PayCount,1),PayDate,"&lt;"&amp;$AC184,PayEmp,$C184),(MIN(IF(OFFSET(Setup!$G$81,MATCH(V$5,CompListItem,0),0,1,1)="Taxable",SUMPRODUCT((PayEmp=$C184)*(PayDate&lt;=$AC184)*(ISERROR(SEARCH(PayEarnCode,V$4)))*(PayEarnTax)*(PayEarnValues)),SUMPRODUCT((PayEmp=$C184)*(PayDate&lt;=$AC184)*(ISERROR(SEARCH(PayEarnCode,V$4)))*(PayEarnValues))),IF(ISNUMBER(V$3),V$3/12*$AA184,IgnoreMin)))*OFFSET(Setup!$E$81,MATCH(V$5,CompListItem,0),0,1,1)-SUMIFS(OFFSET(V$6,1,0,PayCount,1),PayDate,"&lt;"&amp;$AC184,PayEmp,$C184)))))))</f>
        <v>0</v>
      </c>
      <c r="W184" s="133" cm="1">
        <f t="array" aca="1" ref="W184" ca="1">IF($F184="Terminated",0,IF($AA184=0,0,IF(ISNA(MATCH(W$5,CompListItem,0)),0,IF(COUNTIFS(OverEmp,$C184,OverComp,W$5,OverDate,"&lt;"&amp;DATE(YEAR($AC184),MONTH($AC184)+1,1),OverEnd,"&gt;="&amp;DATE(YEAR($AC184),MONTH($AC184),1))&gt;0,SUMIFS(OverValue,OverEmp,$C184,OverComp,W$5,OverDate,"&lt;"&amp;DATE(YEAR($AC184),MONTH($AC184)+1,1),OverEnd,"&gt;="&amp;DATE(YEAR($AC184),MONTH($AC184),1)),IF(OR(W$2="Fixed",W$2="Not Used"),(OFFSET(Setup!$E$81,MATCH(W$5,CompListItem,0),0,1,1)*$AA184)-SUMIFS(OFFSET(W$6,1,0,PayCount,1),PayDate,"&lt;"&amp;$AC184,PayEmp,$C184),IF(ISNA(MATCH(W$2,DedListItem,0))=FALSE,(SUMPRODUCT((PayEmp=$C184)*(PayDate&lt;=$AC184)*(PayDedList=W$2)*(PayDedValues))*OFFSET(Setup!$E$81,MATCH(W$5,CompListItem,0),0,1,1))-SUMIFS(OFFSET(W$6,1,0,PayCount,1),PayDate,"&lt;"&amp;$AC184,PayEmp,$C184),(MIN(IF(OFFSET(Setup!$G$81,MATCH(W$5,CompListItem,0),0,1,1)="Taxable",SUMPRODUCT((PayEmp=$C184)*(PayDate&lt;=$AC184)*(ISERROR(SEARCH(PayEarnCode,W$4)))*(PayEarnTax)*(PayEarnValues)),SUMPRODUCT((PayEmp=$C184)*(PayDate&lt;=$AC184)*(ISERROR(SEARCH(PayEarnCode,W$4)))*(PayEarnValues))),IF(ISNUMBER(W$3),W$3/12*$AA184,IgnoreMin)))*OFFSET(Setup!$E$81,MATCH(W$5,CompListItem,0),0,1,1)-SUMIFS(OFFSET(W$6,1,0,PayCount,1),PayDate,"&lt;"&amp;$AC184,PayEmp,$C184)))))))</f>
        <v>0</v>
      </c>
      <c r="X184" s="185">
        <f t="shared" ca="1" si="78"/>
        <v>120</v>
      </c>
      <c r="Y184" s="139">
        <f t="shared" ca="1" si="87"/>
        <v>6120</v>
      </c>
      <c r="Z184" s="139">
        <f t="shared" ca="1" si="79"/>
        <v>180</v>
      </c>
      <c r="AA184" s="146">
        <f ca="1">IF(OR($B184&lt;=Setup!$E$12,$B184&gt;=Setup!$D$12+1),0,IF($F184&lt;&gt;"Active",0,IF($AE184="Yes",$AB184,((YEAR($AC184)*12)+MONTH($AC184))-((YEAR($AD184)*12)+MONTH($AD184)-1))))</f>
        <v>12</v>
      </c>
      <c r="AB184" s="146">
        <f ca="1">IF(OR($B184&lt;=Setup!$E$12,$B184&gt;=Setup!$D$12+1),0,((YEAR($AC184)*12)+MONTH($AC184))-((YEAR(Setup!$E$12)*12)+MONTH(Setup!$E$12)))</f>
        <v>12</v>
      </c>
      <c r="AC184" s="186">
        <f t="shared" ca="1" si="83"/>
        <v>45347</v>
      </c>
      <c r="AD184" s="144">
        <f ca="1">IF(ISNA(VLOOKUP($C184,EmpAll,COLUMN(Emp!$E$4),0)),$AC184,IF(VLOOKUP($C184,EmpAll,COLUMN(Emp!$E$4),0)&lt;=Setup!$E$12,DATE(YEAR(Setup!$E$12),MONTH(Setup!$E$12)+1,1),VLOOKUP($C184,EmpAll,COLUMN(Emp!$E$4),0)))</f>
        <v>44986</v>
      </c>
      <c r="AE184" s="144" t="str">
        <f ca="1">IF(ISNA(VLOOKUP($C184,EmpAll,COLUMN(Emp!$G$1),0)),"-",IF(VLOOKUP($C184,EmpAll,COLUMN(Emp!$G$1),0)=0,"-",VLOOKUP($C184,EmpAll,COLUMN(Emp!$G$1),0)))</f>
        <v>-</v>
      </c>
      <c r="AF184" s="145">
        <f ca="1">IF(A184=PaySlip!$G$3,1,0)</f>
        <v>0</v>
      </c>
      <c r="AG184" s="130" cm="1">
        <f t="array" aca="1" ref="AG184" ca="1">IF(COUNTIFS(OverEmp,$C184,OverMed,"MED",OverDate,"&lt;"&amp;DATE(YEAR($AC184),MONTH($AC184)+1,1),OverEnd,"&gt;="&amp;DATE(YEAR($AC184),MONTH($AC184),1))&gt;0,SUMIFS(OverValue,OverEmp,$C184,OverMed,"MED",OverDate,"&lt;"&amp;DATE(YEAR($AC184),MONTH($AC184)+1,1),OverEnd,"&gt;="&amp;DATE(YEAR($AC184),MONTH($AC184),1)),IF(ISNA(VLOOKUP($C184,EmpAll,COLUMN(Emp!$N$4),0)),0,VLOOKUP($C184,EmpAll,COLUMN(Emp!$N$4),0)))</f>
        <v>0</v>
      </c>
      <c r="AH184" s="146">
        <f ca="1">VLOOKUP($AG184,MedList,COLUMN(Setup!$C$49),1)</f>
        <v>0</v>
      </c>
      <c r="AI184" s="146">
        <f t="shared" ca="1" si="70"/>
        <v>0</v>
      </c>
      <c r="AJ184" s="101" t="str">
        <f ca="1">IF(ISNA(VLOOKUP($C184,EmpAll,COLUMN(Emp!$L$4),0)),"None!",VLOOKUP($C184,EmpAll,COLUMN(Emp!$L$4),0))</f>
        <v>A</v>
      </c>
      <c r="AK184" s="147">
        <f t="shared" ca="1" si="80"/>
        <v>17235</v>
      </c>
      <c r="AL184" s="101" t="str">
        <f ca="1">IF(ISNA(VLOOKUP($C184,Employees[],COLUMN(Emp!$M$4),0))=TRUE,"Error!",IF(VLOOKUP($C184,Employees[],COLUMN(Emp!$M$4),0)=0,"Yes",VLOOKUP($C184,Employees[],COLUMN(Emp!$M$4),0)))</f>
        <v>A</v>
      </c>
      <c r="AM184" s="148">
        <f t="shared" ca="1" si="71"/>
        <v>67000</v>
      </c>
      <c r="AN184" s="148" cm="1">
        <f t="array" aca="1" ref="AN184" ca="1">-IF($F184="Terminated",0,IF($AA184=0,0,IF(ISNA(MATCH(AN$5,PayDedList,0)),0,MIN(IF(COUNTIFS(OverEmp,$C184,OverDeduct,AN$5,OverDate,"&lt;"&amp;DATE(YEAR($AC184),MONTH($AC184)+1,1),OverEnd,"&gt;="&amp;DATE(YEAR($AC184),MONTH($AC184),1))&gt;0,SUMPRODUCT((PayEmp=$C184)*(PayDate&lt;=$AC184)*(OFFSET($N$6,1,MATCH(AN$5,PayDedList,0)-1,PayCount,1)))/$AA184*12*AN$3,IF(OR(AN$1="Fixed",AN$1="Not Used"),SUMPRODUCT((PayEmp=$C184)*(PayDate&lt;=$AC184)*(OFFSET($N$6,1,MATCH(AN$5,PayDedList,0)-1,PayCount,1)))/$AA184*12*AN$3,IF(ISNA(MATCH(AN$1,EarnListItem,0))=FALSE,SUMPRODUCT((PayEmp=$C184)*(PayDate&lt;=$AC184)*(OFFSET($N$6,1,MATCH(AN$5,PayDedList,0)-1,PayCount,1)))/$AA184*12*AN$3,(MIN(((SUMPRODUCT((PayEmp=$C184)*(PayDate&lt;=$AC184)*(ISERROR(SEARCH(PayEarnCode,AN$2)))*(PayEarnType="Monthly")*(PayEarnValues))/$AA184*12)+(SUMPRODUCT((PayEmp=$C184)*(PayDate&lt;=$AC184)*(ISERROR(SEARCH(PayEarnCode,AN$2)))*(PayEarnType="Quarterly")*(PayEarnValues))/MAX(1,ROUNDDOWN($AB184/3,0))*4)+(SUMPRODUCT((PayEmp=$C184)*(PayDate&lt;=$AC184)*(ISERROR(SEARCH(PayEarnCode,AN$2)))*(PayEarnType="Bi-Annual")*(PayEarnValues))/MAX(1,ROUNDDOWN($AB184/6,0))*2)+(SUMPRODUCT((PayEmp=$C184)*(PayDate&lt;=$AC184)*(ISERROR(SEARCH(PayEarnCode,AN$2)))*(PayEarnType="Annual")*(PayEarnValues)))),IF(ISNUMBER(OFFSET($N$3,0,MATCH(AN$5,PayDedList,0)-1,1,1)),OFFSET($N$3,0,MATCH(AN$5,PayDedList,0)-1,1,1),IgnoreMin)))*IF(COUNTIFS(EmpNo,$C184,OFFSET(Emp!$R$4,1,MATCH(AN$5,DedListItem,0)-1,EmpCount,1),"&lt;&gt;")&gt;0,VLOOKUP($C184,EmpAll,COLUMN(Emp!$R$4)+MATCH(AN$5,DedListItem,0)-1,0),OFFSET(Setup!$E$73,MATCH(AN$5,DedListItem,0),0,1,1))*AN$3))),IF(ISNUMBER(AN$4),AN$4,IgnoreMin)))))</f>
        <v>0</v>
      </c>
      <c r="AO184" s="148" cm="1">
        <f t="array" aca="1" ref="AO184" ca="1">-IF($F184="Terminated",0,IF($AA184=0,0,IF(ISNA(MATCH(AO$5,PayDedList,0)),0,MIN(IF(COUNTIFS(OverEmp,$C184,OverDeduct,AO$5,OverDate,"&lt;"&amp;DATE(YEAR($AC184),MONTH($AC184)+1,1),OverEnd,"&gt;="&amp;DATE(YEAR($AC184),MONTH($AC184),1))&gt;0,SUMPRODUCT((PayEmp=$C184)*(PayDate&lt;=$AC184)*(OFFSET($N$6,1,MATCH(AO$5,PayDedList,0)-1,PayCount,1)))/$AA184*12*AO$3,IF(OR(AO$1="Fixed",AO$1="Not Used"),SUMPRODUCT((PayEmp=$C184)*(PayDate&lt;=$AC184)*(OFFSET($N$6,1,MATCH(AO$5,PayDedList,0)-1,PayCount,1)))/$AA184*12*AO$3,IF(ISNA(MATCH(AO$1,EarnListItem,0))=FALSE,SUMPRODUCT((PayEmp=$C184)*(PayDate&lt;=$AC184)*(OFFSET($N$6,1,MATCH(AO$5,PayDedList,0)-1,PayCount,1)))/$AA184*12*AO$3,(MIN(((SUMPRODUCT((PayEmp=$C184)*(PayDate&lt;=$AC184)*(ISERROR(SEARCH(PayEarnCode,AO$2)))*(PayEarnType="Monthly")*(PayEarnValues))/$AA184*12)+(SUMPRODUCT((PayEmp=$C184)*(PayDate&lt;=$AC184)*(ISERROR(SEARCH(PayEarnCode,AO$2)))*(PayEarnType="Quarterly")*(PayEarnValues))/MAX(1,ROUNDDOWN($AB184/3,0))*4)+(SUMPRODUCT((PayEmp=$C184)*(PayDate&lt;=$AC184)*(ISERROR(SEARCH(PayEarnCode,AO$2)))*(PayEarnType="Bi-Annual")*(PayEarnValues))/MAX(1,ROUNDDOWN($AB184/6,0))*2)+(SUMPRODUCT((PayEmp=$C184)*(PayDate&lt;=$AC184)*(ISERROR(SEARCH(PayEarnCode,AO$2)))*(PayEarnType="Annual")*(PayEarnValues)))),IF(ISNUMBER(OFFSET($N$3,0,MATCH(AO$5,PayDedList,0)-1,1,1)),OFFSET($N$3,0,MATCH(AO$5,PayDedList,0)-1,1,1),IgnoreMin)))*IF(COUNTIFS(EmpNo,$C184,OFFSET(Emp!$R$4,1,MATCH(AO$5,DedListItem,0)-1,EmpCount,1),"&lt;&gt;")&gt;0,VLOOKUP($C184,EmpAll,COLUMN(Emp!$R$4)+MATCH(AO$5,DedListItem,0)-1,0),OFFSET(Setup!$E$73,MATCH(AO$5,DedListItem,0),0,1,1))*AO$3))),IF(ISNUMBER(AO$4),AO$4,IgnoreMin)))))</f>
        <v>0</v>
      </c>
      <c r="AP184" s="148" cm="1">
        <f t="array" aca="1" ref="AP184" ca="1">-IF($F184="Terminated",0,IF($AA184=0,0,IF(ISNA(MATCH(AP$5,PayDedList,0)),0,MIN(IF(COUNTIFS(OverEmp,$C184,OverDeduct,AP$5,OverDate,"&lt;"&amp;DATE(YEAR($AC184),MONTH($AC184)+1,1),OverEnd,"&gt;="&amp;DATE(YEAR($AC184),MONTH($AC184),1))&gt;0,SUMPRODUCT((PayEmp=$C184)*(PayDate&lt;=$AC184)*(OFFSET($N$6,1,MATCH(AP$5,PayDedList,0)-1,PayCount,1)))/$AA184*12*AP$3,IF(OR(AP$1="Fixed",AP$1="Not Used"),SUMPRODUCT((PayEmp=$C184)*(PayDate&lt;=$AC184)*(OFFSET($N$6,1,MATCH(AP$5,PayDedList,0)-1,PayCount,1)))/$AA184*12*AP$3,IF(ISNA(MATCH(AP$1,EarnListItem,0))=FALSE,SUMPRODUCT((PayEmp=$C184)*(PayDate&lt;=$AC184)*(OFFSET($N$6,1,MATCH(AP$5,PayDedList,0)-1,PayCount,1)))/$AA184*12*AP$3,(MIN(((SUMPRODUCT((PayEmp=$C184)*(PayDate&lt;=$AC184)*(ISERROR(SEARCH(PayEarnCode,AP$2)))*(PayEarnType="Monthly")*(PayEarnValues))/$AA184*12)+(SUMPRODUCT((PayEmp=$C184)*(PayDate&lt;=$AC184)*(ISERROR(SEARCH(PayEarnCode,AP$2)))*(PayEarnType="Quarterly")*(PayEarnValues))/MAX(1,ROUNDDOWN($AB184/3,0))*4)+(SUMPRODUCT((PayEmp=$C184)*(PayDate&lt;=$AC184)*(ISERROR(SEARCH(PayEarnCode,AP$2)))*(PayEarnType="Bi-Annual")*(PayEarnValues))/MAX(1,ROUNDDOWN($AB184/6,0))*2)+(SUMPRODUCT((PayEmp=$C184)*(PayDate&lt;=$AC184)*(ISERROR(SEARCH(PayEarnCode,AP$2)))*(PayEarnType="Annual")*(PayEarnValues)))),IF(ISNUMBER(OFFSET($N$3,0,MATCH(AP$5,PayDedList,0)-1,1,1)),OFFSET($N$3,0,MATCH(AP$5,PayDedList,0)-1,1,1),IgnoreMin)))*IF(COUNTIFS(EmpNo,$C184,OFFSET(Emp!$R$4,1,MATCH(AP$5,DedListItem,0)-1,EmpCount,1),"&lt;&gt;")&gt;0,VLOOKUP($C184,EmpAll,COLUMN(Emp!$R$4)+MATCH(AP$5,DedListItem,0)-1,0),OFFSET(Setup!$E$73,MATCH(AP$5,DedListItem,0),0,1,1))*AP$3))),IF(ISNUMBER(AP$4),AP$4,IgnoreMin)))))</f>
        <v>0</v>
      </c>
      <c r="AQ184" s="148" cm="1">
        <f t="array" aca="1" ref="AQ184" ca="1">-IF($F184="Terminated",0,IF($AA184=0,0,IF(ISNA(MATCH(AQ$5,PayDedList,0)),0,MIN(IF(COUNTIFS(OverEmp,$C184,OverDeduct,AQ$5,OverDate,"&lt;"&amp;DATE(YEAR($AC184),MONTH($AC184)+1,1),OverEnd,"&gt;="&amp;DATE(YEAR($AC184),MONTH($AC184),1))&gt;0,SUMPRODUCT((PayEmp=$C184)*(PayDate&lt;=$AC184)*(OFFSET($N$6,1,MATCH(AQ$5,PayDedList,0)-1,PayCount,1)))/$AA184*12*AQ$3,IF(OR(AQ$1="Fixed",AQ$1="Not Used"),SUMPRODUCT((PayEmp=$C184)*(PayDate&lt;=$AC184)*(OFFSET($N$6,1,MATCH(AQ$5,PayDedList,0)-1,PayCount,1)))/$AA184*12*AQ$3,IF(ISNA(MATCH(AQ$1,EarnListItem,0))=FALSE,SUMPRODUCT((PayEmp=$C184)*(PayDate&lt;=$AC184)*(OFFSET($N$6,1,MATCH(AQ$5,PayDedList,0)-1,PayCount,1)))/$AA184*12*AQ$3,(MIN(((SUMPRODUCT((PayEmp=$C184)*(PayDate&lt;=$AC184)*(ISERROR(SEARCH(PayEarnCode,AQ$2)))*(PayEarnType="Monthly")*(PayEarnValues))/$AA184*12)+(SUMPRODUCT((PayEmp=$C184)*(PayDate&lt;=$AC184)*(ISERROR(SEARCH(PayEarnCode,AQ$2)))*(PayEarnType="Quarterly")*(PayEarnValues))/MAX(1,ROUNDDOWN($AB184/3,0))*4)+(SUMPRODUCT((PayEmp=$C184)*(PayDate&lt;=$AC184)*(ISERROR(SEARCH(PayEarnCode,AQ$2)))*(PayEarnType="Bi-Annual")*(PayEarnValues))/MAX(1,ROUNDDOWN($AB184/6,0))*2)+(SUMPRODUCT((PayEmp=$C184)*(PayDate&lt;=$AC184)*(ISERROR(SEARCH(PayEarnCode,AQ$2)))*(PayEarnType="Annual")*(PayEarnValues)))),IF(ISNUMBER(OFFSET($N$3,0,MATCH(AQ$5,PayDedList,0)-1,1,1)),OFFSET($N$3,0,MATCH(AQ$5,PayDedList,0)-1,1,1),IgnoreMin)))*IF(COUNTIFS(EmpNo,$C184,OFFSET(Emp!$R$4,1,MATCH(AQ$5,DedListItem,0)-1,EmpCount,1),"&lt;&gt;")&gt;0,VLOOKUP($C184,EmpAll,COLUMN(Emp!$R$4)+MATCH(AQ$5,DedListItem,0)-1,0),OFFSET(Setup!$E$73,MATCH(AQ$5,DedListItem,0),0,1,1))*AQ$3))),IF(ISNUMBER(AQ$4),AQ$4,IgnoreMin)))))</f>
        <v>0</v>
      </c>
      <c r="AR184" s="148">
        <f t="shared" ca="1" si="81"/>
        <v>67000</v>
      </c>
      <c r="AS184" s="148">
        <f t="shared" ca="1" si="72"/>
        <v>62000</v>
      </c>
      <c r="AT184" s="148" cm="1">
        <f t="array" aca="1" ref="AT184" ca="1">-IF($F184="Terminated",0,IF($AA184=0,0,IF(ISNA(MATCH(AT$5,PayDedList,0)),0,MIN(IF(COUNTIFS(OverEmp,$C184,OverDeduct,AT$5,OverDate,"&lt;"&amp;DATE(YEAR($AC184),MONTH($AC184)+1,1),OverEnd,"&gt;="&amp;DATE(YEAR($AC184),MONTH($AC184),1))&gt;0,SUMPRODUCT((PayEmp=$C184)*(PayDate&lt;=$AC184)*(OFFSET($N$6,1,MATCH(AT$5,PayDedList,0)-1,PayCount,1)))/$AA184*12*AT$3,IF(OR(AT$1="Fixed",AT$1="Not Used"),SUMPRODUCT((PayEmp=$C184)*(PayDate&lt;=$AC184)*(OFFSET($N$6,1,MATCH(AT$5,PayDedList,0)-1,PayCount,1)))/$AA184*12*AT$3,IF(ISNA(MATCH(OFFSET($N$2,0,MATCH(AT$5,PayDedList,0)-1,1,1),EarnListItem,0))=FALSE,SUMPRODUCT((PayEmp=$C184)*(PayDate&lt;=$AC184)*(OFFSET($N$6,1,MATCH(AT$5,PayDedList,0)-1,PayCount,1)))/$AA184*12*AT$3,(MIN(SUMPRODUCT((PayEmp=$C184)*(PayDate&lt;=$AC184)*(ISERROR(SEARCH(PayEarnCode,AT$2)))*(PayEarnType="Monthly")*(PayEarnValues))/$AA184*12,IF(ISNUMBER(OFFSET($N$3,0,MATCH(AT$5,PayDedList,0)-1,1,1)),OFFSET($N$3,0,MATCH(AT$5,PayDedList,0)-1,1,1),IgnoreMin)))*IF(COUNTIFS(EmpNo,$C184,OFFSET(Emp!$R$4,1,MATCH(AT$5,DedListItem,0)-1,EmpCount,1),"&lt;&gt;")&gt;0,VLOOKUP($C184,EmpAll,COLUMN(Emp!$R$4)+MATCH(AT$5,DedListItem,0)-1,0),OFFSET(Setup!$E$73,MATCH(AT$5,DedListItem,0),0,1,1))*AT$3))),IF(ISNUMBER(AT$4),AT$4,IgnoreMin)))))</f>
        <v>0</v>
      </c>
      <c r="AU184" s="148" cm="1">
        <f t="array" aca="1" ref="AU184" ca="1">-IF($F184="Terminated",0,IF($AA184=0,0,IF(ISNA(MATCH(AU$5,PayDedList,0)),0,MIN(IF(COUNTIFS(OverEmp,$C184,OverDeduct,AU$5,OverDate,"&lt;"&amp;DATE(YEAR($AC184),MONTH($AC184)+1,1),OverEnd,"&gt;="&amp;DATE(YEAR($AC184),MONTH($AC184),1))&gt;0,SUMPRODUCT((PayEmp=$C184)*(PayDate&lt;=$AC184)*(OFFSET($N$6,1,MATCH(AU$5,PayDedList,0)-1,PayCount,1)))/$AA184*12*AU$3,IF(OR(AU$1="Fixed",AU$1="Not Used"),SUMPRODUCT((PayEmp=$C184)*(PayDate&lt;=$AC184)*(OFFSET($N$6,1,MATCH(AU$5,PayDedList,0)-1,PayCount,1)))/$AA184*12*AU$3,IF(ISNA(MATCH(OFFSET($N$2,0,MATCH(AU$5,PayDedList,0)-1,1,1),EarnListItem,0))=FALSE,SUMPRODUCT((PayEmp=$C184)*(PayDate&lt;=$AC184)*(OFFSET($N$6,1,MATCH(AU$5,PayDedList,0)-1,PayCount,1)))/$AA184*12*AU$3,(MIN(SUMPRODUCT((PayEmp=$C184)*(PayDate&lt;=$AC184)*(ISERROR(SEARCH(PayEarnCode,AU$2)))*(PayEarnType="Monthly")*(PayEarnValues))/$AA184*12,IF(ISNUMBER(OFFSET($N$3,0,MATCH(AU$5,PayDedList,0)-1,1,1)),OFFSET($N$3,0,MATCH(AU$5,PayDedList,0)-1,1,1),IgnoreMin)))*IF(COUNTIFS(EmpNo,$C184,OFFSET(Emp!$R$4,1,MATCH(AU$5,DedListItem,0)-1,EmpCount,1),"&lt;&gt;")&gt;0,VLOOKUP($C184,EmpAll,COLUMN(Emp!$R$4)+MATCH(AU$5,DedListItem,0)-1,0),OFFSET(Setup!$E$73,MATCH(AU$5,DedListItem,0),0,1,1))*AU$3))),IF(ISNUMBER(AU$4),AU$4,IgnoreMin)))))</f>
        <v>0</v>
      </c>
      <c r="AV184" s="148" cm="1">
        <f t="array" aca="1" ref="AV184" ca="1">-IF($F184="Terminated",0,IF($AA184=0,0,IF(ISNA(MATCH(AV$5,PayDedList,0)),0,MIN(IF(COUNTIFS(OverEmp,$C184,OverDeduct,AV$5,OverDate,"&lt;"&amp;DATE(YEAR($AC184),MONTH($AC184)+1,1),OverEnd,"&gt;="&amp;DATE(YEAR($AC184),MONTH($AC184),1))&gt;0,SUMPRODUCT((PayEmp=$C184)*(PayDate&lt;=$AC184)*(OFFSET($N$6,1,MATCH(AV$5,PayDedList,0)-1,PayCount,1)))/$AA184*12*AV$3,IF(OR(AV$1="Fixed",AV$1="Not Used"),SUMPRODUCT((PayEmp=$C184)*(PayDate&lt;=$AC184)*(OFFSET($N$6,1,MATCH(AV$5,PayDedList,0)-1,PayCount,1)))/$AA184*12*AV$3,IF(ISNA(MATCH(OFFSET($N$2,0,MATCH(AV$5,PayDedList,0)-1,1,1),EarnListItem,0))=FALSE,SUMPRODUCT((PayEmp=$C184)*(PayDate&lt;=$AC184)*(OFFSET($N$6,1,MATCH(AV$5,PayDedList,0)-1,PayCount,1)))/$AA184*12*AV$3,(MIN(SUMPRODUCT((PayEmp=$C184)*(PayDate&lt;=$AC184)*(ISERROR(SEARCH(PayEarnCode,AV$2)))*(PayEarnType="Monthly")*(PayEarnValues))/$AA184*12,IF(ISNUMBER(OFFSET($N$3,0,MATCH(AV$5,PayDedList,0)-1,1,1)),OFFSET($N$3,0,MATCH(AV$5,PayDedList,0)-1,1,1),IgnoreMin)))*IF(COUNTIFS(EmpNo,$C184,OFFSET(Emp!$R$4,1,MATCH(AV$5,DedListItem,0)-1,EmpCount,1),"&lt;&gt;")&gt;0,VLOOKUP($C184,EmpAll,COLUMN(Emp!$R$4)+MATCH(AV$5,DedListItem,0)-1,0),OFFSET(Setup!$E$73,MATCH(AV$5,DedListItem,0),0,1,1))*AV$3))),IF(ISNUMBER(AV$4),AV$4,IgnoreMin)))))</f>
        <v>0</v>
      </c>
      <c r="AW184" s="148" cm="1">
        <f t="array" aca="1" ref="AW184" ca="1">-IF($F184="Terminated",0,IF($AA184=0,0,IF(ISNA(MATCH(AW$5,PayDedList,0)),0,MIN(IF(COUNTIFS(OverEmp,$C184,OverDeduct,AW$5,OverDate,"&lt;"&amp;DATE(YEAR($AC184),MONTH($AC184)+1,1),OverEnd,"&gt;="&amp;DATE(YEAR($AC184),MONTH($AC184),1))&gt;0,SUMPRODUCT((PayEmp=$C184)*(PayDate&lt;=$AC184)*(OFFSET($N$6,1,MATCH(AW$5,PayDedList,0)-1,PayCount,1)))/$AA184*12*AW$3,IF(OR(AW$1="Fixed",AW$1="Not Used"),SUMPRODUCT((PayEmp=$C184)*(PayDate&lt;=$AC184)*(OFFSET($N$6,1,MATCH(AW$5,PayDedList,0)-1,PayCount,1)))/$AA184*12*AW$3,IF(ISNA(MATCH(OFFSET($N$2,0,MATCH(AW$5,PayDedList,0)-1,1,1),EarnListItem,0))=FALSE,SUMPRODUCT((PayEmp=$C184)*(PayDate&lt;=$AC184)*(OFFSET($N$6,1,MATCH(AW$5,PayDedList,0)-1,PayCount,1)))/$AA184*12*AW$3,(MIN(SUMPRODUCT((PayEmp=$C184)*(PayDate&lt;=$AC184)*(ISERROR(SEARCH(PayEarnCode,AW$2)))*(PayEarnType="Monthly")*(PayEarnValues))/$AA184*12,IF(ISNUMBER(OFFSET($N$3,0,MATCH(AW$5,PayDedList,0)-1,1,1)),OFFSET($N$3,0,MATCH(AW$5,PayDedList,0)-1,1,1),IgnoreMin)))*IF(COUNTIFS(EmpNo,$C184,OFFSET(Emp!$R$4,1,MATCH(AW$5,DedListItem,0)-1,EmpCount,1),"&lt;&gt;")&gt;0,VLOOKUP($C184,EmpAll,COLUMN(Emp!$R$4)+MATCH(AW$5,DedListItem,0)-1,0),OFFSET(Setup!$E$73,MATCH(AW$5,DedListItem,0),0,1,1))*AW$3))),IF(ISNUMBER(AW$4),AW$4,IgnoreMin)))))</f>
        <v>0</v>
      </c>
      <c r="AX184" s="148">
        <f t="shared" ca="1" si="88"/>
        <v>62000</v>
      </c>
      <c r="AY184" s="148">
        <f t="shared" ca="1" si="89"/>
        <v>5000</v>
      </c>
      <c r="AZ184" s="148">
        <f ca="1">IF(ISNUMBER($AL184),($AR184*$AL184)-$AI184-$AK184,MAX(0,IF($AL184="B",IF($AR184&lt;Setup!$C$32,($AR184*Setup!$D$32)-$AI184-$AK184,(($AR184-VLOOKUP($AR184,TaxAll2,1,1))*OFFSET(Setup!$D$32,MATCH($AR184,TaxBracket2,1),0,1,1))+OFFSET(Setup!$E$31,MATCH($AR184,TaxBracket2,1),0,1,1)-$AI184-$AK184),IF($AR184&lt;Setup!$C$21,($AR184*Setup!$D$21)-$AI184-$AK184,(($AR184-VLOOKUP($AR184,TaxAll1,1,1))*OFFSET(Setup!$D$21,MATCH($AR184,TaxBracket1,1),0,1,1))+OFFSET(Setup!$E$20,MATCH($AR184,TaxBracket1,1),0,1,1)-$AI184-$AK184))))</f>
        <v>0</v>
      </c>
      <c r="BA184" s="148">
        <f ca="1">IF(ISNUMBER($AL184),($AX184*$AL184)-$AI184-$AK184,MAX(0,IF($AL184="B",IF($AX184&lt;Setup!$C$32,($AX184*Setup!$D$32)-$AI184-$AK184,(($AX184-VLOOKUP($AX184,TaxAll2,1,1))*OFFSET(Setup!$D$32,MATCH($AX184,TaxBracket2,1),0,1,1))+OFFSET(Setup!$E$31,MATCH($AX184,TaxBracket2,1),0,1,1)-$AI184-$AK184),IF($AX184&lt;Setup!$C$21,($AX184*Setup!$D$21)-$AI184-$AK184,(($AX184-VLOOKUP($AX184,TaxAll1,1,1))*OFFSET(Setup!$D$21,MATCH($AX184,TaxBracket1,1),0,1,1))+OFFSET(Setup!$E$20,MATCH($AX184,TaxBracket1,1),0,1,1)-$AI184-$AK184))))</f>
        <v>0</v>
      </c>
      <c r="BB184" s="148">
        <f t="shared" ca="1" si="82"/>
        <v>0</v>
      </c>
      <c r="BC184" s="150">
        <f t="shared" ca="1" si="75"/>
        <v>0.92537313432835822</v>
      </c>
      <c r="BD184" s="150">
        <f t="shared" ca="1" si="76"/>
        <v>7.4626865671641784E-2</v>
      </c>
      <c r="BE184" s="148">
        <f t="shared" ca="1" si="77"/>
        <v>67000</v>
      </c>
    </row>
    <row r="185" spans="1:57" ht="16.149999999999999" customHeight="1" x14ac:dyDescent="0.25">
      <c r="A185" s="10" t="str" cm="1">
        <f t="array" aca="1" ref="A185" ca="1">IF(ROW($A185)-ROW($A$6)&gt;EmpCount*12,"-",TEXT($B185,"yyyy")&amp;TEXT($B185,"mm")&amp;"-"&amp;$C185)</f>
        <v>202402-EXS014</v>
      </c>
      <c r="B185" s="137" cm="1">
        <f t="array" aca="1" ref="B185" ca="1">IF(ROW($A185)-ROW($A$6)&gt;EmpCount*12,Setup!$D$12,DATE(YEAR(Setup!$F$12),MONTH(Setup!$F$12)+ROUNDDOWN((ROW($A185)-ROW($A$6)-1)/EmpCount,0),IF(Setup!$C$14&gt;DAY(DATE(YEAR(Setup!$F$12),MONTH(Setup!$F$12)+ROUNDDOWN((ROW($A185)-ROW($A$6)-1)/EmpCount,0)+1,0)),DAY(DATE(YEAR(Setup!$F$12),MONTH(Setup!$F$12)+ROUNDDOWN((ROW($A185)-ROW($A$6)-1)/EmpCount,0)+1,0)),Setup!$C$14)))</f>
        <v>45347</v>
      </c>
      <c r="C185" s="101" t="str" cm="1">
        <f t="array" aca="1" ref="C185" ca="1">IF(ROW($A185)-ROW($A$6)&gt;EmpCount*12,"-",OFFSET(Emp!$A$4,ROW($A185)-ROW($A$6)-IF(ROW($A185)-ROW($A$6)&gt;EmpCount,ROUNDDOWN((ROW($A185)-ROW($A$6)-1)/EmpCount,0)*EmpCount,0),0,1,1))</f>
        <v>EXS014</v>
      </c>
      <c r="D185" s="10" t="str">
        <f ca="1">IF(ISNA(VLOOKUP($C185,EmpAll,COLUMN(Emp!$B$4),0)),"-",VLOOKUP($C185,EmpAll,COLUMN(Emp!$B$4),0))</f>
        <v>Ross Q</v>
      </c>
      <c r="E185" s="145" t="str">
        <f ca="1">IF(ISNA(VLOOKUP($C185,EmpAll,COLUMN(Emp!$C$4),0)),"-",VLOOKUP($C185,EmpAll,COLUMN(Emp!$C$4),0))</f>
        <v>A</v>
      </c>
      <c r="F185" s="101" t="str">
        <f ca="1">IF(ISNA(VLOOKUP($C185,EmpAll,COLUMN(Emp!$A$4),0)),"-",IF(AND(VLOOKUP($C185,EmpAll,COLUMN(Emp!$E$4),0)&lt;&gt;0,VLOOKUP($C185,EmpAll,COLUMN(Emp!$E$4),0)&gt;=DATE(YEAR($AC185),MONTH($AC185)+1,0)),"Inactive",IF(AND(VLOOKUP($C185,EmpAll,COLUMN(Emp!$F$4),0)&lt;&gt;0,VLOOKUP($C185,EmpAll,COLUMN(Emp!$F$4),0)&lt;=DATE(YEAR($AC185),MONTH($AC185),0)),"Terminated","Active")))</f>
        <v>Active</v>
      </c>
      <c r="G185" s="133" cm="1">
        <f t="array" aca="1" ref="G185" ca="1">IF($F185&lt;&gt;"Active",0,IF(COUNTIFS(OverEmp,$C185,OverEarn,G$2,OverDate,"&lt;"&amp;DATE(YEAR($AC185),MONTH($AC185)+1,1),OverEnd,"&gt;="&amp;DATE(YEAR($AC185),MONTH($AC185),1))&gt;0,SUMIFS(OverValue,OverEmp,$C185,OverEarn,G$2,OverDate,"&lt;"&amp;DATE(YEAR($AC185),MONTH($AC185)+1,1),OverEnd,"&gt;="&amp;DATE(YEAR($AC185),MONTH($AC185),1)),IF(AND($AC185&gt;=Setup!$E$10,SUMIFS(EmpIncrease,EmpCode,$C185)&gt;0),SUMIFS(EmpIncrease,EmpCode,$C185),SUMIFS(EmpSalary,EmpCode,$C185))))</f>
        <v>31000</v>
      </c>
      <c r="H185" s="133" cm="1">
        <f t="array" aca="1" ref="H185" ca="1">IF($F185&lt;&gt;"Active",0,IF(COUNTIFS(OverEmp,$C185,OverEarn,H$2,OverDate,"&lt;"&amp;DATE(YEAR($AC185),MONTH($AC185)+1,1),OverEnd,"&gt;="&amp;DATE(YEAR($AC185),MONTH($AC185),1))&gt;0,SUMIFS(OverValue,OverEmp,$C185,OverEarn,H$2,OverDate,"&lt;"&amp;DATE(YEAR($AC185),MONTH($AC185)+1,1),OverEnd,"&gt;="&amp;DATE(YEAR($AC185),MONTH($AC185),1)),0))</f>
        <v>0</v>
      </c>
      <c r="I185" s="133" cm="1">
        <f t="array" aca="1" ref="I185" ca="1">IF($F185&lt;&gt;"Active",0,IF(COUNTIFS(OverEmp,$C185,OverEarn,I$2,OverDate,"&lt;"&amp;DATE(YEAR($AC185),MONTH($AC185)+1,1),OverEnd,"&gt;="&amp;DATE(YEAR($AC185),MONTH($AC185),1))&gt;0,SUMIFS(OverValue,OverEmp,$C185,OverEarn,I$2,OverDate,"&lt;"&amp;DATE(YEAR($AC185),MONTH($AC185)+1,1),OverEnd,"&gt;="&amp;DATE(YEAR($AC185),MONTH($AC185),1)),IF(MONTH(B185)=Setup!$C$15,SUMIFS(EmpBonus,EmpCode,$C185),0)))</f>
        <v>0</v>
      </c>
      <c r="J185" s="133" cm="1">
        <f t="array" aca="1" ref="J185" ca="1">IF($F185&lt;&gt;"Active",0,IF(COUNTIFS(OverEmp,$C185,OverEarn,J$2,OverDate,"&lt;"&amp;DATE(YEAR($AC185),MONTH($AC185)+1,1),OverEnd,"&gt;="&amp;DATE(YEAR($AC185),MONTH($AC185),1))&gt;0,SUMIFS(OverValue,OverEmp,$C185,OverEarn,J$2,OverDate,"&lt;"&amp;DATE(YEAR($AC185),MONTH($AC185)+1,1),OverEnd,"&gt;="&amp;DATE(YEAR($AC185),MONTH($AC185),1)),0))</f>
        <v>0</v>
      </c>
      <c r="K185" s="133" cm="1">
        <f t="array" aca="1" ref="K185" ca="1">IF($F185&lt;&gt;"Active",0,IF(COUNTIFS(OverEmp,$C185,OverEarn,K$2,OverDate,"&lt;"&amp;DATE(YEAR($AC185),MONTH($AC185)+1,1),OverEnd,"&gt;="&amp;DATE(YEAR($AC185),MONTH($AC185),1))&gt;0,SUMIFS(OverValue,OverEmp,$C185,OverEarn,K$2,OverDate,"&lt;"&amp;DATE(YEAR($AC185),MONTH($AC185)+1,1),OverEnd,"&gt;="&amp;DATE(YEAR($AC185),MONTH($AC185),1)),0))</f>
        <v>0</v>
      </c>
      <c r="L185" s="185">
        <f t="shared" ca="1" si="84"/>
        <v>31000</v>
      </c>
      <c r="M185" s="182" cm="1">
        <f t="array" aca="1" ref="M185" ca="1">IF(COUNTIFS(OverEmp,$C185,OverTax,M$5,OverDate,"&lt;"&amp;DATE(YEAR($AC185),MONTH($AC185)+1,1),OverEnd,"&gt;="&amp;DATE(YEAR($AC185),MONTH($AC185),1))&gt;0,SUMIFS(OverValue,OverEmp,$C185,OverTax,M$5,OverDate,"&lt;"&amp;DATE(YEAR($AC185),MONTH($AC185)+1,1),OverEnd,"&gt;="&amp;DATE(YEAR($AC185),MONTH($AC185),1)),(($BA185/12*$AA185)+(BB185*IF(1-$BC185=0,0,BD185/(1-$BC185))))-IF($F185="Terminated",0,SUMIFS(PayTaxDeduct,PayDate,"&lt;"&amp;$AC185,PayEmp,$C185)))</f>
        <v>5043.0833333333285</v>
      </c>
      <c r="N185" s="133" cm="1">
        <f t="array" aca="1" ref="N185" ca="1">IF($F185="Terminated",0,IF($AA185=0,0,IF(ISNA(MATCH(N$5,DedListItem,0)),0,IF(COUNTIFS(OverEmp,$C185,OverDeduct,N$5,OverDate,"&lt;"&amp;DATE(YEAR($AC185),MONTH($AC185)+1,1),OverEnd,"&gt;="&amp;DATE(YEAR($AC185),MONTH($AC185),1))&gt;0,SUMIFS(OverValue,OverEmp,$C185,OverDeduct,N$5,OverDate,"&lt;"&amp;DATE(YEAR($AC185),MONTH($AC185)+1,1),OverEnd,"&gt;="&amp;DATE(YEAR($AC185),MONTH($AC185),1)),IF(OR(N$2="Fixed",N$2="Not Used"),(IF(COUNTIFS(EmpNo,$C185,OFFSET(Emp!$R$4,1,MATCH(N$5,DedListItem,0)-1,EmpCount,1),"&lt;&gt;")&gt;0,VLOOKUP($C185,EmpAll,COLUMN(Emp!$R$4)+MATCH(N$5,DedListItem,0)-1,0),OFFSET(Setup!$E$73,MATCH(N$5,DedListItem,0),0,1,1))*$AA185)-SUMIFS(OFFSET(N$6,1,0,PayCount,1),PayDate,"&lt;"&amp;$AC185,PayEmp,$C185),IF(ISNA(MATCH(N$2,EarnListItem,0))=FALSE,IF(OFFSET(Setup!$G$73,MATCH(N$5,DedListItem,0),0,1,1)="Taxable",SUMPRODUCT((PayEmp=$C185)*(PayDate&lt;=$AC185)*(PayEarnCode=N$2)*(PayEarnTax)*(PayEarnValues)),SUMPRODUCT((PayEmp=$C185)*(PayDate&lt;=$AC185)*(PayEarnCode=N$2)*(PayEarnValues)))*IF(COUNTIFS(EmpNo,$C185,OFFSET(Emp!$R$4,1,MATCH(N$5,DedListItem,0)-1,EmpCount,1),"&lt;&gt;")&gt;0,VLOOKUP($C185,EmpAll,COLUMN(Emp!$R$4)+MATCH(N$5,DedListItem,0)-1,0),OFFSET(Setup!$E$73,MATCH(N$5,DedListItem,0),0,1,1)),(MIN(IF(OFFSET(Setup!$G$73,MATCH(N$5,DedListItem,0),0,1,1)="Taxable",SUMPRODUCT((PayEmp=$C185)*(PayDate&lt;=$AC185)*(ISERROR(SEARCH(PayEarnCode,N$4)))*(PayEarnTax)*(PayEarnValues)),SUMPRODUCT((PayEmp=$C185)*(PayDate&lt;=$AC185)*(ISERROR(SEARCH(PayEarnCode,N$4)))*(PayEarnValues))),IF(ISNUMBER(N$3),N$3/12*$AA185,IgnoreMin)))*IF(COUNTIFS(EmpNo,$C185,OFFSET(Emp!$R$4,1,MATCH(N$5,DedListItem,0)-1,EmpCount,1),"&lt;&gt;")&gt;0,VLOOKUP($C185,EmpAll,COLUMN(Emp!$R$4)+MATCH(N$5,DedListItem,0)-1,0),OFFSET(Setup!$E$73,MATCH(N$5,DedListItem,0),0,1,1)))-SUMIFS(OFFSET(N$6,1,0,PayCount,1),PayDate,"&lt;"&amp;$AC185,PayEmp,$C185))))))</f>
        <v>177.11999999999989</v>
      </c>
      <c r="O185" s="133" cm="1">
        <f t="array" aca="1" ref="O185" ca="1">IF($F185="Terminated",0,IF($AA185=0,0,IF(ISNA(MATCH(O$5,DedListItem,0)),0,IF(COUNTIFS(OverEmp,$C185,OverDeduct,O$5,OverDate,"&lt;"&amp;DATE(YEAR($AC185),MONTH($AC185)+1,1),OverEnd,"&gt;="&amp;DATE(YEAR($AC185),MONTH($AC185),1))&gt;0,SUMIFS(OverValue,OverEmp,$C185,OverDeduct,O$5,OverDate,"&lt;"&amp;DATE(YEAR($AC185),MONTH($AC185)+1,1),OverEnd,"&gt;="&amp;DATE(YEAR($AC185),MONTH($AC185),1)),IF(OR(O$2="Fixed",O$2="Not Used"),(IF(COUNTIFS(EmpNo,$C185,OFFSET(Emp!$R$4,1,MATCH(O$5,DedListItem,0)-1,EmpCount,1),"&lt;&gt;")&gt;0,VLOOKUP($C185,EmpAll,COLUMN(Emp!$R$4)+MATCH(O$5,DedListItem,0)-1,0),OFFSET(Setup!$E$73,MATCH(O$5,DedListItem,0),0,1,1))*$AA185)-SUMIFS(OFFSET(O$6,1,0,PayCount,1),PayDate,"&lt;"&amp;$AC185,PayEmp,$C185),IF(ISNA(MATCH(O$2,EarnListItem,0))=FALSE,IF(OFFSET(Setup!$G$73,MATCH(O$5,DedListItem,0),0,1,1)="Taxable",SUMPRODUCT((PayEmp=$C185)*(PayDate&lt;=$AC185)*(PayEarnCode=O$2)*(PayEarnTax)*(PayEarnValues)),SUMPRODUCT((PayEmp=$C185)*(PayDate&lt;=$AC185)*(PayEarnCode=O$2)*(PayEarnValues)))*IF(COUNTIFS(EmpNo,$C185,OFFSET(Emp!$R$4,1,MATCH(O$5,DedListItem,0)-1,EmpCount,1),"&lt;&gt;")&gt;0,VLOOKUP($C185,EmpAll,COLUMN(Emp!$R$4)+MATCH(O$5,DedListItem,0)-1,0),OFFSET(Setup!$E$73,MATCH(O$5,DedListItem,0),0,1,1)),(MIN(IF(OFFSET(Setup!$G$73,MATCH(O$5,DedListItem,0),0,1,1)="Taxable",SUMPRODUCT((PayEmp=$C185)*(PayDate&lt;=$AC185)*(ISERROR(SEARCH(PayEarnCode,O$4)))*(PayEarnTax)*(PayEarnValues)),SUMPRODUCT((PayEmp=$C185)*(PayDate&lt;=$AC185)*(ISERROR(SEARCH(PayEarnCode,O$4)))*(PayEarnValues))),IF(ISNUMBER(O$3),O$3/12*$AA185,IgnoreMin)))*IF(COUNTIFS(EmpNo,$C185,OFFSET(Emp!$R$4,1,MATCH(O$5,DedListItem,0)-1,EmpCount,1),"&lt;&gt;")&gt;0,VLOOKUP($C185,EmpAll,COLUMN(Emp!$R$4)+MATCH(O$5,DedListItem,0)-1,0),OFFSET(Setup!$E$73,MATCH(O$5,DedListItem,0),0,1,1)))-SUMIFS(OFFSET(O$6,1,0,PayCount,1),PayDate,"&lt;"&amp;$AC185,PayEmp,$C185))))))</f>
        <v>0</v>
      </c>
      <c r="P185" s="133" cm="1">
        <f t="array" aca="1" ref="P185" ca="1">IF($F185="Terminated",0,IF($AA185=0,0,IF(ISNA(MATCH(P$5,DedListItem,0)),0,IF(COUNTIFS(OverEmp,$C185,OverDeduct,P$5,OverDate,"&lt;"&amp;DATE(YEAR($AC185),MONTH($AC185)+1,1),OverEnd,"&gt;="&amp;DATE(YEAR($AC185),MONTH($AC185),1))&gt;0,SUMIFS(OverValue,OverEmp,$C185,OverDeduct,P$5,OverDate,"&lt;"&amp;DATE(YEAR($AC185),MONTH($AC185)+1,1),OverEnd,"&gt;="&amp;DATE(YEAR($AC185),MONTH($AC185),1)),IF(OR(P$2="Fixed",P$2="Not Used"),(IF(COUNTIFS(EmpNo,$C185,OFFSET(Emp!$R$4,1,MATCH(P$5,DedListItem,0)-1,EmpCount,1),"&lt;&gt;")&gt;0,VLOOKUP($C185,EmpAll,COLUMN(Emp!$R$4)+MATCH(P$5,DedListItem,0)-1,0),OFFSET(Setup!$E$73,MATCH(P$5,DedListItem,0),0,1,1))*$AA185)-SUMIFS(OFFSET(P$6,1,0,PayCount,1),PayDate,"&lt;"&amp;$AC185,PayEmp,$C185),IF(ISNA(MATCH(P$2,EarnListItem,0))=FALSE,IF(OFFSET(Setup!$G$73,MATCH(P$5,DedListItem,0),0,1,1)="Taxable",SUMPRODUCT((PayEmp=$C185)*(PayDate&lt;=$AC185)*(PayEarnCode=P$2)*(PayEarnTax)*(PayEarnValues)),SUMPRODUCT((PayEmp=$C185)*(PayDate&lt;=$AC185)*(PayEarnCode=P$2)*(PayEarnValues)))*IF(COUNTIFS(EmpNo,$C185,OFFSET(Emp!$R$4,1,MATCH(P$5,DedListItem,0)-1,EmpCount,1),"&lt;&gt;")&gt;0,VLOOKUP($C185,EmpAll,COLUMN(Emp!$R$4)+MATCH(P$5,DedListItem,0)-1,0),OFFSET(Setup!$E$73,MATCH(P$5,DedListItem,0),0,1,1)),(MIN(IF(OFFSET(Setup!$G$73,MATCH(P$5,DedListItem,0),0,1,1)="Taxable",SUMPRODUCT((PayEmp=$C185)*(PayDate&lt;=$AC185)*(ISERROR(SEARCH(PayEarnCode,P$4)))*(PayEarnTax)*(PayEarnValues)),SUMPRODUCT((PayEmp=$C185)*(PayDate&lt;=$AC185)*(ISERROR(SEARCH(PayEarnCode,P$4)))*(PayEarnValues))),IF(ISNUMBER(P$3),P$3/12*$AA185,IgnoreMin)))*IF(COUNTIFS(EmpNo,$C185,OFFSET(Emp!$R$4,1,MATCH(P$5,DedListItem,0)-1,EmpCount,1),"&lt;&gt;")&gt;0,VLOOKUP($C185,EmpAll,COLUMN(Emp!$R$4)+MATCH(P$5,DedListItem,0)-1,0),OFFSET(Setup!$E$73,MATCH(P$5,DedListItem,0),0,1,1)))-SUMIFS(OFFSET(P$6,1,0,PayCount,1),PayDate,"&lt;"&amp;$AC185,PayEmp,$C185))))))</f>
        <v>0</v>
      </c>
      <c r="Q185" s="133" cm="1">
        <f t="array" aca="1" ref="Q185" ca="1">IF($F185="Terminated",0,IF($AA185=0,0,IF(ISNA(MATCH(Q$5,DedListItem,0)),0,IF(COUNTIFS(OverEmp,$C185,OverDeduct,Q$5,OverDate,"&lt;"&amp;DATE(YEAR($AC185),MONTH($AC185)+1,1),OverEnd,"&gt;="&amp;DATE(YEAR($AC185),MONTH($AC185),1))&gt;0,SUMIFS(OverValue,OverEmp,$C185,OverDeduct,Q$5,OverDate,"&lt;"&amp;DATE(YEAR($AC185),MONTH($AC185)+1,1),OverEnd,"&gt;="&amp;DATE(YEAR($AC185),MONTH($AC185),1)),IF(OR(Q$2="Fixed",Q$2="Not Used"),(IF(COUNTIFS(EmpNo,$C185,OFFSET(Emp!$R$4,1,MATCH(Q$5,DedListItem,0)-1,EmpCount,1),"&lt;&gt;")&gt;0,VLOOKUP($C185,EmpAll,COLUMN(Emp!$R$4)+MATCH(Q$5,DedListItem,0)-1,0),OFFSET(Setup!$E$73,MATCH(Q$5,DedListItem,0),0,1,1))*$AA185)-SUMIFS(OFFSET(Q$6,1,0,PayCount,1),PayDate,"&lt;"&amp;$AC185,PayEmp,$C185),IF(ISNA(MATCH(Q$2,EarnListItem,0))=FALSE,IF(OFFSET(Setup!$G$73,MATCH(Q$5,DedListItem,0),0,1,1)="Taxable",SUMPRODUCT((PayEmp=$C185)*(PayDate&lt;=$AC185)*(PayEarnCode=Q$2)*(PayEarnTax)*(PayEarnValues)),SUMPRODUCT((PayEmp=$C185)*(PayDate&lt;=$AC185)*(PayEarnCode=Q$2)*(PayEarnValues)))*IF(COUNTIFS(EmpNo,$C185,OFFSET(Emp!$R$4,1,MATCH(Q$5,DedListItem,0)-1,EmpCount,1),"&lt;&gt;")&gt;0,VLOOKUP($C185,EmpAll,COLUMN(Emp!$R$4)+MATCH(Q$5,DedListItem,0)-1,0),OFFSET(Setup!$E$73,MATCH(Q$5,DedListItem,0),0,1,1)),(MIN(IF(OFFSET(Setup!$G$73,MATCH(Q$5,DedListItem,0),0,1,1)="Taxable",SUMPRODUCT((PayEmp=$C185)*(PayDate&lt;=$AC185)*(ISERROR(SEARCH(PayEarnCode,Q$4)))*(PayEarnTax)*(PayEarnValues)),SUMPRODUCT((PayEmp=$C185)*(PayDate&lt;=$AC185)*(ISERROR(SEARCH(PayEarnCode,Q$4)))*(PayEarnValues))),IF(ISNUMBER(Q$3),Q$3/12*$AA185,IgnoreMin)))*IF(COUNTIFS(EmpNo,$C185,OFFSET(Emp!$R$4,1,MATCH(Q$5,DedListItem,0)-1,EmpCount,1),"&lt;&gt;")&gt;0,VLOOKUP($C185,EmpAll,COLUMN(Emp!$R$4)+MATCH(Q$5,DedListItem,0)-1,0),OFFSET(Setup!$E$73,MATCH(Q$5,DedListItem,0),0,1,1)))-SUMIFS(OFFSET(Q$6,1,0,PayCount,1),PayDate,"&lt;"&amp;$AC185,PayEmp,$C185))))))</f>
        <v>0</v>
      </c>
      <c r="R185" s="185">
        <f t="shared" ca="1" si="85"/>
        <v>5220.2033333333284</v>
      </c>
      <c r="S185" s="139">
        <f t="shared" ca="1" si="86"/>
        <v>25779.8</v>
      </c>
      <c r="T185" s="133" cm="1">
        <f t="array" aca="1" ref="T185" ca="1">IF($F185="Terminated",0,IF($AA185=0,0,IF(ISNA(MATCH(T$5,CompListItem,0)),0,IF(COUNTIFS(OverEmp,$C185,OverComp,T$5,OverDate,"&lt;"&amp;DATE(YEAR($AC185),MONTH($AC185)+1,1),OverEnd,"&gt;="&amp;DATE(YEAR($AC185),MONTH($AC185),1))&gt;0,SUMIFS(OverValue,OverEmp,$C185,OverComp,T$5,OverDate,"&lt;"&amp;DATE(YEAR($AC185),MONTH($AC185)+1,1),OverEnd,"&gt;="&amp;DATE(YEAR($AC185),MONTH($AC185),1)),IF(OR(T$2="Fixed",T$2="Not Used"),(OFFSET(Setup!$E$81,MATCH(T$5,CompListItem,0),0,1,1)*$AA185)-SUMIFS(OFFSET(T$6,1,0,PayCount,1),PayDate,"&lt;"&amp;$AC185,PayEmp,$C185),IF(ISNA(MATCH(T$2,DedListItem,0))=FALSE,(SUMPRODUCT((PayEmp=$C185)*(PayDate&lt;=$AC185)*(PayDedList=T$2)*(PayDedValues))*OFFSET(Setup!$E$81,MATCH(T$5,CompListItem,0),0,1,1))-SUMIFS(OFFSET(T$6,1,0,PayCount,1),PayDate,"&lt;"&amp;$AC185,PayEmp,$C185),(MIN(IF(OFFSET(Setup!$G$81,MATCH(T$5,CompListItem,0),0,1,1)="Taxable",SUMPRODUCT((PayEmp=$C185)*(PayDate&lt;=$AC185)*(ISERROR(SEARCH(PayEarnCode,T$4)))*(PayEarnTax)*(PayEarnValues)),SUMPRODUCT((PayEmp=$C185)*(PayDate&lt;=$AC185)*(ISERROR(SEARCH(PayEarnCode,T$4)))*(PayEarnValues))),IF(ISNUMBER(T$3),T$3/12*$AA185,IgnoreMin)))*OFFSET(Setup!$E$81,MATCH(T$5,CompListItem,0),0,1,1)-SUMIFS(OFFSET(T$6,1,0,PayCount,1),PayDate,"&lt;"&amp;$AC185,PayEmp,$C185)))))))</f>
        <v>177.11999999999989</v>
      </c>
      <c r="U185" s="133" cm="1">
        <f t="array" aca="1" ref="U185" ca="1">IF($F185="Terminated",0,IF($AA185=0,0,IF(ISNA(MATCH(U$5,CompListItem,0)),0,IF(COUNTIFS(OverEmp,$C185,OverComp,U$5,OverDate,"&lt;"&amp;DATE(YEAR($AC185),MONTH($AC185)+1,1),OverEnd,"&gt;="&amp;DATE(YEAR($AC185),MONTH($AC185),1))&gt;0,SUMIFS(OverValue,OverEmp,$C185,OverComp,U$5,OverDate,"&lt;"&amp;DATE(YEAR($AC185),MONTH($AC185)+1,1),OverEnd,"&gt;="&amp;DATE(YEAR($AC185),MONTH($AC185),1)),IF(OR(U$2="Fixed",U$2="Not Used"),(OFFSET(Setup!$E$81,MATCH(U$5,CompListItem,0),0,1,1)*$AA185)-SUMIFS(OFFSET(U$6,1,0,PayCount,1),PayDate,"&lt;"&amp;$AC185,PayEmp,$C185),IF(ISNA(MATCH(U$2,DedListItem,0))=FALSE,(SUMPRODUCT((PayEmp=$C185)*(PayDate&lt;=$AC185)*(PayDedList=U$2)*(PayDedValues))*OFFSET(Setup!$E$81,MATCH(U$5,CompListItem,0),0,1,1))-SUMIFS(OFFSET(U$6,1,0,PayCount,1),PayDate,"&lt;"&amp;$AC185,PayEmp,$C185),(MIN(IF(OFFSET(Setup!$G$81,MATCH(U$5,CompListItem,0),0,1,1)="Taxable",SUMPRODUCT((PayEmp=$C185)*(PayDate&lt;=$AC185)*(ISERROR(SEARCH(PayEarnCode,U$4)))*(PayEarnTax)*(PayEarnValues)),SUMPRODUCT((PayEmp=$C185)*(PayDate&lt;=$AC185)*(ISERROR(SEARCH(PayEarnCode,U$4)))*(PayEarnValues))),IF(ISNUMBER(U$3),U$3/12*$AA185,IgnoreMin)))*OFFSET(Setup!$E$81,MATCH(U$5,CompListItem,0),0,1,1)-SUMIFS(OFFSET(U$6,1,0,PayCount,1),PayDate,"&lt;"&amp;$AC185,PayEmp,$C185)))))))</f>
        <v>310</v>
      </c>
      <c r="V185" s="133" cm="1">
        <f t="array" aca="1" ref="V185" ca="1">IF($F185="Terminated",0,IF($AA185=0,0,IF(ISNA(MATCH(V$5,CompListItem,0)),0,IF(COUNTIFS(OverEmp,$C185,OverComp,V$5,OverDate,"&lt;"&amp;DATE(YEAR($AC185),MONTH($AC185)+1,1),OverEnd,"&gt;="&amp;DATE(YEAR($AC185),MONTH($AC185),1))&gt;0,SUMIFS(OverValue,OverEmp,$C185,OverComp,V$5,OverDate,"&lt;"&amp;DATE(YEAR($AC185),MONTH($AC185)+1,1),OverEnd,"&gt;="&amp;DATE(YEAR($AC185),MONTH($AC185),1)),IF(OR(V$2="Fixed",V$2="Not Used"),(OFFSET(Setup!$E$81,MATCH(V$5,CompListItem,0),0,1,1)*$AA185)-SUMIFS(OFFSET(V$6,1,0,PayCount,1),PayDate,"&lt;"&amp;$AC185,PayEmp,$C185),IF(ISNA(MATCH(V$2,DedListItem,0))=FALSE,(SUMPRODUCT((PayEmp=$C185)*(PayDate&lt;=$AC185)*(PayDedList=V$2)*(PayDedValues))*OFFSET(Setup!$E$81,MATCH(V$5,CompListItem,0),0,1,1))-SUMIFS(OFFSET(V$6,1,0,PayCount,1),PayDate,"&lt;"&amp;$AC185,PayEmp,$C185),(MIN(IF(OFFSET(Setup!$G$81,MATCH(V$5,CompListItem,0),0,1,1)="Taxable",SUMPRODUCT((PayEmp=$C185)*(PayDate&lt;=$AC185)*(ISERROR(SEARCH(PayEarnCode,V$4)))*(PayEarnTax)*(PayEarnValues)),SUMPRODUCT((PayEmp=$C185)*(PayDate&lt;=$AC185)*(ISERROR(SEARCH(PayEarnCode,V$4)))*(PayEarnValues))),IF(ISNUMBER(V$3),V$3/12*$AA185,IgnoreMin)))*OFFSET(Setup!$E$81,MATCH(V$5,CompListItem,0),0,1,1)-SUMIFS(OFFSET(V$6,1,0,PayCount,1),PayDate,"&lt;"&amp;$AC185,PayEmp,$C185)))))))</f>
        <v>0</v>
      </c>
      <c r="W185" s="133" cm="1">
        <f t="array" aca="1" ref="W185" ca="1">IF($F185="Terminated",0,IF($AA185=0,0,IF(ISNA(MATCH(W$5,CompListItem,0)),0,IF(COUNTIFS(OverEmp,$C185,OverComp,W$5,OverDate,"&lt;"&amp;DATE(YEAR($AC185),MONTH($AC185)+1,1),OverEnd,"&gt;="&amp;DATE(YEAR($AC185),MONTH($AC185),1))&gt;0,SUMIFS(OverValue,OverEmp,$C185,OverComp,W$5,OverDate,"&lt;"&amp;DATE(YEAR($AC185),MONTH($AC185)+1,1),OverEnd,"&gt;="&amp;DATE(YEAR($AC185),MONTH($AC185),1)),IF(OR(W$2="Fixed",W$2="Not Used"),(OFFSET(Setup!$E$81,MATCH(W$5,CompListItem,0),0,1,1)*$AA185)-SUMIFS(OFFSET(W$6,1,0,PayCount,1),PayDate,"&lt;"&amp;$AC185,PayEmp,$C185),IF(ISNA(MATCH(W$2,DedListItem,0))=FALSE,(SUMPRODUCT((PayEmp=$C185)*(PayDate&lt;=$AC185)*(PayDedList=W$2)*(PayDedValues))*OFFSET(Setup!$E$81,MATCH(W$5,CompListItem,0),0,1,1))-SUMIFS(OFFSET(W$6,1,0,PayCount,1),PayDate,"&lt;"&amp;$AC185,PayEmp,$C185),(MIN(IF(OFFSET(Setup!$G$81,MATCH(W$5,CompListItem,0),0,1,1)="Taxable",SUMPRODUCT((PayEmp=$C185)*(PayDate&lt;=$AC185)*(ISERROR(SEARCH(PayEarnCode,W$4)))*(PayEarnTax)*(PayEarnValues)),SUMPRODUCT((PayEmp=$C185)*(PayDate&lt;=$AC185)*(ISERROR(SEARCH(PayEarnCode,W$4)))*(PayEarnValues))),IF(ISNUMBER(W$3),W$3/12*$AA185,IgnoreMin)))*OFFSET(Setup!$E$81,MATCH(W$5,CompListItem,0),0,1,1)-SUMIFS(OFFSET(W$6,1,0,PayCount,1),PayDate,"&lt;"&amp;$AC185,PayEmp,$C185)))))))</f>
        <v>0</v>
      </c>
      <c r="X185" s="185">
        <f t="shared" ca="1" si="78"/>
        <v>487.11999999999989</v>
      </c>
      <c r="Y185" s="139">
        <f t="shared" ca="1" si="87"/>
        <v>31487.119999999999</v>
      </c>
      <c r="Z185" s="139">
        <f t="shared" ca="1" si="79"/>
        <v>5707.32</v>
      </c>
      <c r="AA185" s="146">
        <f ca="1">IF(OR($B185&lt;=Setup!$E$12,$B185&gt;=Setup!$D$12+1),0,IF($F185&lt;&gt;"Active",0,IF($AE185="Yes",$AB185,((YEAR($AC185)*12)+MONTH($AC185))-((YEAR($AD185)*12)+MONTH($AD185)-1))))</f>
        <v>9</v>
      </c>
      <c r="AB185" s="146">
        <f ca="1">IF(OR($B185&lt;=Setup!$E$12,$B185&gt;=Setup!$D$12+1),0,((YEAR($AC185)*12)+MONTH($AC185))-((YEAR(Setup!$E$12)*12)+MONTH(Setup!$E$12)))</f>
        <v>12</v>
      </c>
      <c r="AC185" s="186">
        <f t="shared" ca="1" si="83"/>
        <v>45347</v>
      </c>
      <c r="AD185" s="144">
        <f ca="1">IF(ISNA(VLOOKUP($C185,EmpAll,COLUMN(Emp!$E$4),0)),$AC185,IF(VLOOKUP($C185,EmpAll,COLUMN(Emp!$E$4),0)&lt;=Setup!$E$12,DATE(YEAR(Setup!$E$12),MONTH(Setup!$E$12)+1,1),VLOOKUP($C185,EmpAll,COLUMN(Emp!$E$4),0)))</f>
        <v>45102</v>
      </c>
      <c r="AE185" s="144" t="str">
        <f ca="1">IF(ISNA(VLOOKUP($C185,EmpAll,COLUMN(Emp!$G$1),0)),"-",IF(VLOOKUP($C185,EmpAll,COLUMN(Emp!$G$1),0)=0,"-",VLOOKUP($C185,EmpAll,COLUMN(Emp!$G$1),0)))</f>
        <v>-</v>
      </c>
      <c r="AF185" s="145">
        <f ca="1">IF(A185=PaySlip!$G$3,1,0)</f>
        <v>0</v>
      </c>
      <c r="AG185" s="130" cm="1">
        <f t="array" aca="1" ref="AG185" ca="1">IF(COUNTIFS(OverEmp,$C185,OverMed,"MED",OverDate,"&lt;"&amp;DATE(YEAR($AC185),MONTH($AC185)+1,1),OverEnd,"&gt;="&amp;DATE(YEAR($AC185),MONTH($AC185),1))&gt;0,SUMIFS(OverValue,OverEmp,$C185,OverMed,"MED",OverDate,"&lt;"&amp;DATE(YEAR($AC185),MONTH($AC185)+1,1),OverEnd,"&gt;="&amp;DATE(YEAR($AC185),MONTH($AC185),1)),IF(ISNA(VLOOKUP($C185,EmpAll,COLUMN(Emp!$N$4),0)),0,VLOOKUP($C185,EmpAll,COLUMN(Emp!$N$4),0)))</f>
        <v>0</v>
      </c>
      <c r="AH185" s="146">
        <f ca="1">VLOOKUP($AG185,MedList,COLUMN(Setup!$C$49),1)</f>
        <v>0</v>
      </c>
      <c r="AI185" s="146">
        <f t="shared" ca="1" si="70"/>
        <v>0</v>
      </c>
      <c r="AJ185" s="101" t="str">
        <f ca="1">IF(ISNA(VLOOKUP($C185,EmpAll,COLUMN(Emp!$L$4),0)),"None!",VLOOKUP($C185,EmpAll,COLUMN(Emp!$L$4),0))</f>
        <v>A</v>
      </c>
      <c r="AK185" s="147">
        <f t="shared" ca="1" si="80"/>
        <v>17235</v>
      </c>
      <c r="AL185" s="101" t="str">
        <f ca="1">IF(ISNA(VLOOKUP($C185,Employees[],COLUMN(Emp!$M$4),0))=TRUE,"Error!",IF(VLOOKUP($C185,Employees[],COLUMN(Emp!$M$4),0)=0,"Yes",VLOOKUP($C185,Employees[],COLUMN(Emp!$M$4),0)))</f>
        <v>A</v>
      </c>
      <c r="AM185" s="148">
        <f t="shared" ca="1" si="71"/>
        <v>354733.33333333331</v>
      </c>
      <c r="AN185" s="148" cm="1">
        <f t="array" aca="1" ref="AN185" ca="1">-IF($F185="Terminated",0,IF($AA185=0,0,IF(ISNA(MATCH(AN$5,PayDedList,0)),0,MIN(IF(COUNTIFS(OverEmp,$C185,OverDeduct,AN$5,OverDate,"&lt;"&amp;DATE(YEAR($AC185),MONTH($AC185)+1,1),OverEnd,"&gt;="&amp;DATE(YEAR($AC185),MONTH($AC185),1))&gt;0,SUMPRODUCT((PayEmp=$C185)*(PayDate&lt;=$AC185)*(OFFSET($N$6,1,MATCH(AN$5,PayDedList,0)-1,PayCount,1)))/$AA185*12*AN$3,IF(OR(AN$1="Fixed",AN$1="Not Used"),SUMPRODUCT((PayEmp=$C185)*(PayDate&lt;=$AC185)*(OFFSET($N$6,1,MATCH(AN$5,PayDedList,0)-1,PayCount,1)))/$AA185*12*AN$3,IF(ISNA(MATCH(AN$1,EarnListItem,0))=FALSE,SUMPRODUCT((PayEmp=$C185)*(PayDate&lt;=$AC185)*(OFFSET($N$6,1,MATCH(AN$5,PayDedList,0)-1,PayCount,1)))/$AA185*12*AN$3,(MIN(((SUMPRODUCT((PayEmp=$C185)*(PayDate&lt;=$AC185)*(ISERROR(SEARCH(PayEarnCode,AN$2)))*(PayEarnType="Monthly")*(PayEarnValues))/$AA185*12)+(SUMPRODUCT((PayEmp=$C185)*(PayDate&lt;=$AC185)*(ISERROR(SEARCH(PayEarnCode,AN$2)))*(PayEarnType="Quarterly")*(PayEarnValues))/MAX(1,ROUNDDOWN($AB185/3,0))*4)+(SUMPRODUCT((PayEmp=$C185)*(PayDate&lt;=$AC185)*(ISERROR(SEARCH(PayEarnCode,AN$2)))*(PayEarnType="Bi-Annual")*(PayEarnValues))/MAX(1,ROUNDDOWN($AB185/6,0))*2)+(SUMPRODUCT((PayEmp=$C185)*(PayDate&lt;=$AC185)*(ISERROR(SEARCH(PayEarnCode,AN$2)))*(PayEarnType="Annual")*(PayEarnValues)))),IF(ISNUMBER(OFFSET($N$3,0,MATCH(AN$5,PayDedList,0)-1,1,1)),OFFSET($N$3,0,MATCH(AN$5,PayDedList,0)-1,1,1),IgnoreMin)))*IF(COUNTIFS(EmpNo,$C185,OFFSET(Emp!$R$4,1,MATCH(AN$5,DedListItem,0)-1,EmpCount,1),"&lt;&gt;")&gt;0,VLOOKUP($C185,EmpAll,COLUMN(Emp!$R$4)+MATCH(AN$5,DedListItem,0)-1,0),OFFSET(Setup!$E$73,MATCH(AN$5,DedListItem,0),0,1,1))*AN$3))),IF(ISNUMBER(AN$4),AN$4,IgnoreMin)))))</f>
        <v>0</v>
      </c>
      <c r="AO185" s="148" cm="1">
        <f t="array" aca="1" ref="AO185" ca="1">-IF($F185="Terminated",0,IF($AA185=0,0,IF(ISNA(MATCH(AO$5,PayDedList,0)),0,MIN(IF(COUNTIFS(OverEmp,$C185,OverDeduct,AO$5,OverDate,"&lt;"&amp;DATE(YEAR($AC185),MONTH($AC185)+1,1),OverEnd,"&gt;="&amp;DATE(YEAR($AC185),MONTH($AC185),1))&gt;0,SUMPRODUCT((PayEmp=$C185)*(PayDate&lt;=$AC185)*(OFFSET($N$6,1,MATCH(AO$5,PayDedList,0)-1,PayCount,1)))/$AA185*12*AO$3,IF(OR(AO$1="Fixed",AO$1="Not Used"),SUMPRODUCT((PayEmp=$C185)*(PayDate&lt;=$AC185)*(OFFSET($N$6,1,MATCH(AO$5,PayDedList,0)-1,PayCount,1)))/$AA185*12*AO$3,IF(ISNA(MATCH(AO$1,EarnListItem,0))=FALSE,SUMPRODUCT((PayEmp=$C185)*(PayDate&lt;=$AC185)*(OFFSET($N$6,1,MATCH(AO$5,PayDedList,0)-1,PayCount,1)))/$AA185*12*AO$3,(MIN(((SUMPRODUCT((PayEmp=$C185)*(PayDate&lt;=$AC185)*(ISERROR(SEARCH(PayEarnCode,AO$2)))*(PayEarnType="Monthly")*(PayEarnValues))/$AA185*12)+(SUMPRODUCT((PayEmp=$C185)*(PayDate&lt;=$AC185)*(ISERROR(SEARCH(PayEarnCode,AO$2)))*(PayEarnType="Quarterly")*(PayEarnValues))/MAX(1,ROUNDDOWN($AB185/3,0))*4)+(SUMPRODUCT((PayEmp=$C185)*(PayDate&lt;=$AC185)*(ISERROR(SEARCH(PayEarnCode,AO$2)))*(PayEarnType="Bi-Annual")*(PayEarnValues))/MAX(1,ROUNDDOWN($AB185/6,0))*2)+(SUMPRODUCT((PayEmp=$C185)*(PayDate&lt;=$AC185)*(ISERROR(SEARCH(PayEarnCode,AO$2)))*(PayEarnType="Annual")*(PayEarnValues)))),IF(ISNUMBER(OFFSET($N$3,0,MATCH(AO$5,PayDedList,0)-1,1,1)),OFFSET($N$3,0,MATCH(AO$5,PayDedList,0)-1,1,1),IgnoreMin)))*IF(COUNTIFS(EmpNo,$C185,OFFSET(Emp!$R$4,1,MATCH(AO$5,DedListItem,0)-1,EmpCount,1),"&lt;&gt;")&gt;0,VLOOKUP($C185,EmpAll,COLUMN(Emp!$R$4)+MATCH(AO$5,DedListItem,0)-1,0),OFFSET(Setup!$E$73,MATCH(AO$5,DedListItem,0),0,1,1))*AO$3))),IF(ISNUMBER(AO$4),AO$4,IgnoreMin)))))</f>
        <v>0</v>
      </c>
      <c r="AP185" s="148" cm="1">
        <f t="array" aca="1" ref="AP185" ca="1">-IF($F185="Terminated",0,IF($AA185=0,0,IF(ISNA(MATCH(AP$5,PayDedList,0)),0,MIN(IF(COUNTIFS(OverEmp,$C185,OverDeduct,AP$5,OverDate,"&lt;"&amp;DATE(YEAR($AC185),MONTH($AC185)+1,1),OverEnd,"&gt;="&amp;DATE(YEAR($AC185),MONTH($AC185),1))&gt;0,SUMPRODUCT((PayEmp=$C185)*(PayDate&lt;=$AC185)*(OFFSET($N$6,1,MATCH(AP$5,PayDedList,0)-1,PayCount,1)))/$AA185*12*AP$3,IF(OR(AP$1="Fixed",AP$1="Not Used"),SUMPRODUCT((PayEmp=$C185)*(PayDate&lt;=$AC185)*(OFFSET($N$6,1,MATCH(AP$5,PayDedList,0)-1,PayCount,1)))/$AA185*12*AP$3,IF(ISNA(MATCH(AP$1,EarnListItem,0))=FALSE,SUMPRODUCT((PayEmp=$C185)*(PayDate&lt;=$AC185)*(OFFSET($N$6,1,MATCH(AP$5,PayDedList,0)-1,PayCount,1)))/$AA185*12*AP$3,(MIN(((SUMPRODUCT((PayEmp=$C185)*(PayDate&lt;=$AC185)*(ISERROR(SEARCH(PayEarnCode,AP$2)))*(PayEarnType="Monthly")*(PayEarnValues))/$AA185*12)+(SUMPRODUCT((PayEmp=$C185)*(PayDate&lt;=$AC185)*(ISERROR(SEARCH(PayEarnCode,AP$2)))*(PayEarnType="Quarterly")*(PayEarnValues))/MAX(1,ROUNDDOWN($AB185/3,0))*4)+(SUMPRODUCT((PayEmp=$C185)*(PayDate&lt;=$AC185)*(ISERROR(SEARCH(PayEarnCode,AP$2)))*(PayEarnType="Bi-Annual")*(PayEarnValues))/MAX(1,ROUNDDOWN($AB185/6,0))*2)+(SUMPRODUCT((PayEmp=$C185)*(PayDate&lt;=$AC185)*(ISERROR(SEARCH(PayEarnCode,AP$2)))*(PayEarnType="Annual")*(PayEarnValues)))),IF(ISNUMBER(OFFSET($N$3,0,MATCH(AP$5,PayDedList,0)-1,1,1)),OFFSET($N$3,0,MATCH(AP$5,PayDedList,0)-1,1,1),IgnoreMin)))*IF(COUNTIFS(EmpNo,$C185,OFFSET(Emp!$R$4,1,MATCH(AP$5,DedListItem,0)-1,EmpCount,1),"&lt;&gt;")&gt;0,VLOOKUP($C185,EmpAll,COLUMN(Emp!$R$4)+MATCH(AP$5,DedListItem,0)-1,0),OFFSET(Setup!$E$73,MATCH(AP$5,DedListItem,0),0,1,1))*AP$3))),IF(ISNUMBER(AP$4),AP$4,IgnoreMin)))))</f>
        <v>0</v>
      </c>
      <c r="AQ185" s="148" cm="1">
        <f t="array" aca="1" ref="AQ185" ca="1">-IF($F185="Terminated",0,IF($AA185=0,0,IF(ISNA(MATCH(AQ$5,PayDedList,0)),0,MIN(IF(COUNTIFS(OverEmp,$C185,OverDeduct,AQ$5,OverDate,"&lt;"&amp;DATE(YEAR($AC185),MONTH($AC185)+1,1),OverEnd,"&gt;="&amp;DATE(YEAR($AC185),MONTH($AC185),1))&gt;0,SUMPRODUCT((PayEmp=$C185)*(PayDate&lt;=$AC185)*(OFFSET($N$6,1,MATCH(AQ$5,PayDedList,0)-1,PayCount,1)))/$AA185*12*AQ$3,IF(OR(AQ$1="Fixed",AQ$1="Not Used"),SUMPRODUCT((PayEmp=$C185)*(PayDate&lt;=$AC185)*(OFFSET($N$6,1,MATCH(AQ$5,PayDedList,0)-1,PayCount,1)))/$AA185*12*AQ$3,IF(ISNA(MATCH(AQ$1,EarnListItem,0))=FALSE,SUMPRODUCT((PayEmp=$C185)*(PayDate&lt;=$AC185)*(OFFSET($N$6,1,MATCH(AQ$5,PayDedList,0)-1,PayCount,1)))/$AA185*12*AQ$3,(MIN(((SUMPRODUCT((PayEmp=$C185)*(PayDate&lt;=$AC185)*(ISERROR(SEARCH(PayEarnCode,AQ$2)))*(PayEarnType="Monthly")*(PayEarnValues))/$AA185*12)+(SUMPRODUCT((PayEmp=$C185)*(PayDate&lt;=$AC185)*(ISERROR(SEARCH(PayEarnCode,AQ$2)))*(PayEarnType="Quarterly")*(PayEarnValues))/MAX(1,ROUNDDOWN($AB185/3,0))*4)+(SUMPRODUCT((PayEmp=$C185)*(PayDate&lt;=$AC185)*(ISERROR(SEARCH(PayEarnCode,AQ$2)))*(PayEarnType="Bi-Annual")*(PayEarnValues))/MAX(1,ROUNDDOWN($AB185/6,0))*2)+(SUMPRODUCT((PayEmp=$C185)*(PayDate&lt;=$AC185)*(ISERROR(SEARCH(PayEarnCode,AQ$2)))*(PayEarnType="Annual")*(PayEarnValues)))),IF(ISNUMBER(OFFSET($N$3,0,MATCH(AQ$5,PayDedList,0)-1,1,1)),OFFSET($N$3,0,MATCH(AQ$5,PayDedList,0)-1,1,1),IgnoreMin)))*IF(COUNTIFS(EmpNo,$C185,OFFSET(Emp!$R$4,1,MATCH(AQ$5,DedListItem,0)-1,EmpCount,1),"&lt;&gt;")&gt;0,VLOOKUP($C185,EmpAll,COLUMN(Emp!$R$4)+MATCH(AQ$5,DedListItem,0)-1,0),OFFSET(Setup!$E$73,MATCH(AQ$5,DedListItem,0),0,1,1))*AQ$3))),IF(ISNUMBER(AQ$4),AQ$4,IgnoreMin)))))</f>
        <v>0</v>
      </c>
      <c r="AR185" s="148">
        <f t="shared" ca="1" si="81"/>
        <v>354733.33333333331</v>
      </c>
      <c r="AS185" s="148">
        <f t="shared" ca="1" si="72"/>
        <v>354733.33333333331</v>
      </c>
      <c r="AT185" s="148" cm="1">
        <f t="array" aca="1" ref="AT185" ca="1">-IF($F185="Terminated",0,IF($AA185=0,0,IF(ISNA(MATCH(AT$5,PayDedList,0)),0,MIN(IF(COUNTIFS(OverEmp,$C185,OverDeduct,AT$5,OverDate,"&lt;"&amp;DATE(YEAR($AC185),MONTH($AC185)+1,1),OverEnd,"&gt;="&amp;DATE(YEAR($AC185),MONTH($AC185),1))&gt;0,SUMPRODUCT((PayEmp=$C185)*(PayDate&lt;=$AC185)*(OFFSET($N$6,1,MATCH(AT$5,PayDedList,0)-1,PayCount,1)))/$AA185*12*AT$3,IF(OR(AT$1="Fixed",AT$1="Not Used"),SUMPRODUCT((PayEmp=$C185)*(PayDate&lt;=$AC185)*(OFFSET($N$6,1,MATCH(AT$5,PayDedList,0)-1,PayCount,1)))/$AA185*12*AT$3,IF(ISNA(MATCH(OFFSET($N$2,0,MATCH(AT$5,PayDedList,0)-1,1,1),EarnListItem,0))=FALSE,SUMPRODUCT((PayEmp=$C185)*(PayDate&lt;=$AC185)*(OFFSET($N$6,1,MATCH(AT$5,PayDedList,0)-1,PayCount,1)))/$AA185*12*AT$3,(MIN(SUMPRODUCT((PayEmp=$C185)*(PayDate&lt;=$AC185)*(ISERROR(SEARCH(PayEarnCode,AT$2)))*(PayEarnType="Monthly")*(PayEarnValues))/$AA185*12,IF(ISNUMBER(OFFSET($N$3,0,MATCH(AT$5,PayDedList,0)-1,1,1)),OFFSET($N$3,0,MATCH(AT$5,PayDedList,0)-1,1,1),IgnoreMin)))*IF(COUNTIFS(EmpNo,$C185,OFFSET(Emp!$R$4,1,MATCH(AT$5,DedListItem,0)-1,EmpCount,1),"&lt;&gt;")&gt;0,VLOOKUP($C185,EmpAll,COLUMN(Emp!$R$4)+MATCH(AT$5,DedListItem,0)-1,0),OFFSET(Setup!$E$73,MATCH(AT$5,DedListItem,0),0,1,1))*AT$3))),IF(ISNUMBER(AT$4),AT$4,IgnoreMin)))))</f>
        <v>0</v>
      </c>
      <c r="AU185" s="148" cm="1">
        <f t="array" aca="1" ref="AU185" ca="1">-IF($F185="Terminated",0,IF($AA185=0,0,IF(ISNA(MATCH(AU$5,PayDedList,0)),0,MIN(IF(COUNTIFS(OverEmp,$C185,OverDeduct,AU$5,OverDate,"&lt;"&amp;DATE(YEAR($AC185),MONTH($AC185)+1,1),OverEnd,"&gt;="&amp;DATE(YEAR($AC185),MONTH($AC185),1))&gt;0,SUMPRODUCT((PayEmp=$C185)*(PayDate&lt;=$AC185)*(OFFSET($N$6,1,MATCH(AU$5,PayDedList,0)-1,PayCount,1)))/$AA185*12*AU$3,IF(OR(AU$1="Fixed",AU$1="Not Used"),SUMPRODUCT((PayEmp=$C185)*(PayDate&lt;=$AC185)*(OFFSET($N$6,1,MATCH(AU$5,PayDedList,0)-1,PayCount,1)))/$AA185*12*AU$3,IF(ISNA(MATCH(OFFSET($N$2,0,MATCH(AU$5,PayDedList,0)-1,1,1),EarnListItem,0))=FALSE,SUMPRODUCT((PayEmp=$C185)*(PayDate&lt;=$AC185)*(OFFSET($N$6,1,MATCH(AU$5,PayDedList,0)-1,PayCount,1)))/$AA185*12*AU$3,(MIN(SUMPRODUCT((PayEmp=$C185)*(PayDate&lt;=$AC185)*(ISERROR(SEARCH(PayEarnCode,AU$2)))*(PayEarnType="Monthly")*(PayEarnValues))/$AA185*12,IF(ISNUMBER(OFFSET($N$3,0,MATCH(AU$5,PayDedList,0)-1,1,1)),OFFSET($N$3,0,MATCH(AU$5,PayDedList,0)-1,1,1),IgnoreMin)))*IF(COUNTIFS(EmpNo,$C185,OFFSET(Emp!$R$4,1,MATCH(AU$5,DedListItem,0)-1,EmpCount,1),"&lt;&gt;")&gt;0,VLOOKUP($C185,EmpAll,COLUMN(Emp!$R$4)+MATCH(AU$5,DedListItem,0)-1,0),OFFSET(Setup!$E$73,MATCH(AU$5,DedListItem,0),0,1,1))*AU$3))),IF(ISNUMBER(AU$4),AU$4,IgnoreMin)))))</f>
        <v>0</v>
      </c>
      <c r="AV185" s="148" cm="1">
        <f t="array" aca="1" ref="AV185" ca="1">-IF($F185="Terminated",0,IF($AA185=0,0,IF(ISNA(MATCH(AV$5,PayDedList,0)),0,MIN(IF(COUNTIFS(OverEmp,$C185,OverDeduct,AV$5,OverDate,"&lt;"&amp;DATE(YEAR($AC185),MONTH($AC185)+1,1),OverEnd,"&gt;="&amp;DATE(YEAR($AC185),MONTH($AC185),1))&gt;0,SUMPRODUCT((PayEmp=$C185)*(PayDate&lt;=$AC185)*(OFFSET($N$6,1,MATCH(AV$5,PayDedList,0)-1,PayCount,1)))/$AA185*12*AV$3,IF(OR(AV$1="Fixed",AV$1="Not Used"),SUMPRODUCT((PayEmp=$C185)*(PayDate&lt;=$AC185)*(OFFSET($N$6,1,MATCH(AV$5,PayDedList,0)-1,PayCount,1)))/$AA185*12*AV$3,IF(ISNA(MATCH(OFFSET($N$2,0,MATCH(AV$5,PayDedList,0)-1,1,1),EarnListItem,0))=FALSE,SUMPRODUCT((PayEmp=$C185)*(PayDate&lt;=$AC185)*(OFFSET($N$6,1,MATCH(AV$5,PayDedList,0)-1,PayCount,1)))/$AA185*12*AV$3,(MIN(SUMPRODUCT((PayEmp=$C185)*(PayDate&lt;=$AC185)*(ISERROR(SEARCH(PayEarnCode,AV$2)))*(PayEarnType="Monthly")*(PayEarnValues))/$AA185*12,IF(ISNUMBER(OFFSET($N$3,0,MATCH(AV$5,PayDedList,0)-1,1,1)),OFFSET($N$3,0,MATCH(AV$5,PayDedList,0)-1,1,1),IgnoreMin)))*IF(COUNTIFS(EmpNo,$C185,OFFSET(Emp!$R$4,1,MATCH(AV$5,DedListItem,0)-1,EmpCount,1),"&lt;&gt;")&gt;0,VLOOKUP($C185,EmpAll,COLUMN(Emp!$R$4)+MATCH(AV$5,DedListItem,0)-1,0),OFFSET(Setup!$E$73,MATCH(AV$5,DedListItem,0),0,1,1))*AV$3))),IF(ISNUMBER(AV$4),AV$4,IgnoreMin)))))</f>
        <v>0</v>
      </c>
      <c r="AW185" s="148" cm="1">
        <f t="array" aca="1" ref="AW185" ca="1">-IF($F185="Terminated",0,IF($AA185=0,0,IF(ISNA(MATCH(AW$5,PayDedList,0)),0,MIN(IF(COUNTIFS(OverEmp,$C185,OverDeduct,AW$5,OverDate,"&lt;"&amp;DATE(YEAR($AC185),MONTH($AC185)+1,1),OverEnd,"&gt;="&amp;DATE(YEAR($AC185),MONTH($AC185),1))&gt;0,SUMPRODUCT((PayEmp=$C185)*(PayDate&lt;=$AC185)*(OFFSET($N$6,1,MATCH(AW$5,PayDedList,0)-1,PayCount,1)))/$AA185*12*AW$3,IF(OR(AW$1="Fixed",AW$1="Not Used"),SUMPRODUCT((PayEmp=$C185)*(PayDate&lt;=$AC185)*(OFFSET($N$6,1,MATCH(AW$5,PayDedList,0)-1,PayCount,1)))/$AA185*12*AW$3,IF(ISNA(MATCH(OFFSET($N$2,0,MATCH(AW$5,PayDedList,0)-1,1,1),EarnListItem,0))=FALSE,SUMPRODUCT((PayEmp=$C185)*(PayDate&lt;=$AC185)*(OFFSET($N$6,1,MATCH(AW$5,PayDedList,0)-1,PayCount,1)))/$AA185*12*AW$3,(MIN(SUMPRODUCT((PayEmp=$C185)*(PayDate&lt;=$AC185)*(ISERROR(SEARCH(PayEarnCode,AW$2)))*(PayEarnType="Monthly")*(PayEarnValues))/$AA185*12,IF(ISNUMBER(OFFSET($N$3,0,MATCH(AW$5,PayDedList,0)-1,1,1)),OFFSET($N$3,0,MATCH(AW$5,PayDedList,0)-1,1,1),IgnoreMin)))*IF(COUNTIFS(EmpNo,$C185,OFFSET(Emp!$R$4,1,MATCH(AW$5,DedListItem,0)-1,EmpCount,1),"&lt;&gt;")&gt;0,VLOOKUP($C185,EmpAll,COLUMN(Emp!$R$4)+MATCH(AW$5,DedListItem,0)-1,0),OFFSET(Setup!$E$73,MATCH(AW$5,DedListItem,0),0,1,1))*AW$3))),IF(ISNUMBER(AW$4),AW$4,IgnoreMin)))))</f>
        <v>0</v>
      </c>
      <c r="AX185" s="148">
        <f t="shared" ca="1" si="88"/>
        <v>354733.33333333331</v>
      </c>
      <c r="AY185" s="148">
        <f t="shared" ca="1" si="89"/>
        <v>0</v>
      </c>
      <c r="AZ185" s="148">
        <f ca="1">IF(ISNUMBER($AL185),($AR185*$AL185)-$AI185-$AK185,MAX(0,IF($AL185="B",IF($AR185&lt;Setup!$C$32,($AR185*Setup!$D$32)-$AI185-$AK185,(($AR185-VLOOKUP($AR185,TaxAll2,1,1))*OFFSET(Setup!$D$32,MATCH($AR185,TaxBracket2,1),0,1,1))+OFFSET(Setup!$E$31,MATCH($AR185,TaxBracket2,1),0,1,1)-$AI185-$AK185),IF($AR185&lt;Setup!$C$21,($AR185*Setup!$D$21)-$AI185-$AK185,(($AR185-VLOOKUP($AR185,TaxAll1,1,1))*OFFSET(Setup!$D$21,MATCH($AR185,TaxBracket1,1),0,1,1))+OFFSET(Setup!$E$20,MATCH($AR185,TaxBracket1,1),0,1,1)-$AI185-$AK185))))</f>
        <v>56027.666666666657</v>
      </c>
      <c r="BA185" s="148">
        <f ca="1">IF(ISNUMBER($AL185),($AX185*$AL185)-$AI185-$AK185,MAX(0,IF($AL185="B",IF($AX185&lt;Setup!$C$32,($AX185*Setup!$D$32)-$AI185-$AK185,(($AX185-VLOOKUP($AX185,TaxAll2,1,1))*OFFSET(Setup!$D$32,MATCH($AX185,TaxBracket2,1),0,1,1))+OFFSET(Setup!$E$31,MATCH($AX185,TaxBracket2,1),0,1,1)-$AI185-$AK185),IF($AX185&lt;Setup!$C$21,($AX185*Setup!$D$21)-$AI185-$AK185,(($AX185-VLOOKUP($AX185,TaxAll1,1,1))*OFFSET(Setup!$D$21,MATCH($AX185,TaxBracket1,1),0,1,1))+OFFSET(Setup!$E$20,MATCH($AX185,TaxBracket1,1),0,1,1)-$AI185-$AK185))))</f>
        <v>56027.666666666657</v>
      </c>
      <c r="BB185" s="148">
        <f t="shared" ca="1" si="82"/>
        <v>0</v>
      </c>
      <c r="BC185" s="150">
        <f t="shared" ca="1" si="75"/>
        <v>1</v>
      </c>
      <c r="BD185" s="150">
        <f t="shared" ca="1" si="76"/>
        <v>0</v>
      </c>
      <c r="BE185" s="148">
        <f t="shared" ca="1" si="77"/>
        <v>354733.33333333331</v>
      </c>
    </row>
    <row r="186" spans="1:57" ht="16.149999999999999" customHeight="1" x14ac:dyDescent="0.25">
      <c r="A186" s="10" t="str" cm="1">
        <f t="array" aca="1" ref="A186" ca="1">IF(ROW($A186)-ROW($A$6)&gt;EmpCount*12,"-",TEXT($B186,"yyyy")&amp;TEXT($B186,"mm")&amp;"-"&amp;$C186)</f>
        <v>202402-EXS015</v>
      </c>
      <c r="B186" s="137" cm="1">
        <f t="array" aca="1" ref="B186" ca="1">IF(ROW($A186)-ROW($A$6)&gt;EmpCount*12,Setup!$D$12,DATE(YEAR(Setup!$F$12),MONTH(Setup!$F$12)+ROUNDDOWN((ROW($A186)-ROW($A$6)-1)/EmpCount,0),IF(Setup!$C$14&gt;DAY(DATE(YEAR(Setup!$F$12),MONTH(Setup!$F$12)+ROUNDDOWN((ROW($A186)-ROW($A$6)-1)/EmpCount,0)+1,0)),DAY(DATE(YEAR(Setup!$F$12),MONTH(Setup!$F$12)+ROUNDDOWN((ROW($A186)-ROW($A$6)-1)/EmpCount,0)+1,0)),Setup!$C$14)))</f>
        <v>45347</v>
      </c>
      <c r="C186" s="101" t="str" cm="1">
        <f t="array" aca="1" ref="C186" ca="1">IF(ROW($A186)-ROW($A$6)&gt;EmpCount*12,"-",OFFSET(Emp!$A$4,ROW($A186)-ROW($A$6)-IF(ROW($A186)-ROW($A$6)&gt;EmpCount,ROUNDDOWN((ROW($A186)-ROW($A$6)-1)/EmpCount,0)*EmpCount,0),0,1,1))</f>
        <v>EXS015</v>
      </c>
      <c r="D186" s="10" t="str">
        <f ca="1">IF(ISNA(VLOOKUP($C186,EmpAll,COLUMN(Emp!$B$4),0)),"-",VLOOKUP($C186,EmpAll,COLUMN(Emp!$B$4),0))</f>
        <v>Graham L</v>
      </c>
      <c r="E186" s="145" t="str">
        <f ca="1">IF(ISNA(VLOOKUP($C186,EmpAll,COLUMN(Emp!$C$4),0)),"-",VLOOKUP($C186,EmpAll,COLUMN(Emp!$C$4),0))</f>
        <v>S</v>
      </c>
      <c r="F186" s="101" t="str">
        <f ca="1">IF(ISNA(VLOOKUP($C186,EmpAll,COLUMN(Emp!$A$4),0)),"-",IF(AND(VLOOKUP($C186,EmpAll,COLUMN(Emp!$E$4),0)&lt;&gt;0,VLOOKUP($C186,EmpAll,COLUMN(Emp!$E$4),0)&gt;=DATE(YEAR($AC186),MONTH($AC186)+1,0)),"Inactive",IF(AND(VLOOKUP($C186,EmpAll,COLUMN(Emp!$F$4),0)&lt;&gt;0,VLOOKUP($C186,EmpAll,COLUMN(Emp!$F$4),0)&lt;=DATE(YEAR($AC186),MONTH($AC186),0)),"Terminated","Active")))</f>
        <v>Active</v>
      </c>
      <c r="G186" s="133" cm="1">
        <f t="array" aca="1" ref="G186" ca="1">IF($F186&lt;&gt;"Active",0,IF(COUNTIFS(OverEmp,$C186,OverEarn,G$2,OverDate,"&lt;"&amp;DATE(YEAR($AC186),MONTH($AC186)+1,1),OverEnd,"&gt;="&amp;DATE(YEAR($AC186),MONTH($AC186),1))&gt;0,SUMIFS(OverValue,OverEmp,$C186,OverEarn,G$2,OverDate,"&lt;"&amp;DATE(YEAR($AC186),MONTH($AC186)+1,1),OverEnd,"&gt;="&amp;DATE(YEAR($AC186),MONTH($AC186),1)),IF(AND($AC186&gt;=Setup!$E$10,SUMIFS(EmpIncrease,EmpCode,$C186)&gt;0),SUMIFS(EmpIncrease,EmpCode,$C186),SUMIFS(EmpSalary,EmpCode,$C186))))</f>
        <v>10500</v>
      </c>
      <c r="H186" s="133" cm="1">
        <f t="array" aca="1" ref="H186" ca="1">IF($F186&lt;&gt;"Active",0,IF(COUNTIFS(OverEmp,$C186,OverEarn,H$2,OverDate,"&lt;"&amp;DATE(YEAR($AC186),MONTH($AC186)+1,1),OverEnd,"&gt;="&amp;DATE(YEAR($AC186),MONTH($AC186),1))&gt;0,SUMIFS(OverValue,OverEmp,$C186,OverEarn,H$2,OverDate,"&lt;"&amp;DATE(YEAR($AC186),MONTH($AC186)+1,1),OverEnd,"&gt;="&amp;DATE(YEAR($AC186),MONTH($AC186),1)),0))</f>
        <v>0</v>
      </c>
      <c r="I186" s="133" cm="1">
        <f t="array" aca="1" ref="I186" ca="1">IF($F186&lt;&gt;"Active",0,IF(COUNTIFS(OverEmp,$C186,OverEarn,I$2,OverDate,"&lt;"&amp;DATE(YEAR($AC186),MONTH($AC186)+1,1),OverEnd,"&gt;="&amp;DATE(YEAR($AC186),MONTH($AC186),1))&gt;0,SUMIFS(OverValue,OverEmp,$C186,OverEarn,I$2,OverDate,"&lt;"&amp;DATE(YEAR($AC186),MONTH($AC186)+1,1),OverEnd,"&gt;="&amp;DATE(YEAR($AC186),MONTH($AC186),1)),IF(MONTH(B186)=Setup!$C$15,SUMIFS(EmpBonus,EmpCode,$C186),0)))</f>
        <v>0</v>
      </c>
      <c r="J186" s="133" cm="1">
        <f t="array" aca="1" ref="J186" ca="1">IF($F186&lt;&gt;"Active",0,IF(COUNTIFS(OverEmp,$C186,OverEarn,J$2,OverDate,"&lt;"&amp;DATE(YEAR($AC186),MONTH($AC186)+1,1),OverEnd,"&gt;="&amp;DATE(YEAR($AC186),MONTH($AC186),1))&gt;0,SUMIFS(OverValue,OverEmp,$C186,OverEarn,J$2,OverDate,"&lt;"&amp;DATE(YEAR($AC186),MONTH($AC186)+1,1),OverEnd,"&gt;="&amp;DATE(YEAR($AC186),MONTH($AC186),1)),0))</f>
        <v>0</v>
      </c>
      <c r="K186" s="133" cm="1">
        <f t="array" aca="1" ref="K186" ca="1">IF($F186&lt;&gt;"Active",0,IF(COUNTIFS(OverEmp,$C186,OverEarn,K$2,OverDate,"&lt;"&amp;DATE(YEAR($AC186),MONTH($AC186)+1,1),OverEnd,"&gt;="&amp;DATE(YEAR($AC186),MONTH($AC186),1))&gt;0,SUMIFS(OverValue,OverEmp,$C186,OverEarn,K$2,OverDate,"&lt;"&amp;DATE(YEAR($AC186),MONTH($AC186)+1,1),OverEnd,"&gt;="&amp;DATE(YEAR($AC186),MONTH($AC186),1)),0))</f>
        <v>0</v>
      </c>
      <c r="L186" s="185">
        <f t="shared" ca="1" si="84"/>
        <v>10500</v>
      </c>
      <c r="M186" s="182" cm="1">
        <f t="array" aca="1" ref="M186" ca="1">IF(COUNTIFS(OverEmp,$C186,OverTax,M$5,OverDate,"&lt;"&amp;DATE(YEAR($AC186),MONTH($AC186)+1,1),OverEnd,"&gt;="&amp;DATE(YEAR($AC186),MONTH($AC186),1))&gt;0,SUMIFS(OverValue,OverEmp,$C186,OverTax,M$5,OverDate,"&lt;"&amp;DATE(YEAR($AC186),MONTH($AC186)+1,1),OverEnd,"&gt;="&amp;DATE(YEAR($AC186),MONTH($AC186),1)),(($BA186/12*$AA186)+(BB186*IF(1-$BC186=0,0,BD186/(1-$BC186))))-IF($F186="Terminated",0,SUMIFS(PayTaxDeduct,PayDate,"&lt;"&amp;$AC186,PayEmp,$C186)))</f>
        <v>0</v>
      </c>
      <c r="N186" s="133" cm="1">
        <f t="array" aca="1" ref="N186" ca="1">IF($F186="Terminated",0,IF($AA186=0,0,IF(ISNA(MATCH(N$5,DedListItem,0)),0,IF(COUNTIFS(OverEmp,$C186,OverDeduct,N$5,OverDate,"&lt;"&amp;DATE(YEAR($AC186),MONTH($AC186)+1,1),OverEnd,"&gt;="&amp;DATE(YEAR($AC186),MONTH($AC186),1))&gt;0,SUMIFS(OverValue,OverEmp,$C186,OverDeduct,N$5,OverDate,"&lt;"&amp;DATE(YEAR($AC186),MONTH($AC186)+1,1),OverEnd,"&gt;="&amp;DATE(YEAR($AC186),MONTH($AC186),1)),IF(OR(N$2="Fixed",N$2="Not Used"),(IF(COUNTIFS(EmpNo,$C186,OFFSET(Emp!$R$4,1,MATCH(N$5,DedListItem,0)-1,EmpCount,1),"&lt;&gt;")&gt;0,VLOOKUP($C186,EmpAll,COLUMN(Emp!$R$4)+MATCH(N$5,DedListItem,0)-1,0),OFFSET(Setup!$E$73,MATCH(N$5,DedListItem,0),0,1,1))*$AA186)-SUMIFS(OFFSET(N$6,1,0,PayCount,1),PayDate,"&lt;"&amp;$AC186,PayEmp,$C186),IF(ISNA(MATCH(N$2,EarnListItem,0))=FALSE,IF(OFFSET(Setup!$G$73,MATCH(N$5,DedListItem,0),0,1,1)="Taxable",SUMPRODUCT((PayEmp=$C186)*(PayDate&lt;=$AC186)*(PayEarnCode=N$2)*(PayEarnTax)*(PayEarnValues)),SUMPRODUCT((PayEmp=$C186)*(PayDate&lt;=$AC186)*(PayEarnCode=N$2)*(PayEarnValues)))*IF(COUNTIFS(EmpNo,$C186,OFFSET(Emp!$R$4,1,MATCH(N$5,DedListItem,0)-1,EmpCount,1),"&lt;&gt;")&gt;0,VLOOKUP($C186,EmpAll,COLUMN(Emp!$R$4)+MATCH(N$5,DedListItem,0)-1,0),OFFSET(Setup!$E$73,MATCH(N$5,DedListItem,0),0,1,1)),(MIN(IF(OFFSET(Setup!$G$73,MATCH(N$5,DedListItem,0),0,1,1)="Taxable",SUMPRODUCT((PayEmp=$C186)*(PayDate&lt;=$AC186)*(ISERROR(SEARCH(PayEarnCode,N$4)))*(PayEarnTax)*(PayEarnValues)),SUMPRODUCT((PayEmp=$C186)*(PayDate&lt;=$AC186)*(ISERROR(SEARCH(PayEarnCode,N$4)))*(PayEarnValues))),IF(ISNUMBER(N$3),N$3/12*$AA186,IgnoreMin)))*IF(COUNTIFS(EmpNo,$C186,OFFSET(Emp!$R$4,1,MATCH(N$5,DedListItem,0)-1,EmpCount,1),"&lt;&gt;")&gt;0,VLOOKUP($C186,EmpAll,COLUMN(Emp!$R$4)+MATCH(N$5,DedListItem,0)-1,0),OFFSET(Setup!$E$73,MATCH(N$5,DedListItem,0),0,1,1)))-SUMIFS(OFFSET(N$6,1,0,PayCount,1),PayDate,"&lt;"&amp;$AC186,PayEmp,$C186))))))</f>
        <v>105</v>
      </c>
      <c r="O186" s="133" cm="1">
        <f t="array" aca="1" ref="O186" ca="1">IF($F186="Terminated",0,IF($AA186=0,0,IF(ISNA(MATCH(O$5,DedListItem,0)),0,IF(COUNTIFS(OverEmp,$C186,OverDeduct,O$5,OverDate,"&lt;"&amp;DATE(YEAR($AC186),MONTH($AC186)+1,1),OverEnd,"&gt;="&amp;DATE(YEAR($AC186),MONTH($AC186),1))&gt;0,SUMIFS(OverValue,OverEmp,$C186,OverDeduct,O$5,OverDate,"&lt;"&amp;DATE(YEAR($AC186),MONTH($AC186)+1,1),OverEnd,"&gt;="&amp;DATE(YEAR($AC186),MONTH($AC186),1)),IF(OR(O$2="Fixed",O$2="Not Used"),(IF(COUNTIFS(EmpNo,$C186,OFFSET(Emp!$R$4,1,MATCH(O$5,DedListItem,0)-1,EmpCount,1),"&lt;&gt;")&gt;0,VLOOKUP($C186,EmpAll,COLUMN(Emp!$R$4)+MATCH(O$5,DedListItem,0)-1,0),OFFSET(Setup!$E$73,MATCH(O$5,DedListItem,0),0,1,1))*$AA186)-SUMIFS(OFFSET(O$6,1,0,PayCount,1),PayDate,"&lt;"&amp;$AC186,PayEmp,$C186),IF(ISNA(MATCH(O$2,EarnListItem,0))=FALSE,IF(OFFSET(Setup!$G$73,MATCH(O$5,DedListItem,0),0,1,1)="Taxable",SUMPRODUCT((PayEmp=$C186)*(PayDate&lt;=$AC186)*(PayEarnCode=O$2)*(PayEarnTax)*(PayEarnValues)),SUMPRODUCT((PayEmp=$C186)*(PayDate&lt;=$AC186)*(PayEarnCode=O$2)*(PayEarnValues)))*IF(COUNTIFS(EmpNo,$C186,OFFSET(Emp!$R$4,1,MATCH(O$5,DedListItem,0)-1,EmpCount,1),"&lt;&gt;")&gt;0,VLOOKUP($C186,EmpAll,COLUMN(Emp!$R$4)+MATCH(O$5,DedListItem,0)-1,0),OFFSET(Setup!$E$73,MATCH(O$5,DedListItem,0),0,1,1)),(MIN(IF(OFFSET(Setup!$G$73,MATCH(O$5,DedListItem,0),0,1,1)="Taxable",SUMPRODUCT((PayEmp=$C186)*(PayDate&lt;=$AC186)*(ISERROR(SEARCH(PayEarnCode,O$4)))*(PayEarnTax)*(PayEarnValues)),SUMPRODUCT((PayEmp=$C186)*(PayDate&lt;=$AC186)*(ISERROR(SEARCH(PayEarnCode,O$4)))*(PayEarnValues))),IF(ISNUMBER(O$3),O$3/12*$AA186,IgnoreMin)))*IF(COUNTIFS(EmpNo,$C186,OFFSET(Emp!$R$4,1,MATCH(O$5,DedListItem,0)-1,EmpCount,1),"&lt;&gt;")&gt;0,VLOOKUP($C186,EmpAll,COLUMN(Emp!$R$4)+MATCH(O$5,DedListItem,0)-1,0),OFFSET(Setup!$E$73,MATCH(O$5,DedListItem,0),0,1,1)))-SUMIFS(OFFSET(O$6,1,0,PayCount,1),PayDate,"&lt;"&amp;$AC186,PayEmp,$C186))))))</f>
        <v>0</v>
      </c>
      <c r="P186" s="133" cm="1">
        <f t="array" aca="1" ref="P186" ca="1">IF($F186="Terminated",0,IF($AA186=0,0,IF(ISNA(MATCH(P$5,DedListItem,0)),0,IF(COUNTIFS(OverEmp,$C186,OverDeduct,P$5,OverDate,"&lt;"&amp;DATE(YEAR($AC186),MONTH($AC186)+1,1),OverEnd,"&gt;="&amp;DATE(YEAR($AC186),MONTH($AC186),1))&gt;0,SUMIFS(OverValue,OverEmp,$C186,OverDeduct,P$5,OverDate,"&lt;"&amp;DATE(YEAR($AC186),MONTH($AC186)+1,1),OverEnd,"&gt;="&amp;DATE(YEAR($AC186),MONTH($AC186),1)),IF(OR(P$2="Fixed",P$2="Not Used"),(IF(COUNTIFS(EmpNo,$C186,OFFSET(Emp!$R$4,1,MATCH(P$5,DedListItem,0)-1,EmpCount,1),"&lt;&gt;")&gt;0,VLOOKUP($C186,EmpAll,COLUMN(Emp!$R$4)+MATCH(P$5,DedListItem,0)-1,0),OFFSET(Setup!$E$73,MATCH(P$5,DedListItem,0),0,1,1))*$AA186)-SUMIFS(OFFSET(P$6,1,0,PayCount,1),PayDate,"&lt;"&amp;$AC186,PayEmp,$C186),IF(ISNA(MATCH(P$2,EarnListItem,0))=FALSE,IF(OFFSET(Setup!$G$73,MATCH(P$5,DedListItem,0),0,1,1)="Taxable",SUMPRODUCT((PayEmp=$C186)*(PayDate&lt;=$AC186)*(PayEarnCode=P$2)*(PayEarnTax)*(PayEarnValues)),SUMPRODUCT((PayEmp=$C186)*(PayDate&lt;=$AC186)*(PayEarnCode=P$2)*(PayEarnValues)))*IF(COUNTIFS(EmpNo,$C186,OFFSET(Emp!$R$4,1,MATCH(P$5,DedListItem,0)-1,EmpCount,1),"&lt;&gt;")&gt;0,VLOOKUP($C186,EmpAll,COLUMN(Emp!$R$4)+MATCH(P$5,DedListItem,0)-1,0),OFFSET(Setup!$E$73,MATCH(P$5,DedListItem,0),0,1,1)),(MIN(IF(OFFSET(Setup!$G$73,MATCH(P$5,DedListItem,0),0,1,1)="Taxable",SUMPRODUCT((PayEmp=$C186)*(PayDate&lt;=$AC186)*(ISERROR(SEARCH(PayEarnCode,P$4)))*(PayEarnTax)*(PayEarnValues)),SUMPRODUCT((PayEmp=$C186)*(PayDate&lt;=$AC186)*(ISERROR(SEARCH(PayEarnCode,P$4)))*(PayEarnValues))),IF(ISNUMBER(P$3),P$3/12*$AA186,IgnoreMin)))*IF(COUNTIFS(EmpNo,$C186,OFFSET(Emp!$R$4,1,MATCH(P$5,DedListItem,0)-1,EmpCount,1),"&lt;&gt;")&gt;0,VLOOKUP($C186,EmpAll,COLUMN(Emp!$R$4)+MATCH(P$5,DedListItem,0)-1,0),OFFSET(Setup!$E$73,MATCH(P$5,DedListItem,0),0,1,1)))-SUMIFS(OFFSET(P$6,1,0,PayCount,1),PayDate,"&lt;"&amp;$AC186,PayEmp,$C186))))))</f>
        <v>0</v>
      </c>
      <c r="Q186" s="133" cm="1">
        <f t="array" aca="1" ref="Q186" ca="1">IF($F186="Terminated",0,IF($AA186=0,0,IF(ISNA(MATCH(Q$5,DedListItem,0)),0,IF(COUNTIFS(OverEmp,$C186,OverDeduct,Q$5,OverDate,"&lt;"&amp;DATE(YEAR($AC186),MONTH($AC186)+1,1),OverEnd,"&gt;="&amp;DATE(YEAR($AC186),MONTH($AC186),1))&gt;0,SUMIFS(OverValue,OverEmp,$C186,OverDeduct,Q$5,OverDate,"&lt;"&amp;DATE(YEAR($AC186),MONTH($AC186)+1,1),OverEnd,"&gt;="&amp;DATE(YEAR($AC186),MONTH($AC186),1)),IF(OR(Q$2="Fixed",Q$2="Not Used"),(IF(COUNTIFS(EmpNo,$C186,OFFSET(Emp!$R$4,1,MATCH(Q$5,DedListItem,0)-1,EmpCount,1),"&lt;&gt;")&gt;0,VLOOKUP($C186,EmpAll,COLUMN(Emp!$R$4)+MATCH(Q$5,DedListItem,0)-1,0),OFFSET(Setup!$E$73,MATCH(Q$5,DedListItem,0),0,1,1))*$AA186)-SUMIFS(OFFSET(Q$6,1,0,PayCount,1),PayDate,"&lt;"&amp;$AC186,PayEmp,$C186),IF(ISNA(MATCH(Q$2,EarnListItem,0))=FALSE,IF(OFFSET(Setup!$G$73,MATCH(Q$5,DedListItem,0),0,1,1)="Taxable",SUMPRODUCT((PayEmp=$C186)*(PayDate&lt;=$AC186)*(PayEarnCode=Q$2)*(PayEarnTax)*(PayEarnValues)),SUMPRODUCT((PayEmp=$C186)*(PayDate&lt;=$AC186)*(PayEarnCode=Q$2)*(PayEarnValues)))*IF(COUNTIFS(EmpNo,$C186,OFFSET(Emp!$R$4,1,MATCH(Q$5,DedListItem,0)-1,EmpCount,1),"&lt;&gt;")&gt;0,VLOOKUP($C186,EmpAll,COLUMN(Emp!$R$4)+MATCH(Q$5,DedListItem,0)-1,0),OFFSET(Setup!$E$73,MATCH(Q$5,DedListItem,0),0,1,1)),(MIN(IF(OFFSET(Setup!$G$73,MATCH(Q$5,DedListItem,0),0,1,1)="Taxable",SUMPRODUCT((PayEmp=$C186)*(PayDate&lt;=$AC186)*(ISERROR(SEARCH(PayEarnCode,Q$4)))*(PayEarnTax)*(PayEarnValues)),SUMPRODUCT((PayEmp=$C186)*(PayDate&lt;=$AC186)*(ISERROR(SEARCH(PayEarnCode,Q$4)))*(PayEarnValues))),IF(ISNUMBER(Q$3),Q$3/12*$AA186,IgnoreMin)))*IF(COUNTIFS(EmpNo,$C186,OFFSET(Emp!$R$4,1,MATCH(Q$5,DedListItem,0)-1,EmpCount,1),"&lt;&gt;")&gt;0,VLOOKUP($C186,EmpAll,COLUMN(Emp!$R$4)+MATCH(Q$5,DedListItem,0)-1,0),OFFSET(Setup!$E$73,MATCH(Q$5,DedListItem,0),0,1,1)))-SUMIFS(OFFSET(Q$6,1,0,PayCount,1),PayDate,"&lt;"&amp;$AC186,PayEmp,$C186))))))</f>
        <v>0</v>
      </c>
      <c r="R186" s="185">
        <f t="shared" ca="1" si="85"/>
        <v>105</v>
      </c>
      <c r="S186" s="139">
        <f t="shared" ca="1" si="86"/>
        <v>10395</v>
      </c>
      <c r="T186" s="133" cm="1">
        <f t="array" aca="1" ref="T186" ca="1">IF($F186="Terminated",0,IF($AA186=0,0,IF(ISNA(MATCH(T$5,CompListItem,0)),0,IF(COUNTIFS(OverEmp,$C186,OverComp,T$5,OverDate,"&lt;"&amp;DATE(YEAR($AC186),MONTH($AC186)+1,1),OverEnd,"&gt;="&amp;DATE(YEAR($AC186),MONTH($AC186),1))&gt;0,SUMIFS(OverValue,OverEmp,$C186,OverComp,T$5,OverDate,"&lt;"&amp;DATE(YEAR($AC186),MONTH($AC186)+1,1),OverEnd,"&gt;="&amp;DATE(YEAR($AC186),MONTH($AC186),1)),IF(OR(T$2="Fixed",T$2="Not Used"),(OFFSET(Setup!$E$81,MATCH(T$5,CompListItem,0),0,1,1)*$AA186)-SUMIFS(OFFSET(T$6,1,0,PayCount,1),PayDate,"&lt;"&amp;$AC186,PayEmp,$C186),IF(ISNA(MATCH(T$2,DedListItem,0))=FALSE,(SUMPRODUCT((PayEmp=$C186)*(PayDate&lt;=$AC186)*(PayDedList=T$2)*(PayDedValues))*OFFSET(Setup!$E$81,MATCH(T$5,CompListItem,0),0,1,1))-SUMIFS(OFFSET(T$6,1,0,PayCount,1),PayDate,"&lt;"&amp;$AC186,PayEmp,$C186),(MIN(IF(OFFSET(Setup!$G$81,MATCH(T$5,CompListItem,0),0,1,1)="Taxable",SUMPRODUCT((PayEmp=$C186)*(PayDate&lt;=$AC186)*(ISERROR(SEARCH(PayEarnCode,T$4)))*(PayEarnTax)*(PayEarnValues)),SUMPRODUCT((PayEmp=$C186)*(PayDate&lt;=$AC186)*(ISERROR(SEARCH(PayEarnCode,T$4)))*(PayEarnValues))),IF(ISNUMBER(T$3),T$3/12*$AA186,IgnoreMin)))*OFFSET(Setup!$E$81,MATCH(T$5,CompListItem,0),0,1,1)-SUMIFS(OFFSET(T$6,1,0,PayCount,1),PayDate,"&lt;"&amp;$AC186,PayEmp,$C186)))))))</f>
        <v>105</v>
      </c>
      <c r="U186" s="133" cm="1">
        <f t="array" aca="1" ref="U186" ca="1">IF($F186="Terminated",0,IF($AA186=0,0,IF(ISNA(MATCH(U$5,CompListItem,0)),0,IF(COUNTIFS(OverEmp,$C186,OverComp,U$5,OverDate,"&lt;"&amp;DATE(YEAR($AC186),MONTH($AC186)+1,1),OverEnd,"&gt;="&amp;DATE(YEAR($AC186),MONTH($AC186),1))&gt;0,SUMIFS(OverValue,OverEmp,$C186,OverComp,U$5,OverDate,"&lt;"&amp;DATE(YEAR($AC186),MONTH($AC186)+1,1),OverEnd,"&gt;="&amp;DATE(YEAR($AC186),MONTH($AC186),1)),IF(OR(U$2="Fixed",U$2="Not Used"),(OFFSET(Setup!$E$81,MATCH(U$5,CompListItem,0),0,1,1)*$AA186)-SUMIFS(OFFSET(U$6,1,0,PayCount,1),PayDate,"&lt;"&amp;$AC186,PayEmp,$C186),IF(ISNA(MATCH(U$2,DedListItem,0))=FALSE,(SUMPRODUCT((PayEmp=$C186)*(PayDate&lt;=$AC186)*(PayDedList=U$2)*(PayDedValues))*OFFSET(Setup!$E$81,MATCH(U$5,CompListItem,0),0,1,1))-SUMIFS(OFFSET(U$6,1,0,PayCount,1),PayDate,"&lt;"&amp;$AC186,PayEmp,$C186),(MIN(IF(OFFSET(Setup!$G$81,MATCH(U$5,CompListItem,0),0,1,1)="Taxable",SUMPRODUCT((PayEmp=$C186)*(PayDate&lt;=$AC186)*(ISERROR(SEARCH(PayEarnCode,U$4)))*(PayEarnTax)*(PayEarnValues)),SUMPRODUCT((PayEmp=$C186)*(PayDate&lt;=$AC186)*(ISERROR(SEARCH(PayEarnCode,U$4)))*(PayEarnValues))),IF(ISNUMBER(U$3),U$3/12*$AA186,IgnoreMin)))*OFFSET(Setup!$E$81,MATCH(U$5,CompListItem,0),0,1,1)-SUMIFS(OFFSET(U$6,1,0,PayCount,1),PayDate,"&lt;"&amp;$AC186,PayEmp,$C186)))))))</f>
        <v>105</v>
      </c>
      <c r="V186" s="133" cm="1">
        <f t="array" aca="1" ref="V186" ca="1">IF($F186="Terminated",0,IF($AA186=0,0,IF(ISNA(MATCH(V$5,CompListItem,0)),0,IF(COUNTIFS(OverEmp,$C186,OverComp,V$5,OverDate,"&lt;"&amp;DATE(YEAR($AC186),MONTH($AC186)+1,1),OverEnd,"&gt;="&amp;DATE(YEAR($AC186),MONTH($AC186),1))&gt;0,SUMIFS(OverValue,OverEmp,$C186,OverComp,V$5,OverDate,"&lt;"&amp;DATE(YEAR($AC186),MONTH($AC186)+1,1),OverEnd,"&gt;="&amp;DATE(YEAR($AC186),MONTH($AC186),1)),IF(OR(V$2="Fixed",V$2="Not Used"),(OFFSET(Setup!$E$81,MATCH(V$5,CompListItem,0),0,1,1)*$AA186)-SUMIFS(OFFSET(V$6,1,0,PayCount,1),PayDate,"&lt;"&amp;$AC186,PayEmp,$C186),IF(ISNA(MATCH(V$2,DedListItem,0))=FALSE,(SUMPRODUCT((PayEmp=$C186)*(PayDate&lt;=$AC186)*(PayDedList=V$2)*(PayDedValues))*OFFSET(Setup!$E$81,MATCH(V$5,CompListItem,0),0,1,1))-SUMIFS(OFFSET(V$6,1,0,PayCount,1),PayDate,"&lt;"&amp;$AC186,PayEmp,$C186),(MIN(IF(OFFSET(Setup!$G$81,MATCH(V$5,CompListItem,0),0,1,1)="Taxable",SUMPRODUCT((PayEmp=$C186)*(PayDate&lt;=$AC186)*(ISERROR(SEARCH(PayEarnCode,V$4)))*(PayEarnTax)*(PayEarnValues)),SUMPRODUCT((PayEmp=$C186)*(PayDate&lt;=$AC186)*(ISERROR(SEARCH(PayEarnCode,V$4)))*(PayEarnValues))),IF(ISNUMBER(V$3),V$3/12*$AA186,IgnoreMin)))*OFFSET(Setup!$E$81,MATCH(V$5,CompListItem,0),0,1,1)-SUMIFS(OFFSET(V$6,1,0,PayCount,1),PayDate,"&lt;"&amp;$AC186,PayEmp,$C186)))))))</f>
        <v>0</v>
      </c>
      <c r="W186" s="133" cm="1">
        <f t="array" aca="1" ref="W186" ca="1">IF($F186="Terminated",0,IF($AA186=0,0,IF(ISNA(MATCH(W$5,CompListItem,0)),0,IF(COUNTIFS(OverEmp,$C186,OverComp,W$5,OverDate,"&lt;"&amp;DATE(YEAR($AC186),MONTH($AC186)+1,1),OverEnd,"&gt;="&amp;DATE(YEAR($AC186),MONTH($AC186),1))&gt;0,SUMIFS(OverValue,OverEmp,$C186,OverComp,W$5,OverDate,"&lt;"&amp;DATE(YEAR($AC186),MONTH($AC186)+1,1),OverEnd,"&gt;="&amp;DATE(YEAR($AC186),MONTH($AC186),1)),IF(OR(W$2="Fixed",W$2="Not Used"),(OFFSET(Setup!$E$81,MATCH(W$5,CompListItem,0),0,1,1)*$AA186)-SUMIFS(OFFSET(W$6,1,0,PayCount,1),PayDate,"&lt;"&amp;$AC186,PayEmp,$C186),IF(ISNA(MATCH(W$2,DedListItem,0))=FALSE,(SUMPRODUCT((PayEmp=$C186)*(PayDate&lt;=$AC186)*(PayDedList=W$2)*(PayDedValues))*OFFSET(Setup!$E$81,MATCH(W$5,CompListItem,0),0,1,1))-SUMIFS(OFFSET(W$6,1,0,PayCount,1),PayDate,"&lt;"&amp;$AC186,PayEmp,$C186),(MIN(IF(OFFSET(Setup!$G$81,MATCH(W$5,CompListItem,0),0,1,1)="Taxable",SUMPRODUCT((PayEmp=$C186)*(PayDate&lt;=$AC186)*(ISERROR(SEARCH(PayEarnCode,W$4)))*(PayEarnTax)*(PayEarnValues)),SUMPRODUCT((PayEmp=$C186)*(PayDate&lt;=$AC186)*(ISERROR(SEARCH(PayEarnCode,W$4)))*(PayEarnValues))),IF(ISNUMBER(W$3),W$3/12*$AA186,IgnoreMin)))*OFFSET(Setup!$E$81,MATCH(W$5,CompListItem,0),0,1,1)-SUMIFS(OFFSET(W$6,1,0,PayCount,1),PayDate,"&lt;"&amp;$AC186,PayEmp,$C186)))))))</f>
        <v>0</v>
      </c>
      <c r="X186" s="185">
        <f t="shared" ca="1" si="78"/>
        <v>210</v>
      </c>
      <c r="Y186" s="139">
        <f t="shared" ca="1" si="87"/>
        <v>10710</v>
      </c>
      <c r="Z186" s="139">
        <f t="shared" ca="1" si="79"/>
        <v>315</v>
      </c>
      <c r="AA186" s="146">
        <f ca="1">IF(OR($B186&lt;=Setup!$E$12,$B186&gt;=Setup!$D$12+1),0,IF($F186&lt;&gt;"Active",0,IF($AE186="Yes",$AB186,((YEAR($AC186)*12)+MONTH($AC186))-((YEAR($AD186)*12)+MONTH($AD186)-1))))</f>
        <v>2</v>
      </c>
      <c r="AB186" s="146">
        <f ca="1">IF(OR($B186&lt;=Setup!$E$12,$B186&gt;=Setup!$D$12+1),0,((YEAR($AC186)*12)+MONTH($AC186))-((YEAR(Setup!$E$12)*12)+MONTH(Setup!$E$12)))</f>
        <v>12</v>
      </c>
      <c r="AC186" s="186">
        <f t="shared" ca="1" si="83"/>
        <v>45347</v>
      </c>
      <c r="AD186" s="144">
        <f ca="1">IF(ISNA(VLOOKUP($C186,EmpAll,COLUMN(Emp!$E$4),0)),$AC186,IF(VLOOKUP($C186,EmpAll,COLUMN(Emp!$E$4),0)&lt;=Setup!$E$12,DATE(YEAR(Setup!$E$12),MONTH(Setup!$E$12)+1,1),VLOOKUP($C186,EmpAll,COLUMN(Emp!$E$4),0)))</f>
        <v>45316</v>
      </c>
      <c r="AE186" s="144" t="str">
        <f ca="1">IF(ISNA(VLOOKUP($C186,EmpAll,COLUMN(Emp!$G$1),0)),"-",IF(VLOOKUP($C186,EmpAll,COLUMN(Emp!$G$1),0)=0,"-",VLOOKUP($C186,EmpAll,COLUMN(Emp!$G$1),0)))</f>
        <v>-</v>
      </c>
      <c r="AF186" s="145">
        <f ca="1">IF(A186=PaySlip!$G$3,1,0)</f>
        <v>0</v>
      </c>
      <c r="AG186" s="130" cm="1">
        <f t="array" aca="1" ref="AG186" ca="1">IF(COUNTIFS(OverEmp,$C186,OverMed,"MED",OverDate,"&lt;"&amp;DATE(YEAR($AC186),MONTH($AC186)+1,1),OverEnd,"&gt;="&amp;DATE(YEAR($AC186),MONTH($AC186),1))&gt;0,SUMIFS(OverValue,OverEmp,$C186,OverMed,"MED",OverDate,"&lt;"&amp;DATE(YEAR($AC186),MONTH($AC186)+1,1),OverEnd,"&gt;="&amp;DATE(YEAR($AC186),MONTH($AC186),1)),IF(ISNA(VLOOKUP($C186,EmpAll,COLUMN(Emp!$N$4),0)),0,VLOOKUP($C186,EmpAll,COLUMN(Emp!$N$4),0)))</f>
        <v>1</v>
      </c>
      <c r="AH186" s="146">
        <f ca="1">VLOOKUP($AG186,MedList,COLUMN(Setup!$C$49),1)</f>
        <v>364</v>
      </c>
      <c r="AI186" s="146">
        <f t="shared" ca="1" si="70"/>
        <v>8008</v>
      </c>
      <c r="AJ186" s="101" t="str">
        <f ca="1">IF(ISNA(VLOOKUP($C186,EmpAll,COLUMN(Emp!$L$4),0)),"None!",VLOOKUP($C186,EmpAll,COLUMN(Emp!$L$4),0))</f>
        <v>A</v>
      </c>
      <c r="AK186" s="147">
        <f t="shared" ca="1" si="80"/>
        <v>17235</v>
      </c>
      <c r="AL186" s="101" t="str">
        <f ca="1">IF(ISNA(VLOOKUP($C186,Employees[],COLUMN(Emp!$M$4),0))=TRUE,"Error!",IF(VLOOKUP($C186,Employees[],COLUMN(Emp!$M$4),0)=0,"Yes",VLOOKUP($C186,Employees[],COLUMN(Emp!$M$4),0)))</f>
        <v>A</v>
      </c>
      <c r="AM186" s="148">
        <f t="shared" ca="1" si="71"/>
        <v>126000</v>
      </c>
      <c r="AN186" s="148" cm="1">
        <f t="array" aca="1" ref="AN186" ca="1">-IF($F186="Terminated",0,IF($AA186=0,0,IF(ISNA(MATCH(AN$5,PayDedList,0)),0,MIN(IF(COUNTIFS(OverEmp,$C186,OverDeduct,AN$5,OverDate,"&lt;"&amp;DATE(YEAR($AC186),MONTH($AC186)+1,1),OverEnd,"&gt;="&amp;DATE(YEAR($AC186),MONTH($AC186),1))&gt;0,SUMPRODUCT((PayEmp=$C186)*(PayDate&lt;=$AC186)*(OFFSET($N$6,1,MATCH(AN$5,PayDedList,0)-1,PayCount,1)))/$AA186*12*AN$3,IF(OR(AN$1="Fixed",AN$1="Not Used"),SUMPRODUCT((PayEmp=$C186)*(PayDate&lt;=$AC186)*(OFFSET($N$6,1,MATCH(AN$5,PayDedList,0)-1,PayCount,1)))/$AA186*12*AN$3,IF(ISNA(MATCH(AN$1,EarnListItem,0))=FALSE,SUMPRODUCT((PayEmp=$C186)*(PayDate&lt;=$AC186)*(OFFSET($N$6,1,MATCH(AN$5,PayDedList,0)-1,PayCount,1)))/$AA186*12*AN$3,(MIN(((SUMPRODUCT((PayEmp=$C186)*(PayDate&lt;=$AC186)*(ISERROR(SEARCH(PayEarnCode,AN$2)))*(PayEarnType="Monthly")*(PayEarnValues))/$AA186*12)+(SUMPRODUCT((PayEmp=$C186)*(PayDate&lt;=$AC186)*(ISERROR(SEARCH(PayEarnCode,AN$2)))*(PayEarnType="Quarterly")*(PayEarnValues))/MAX(1,ROUNDDOWN($AB186/3,0))*4)+(SUMPRODUCT((PayEmp=$C186)*(PayDate&lt;=$AC186)*(ISERROR(SEARCH(PayEarnCode,AN$2)))*(PayEarnType="Bi-Annual")*(PayEarnValues))/MAX(1,ROUNDDOWN($AB186/6,0))*2)+(SUMPRODUCT((PayEmp=$C186)*(PayDate&lt;=$AC186)*(ISERROR(SEARCH(PayEarnCode,AN$2)))*(PayEarnType="Annual")*(PayEarnValues)))),IF(ISNUMBER(OFFSET($N$3,0,MATCH(AN$5,PayDedList,0)-1,1,1)),OFFSET($N$3,0,MATCH(AN$5,PayDedList,0)-1,1,1),IgnoreMin)))*IF(COUNTIFS(EmpNo,$C186,OFFSET(Emp!$R$4,1,MATCH(AN$5,DedListItem,0)-1,EmpCount,1),"&lt;&gt;")&gt;0,VLOOKUP($C186,EmpAll,COLUMN(Emp!$R$4)+MATCH(AN$5,DedListItem,0)-1,0),OFFSET(Setup!$E$73,MATCH(AN$5,DedListItem,0),0,1,1))*AN$3))),IF(ISNUMBER(AN$4),AN$4,IgnoreMin)))))</f>
        <v>0</v>
      </c>
      <c r="AO186" s="148" cm="1">
        <f t="array" aca="1" ref="AO186" ca="1">-IF($F186="Terminated",0,IF($AA186=0,0,IF(ISNA(MATCH(AO$5,PayDedList,0)),0,MIN(IF(COUNTIFS(OverEmp,$C186,OverDeduct,AO$5,OverDate,"&lt;"&amp;DATE(YEAR($AC186),MONTH($AC186)+1,1),OverEnd,"&gt;="&amp;DATE(YEAR($AC186),MONTH($AC186),1))&gt;0,SUMPRODUCT((PayEmp=$C186)*(PayDate&lt;=$AC186)*(OFFSET($N$6,1,MATCH(AO$5,PayDedList,0)-1,PayCount,1)))/$AA186*12*AO$3,IF(OR(AO$1="Fixed",AO$1="Not Used"),SUMPRODUCT((PayEmp=$C186)*(PayDate&lt;=$AC186)*(OFFSET($N$6,1,MATCH(AO$5,PayDedList,0)-1,PayCount,1)))/$AA186*12*AO$3,IF(ISNA(MATCH(AO$1,EarnListItem,0))=FALSE,SUMPRODUCT((PayEmp=$C186)*(PayDate&lt;=$AC186)*(OFFSET($N$6,1,MATCH(AO$5,PayDedList,0)-1,PayCount,1)))/$AA186*12*AO$3,(MIN(((SUMPRODUCT((PayEmp=$C186)*(PayDate&lt;=$AC186)*(ISERROR(SEARCH(PayEarnCode,AO$2)))*(PayEarnType="Monthly")*(PayEarnValues))/$AA186*12)+(SUMPRODUCT((PayEmp=$C186)*(PayDate&lt;=$AC186)*(ISERROR(SEARCH(PayEarnCode,AO$2)))*(PayEarnType="Quarterly")*(PayEarnValues))/MAX(1,ROUNDDOWN($AB186/3,0))*4)+(SUMPRODUCT((PayEmp=$C186)*(PayDate&lt;=$AC186)*(ISERROR(SEARCH(PayEarnCode,AO$2)))*(PayEarnType="Bi-Annual")*(PayEarnValues))/MAX(1,ROUNDDOWN($AB186/6,0))*2)+(SUMPRODUCT((PayEmp=$C186)*(PayDate&lt;=$AC186)*(ISERROR(SEARCH(PayEarnCode,AO$2)))*(PayEarnType="Annual")*(PayEarnValues)))),IF(ISNUMBER(OFFSET($N$3,0,MATCH(AO$5,PayDedList,0)-1,1,1)),OFFSET($N$3,0,MATCH(AO$5,PayDedList,0)-1,1,1),IgnoreMin)))*IF(COUNTIFS(EmpNo,$C186,OFFSET(Emp!$R$4,1,MATCH(AO$5,DedListItem,0)-1,EmpCount,1),"&lt;&gt;")&gt;0,VLOOKUP($C186,EmpAll,COLUMN(Emp!$R$4)+MATCH(AO$5,DedListItem,0)-1,0),OFFSET(Setup!$E$73,MATCH(AO$5,DedListItem,0),0,1,1))*AO$3))),IF(ISNUMBER(AO$4),AO$4,IgnoreMin)))))</f>
        <v>0</v>
      </c>
      <c r="AP186" s="148" cm="1">
        <f t="array" aca="1" ref="AP186" ca="1">-IF($F186="Terminated",0,IF($AA186=0,0,IF(ISNA(MATCH(AP$5,PayDedList,0)),0,MIN(IF(COUNTIFS(OverEmp,$C186,OverDeduct,AP$5,OverDate,"&lt;"&amp;DATE(YEAR($AC186),MONTH($AC186)+1,1),OverEnd,"&gt;="&amp;DATE(YEAR($AC186),MONTH($AC186),1))&gt;0,SUMPRODUCT((PayEmp=$C186)*(PayDate&lt;=$AC186)*(OFFSET($N$6,1,MATCH(AP$5,PayDedList,0)-1,PayCount,1)))/$AA186*12*AP$3,IF(OR(AP$1="Fixed",AP$1="Not Used"),SUMPRODUCT((PayEmp=$C186)*(PayDate&lt;=$AC186)*(OFFSET($N$6,1,MATCH(AP$5,PayDedList,0)-1,PayCount,1)))/$AA186*12*AP$3,IF(ISNA(MATCH(AP$1,EarnListItem,0))=FALSE,SUMPRODUCT((PayEmp=$C186)*(PayDate&lt;=$AC186)*(OFFSET($N$6,1,MATCH(AP$5,PayDedList,0)-1,PayCount,1)))/$AA186*12*AP$3,(MIN(((SUMPRODUCT((PayEmp=$C186)*(PayDate&lt;=$AC186)*(ISERROR(SEARCH(PayEarnCode,AP$2)))*(PayEarnType="Monthly")*(PayEarnValues))/$AA186*12)+(SUMPRODUCT((PayEmp=$C186)*(PayDate&lt;=$AC186)*(ISERROR(SEARCH(PayEarnCode,AP$2)))*(PayEarnType="Quarterly")*(PayEarnValues))/MAX(1,ROUNDDOWN($AB186/3,0))*4)+(SUMPRODUCT((PayEmp=$C186)*(PayDate&lt;=$AC186)*(ISERROR(SEARCH(PayEarnCode,AP$2)))*(PayEarnType="Bi-Annual")*(PayEarnValues))/MAX(1,ROUNDDOWN($AB186/6,0))*2)+(SUMPRODUCT((PayEmp=$C186)*(PayDate&lt;=$AC186)*(ISERROR(SEARCH(PayEarnCode,AP$2)))*(PayEarnType="Annual")*(PayEarnValues)))),IF(ISNUMBER(OFFSET($N$3,0,MATCH(AP$5,PayDedList,0)-1,1,1)),OFFSET($N$3,0,MATCH(AP$5,PayDedList,0)-1,1,1),IgnoreMin)))*IF(COUNTIFS(EmpNo,$C186,OFFSET(Emp!$R$4,1,MATCH(AP$5,DedListItem,0)-1,EmpCount,1),"&lt;&gt;")&gt;0,VLOOKUP($C186,EmpAll,COLUMN(Emp!$R$4)+MATCH(AP$5,DedListItem,0)-1,0),OFFSET(Setup!$E$73,MATCH(AP$5,DedListItem,0),0,1,1))*AP$3))),IF(ISNUMBER(AP$4),AP$4,IgnoreMin)))))</f>
        <v>0</v>
      </c>
      <c r="AQ186" s="148" cm="1">
        <f t="array" aca="1" ref="AQ186" ca="1">-IF($F186="Terminated",0,IF($AA186=0,0,IF(ISNA(MATCH(AQ$5,PayDedList,0)),0,MIN(IF(COUNTIFS(OverEmp,$C186,OverDeduct,AQ$5,OverDate,"&lt;"&amp;DATE(YEAR($AC186),MONTH($AC186)+1,1),OverEnd,"&gt;="&amp;DATE(YEAR($AC186),MONTH($AC186),1))&gt;0,SUMPRODUCT((PayEmp=$C186)*(PayDate&lt;=$AC186)*(OFFSET($N$6,1,MATCH(AQ$5,PayDedList,0)-1,PayCount,1)))/$AA186*12*AQ$3,IF(OR(AQ$1="Fixed",AQ$1="Not Used"),SUMPRODUCT((PayEmp=$C186)*(PayDate&lt;=$AC186)*(OFFSET($N$6,1,MATCH(AQ$5,PayDedList,0)-1,PayCount,1)))/$AA186*12*AQ$3,IF(ISNA(MATCH(AQ$1,EarnListItem,0))=FALSE,SUMPRODUCT((PayEmp=$C186)*(PayDate&lt;=$AC186)*(OFFSET($N$6,1,MATCH(AQ$5,PayDedList,0)-1,PayCount,1)))/$AA186*12*AQ$3,(MIN(((SUMPRODUCT((PayEmp=$C186)*(PayDate&lt;=$AC186)*(ISERROR(SEARCH(PayEarnCode,AQ$2)))*(PayEarnType="Monthly")*(PayEarnValues))/$AA186*12)+(SUMPRODUCT((PayEmp=$C186)*(PayDate&lt;=$AC186)*(ISERROR(SEARCH(PayEarnCode,AQ$2)))*(PayEarnType="Quarterly")*(PayEarnValues))/MAX(1,ROUNDDOWN($AB186/3,0))*4)+(SUMPRODUCT((PayEmp=$C186)*(PayDate&lt;=$AC186)*(ISERROR(SEARCH(PayEarnCode,AQ$2)))*(PayEarnType="Bi-Annual")*(PayEarnValues))/MAX(1,ROUNDDOWN($AB186/6,0))*2)+(SUMPRODUCT((PayEmp=$C186)*(PayDate&lt;=$AC186)*(ISERROR(SEARCH(PayEarnCode,AQ$2)))*(PayEarnType="Annual")*(PayEarnValues)))),IF(ISNUMBER(OFFSET($N$3,0,MATCH(AQ$5,PayDedList,0)-1,1,1)),OFFSET($N$3,0,MATCH(AQ$5,PayDedList,0)-1,1,1),IgnoreMin)))*IF(COUNTIFS(EmpNo,$C186,OFFSET(Emp!$R$4,1,MATCH(AQ$5,DedListItem,0)-1,EmpCount,1),"&lt;&gt;")&gt;0,VLOOKUP($C186,EmpAll,COLUMN(Emp!$R$4)+MATCH(AQ$5,DedListItem,0)-1,0),OFFSET(Setup!$E$73,MATCH(AQ$5,DedListItem,0),0,1,1))*AQ$3))),IF(ISNUMBER(AQ$4),AQ$4,IgnoreMin)))))</f>
        <v>0</v>
      </c>
      <c r="AR186" s="148">
        <f t="shared" ca="1" si="81"/>
        <v>126000</v>
      </c>
      <c r="AS186" s="148">
        <f t="shared" ca="1" si="72"/>
        <v>126000</v>
      </c>
      <c r="AT186" s="148" cm="1">
        <f t="array" aca="1" ref="AT186" ca="1">-IF($F186="Terminated",0,IF($AA186=0,0,IF(ISNA(MATCH(AT$5,PayDedList,0)),0,MIN(IF(COUNTIFS(OverEmp,$C186,OverDeduct,AT$5,OverDate,"&lt;"&amp;DATE(YEAR($AC186),MONTH($AC186)+1,1),OverEnd,"&gt;="&amp;DATE(YEAR($AC186),MONTH($AC186),1))&gt;0,SUMPRODUCT((PayEmp=$C186)*(PayDate&lt;=$AC186)*(OFFSET($N$6,1,MATCH(AT$5,PayDedList,0)-1,PayCount,1)))/$AA186*12*AT$3,IF(OR(AT$1="Fixed",AT$1="Not Used"),SUMPRODUCT((PayEmp=$C186)*(PayDate&lt;=$AC186)*(OFFSET($N$6,1,MATCH(AT$5,PayDedList,0)-1,PayCount,1)))/$AA186*12*AT$3,IF(ISNA(MATCH(OFFSET($N$2,0,MATCH(AT$5,PayDedList,0)-1,1,1),EarnListItem,0))=FALSE,SUMPRODUCT((PayEmp=$C186)*(PayDate&lt;=$AC186)*(OFFSET($N$6,1,MATCH(AT$5,PayDedList,0)-1,PayCount,1)))/$AA186*12*AT$3,(MIN(SUMPRODUCT((PayEmp=$C186)*(PayDate&lt;=$AC186)*(ISERROR(SEARCH(PayEarnCode,AT$2)))*(PayEarnType="Monthly")*(PayEarnValues))/$AA186*12,IF(ISNUMBER(OFFSET($N$3,0,MATCH(AT$5,PayDedList,0)-1,1,1)),OFFSET($N$3,0,MATCH(AT$5,PayDedList,0)-1,1,1),IgnoreMin)))*IF(COUNTIFS(EmpNo,$C186,OFFSET(Emp!$R$4,1,MATCH(AT$5,DedListItem,0)-1,EmpCount,1),"&lt;&gt;")&gt;0,VLOOKUP($C186,EmpAll,COLUMN(Emp!$R$4)+MATCH(AT$5,DedListItem,0)-1,0),OFFSET(Setup!$E$73,MATCH(AT$5,DedListItem,0),0,1,1))*AT$3))),IF(ISNUMBER(AT$4),AT$4,IgnoreMin)))))</f>
        <v>0</v>
      </c>
      <c r="AU186" s="148" cm="1">
        <f t="array" aca="1" ref="AU186" ca="1">-IF($F186="Terminated",0,IF($AA186=0,0,IF(ISNA(MATCH(AU$5,PayDedList,0)),0,MIN(IF(COUNTIFS(OverEmp,$C186,OverDeduct,AU$5,OverDate,"&lt;"&amp;DATE(YEAR($AC186),MONTH($AC186)+1,1),OverEnd,"&gt;="&amp;DATE(YEAR($AC186),MONTH($AC186),1))&gt;0,SUMPRODUCT((PayEmp=$C186)*(PayDate&lt;=$AC186)*(OFFSET($N$6,1,MATCH(AU$5,PayDedList,0)-1,PayCount,1)))/$AA186*12*AU$3,IF(OR(AU$1="Fixed",AU$1="Not Used"),SUMPRODUCT((PayEmp=$C186)*(PayDate&lt;=$AC186)*(OFFSET($N$6,1,MATCH(AU$5,PayDedList,0)-1,PayCount,1)))/$AA186*12*AU$3,IF(ISNA(MATCH(OFFSET($N$2,0,MATCH(AU$5,PayDedList,0)-1,1,1),EarnListItem,0))=FALSE,SUMPRODUCT((PayEmp=$C186)*(PayDate&lt;=$AC186)*(OFFSET($N$6,1,MATCH(AU$5,PayDedList,0)-1,PayCount,1)))/$AA186*12*AU$3,(MIN(SUMPRODUCT((PayEmp=$C186)*(PayDate&lt;=$AC186)*(ISERROR(SEARCH(PayEarnCode,AU$2)))*(PayEarnType="Monthly")*(PayEarnValues))/$AA186*12,IF(ISNUMBER(OFFSET($N$3,0,MATCH(AU$5,PayDedList,0)-1,1,1)),OFFSET($N$3,0,MATCH(AU$5,PayDedList,0)-1,1,1),IgnoreMin)))*IF(COUNTIFS(EmpNo,$C186,OFFSET(Emp!$R$4,1,MATCH(AU$5,DedListItem,0)-1,EmpCount,1),"&lt;&gt;")&gt;0,VLOOKUP($C186,EmpAll,COLUMN(Emp!$R$4)+MATCH(AU$5,DedListItem,0)-1,0),OFFSET(Setup!$E$73,MATCH(AU$5,DedListItem,0),0,1,1))*AU$3))),IF(ISNUMBER(AU$4),AU$4,IgnoreMin)))))</f>
        <v>0</v>
      </c>
      <c r="AV186" s="148" cm="1">
        <f t="array" aca="1" ref="AV186" ca="1">-IF($F186="Terminated",0,IF($AA186=0,0,IF(ISNA(MATCH(AV$5,PayDedList,0)),0,MIN(IF(COUNTIFS(OverEmp,$C186,OverDeduct,AV$5,OverDate,"&lt;"&amp;DATE(YEAR($AC186),MONTH($AC186)+1,1),OverEnd,"&gt;="&amp;DATE(YEAR($AC186),MONTH($AC186),1))&gt;0,SUMPRODUCT((PayEmp=$C186)*(PayDate&lt;=$AC186)*(OFFSET($N$6,1,MATCH(AV$5,PayDedList,0)-1,PayCount,1)))/$AA186*12*AV$3,IF(OR(AV$1="Fixed",AV$1="Not Used"),SUMPRODUCT((PayEmp=$C186)*(PayDate&lt;=$AC186)*(OFFSET($N$6,1,MATCH(AV$5,PayDedList,0)-1,PayCount,1)))/$AA186*12*AV$3,IF(ISNA(MATCH(OFFSET($N$2,0,MATCH(AV$5,PayDedList,0)-1,1,1),EarnListItem,0))=FALSE,SUMPRODUCT((PayEmp=$C186)*(PayDate&lt;=$AC186)*(OFFSET($N$6,1,MATCH(AV$5,PayDedList,0)-1,PayCount,1)))/$AA186*12*AV$3,(MIN(SUMPRODUCT((PayEmp=$C186)*(PayDate&lt;=$AC186)*(ISERROR(SEARCH(PayEarnCode,AV$2)))*(PayEarnType="Monthly")*(PayEarnValues))/$AA186*12,IF(ISNUMBER(OFFSET($N$3,0,MATCH(AV$5,PayDedList,0)-1,1,1)),OFFSET($N$3,0,MATCH(AV$5,PayDedList,0)-1,1,1),IgnoreMin)))*IF(COUNTIFS(EmpNo,$C186,OFFSET(Emp!$R$4,1,MATCH(AV$5,DedListItem,0)-1,EmpCount,1),"&lt;&gt;")&gt;0,VLOOKUP($C186,EmpAll,COLUMN(Emp!$R$4)+MATCH(AV$5,DedListItem,0)-1,0),OFFSET(Setup!$E$73,MATCH(AV$5,DedListItem,0),0,1,1))*AV$3))),IF(ISNUMBER(AV$4),AV$4,IgnoreMin)))))</f>
        <v>0</v>
      </c>
      <c r="AW186" s="148" cm="1">
        <f t="array" aca="1" ref="AW186" ca="1">-IF($F186="Terminated",0,IF($AA186=0,0,IF(ISNA(MATCH(AW$5,PayDedList,0)),0,MIN(IF(COUNTIFS(OverEmp,$C186,OverDeduct,AW$5,OverDate,"&lt;"&amp;DATE(YEAR($AC186),MONTH($AC186)+1,1),OverEnd,"&gt;="&amp;DATE(YEAR($AC186),MONTH($AC186),1))&gt;0,SUMPRODUCT((PayEmp=$C186)*(PayDate&lt;=$AC186)*(OFFSET($N$6,1,MATCH(AW$5,PayDedList,0)-1,PayCount,1)))/$AA186*12*AW$3,IF(OR(AW$1="Fixed",AW$1="Not Used"),SUMPRODUCT((PayEmp=$C186)*(PayDate&lt;=$AC186)*(OFFSET($N$6,1,MATCH(AW$5,PayDedList,0)-1,PayCount,1)))/$AA186*12*AW$3,IF(ISNA(MATCH(OFFSET($N$2,0,MATCH(AW$5,PayDedList,0)-1,1,1),EarnListItem,0))=FALSE,SUMPRODUCT((PayEmp=$C186)*(PayDate&lt;=$AC186)*(OFFSET($N$6,1,MATCH(AW$5,PayDedList,0)-1,PayCount,1)))/$AA186*12*AW$3,(MIN(SUMPRODUCT((PayEmp=$C186)*(PayDate&lt;=$AC186)*(ISERROR(SEARCH(PayEarnCode,AW$2)))*(PayEarnType="Monthly")*(PayEarnValues))/$AA186*12,IF(ISNUMBER(OFFSET($N$3,0,MATCH(AW$5,PayDedList,0)-1,1,1)),OFFSET($N$3,0,MATCH(AW$5,PayDedList,0)-1,1,1),IgnoreMin)))*IF(COUNTIFS(EmpNo,$C186,OFFSET(Emp!$R$4,1,MATCH(AW$5,DedListItem,0)-1,EmpCount,1),"&lt;&gt;")&gt;0,VLOOKUP($C186,EmpAll,COLUMN(Emp!$R$4)+MATCH(AW$5,DedListItem,0)-1,0),OFFSET(Setup!$E$73,MATCH(AW$5,DedListItem,0),0,1,1))*AW$3))),IF(ISNUMBER(AW$4),AW$4,IgnoreMin)))))</f>
        <v>0</v>
      </c>
      <c r="AX186" s="148">
        <f t="shared" ca="1" si="88"/>
        <v>126000</v>
      </c>
      <c r="AY186" s="148">
        <f t="shared" ca="1" si="89"/>
        <v>0</v>
      </c>
      <c r="AZ186" s="148">
        <f ca="1">IF(ISNUMBER($AL186),($AR186*$AL186)-$AI186-$AK186,MAX(0,IF($AL186="B",IF($AR186&lt;Setup!$C$32,($AR186*Setup!$D$32)-$AI186-$AK186,(($AR186-VLOOKUP($AR186,TaxAll2,1,1))*OFFSET(Setup!$D$32,MATCH($AR186,TaxBracket2,1),0,1,1))+OFFSET(Setup!$E$31,MATCH($AR186,TaxBracket2,1),0,1,1)-$AI186-$AK186),IF($AR186&lt;Setup!$C$21,($AR186*Setup!$D$21)-$AI186-$AK186,(($AR186-VLOOKUP($AR186,TaxAll1,1,1))*OFFSET(Setup!$D$21,MATCH($AR186,TaxBracket1,1),0,1,1))+OFFSET(Setup!$E$20,MATCH($AR186,TaxBracket1,1),0,1,1)-$AI186-$AK186))))</f>
        <v>0</v>
      </c>
      <c r="BA186" s="148">
        <f ca="1">IF(ISNUMBER($AL186),($AX186*$AL186)-$AI186-$AK186,MAX(0,IF($AL186="B",IF($AX186&lt;Setup!$C$32,($AX186*Setup!$D$32)-$AI186-$AK186,(($AX186-VLOOKUP($AX186,TaxAll2,1,1))*OFFSET(Setup!$D$32,MATCH($AX186,TaxBracket2,1),0,1,1))+OFFSET(Setup!$E$31,MATCH($AX186,TaxBracket2,1),0,1,1)-$AI186-$AK186),IF($AX186&lt;Setup!$C$21,($AX186*Setup!$D$21)-$AI186-$AK186,(($AX186-VLOOKUP($AX186,TaxAll1,1,1))*OFFSET(Setup!$D$21,MATCH($AX186,TaxBracket1,1),0,1,1))+OFFSET(Setup!$E$20,MATCH($AX186,TaxBracket1,1),0,1,1)-$AI186-$AK186))))</f>
        <v>0</v>
      </c>
      <c r="BB186" s="148">
        <f t="shared" ca="1" si="82"/>
        <v>0</v>
      </c>
      <c r="BC186" s="150">
        <f t="shared" ca="1" si="75"/>
        <v>1</v>
      </c>
      <c r="BD186" s="150">
        <f t="shared" ca="1" si="76"/>
        <v>0</v>
      </c>
      <c r="BE186" s="148">
        <f t="shared" ca="1" si="77"/>
        <v>126000</v>
      </c>
    </row>
    <row r="187" spans="1:57" ht="16.149999999999999" customHeight="1" x14ac:dyDescent="0.25">
      <c r="A187" s="10" t="str" cm="1">
        <f t="array" ref="A187">IF(ROW($A187)-ROW($A$6)&gt;EmpCount*12,"-",TEXT($B187,"yyyy")&amp;TEXT($B187,"mm")&amp;"-"&amp;$C187)</f>
        <v>-</v>
      </c>
      <c r="B187" s="137" cm="1">
        <f t="array" aca="1" ref="B187" ca="1">IF(ROW($A187)-ROW($A$6)&gt;EmpCount*12,Setup!$D$12,DATE(YEAR(Setup!$F$12),MONTH(Setup!$F$12)+ROUNDDOWN((ROW($A187)-ROW($A$6)-1)/EmpCount,0),IF(Setup!$C$14&gt;DAY(DATE(YEAR(Setup!$F$12),MONTH(Setup!$F$12)+ROUNDDOWN((ROW($A187)-ROW($A$6)-1)/EmpCount,0)+1,0)),DAY(DATE(YEAR(Setup!$F$12),MONTH(Setup!$F$12)+ROUNDDOWN((ROW($A187)-ROW($A$6)-1)/EmpCount,0)+1,0)),Setup!$C$14)))</f>
        <v>45351</v>
      </c>
      <c r="C187" s="101" t="str" cm="1">
        <f t="array" aca="1" ref="C187" ca="1">IF(ROW($A187)-ROW($A$6)&gt;EmpCount*12,"-",OFFSET(Emp!$A$4,ROW($A187)-ROW($A$6)-IF(ROW($A187)-ROW($A$6)&gt;EmpCount,ROUNDDOWN((ROW($A187)-ROW($A$6)-1)/EmpCount,0)*EmpCount,0),0,1,1))</f>
        <v>-</v>
      </c>
      <c r="D187" s="10" t="str">
        <f ca="1">IF(ISNA(VLOOKUP($C187,EmpAll,COLUMN(Emp!$B$4),0)),"-",VLOOKUP($C187,EmpAll,COLUMN(Emp!$B$4),0))</f>
        <v>-</v>
      </c>
      <c r="E187" s="145" t="str">
        <f ca="1">IF(ISNA(VLOOKUP($C187,EmpAll,COLUMN(Emp!$C$4),0)),"-",VLOOKUP($C187,EmpAll,COLUMN(Emp!$C$4),0))</f>
        <v>-</v>
      </c>
      <c r="F187" s="101" t="str">
        <f ca="1">IF(ISNA(VLOOKUP($C187,EmpAll,COLUMN(Emp!$A$4),0)),"-",IF(AND(VLOOKUP($C187,EmpAll,COLUMN(Emp!$E$4),0)&lt;&gt;0,VLOOKUP($C187,EmpAll,COLUMN(Emp!$E$4),0)&gt;=DATE(YEAR($AC187),MONTH($AC187)+1,0)),"Inactive",IF(AND(VLOOKUP($C187,EmpAll,COLUMN(Emp!$F$4),0)&lt;&gt;0,VLOOKUP($C187,EmpAll,COLUMN(Emp!$F$4),0)&lt;=DATE(YEAR($AC187),MONTH($AC187),0)),"Terminated","Active")))</f>
        <v>-</v>
      </c>
      <c r="G187" s="133" cm="1">
        <f t="array" aca="1" ref="G187" ca="1">IF($F187&lt;&gt;"Active",0,IF(COUNTIFS(OverEmp,$C187,OverEarn,G$2,OverDate,"&lt;"&amp;DATE(YEAR($AC187),MONTH($AC187)+1,1),OverEnd,"&gt;="&amp;DATE(YEAR($AC187),MONTH($AC187),1))&gt;0,SUMIFS(OverValue,OverEmp,$C187,OverEarn,G$2,OverDate,"&lt;"&amp;DATE(YEAR($AC187),MONTH($AC187)+1,1),OverEnd,"&gt;="&amp;DATE(YEAR($AC187),MONTH($AC187),1)),IF(AND($AC187&gt;=Setup!$E$10,SUMIFS(EmpIncrease,EmpCode,$C187)&gt;0),SUMIFS(EmpIncrease,EmpCode,$C187),SUMIFS(EmpSalary,EmpCode,$C187))))</f>
        <v>0</v>
      </c>
      <c r="H187" s="133" cm="1">
        <f t="array" aca="1" ref="H187" ca="1">IF($F187&lt;&gt;"Active",0,IF(COUNTIFS(OverEmp,$C187,OverEarn,H$2,OverDate,"&lt;"&amp;DATE(YEAR($AC187),MONTH($AC187)+1,1),OverEnd,"&gt;="&amp;DATE(YEAR($AC187),MONTH($AC187),1))&gt;0,SUMIFS(OverValue,OverEmp,$C187,OverEarn,H$2,OverDate,"&lt;"&amp;DATE(YEAR($AC187),MONTH($AC187)+1,1),OverEnd,"&gt;="&amp;DATE(YEAR($AC187),MONTH($AC187),1)),0))</f>
        <v>0</v>
      </c>
      <c r="I187" s="133" cm="1">
        <f t="array" aca="1" ref="I187" ca="1">IF($F187&lt;&gt;"Active",0,IF(COUNTIFS(OverEmp,$C187,OverEarn,I$2,OverDate,"&lt;"&amp;DATE(YEAR($AC187),MONTH($AC187)+1,1),OverEnd,"&gt;="&amp;DATE(YEAR($AC187),MONTH($AC187),1))&gt;0,SUMIFS(OverValue,OverEmp,$C187,OverEarn,I$2,OverDate,"&lt;"&amp;DATE(YEAR($AC187),MONTH($AC187)+1,1),OverEnd,"&gt;="&amp;DATE(YEAR($AC187),MONTH($AC187),1)),IF(MONTH(B187)=Setup!$C$15,SUMIFS(EmpBonus,EmpCode,$C187),0)))</f>
        <v>0</v>
      </c>
      <c r="J187" s="133" cm="1">
        <f t="array" aca="1" ref="J187" ca="1">IF($F187&lt;&gt;"Active",0,IF(COUNTIFS(OverEmp,$C187,OverEarn,J$2,OverDate,"&lt;"&amp;DATE(YEAR($AC187),MONTH($AC187)+1,1),OverEnd,"&gt;="&amp;DATE(YEAR($AC187),MONTH($AC187),1))&gt;0,SUMIFS(OverValue,OverEmp,$C187,OverEarn,J$2,OverDate,"&lt;"&amp;DATE(YEAR($AC187),MONTH($AC187)+1,1),OverEnd,"&gt;="&amp;DATE(YEAR($AC187),MONTH($AC187),1)),0))</f>
        <v>0</v>
      </c>
      <c r="K187" s="133" cm="1">
        <f t="array" aca="1" ref="K187" ca="1">IF($F187&lt;&gt;"Active",0,IF(COUNTIFS(OverEmp,$C187,OverEarn,K$2,OverDate,"&lt;"&amp;DATE(YEAR($AC187),MONTH($AC187)+1,1),OverEnd,"&gt;="&amp;DATE(YEAR($AC187),MONTH($AC187),1))&gt;0,SUMIFS(OverValue,OverEmp,$C187,OverEarn,K$2,OverDate,"&lt;"&amp;DATE(YEAR($AC187),MONTH($AC187)+1,1),OverEnd,"&gt;="&amp;DATE(YEAR($AC187),MONTH($AC187),1)),0))</f>
        <v>0</v>
      </c>
      <c r="L187" s="185">
        <f t="shared" ca="1" si="84"/>
        <v>0</v>
      </c>
      <c r="M187" s="182" cm="1">
        <f t="array" aca="1" ref="M187" ca="1">IF(COUNTIFS(OverEmp,$C187,OverTax,M$5,OverDate,"&lt;"&amp;DATE(YEAR($AC187),MONTH($AC187)+1,1),OverEnd,"&gt;="&amp;DATE(YEAR($AC187),MONTH($AC187),1))&gt;0,SUMIFS(OverValue,OverEmp,$C187,OverTax,M$5,OverDate,"&lt;"&amp;DATE(YEAR($AC187),MONTH($AC187)+1,1),OverEnd,"&gt;="&amp;DATE(YEAR($AC187),MONTH($AC187),1)),(($BA187/12*$AA187)+(BB187*IF(1-$BC187=0,0,BD187/(1-$BC187))))-IF($F187="Terminated",0,SUMIFS(PayTaxDeduct,PayDate,"&lt;"&amp;$AC187,PayEmp,$C187)))</f>
        <v>0</v>
      </c>
      <c r="N187" s="133" cm="1">
        <f t="array" aca="1" ref="N187" ca="1">IF($F187="Terminated",0,IF($AA187=0,0,IF(ISNA(MATCH(N$5,DedListItem,0)),0,IF(COUNTIFS(OverEmp,$C187,OverDeduct,N$5,OverDate,"&lt;"&amp;DATE(YEAR($AC187),MONTH($AC187)+1,1),OverEnd,"&gt;="&amp;DATE(YEAR($AC187),MONTH($AC187),1))&gt;0,SUMIFS(OverValue,OverEmp,$C187,OverDeduct,N$5,OverDate,"&lt;"&amp;DATE(YEAR($AC187),MONTH($AC187)+1,1),OverEnd,"&gt;="&amp;DATE(YEAR($AC187),MONTH($AC187),1)),IF(OR(N$2="Fixed",N$2="Not Used"),(IF(COUNTIFS(EmpNo,$C187,OFFSET(Emp!$R$4,1,MATCH(N$5,DedListItem,0)-1,EmpCount,1),"&lt;&gt;")&gt;0,VLOOKUP($C187,EmpAll,COLUMN(Emp!$R$4)+MATCH(N$5,DedListItem,0)-1,0),OFFSET(Setup!$E$73,MATCH(N$5,DedListItem,0),0,1,1))*$AA187)-SUMIFS(OFFSET(N$6,1,0,PayCount,1),PayDate,"&lt;"&amp;$AC187,PayEmp,$C187),IF(ISNA(MATCH(N$2,EarnListItem,0))=FALSE,IF(OFFSET(Setup!$G$73,MATCH(N$5,DedListItem,0),0,1,1)="Taxable",SUMPRODUCT((PayEmp=$C187)*(PayDate&lt;=$AC187)*(PayEarnCode=N$2)*(PayEarnTax)*(PayEarnValues)),SUMPRODUCT((PayEmp=$C187)*(PayDate&lt;=$AC187)*(PayEarnCode=N$2)*(PayEarnValues)))*IF(COUNTIFS(EmpNo,$C187,OFFSET(Emp!$R$4,1,MATCH(N$5,DedListItem,0)-1,EmpCount,1),"&lt;&gt;")&gt;0,VLOOKUP($C187,EmpAll,COLUMN(Emp!$R$4)+MATCH(N$5,DedListItem,0)-1,0),OFFSET(Setup!$E$73,MATCH(N$5,DedListItem,0),0,1,1)),(MIN(IF(OFFSET(Setup!$G$73,MATCH(N$5,DedListItem,0),0,1,1)="Taxable",SUMPRODUCT((PayEmp=$C187)*(PayDate&lt;=$AC187)*(ISERROR(SEARCH(PayEarnCode,N$4)))*(PayEarnTax)*(PayEarnValues)),SUMPRODUCT((PayEmp=$C187)*(PayDate&lt;=$AC187)*(ISERROR(SEARCH(PayEarnCode,N$4)))*(PayEarnValues))),IF(ISNUMBER(N$3),N$3/12*$AA187,IgnoreMin)))*IF(COUNTIFS(EmpNo,$C187,OFFSET(Emp!$R$4,1,MATCH(N$5,DedListItem,0)-1,EmpCount,1),"&lt;&gt;")&gt;0,VLOOKUP($C187,EmpAll,COLUMN(Emp!$R$4)+MATCH(N$5,DedListItem,0)-1,0),OFFSET(Setup!$E$73,MATCH(N$5,DedListItem,0),0,1,1)))-SUMIFS(OFFSET(N$6,1,0,PayCount,1),PayDate,"&lt;"&amp;$AC187,PayEmp,$C187))))))</f>
        <v>0</v>
      </c>
      <c r="O187" s="133" cm="1">
        <f t="array" aca="1" ref="O187" ca="1">IF($F187="Terminated",0,IF($AA187=0,0,IF(ISNA(MATCH(O$5,DedListItem,0)),0,IF(COUNTIFS(OverEmp,$C187,OverDeduct,O$5,OverDate,"&lt;"&amp;DATE(YEAR($AC187),MONTH($AC187)+1,1),OverEnd,"&gt;="&amp;DATE(YEAR($AC187),MONTH($AC187),1))&gt;0,SUMIFS(OverValue,OverEmp,$C187,OverDeduct,O$5,OverDate,"&lt;"&amp;DATE(YEAR($AC187),MONTH($AC187)+1,1),OverEnd,"&gt;="&amp;DATE(YEAR($AC187),MONTH($AC187),1)),IF(OR(O$2="Fixed",O$2="Not Used"),(IF(COUNTIFS(EmpNo,$C187,OFFSET(Emp!$R$4,1,MATCH(O$5,DedListItem,0)-1,EmpCount,1),"&lt;&gt;")&gt;0,VLOOKUP($C187,EmpAll,COLUMN(Emp!$R$4)+MATCH(O$5,DedListItem,0)-1,0),OFFSET(Setup!$E$73,MATCH(O$5,DedListItem,0),0,1,1))*$AA187)-SUMIFS(OFFSET(O$6,1,0,PayCount,1),PayDate,"&lt;"&amp;$AC187,PayEmp,$C187),IF(ISNA(MATCH(O$2,EarnListItem,0))=FALSE,IF(OFFSET(Setup!$G$73,MATCH(O$5,DedListItem,0),0,1,1)="Taxable",SUMPRODUCT((PayEmp=$C187)*(PayDate&lt;=$AC187)*(PayEarnCode=O$2)*(PayEarnTax)*(PayEarnValues)),SUMPRODUCT((PayEmp=$C187)*(PayDate&lt;=$AC187)*(PayEarnCode=O$2)*(PayEarnValues)))*IF(COUNTIFS(EmpNo,$C187,OFFSET(Emp!$R$4,1,MATCH(O$5,DedListItem,0)-1,EmpCount,1),"&lt;&gt;")&gt;0,VLOOKUP($C187,EmpAll,COLUMN(Emp!$R$4)+MATCH(O$5,DedListItem,0)-1,0),OFFSET(Setup!$E$73,MATCH(O$5,DedListItem,0),0,1,1)),(MIN(IF(OFFSET(Setup!$G$73,MATCH(O$5,DedListItem,0),0,1,1)="Taxable",SUMPRODUCT((PayEmp=$C187)*(PayDate&lt;=$AC187)*(ISERROR(SEARCH(PayEarnCode,O$4)))*(PayEarnTax)*(PayEarnValues)),SUMPRODUCT((PayEmp=$C187)*(PayDate&lt;=$AC187)*(ISERROR(SEARCH(PayEarnCode,O$4)))*(PayEarnValues))),IF(ISNUMBER(O$3),O$3/12*$AA187,IgnoreMin)))*IF(COUNTIFS(EmpNo,$C187,OFFSET(Emp!$R$4,1,MATCH(O$5,DedListItem,0)-1,EmpCount,1),"&lt;&gt;")&gt;0,VLOOKUP($C187,EmpAll,COLUMN(Emp!$R$4)+MATCH(O$5,DedListItem,0)-1,0),OFFSET(Setup!$E$73,MATCH(O$5,DedListItem,0),0,1,1)))-SUMIFS(OFFSET(O$6,1,0,PayCount,1),PayDate,"&lt;"&amp;$AC187,PayEmp,$C187))))))</f>
        <v>0</v>
      </c>
      <c r="P187" s="133" cm="1">
        <f t="array" aca="1" ref="P187" ca="1">IF($F187="Terminated",0,IF($AA187=0,0,IF(ISNA(MATCH(P$5,DedListItem,0)),0,IF(COUNTIFS(OverEmp,$C187,OverDeduct,P$5,OverDate,"&lt;"&amp;DATE(YEAR($AC187),MONTH($AC187)+1,1),OverEnd,"&gt;="&amp;DATE(YEAR($AC187),MONTH($AC187),1))&gt;0,SUMIFS(OverValue,OverEmp,$C187,OverDeduct,P$5,OverDate,"&lt;"&amp;DATE(YEAR($AC187),MONTH($AC187)+1,1),OverEnd,"&gt;="&amp;DATE(YEAR($AC187),MONTH($AC187),1)),IF(OR(P$2="Fixed",P$2="Not Used"),(IF(COUNTIFS(EmpNo,$C187,OFFSET(Emp!$R$4,1,MATCH(P$5,DedListItem,0)-1,EmpCount,1),"&lt;&gt;")&gt;0,VLOOKUP($C187,EmpAll,COLUMN(Emp!$R$4)+MATCH(P$5,DedListItem,0)-1,0),OFFSET(Setup!$E$73,MATCH(P$5,DedListItem,0),0,1,1))*$AA187)-SUMIFS(OFFSET(P$6,1,0,PayCount,1),PayDate,"&lt;"&amp;$AC187,PayEmp,$C187),IF(ISNA(MATCH(P$2,EarnListItem,0))=FALSE,IF(OFFSET(Setup!$G$73,MATCH(P$5,DedListItem,0),0,1,1)="Taxable",SUMPRODUCT((PayEmp=$C187)*(PayDate&lt;=$AC187)*(PayEarnCode=P$2)*(PayEarnTax)*(PayEarnValues)),SUMPRODUCT((PayEmp=$C187)*(PayDate&lt;=$AC187)*(PayEarnCode=P$2)*(PayEarnValues)))*IF(COUNTIFS(EmpNo,$C187,OFFSET(Emp!$R$4,1,MATCH(P$5,DedListItem,0)-1,EmpCount,1),"&lt;&gt;")&gt;0,VLOOKUP($C187,EmpAll,COLUMN(Emp!$R$4)+MATCH(P$5,DedListItem,0)-1,0),OFFSET(Setup!$E$73,MATCH(P$5,DedListItem,0),0,1,1)),(MIN(IF(OFFSET(Setup!$G$73,MATCH(P$5,DedListItem,0),0,1,1)="Taxable",SUMPRODUCT((PayEmp=$C187)*(PayDate&lt;=$AC187)*(ISERROR(SEARCH(PayEarnCode,P$4)))*(PayEarnTax)*(PayEarnValues)),SUMPRODUCT((PayEmp=$C187)*(PayDate&lt;=$AC187)*(ISERROR(SEARCH(PayEarnCode,P$4)))*(PayEarnValues))),IF(ISNUMBER(P$3),P$3/12*$AA187,IgnoreMin)))*IF(COUNTIFS(EmpNo,$C187,OFFSET(Emp!$R$4,1,MATCH(P$5,DedListItem,0)-1,EmpCount,1),"&lt;&gt;")&gt;0,VLOOKUP($C187,EmpAll,COLUMN(Emp!$R$4)+MATCH(P$5,DedListItem,0)-1,0),OFFSET(Setup!$E$73,MATCH(P$5,DedListItem,0),0,1,1)))-SUMIFS(OFFSET(P$6,1,0,PayCount,1),PayDate,"&lt;"&amp;$AC187,PayEmp,$C187))))))</f>
        <v>0</v>
      </c>
      <c r="Q187" s="133" cm="1">
        <f t="array" aca="1" ref="Q187" ca="1">IF($F187="Terminated",0,IF($AA187=0,0,IF(ISNA(MATCH(Q$5,DedListItem,0)),0,IF(COUNTIFS(OverEmp,$C187,OverDeduct,Q$5,OverDate,"&lt;"&amp;DATE(YEAR($AC187),MONTH($AC187)+1,1),OverEnd,"&gt;="&amp;DATE(YEAR($AC187),MONTH($AC187),1))&gt;0,SUMIFS(OverValue,OverEmp,$C187,OverDeduct,Q$5,OverDate,"&lt;"&amp;DATE(YEAR($AC187),MONTH($AC187)+1,1),OverEnd,"&gt;="&amp;DATE(YEAR($AC187),MONTH($AC187),1)),IF(OR(Q$2="Fixed",Q$2="Not Used"),(IF(COUNTIFS(EmpNo,$C187,OFFSET(Emp!$R$4,1,MATCH(Q$5,DedListItem,0)-1,EmpCount,1),"&lt;&gt;")&gt;0,VLOOKUP($C187,EmpAll,COLUMN(Emp!$R$4)+MATCH(Q$5,DedListItem,0)-1,0),OFFSET(Setup!$E$73,MATCH(Q$5,DedListItem,0),0,1,1))*$AA187)-SUMIFS(OFFSET(Q$6,1,0,PayCount,1),PayDate,"&lt;"&amp;$AC187,PayEmp,$C187),IF(ISNA(MATCH(Q$2,EarnListItem,0))=FALSE,IF(OFFSET(Setup!$G$73,MATCH(Q$5,DedListItem,0),0,1,1)="Taxable",SUMPRODUCT((PayEmp=$C187)*(PayDate&lt;=$AC187)*(PayEarnCode=Q$2)*(PayEarnTax)*(PayEarnValues)),SUMPRODUCT((PayEmp=$C187)*(PayDate&lt;=$AC187)*(PayEarnCode=Q$2)*(PayEarnValues)))*IF(COUNTIFS(EmpNo,$C187,OFFSET(Emp!$R$4,1,MATCH(Q$5,DedListItem,0)-1,EmpCount,1),"&lt;&gt;")&gt;0,VLOOKUP($C187,EmpAll,COLUMN(Emp!$R$4)+MATCH(Q$5,DedListItem,0)-1,0),OFFSET(Setup!$E$73,MATCH(Q$5,DedListItem,0),0,1,1)),(MIN(IF(OFFSET(Setup!$G$73,MATCH(Q$5,DedListItem,0),0,1,1)="Taxable",SUMPRODUCT((PayEmp=$C187)*(PayDate&lt;=$AC187)*(ISERROR(SEARCH(PayEarnCode,Q$4)))*(PayEarnTax)*(PayEarnValues)),SUMPRODUCT((PayEmp=$C187)*(PayDate&lt;=$AC187)*(ISERROR(SEARCH(PayEarnCode,Q$4)))*(PayEarnValues))),IF(ISNUMBER(Q$3),Q$3/12*$AA187,IgnoreMin)))*IF(COUNTIFS(EmpNo,$C187,OFFSET(Emp!$R$4,1,MATCH(Q$5,DedListItem,0)-1,EmpCount,1),"&lt;&gt;")&gt;0,VLOOKUP($C187,EmpAll,COLUMN(Emp!$R$4)+MATCH(Q$5,DedListItem,0)-1,0),OFFSET(Setup!$E$73,MATCH(Q$5,DedListItem,0),0,1,1)))-SUMIFS(OFFSET(Q$6,1,0,PayCount,1),PayDate,"&lt;"&amp;$AC187,PayEmp,$C187))))))</f>
        <v>0</v>
      </c>
      <c r="R187" s="185">
        <f t="shared" ca="1" si="85"/>
        <v>0</v>
      </c>
      <c r="S187" s="139">
        <f t="shared" ca="1" si="86"/>
        <v>0</v>
      </c>
      <c r="T187" s="133" cm="1">
        <f t="array" aca="1" ref="T187" ca="1">IF($F187="Terminated",0,IF($AA187=0,0,IF(ISNA(MATCH(T$5,CompListItem,0)),0,IF(COUNTIFS(OverEmp,$C187,OverComp,T$5,OverDate,"&lt;"&amp;DATE(YEAR($AC187),MONTH($AC187)+1,1),OverEnd,"&gt;="&amp;DATE(YEAR($AC187),MONTH($AC187),1))&gt;0,SUMIFS(OverValue,OverEmp,$C187,OverComp,T$5,OverDate,"&lt;"&amp;DATE(YEAR($AC187),MONTH($AC187)+1,1),OverEnd,"&gt;="&amp;DATE(YEAR($AC187),MONTH($AC187),1)),IF(OR(T$2="Fixed",T$2="Not Used"),(OFFSET(Setup!$E$81,MATCH(T$5,CompListItem,0),0,1,1)*$AA187)-SUMIFS(OFFSET(T$6,1,0,PayCount,1),PayDate,"&lt;"&amp;$AC187,PayEmp,$C187),IF(ISNA(MATCH(T$2,DedListItem,0))=FALSE,(SUMPRODUCT((PayEmp=$C187)*(PayDate&lt;=$AC187)*(PayDedList=T$2)*(PayDedValues))*OFFSET(Setup!$E$81,MATCH(T$5,CompListItem,0),0,1,1))-SUMIFS(OFFSET(T$6,1,0,PayCount,1),PayDate,"&lt;"&amp;$AC187,PayEmp,$C187),(MIN(IF(OFFSET(Setup!$G$81,MATCH(T$5,CompListItem,0),0,1,1)="Taxable",SUMPRODUCT((PayEmp=$C187)*(PayDate&lt;=$AC187)*(ISERROR(SEARCH(PayEarnCode,T$4)))*(PayEarnTax)*(PayEarnValues)),SUMPRODUCT((PayEmp=$C187)*(PayDate&lt;=$AC187)*(ISERROR(SEARCH(PayEarnCode,T$4)))*(PayEarnValues))),IF(ISNUMBER(T$3),T$3/12*$AA187,IgnoreMin)))*OFFSET(Setup!$E$81,MATCH(T$5,CompListItem,0),0,1,1)-SUMIFS(OFFSET(T$6,1,0,PayCount,1),PayDate,"&lt;"&amp;$AC187,PayEmp,$C187)))))))</f>
        <v>0</v>
      </c>
      <c r="U187" s="133" cm="1">
        <f t="array" aca="1" ref="U187" ca="1">IF($F187="Terminated",0,IF($AA187=0,0,IF(ISNA(MATCH(U$5,CompListItem,0)),0,IF(COUNTIFS(OverEmp,$C187,OverComp,U$5,OverDate,"&lt;"&amp;DATE(YEAR($AC187),MONTH($AC187)+1,1),OverEnd,"&gt;="&amp;DATE(YEAR($AC187),MONTH($AC187),1))&gt;0,SUMIFS(OverValue,OverEmp,$C187,OverComp,U$5,OverDate,"&lt;"&amp;DATE(YEAR($AC187),MONTH($AC187)+1,1),OverEnd,"&gt;="&amp;DATE(YEAR($AC187),MONTH($AC187),1)),IF(OR(U$2="Fixed",U$2="Not Used"),(OFFSET(Setup!$E$81,MATCH(U$5,CompListItem,0),0,1,1)*$AA187)-SUMIFS(OFFSET(U$6,1,0,PayCount,1),PayDate,"&lt;"&amp;$AC187,PayEmp,$C187),IF(ISNA(MATCH(U$2,DedListItem,0))=FALSE,(SUMPRODUCT((PayEmp=$C187)*(PayDate&lt;=$AC187)*(PayDedList=U$2)*(PayDedValues))*OFFSET(Setup!$E$81,MATCH(U$5,CompListItem,0),0,1,1))-SUMIFS(OFFSET(U$6,1,0,PayCount,1),PayDate,"&lt;"&amp;$AC187,PayEmp,$C187),(MIN(IF(OFFSET(Setup!$G$81,MATCH(U$5,CompListItem,0),0,1,1)="Taxable",SUMPRODUCT((PayEmp=$C187)*(PayDate&lt;=$AC187)*(ISERROR(SEARCH(PayEarnCode,U$4)))*(PayEarnTax)*(PayEarnValues)),SUMPRODUCT((PayEmp=$C187)*(PayDate&lt;=$AC187)*(ISERROR(SEARCH(PayEarnCode,U$4)))*(PayEarnValues))),IF(ISNUMBER(U$3),U$3/12*$AA187,IgnoreMin)))*OFFSET(Setup!$E$81,MATCH(U$5,CompListItem,0),0,1,1)-SUMIFS(OFFSET(U$6,1,0,PayCount,1),PayDate,"&lt;"&amp;$AC187,PayEmp,$C187)))))))</f>
        <v>0</v>
      </c>
      <c r="V187" s="133" cm="1">
        <f t="array" aca="1" ref="V187" ca="1">IF($F187="Terminated",0,IF($AA187=0,0,IF(ISNA(MATCH(V$5,CompListItem,0)),0,IF(COUNTIFS(OverEmp,$C187,OverComp,V$5,OverDate,"&lt;"&amp;DATE(YEAR($AC187),MONTH($AC187)+1,1),OverEnd,"&gt;="&amp;DATE(YEAR($AC187),MONTH($AC187),1))&gt;0,SUMIFS(OverValue,OverEmp,$C187,OverComp,V$5,OverDate,"&lt;"&amp;DATE(YEAR($AC187),MONTH($AC187)+1,1),OverEnd,"&gt;="&amp;DATE(YEAR($AC187),MONTH($AC187),1)),IF(OR(V$2="Fixed",V$2="Not Used"),(OFFSET(Setup!$E$81,MATCH(V$5,CompListItem,0),0,1,1)*$AA187)-SUMIFS(OFFSET(V$6,1,0,PayCount,1),PayDate,"&lt;"&amp;$AC187,PayEmp,$C187),IF(ISNA(MATCH(V$2,DedListItem,0))=FALSE,(SUMPRODUCT((PayEmp=$C187)*(PayDate&lt;=$AC187)*(PayDedList=V$2)*(PayDedValues))*OFFSET(Setup!$E$81,MATCH(V$5,CompListItem,0),0,1,1))-SUMIFS(OFFSET(V$6,1,0,PayCount,1),PayDate,"&lt;"&amp;$AC187,PayEmp,$C187),(MIN(IF(OFFSET(Setup!$G$81,MATCH(V$5,CompListItem,0),0,1,1)="Taxable",SUMPRODUCT((PayEmp=$C187)*(PayDate&lt;=$AC187)*(ISERROR(SEARCH(PayEarnCode,V$4)))*(PayEarnTax)*(PayEarnValues)),SUMPRODUCT((PayEmp=$C187)*(PayDate&lt;=$AC187)*(ISERROR(SEARCH(PayEarnCode,V$4)))*(PayEarnValues))),IF(ISNUMBER(V$3),V$3/12*$AA187,IgnoreMin)))*OFFSET(Setup!$E$81,MATCH(V$5,CompListItem,0),0,1,1)-SUMIFS(OFFSET(V$6,1,0,PayCount,1),PayDate,"&lt;"&amp;$AC187,PayEmp,$C187)))))))</f>
        <v>0</v>
      </c>
      <c r="W187" s="133" cm="1">
        <f t="array" aca="1" ref="W187" ca="1">IF($F187="Terminated",0,IF($AA187=0,0,IF(ISNA(MATCH(W$5,CompListItem,0)),0,IF(COUNTIFS(OverEmp,$C187,OverComp,W$5,OverDate,"&lt;"&amp;DATE(YEAR($AC187),MONTH($AC187)+1,1),OverEnd,"&gt;="&amp;DATE(YEAR($AC187),MONTH($AC187),1))&gt;0,SUMIFS(OverValue,OverEmp,$C187,OverComp,W$5,OverDate,"&lt;"&amp;DATE(YEAR($AC187),MONTH($AC187)+1,1),OverEnd,"&gt;="&amp;DATE(YEAR($AC187),MONTH($AC187),1)),IF(OR(W$2="Fixed",W$2="Not Used"),(OFFSET(Setup!$E$81,MATCH(W$5,CompListItem,0),0,1,1)*$AA187)-SUMIFS(OFFSET(W$6,1,0,PayCount,1),PayDate,"&lt;"&amp;$AC187,PayEmp,$C187),IF(ISNA(MATCH(W$2,DedListItem,0))=FALSE,(SUMPRODUCT((PayEmp=$C187)*(PayDate&lt;=$AC187)*(PayDedList=W$2)*(PayDedValues))*OFFSET(Setup!$E$81,MATCH(W$5,CompListItem,0),0,1,1))-SUMIFS(OFFSET(W$6,1,0,PayCount,1),PayDate,"&lt;"&amp;$AC187,PayEmp,$C187),(MIN(IF(OFFSET(Setup!$G$81,MATCH(W$5,CompListItem,0),0,1,1)="Taxable",SUMPRODUCT((PayEmp=$C187)*(PayDate&lt;=$AC187)*(ISERROR(SEARCH(PayEarnCode,W$4)))*(PayEarnTax)*(PayEarnValues)),SUMPRODUCT((PayEmp=$C187)*(PayDate&lt;=$AC187)*(ISERROR(SEARCH(PayEarnCode,W$4)))*(PayEarnValues))),IF(ISNUMBER(W$3),W$3/12*$AA187,IgnoreMin)))*OFFSET(Setup!$E$81,MATCH(W$5,CompListItem,0),0,1,1)-SUMIFS(OFFSET(W$6,1,0,PayCount,1),PayDate,"&lt;"&amp;$AC187,PayEmp,$C187)))))))</f>
        <v>0</v>
      </c>
      <c r="X187" s="185">
        <f t="shared" ref="X187:X238" ca="1" si="90">SUM(OFFSET($T187,0,0,1,COLUMN($X$6)-COLUMN($T$7)))</f>
        <v>0</v>
      </c>
      <c r="Y187" s="139">
        <f t="shared" ca="1" si="87"/>
        <v>0</v>
      </c>
      <c r="Z187" s="139">
        <f t="shared" ref="Z187:Z238" ca="1" si="91">ROUND(SUM(R187,X187),2)</f>
        <v>0</v>
      </c>
      <c r="AA187" s="146">
        <f ca="1">IF(OR($B187&lt;=Setup!$E$12,$B187&gt;=Setup!$D$12+1),0,IF($F187&lt;&gt;"Active",0,IF($AE187="Yes",$AB187,((YEAR($AC187)*12)+MONTH($AC187))-((YEAR($AD187)*12)+MONTH($AD187)-1))))</f>
        <v>0</v>
      </c>
      <c r="AB187" s="146">
        <f ca="1">IF(OR($B187&lt;=Setup!$E$12,$B187&gt;=Setup!$D$12+1),0,((YEAR($AC187)*12)+MONTH($AC187))-((YEAR(Setup!$E$12)*12)+MONTH(Setup!$E$12)))</f>
        <v>12</v>
      </c>
      <c r="AC187" s="186">
        <f t="shared" ref="AC187:AC238" ca="1" si="92">DATE(YEAR($B187),MONTH($B187),DAY($B187))</f>
        <v>45351</v>
      </c>
      <c r="AD187" s="144">
        <f ca="1">IF(ISNA(VLOOKUP($C187,EmpAll,COLUMN(Emp!$E$4),0)),$AC187,IF(VLOOKUP($C187,EmpAll,COLUMN(Emp!$E$4),0)&lt;=Setup!$E$12,DATE(YEAR(Setup!$E$12),MONTH(Setup!$E$12)+1,1),VLOOKUP($C187,EmpAll,COLUMN(Emp!$E$4),0)))</f>
        <v>45351</v>
      </c>
      <c r="AE187" s="144" t="str">
        <f ca="1">IF(ISNA(VLOOKUP($C187,EmpAll,COLUMN(Emp!$G$1),0)),"-",IF(VLOOKUP($C187,EmpAll,COLUMN(Emp!$G$1),0)=0,"-",VLOOKUP($C187,EmpAll,COLUMN(Emp!$G$1),0)))</f>
        <v>-</v>
      </c>
      <c r="AF187" s="145">
        <f>IF(A187=PaySlip!$G$3,1,0)</f>
        <v>0</v>
      </c>
      <c r="AG187" s="130" cm="1">
        <f t="array" aca="1" ref="AG187" ca="1">IF(COUNTIFS(OverEmp,$C187,OverMed,"MED",OverDate,"&lt;"&amp;DATE(YEAR($AC187),MONTH($AC187)+1,1),OverEnd,"&gt;="&amp;DATE(YEAR($AC187),MONTH($AC187),1))&gt;0,SUMIFS(OverValue,OverEmp,$C187,OverMed,"MED",OverDate,"&lt;"&amp;DATE(YEAR($AC187),MONTH($AC187)+1,1),OverEnd,"&gt;="&amp;DATE(YEAR($AC187),MONTH($AC187),1)),IF(ISNA(VLOOKUP($C187,EmpAll,COLUMN(Emp!$N$4),0)),0,VLOOKUP($C187,EmpAll,COLUMN(Emp!$N$4),0)))</f>
        <v>0</v>
      </c>
      <c r="AH187" s="146">
        <f ca="1">VLOOKUP($AG187,MedList,COLUMN(Setup!$C$49),1)</f>
        <v>0</v>
      </c>
      <c r="AI187" s="146">
        <f t="shared" ca="1" si="70"/>
        <v>0</v>
      </c>
      <c r="AJ187" s="101" t="str">
        <f ca="1">IF(ISNA(VLOOKUP($C187,EmpAll,COLUMN(Emp!$L$4),0)),"None!",VLOOKUP($C187,EmpAll,COLUMN(Emp!$L$4),0))</f>
        <v>None!</v>
      </c>
      <c r="AK187" s="147">
        <f t="shared" ca="1" si="80"/>
        <v>17235</v>
      </c>
      <c r="AL187" s="101" t="str">
        <f ca="1">IF(ISNA(VLOOKUP($C187,Employees[],COLUMN(Emp!$M$4),0))=TRUE,"Error!",IF(VLOOKUP($C187,Employees[],COLUMN(Emp!$M$4),0)=0,"Yes",VLOOKUP($C187,Employees[],COLUMN(Emp!$M$4),0)))</f>
        <v>Error!</v>
      </c>
      <c r="AM187" s="148">
        <f t="shared" ca="1" si="71"/>
        <v>0</v>
      </c>
      <c r="AN187" s="148" cm="1">
        <f t="array" aca="1" ref="AN187" ca="1">-IF($F187="Terminated",0,IF($AA187=0,0,IF(ISNA(MATCH(AN$5,PayDedList,0)),0,MIN(IF(COUNTIFS(OverEmp,$C187,OverDeduct,AN$5,OverDate,"&lt;"&amp;DATE(YEAR($AC187),MONTH($AC187)+1,1),OverEnd,"&gt;="&amp;DATE(YEAR($AC187),MONTH($AC187),1))&gt;0,SUMPRODUCT((PayEmp=$C187)*(PayDate&lt;=$AC187)*(OFFSET($N$6,1,MATCH(AN$5,PayDedList,0)-1,PayCount,1)))/$AA187*12*AN$3,IF(OR(AN$1="Fixed",AN$1="Not Used"),SUMPRODUCT((PayEmp=$C187)*(PayDate&lt;=$AC187)*(OFFSET($N$6,1,MATCH(AN$5,PayDedList,0)-1,PayCount,1)))/$AA187*12*AN$3,IF(ISNA(MATCH(AN$1,EarnListItem,0))=FALSE,SUMPRODUCT((PayEmp=$C187)*(PayDate&lt;=$AC187)*(OFFSET($N$6,1,MATCH(AN$5,PayDedList,0)-1,PayCount,1)))/$AA187*12*AN$3,(MIN(((SUMPRODUCT((PayEmp=$C187)*(PayDate&lt;=$AC187)*(ISERROR(SEARCH(PayEarnCode,AN$2)))*(PayEarnType="Monthly")*(PayEarnValues))/$AA187*12)+(SUMPRODUCT((PayEmp=$C187)*(PayDate&lt;=$AC187)*(ISERROR(SEARCH(PayEarnCode,AN$2)))*(PayEarnType="Quarterly")*(PayEarnValues))/MAX(1,ROUNDDOWN($AB187/3,0))*4)+(SUMPRODUCT((PayEmp=$C187)*(PayDate&lt;=$AC187)*(ISERROR(SEARCH(PayEarnCode,AN$2)))*(PayEarnType="Bi-Annual")*(PayEarnValues))/MAX(1,ROUNDDOWN($AB187/6,0))*2)+(SUMPRODUCT((PayEmp=$C187)*(PayDate&lt;=$AC187)*(ISERROR(SEARCH(PayEarnCode,AN$2)))*(PayEarnType="Annual")*(PayEarnValues)))),IF(ISNUMBER(OFFSET($N$3,0,MATCH(AN$5,PayDedList,0)-1,1,1)),OFFSET($N$3,0,MATCH(AN$5,PayDedList,0)-1,1,1),IgnoreMin)))*IF(COUNTIFS(EmpNo,$C187,OFFSET(Emp!$R$4,1,MATCH(AN$5,DedListItem,0)-1,EmpCount,1),"&lt;&gt;")&gt;0,VLOOKUP($C187,EmpAll,COLUMN(Emp!$R$4)+MATCH(AN$5,DedListItem,0)-1,0),OFFSET(Setup!$E$73,MATCH(AN$5,DedListItem,0),0,1,1))*AN$3))),IF(ISNUMBER(AN$4),AN$4,IgnoreMin)))))</f>
        <v>0</v>
      </c>
      <c r="AO187" s="148" cm="1">
        <f t="array" aca="1" ref="AO187" ca="1">-IF($F187="Terminated",0,IF($AA187=0,0,IF(ISNA(MATCH(AO$5,PayDedList,0)),0,MIN(IF(COUNTIFS(OverEmp,$C187,OverDeduct,AO$5,OverDate,"&lt;"&amp;DATE(YEAR($AC187),MONTH($AC187)+1,1),OverEnd,"&gt;="&amp;DATE(YEAR($AC187),MONTH($AC187),1))&gt;0,SUMPRODUCT((PayEmp=$C187)*(PayDate&lt;=$AC187)*(OFFSET($N$6,1,MATCH(AO$5,PayDedList,0)-1,PayCount,1)))/$AA187*12*AO$3,IF(OR(AO$1="Fixed",AO$1="Not Used"),SUMPRODUCT((PayEmp=$C187)*(PayDate&lt;=$AC187)*(OFFSET($N$6,1,MATCH(AO$5,PayDedList,0)-1,PayCount,1)))/$AA187*12*AO$3,IF(ISNA(MATCH(AO$1,EarnListItem,0))=FALSE,SUMPRODUCT((PayEmp=$C187)*(PayDate&lt;=$AC187)*(OFFSET($N$6,1,MATCH(AO$5,PayDedList,0)-1,PayCount,1)))/$AA187*12*AO$3,(MIN(((SUMPRODUCT((PayEmp=$C187)*(PayDate&lt;=$AC187)*(ISERROR(SEARCH(PayEarnCode,AO$2)))*(PayEarnType="Monthly")*(PayEarnValues))/$AA187*12)+(SUMPRODUCT((PayEmp=$C187)*(PayDate&lt;=$AC187)*(ISERROR(SEARCH(PayEarnCode,AO$2)))*(PayEarnType="Quarterly")*(PayEarnValues))/MAX(1,ROUNDDOWN($AB187/3,0))*4)+(SUMPRODUCT((PayEmp=$C187)*(PayDate&lt;=$AC187)*(ISERROR(SEARCH(PayEarnCode,AO$2)))*(PayEarnType="Bi-Annual")*(PayEarnValues))/MAX(1,ROUNDDOWN($AB187/6,0))*2)+(SUMPRODUCT((PayEmp=$C187)*(PayDate&lt;=$AC187)*(ISERROR(SEARCH(PayEarnCode,AO$2)))*(PayEarnType="Annual")*(PayEarnValues)))),IF(ISNUMBER(OFFSET($N$3,0,MATCH(AO$5,PayDedList,0)-1,1,1)),OFFSET($N$3,0,MATCH(AO$5,PayDedList,0)-1,1,1),IgnoreMin)))*IF(COUNTIFS(EmpNo,$C187,OFFSET(Emp!$R$4,1,MATCH(AO$5,DedListItem,0)-1,EmpCount,1),"&lt;&gt;")&gt;0,VLOOKUP($C187,EmpAll,COLUMN(Emp!$R$4)+MATCH(AO$5,DedListItem,0)-1,0),OFFSET(Setup!$E$73,MATCH(AO$5,DedListItem,0),0,1,1))*AO$3))),IF(ISNUMBER(AO$4),AO$4,IgnoreMin)))))</f>
        <v>0</v>
      </c>
      <c r="AP187" s="148" cm="1">
        <f t="array" aca="1" ref="AP187" ca="1">-IF($F187="Terminated",0,IF($AA187=0,0,IF(ISNA(MATCH(AP$5,PayDedList,0)),0,MIN(IF(COUNTIFS(OverEmp,$C187,OverDeduct,AP$5,OverDate,"&lt;"&amp;DATE(YEAR($AC187),MONTH($AC187)+1,1),OverEnd,"&gt;="&amp;DATE(YEAR($AC187),MONTH($AC187),1))&gt;0,SUMPRODUCT((PayEmp=$C187)*(PayDate&lt;=$AC187)*(OFFSET($N$6,1,MATCH(AP$5,PayDedList,0)-1,PayCount,1)))/$AA187*12*AP$3,IF(OR(AP$1="Fixed",AP$1="Not Used"),SUMPRODUCT((PayEmp=$C187)*(PayDate&lt;=$AC187)*(OFFSET($N$6,1,MATCH(AP$5,PayDedList,0)-1,PayCount,1)))/$AA187*12*AP$3,IF(ISNA(MATCH(AP$1,EarnListItem,0))=FALSE,SUMPRODUCT((PayEmp=$C187)*(PayDate&lt;=$AC187)*(OFFSET($N$6,1,MATCH(AP$5,PayDedList,0)-1,PayCount,1)))/$AA187*12*AP$3,(MIN(((SUMPRODUCT((PayEmp=$C187)*(PayDate&lt;=$AC187)*(ISERROR(SEARCH(PayEarnCode,AP$2)))*(PayEarnType="Monthly")*(PayEarnValues))/$AA187*12)+(SUMPRODUCT((PayEmp=$C187)*(PayDate&lt;=$AC187)*(ISERROR(SEARCH(PayEarnCode,AP$2)))*(PayEarnType="Quarterly")*(PayEarnValues))/MAX(1,ROUNDDOWN($AB187/3,0))*4)+(SUMPRODUCT((PayEmp=$C187)*(PayDate&lt;=$AC187)*(ISERROR(SEARCH(PayEarnCode,AP$2)))*(PayEarnType="Bi-Annual")*(PayEarnValues))/MAX(1,ROUNDDOWN($AB187/6,0))*2)+(SUMPRODUCT((PayEmp=$C187)*(PayDate&lt;=$AC187)*(ISERROR(SEARCH(PayEarnCode,AP$2)))*(PayEarnType="Annual")*(PayEarnValues)))),IF(ISNUMBER(OFFSET($N$3,0,MATCH(AP$5,PayDedList,0)-1,1,1)),OFFSET($N$3,0,MATCH(AP$5,PayDedList,0)-1,1,1),IgnoreMin)))*IF(COUNTIFS(EmpNo,$C187,OFFSET(Emp!$R$4,1,MATCH(AP$5,DedListItem,0)-1,EmpCount,1),"&lt;&gt;")&gt;0,VLOOKUP($C187,EmpAll,COLUMN(Emp!$R$4)+MATCH(AP$5,DedListItem,0)-1,0),OFFSET(Setup!$E$73,MATCH(AP$5,DedListItem,0),0,1,1))*AP$3))),IF(ISNUMBER(AP$4),AP$4,IgnoreMin)))))</f>
        <v>0</v>
      </c>
      <c r="AQ187" s="148" cm="1">
        <f t="array" aca="1" ref="AQ187" ca="1">-IF($F187="Terminated",0,IF($AA187=0,0,IF(ISNA(MATCH(AQ$5,PayDedList,0)),0,MIN(IF(COUNTIFS(OverEmp,$C187,OverDeduct,AQ$5,OverDate,"&lt;"&amp;DATE(YEAR($AC187),MONTH($AC187)+1,1),OverEnd,"&gt;="&amp;DATE(YEAR($AC187),MONTH($AC187),1))&gt;0,SUMPRODUCT((PayEmp=$C187)*(PayDate&lt;=$AC187)*(OFFSET($N$6,1,MATCH(AQ$5,PayDedList,0)-1,PayCount,1)))/$AA187*12*AQ$3,IF(OR(AQ$1="Fixed",AQ$1="Not Used"),SUMPRODUCT((PayEmp=$C187)*(PayDate&lt;=$AC187)*(OFFSET($N$6,1,MATCH(AQ$5,PayDedList,0)-1,PayCount,1)))/$AA187*12*AQ$3,IF(ISNA(MATCH(AQ$1,EarnListItem,0))=FALSE,SUMPRODUCT((PayEmp=$C187)*(PayDate&lt;=$AC187)*(OFFSET($N$6,1,MATCH(AQ$5,PayDedList,0)-1,PayCount,1)))/$AA187*12*AQ$3,(MIN(((SUMPRODUCT((PayEmp=$C187)*(PayDate&lt;=$AC187)*(ISERROR(SEARCH(PayEarnCode,AQ$2)))*(PayEarnType="Monthly")*(PayEarnValues))/$AA187*12)+(SUMPRODUCT((PayEmp=$C187)*(PayDate&lt;=$AC187)*(ISERROR(SEARCH(PayEarnCode,AQ$2)))*(PayEarnType="Quarterly")*(PayEarnValues))/MAX(1,ROUNDDOWN($AB187/3,0))*4)+(SUMPRODUCT((PayEmp=$C187)*(PayDate&lt;=$AC187)*(ISERROR(SEARCH(PayEarnCode,AQ$2)))*(PayEarnType="Bi-Annual")*(PayEarnValues))/MAX(1,ROUNDDOWN($AB187/6,0))*2)+(SUMPRODUCT((PayEmp=$C187)*(PayDate&lt;=$AC187)*(ISERROR(SEARCH(PayEarnCode,AQ$2)))*(PayEarnType="Annual")*(PayEarnValues)))),IF(ISNUMBER(OFFSET($N$3,0,MATCH(AQ$5,PayDedList,0)-1,1,1)),OFFSET($N$3,0,MATCH(AQ$5,PayDedList,0)-1,1,1),IgnoreMin)))*IF(COUNTIFS(EmpNo,$C187,OFFSET(Emp!$R$4,1,MATCH(AQ$5,DedListItem,0)-1,EmpCount,1),"&lt;&gt;")&gt;0,VLOOKUP($C187,EmpAll,COLUMN(Emp!$R$4)+MATCH(AQ$5,DedListItem,0)-1,0),OFFSET(Setup!$E$73,MATCH(AQ$5,DedListItem,0),0,1,1))*AQ$3))),IF(ISNUMBER(AQ$4),AQ$4,IgnoreMin)))))</f>
        <v>0</v>
      </c>
      <c r="AR187" s="148">
        <f t="shared" ref="AR187:AR238" ca="1" si="93">$AM187+SUM(OFFSET($AM187,0,1,1,COLUMN($AR$2)-COLUMN($AM$2)-1))</f>
        <v>0</v>
      </c>
      <c r="AS187" s="148">
        <f t="shared" ca="1" si="72"/>
        <v>0</v>
      </c>
      <c r="AT187" s="148" cm="1">
        <f t="array" aca="1" ref="AT187" ca="1">-IF($F187="Terminated",0,IF($AA187=0,0,IF(ISNA(MATCH(AT$5,PayDedList,0)),0,MIN(IF(COUNTIFS(OverEmp,$C187,OverDeduct,AT$5,OverDate,"&lt;"&amp;DATE(YEAR($AC187),MONTH($AC187)+1,1),OverEnd,"&gt;="&amp;DATE(YEAR($AC187),MONTH($AC187),1))&gt;0,SUMPRODUCT((PayEmp=$C187)*(PayDate&lt;=$AC187)*(OFFSET($N$6,1,MATCH(AT$5,PayDedList,0)-1,PayCount,1)))/$AA187*12*AT$3,IF(OR(AT$1="Fixed",AT$1="Not Used"),SUMPRODUCT((PayEmp=$C187)*(PayDate&lt;=$AC187)*(OFFSET($N$6,1,MATCH(AT$5,PayDedList,0)-1,PayCount,1)))/$AA187*12*AT$3,IF(ISNA(MATCH(OFFSET($N$2,0,MATCH(AT$5,PayDedList,0)-1,1,1),EarnListItem,0))=FALSE,SUMPRODUCT((PayEmp=$C187)*(PayDate&lt;=$AC187)*(OFFSET($N$6,1,MATCH(AT$5,PayDedList,0)-1,PayCount,1)))/$AA187*12*AT$3,(MIN(SUMPRODUCT((PayEmp=$C187)*(PayDate&lt;=$AC187)*(ISERROR(SEARCH(PayEarnCode,AT$2)))*(PayEarnType="Monthly")*(PayEarnValues))/$AA187*12,IF(ISNUMBER(OFFSET($N$3,0,MATCH(AT$5,PayDedList,0)-1,1,1)),OFFSET($N$3,0,MATCH(AT$5,PayDedList,0)-1,1,1),IgnoreMin)))*IF(COUNTIFS(EmpNo,$C187,OFFSET(Emp!$R$4,1,MATCH(AT$5,DedListItem,0)-1,EmpCount,1),"&lt;&gt;")&gt;0,VLOOKUP($C187,EmpAll,COLUMN(Emp!$R$4)+MATCH(AT$5,DedListItem,0)-1,0),OFFSET(Setup!$E$73,MATCH(AT$5,DedListItem,0),0,1,1))*AT$3))),IF(ISNUMBER(AT$4),AT$4,IgnoreMin)))))</f>
        <v>0</v>
      </c>
      <c r="AU187" s="148" cm="1">
        <f t="array" aca="1" ref="AU187" ca="1">-IF($F187="Terminated",0,IF($AA187=0,0,IF(ISNA(MATCH(AU$5,PayDedList,0)),0,MIN(IF(COUNTIFS(OverEmp,$C187,OverDeduct,AU$5,OverDate,"&lt;"&amp;DATE(YEAR($AC187),MONTH($AC187)+1,1),OverEnd,"&gt;="&amp;DATE(YEAR($AC187),MONTH($AC187),1))&gt;0,SUMPRODUCT((PayEmp=$C187)*(PayDate&lt;=$AC187)*(OFFSET($N$6,1,MATCH(AU$5,PayDedList,0)-1,PayCount,1)))/$AA187*12*AU$3,IF(OR(AU$1="Fixed",AU$1="Not Used"),SUMPRODUCT((PayEmp=$C187)*(PayDate&lt;=$AC187)*(OFFSET($N$6,1,MATCH(AU$5,PayDedList,0)-1,PayCount,1)))/$AA187*12*AU$3,IF(ISNA(MATCH(OFFSET($N$2,0,MATCH(AU$5,PayDedList,0)-1,1,1),EarnListItem,0))=FALSE,SUMPRODUCT((PayEmp=$C187)*(PayDate&lt;=$AC187)*(OFFSET($N$6,1,MATCH(AU$5,PayDedList,0)-1,PayCount,1)))/$AA187*12*AU$3,(MIN(SUMPRODUCT((PayEmp=$C187)*(PayDate&lt;=$AC187)*(ISERROR(SEARCH(PayEarnCode,AU$2)))*(PayEarnType="Monthly")*(PayEarnValues))/$AA187*12,IF(ISNUMBER(OFFSET($N$3,0,MATCH(AU$5,PayDedList,0)-1,1,1)),OFFSET($N$3,0,MATCH(AU$5,PayDedList,0)-1,1,1),IgnoreMin)))*IF(COUNTIFS(EmpNo,$C187,OFFSET(Emp!$R$4,1,MATCH(AU$5,DedListItem,0)-1,EmpCount,1),"&lt;&gt;")&gt;0,VLOOKUP($C187,EmpAll,COLUMN(Emp!$R$4)+MATCH(AU$5,DedListItem,0)-1,0),OFFSET(Setup!$E$73,MATCH(AU$5,DedListItem,0),0,1,1))*AU$3))),IF(ISNUMBER(AU$4),AU$4,IgnoreMin)))))</f>
        <v>0</v>
      </c>
      <c r="AV187" s="148" cm="1">
        <f t="array" aca="1" ref="AV187" ca="1">-IF($F187="Terminated",0,IF($AA187=0,0,IF(ISNA(MATCH(AV$5,PayDedList,0)),0,MIN(IF(COUNTIFS(OverEmp,$C187,OverDeduct,AV$5,OverDate,"&lt;"&amp;DATE(YEAR($AC187),MONTH($AC187)+1,1),OverEnd,"&gt;="&amp;DATE(YEAR($AC187),MONTH($AC187),1))&gt;0,SUMPRODUCT((PayEmp=$C187)*(PayDate&lt;=$AC187)*(OFFSET($N$6,1,MATCH(AV$5,PayDedList,0)-1,PayCount,1)))/$AA187*12*AV$3,IF(OR(AV$1="Fixed",AV$1="Not Used"),SUMPRODUCT((PayEmp=$C187)*(PayDate&lt;=$AC187)*(OFFSET($N$6,1,MATCH(AV$5,PayDedList,0)-1,PayCount,1)))/$AA187*12*AV$3,IF(ISNA(MATCH(OFFSET($N$2,0,MATCH(AV$5,PayDedList,0)-1,1,1),EarnListItem,0))=FALSE,SUMPRODUCT((PayEmp=$C187)*(PayDate&lt;=$AC187)*(OFFSET($N$6,1,MATCH(AV$5,PayDedList,0)-1,PayCount,1)))/$AA187*12*AV$3,(MIN(SUMPRODUCT((PayEmp=$C187)*(PayDate&lt;=$AC187)*(ISERROR(SEARCH(PayEarnCode,AV$2)))*(PayEarnType="Monthly")*(PayEarnValues))/$AA187*12,IF(ISNUMBER(OFFSET($N$3,0,MATCH(AV$5,PayDedList,0)-1,1,1)),OFFSET($N$3,0,MATCH(AV$5,PayDedList,0)-1,1,1),IgnoreMin)))*IF(COUNTIFS(EmpNo,$C187,OFFSET(Emp!$R$4,1,MATCH(AV$5,DedListItem,0)-1,EmpCount,1),"&lt;&gt;")&gt;0,VLOOKUP($C187,EmpAll,COLUMN(Emp!$R$4)+MATCH(AV$5,DedListItem,0)-1,0),OFFSET(Setup!$E$73,MATCH(AV$5,DedListItem,0),0,1,1))*AV$3))),IF(ISNUMBER(AV$4),AV$4,IgnoreMin)))))</f>
        <v>0</v>
      </c>
      <c r="AW187" s="148" cm="1">
        <f t="array" aca="1" ref="AW187" ca="1">-IF($F187="Terminated",0,IF($AA187=0,0,IF(ISNA(MATCH(AW$5,PayDedList,0)),0,MIN(IF(COUNTIFS(OverEmp,$C187,OverDeduct,AW$5,OverDate,"&lt;"&amp;DATE(YEAR($AC187),MONTH($AC187)+1,1),OverEnd,"&gt;="&amp;DATE(YEAR($AC187),MONTH($AC187),1))&gt;0,SUMPRODUCT((PayEmp=$C187)*(PayDate&lt;=$AC187)*(OFFSET($N$6,1,MATCH(AW$5,PayDedList,0)-1,PayCount,1)))/$AA187*12*AW$3,IF(OR(AW$1="Fixed",AW$1="Not Used"),SUMPRODUCT((PayEmp=$C187)*(PayDate&lt;=$AC187)*(OFFSET($N$6,1,MATCH(AW$5,PayDedList,0)-1,PayCount,1)))/$AA187*12*AW$3,IF(ISNA(MATCH(OFFSET($N$2,0,MATCH(AW$5,PayDedList,0)-1,1,1),EarnListItem,0))=FALSE,SUMPRODUCT((PayEmp=$C187)*(PayDate&lt;=$AC187)*(OFFSET($N$6,1,MATCH(AW$5,PayDedList,0)-1,PayCount,1)))/$AA187*12*AW$3,(MIN(SUMPRODUCT((PayEmp=$C187)*(PayDate&lt;=$AC187)*(ISERROR(SEARCH(PayEarnCode,AW$2)))*(PayEarnType="Monthly")*(PayEarnValues))/$AA187*12,IF(ISNUMBER(OFFSET($N$3,0,MATCH(AW$5,PayDedList,0)-1,1,1)),OFFSET($N$3,0,MATCH(AW$5,PayDedList,0)-1,1,1),IgnoreMin)))*IF(COUNTIFS(EmpNo,$C187,OFFSET(Emp!$R$4,1,MATCH(AW$5,DedListItem,0)-1,EmpCount,1),"&lt;&gt;")&gt;0,VLOOKUP($C187,EmpAll,COLUMN(Emp!$R$4)+MATCH(AW$5,DedListItem,0)-1,0),OFFSET(Setup!$E$73,MATCH(AW$5,DedListItem,0),0,1,1))*AW$3))),IF(ISNUMBER(AW$4),AW$4,IgnoreMin)))))</f>
        <v>0</v>
      </c>
      <c r="AX187" s="148">
        <f t="shared" ca="1" si="88"/>
        <v>0</v>
      </c>
      <c r="AY187" s="148">
        <f t="shared" ca="1" si="89"/>
        <v>0</v>
      </c>
      <c r="AZ187" s="148">
        <f ca="1">IF(ISNUMBER($AL187),($AR187*$AL187)-$AI187-$AK187,MAX(0,IF($AL187="B",IF($AR187&lt;Setup!$C$32,($AR187*Setup!$D$32)-$AI187-$AK187,(($AR187-VLOOKUP($AR187,TaxAll2,1,1))*OFFSET(Setup!$D$32,MATCH($AR187,TaxBracket2,1),0,1,1))+OFFSET(Setup!$E$31,MATCH($AR187,TaxBracket2,1),0,1,1)-$AI187-$AK187),IF($AR187&lt;Setup!$C$21,($AR187*Setup!$D$21)-$AI187-$AK187,(($AR187-VLOOKUP($AR187,TaxAll1,1,1))*OFFSET(Setup!$D$21,MATCH($AR187,TaxBracket1,1),0,1,1))+OFFSET(Setup!$E$20,MATCH($AR187,TaxBracket1,1),0,1,1)-$AI187-$AK187))))</f>
        <v>0</v>
      </c>
      <c r="BA187" s="148">
        <f ca="1">IF(ISNUMBER($AL187),($AX187*$AL187)-$AI187-$AK187,MAX(0,IF($AL187="B",IF($AX187&lt;Setup!$C$32,($AX187*Setup!$D$32)-$AI187-$AK187,(($AX187-VLOOKUP($AX187,TaxAll2,1,1))*OFFSET(Setup!$D$32,MATCH($AX187,TaxBracket2,1),0,1,1))+OFFSET(Setup!$E$31,MATCH($AX187,TaxBracket2,1),0,1,1)-$AI187-$AK187),IF($AX187&lt;Setup!$C$21,($AX187*Setup!$D$21)-$AI187-$AK187,(($AX187-VLOOKUP($AX187,TaxAll1,1,1))*OFFSET(Setup!$D$21,MATCH($AX187,TaxBracket1,1),0,1,1))+OFFSET(Setup!$E$20,MATCH($AX187,TaxBracket1,1),0,1,1)-$AI187-$AK187))))</f>
        <v>0</v>
      </c>
      <c r="BB187" s="148">
        <f t="shared" ref="BB187:BB238" ca="1" si="94">AZ187-BA187</f>
        <v>0</v>
      </c>
      <c r="BC187" s="150">
        <f t="shared" ca="1" si="75"/>
        <v>0</v>
      </c>
      <c r="BD187" s="150">
        <f t="shared" ca="1" si="76"/>
        <v>0</v>
      </c>
      <c r="BE187" s="148">
        <f t="shared" ca="1" si="77"/>
        <v>0</v>
      </c>
    </row>
    <row r="188" spans="1:57" ht="16.149999999999999" customHeight="1" x14ac:dyDescent="0.25">
      <c r="A188" s="10" t="str" cm="1">
        <f t="array" ref="A188">IF(ROW($A188)-ROW($A$6)&gt;EmpCount*12,"-",TEXT($B188,"yyyy")&amp;TEXT($B188,"mm")&amp;"-"&amp;$C188)</f>
        <v>-</v>
      </c>
      <c r="B188" s="137" cm="1">
        <f t="array" aca="1" ref="B188" ca="1">IF(ROW($A188)-ROW($A$6)&gt;EmpCount*12,Setup!$D$12,DATE(YEAR(Setup!$F$12),MONTH(Setup!$F$12)+ROUNDDOWN((ROW($A188)-ROW($A$6)-1)/EmpCount,0),IF(Setup!$C$14&gt;DAY(DATE(YEAR(Setup!$F$12),MONTH(Setup!$F$12)+ROUNDDOWN((ROW($A188)-ROW($A$6)-1)/EmpCount,0)+1,0)),DAY(DATE(YEAR(Setup!$F$12),MONTH(Setup!$F$12)+ROUNDDOWN((ROW($A188)-ROW($A$6)-1)/EmpCount,0)+1,0)),Setup!$C$14)))</f>
        <v>45351</v>
      </c>
      <c r="C188" s="101" t="str" cm="1">
        <f t="array" aca="1" ref="C188" ca="1">IF(ROW($A188)-ROW($A$6)&gt;EmpCount*12,"-",OFFSET(Emp!$A$4,ROW($A188)-ROW($A$6)-IF(ROW($A188)-ROW($A$6)&gt;EmpCount,ROUNDDOWN((ROW($A188)-ROW($A$6)-1)/EmpCount,0)*EmpCount,0),0,1,1))</f>
        <v>-</v>
      </c>
      <c r="D188" s="10" t="str">
        <f ca="1">IF(ISNA(VLOOKUP($C188,EmpAll,COLUMN(Emp!$B$4),0)),"-",VLOOKUP($C188,EmpAll,COLUMN(Emp!$B$4),0))</f>
        <v>-</v>
      </c>
      <c r="E188" s="145" t="str">
        <f ca="1">IF(ISNA(VLOOKUP($C188,EmpAll,COLUMN(Emp!$C$4),0)),"-",VLOOKUP($C188,EmpAll,COLUMN(Emp!$C$4),0))</f>
        <v>-</v>
      </c>
      <c r="F188" s="101" t="str">
        <f ca="1">IF(ISNA(VLOOKUP($C188,EmpAll,COLUMN(Emp!$A$4),0)),"-",IF(AND(VLOOKUP($C188,EmpAll,COLUMN(Emp!$E$4),0)&lt;&gt;0,VLOOKUP($C188,EmpAll,COLUMN(Emp!$E$4),0)&gt;=DATE(YEAR($AC188),MONTH($AC188)+1,0)),"Inactive",IF(AND(VLOOKUP($C188,EmpAll,COLUMN(Emp!$F$4),0)&lt;&gt;0,VLOOKUP($C188,EmpAll,COLUMN(Emp!$F$4),0)&lt;=DATE(YEAR($AC188),MONTH($AC188),0)),"Terminated","Active")))</f>
        <v>-</v>
      </c>
      <c r="G188" s="133" cm="1">
        <f t="array" aca="1" ref="G188" ca="1">IF($F188&lt;&gt;"Active",0,IF(COUNTIFS(OverEmp,$C188,OverEarn,G$2,OverDate,"&lt;"&amp;DATE(YEAR($AC188),MONTH($AC188)+1,1),OverEnd,"&gt;="&amp;DATE(YEAR($AC188),MONTH($AC188),1))&gt;0,SUMIFS(OverValue,OverEmp,$C188,OverEarn,G$2,OverDate,"&lt;"&amp;DATE(YEAR($AC188),MONTH($AC188)+1,1),OverEnd,"&gt;="&amp;DATE(YEAR($AC188),MONTH($AC188),1)),IF(AND($AC188&gt;=Setup!$E$10,SUMIFS(EmpIncrease,EmpCode,$C188)&gt;0),SUMIFS(EmpIncrease,EmpCode,$C188),SUMIFS(EmpSalary,EmpCode,$C188))))</f>
        <v>0</v>
      </c>
      <c r="H188" s="133" cm="1">
        <f t="array" aca="1" ref="H188" ca="1">IF($F188&lt;&gt;"Active",0,IF(COUNTIFS(OverEmp,$C188,OverEarn,H$2,OverDate,"&lt;"&amp;DATE(YEAR($AC188),MONTH($AC188)+1,1),OverEnd,"&gt;="&amp;DATE(YEAR($AC188),MONTH($AC188),1))&gt;0,SUMIFS(OverValue,OverEmp,$C188,OverEarn,H$2,OverDate,"&lt;"&amp;DATE(YEAR($AC188),MONTH($AC188)+1,1),OverEnd,"&gt;="&amp;DATE(YEAR($AC188),MONTH($AC188),1)),0))</f>
        <v>0</v>
      </c>
      <c r="I188" s="133" cm="1">
        <f t="array" aca="1" ref="I188" ca="1">IF($F188&lt;&gt;"Active",0,IF(COUNTIFS(OverEmp,$C188,OverEarn,I$2,OverDate,"&lt;"&amp;DATE(YEAR($AC188),MONTH($AC188)+1,1),OverEnd,"&gt;="&amp;DATE(YEAR($AC188),MONTH($AC188),1))&gt;0,SUMIFS(OverValue,OverEmp,$C188,OverEarn,I$2,OverDate,"&lt;"&amp;DATE(YEAR($AC188),MONTH($AC188)+1,1),OverEnd,"&gt;="&amp;DATE(YEAR($AC188),MONTH($AC188),1)),IF(MONTH(B188)=Setup!$C$15,SUMIFS(EmpBonus,EmpCode,$C188),0)))</f>
        <v>0</v>
      </c>
      <c r="J188" s="133" cm="1">
        <f t="array" aca="1" ref="J188" ca="1">IF($F188&lt;&gt;"Active",0,IF(COUNTIFS(OverEmp,$C188,OverEarn,J$2,OverDate,"&lt;"&amp;DATE(YEAR($AC188),MONTH($AC188)+1,1),OverEnd,"&gt;="&amp;DATE(YEAR($AC188),MONTH($AC188),1))&gt;0,SUMIFS(OverValue,OverEmp,$C188,OverEarn,J$2,OverDate,"&lt;"&amp;DATE(YEAR($AC188),MONTH($AC188)+1,1),OverEnd,"&gt;="&amp;DATE(YEAR($AC188),MONTH($AC188),1)),0))</f>
        <v>0</v>
      </c>
      <c r="K188" s="133" cm="1">
        <f t="array" aca="1" ref="K188" ca="1">IF($F188&lt;&gt;"Active",0,IF(COUNTIFS(OverEmp,$C188,OverEarn,K$2,OverDate,"&lt;"&amp;DATE(YEAR($AC188),MONTH($AC188)+1,1),OverEnd,"&gt;="&amp;DATE(YEAR($AC188),MONTH($AC188),1))&gt;0,SUMIFS(OverValue,OverEmp,$C188,OverEarn,K$2,OverDate,"&lt;"&amp;DATE(YEAR($AC188),MONTH($AC188)+1,1),OverEnd,"&gt;="&amp;DATE(YEAR($AC188),MONTH($AC188),1)),0))</f>
        <v>0</v>
      </c>
      <c r="L188" s="185">
        <f t="shared" ca="1" si="84"/>
        <v>0</v>
      </c>
      <c r="M188" s="182" cm="1">
        <f t="array" aca="1" ref="M188" ca="1">IF(COUNTIFS(OverEmp,$C188,OverTax,M$5,OverDate,"&lt;"&amp;DATE(YEAR($AC188),MONTH($AC188)+1,1),OverEnd,"&gt;="&amp;DATE(YEAR($AC188),MONTH($AC188),1))&gt;0,SUMIFS(OverValue,OverEmp,$C188,OverTax,M$5,OverDate,"&lt;"&amp;DATE(YEAR($AC188),MONTH($AC188)+1,1),OverEnd,"&gt;="&amp;DATE(YEAR($AC188),MONTH($AC188),1)),(($BA188/12*$AA188)+(BB188*IF(1-$BC188=0,0,BD188/(1-$BC188))))-IF($F188="Terminated",0,SUMIFS(PayTaxDeduct,PayDate,"&lt;"&amp;$AC188,PayEmp,$C188)))</f>
        <v>0</v>
      </c>
      <c r="N188" s="133" cm="1">
        <f t="array" aca="1" ref="N188" ca="1">IF($F188="Terminated",0,IF($AA188=0,0,IF(ISNA(MATCH(N$5,DedListItem,0)),0,IF(COUNTIFS(OverEmp,$C188,OverDeduct,N$5,OverDate,"&lt;"&amp;DATE(YEAR($AC188),MONTH($AC188)+1,1),OverEnd,"&gt;="&amp;DATE(YEAR($AC188),MONTH($AC188),1))&gt;0,SUMIFS(OverValue,OverEmp,$C188,OverDeduct,N$5,OverDate,"&lt;"&amp;DATE(YEAR($AC188),MONTH($AC188)+1,1),OverEnd,"&gt;="&amp;DATE(YEAR($AC188),MONTH($AC188),1)),IF(OR(N$2="Fixed",N$2="Not Used"),(IF(COUNTIFS(EmpNo,$C188,OFFSET(Emp!$R$4,1,MATCH(N$5,DedListItem,0)-1,EmpCount,1),"&lt;&gt;")&gt;0,VLOOKUP($C188,EmpAll,COLUMN(Emp!$R$4)+MATCH(N$5,DedListItem,0)-1,0),OFFSET(Setup!$E$73,MATCH(N$5,DedListItem,0),0,1,1))*$AA188)-SUMIFS(OFFSET(N$6,1,0,PayCount,1),PayDate,"&lt;"&amp;$AC188,PayEmp,$C188),IF(ISNA(MATCH(N$2,EarnListItem,0))=FALSE,IF(OFFSET(Setup!$G$73,MATCH(N$5,DedListItem,0),0,1,1)="Taxable",SUMPRODUCT((PayEmp=$C188)*(PayDate&lt;=$AC188)*(PayEarnCode=N$2)*(PayEarnTax)*(PayEarnValues)),SUMPRODUCT((PayEmp=$C188)*(PayDate&lt;=$AC188)*(PayEarnCode=N$2)*(PayEarnValues)))*IF(COUNTIFS(EmpNo,$C188,OFFSET(Emp!$R$4,1,MATCH(N$5,DedListItem,0)-1,EmpCount,1),"&lt;&gt;")&gt;0,VLOOKUP($C188,EmpAll,COLUMN(Emp!$R$4)+MATCH(N$5,DedListItem,0)-1,0),OFFSET(Setup!$E$73,MATCH(N$5,DedListItem,0),0,1,1)),(MIN(IF(OFFSET(Setup!$G$73,MATCH(N$5,DedListItem,0),0,1,1)="Taxable",SUMPRODUCT((PayEmp=$C188)*(PayDate&lt;=$AC188)*(ISERROR(SEARCH(PayEarnCode,N$4)))*(PayEarnTax)*(PayEarnValues)),SUMPRODUCT((PayEmp=$C188)*(PayDate&lt;=$AC188)*(ISERROR(SEARCH(PayEarnCode,N$4)))*(PayEarnValues))),IF(ISNUMBER(N$3),N$3/12*$AA188,IgnoreMin)))*IF(COUNTIFS(EmpNo,$C188,OFFSET(Emp!$R$4,1,MATCH(N$5,DedListItem,0)-1,EmpCount,1),"&lt;&gt;")&gt;0,VLOOKUP($C188,EmpAll,COLUMN(Emp!$R$4)+MATCH(N$5,DedListItem,0)-1,0),OFFSET(Setup!$E$73,MATCH(N$5,DedListItem,0),0,1,1)))-SUMIFS(OFFSET(N$6,1,0,PayCount,1),PayDate,"&lt;"&amp;$AC188,PayEmp,$C188))))))</f>
        <v>0</v>
      </c>
      <c r="O188" s="133" cm="1">
        <f t="array" aca="1" ref="O188" ca="1">IF($F188="Terminated",0,IF($AA188=0,0,IF(ISNA(MATCH(O$5,DedListItem,0)),0,IF(COUNTIFS(OverEmp,$C188,OverDeduct,O$5,OverDate,"&lt;"&amp;DATE(YEAR($AC188),MONTH($AC188)+1,1),OverEnd,"&gt;="&amp;DATE(YEAR($AC188),MONTH($AC188),1))&gt;0,SUMIFS(OverValue,OverEmp,$C188,OverDeduct,O$5,OverDate,"&lt;"&amp;DATE(YEAR($AC188),MONTH($AC188)+1,1),OverEnd,"&gt;="&amp;DATE(YEAR($AC188),MONTH($AC188),1)),IF(OR(O$2="Fixed",O$2="Not Used"),(IF(COUNTIFS(EmpNo,$C188,OFFSET(Emp!$R$4,1,MATCH(O$5,DedListItem,0)-1,EmpCount,1),"&lt;&gt;")&gt;0,VLOOKUP($C188,EmpAll,COLUMN(Emp!$R$4)+MATCH(O$5,DedListItem,0)-1,0),OFFSET(Setup!$E$73,MATCH(O$5,DedListItem,0),0,1,1))*$AA188)-SUMIFS(OFFSET(O$6,1,0,PayCount,1),PayDate,"&lt;"&amp;$AC188,PayEmp,$C188),IF(ISNA(MATCH(O$2,EarnListItem,0))=FALSE,IF(OFFSET(Setup!$G$73,MATCH(O$5,DedListItem,0),0,1,1)="Taxable",SUMPRODUCT((PayEmp=$C188)*(PayDate&lt;=$AC188)*(PayEarnCode=O$2)*(PayEarnTax)*(PayEarnValues)),SUMPRODUCT((PayEmp=$C188)*(PayDate&lt;=$AC188)*(PayEarnCode=O$2)*(PayEarnValues)))*IF(COUNTIFS(EmpNo,$C188,OFFSET(Emp!$R$4,1,MATCH(O$5,DedListItem,0)-1,EmpCount,1),"&lt;&gt;")&gt;0,VLOOKUP($C188,EmpAll,COLUMN(Emp!$R$4)+MATCH(O$5,DedListItem,0)-1,0),OFFSET(Setup!$E$73,MATCH(O$5,DedListItem,0),0,1,1)),(MIN(IF(OFFSET(Setup!$G$73,MATCH(O$5,DedListItem,0),0,1,1)="Taxable",SUMPRODUCT((PayEmp=$C188)*(PayDate&lt;=$AC188)*(ISERROR(SEARCH(PayEarnCode,O$4)))*(PayEarnTax)*(PayEarnValues)),SUMPRODUCT((PayEmp=$C188)*(PayDate&lt;=$AC188)*(ISERROR(SEARCH(PayEarnCode,O$4)))*(PayEarnValues))),IF(ISNUMBER(O$3),O$3/12*$AA188,IgnoreMin)))*IF(COUNTIFS(EmpNo,$C188,OFFSET(Emp!$R$4,1,MATCH(O$5,DedListItem,0)-1,EmpCount,1),"&lt;&gt;")&gt;0,VLOOKUP($C188,EmpAll,COLUMN(Emp!$R$4)+MATCH(O$5,DedListItem,0)-1,0),OFFSET(Setup!$E$73,MATCH(O$5,DedListItem,0),0,1,1)))-SUMIFS(OFFSET(O$6,1,0,PayCount,1),PayDate,"&lt;"&amp;$AC188,PayEmp,$C188))))))</f>
        <v>0</v>
      </c>
      <c r="P188" s="133" cm="1">
        <f t="array" aca="1" ref="P188" ca="1">IF($F188="Terminated",0,IF($AA188=0,0,IF(ISNA(MATCH(P$5,DedListItem,0)),0,IF(COUNTIFS(OverEmp,$C188,OverDeduct,P$5,OverDate,"&lt;"&amp;DATE(YEAR($AC188),MONTH($AC188)+1,1),OverEnd,"&gt;="&amp;DATE(YEAR($AC188),MONTH($AC188),1))&gt;0,SUMIFS(OverValue,OverEmp,$C188,OverDeduct,P$5,OverDate,"&lt;"&amp;DATE(YEAR($AC188),MONTH($AC188)+1,1),OverEnd,"&gt;="&amp;DATE(YEAR($AC188),MONTH($AC188),1)),IF(OR(P$2="Fixed",P$2="Not Used"),(IF(COUNTIFS(EmpNo,$C188,OFFSET(Emp!$R$4,1,MATCH(P$5,DedListItem,0)-1,EmpCount,1),"&lt;&gt;")&gt;0,VLOOKUP($C188,EmpAll,COLUMN(Emp!$R$4)+MATCH(P$5,DedListItem,0)-1,0),OFFSET(Setup!$E$73,MATCH(P$5,DedListItem,0),0,1,1))*$AA188)-SUMIFS(OFFSET(P$6,1,0,PayCount,1),PayDate,"&lt;"&amp;$AC188,PayEmp,$C188),IF(ISNA(MATCH(P$2,EarnListItem,0))=FALSE,IF(OFFSET(Setup!$G$73,MATCH(P$5,DedListItem,0),0,1,1)="Taxable",SUMPRODUCT((PayEmp=$C188)*(PayDate&lt;=$AC188)*(PayEarnCode=P$2)*(PayEarnTax)*(PayEarnValues)),SUMPRODUCT((PayEmp=$C188)*(PayDate&lt;=$AC188)*(PayEarnCode=P$2)*(PayEarnValues)))*IF(COUNTIFS(EmpNo,$C188,OFFSET(Emp!$R$4,1,MATCH(P$5,DedListItem,0)-1,EmpCount,1),"&lt;&gt;")&gt;0,VLOOKUP($C188,EmpAll,COLUMN(Emp!$R$4)+MATCH(P$5,DedListItem,0)-1,0),OFFSET(Setup!$E$73,MATCH(P$5,DedListItem,0),0,1,1)),(MIN(IF(OFFSET(Setup!$G$73,MATCH(P$5,DedListItem,0),0,1,1)="Taxable",SUMPRODUCT((PayEmp=$C188)*(PayDate&lt;=$AC188)*(ISERROR(SEARCH(PayEarnCode,P$4)))*(PayEarnTax)*(PayEarnValues)),SUMPRODUCT((PayEmp=$C188)*(PayDate&lt;=$AC188)*(ISERROR(SEARCH(PayEarnCode,P$4)))*(PayEarnValues))),IF(ISNUMBER(P$3),P$3/12*$AA188,IgnoreMin)))*IF(COUNTIFS(EmpNo,$C188,OFFSET(Emp!$R$4,1,MATCH(P$5,DedListItem,0)-1,EmpCount,1),"&lt;&gt;")&gt;0,VLOOKUP($C188,EmpAll,COLUMN(Emp!$R$4)+MATCH(P$5,DedListItem,0)-1,0),OFFSET(Setup!$E$73,MATCH(P$5,DedListItem,0),0,1,1)))-SUMIFS(OFFSET(P$6,1,0,PayCount,1),PayDate,"&lt;"&amp;$AC188,PayEmp,$C188))))))</f>
        <v>0</v>
      </c>
      <c r="Q188" s="133" cm="1">
        <f t="array" aca="1" ref="Q188" ca="1">IF($F188="Terminated",0,IF($AA188=0,0,IF(ISNA(MATCH(Q$5,DedListItem,0)),0,IF(COUNTIFS(OverEmp,$C188,OverDeduct,Q$5,OverDate,"&lt;"&amp;DATE(YEAR($AC188),MONTH($AC188)+1,1),OverEnd,"&gt;="&amp;DATE(YEAR($AC188),MONTH($AC188),1))&gt;0,SUMIFS(OverValue,OverEmp,$C188,OverDeduct,Q$5,OverDate,"&lt;"&amp;DATE(YEAR($AC188),MONTH($AC188)+1,1),OverEnd,"&gt;="&amp;DATE(YEAR($AC188),MONTH($AC188),1)),IF(OR(Q$2="Fixed",Q$2="Not Used"),(IF(COUNTIFS(EmpNo,$C188,OFFSET(Emp!$R$4,1,MATCH(Q$5,DedListItem,0)-1,EmpCount,1),"&lt;&gt;")&gt;0,VLOOKUP($C188,EmpAll,COLUMN(Emp!$R$4)+MATCH(Q$5,DedListItem,0)-1,0),OFFSET(Setup!$E$73,MATCH(Q$5,DedListItem,0),0,1,1))*$AA188)-SUMIFS(OFFSET(Q$6,1,0,PayCount,1),PayDate,"&lt;"&amp;$AC188,PayEmp,$C188),IF(ISNA(MATCH(Q$2,EarnListItem,0))=FALSE,IF(OFFSET(Setup!$G$73,MATCH(Q$5,DedListItem,0),0,1,1)="Taxable",SUMPRODUCT((PayEmp=$C188)*(PayDate&lt;=$AC188)*(PayEarnCode=Q$2)*(PayEarnTax)*(PayEarnValues)),SUMPRODUCT((PayEmp=$C188)*(PayDate&lt;=$AC188)*(PayEarnCode=Q$2)*(PayEarnValues)))*IF(COUNTIFS(EmpNo,$C188,OFFSET(Emp!$R$4,1,MATCH(Q$5,DedListItem,0)-1,EmpCount,1),"&lt;&gt;")&gt;0,VLOOKUP($C188,EmpAll,COLUMN(Emp!$R$4)+MATCH(Q$5,DedListItem,0)-1,0),OFFSET(Setup!$E$73,MATCH(Q$5,DedListItem,0),0,1,1)),(MIN(IF(OFFSET(Setup!$G$73,MATCH(Q$5,DedListItem,0),0,1,1)="Taxable",SUMPRODUCT((PayEmp=$C188)*(PayDate&lt;=$AC188)*(ISERROR(SEARCH(PayEarnCode,Q$4)))*(PayEarnTax)*(PayEarnValues)),SUMPRODUCT((PayEmp=$C188)*(PayDate&lt;=$AC188)*(ISERROR(SEARCH(PayEarnCode,Q$4)))*(PayEarnValues))),IF(ISNUMBER(Q$3),Q$3/12*$AA188,IgnoreMin)))*IF(COUNTIFS(EmpNo,$C188,OFFSET(Emp!$R$4,1,MATCH(Q$5,DedListItem,0)-1,EmpCount,1),"&lt;&gt;")&gt;0,VLOOKUP($C188,EmpAll,COLUMN(Emp!$R$4)+MATCH(Q$5,DedListItem,0)-1,0),OFFSET(Setup!$E$73,MATCH(Q$5,DedListItem,0),0,1,1)))-SUMIFS(OFFSET(Q$6,1,0,PayCount,1),PayDate,"&lt;"&amp;$AC188,PayEmp,$C188))))))</f>
        <v>0</v>
      </c>
      <c r="R188" s="185">
        <f t="shared" ca="1" si="85"/>
        <v>0</v>
      </c>
      <c r="S188" s="139">
        <f t="shared" ca="1" si="86"/>
        <v>0</v>
      </c>
      <c r="T188" s="133" cm="1">
        <f t="array" aca="1" ref="T188" ca="1">IF($F188="Terminated",0,IF($AA188=0,0,IF(ISNA(MATCH(T$5,CompListItem,0)),0,IF(COUNTIFS(OverEmp,$C188,OverComp,T$5,OverDate,"&lt;"&amp;DATE(YEAR($AC188),MONTH($AC188)+1,1),OverEnd,"&gt;="&amp;DATE(YEAR($AC188),MONTH($AC188),1))&gt;0,SUMIFS(OverValue,OverEmp,$C188,OverComp,T$5,OverDate,"&lt;"&amp;DATE(YEAR($AC188),MONTH($AC188)+1,1),OverEnd,"&gt;="&amp;DATE(YEAR($AC188),MONTH($AC188),1)),IF(OR(T$2="Fixed",T$2="Not Used"),(OFFSET(Setup!$E$81,MATCH(T$5,CompListItem,0),0,1,1)*$AA188)-SUMIFS(OFFSET(T$6,1,0,PayCount,1),PayDate,"&lt;"&amp;$AC188,PayEmp,$C188),IF(ISNA(MATCH(T$2,DedListItem,0))=FALSE,(SUMPRODUCT((PayEmp=$C188)*(PayDate&lt;=$AC188)*(PayDedList=T$2)*(PayDedValues))*OFFSET(Setup!$E$81,MATCH(T$5,CompListItem,0),0,1,1))-SUMIFS(OFFSET(T$6,1,0,PayCount,1),PayDate,"&lt;"&amp;$AC188,PayEmp,$C188),(MIN(IF(OFFSET(Setup!$G$81,MATCH(T$5,CompListItem,0),0,1,1)="Taxable",SUMPRODUCT((PayEmp=$C188)*(PayDate&lt;=$AC188)*(ISERROR(SEARCH(PayEarnCode,T$4)))*(PayEarnTax)*(PayEarnValues)),SUMPRODUCT((PayEmp=$C188)*(PayDate&lt;=$AC188)*(ISERROR(SEARCH(PayEarnCode,T$4)))*(PayEarnValues))),IF(ISNUMBER(T$3),T$3/12*$AA188,IgnoreMin)))*OFFSET(Setup!$E$81,MATCH(T$5,CompListItem,0),0,1,1)-SUMIFS(OFFSET(T$6,1,0,PayCount,1),PayDate,"&lt;"&amp;$AC188,PayEmp,$C188)))))))</f>
        <v>0</v>
      </c>
      <c r="U188" s="133" cm="1">
        <f t="array" aca="1" ref="U188" ca="1">IF($F188="Terminated",0,IF($AA188=0,0,IF(ISNA(MATCH(U$5,CompListItem,0)),0,IF(COUNTIFS(OverEmp,$C188,OverComp,U$5,OverDate,"&lt;"&amp;DATE(YEAR($AC188),MONTH($AC188)+1,1),OverEnd,"&gt;="&amp;DATE(YEAR($AC188),MONTH($AC188),1))&gt;0,SUMIFS(OverValue,OverEmp,$C188,OverComp,U$5,OverDate,"&lt;"&amp;DATE(YEAR($AC188),MONTH($AC188)+1,1),OverEnd,"&gt;="&amp;DATE(YEAR($AC188),MONTH($AC188),1)),IF(OR(U$2="Fixed",U$2="Not Used"),(OFFSET(Setup!$E$81,MATCH(U$5,CompListItem,0),0,1,1)*$AA188)-SUMIFS(OFFSET(U$6,1,0,PayCount,1),PayDate,"&lt;"&amp;$AC188,PayEmp,$C188),IF(ISNA(MATCH(U$2,DedListItem,0))=FALSE,(SUMPRODUCT((PayEmp=$C188)*(PayDate&lt;=$AC188)*(PayDedList=U$2)*(PayDedValues))*OFFSET(Setup!$E$81,MATCH(U$5,CompListItem,0),0,1,1))-SUMIFS(OFFSET(U$6,1,0,PayCount,1),PayDate,"&lt;"&amp;$AC188,PayEmp,$C188),(MIN(IF(OFFSET(Setup!$G$81,MATCH(U$5,CompListItem,0),0,1,1)="Taxable",SUMPRODUCT((PayEmp=$C188)*(PayDate&lt;=$AC188)*(ISERROR(SEARCH(PayEarnCode,U$4)))*(PayEarnTax)*(PayEarnValues)),SUMPRODUCT((PayEmp=$C188)*(PayDate&lt;=$AC188)*(ISERROR(SEARCH(PayEarnCode,U$4)))*(PayEarnValues))),IF(ISNUMBER(U$3),U$3/12*$AA188,IgnoreMin)))*OFFSET(Setup!$E$81,MATCH(U$5,CompListItem,0),0,1,1)-SUMIFS(OFFSET(U$6,1,0,PayCount,1),PayDate,"&lt;"&amp;$AC188,PayEmp,$C188)))))))</f>
        <v>0</v>
      </c>
      <c r="V188" s="133" cm="1">
        <f t="array" aca="1" ref="V188" ca="1">IF($F188="Terminated",0,IF($AA188=0,0,IF(ISNA(MATCH(V$5,CompListItem,0)),0,IF(COUNTIFS(OverEmp,$C188,OverComp,V$5,OverDate,"&lt;"&amp;DATE(YEAR($AC188),MONTH($AC188)+1,1),OverEnd,"&gt;="&amp;DATE(YEAR($AC188),MONTH($AC188),1))&gt;0,SUMIFS(OverValue,OverEmp,$C188,OverComp,V$5,OverDate,"&lt;"&amp;DATE(YEAR($AC188),MONTH($AC188)+1,1),OverEnd,"&gt;="&amp;DATE(YEAR($AC188),MONTH($AC188),1)),IF(OR(V$2="Fixed",V$2="Not Used"),(OFFSET(Setup!$E$81,MATCH(V$5,CompListItem,0),0,1,1)*$AA188)-SUMIFS(OFFSET(V$6,1,0,PayCount,1),PayDate,"&lt;"&amp;$AC188,PayEmp,$C188),IF(ISNA(MATCH(V$2,DedListItem,0))=FALSE,(SUMPRODUCT((PayEmp=$C188)*(PayDate&lt;=$AC188)*(PayDedList=V$2)*(PayDedValues))*OFFSET(Setup!$E$81,MATCH(V$5,CompListItem,0),0,1,1))-SUMIFS(OFFSET(V$6,1,0,PayCount,1),PayDate,"&lt;"&amp;$AC188,PayEmp,$C188),(MIN(IF(OFFSET(Setup!$G$81,MATCH(V$5,CompListItem,0),0,1,1)="Taxable",SUMPRODUCT((PayEmp=$C188)*(PayDate&lt;=$AC188)*(ISERROR(SEARCH(PayEarnCode,V$4)))*(PayEarnTax)*(PayEarnValues)),SUMPRODUCT((PayEmp=$C188)*(PayDate&lt;=$AC188)*(ISERROR(SEARCH(PayEarnCode,V$4)))*(PayEarnValues))),IF(ISNUMBER(V$3),V$3/12*$AA188,IgnoreMin)))*OFFSET(Setup!$E$81,MATCH(V$5,CompListItem,0),0,1,1)-SUMIFS(OFFSET(V$6,1,0,PayCount,1),PayDate,"&lt;"&amp;$AC188,PayEmp,$C188)))))))</f>
        <v>0</v>
      </c>
      <c r="W188" s="133" cm="1">
        <f t="array" aca="1" ref="W188" ca="1">IF($F188="Terminated",0,IF($AA188=0,0,IF(ISNA(MATCH(W$5,CompListItem,0)),0,IF(COUNTIFS(OverEmp,$C188,OverComp,W$5,OverDate,"&lt;"&amp;DATE(YEAR($AC188),MONTH($AC188)+1,1),OverEnd,"&gt;="&amp;DATE(YEAR($AC188),MONTH($AC188),1))&gt;0,SUMIFS(OverValue,OverEmp,$C188,OverComp,W$5,OverDate,"&lt;"&amp;DATE(YEAR($AC188),MONTH($AC188)+1,1),OverEnd,"&gt;="&amp;DATE(YEAR($AC188),MONTH($AC188),1)),IF(OR(W$2="Fixed",W$2="Not Used"),(OFFSET(Setup!$E$81,MATCH(W$5,CompListItem,0),0,1,1)*$AA188)-SUMIFS(OFFSET(W$6,1,0,PayCount,1),PayDate,"&lt;"&amp;$AC188,PayEmp,$C188),IF(ISNA(MATCH(W$2,DedListItem,0))=FALSE,(SUMPRODUCT((PayEmp=$C188)*(PayDate&lt;=$AC188)*(PayDedList=W$2)*(PayDedValues))*OFFSET(Setup!$E$81,MATCH(W$5,CompListItem,0),0,1,1))-SUMIFS(OFFSET(W$6,1,0,PayCount,1),PayDate,"&lt;"&amp;$AC188,PayEmp,$C188),(MIN(IF(OFFSET(Setup!$G$81,MATCH(W$5,CompListItem,0),0,1,1)="Taxable",SUMPRODUCT((PayEmp=$C188)*(PayDate&lt;=$AC188)*(ISERROR(SEARCH(PayEarnCode,W$4)))*(PayEarnTax)*(PayEarnValues)),SUMPRODUCT((PayEmp=$C188)*(PayDate&lt;=$AC188)*(ISERROR(SEARCH(PayEarnCode,W$4)))*(PayEarnValues))),IF(ISNUMBER(W$3),W$3/12*$AA188,IgnoreMin)))*OFFSET(Setup!$E$81,MATCH(W$5,CompListItem,0),0,1,1)-SUMIFS(OFFSET(W$6,1,0,PayCount,1),PayDate,"&lt;"&amp;$AC188,PayEmp,$C188)))))))</f>
        <v>0</v>
      </c>
      <c r="X188" s="185">
        <f t="shared" ca="1" si="90"/>
        <v>0</v>
      </c>
      <c r="Y188" s="139">
        <f t="shared" ca="1" si="87"/>
        <v>0</v>
      </c>
      <c r="Z188" s="139">
        <f t="shared" ca="1" si="91"/>
        <v>0</v>
      </c>
      <c r="AA188" s="146">
        <f ca="1">IF(OR($B188&lt;=Setup!$E$12,$B188&gt;=Setup!$D$12+1),0,IF($F188&lt;&gt;"Active",0,IF($AE188="Yes",$AB188,((YEAR($AC188)*12)+MONTH($AC188))-((YEAR($AD188)*12)+MONTH($AD188)-1))))</f>
        <v>0</v>
      </c>
      <c r="AB188" s="146">
        <f ca="1">IF(OR($B188&lt;=Setup!$E$12,$B188&gt;=Setup!$D$12+1),0,((YEAR($AC188)*12)+MONTH($AC188))-((YEAR(Setup!$E$12)*12)+MONTH(Setup!$E$12)))</f>
        <v>12</v>
      </c>
      <c r="AC188" s="186">
        <f t="shared" ca="1" si="92"/>
        <v>45351</v>
      </c>
      <c r="AD188" s="144">
        <f ca="1">IF(ISNA(VLOOKUP($C188,EmpAll,COLUMN(Emp!$E$4),0)),$AC188,IF(VLOOKUP($C188,EmpAll,COLUMN(Emp!$E$4),0)&lt;=Setup!$E$12,DATE(YEAR(Setup!$E$12),MONTH(Setup!$E$12)+1,1),VLOOKUP($C188,EmpAll,COLUMN(Emp!$E$4),0)))</f>
        <v>45351</v>
      </c>
      <c r="AE188" s="144" t="str">
        <f ca="1">IF(ISNA(VLOOKUP($C188,EmpAll,COLUMN(Emp!$G$1),0)),"-",IF(VLOOKUP($C188,EmpAll,COLUMN(Emp!$G$1),0)=0,"-",VLOOKUP($C188,EmpAll,COLUMN(Emp!$G$1),0)))</f>
        <v>-</v>
      </c>
      <c r="AF188" s="145">
        <f>IF(A188=PaySlip!$G$3,1,0)</f>
        <v>0</v>
      </c>
      <c r="AG188" s="130" cm="1">
        <f t="array" aca="1" ref="AG188" ca="1">IF(COUNTIFS(OverEmp,$C188,OverMed,"MED",OverDate,"&lt;"&amp;DATE(YEAR($AC188),MONTH($AC188)+1,1),OverEnd,"&gt;="&amp;DATE(YEAR($AC188),MONTH($AC188),1))&gt;0,SUMIFS(OverValue,OverEmp,$C188,OverMed,"MED",OverDate,"&lt;"&amp;DATE(YEAR($AC188),MONTH($AC188)+1,1),OverEnd,"&gt;="&amp;DATE(YEAR($AC188),MONTH($AC188),1)),IF(ISNA(VLOOKUP($C188,EmpAll,COLUMN(Emp!$N$4),0)),0,VLOOKUP($C188,EmpAll,COLUMN(Emp!$N$4),0)))</f>
        <v>0</v>
      </c>
      <c r="AH188" s="146">
        <f ca="1">VLOOKUP($AG188,MedList,COLUMN(Setup!$C$49),1)</f>
        <v>0</v>
      </c>
      <c r="AI188" s="146">
        <f t="shared" ca="1" si="70"/>
        <v>0</v>
      </c>
      <c r="AJ188" s="101" t="str">
        <f ca="1">IF(ISNA(VLOOKUP($C188,EmpAll,COLUMN(Emp!$L$4),0)),"None!",VLOOKUP($C188,EmpAll,COLUMN(Emp!$L$4),0))</f>
        <v>None!</v>
      </c>
      <c r="AK188" s="147">
        <f t="shared" ca="1" si="80"/>
        <v>17235</v>
      </c>
      <c r="AL188" s="101" t="str">
        <f ca="1">IF(ISNA(VLOOKUP($C188,Employees[],COLUMN(Emp!$M$4),0))=TRUE,"Error!",IF(VLOOKUP($C188,Employees[],COLUMN(Emp!$M$4),0)=0,"Yes",VLOOKUP($C188,Employees[],COLUMN(Emp!$M$4),0)))</f>
        <v>Error!</v>
      </c>
      <c r="AM188" s="148">
        <f t="shared" ca="1" si="71"/>
        <v>0</v>
      </c>
      <c r="AN188" s="148" cm="1">
        <f t="array" aca="1" ref="AN188" ca="1">-IF($F188="Terminated",0,IF($AA188=0,0,IF(ISNA(MATCH(AN$5,PayDedList,0)),0,MIN(IF(COUNTIFS(OverEmp,$C188,OverDeduct,AN$5,OverDate,"&lt;"&amp;DATE(YEAR($AC188),MONTH($AC188)+1,1),OverEnd,"&gt;="&amp;DATE(YEAR($AC188),MONTH($AC188),1))&gt;0,SUMPRODUCT((PayEmp=$C188)*(PayDate&lt;=$AC188)*(OFFSET($N$6,1,MATCH(AN$5,PayDedList,0)-1,PayCount,1)))/$AA188*12*AN$3,IF(OR(AN$1="Fixed",AN$1="Not Used"),SUMPRODUCT((PayEmp=$C188)*(PayDate&lt;=$AC188)*(OFFSET($N$6,1,MATCH(AN$5,PayDedList,0)-1,PayCount,1)))/$AA188*12*AN$3,IF(ISNA(MATCH(AN$1,EarnListItem,0))=FALSE,SUMPRODUCT((PayEmp=$C188)*(PayDate&lt;=$AC188)*(OFFSET($N$6,1,MATCH(AN$5,PayDedList,0)-1,PayCount,1)))/$AA188*12*AN$3,(MIN(((SUMPRODUCT((PayEmp=$C188)*(PayDate&lt;=$AC188)*(ISERROR(SEARCH(PayEarnCode,AN$2)))*(PayEarnType="Monthly")*(PayEarnValues))/$AA188*12)+(SUMPRODUCT((PayEmp=$C188)*(PayDate&lt;=$AC188)*(ISERROR(SEARCH(PayEarnCode,AN$2)))*(PayEarnType="Quarterly")*(PayEarnValues))/MAX(1,ROUNDDOWN($AB188/3,0))*4)+(SUMPRODUCT((PayEmp=$C188)*(PayDate&lt;=$AC188)*(ISERROR(SEARCH(PayEarnCode,AN$2)))*(PayEarnType="Bi-Annual")*(PayEarnValues))/MAX(1,ROUNDDOWN($AB188/6,0))*2)+(SUMPRODUCT((PayEmp=$C188)*(PayDate&lt;=$AC188)*(ISERROR(SEARCH(PayEarnCode,AN$2)))*(PayEarnType="Annual")*(PayEarnValues)))),IF(ISNUMBER(OFFSET($N$3,0,MATCH(AN$5,PayDedList,0)-1,1,1)),OFFSET($N$3,0,MATCH(AN$5,PayDedList,0)-1,1,1),IgnoreMin)))*IF(COUNTIFS(EmpNo,$C188,OFFSET(Emp!$R$4,1,MATCH(AN$5,DedListItem,0)-1,EmpCount,1),"&lt;&gt;")&gt;0,VLOOKUP($C188,EmpAll,COLUMN(Emp!$R$4)+MATCH(AN$5,DedListItem,0)-1,0),OFFSET(Setup!$E$73,MATCH(AN$5,DedListItem,0),0,1,1))*AN$3))),IF(ISNUMBER(AN$4),AN$4,IgnoreMin)))))</f>
        <v>0</v>
      </c>
      <c r="AO188" s="148" cm="1">
        <f t="array" aca="1" ref="AO188" ca="1">-IF($F188="Terminated",0,IF($AA188=0,0,IF(ISNA(MATCH(AO$5,PayDedList,0)),0,MIN(IF(COUNTIFS(OverEmp,$C188,OverDeduct,AO$5,OverDate,"&lt;"&amp;DATE(YEAR($AC188),MONTH($AC188)+1,1),OverEnd,"&gt;="&amp;DATE(YEAR($AC188),MONTH($AC188),1))&gt;0,SUMPRODUCT((PayEmp=$C188)*(PayDate&lt;=$AC188)*(OFFSET($N$6,1,MATCH(AO$5,PayDedList,0)-1,PayCount,1)))/$AA188*12*AO$3,IF(OR(AO$1="Fixed",AO$1="Not Used"),SUMPRODUCT((PayEmp=$C188)*(PayDate&lt;=$AC188)*(OFFSET($N$6,1,MATCH(AO$5,PayDedList,0)-1,PayCount,1)))/$AA188*12*AO$3,IF(ISNA(MATCH(AO$1,EarnListItem,0))=FALSE,SUMPRODUCT((PayEmp=$C188)*(PayDate&lt;=$AC188)*(OFFSET($N$6,1,MATCH(AO$5,PayDedList,0)-1,PayCount,1)))/$AA188*12*AO$3,(MIN(((SUMPRODUCT((PayEmp=$C188)*(PayDate&lt;=$AC188)*(ISERROR(SEARCH(PayEarnCode,AO$2)))*(PayEarnType="Monthly")*(PayEarnValues))/$AA188*12)+(SUMPRODUCT((PayEmp=$C188)*(PayDate&lt;=$AC188)*(ISERROR(SEARCH(PayEarnCode,AO$2)))*(PayEarnType="Quarterly")*(PayEarnValues))/MAX(1,ROUNDDOWN($AB188/3,0))*4)+(SUMPRODUCT((PayEmp=$C188)*(PayDate&lt;=$AC188)*(ISERROR(SEARCH(PayEarnCode,AO$2)))*(PayEarnType="Bi-Annual")*(PayEarnValues))/MAX(1,ROUNDDOWN($AB188/6,0))*2)+(SUMPRODUCT((PayEmp=$C188)*(PayDate&lt;=$AC188)*(ISERROR(SEARCH(PayEarnCode,AO$2)))*(PayEarnType="Annual")*(PayEarnValues)))),IF(ISNUMBER(OFFSET($N$3,0,MATCH(AO$5,PayDedList,0)-1,1,1)),OFFSET($N$3,0,MATCH(AO$5,PayDedList,0)-1,1,1),IgnoreMin)))*IF(COUNTIFS(EmpNo,$C188,OFFSET(Emp!$R$4,1,MATCH(AO$5,DedListItem,0)-1,EmpCount,1),"&lt;&gt;")&gt;0,VLOOKUP($C188,EmpAll,COLUMN(Emp!$R$4)+MATCH(AO$5,DedListItem,0)-1,0),OFFSET(Setup!$E$73,MATCH(AO$5,DedListItem,0),0,1,1))*AO$3))),IF(ISNUMBER(AO$4),AO$4,IgnoreMin)))))</f>
        <v>0</v>
      </c>
      <c r="AP188" s="148" cm="1">
        <f t="array" aca="1" ref="AP188" ca="1">-IF($F188="Terminated",0,IF($AA188=0,0,IF(ISNA(MATCH(AP$5,PayDedList,0)),0,MIN(IF(COUNTIFS(OverEmp,$C188,OverDeduct,AP$5,OverDate,"&lt;"&amp;DATE(YEAR($AC188),MONTH($AC188)+1,1),OverEnd,"&gt;="&amp;DATE(YEAR($AC188),MONTH($AC188),1))&gt;0,SUMPRODUCT((PayEmp=$C188)*(PayDate&lt;=$AC188)*(OFFSET($N$6,1,MATCH(AP$5,PayDedList,0)-1,PayCount,1)))/$AA188*12*AP$3,IF(OR(AP$1="Fixed",AP$1="Not Used"),SUMPRODUCT((PayEmp=$C188)*(PayDate&lt;=$AC188)*(OFFSET($N$6,1,MATCH(AP$5,PayDedList,0)-1,PayCount,1)))/$AA188*12*AP$3,IF(ISNA(MATCH(AP$1,EarnListItem,0))=FALSE,SUMPRODUCT((PayEmp=$C188)*(PayDate&lt;=$AC188)*(OFFSET($N$6,1,MATCH(AP$5,PayDedList,0)-1,PayCount,1)))/$AA188*12*AP$3,(MIN(((SUMPRODUCT((PayEmp=$C188)*(PayDate&lt;=$AC188)*(ISERROR(SEARCH(PayEarnCode,AP$2)))*(PayEarnType="Monthly")*(PayEarnValues))/$AA188*12)+(SUMPRODUCT((PayEmp=$C188)*(PayDate&lt;=$AC188)*(ISERROR(SEARCH(PayEarnCode,AP$2)))*(PayEarnType="Quarterly")*(PayEarnValues))/MAX(1,ROUNDDOWN($AB188/3,0))*4)+(SUMPRODUCT((PayEmp=$C188)*(PayDate&lt;=$AC188)*(ISERROR(SEARCH(PayEarnCode,AP$2)))*(PayEarnType="Bi-Annual")*(PayEarnValues))/MAX(1,ROUNDDOWN($AB188/6,0))*2)+(SUMPRODUCT((PayEmp=$C188)*(PayDate&lt;=$AC188)*(ISERROR(SEARCH(PayEarnCode,AP$2)))*(PayEarnType="Annual")*(PayEarnValues)))),IF(ISNUMBER(OFFSET($N$3,0,MATCH(AP$5,PayDedList,0)-1,1,1)),OFFSET($N$3,0,MATCH(AP$5,PayDedList,0)-1,1,1),IgnoreMin)))*IF(COUNTIFS(EmpNo,$C188,OFFSET(Emp!$R$4,1,MATCH(AP$5,DedListItem,0)-1,EmpCount,1),"&lt;&gt;")&gt;0,VLOOKUP($C188,EmpAll,COLUMN(Emp!$R$4)+MATCH(AP$5,DedListItem,0)-1,0),OFFSET(Setup!$E$73,MATCH(AP$5,DedListItem,0),0,1,1))*AP$3))),IF(ISNUMBER(AP$4),AP$4,IgnoreMin)))))</f>
        <v>0</v>
      </c>
      <c r="AQ188" s="148" cm="1">
        <f t="array" aca="1" ref="AQ188" ca="1">-IF($F188="Terminated",0,IF($AA188=0,0,IF(ISNA(MATCH(AQ$5,PayDedList,0)),0,MIN(IF(COUNTIFS(OverEmp,$C188,OverDeduct,AQ$5,OverDate,"&lt;"&amp;DATE(YEAR($AC188),MONTH($AC188)+1,1),OverEnd,"&gt;="&amp;DATE(YEAR($AC188),MONTH($AC188),1))&gt;0,SUMPRODUCT((PayEmp=$C188)*(PayDate&lt;=$AC188)*(OFFSET($N$6,1,MATCH(AQ$5,PayDedList,0)-1,PayCount,1)))/$AA188*12*AQ$3,IF(OR(AQ$1="Fixed",AQ$1="Not Used"),SUMPRODUCT((PayEmp=$C188)*(PayDate&lt;=$AC188)*(OFFSET($N$6,1,MATCH(AQ$5,PayDedList,0)-1,PayCount,1)))/$AA188*12*AQ$3,IF(ISNA(MATCH(AQ$1,EarnListItem,0))=FALSE,SUMPRODUCT((PayEmp=$C188)*(PayDate&lt;=$AC188)*(OFFSET($N$6,1,MATCH(AQ$5,PayDedList,0)-1,PayCount,1)))/$AA188*12*AQ$3,(MIN(((SUMPRODUCT((PayEmp=$C188)*(PayDate&lt;=$AC188)*(ISERROR(SEARCH(PayEarnCode,AQ$2)))*(PayEarnType="Monthly")*(PayEarnValues))/$AA188*12)+(SUMPRODUCT((PayEmp=$C188)*(PayDate&lt;=$AC188)*(ISERROR(SEARCH(PayEarnCode,AQ$2)))*(PayEarnType="Quarterly")*(PayEarnValues))/MAX(1,ROUNDDOWN($AB188/3,0))*4)+(SUMPRODUCT((PayEmp=$C188)*(PayDate&lt;=$AC188)*(ISERROR(SEARCH(PayEarnCode,AQ$2)))*(PayEarnType="Bi-Annual")*(PayEarnValues))/MAX(1,ROUNDDOWN($AB188/6,0))*2)+(SUMPRODUCT((PayEmp=$C188)*(PayDate&lt;=$AC188)*(ISERROR(SEARCH(PayEarnCode,AQ$2)))*(PayEarnType="Annual")*(PayEarnValues)))),IF(ISNUMBER(OFFSET($N$3,0,MATCH(AQ$5,PayDedList,0)-1,1,1)),OFFSET($N$3,0,MATCH(AQ$5,PayDedList,0)-1,1,1),IgnoreMin)))*IF(COUNTIFS(EmpNo,$C188,OFFSET(Emp!$R$4,1,MATCH(AQ$5,DedListItem,0)-1,EmpCount,1),"&lt;&gt;")&gt;0,VLOOKUP($C188,EmpAll,COLUMN(Emp!$R$4)+MATCH(AQ$5,DedListItem,0)-1,0),OFFSET(Setup!$E$73,MATCH(AQ$5,DedListItem,0),0,1,1))*AQ$3))),IF(ISNUMBER(AQ$4),AQ$4,IgnoreMin)))))</f>
        <v>0</v>
      </c>
      <c r="AR188" s="148">
        <f t="shared" ca="1" si="93"/>
        <v>0</v>
      </c>
      <c r="AS188" s="148">
        <f t="shared" ca="1" si="72"/>
        <v>0</v>
      </c>
      <c r="AT188" s="148" cm="1">
        <f t="array" aca="1" ref="AT188" ca="1">-IF($F188="Terminated",0,IF($AA188=0,0,IF(ISNA(MATCH(AT$5,PayDedList,0)),0,MIN(IF(COUNTIFS(OverEmp,$C188,OverDeduct,AT$5,OverDate,"&lt;"&amp;DATE(YEAR($AC188),MONTH($AC188)+1,1),OverEnd,"&gt;="&amp;DATE(YEAR($AC188),MONTH($AC188),1))&gt;0,SUMPRODUCT((PayEmp=$C188)*(PayDate&lt;=$AC188)*(OFFSET($N$6,1,MATCH(AT$5,PayDedList,0)-1,PayCount,1)))/$AA188*12*AT$3,IF(OR(AT$1="Fixed",AT$1="Not Used"),SUMPRODUCT((PayEmp=$C188)*(PayDate&lt;=$AC188)*(OFFSET($N$6,1,MATCH(AT$5,PayDedList,0)-1,PayCount,1)))/$AA188*12*AT$3,IF(ISNA(MATCH(OFFSET($N$2,0,MATCH(AT$5,PayDedList,0)-1,1,1),EarnListItem,0))=FALSE,SUMPRODUCT((PayEmp=$C188)*(PayDate&lt;=$AC188)*(OFFSET($N$6,1,MATCH(AT$5,PayDedList,0)-1,PayCount,1)))/$AA188*12*AT$3,(MIN(SUMPRODUCT((PayEmp=$C188)*(PayDate&lt;=$AC188)*(ISERROR(SEARCH(PayEarnCode,AT$2)))*(PayEarnType="Monthly")*(PayEarnValues))/$AA188*12,IF(ISNUMBER(OFFSET($N$3,0,MATCH(AT$5,PayDedList,0)-1,1,1)),OFFSET($N$3,0,MATCH(AT$5,PayDedList,0)-1,1,1),IgnoreMin)))*IF(COUNTIFS(EmpNo,$C188,OFFSET(Emp!$R$4,1,MATCH(AT$5,DedListItem,0)-1,EmpCount,1),"&lt;&gt;")&gt;0,VLOOKUP($C188,EmpAll,COLUMN(Emp!$R$4)+MATCH(AT$5,DedListItem,0)-1,0),OFFSET(Setup!$E$73,MATCH(AT$5,DedListItem,0),0,1,1))*AT$3))),IF(ISNUMBER(AT$4),AT$4,IgnoreMin)))))</f>
        <v>0</v>
      </c>
      <c r="AU188" s="148" cm="1">
        <f t="array" aca="1" ref="AU188" ca="1">-IF($F188="Terminated",0,IF($AA188=0,0,IF(ISNA(MATCH(AU$5,PayDedList,0)),0,MIN(IF(COUNTIFS(OverEmp,$C188,OverDeduct,AU$5,OverDate,"&lt;"&amp;DATE(YEAR($AC188),MONTH($AC188)+1,1),OverEnd,"&gt;="&amp;DATE(YEAR($AC188),MONTH($AC188),1))&gt;0,SUMPRODUCT((PayEmp=$C188)*(PayDate&lt;=$AC188)*(OFFSET($N$6,1,MATCH(AU$5,PayDedList,0)-1,PayCount,1)))/$AA188*12*AU$3,IF(OR(AU$1="Fixed",AU$1="Not Used"),SUMPRODUCT((PayEmp=$C188)*(PayDate&lt;=$AC188)*(OFFSET($N$6,1,MATCH(AU$5,PayDedList,0)-1,PayCount,1)))/$AA188*12*AU$3,IF(ISNA(MATCH(OFFSET($N$2,0,MATCH(AU$5,PayDedList,0)-1,1,1),EarnListItem,0))=FALSE,SUMPRODUCT((PayEmp=$C188)*(PayDate&lt;=$AC188)*(OFFSET($N$6,1,MATCH(AU$5,PayDedList,0)-1,PayCount,1)))/$AA188*12*AU$3,(MIN(SUMPRODUCT((PayEmp=$C188)*(PayDate&lt;=$AC188)*(ISERROR(SEARCH(PayEarnCode,AU$2)))*(PayEarnType="Monthly")*(PayEarnValues))/$AA188*12,IF(ISNUMBER(OFFSET($N$3,0,MATCH(AU$5,PayDedList,0)-1,1,1)),OFFSET($N$3,0,MATCH(AU$5,PayDedList,0)-1,1,1),IgnoreMin)))*IF(COUNTIFS(EmpNo,$C188,OFFSET(Emp!$R$4,1,MATCH(AU$5,DedListItem,0)-1,EmpCount,1),"&lt;&gt;")&gt;0,VLOOKUP($C188,EmpAll,COLUMN(Emp!$R$4)+MATCH(AU$5,DedListItem,0)-1,0),OFFSET(Setup!$E$73,MATCH(AU$5,DedListItem,0),0,1,1))*AU$3))),IF(ISNUMBER(AU$4),AU$4,IgnoreMin)))))</f>
        <v>0</v>
      </c>
      <c r="AV188" s="148" cm="1">
        <f t="array" aca="1" ref="AV188" ca="1">-IF($F188="Terminated",0,IF($AA188=0,0,IF(ISNA(MATCH(AV$5,PayDedList,0)),0,MIN(IF(COUNTIFS(OverEmp,$C188,OverDeduct,AV$5,OverDate,"&lt;"&amp;DATE(YEAR($AC188),MONTH($AC188)+1,1),OverEnd,"&gt;="&amp;DATE(YEAR($AC188),MONTH($AC188),1))&gt;0,SUMPRODUCT((PayEmp=$C188)*(PayDate&lt;=$AC188)*(OFFSET($N$6,1,MATCH(AV$5,PayDedList,0)-1,PayCount,1)))/$AA188*12*AV$3,IF(OR(AV$1="Fixed",AV$1="Not Used"),SUMPRODUCT((PayEmp=$C188)*(PayDate&lt;=$AC188)*(OFFSET($N$6,1,MATCH(AV$5,PayDedList,0)-1,PayCount,1)))/$AA188*12*AV$3,IF(ISNA(MATCH(OFFSET($N$2,0,MATCH(AV$5,PayDedList,0)-1,1,1),EarnListItem,0))=FALSE,SUMPRODUCT((PayEmp=$C188)*(PayDate&lt;=$AC188)*(OFFSET($N$6,1,MATCH(AV$5,PayDedList,0)-1,PayCount,1)))/$AA188*12*AV$3,(MIN(SUMPRODUCT((PayEmp=$C188)*(PayDate&lt;=$AC188)*(ISERROR(SEARCH(PayEarnCode,AV$2)))*(PayEarnType="Monthly")*(PayEarnValues))/$AA188*12,IF(ISNUMBER(OFFSET($N$3,0,MATCH(AV$5,PayDedList,0)-1,1,1)),OFFSET($N$3,0,MATCH(AV$5,PayDedList,0)-1,1,1),IgnoreMin)))*IF(COUNTIFS(EmpNo,$C188,OFFSET(Emp!$R$4,1,MATCH(AV$5,DedListItem,0)-1,EmpCount,1),"&lt;&gt;")&gt;0,VLOOKUP($C188,EmpAll,COLUMN(Emp!$R$4)+MATCH(AV$5,DedListItem,0)-1,0),OFFSET(Setup!$E$73,MATCH(AV$5,DedListItem,0),0,1,1))*AV$3))),IF(ISNUMBER(AV$4),AV$4,IgnoreMin)))))</f>
        <v>0</v>
      </c>
      <c r="AW188" s="148" cm="1">
        <f t="array" aca="1" ref="AW188" ca="1">-IF($F188="Terminated",0,IF($AA188=0,0,IF(ISNA(MATCH(AW$5,PayDedList,0)),0,MIN(IF(COUNTIFS(OverEmp,$C188,OverDeduct,AW$5,OverDate,"&lt;"&amp;DATE(YEAR($AC188),MONTH($AC188)+1,1),OverEnd,"&gt;="&amp;DATE(YEAR($AC188),MONTH($AC188),1))&gt;0,SUMPRODUCT((PayEmp=$C188)*(PayDate&lt;=$AC188)*(OFFSET($N$6,1,MATCH(AW$5,PayDedList,0)-1,PayCount,1)))/$AA188*12*AW$3,IF(OR(AW$1="Fixed",AW$1="Not Used"),SUMPRODUCT((PayEmp=$C188)*(PayDate&lt;=$AC188)*(OFFSET($N$6,1,MATCH(AW$5,PayDedList,0)-1,PayCount,1)))/$AA188*12*AW$3,IF(ISNA(MATCH(OFFSET($N$2,0,MATCH(AW$5,PayDedList,0)-1,1,1),EarnListItem,0))=FALSE,SUMPRODUCT((PayEmp=$C188)*(PayDate&lt;=$AC188)*(OFFSET($N$6,1,MATCH(AW$5,PayDedList,0)-1,PayCount,1)))/$AA188*12*AW$3,(MIN(SUMPRODUCT((PayEmp=$C188)*(PayDate&lt;=$AC188)*(ISERROR(SEARCH(PayEarnCode,AW$2)))*(PayEarnType="Monthly")*(PayEarnValues))/$AA188*12,IF(ISNUMBER(OFFSET($N$3,0,MATCH(AW$5,PayDedList,0)-1,1,1)),OFFSET($N$3,0,MATCH(AW$5,PayDedList,0)-1,1,1),IgnoreMin)))*IF(COUNTIFS(EmpNo,$C188,OFFSET(Emp!$R$4,1,MATCH(AW$5,DedListItem,0)-1,EmpCount,1),"&lt;&gt;")&gt;0,VLOOKUP($C188,EmpAll,COLUMN(Emp!$R$4)+MATCH(AW$5,DedListItem,0)-1,0),OFFSET(Setup!$E$73,MATCH(AW$5,DedListItem,0),0,1,1))*AW$3))),IF(ISNUMBER(AW$4),AW$4,IgnoreMin)))))</f>
        <v>0</v>
      </c>
      <c r="AX188" s="148">
        <f t="shared" ca="1" si="88"/>
        <v>0</v>
      </c>
      <c r="AY188" s="148">
        <f t="shared" ca="1" si="89"/>
        <v>0</v>
      </c>
      <c r="AZ188" s="148">
        <f ca="1">IF(ISNUMBER($AL188),($AR188*$AL188)-$AI188-$AK188,MAX(0,IF($AL188="B",IF($AR188&lt;Setup!$C$32,($AR188*Setup!$D$32)-$AI188-$AK188,(($AR188-VLOOKUP($AR188,TaxAll2,1,1))*OFFSET(Setup!$D$32,MATCH($AR188,TaxBracket2,1),0,1,1))+OFFSET(Setup!$E$31,MATCH($AR188,TaxBracket2,1),0,1,1)-$AI188-$AK188),IF($AR188&lt;Setup!$C$21,($AR188*Setup!$D$21)-$AI188-$AK188,(($AR188-VLOOKUP($AR188,TaxAll1,1,1))*OFFSET(Setup!$D$21,MATCH($AR188,TaxBracket1,1),0,1,1))+OFFSET(Setup!$E$20,MATCH($AR188,TaxBracket1,1),0,1,1)-$AI188-$AK188))))</f>
        <v>0</v>
      </c>
      <c r="BA188" s="148">
        <f ca="1">IF(ISNUMBER($AL188),($AX188*$AL188)-$AI188-$AK188,MAX(0,IF($AL188="B",IF($AX188&lt;Setup!$C$32,($AX188*Setup!$D$32)-$AI188-$AK188,(($AX188-VLOOKUP($AX188,TaxAll2,1,1))*OFFSET(Setup!$D$32,MATCH($AX188,TaxBracket2,1),0,1,1))+OFFSET(Setup!$E$31,MATCH($AX188,TaxBracket2,1),0,1,1)-$AI188-$AK188),IF($AX188&lt;Setup!$C$21,($AX188*Setup!$D$21)-$AI188-$AK188,(($AX188-VLOOKUP($AX188,TaxAll1,1,1))*OFFSET(Setup!$D$21,MATCH($AX188,TaxBracket1,1),0,1,1))+OFFSET(Setup!$E$20,MATCH($AX188,TaxBracket1,1),0,1,1)-$AI188-$AK188))))</f>
        <v>0</v>
      </c>
      <c r="BB188" s="148">
        <f t="shared" ca="1" si="94"/>
        <v>0</v>
      </c>
      <c r="BC188" s="150">
        <f t="shared" ca="1" si="75"/>
        <v>0</v>
      </c>
      <c r="BD188" s="150">
        <f t="shared" ca="1" si="76"/>
        <v>0</v>
      </c>
      <c r="BE188" s="148">
        <f t="shared" ca="1" si="77"/>
        <v>0</v>
      </c>
    </row>
    <row r="189" spans="1:57" ht="16.149999999999999" customHeight="1" x14ac:dyDescent="0.25">
      <c r="A189" s="10" t="str" cm="1">
        <f t="array" ref="A189">IF(ROW($A189)-ROW($A$6)&gt;EmpCount*12,"-",TEXT($B189,"yyyy")&amp;TEXT($B189,"mm")&amp;"-"&amp;$C189)</f>
        <v>-</v>
      </c>
      <c r="B189" s="137" cm="1">
        <f t="array" aca="1" ref="B189" ca="1">IF(ROW($A189)-ROW($A$6)&gt;EmpCount*12,Setup!$D$12,DATE(YEAR(Setup!$F$12),MONTH(Setup!$F$12)+ROUNDDOWN((ROW($A189)-ROW($A$6)-1)/EmpCount,0),IF(Setup!$C$14&gt;DAY(DATE(YEAR(Setup!$F$12),MONTH(Setup!$F$12)+ROUNDDOWN((ROW($A189)-ROW($A$6)-1)/EmpCount,0)+1,0)),DAY(DATE(YEAR(Setup!$F$12),MONTH(Setup!$F$12)+ROUNDDOWN((ROW($A189)-ROW($A$6)-1)/EmpCount,0)+1,0)),Setup!$C$14)))</f>
        <v>45351</v>
      </c>
      <c r="C189" s="101" t="str" cm="1">
        <f t="array" aca="1" ref="C189" ca="1">IF(ROW($A189)-ROW($A$6)&gt;EmpCount*12,"-",OFFSET(Emp!$A$4,ROW($A189)-ROW($A$6)-IF(ROW($A189)-ROW($A$6)&gt;EmpCount,ROUNDDOWN((ROW($A189)-ROW($A$6)-1)/EmpCount,0)*EmpCount,0),0,1,1))</f>
        <v>-</v>
      </c>
      <c r="D189" s="10" t="str">
        <f ca="1">IF(ISNA(VLOOKUP($C189,EmpAll,COLUMN(Emp!$B$4),0)),"-",VLOOKUP($C189,EmpAll,COLUMN(Emp!$B$4),0))</f>
        <v>-</v>
      </c>
      <c r="E189" s="145" t="str">
        <f ca="1">IF(ISNA(VLOOKUP($C189,EmpAll,COLUMN(Emp!$C$4),0)),"-",VLOOKUP($C189,EmpAll,COLUMN(Emp!$C$4),0))</f>
        <v>-</v>
      </c>
      <c r="F189" s="101" t="str">
        <f ca="1">IF(ISNA(VLOOKUP($C189,EmpAll,COLUMN(Emp!$A$4),0)),"-",IF(AND(VLOOKUP($C189,EmpAll,COLUMN(Emp!$E$4),0)&lt;&gt;0,VLOOKUP($C189,EmpAll,COLUMN(Emp!$E$4),0)&gt;=DATE(YEAR($AC189),MONTH($AC189)+1,0)),"Inactive",IF(AND(VLOOKUP($C189,EmpAll,COLUMN(Emp!$F$4),0)&lt;&gt;0,VLOOKUP($C189,EmpAll,COLUMN(Emp!$F$4),0)&lt;=DATE(YEAR($AC189),MONTH($AC189),0)),"Terminated","Active")))</f>
        <v>-</v>
      </c>
      <c r="G189" s="133" cm="1">
        <f t="array" aca="1" ref="G189" ca="1">IF($F189&lt;&gt;"Active",0,IF(COUNTIFS(OverEmp,$C189,OverEarn,G$2,OverDate,"&lt;"&amp;DATE(YEAR($AC189),MONTH($AC189)+1,1),OverEnd,"&gt;="&amp;DATE(YEAR($AC189),MONTH($AC189),1))&gt;0,SUMIFS(OverValue,OverEmp,$C189,OverEarn,G$2,OverDate,"&lt;"&amp;DATE(YEAR($AC189),MONTH($AC189)+1,1),OverEnd,"&gt;="&amp;DATE(YEAR($AC189),MONTH($AC189),1)),IF(AND($AC189&gt;=Setup!$E$10,SUMIFS(EmpIncrease,EmpCode,$C189)&gt;0),SUMIFS(EmpIncrease,EmpCode,$C189),SUMIFS(EmpSalary,EmpCode,$C189))))</f>
        <v>0</v>
      </c>
      <c r="H189" s="133" cm="1">
        <f t="array" aca="1" ref="H189" ca="1">IF($F189&lt;&gt;"Active",0,IF(COUNTIFS(OverEmp,$C189,OverEarn,H$2,OverDate,"&lt;"&amp;DATE(YEAR($AC189),MONTH($AC189)+1,1),OverEnd,"&gt;="&amp;DATE(YEAR($AC189),MONTH($AC189),1))&gt;0,SUMIFS(OverValue,OverEmp,$C189,OverEarn,H$2,OverDate,"&lt;"&amp;DATE(YEAR($AC189),MONTH($AC189)+1,1),OverEnd,"&gt;="&amp;DATE(YEAR($AC189),MONTH($AC189),1)),0))</f>
        <v>0</v>
      </c>
      <c r="I189" s="133" cm="1">
        <f t="array" aca="1" ref="I189" ca="1">IF($F189&lt;&gt;"Active",0,IF(COUNTIFS(OverEmp,$C189,OverEarn,I$2,OverDate,"&lt;"&amp;DATE(YEAR($AC189),MONTH($AC189)+1,1),OverEnd,"&gt;="&amp;DATE(YEAR($AC189),MONTH($AC189),1))&gt;0,SUMIFS(OverValue,OverEmp,$C189,OverEarn,I$2,OverDate,"&lt;"&amp;DATE(YEAR($AC189),MONTH($AC189)+1,1),OverEnd,"&gt;="&amp;DATE(YEAR($AC189),MONTH($AC189),1)),IF(MONTH(B189)=Setup!$C$15,SUMIFS(EmpBonus,EmpCode,$C189),0)))</f>
        <v>0</v>
      </c>
      <c r="J189" s="133" cm="1">
        <f t="array" aca="1" ref="J189" ca="1">IF($F189&lt;&gt;"Active",0,IF(COUNTIFS(OverEmp,$C189,OverEarn,J$2,OverDate,"&lt;"&amp;DATE(YEAR($AC189),MONTH($AC189)+1,1),OverEnd,"&gt;="&amp;DATE(YEAR($AC189),MONTH($AC189),1))&gt;0,SUMIFS(OverValue,OverEmp,$C189,OverEarn,J$2,OverDate,"&lt;"&amp;DATE(YEAR($AC189),MONTH($AC189)+1,1),OverEnd,"&gt;="&amp;DATE(YEAR($AC189),MONTH($AC189),1)),0))</f>
        <v>0</v>
      </c>
      <c r="K189" s="133" cm="1">
        <f t="array" aca="1" ref="K189" ca="1">IF($F189&lt;&gt;"Active",0,IF(COUNTIFS(OverEmp,$C189,OverEarn,K$2,OverDate,"&lt;"&amp;DATE(YEAR($AC189),MONTH($AC189)+1,1),OverEnd,"&gt;="&amp;DATE(YEAR($AC189),MONTH($AC189),1))&gt;0,SUMIFS(OverValue,OverEmp,$C189,OverEarn,K$2,OverDate,"&lt;"&amp;DATE(YEAR($AC189),MONTH($AC189)+1,1),OverEnd,"&gt;="&amp;DATE(YEAR($AC189),MONTH($AC189),1)),0))</f>
        <v>0</v>
      </c>
      <c r="L189" s="185">
        <f t="shared" ca="1" si="84"/>
        <v>0</v>
      </c>
      <c r="M189" s="182" cm="1">
        <f t="array" aca="1" ref="M189" ca="1">IF(COUNTIFS(OverEmp,$C189,OverTax,M$5,OverDate,"&lt;"&amp;DATE(YEAR($AC189),MONTH($AC189)+1,1),OverEnd,"&gt;="&amp;DATE(YEAR($AC189),MONTH($AC189),1))&gt;0,SUMIFS(OverValue,OverEmp,$C189,OverTax,M$5,OverDate,"&lt;"&amp;DATE(YEAR($AC189),MONTH($AC189)+1,1),OverEnd,"&gt;="&amp;DATE(YEAR($AC189),MONTH($AC189),1)),(($BA189/12*$AA189)+(BB189*IF(1-$BC189=0,0,BD189/(1-$BC189))))-IF($F189="Terminated",0,SUMIFS(PayTaxDeduct,PayDate,"&lt;"&amp;$AC189,PayEmp,$C189)))</f>
        <v>0</v>
      </c>
      <c r="N189" s="133" cm="1">
        <f t="array" aca="1" ref="N189" ca="1">IF($F189="Terminated",0,IF($AA189=0,0,IF(ISNA(MATCH(N$5,DedListItem,0)),0,IF(COUNTIFS(OverEmp,$C189,OverDeduct,N$5,OverDate,"&lt;"&amp;DATE(YEAR($AC189),MONTH($AC189)+1,1),OverEnd,"&gt;="&amp;DATE(YEAR($AC189),MONTH($AC189),1))&gt;0,SUMIFS(OverValue,OverEmp,$C189,OverDeduct,N$5,OverDate,"&lt;"&amp;DATE(YEAR($AC189),MONTH($AC189)+1,1),OverEnd,"&gt;="&amp;DATE(YEAR($AC189),MONTH($AC189),1)),IF(OR(N$2="Fixed",N$2="Not Used"),(IF(COUNTIFS(EmpNo,$C189,OFFSET(Emp!$R$4,1,MATCH(N$5,DedListItem,0)-1,EmpCount,1),"&lt;&gt;")&gt;0,VLOOKUP($C189,EmpAll,COLUMN(Emp!$R$4)+MATCH(N$5,DedListItem,0)-1,0),OFFSET(Setup!$E$73,MATCH(N$5,DedListItem,0),0,1,1))*$AA189)-SUMIFS(OFFSET(N$6,1,0,PayCount,1),PayDate,"&lt;"&amp;$AC189,PayEmp,$C189),IF(ISNA(MATCH(N$2,EarnListItem,0))=FALSE,IF(OFFSET(Setup!$G$73,MATCH(N$5,DedListItem,0),0,1,1)="Taxable",SUMPRODUCT((PayEmp=$C189)*(PayDate&lt;=$AC189)*(PayEarnCode=N$2)*(PayEarnTax)*(PayEarnValues)),SUMPRODUCT((PayEmp=$C189)*(PayDate&lt;=$AC189)*(PayEarnCode=N$2)*(PayEarnValues)))*IF(COUNTIFS(EmpNo,$C189,OFFSET(Emp!$R$4,1,MATCH(N$5,DedListItem,0)-1,EmpCount,1),"&lt;&gt;")&gt;0,VLOOKUP($C189,EmpAll,COLUMN(Emp!$R$4)+MATCH(N$5,DedListItem,0)-1,0),OFFSET(Setup!$E$73,MATCH(N$5,DedListItem,0),0,1,1)),(MIN(IF(OFFSET(Setup!$G$73,MATCH(N$5,DedListItem,0),0,1,1)="Taxable",SUMPRODUCT((PayEmp=$C189)*(PayDate&lt;=$AC189)*(ISERROR(SEARCH(PayEarnCode,N$4)))*(PayEarnTax)*(PayEarnValues)),SUMPRODUCT((PayEmp=$C189)*(PayDate&lt;=$AC189)*(ISERROR(SEARCH(PayEarnCode,N$4)))*(PayEarnValues))),IF(ISNUMBER(N$3),N$3/12*$AA189,IgnoreMin)))*IF(COUNTIFS(EmpNo,$C189,OFFSET(Emp!$R$4,1,MATCH(N$5,DedListItem,0)-1,EmpCount,1),"&lt;&gt;")&gt;0,VLOOKUP($C189,EmpAll,COLUMN(Emp!$R$4)+MATCH(N$5,DedListItem,0)-1,0),OFFSET(Setup!$E$73,MATCH(N$5,DedListItem,0),0,1,1)))-SUMIFS(OFFSET(N$6,1,0,PayCount,1),PayDate,"&lt;"&amp;$AC189,PayEmp,$C189))))))</f>
        <v>0</v>
      </c>
      <c r="O189" s="133" cm="1">
        <f t="array" aca="1" ref="O189" ca="1">IF($F189="Terminated",0,IF($AA189=0,0,IF(ISNA(MATCH(O$5,DedListItem,0)),0,IF(COUNTIFS(OverEmp,$C189,OverDeduct,O$5,OverDate,"&lt;"&amp;DATE(YEAR($AC189),MONTH($AC189)+1,1),OverEnd,"&gt;="&amp;DATE(YEAR($AC189),MONTH($AC189),1))&gt;0,SUMIFS(OverValue,OverEmp,$C189,OverDeduct,O$5,OverDate,"&lt;"&amp;DATE(YEAR($AC189),MONTH($AC189)+1,1),OverEnd,"&gt;="&amp;DATE(YEAR($AC189),MONTH($AC189),1)),IF(OR(O$2="Fixed",O$2="Not Used"),(IF(COUNTIFS(EmpNo,$C189,OFFSET(Emp!$R$4,1,MATCH(O$5,DedListItem,0)-1,EmpCount,1),"&lt;&gt;")&gt;0,VLOOKUP($C189,EmpAll,COLUMN(Emp!$R$4)+MATCH(O$5,DedListItem,0)-1,0),OFFSET(Setup!$E$73,MATCH(O$5,DedListItem,0),0,1,1))*$AA189)-SUMIFS(OFFSET(O$6,1,0,PayCount,1),PayDate,"&lt;"&amp;$AC189,PayEmp,$C189),IF(ISNA(MATCH(O$2,EarnListItem,0))=FALSE,IF(OFFSET(Setup!$G$73,MATCH(O$5,DedListItem,0),0,1,1)="Taxable",SUMPRODUCT((PayEmp=$C189)*(PayDate&lt;=$AC189)*(PayEarnCode=O$2)*(PayEarnTax)*(PayEarnValues)),SUMPRODUCT((PayEmp=$C189)*(PayDate&lt;=$AC189)*(PayEarnCode=O$2)*(PayEarnValues)))*IF(COUNTIFS(EmpNo,$C189,OFFSET(Emp!$R$4,1,MATCH(O$5,DedListItem,0)-1,EmpCount,1),"&lt;&gt;")&gt;0,VLOOKUP($C189,EmpAll,COLUMN(Emp!$R$4)+MATCH(O$5,DedListItem,0)-1,0),OFFSET(Setup!$E$73,MATCH(O$5,DedListItem,0),0,1,1)),(MIN(IF(OFFSET(Setup!$G$73,MATCH(O$5,DedListItem,0),0,1,1)="Taxable",SUMPRODUCT((PayEmp=$C189)*(PayDate&lt;=$AC189)*(ISERROR(SEARCH(PayEarnCode,O$4)))*(PayEarnTax)*(PayEarnValues)),SUMPRODUCT((PayEmp=$C189)*(PayDate&lt;=$AC189)*(ISERROR(SEARCH(PayEarnCode,O$4)))*(PayEarnValues))),IF(ISNUMBER(O$3),O$3/12*$AA189,IgnoreMin)))*IF(COUNTIFS(EmpNo,$C189,OFFSET(Emp!$R$4,1,MATCH(O$5,DedListItem,0)-1,EmpCount,1),"&lt;&gt;")&gt;0,VLOOKUP($C189,EmpAll,COLUMN(Emp!$R$4)+MATCH(O$5,DedListItem,0)-1,0),OFFSET(Setup!$E$73,MATCH(O$5,DedListItem,0),0,1,1)))-SUMIFS(OFFSET(O$6,1,0,PayCount,1),PayDate,"&lt;"&amp;$AC189,PayEmp,$C189))))))</f>
        <v>0</v>
      </c>
      <c r="P189" s="133" cm="1">
        <f t="array" aca="1" ref="P189" ca="1">IF($F189="Terminated",0,IF($AA189=0,0,IF(ISNA(MATCH(P$5,DedListItem,0)),0,IF(COUNTIFS(OverEmp,$C189,OverDeduct,P$5,OverDate,"&lt;"&amp;DATE(YEAR($AC189),MONTH($AC189)+1,1),OverEnd,"&gt;="&amp;DATE(YEAR($AC189),MONTH($AC189),1))&gt;0,SUMIFS(OverValue,OverEmp,$C189,OverDeduct,P$5,OverDate,"&lt;"&amp;DATE(YEAR($AC189),MONTH($AC189)+1,1),OverEnd,"&gt;="&amp;DATE(YEAR($AC189),MONTH($AC189),1)),IF(OR(P$2="Fixed",P$2="Not Used"),(IF(COUNTIFS(EmpNo,$C189,OFFSET(Emp!$R$4,1,MATCH(P$5,DedListItem,0)-1,EmpCount,1),"&lt;&gt;")&gt;0,VLOOKUP($C189,EmpAll,COLUMN(Emp!$R$4)+MATCH(P$5,DedListItem,0)-1,0),OFFSET(Setup!$E$73,MATCH(P$5,DedListItem,0),0,1,1))*$AA189)-SUMIFS(OFFSET(P$6,1,0,PayCount,1),PayDate,"&lt;"&amp;$AC189,PayEmp,$C189),IF(ISNA(MATCH(P$2,EarnListItem,0))=FALSE,IF(OFFSET(Setup!$G$73,MATCH(P$5,DedListItem,0),0,1,1)="Taxable",SUMPRODUCT((PayEmp=$C189)*(PayDate&lt;=$AC189)*(PayEarnCode=P$2)*(PayEarnTax)*(PayEarnValues)),SUMPRODUCT((PayEmp=$C189)*(PayDate&lt;=$AC189)*(PayEarnCode=P$2)*(PayEarnValues)))*IF(COUNTIFS(EmpNo,$C189,OFFSET(Emp!$R$4,1,MATCH(P$5,DedListItem,0)-1,EmpCount,1),"&lt;&gt;")&gt;0,VLOOKUP($C189,EmpAll,COLUMN(Emp!$R$4)+MATCH(P$5,DedListItem,0)-1,0),OFFSET(Setup!$E$73,MATCH(P$5,DedListItem,0),0,1,1)),(MIN(IF(OFFSET(Setup!$G$73,MATCH(P$5,DedListItem,0),0,1,1)="Taxable",SUMPRODUCT((PayEmp=$C189)*(PayDate&lt;=$AC189)*(ISERROR(SEARCH(PayEarnCode,P$4)))*(PayEarnTax)*(PayEarnValues)),SUMPRODUCT((PayEmp=$C189)*(PayDate&lt;=$AC189)*(ISERROR(SEARCH(PayEarnCode,P$4)))*(PayEarnValues))),IF(ISNUMBER(P$3),P$3/12*$AA189,IgnoreMin)))*IF(COUNTIFS(EmpNo,$C189,OFFSET(Emp!$R$4,1,MATCH(P$5,DedListItem,0)-1,EmpCount,1),"&lt;&gt;")&gt;0,VLOOKUP($C189,EmpAll,COLUMN(Emp!$R$4)+MATCH(P$5,DedListItem,0)-1,0),OFFSET(Setup!$E$73,MATCH(P$5,DedListItem,0),0,1,1)))-SUMIFS(OFFSET(P$6,1,0,PayCount,1),PayDate,"&lt;"&amp;$AC189,PayEmp,$C189))))))</f>
        <v>0</v>
      </c>
      <c r="Q189" s="133" cm="1">
        <f t="array" aca="1" ref="Q189" ca="1">IF($F189="Terminated",0,IF($AA189=0,0,IF(ISNA(MATCH(Q$5,DedListItem,0)),0,IF(COUNTIFS(OverEmp,$C189,OverDeduct,Q$5,OverDate,"&lt;"&amp;DATE(YEAR($AC189),MONTH($AC189)+1,1),OverEnd,"&gt;="&amp;DATE(YEAR($AC189),MONTH($AC189),1))&gt;0,SUMIFS(OverValue,OverEmp,$C189,OverDeduct,Q$5,OverDate,"&lt;"&amp;DATE(YEAR($AC189),MONTH($AC189)+1,1),OverEnd,"&gt;="&amp;DATE(YEAR($AC189),MONTH($AC189),1)),IF(OR(Q$2="Fixed",Q$2="Not Used"),(IF(COUNTIFS(EmpNo,$C189,OFFSET(Emp!$R$4,1,MATCH(Q$5,DedListItem,0)-1,EmpCount,1),"&lt;&gt;")&gt;0,VLOOKUP($C189,EmpAll,COLUMN(Emp!$R$4)+MATCH(Q$5,DedListItem,0)-1,0),OFFSET(Setup!$E$73,MATCH(Q$5,DedListItem,0),0,1,1))*$AA189)-SUMIFS(OFFSET(Q$6,1,0,PayCount,1),PayDate,"&lt;"&amp;$AC189,PayEmp,$C189),IF(ISNA(MATCH(Q$2,EarnListItem,0))=FALSE,IF(OFFSET(Setup!$G$73,MATCH(Q$5,DedListItem,0),0,1,1)="Taxable",SUMPRODUCT((PayEmp=$C189)*(PayDate&lt;=$AC189)*(PayEarnCode=Q$2)*(PayEarnTax)*(PayEarnValues)),SUMPRODUCT((PayEmp=$C189)*(PayDate&lt;=$AC189)*(PayEarnCode=Q$2)*(PayEarnValues)))*IF(COUNTIFS(EmpNo,$C189,OFFSET(Emp!$R$4,1,MATCH(Q$5,DedListItem,0)-1,EmpCount,1),"&lt;&gt;")&gt;0,VLOOKUP($C189,EmpAll,COLUMN(Emp!$R$4)+MATCH(Q$5,DedListItem,0)-1,0),OFFSET(Setup!$E$73,MATCH(Q$5,DedListItem,0),0,1,1)),(MIN(IF(OFFSET(Setup!$G$73,MATCH(Q$5,DedListItem,0),0,1,1)="Taxable",SUMPRODUCT((PayEmp=$C189)*(PayDate&lt;=$AC189)*(ISERROR(SEARCH(PayEarnCode,Q$4)))*(PayEarnTax)*(PayEarnValues)),SUMPRODUCT((PayEmp=$C189)*(PayDate&lt;=$AC189)*(ISERROR(SEARCH(PayEarnCode,Q$4)))*(PayEarnValues))),IF(ISNUMBER(Q$3),Q$3/12*$AA189,IgnoreMin)))*IF(COUNTIFS(EmpNo,$C189,OFFSET(Emp!$R$4,1,MATCH(Q$5,DedListItem,0)-1,EmpCount,1),"&lt;&gt;")&gt;0,VLOOKUP($C189,EmpAll,COLUMN(Emp!$R$4)+MATCH(Q$5,DedListItem,0)-1,0),OFFSET(Setup!$E$73,MATCH(Q$5,DedListItem,0),0,1,1)))-SUMIFS(OFFSET(Q$6,1,0,PayCount,1),PayDate,"&lt;"&amp;$AC189,PayEmp,$C189))))))</f>
        <v>0</v>
      </c>
      <c r="R189" s="185">
        <f t="shared" ca="1" si="85"/>
        <v>0</v>
      </c>
      <c r="S189" s="139">
        <f t="shared" ca="1" si="86"/>
        <v>0</v>
      </c>
      <c r="T189" s="133" cm="1">
        <f t="array" aca="1" ref="T189" ca="1">IF($F189="Terminated",0,IF($AA189=0,0,IF(ISNA(MATCH(T$5,CompListItem,0)),0,IF(COUNTIFS(OverEmp,$C189,OverComp,T$5,OverDate,"&lt;"&amp;DATE(YEAR($AC189),MONTH($AC189)+1,1),OverEnd,"&gt;="&amp;DATE(YEAR($AC189),MONTH($AC189),1))&gt;0,SUMIFS(OverValue,OverEmp,$C189,OverComp,T$5,OverDate,"&lt;"&amp;DATE(YEAR($AC189),MONTH($AC189)+1,1),OverEnd,"&gt;="&amp;DATE(YEAR($AC189),MONTH($AC189),1)),IF(OR(T$2="Fixed",T$2="Not Used"),(OFFSET(Setup!$E$81,MATCH(T$5,CompListItem,0),0,1,1)*$AA189)-SUMIFS(OFFSET(T$6,1,0,PayCount,1),PayDate,"&lt;"&amp;$AC189,PayEmp,$C189),IF(ISNA(MATCH(T$2,DedListItem,0))=FALSE,(SUMPRODUCT((PayEmp=$C189)*(PayDate&lt;=$AC189)*(PayDedList=T$2)*(PayDedValues))*OFFSET(Setup!$E$81,MATCH(T$5,CompListItem,0),0,1,1))-SUMIFS(OFFSET(T$6,1,0,PayCount,1),PayDate,"&lt;"&amp;$AC189,PayEmp,$C189),(MIN(IF(OFFSET(Setup!$G$81,MATCH(T$5,CompListItem,0),0,1,1)="Taxable",SUMPRODUCT((PayEmp=$C189)*(PayDate&lt;=$AC189)*(ISERROR(SEARCH(PayEarnCode,T$4)))*(PayEarnTax)*(PayEarnValues)),SUMPRODUCT((PayEmp=$C189)*(PayDate&lt;=$AC189)*(ISERROR(SEARCH(PayEarnCode,T$4)))*(PayEarnValues))),IF(ISNUMBER(T$3),T$3/12*$AA189,IgnoreMin)))*OFFSET(Setup!$E$81,MATCH(T$5,CompListItem,0),0,1,1)-SUMIFS(OFFSET(T$6,1,0,PayCount,1),PayDate,"&lt;"&amp;$AC189,PayEmp,$C189)))))))</f>
        <v>0</v>
      </c>
      <c r="U189" s="133" cm="1">
        <f t="array" aca="1" ref="U189" ca="1">IF($F189="Terminated",0,IF($AA189=0,0,IF(ISNA(MATCH(U$5,CompListItem,0)),0,IF(COUNTIFS(OverEmp,$C189,OverComp,U$5,OverDate,"&lt;"&amp;DATE(YEAR($AC189),MONTH($AC189)+1,1),OverEnd,"&gt;="&amp;DATE(YEAR($AC189),MONTH($AC189),1))&gt;0,SUMIFS(OverValue,OverEmp,$C189,OverComp,U$5,OverDate,"&lt;"&amp;DATE(YEAR($AC189),MONTH($AC189)+1,1),OverEnd,"&gt;="&amp;DATE(YEAR($AC189),MONTH($AC189),1)),IF(OR(U$2="Fixed",U$2="Not Used"),(OFFSET(Setup!$E$81,MATCH(U$5,CompListItem,0),0,1,1)*$AA189)-SUMIFS(OFFSET(U$6,1,0,PayCount,1),PayDate,"&lt;"&amp;$AC189,PayEmp,$C189),IF(ISNA(MATCH(U$2,DedListItem,0))=FALSE,(SUMPRODUCT((PayEmp=$C189)*(PayDate&lt;=$AC189)*(PayDedList=U$2)*(PayDedValues))*OFFSET(Setup!$E$81,MATCH(U$5,CompListItem,0),0,1,1))-SUMIFS(OFFSET(U$6,1,0,PayCount,1),PayDate,"&lt;"&amp;$AC189,PayEmp,$C189),(MIN(IF(OFFSET(Setup!$G$81,MATCH(U$5,CompListItem,0),0,1,1)="Taxable",SUMPRODUCT((PayEmp=$C189)*(PayDate&lt;=$AC189)*(ISERROR(SEARCH(PayEarnCode,U$4)))*(PayEarnTax)*(PayEarnValues)),SUMPRODUCT((PayEmp=$C189)*(PayDate&lt;=$AC189)*(ISERROR(SEARCH(PayEarnCode,U$4)))*(PayEarnValues))),IF(ISNUMBER(U$3),U$3/12*$AA189,IgnoreMin)))*OFFSET(Setup!$E$81,MATCH(U$5,CompListItem,0),0,1,1)-SUMIFS(OFFSET(U$6,1,0,PayCount,1),PayDate,"&lt;"&amp;$AC189,PayEmp,$C189)))))))</f>
        <v>0</v>
      </c>
      <c r="V189" s="133" cm="1">
        <f t="array" aca="1" ref="V189" ca="1">IF($F189="Terminated",0,IF($AA189=0,0,IF(ISNA(MATCH(V$5,CompListItem,0)),0,IF(COUNTIFS(OverEmp,$C189,OverComp,V$5,OverDate,"&lt;"&amp;DATE(YEAR($AC189),MONTH($AC189)+1,1),OverEnd,"&gt;="&amp;DATE(YEAR($AC189),MONTH($AC189),1))&gt;0,SUMIFS(OverValue,OverEmp,$C189,OverComp,V$5,OverDate,"&lt;"&amp;DATE(YEAR($AC189),MONTH($AC189)+1,1),OverEnd,"&gt;="&amp;DATE(YEAR($AC189),MONTH($AC189),1)),IF(OR(V$2="Fixed",V$2="Not Used"),(OFFSET(Setup!$E$81,MATCH(V$5,CompListItem,0),0,1,1)*$AA189)-SUMIFS(OFFSET(V$6,1,0,PayCount,1),PayDate,"&lt;"&amp;$AC189,PayEmp,$C189),IF(ISNA(MATCH(V$2,DedListItem,0))=FALSE,(SUMPRODUCT((PayEmp=$C189)*(PayDate&lt;=$AC189)*(PayDedList=V$2)*(PayDedValues))*OFFSET(Setup!$E$81,MATCH(V$5,CompListItem,0),0,1,1))-SUMIFS(OFFSET(V$6,1,0,PayCount,1),PayDate,"&lt;"&amp;$AC189,PayEmp,$C189),(MIN(IF(OFFSET(Setup!$G$81,MATCH(V$5,CompListItem,0),0,1,1)="Taxable",SUMPRODUCT((PayEmp=$C189)*(PayDate&lt;=$AC189)*(ISERROR(SEARCH(PayEarnCode,V$4)))*(PayEarnTax)*(PayEarnValues)),SUMPRODUCT((PayEmp=$C189)*(PayDate&lt;=$AC189)*(ISERROR(SEARCH(PayEarnCode,V$4)))*(PayEarnValues))),IF(ISNUMBER(V$3),V$3/12*$AA189,IgnoreMin)))*OFFSET(Setup!$E$81,MATCH(V$5,CompListItem,0),0,1,1)-SUMIFS(OFFSET(V$6,1,0,PayCount,1),PayDate,"&lt;"&amp;$AC189,PayEmp,$C189)))))))</f>
        <v>0</v>
      </c>
      <c r="W189" s="133" cm="1">
        <f t="array" aca="1" ref="W189" ca="1">IF($F189="Terminated",0,IF($AA189=0,0,IF(ISNA(MATCH(W$5,CompListItem,0)),0,IF(COUNTIFS(OverEmp,$C189,OverComp,W$5,OverDate,"&lt;"&amp;DATE(YEAR($AC189),MONTH($AC189)+1,1),OverEnd,"&gt;="&amp;DATE(YEAR($AC189),MONTH($AC189),1))&gt;0,SUMIFS(OverValue,OverEmp,$C189,OverComp,W$5,OverDate,"&lt;"&amp;DATE(YEAR($AC189),MONTH($AC189)+1,1),OverEnd,"&gt;="&amp;DATE(YEAR($AC189),MONTH($AC189),1)),IF(OR(W$2="Fixed",W$2="Not Used"),(OFFSET(Setup!$E$81,MATCH(W$5,CompListItem,0),0,1,1)*$AA189)-SUMIFS(OFFSET(W$6,1,0,PayCount,1),PayDate,"&lt;"&amp;$AC189,PayEmp,$C189),IF(ISNA(MATCH(W$2,DedListItem,0))=FALSE,(SUMPRODUCT((PayEmp=$C189)*(PayDate&lt;=$AC189)*(PayDedList=W$2)*(PayDedValues))*OFFSET(Setup!$E$81,MATCH(W$5,CompListItem,0),0,1,1))-SUMIFS(OFFSET(W$6,1,0,PayCount,1),PayDate,"&lt;"&amp;$AC189,PayEmp,$C189),(MIN(IF(OFFSET(Setup!$G$81,MATCH(W$5,CompListItem,0),0,1,1)="Taxable",SUMPRODUCT((PayEmp=$C189)*(PayDate&lt;=$AC189)*(ISERROR(SEARCH(PayEarnCode,W$4)))*(PayEarnTax)*(PayEarnValues)),SUMPRODUCT((PayEmp=$C189)*(PayDate&lt;=$AC189)*(ISERROR(SEARCH(PayEarnCode,W$4)))*(PayEarnValues))),IF(ISNUMBER(W$3),W$3/12*$AA189,IgnoreMin)))*OFFSET(Setup!$E$81,MATCH(W$5,CompListItem,0),0,1,1)-SUMIFS(OFFSET(W$6,1,0,PayCount,1),PayDate,"&lt;"&amp;$AC189,PayEmp,$C189)))))))</f>
        <v>0</v>
      </c>
      <c r="X189" s="185">
        <f t="shared" ca="1" si="90"/>
        <v>0</v>
      </c>
      <c r="Y189" s="139">
        <f t="shared" ca="1" si="87"/>
        <v>0</v>
      </c>
      <c r="Z189" s="139">
        <f t="shared" ca="1" si="91"/>
        <v>0</v>
      </c>
      <c r="AA189" s="146">
        <f ca="1">IF(OR($B189&lt;=Setup!$E$12,$B189&gt;=Setup!$D$12+1),0,IF($F189&lt;&gt;"Active",0,IF($AE189="Yes",$AB189,((YEAR($AC189)*12)+MONTH($AC189))-((YEAR($AD189)*12)+MONTH($AD189)-1))))</f>
        <v>0</v>
      </c>
      <c r="AB189" s="146">
        <f ca="1">IF(OR($B189&lt;=Setup!$E$12,$B189&gt;=Setup!$D$12+1),0,((YEAR($AC189)*12)+MONTH($AC189))-((YEAR(Setup!$E$12)*12)+MONTH(Setup!$E$12)))</f>
        <v>12</v>
      </c>
      <c r="AC189" s="186">
        <f t="shared" ca="1" si="92"/>
        <v>45351</v>
      </c>
      <c r="AD189" s="144">
        <f ca="1">IF(ISNA(VLOOKUP($C189,EmpAll,COLUMN(Emp!$E$4),0)),$AC189,IF(VLOOKUP($C189,EmpAll,COLUMN(Emp!$E$4),0)&lt;=Setup!$E$12,DATE(YEAR(Setup!$E$12),MONTH(Setup!$E$12)+1,1),VLOOKUP($C189,EmpAll,COLUMN(Emp!$E$4),0)))</f>
        <v>45351</v>
      </c>
      <c r="AE189" s="144" t="str">
        <f ca="1">IF(ISNA(VLOOKUP($C189,EmpAll,COLUMN(Emp!$G$1),0)),"-",IF(VLOOKUP($C189,EmpAll,COLUMN(Emp!$G$1),0)=0,"-",VLOOKUP($C189,EmpAll,COLUMN(Emp!$G$1),0)))</f>
        <v>-</v>
      </c>
      <c r="AF189" s="145">
        <f>IF(A189=PaySlip!$G$3,1,0)</f>
        <v>0</v>
      </c>
      <c r="AG189" s="130" cm="1">
        <f t="array" aca="1" ref="AG189" ca="1">IF(COUNTIFS(OverEmp,$C189,OverMed,"MED",OverDate,"&lt;"&amp;DATE(YEAR($AC189),MONTH($AC189)+1,1),OverEnd,"&gt;="&amp;DATE(YEAR($AC189),MONTH($AC189),1))&gt;0,SUMIFS(OverValue,OverEmp,$C189,OverMed,"MED",OverDate,"&lt;"&amp;DATE(YEAR($AC189),MONTH($AC189)+1,1),OverEnd,"&gt;="&amp;DATE(YEAR($AC189),MONTH($AC189),1)),IF(ISNA(VLOOKUP($C189,EmpAll,COLUMN(Emp!$N$4),0)),0,VLOOKUP($C189,EmpAll,COLUMN(Emp!$N$4),0)))</f>
        <v>0</v>
      </c>
      <c r="AH189" s="146">
        <f ca="1">VLOOKUP($AG189,MedList,COLUMN(Setup!$C$49),1)</f>
        <v>0</v>
      </c>
      <c r="AI189" s="146">
        <f t="shared" ca="1" si="70"/>
        <v>0</v>
      </c>
      <c r="AJ189" s="101" t="str">
        <f ca="1">IF(ISNA(VLOOKUP($C189,EmpAll,COLUMN(Emp!$L$4),0)),"None!",VLOOKUP($C189,EmpAll,COLUMN(Emp!$L$4),0))</f>
        <v>None!</v>
      </c>
      <c r="AK189" s="147">
        <f t="shared" ca="1" si="80"/>
        <v>17235</v>
      </c>
      <c r="AL189" s="101" t="str">
        <f ca="1">IF(ISNA(VLOOKUP($C189,Employees[],COLUMN(Emp!$M$4),0))=TRUE,"Error!",IF(VLOOKUP($C189,Employees[],COLUMN(Emp!$M$4),0)=0,"Yes",VLOOKUP($C189,Employees[],COLUMN(Emp!$M$4),0)))</f>
        <v>Error!</v>
      </c>
      <c r="AM189" s="148">
        <f t="shared" ca="1" si="71"/>
        <v>0</v>
      </c>
      <c r="AN189" s="148" cm="1">
        <f t="array" aca="1" ref="AN189" ca="1">-IF($F189="Terminated",0,IF($AA189=0,0,IF(ISNA(MATCH(AN$5,PayDedList,0)),0,MIN(IF(COUNTIFS(OverEmp,$C189,OverDeduct,AN$5,OverDate,"&lt;"&amp;DATE(YEAR($AC189),MONTH($AC189)+1,1),OverEnd,"&gt;="&amp;DATE(YEAR($AC189),MONTH($AC189),1))&gt;0,SUMPRODUCT((PayEmp=$C189)*(PayDate&lt;=$AC189)*(OFFSET($N$6,1,MATCH(AN$5,PayDedList,0)-1,PayCount,1)))/$AA189*12*AN$3,IF(OR(AN$1="Fixed",AN$1="Not Used"),SUMPRODUCT((PayEmp=$C189)*(PayDate&lt;=$AC189)*(OFFSET($N$6,1,MATCH(AN$5,PayDedList,0)-1,PayCount,1)))/$AA189*12*AN$3,IF(ISNA(MATCH(AN$1,EarnListItem,0))=FALSE,SUMPRODUCT((PayEmp=$C189)*(PayDate&lt;=$AC189)*(OFFSET($N$6,1,MATCH(AN$5,PayDedList,0)-1,PayCount,1)))/$AA189*12*AN$3,(MIN(((SUMPRODUCT((PayEmp=$C189)*(PayDate&lt;=$AC189)*(ISERROR(SEARCH(PayEarnCode,AN$2)))*(PayEarnType="Monthly")*(PayEarnValues))/$AA189*12)+(SUMPRODUCT((PayEmp=$C189)*(PayDate&lt;=$AC189)*(ISERROR(SEARCH(PayEarnCode,AN$2)))*(PayEarnType="Quarterly")*(PayEarnValues))/MAX(1,ROUNDDOWN($AB189/3,0))*4)+(SUMPRODUCT((PayEmp=$C189)*(PayDate&lt;=$AC189)*(ISERROR(SEARCH(PayEarnCode,AN$2)))*(PayEarnType="Bi-Annual")*(PayEarnValues))/MAX(1,ROUNDDOWN($AB189/6,0))*2)+(SUMPRODUCT((PayEmp=$C189)*(PayDate&lt;=$AC189)*(ISERROR(SEARCH(PayEarnCode,AN$2)))*(PayEarnType="Annual")*(PayEarnValues)))),IF(ISNUMBER(OFFSET($N$3,0,MATCH(AN$5,PayDedList,0)-1,1,1)),OFFSET($N$3,0,MATCH(AN$5,PayDedList,0)-1,1,1),IgnoreMin)))*IF(COUNTIFS(EmpNo,$C189,OFFSET(Emp!$R$4,1,MATCH(AN$5,DedListItem,0)-1,EmpCount,1),"&lt;&gt;")&gt;0,VLOOKUP($C189,EmpAll,COLUMN(Emp!$R$4)+MATCH(AN$5,DedListItem,0)-1,0),OFFSET(Setup!$E$73,MATCH(AN$5,DedListItem,0),0,1,1))*AN$3))),IF(ISNUMBER(AN$4),AN$4,IgnoreMin)))))</f>
        <v>0</v>
      </c>
      <c r="AO189" s="148" cm="1">
        <f t="array" aca="1" ref="AO189" ca="1">-IF($F189="Terminated",0,IF($AA189=0,0,IF(ISNA(MATCH(AO$5,PayDedList,0)),0,MIN(IF(COUNTIFS(OverEmp,$C189,OverDeduct,AO$5,OverDate,"&lt;"&amp;DATE(YEAR($AC189),MONTH($AC189)+1,1),OverEnd,"&gt;="&amp;DATE(YEAR($AC189),MONTH($AC189),1))&gt;0,SUMPRODUCT((PayEmp=$C189)*(PayDate&lt;=$AC189)*(OFFSET($N$6,1,MATCH(AO$5,PayDedList,0)-1,PayCount,1)))/$AA189*12*AO$3,IF(OR(AO$1="Fixed",AO$1="Not Used"),SUMPRODUCT((PayEmp=$C189)*(PayDate&lt;=$AC189)*(OFFSET($N$6,1,MATCH(AO$5,PayDedList,0)-1,PayCount,1)))/$AA189*12*AO$3,IF(ISNA(MATCH(AO$1,EarnListItem,0))=FALSE,SUMPRODUCT((PayEmp=$C189)*(PayDate&lt;=$AC189)*(OFFSET($N$6,1,MATCH(AO$5,PayDedList,0)-1,PayCount,1)))/$AA189*12*AO$3,(MIN(((SUMPRODUCT((PayEmp=$C189)*(PayDate&lt;=$AC189)*(ISERROR(SEARCH(PayEarnCode,AO$2)))*(PayEarnType="Monthly")*(PayEarnValues))/$AA189*12)+(SUMPRODUCT((PayEmp=$C189)*(PayDate&lt;=$AC189)*(ISERROR(SEARCH(PayEarnCode,AO$2)))*(PayEarnType="Quarterly")*(PayEarnValues))/MAX(1,ROUNDDOWN($AB189/3,0))*4)+(SUMPRODUCT((PayEmp=$C189)*(PayDate&lt;=$AC189)*(ISERROR(SEARCH(PayEarnCode,AO$2)))*(PayEarnType="Bi-Annual")*(PayEarnValues))/MAX(1,ROUNDDOWN($AB189/6,0))*2)+(SUMPRODUCT((PayEmp=$C189)*(PayDate&lt;=$AC189)*(ISERROR(SEARCH(PayEarnCode,AO$2)))*(PayEarnType="Annual")*(PayEarnValues)))),IF(ISNUMBER(OFFSET($N$3,0,MATCH(AO$5,PayDedList,0)-1,1,1)),OFFSET($N$3,0,MATCH(AO$5,PayDedList,0)-1,1,1),IgnoreMin)))*IF(COUNTIFS(EmpNo,$C189,OFFSET(Emp!$R$4,1,MATCH(AO$5,DedListItem,0)-1,EmpCount,1),"&lt;&gt;")&gt;0,VLOOKUP($C189,EmpAll,COLUMN(Emp!$R$4)+MATCH(AO$5,DedListItem,0)-1,0),OFFSET(Setup!$E$73,MATCH(AO$5,DedListItem,0),0,1,1))*AO$3))),IF(ISNUMBER(AO$4),AO$4,IgnoreMin)))))</f>
        <v>0</v>
      </c>
      <c r="AP189" s="148" cm="1">
        <f t="array" aca="1" ref="AP189" ca="1">-IF($F189="Terminated",0,IF($AA189=0,0,IF(ISNA(MATCH(AP$5,PayDedList,0)),0,MIN(IF(COUNTIFS(OverEmp,$C189,OverDeduct,AP$5,OverDate,"&lt;"&amp;DATE(YEAR($AC189),MONTH($AC189)+1,1),OverEnd,"&gt;="&amp;DATE(YEAR($AC189),MONTH($AC189),1))&gt;0,SUMPRODUCT((PayEmp=$C189)*(PayDate&lt;=$AC189)*(OFFSET($N$6,1,MATCH(AP$5,PayDedList,0)-1,PayCount,1)))/$AA189*12*AP$3,IF(OR(AP$1="Fixed",AP$1="Not Used"),SUMPRODUCT((PayEmp=$C189)*(PayDate&lt;=$AC189)*(OFFSET($N$6,1,MATCH(AP$5,PayDedList,0)-1,PayCount,1)))/$AA189*12*AP$3,IF(ISNA(MATCH(AP$1,EarnListItem,0))=FALSE,SUMPRODUCT((PayEmp=$C189)*(PayDate&lt;=$AC189)*(OFFSET($N$6,1,MATCH(AP$5,PayDedList,0)-1,PayCount,1)))/$AA189*12*AP$3,(MIN(((SUMPRODUCT((PayEmp=$C189)*(PayDate&lt;=$AC189)*(ISERROR(SEARCH(PayEarnCode,AP$2)))*(PayEarnType="Monthly")*(PayEarnValues))/$AA189*12)+(SUMPRODUCT((PayEmp=$C189)*(PayDate&lt;=$AC189)*(ISERROR(SEARCH(PayEarnCode,AP$2)))*(PayEarnType="Quarterly")*(PayEarnValues))/MAX(1,ROUNDDOWN($AB189/3,0))*4)+(SUMPRODUCT((PayEmp=$C189)*(PayDate&lt;=$AC189)*(ISERROR(SEARCH(PayEarnCode,AP$2)))*(PayEarnType="Bi-Annual")*(PayEarnValues))/MAX(1,ROUNDDOWN($AB189/6,0))*2)+(SUMPRODUCT((PayEmp=$C189)*(PayDate&lt;=$AC189)*(ISERROR(SEARCH(PayEarnCode,AP$2)))*(PayEarnType="Annual")*(PayEarnValues)))),IF(ISNUMBER(OFFSET($N$3,0,MATCH(AP$5,PayDedList,0)-1,1,1)),OFFSET($N$3,0,MATCH(AP$5,PayDedList,0)-1,1,1),IgnoreMin)))*IF(COUNTIFS(EmpNo,$C189,OFFSET(Emp!$R$4,1,MATCH(AP$5,DedListItem,0)-1,EmpCount,1),"&lt;&gt;")&gt;0,VLOOKUP($C189,EmpAll,COLUMN(Emp!$R$4)+MATCH(AP$5,DedListItem,0)-1,0),OFFSET(Setup!$E$73,MATCH(AP$5,DedListItem,0),0,1,1))*AP$3))),IF(ISNUMBER(AP$4),AP$4,IgnoreMin)))))</f>
        <v>0</v>
      </c>
      <c r="AQ189" s="148" cm="1">
        <f t="array" aca="1" ref="AQ189" ca="1">-IF($F189="Terminated",0,IF($AA189=0,0,IF(ISNA(MATCH(AQ$5,PayDedList,0)),0,MIN(IF(COUNTIFS(OverEmp,$C189,OverDeduct,AQ$5,OverDate,"&lt;"&amp;DATE(YEAR($AC189),MONTH($AC189)+1,1),OverEnd,"&gt;="&amp;DATE(YEAR($AC189),MONTH($AC189),1))&gt;0,SUMPRODUCT((PayEmp=$C189)*(PayDate&lt;=$AC189)*(OFFSET($N$6,1,MATCH(AQ$5,PayDedList,0)-1,PayCount,1)))/$AA189*12*AQ$3,IF(OR(AQ$1="Fixed",AQ$1="Not Used"),SUMPRODUCT((PayEmp=$C189)*(PayDate&lt;=$AC189)*(OFFSET($N$6,1,MATCH(AQ$5,PayDedList,0)-1,PayCount,1)))/$AA189*12*AQ$3,IF(ISNA(MATCH(AQ$1,EarnListItem,0))=FALSE,SUMPRODUCT((PayEmp=$C189)*(PayDate&lt;=$AC189)*(OFFSET($N$6,1,MATCH(AQ$5,PayDedList,0)-1,PayCount,1)))/$AA189*12*AQ$3,(MIN(((SUMPRODUCT((PayEmp=$C189)*(PayDate&lt;=$AC189)*(ISERROR(SEARCH(PayEarnCode,AQ$2)))*(PayEarnType="Monthly")*(PayEarnValues))/$AA189*12)+(SUMPRODUCT((PayEmp=$C189)*(PayDate&lt;=$AC189)*(ISERROR(SEARCH(PayEarnCode,AQ$2)))*(PayEarnType="Quarterly")*(PayEarnValues))/MAX(1,ROUNDDOWN($AB189/3,0))*4)+(SUMPRODUCT((PayEmp=$C189)*(PayDate&lt;=$AC189)*(ISERROR(SEARCH(PayEarnCode,AQ$2)))*(PayEarnType="Bi-Annual")*(PayEarnValues))/MAX(1,ROUNDDOWN($AB189/6,0))*2)+(SUMPRODUCT((PayEmp=$C189)*(PayDate&lt;=$AC189)*(ISERROR(SEARCH(PayEarnCode,AQ$2)))*(PayEarnType="Annual")*(PayEarnValues)))),IF(ISNUMBER(OFFSET($N$3,0,MATCH(AQ$5,PayDedList,0)-1,1,1)),OFFSET($N$3,0,MATCH(AQ$5,PayDedList,0)-1,1,1),IgnoreMin)))*IF(COUNTIFS(EmpNo,$C189,OFFSET(Emp!$R$4,1,MATCH(AQ$5,DedListItem,0)-1,EmpCount,1),"&lt;&gt;")&gt;0,VLOOKUP($C189,EmpAll,COLUMN(Emp!$R$4)+MATCH(AQ$5,DedListItem,0)-1,0),OFFSET(Setup!$E$73,MATCH(AQ$5,DedListItem,0),0,1,1))*AQ$3))),IF(ISNUMBER(AQ$4),AQ$4,IgnoreMin)))))</f>
        <v>0</v>
      </c>
      <c r="AR189" s="148">
        <f t="shared" ca="1" si="93"/>
        <v>0</v>
      </c>
      <c r="AS189" s="148">
        <f t="shared" ca="1" si="72"/>
        <v>0</v>
      </c>
      <c r="AT189" s="148" cm="1">
        <f t="array" aca="1" ref="AT189" ca="1">-IF($F189="Terminated",0,IF($AA189=0,0,IF(ISNA(MATCH(AT$5,PayDedList,0)),0,MIN(IF(COUNTIFS(OverEmp,$C189,OverDeduct,AT$5,OverDate,"&lt;"&amp;DATE(YEAR($AC189),MONTH($AC189)+1,1),OverEnd,"&gt;="&amp;DATE(YEAR($AC189),MONTH($AC189),1))&gt;0,SUMPRODUCT((PayEmp=$C189)*(PayDate&lt;=$AC189)*(OFFSET($N$6,1,MATCH(AT$5,PayDedList,0)-1,PayCount,1)))/$AA189*12*AT$3,IF(OR(AT$1="Fixed",AT$1="Not Used"),SUMPRODUCT((PayEmp=$C189)*(PayDate&lt;=$AC189)*(OFFSET($N$6,1,MATCH(AT$5,PayDedList,0)-1,PayCount,1)))/$AA189*12*AT$3,IF(ISNA(MATCH(OFFSET($N$2,0,MATCH(AT$5,PayDedList,0)-1,1,1),EarnListItem,0))=FALSE,SUMPRODUCT((PayEmp=$C189)*(PayDate&lt;=$AC189)*(OFFSET($N$6,1,MATCH(AT$5,PayDedList,0)-1,PayCount,1)))/$AA189*12*AT$3,(MIN(SUMPRODUCT((PayEmp=$C189)*(PayDate&lt;=$AC189)*(ISERROR(SEARCH(PayEarnCode,AT$2)))*(PayEarnType="Monthly")*(PayEarnValues))/$AA189*12,IF(ISNUMBER(OFFSET($N$3,0,MATCH(AT$5,PayDedList,0)-1,1,1)),OFFSET($N$3,0,MATCH(AT$5,PayDedList,0)-1,1,1),IgnoreMin)))*IF(COUNTIFS(EmpNo,$C189,OFFSET(Emp!$R$4,1,MATCH(AT$5,DedListItem,0)-1,EmpCount,1),"&lt;&gt;")&gt;0,VLOOKUP($C189,EmpAll,COLUMN(Emp!$R$4)+MATCH(AT$5,DedListItem,0)-1,0),OFFSET(Setup!$E$73,MATCH(AT$5,DedListItem,0),0,1,1))*AT$3))),IF(ISNUMBER(AT$4),AT$4,IgnoreMin)))))</f>
        <v>0</v>
      </c>
      <c r="AU189" s="148" cm="1">
        <f t="array" aca="1" ref="AU189" ca="1">-IF($F189="Terminated",0,IF($AA189=0,0,IF(ISNA(MATCH(AU$5,PayDedList,0)),0,MIN(IF(COUNTIFS(OverEmp,$C189,OverDeduct,AU$5,OverDate,"&lt;"&amp;DATE(YEAR($AC189),MONTH($AC189)+1,1),OverEnd,"&gt;="&amp;DATE(YEAR($AC189),MONTH($AC189),1))&gt;0,SUMPRODUCT((PayEmp=$C189)*(PayDate&lt;=$AC189)*(OFFSET($N$6,1,MATCH(AU$5,PayDedList,0)-1,PayCount,1)))/$AA189*12*AU$3,IF(OR(AU$1="Fixed",AU$1="Not Used"),SUMPRODUCT((PayEmp=$C189)*(PayDate&lt;=$AC189)*(OFFSET($N$6,1,MATCH(AU$5,PayDedList,0)-1,PayCount,1)))/$AA189*12*AU$3,IF(ISNA(MATCH(OFFSET($N$2,0,MATCH(AU$5,PayDedList,0)-1,1,1),EarnListItem,0))=FALSE,SUMPRODUCT((PayEmp=$C189)*(PayDate&lt;=$AC189)*(OFFSET($N$6,1,MATCH(AU$5,PayDedList,0)-1,PayCount,1)))/$AA189*12*AU$3,(MIN(SUMPRODUCT((PayEmp=$C189)*(PayDate&lt;=$AC189)*(ISERROR(SEARCH(PayEarnCode,AU$2)))*(PayEarnType="Monthly")*(PayEarnValues))/$AA189*12,IF(ISNUMBER(OFFSET($N$3,0,MATCH(AU$5,PayDedList,0)-1,1,1)),OFFSET($N$3,0,MATCH(AU$5,PayDedList,0)-1,1,1),IgnoreMin)))*IF(COUNTIFS(EmpNo,$C189,OFFSET(Emp!$R$4,1,MATCH(AU$5,DedListItem,0)-1,EmpCount,1),"&lt;&gt;")&gt;0,VLOOKUP($C189,EmpAll,COLUMN(Emp!$R$4)+MATCH(AU$5,DedListItem,0)-1,0),OFFSET(Setup!$E$73,MATCH(AU$5,DedListItem,0),0,1,1))*AU$3))),IF(ISNUMBER(AU$4),AU$4,IgnoreMin)))))</f>
        <v>0</v>
      </c>
      <c r="AV189" s="148" cm="1">
        <f t="array" aca="1" ref="AV189" ca="1">-IF($F189="Terminated",0,IF($AA189=0,0,IF(ISNA(MATCH(AV$5,PayDedList,0)),0,MIN(IF(COUNTIFS(OverEmp,$C189,OverDeduct,AV$5,OverDate,"&lt;"&amp;DATE(YEAR($AC189),MONTH($AC189)+1,1),OverEnd,"&gt;="&amp;DATE(YEAR($AC189),MONTH($AC189),1))&gt;0,SUMPRODUCT((PayEmp=$C189)*(PayDate&lt;=$AC189)*(OFFSET($N$6,1,MATCH(AV$5,PayDedList,0)-1,PayCount,1)))/$AA189*12*AV$3,IF(OR(AV$1="Fixed",AV$1="Not Used"),SUMPRODUCT((PayEmp=$C189)*(PayDate&lt;=$AC189)*(OFFSET($N$6,1,MATCH(AV$5,PayDedList,0)-1,PayCount,1)))/$AA189*12*AV$3,IF(ISNA(MATCH(OFFSET($N$2,0,MATCH(AV$5,PayDedList,0)-1,1,1),EarnListItem,0))=FALSE,SUMPRODUCT((PayEmp=$C189)*(PayDate&lt;=$AC189)*(OFFSET($N$6,1,MATCH(AV$5,PayDedList,0)-1,PayCount,1)))/$AA189*12*AV$3,(MIN(SUMPRODUCT((PayEmp=$C189)*(PayDate&lt;=$AC189)*(ISERROR(SEARCH(PayEarnCode,AV$2)))*(PayEarnType="Monthly")*(PayEarnValues))/$AA189*12,IF(ISNUMBER(OFFSET($N$3,0,MATCH(AV$5,PayDedList,0)-1,1,1)),OFFSET($N$3,0,MATCH(AV$5,PayDedList,0)-1,1,1),IgnoreMin)))*IF(COUNTIFS(EmpNo,$C189,OFFSET(Emp!$R$4,1,MATCH(AV$5,DedListItem,0)-1,EmpCount,1),"&lt;&gt;")&gt;0,VLOOKUP($C189,EmpAll,COLUMN(Emp!$R$4)+MATCH(AV$5,DedListItem,0)-1,0),OFFSET(Setup!$E$73,MATCH(AV$5,DedListItem,0),0,1,1))*AV$3))),IF(ISNUMBER(AV$4),AV$4,IgnoreMin)))))</f>
        <v>0</v>
      </c>
      <c r="AW189" s="148" cm="1">
        <f t="array" aca="1" ref="AW189" ca="1">-IF($F189="Terminated",0,IF($AA189=0,0,IF(ISNA(MATCH(AW$5,PayDedList,0)),0,MIN(IF(COUNTIFS(OverEmp,$C189,OverDeduct,AW$5,OverDate,"&lt;"&amp;DATE(YEAR($AC189),MONTH($AC189)+1,1),OverEnd,"&gt;="&amp;DATE(YEAR($AC189),MONTH($AC189),1))&gt;0,SUMPRODUCT((PayEmp=$C189)*(PayDate&lt;=$AC189)*(OFFSET($N$6,1,MATCH(AW$5,PayDedList,0)-1,PayCount,1)))/$AA189*12*AW$3,IF(OR(AW$1="Fixed",AW$1="Not Used"),SUMPRODUCT((PayEmp=$C189)*(PayDate&lt;=$AC189)*(OFFSET($N$6,1,MATCH(AW$5,PayDedList,0)-1,PayCount,1)))/$AA189*12*AW$3,IF(ISNA(MATCH(OFFSET($N$2,0,MATCH(AW$5,PayDedList,0)-1,1,1),EarnListItem,0))=FALSE,SUMPRODUCT((PayEmp=$C189)*(PayDate&lt;=$AC189)*(OFFSET($N$6,1,MATCH(AW$5,PayDedList,0)-1,PayCount,1)))/$AA189*12*AW$3,(MIN(SUMPRODUCT((PayEmp=$C189)*(PayDate&lt;=$AC189)*(ISERROR(SEARCH(PayEarnCode,AW$2)))*(PayEarnType="Monthly")*(PayEarnValues))/$AA189*12,IF(ISNUMBER(OFFSET($N$3,0,MATCH(AW$5,PayDedList,0)-1,1,1)),OFFSET($N$3,0,MATCH(AW$5,PayDedList,0)-1,1,1),IgnoreMin)))*IF(COUNTIFS(EmpNo,$C189,OFFSET(Emp!$R$4,1,MATCH(AW$5,DedListItem,0)-1,EmpCount,1),"&lt;&gt;")&gt;0,VLOOKUP($C189,EmpAll,COLUMN(Emp!$R$4)+MATCH(AW$5,DedListItem,0)-1,0),OFFSET(Setup!$E$73,MATCH(AW$5,DedListItem,0),0,1,1))*AW$3))),IF(ISNUMBER(AW$4),AW$4,IgnoreMin)))))</f>
        <v>0</v>
      </c>
      <c r="AX189" s="148">
        <f t="shared" ca="1" si="88"/>
        <v>0</v>
      </c>
      <c r="AY189" s="148">
        <f t="shared" ca="1" si="89"/>
        <v>0</v>
      </c>
      <c r="AZ189" s="148">
        <f ca="1">IF(ISNUMBER($AL189),($AR189*$AL189)-$AI189-$AK189,MAX(0,IF($AL189="B",IF($AR189&lt;Setup!$C$32,($AR189*Setup!$D$32)-$AI189-$AK189,(($AR189-VLOOKUP($AR189,TaxAll2,1,1))*OFFSET(Setup!$D$32,MATCH($AR189,TaxBracket2,1),0,1,1))+OFFSET(Setup!$E$31,MATCH($AR189,TaxBracket2,1),0,1,1)-$AI189-$AK189),IF($AR189&lt;Setup!$C$21,($AR189*Setup!$D$21)-$AI189-$AK189,(($AR189-VLOOKUP($AR189,TaxAll1,1,1))*OFFSET(Setup!$D$21,MATCH($AR189,TaxBracket1,1),0,1,1))+OFFSET(Setup!$E$20,MATCH($AR189,TaxBracket1,1),0,1,1)-$AI189-$AK189))))</f>
        <v>0</v>
      </c>
      <c r="BA189" s="148">
        <f ca="1">IF(ISNUMBER($AL189),($AX189*$AL189)-$AI189-$AK189,MAX(0,IF($AL189="B",IF($AX189&lt;Setup!$C$32,($AX189*Setup!$D$32)-$AI189-$AK189,(($AX189-VLOOKUP($AX189,TaxAll2,1,1))*OFFSET(Setup!$D$32,MATCH($AX189,TaxBracket2,1),0,1,1))+OFFSET(Setup!$E$31,MATCH($AX189,TaxBracket2,1),0,1,1)-$AI189-$AK189),IF($AX189&lt;Setup!$C$21,($AX189*Setup!$D$21)-$AI189-$AK189,(($AX189-VLOOKUP($AX189,TaxAll1,1,1))*OFFSET(Setup!$D$21,MATCH($AX189,TaxBracket1,1),0,1,1))+OFFSET(Setup!$E$20,MATCH($AX189,TaxBracket1,1),0,1,1)-$AI189-$AK189))))</f>
        <v>0</v>
      </c>
      <c r="BB189" s="148">
        <f t="shared" ca="1" si="94"/>
        <v>0</v>
      </c>
      <c r="BC189" s="150">
        <f t="shared" ca="1" si="75"/>
        <v>0</v>
      </c>
      <c r="BD189" s="150">
        <f t="shared" ca="1" si="76"/>
        <v>0</v>
      </c>
      <c r="BE189" s="148">
        <f t="shared" ca="1" si="77"/>
        <v>0</v>
      </c>
    </row>
    <row r="190" spans="1:57" ht="16.149999999999999" customHeight="1" x14ac:dyDescent="0.25">
      <c r="A190" s="10" t="str" cm="1">
        <f t="array" ref="A190">IF(ROW($A190)-ROW($A$6)&gt;EmpCount*12,"-",TEXT($B190,"yyyy")&amp;TEXT($B190,"mm")&amp;"-"&amp;$C190)</f>
        <v>-</v>
      </c>
      <c r="B190" s="137" cm="1">
        <f t="array" aca="1" ref="B190" ca="1">IF(ROW($A190)-ROW($A$6)&gt;EmpCount*12,Setup!$D$12,DATE(YEAR(Setup!$F$12),MONTH(Setup!$F$12)+ROUNDDOWN((ROW($A190)-ROW($A$6)-1)/EmpCount,0),IF(Setup!$C$14&gt;DAY(DATE(YEAR(Setup!$F$12),MONTH(Setup!$F$12)+ROUNDDOWN((ROW($A190)-ROW($A$6)-1)/EmpCount,0)+1,0)),DAY(DATE(YEAR(Setup!$F$12),MONTH(Setup!$F$12)+ROUNDDOWN((ROW($A190)-ROW($A$6)-1)/EmpCount,0)+1,0)),Setup!$C$14)))</f>
        <v>45351</v>
      </c>
      <c r="C190" s="101" t="str" cm="1">
        <f t="array" aca="1" ref="C190" ca="1">IF(ROW($A190)-ROW($A$6)&gt;EmpCount*12,"-",OFFSET(Emp!$A$4,ROW($A190)-ROW($A$6)-IF(ROW($A190)-ROW($A$6)&gt;EmpCount,ROUNDDOWN((ROW($A190)-ROW($A$6)-1)/EmpCount,0)*EmpCount,0),0,1,1))</f>
        <v>-</v>
      </c>
      <c r="D190" s="10" t="str">
        <f ca="1">IF(ISNA(VLOOKUP($C190,EmpAll,COLUMN(Emp!$B$4),0)),"-",VLOOKUP($C190,EmpAll,COLUMN(Emp!$B$4),0))</f>
        <v>-</v>
      </c>
      <c r="E190" s="145" t="str">
        <f ca="1">IF(ISNA(VLOOKUP($C190,EmpAll,COLUMN(Emp!$C$4),0)),"-",VLOOKUP($C190,EmpAll,COLUMN(Emp!$C$4),0))</f>
        <v>-</v>
      </c>
      <c r="F190" s="101" t="str">
        <f ca="1">IF(ISNA(VLOOKUP($C190,EmpAll,COLUMN(Emp!$A$4),0)),"-",IF(AND(VLOOKUP($C190,EmpAll,COLUMN(Emp!$E$4),0)&lt;&gt;0,VLOOKUP($C190,EmpAll,COLUMN(Emp!$E$4),0)&gt;=DATE(YEAR($AC190),MONTH($AC190)+1,0)),"Inactive",IF(AND(VLOOKUP($C190,EmpAll,COLUMN(Emp!$F$4),0)&lt;&gt;0,VLOOKUP($C190,EmpAll,COLUMN(Emp!$F$4),0)&lt;=DATE(YEAR($AC190),MONTH($AC190),0)),"Terminated","Active")))</f>
        <v>-</v>
      </c>
      <c r="G190" s="133" cm="1">
        <f t="array" aca="1" ref="G190" ca="1">IF($F190&lt;&gt;"Active",0,IF(COUNTIFS(OverEmp,$C190,OverEarn,G$2,OverDate,"&lt;"&amp;DATE(YEAR($AC190),MONTH($AC190)+1,1),OverEnd,"&gt;="&amp;DATE(YEAR($AC190),MONTH($AC190),1))&gt;0,SUMIFS(OverValue,OverEmp,$C190,OverEarn,G$2,OverDate,"&lt;"&amp;DATE(YEAR($AC190),MONTH($AC190)+1,1),OverEnd,"&gt;="&amp;DATE(YEAR($AC190),MONTH($AC190),1)),IF(AND($AC190&gt;=Setup!$E$10,SUMIFS(EmpIncrease,EmpCode,$C190)&gt;0),SUMIFS(EmpIncrease,EmpCode,$C190),SUMIFS(EmpSalary,EmpCode,$C190))))</f>
        <v>0</v>
      </c>
      <c r="H190" s="133" cm="1">
        <f t="array" aca="1" ref="H190" ca="1">IF($F190&lt;&gt;"Active",0,IF(COUNTIFS(OverEmp,$C190,OverEarn,H$2,OverDate,"&lt;"&amp;DATE(YEAR($AC190),MONTH($AC190)+1,1),OverEnd,"&gt;="&amp;DATE(YEAR($AC190),MONTH($AC190),1))&gt;0,SUMIFS(OverValue,OverEmp,$C190,OverEarn,H$2,OverDate,"&lt;"&amp;DATE(YEAR($AC190),MONTH($AC190)+1,1),OverEnd,"&gt;="&amp;DATE(YEAR($AC190),MONTH($AC190),1)),0))</f>
        <v>0</v>
      </c>
      <c r="I190" s="133" cm="1">
        <f t="array" aca="1" ref="I190" ca="1">IF($F190&lt;&gt;"Active",0,IF(COUNTIFS(OverEmp,$C190,OverEarn,I$2,OverDate,"&lt;"&amp;DATE(YEAR($AC190),MONTH($AC190)+1,1),OverEnd,"&gt;="&amp;DATE(YEAR($AC190),MONTH($AC190),1))&gt;0,SUMIFS(OverValue,OverEmp,$C190,OverEarn,I$2,OverDate,"&lt;"&amp;DATE(YEAR($AC190),MONTH($AC190)+1,1),OverEnd,"&gt;="&amp;DATE(YEAR($AC190),MONTH($AC190),1)),IF(MONTH(B190)=Setup!$C$15,SUMIFS(EmpBonus,EmpCode,$C190),0)))</f>
        <v>0</v>
      </c>
      <c r="J190" s="133" cm="1">
        <f t="array" aca="1" ref="J190" ca="1">IF($F190&lt;&gt;"Active",0,IF(COUNTIFS(OverEmp,$C190,OverEarn,J$2,OverDate,"&lt;"&amp;DATE(YEAR($AC190),MONTH($AC190)+1,1),OverEnd,"&gt;="&amp;DATE(YEAR($AC190),MONTH($AC190),1))&gt;0,SUMIFS(OverValue,OverEmp,$C190,OverEarn,J$2,OverDate,"&lt;"&amp;DATE(YEAR($AC190),MONTH($AC190)+1,1),OverEnd,"&gt;="&amp;DATE(YEAR($AC190),MONTH($AC190),1)),0))</f>
        <v>0</v>
      </c>
      <c r="K190" s="133" cm="1">
        <f t="array" aca="1" ref="K190" ca="1">IF($F190&lt;&gt;"Active",0,IF(COUNTIFS(OverEmp,$C190,OverEarn,K$2,OverDate,"&lt;"&amp;DATE(YEAR($AC190),MONTH($AC190)+1,1),OverEnd,"&gt;="&amp;DATE(YEAR($AC190),MONTH($AC190),1))&gt;0,SUMIFS(OverValue,OverEmp,$C190,OverEarn,K$2,OverDate,"&lt;"&amp;DATE(YEAR($AC190),MONTH($AC190)+1,1),OverEnd,"&gt;="&amp;DATE(YEAR($AC190),MONTH($AC190),1)),0))</f>
        <v>0</v>
      </c>
      <c r="L190" s="185">
        <f t="shared" ca="1" si="84"/>
        <v>0</v>
      </c>
      <c r="M190" s="182" cm="1">
        <f t="array" aca="1" ref="M190" ca="1">IF(COUNTIFS(OverEmp,$C190,OverTax,M$5,OverDate,"&lt;"&amp;DATE(YEAR($AC190),MONTH($AC190)+1,1),OverEnd,"&gt;="&amp;DATE(YEAR($AC190),MONTH($AC190),1))&gt;0,SUMIFS(OverValue,OverEmp,$C190,OverTax,M$5,OverDate,"&lt;"&amp;DATE(YEAR($AC190),MONTH($AC190)+1,1),OverEnd,"&gt;="&amp;DATE(YEAR($AC190),MONTH($AC190),1)),(($BA190/12*$AA190)+(BB190*IF(1-$BC190=0,0,BD190/(1-$BC190))))-IF($F190="Terminated",0,SUMIFS(PayTaxDeduct,PayDate,"&lt;"&amp;$AC190,PayEmp,$C190)))</f>
        <v>0</v>
      </c>
      <c r="N190" s="133" cm="1">
        <f t="array" aca="1" ref="N190" ca="1">IF($F190="Terminated",0,IF($AA190=0,0,IF(ISNA(MATCH(N$5,DedListItem,0)),0,IF(COUNTIFS(OverEmp,$C190,OverDeduct,N$5,OverDate,"&lt;"&amp;DATE(YEAR($AC190),MONTH($AC190)+1,1),OverEnd,"&gt;="&amp;DATE(YEAR($AC190),MONTH($AC190),1))&gt;0,SUMIFS(OverValue,OverEmp,$C190,OverDeduct,N$5,OverDate,"&lt;"&amp;DATE(YEAR($AC190),MONTH($AC190)+1,1),OverEnd,"&gt;="&amp;DATE(YEAR($AC190),MONTH($AC190),1)),IF(OR(N$2="Fixed",N$2="Not Used"),(IF(COUNTIFS(EmpNo,$C190,OFFSET(Emp!$R$4,1,MATCH(N$5,DedListItem,0)-1,EmpCount,1),"&lt;&gt;")&gt;0,VLOOKUP($C190,EmpAll,COLUMN(Emp!$R$4)+MATCH(N$5,DedListItem,0)-1,0),OFFSET(Setup!$E$73,MATCH(N$5,DedListItem,0),0,1,1))*$AA190)-SUMIFS(OFFSET(N$6,1,0,PayCount,1),PayDate,"&lt;"&amp;$AC190,PayEmp,$C190),IF(ISNA(MATCH(N$2,EarnListItem,0))=FALSE,IF(OFFSET(Setup!$G$73,MATCH(N$5,DedListItem,0),0,1,1)="Taxable",SUMPRODUCT((PayEmp=$C190)*(PayDate&lt;=$AC190)*(PayEarnCode=N$2)*(PayEarnTax)*(PayEarnValues)),SUMPRODUCT((PayEmp=$C190)*(PayDate&lt;=$AC190)*(PayEarnCode=N$2)*(PayEarnValues)))*IF(COUNTIFS(EmpNo,$C190,OFFSET(Emp!$R$4,1,MATCH(N$5,DedListItem,0)-1,EmpCount,1),"&lt;&gt;")&gt;0,VLOOKUP($C190,EmpAll,COLUMN(Emp!$R$4)+MATCH(N$5,DedListItem,0)-1,0),OFFSET(Setup!$E$73,MATCH(N$5,DedListItem,0),0,1,1)),(MIN(IF(OFFSET(Setup!$G$73,MATCH(N$5,DedListItem,0),0,1,1)="Taxable",SUMPRODUCT((PayEmp=$C190)*(PayDate&lt;=$AC190)*(ISERROR(SEARCH(PayEarnCode,N$4)))*(PayEarnTax)*(PayEarnValues)),SUMPRODUCT((PayEmp=$C190)*(PayDate&lt;=$AC190)*(ISERROR(SEARCH(PayEarnCode,N$4)))*(PayEarnValues))),IF(ISNUMBER(N$3),N$3/12*$AA190,IgnoreMin)))*IF(COUNTIFS(EmpNo,$C190,OFFSET(Emp!$R$4,1,MATCH(N$5,DedListItem,0)-1,EmpCount,1),"&lt;&gt;")&gt;0,VLOOKUP($C190,EmpAll,COLUMN(Emp!$R$4)+MATCH(N$5,DedListItem,0)-1,0),OFFSET(Setup!$E$73,MATCH(N$5,DedListItem,0),0,1,1)))-SUMIFS(OFFSET(N$6,1,0,PayCount,1),PayDate,"&lt;"&amp;$AC190,PayEmp,$C190))))))</f>
        <v>0</v>
      </c>
      <c r="O190" s="133" cm="1">
        <f t="array" aca="1" ref="O190" ca="1">IF($F190="Terminated",0,IF($AA190=0,0,IF(ISNA(MATCH(O$5,DedListItem,0)),0,IF(COUNTIFS(OverEmp,$C190,OverDeduct,O$5,OverDate,"&lt;"&amp;DATE(YEAR($AC190),MONTH($AC190)+1,1),OverEnd,"&gt;="&amp;DATE(YEAR($AC190),MONTH($AC190),1))&gt;0,SUMIFS(OverValue,OverEmp,$C190,OverDeduct,O$5,OverDate,"&lt;"&amp;DATE(YEAR($AC190),MONTH($AC190)+1,1),OverEnd,"&gt;="&amp;DATE(YEAR($AC190),MONTH($AC190),1)),IF(OR(O$2="Fixed",O$2="Not Used"),(IF(COUNTIFS(EmpNo,$C190,OFFSET(Emp!$R$4,1,MATCH(O$5,DedListItem,0)-1,EmpCount,1),"&lt;&gt;")&gt;0,VLOOKUP($C190,EmpAll,COLUMN(Emp!$R$4)+MATCH(O$5,DedListItem,0)-1,0),OFFSET(Setup!$E$73,MATCH(O$5,DedListItem,0),0,1,1))*$AA190)-SUMIFS(OFFSET(O$6,1,0,PayCount,1),PayDate,"&lt;"&amp;$AC190,PayEmp,$C190),IF(ISNA(MATCH(O$2,EarnListItem,0))=FALSE,IF(OFFSET(Setup!$G$73,MATCH(O$5,DedListItem,0),0,1,1)="Taxable",SUMPRODUCT((PayEmp=$C190)*(PayDate&lt;=$AC190)*(PayEarnCode=O$2)*(PayEarnTax)*(PayEarnValues)),SUMPRODUCT((PayEmp=$C190)*(PayDate&lt;=$AC190)*(PayEarnCode=O$2)*(PayEarnValues)))*IF(COUNTIFS(EmpNo,$C190,OFFSET(Emp!$R$4,1,MATCH(O$5,DedListItem,0)-1,EmpCount,1),"&lt;&gt;")&gt;0,VLOOKUP($C190,EmpAll,COLUMN(Emp!$R$4)+MATCH(O$5,DedListItem,0)-1,0),OFFSET(Setup!$E$73,MATCH(O$5,DedListItem,0),0,1,1)),(MIN(IF(OFFSET(Setup!$G$73,MATCH(O$5,DedListItem,0),0,1,1)="Taxable",SUMPRODUCT((PayEmp=$C190)*(PayDate&lt;=$AC190)*(ISERROR(SEARCH(PayEarnCode,O$4)))*(PayEarnTax)*(PayEarnValues)),SUMPRODUCT((PayEmp=$C190)*(PayDate&lt;=$AC190)*(ISERROR(SEARCH(PayEarnCode,O$4)))*(PayEarnValues))),IF(ISNUMBER(O$3),O$3/12*$AA190,IgnoreMin)))*IF(COUNTIFS(EmpNo,$C190,OFFSET(Emp!$R$4,1,MATCH(O$5,DedListItem,0)-1,EmpCount,1),"&lt;&gt;")&gt;0,VLOOKUP($C190,EmpAll,COLUMN(Emp!$R$4)+MATCH(O$5,DedListItem,0)-1,0),OFFSET(Setup!$E$73,MATCH(O$5,DedListItem,0),0,1,1)))-SUMIFS(OFFSET(O$6,1,0,PayCount,1),PayDate,"&lt;"&amp;$AC190,PayEmp,$C190))))))</f>
        <v>0</v>
      </c>
      <c r="P190" s="133" cm="1">
        <f t="array" aca="1" ref="P190" ca="1">IF($F190="Terminated",0,IF($AA190=0,0,IF(ISNA(MATCH(P$5,DedListItem,0)),0,IF(COUNTIFS(OverEmp,$C190,OverDeduct,P$5,OverDate,"&lt;"&amp;DATE(YEAR($AC190),MONTH($AC190)+1,1),OverEnd,"&gt;="&amp;DATE(YEAR($AC190),MONTH($AC190),1))&gt;0,SUMIFS(OverValue,OverEmp,$C190,OverDeduct,P$5,OverDate,"&lt;"&amp;DATE(YEAR($AC190),MONTH($AC190)+1,1),OverEnd,"&gt;="&amp;DATE(YEAR($AC190),MONTH($AC190),1)),IF(OR(P$2="Fixed",P$2="Not Used"),(IF(COUNTIFS(EmpNo,$C190,OFFSET(Emp!$R$4,1,MATCH(P$5,DedListItem,0)-1,EmpCount,1),"&lt;&gt;")&gt;0,VLOOKUP($C190,EmpAll,COLUMN(Emp!$R$4)+MATCH(P$5,DedListItem,0)-1,0),OFFSET(Setup!$E$73,MATCH(P$5,DedListItem,0),0,1,1))*$AA190)-SUMIFS(OFFSET(P$6,1,0,PayCount,1),PayDate,"&lt;"&amp;$AC190,PayEmp,$C190),IF(ISNA(MATCH(P$2,EarnListItem,0))=FALSE,IF(OFFSET(Setup!$G$73,MATCH(P$5,DedListItem,0),0,1,1)="Taxable",SUMPRODUCT((PayEmp=$C190)*(PayDate&lt;=$AC190)*(PayEarnCode=P$2)*(PayEarnTax)*(PayEarnValues)),SUMPRODUCT((PayEmp=$C190)*(PayDate&lt;=$AC190)*(PayEarnCode=P$2)*(PayEarnValues)))*IF(COUNTIFS(EmpNo,$C190,OFFSET(Emp!$R$4,1,MATCH(P$5,DedListItem,0)-1,EmpCount,1),"&lt;&gt;")&gt;0,VLOOKUP($C190,EmpAll,COLUMN(Emp!$R$4)+MATCH(P$5,DedListItem,0)-1,0),OFFSET(Setup!$E$73,MATCH(P$5,DedListItem,0),0,1,1)),(MIN(IF(OFFSET(Setup!$G$73,MATCH(P$5,DedListItem,0),0,1,1)="Taxable",SUMPRODUCT((PayEmp=$C190)*(PayDate&lt;=$AC190)*(ISERROR(SEARCH(PayEarnCode,P$4)))*(PayEarnTax)*(PayEarnValues)),SUMPRODUCT((PayEmp=$C190)*(PayDate&lt;=$AC190)*(ISERROR(SEARCH(PayEarnCode,P$4)))*(PayEarnValues))),IF(ISNUMBER(P$3),P$3/12*$AA190,IgnoreMin)))*IF(COUNTIFS(EmpNo,$C190,OFFSET(Emp!$R$4,1,MATCH(P$5,DedListItem,0)-1,EmpCount,1),"&lt;&gt;")&gt;0,VLOOKUP($C190,EmpAll,COLUMN(Emp!$R$4)+MATCH(P$5,DedListItem,0)-1,0),OFFSET(Setup!$E$73,MATCH(P$5,DedListItem,0),0,1,1)))-SUMIFS(OFFSET(P$6,1,0,PayCount,1),PayDate,"&lt;"&amp;$AC190,PayEmp,$C190))))))</f>
        <v>0</v>
      </c>
      <c r="Q190" s="133" cm="1">
        <f t="array" aca="1" ref="Q190" ca="1">IF($F190="Terminated",0,IF($AA190=0,0,IF(ISNA(MATCH(Q$5,DedListItem,0)),0,IF(COUNTIFS(OverEmp,$C190,OverDeduct,Q$5,OverDate,"&lt;"&amp;DATE(YEAR($AC190),MONTH($AC190)+1,1),OverEnd,"&gt;="&amp;DATE(YEAR($AC190),MONTH($AC190),1))&gt;0,SUMIFS(OverValue,OverEmp,$C190,OverDeduct,Q$5,OverDate,"&lt;"&amp;DATE(YEAR($AC190),MONTH($AC190)+1,1),OverEnd,"&gt;="&amp;DATE(YEAR($AC190),MONTH($AC190),1)),IF(OR(Q$2="Fixed",Q$2="Not Used"),(IF(COUNTIFS(EmpNo,$C190,OFFSET(Emp!$R$4,1,MATCH(Q$5,DedListItem,0)-1,EmpCount,1),"&lt;&gt;")&gt;0,VLOOKUP($C190,EmpAll,COLUMN(Emp!$R$4)+MATCH(Q$5,DedListItem,0)-1,0),OFFSET(Setup!$E$73,MATCH(Q$5,DedListItem,0),0,1,1))*$AA190)-SUMIFS(OFFSET(Q$6,1,0,PayCount,1),PayDate,"&lt;"&amp;$AC190,PayEmp,$C190),IF(ISNA(MATCH(Q$2,EarnListItem,0))=FALSE,IF(OFFSET(Setup!$G$73,MATCH(Q$5,DedListItem,0),0,1,1)="Taxable",SUMPRODUCT((PayEmp=$C190)*(PayDate&lt;=$AC190)*(PayEarnCode=Q$2)*(PayEarnTax)*(PayEarnValues)),SUMPRODUCT((PayEmp=$C190)*(PayDate&lt;=$AC190)*(PayEarnCode=Q$2)*(PayEarnValues)))*IF(COUNTIFS(EmpNo,$C190,OFFSET(Emp!$R$4,1,MATCH(Q$5,DedListItem,0)-1,EmpCount,1),"&lt;&gt;")&gt;0,VLOOKUP($C190,EmpAll,COLUMN(Emp!$R$4)+MATCH(Q$5,DedListItem,0)-1,0),OFFSET(Setup!$E$73,MATCH(Q$5,DedListItem,0),0,1,1)),(MIN(IF(OFFSET(Setup!$G$73,MATCH(Q$5,DedListItem,0),0,1,1)="Taxable",SUMPRODUCT((PayEmp=$C190)*(PayDate&lt;=$AC190)*(ISERROR(SEARCH(PayEarnCode,Q$4)))*(PayEarnTax)*(PayEarnValues)),SUMPRODUCT((PayEmp=$C190)*(PayDate&lt;=$AC190)*(ISERROR(SEARCH(PayEarnCode,Q$4)))*(PayEarnValues))),IF(ISNUMBER(Q$3),Q$3/12*$AA190,IgnoreMin)))*IF(COUNTIFS(EmpNo,$C190,OFFSET(Emp!$R$4,1,MATCH(Q$5,DedListItem,0)-1,EmpCount,1),"&lt;&gt;")&gt;0,VLOOKUP($C190,EmpAll,COLUMN(Emp!$R$4)+MATCH(Q$5,DedListItem,0)-1,0),OFFSET(Setup!$E$73,MATCH(Q$5,DedListItem,0),0,1,1)))-SUMIFS(OFFSET(Q$6,1,0,PayCount,1),PayDate,"&lt;"&amp;$AC190,PayEmp,$C190))))))</f>
        <v>0</v>
      </c>
      <c r="R190" s="185">
        <f t="shared" ca="1" si="85"/>
        <v>0</v>
      </c>
      <c r="S190" s="139">
        <f t="shared" ca="1" si="86"/>
        <v>0</v>
      </c>
      <c r="T190" s="133" cm="1">
        <f t="array" aca="1" ref="T190" ca="1">IF($F190="Terminated",0,IF($AA190=0,0,IF(ISNA(MATCH(T$5,CompListItem,0)),0,IF(COUNTIFS(OverEmp,$C190,OverComp,T$5,OverDate,"&lt;"&amp;DATE(YEAR($AC190),MONTH($AC190)+1,1),OverEnd,"&gt;="&amp;DATE(YEAR($AC190),MONTH($AC190),1))&gt;0,SUMIFS(OverValue,OverEmp,$C190,OverComp,T$5,OverDate,"&lt;"&amp;DATE(YEAR($AC190),MONTH($AC190)+1,1),OverEnd,"&gt;="&amp;DATE(YEAR($AC190),MONTH($AC190),1)),IF(OR(T$2="Fixed",T$2="Not Used"),(OFFSET(Setup!$E$81,MATCH(T$5,CompListItem,0),0,1,1)*$AA190)-SUMIFS(OFFSET(T$6,1,0,PayCount,1),PayDate,"&lt;"&amp;$AC190,PayEmp,$C190),IF(ISNA(MATCH(T$2,DedListItem,0))=FALSE,(SUMPRODUCT((PayEmp=$C190)*(PayDate&lt;=$AC190)*(PayDedList=T$2)*(PayDedValues))*OFFSET(Setup!$E$81,MATCH(T$5,CompListItem,0),0,1,1))-SUMIFS(OFFSET(T$6,1,0,PayCount,1),PayDate,"&lt;"&amp;$AC190,PayEmp,$C190),(MIN(IF(OFFSET(Setup!$G$81,MATCH(T$5,CompListItem,0),0,1,1)="Taxable",SUMPRODUCT((PayEmp=$C190)*(PayDate&lt;=$AC190)*(ISERROR(SEARCH(PayEarnCode,T$4)))*(PayEarnTax)*(PayEarnValues)),SUMPRODUCT((PayEmp=$C190)*(PayDate&lt;=$AC190)*(ISERROR(SEARCH(PayEarnCode,T$4)))*(PayEarnValues))),IF(ISNUMBER(T$3),T$3/12*$AA190,IgnoreMin)))*OFFSET(Setup!$E$81,MATCH(T$5,CompListItem,0),0,1,1)-SUMIFS(OFFSET(T$6,1,0,PayCount,1),PayDate,"&lt;"&amp;$AC190,PayEmp,$C190)))))))</f>
        <v>0</v>
      </c>
      <c r="U190" s="133" cm="1">
        <f t="array" aca="1" ref="U190" ca="1">IF($F190="Terminated",0,IF($AA190=0,0,IF(ISNA(MATCH(U$5,CompListItem,0)),0,IF(COUNTIFS(OverEmp,$C190,OverComp,U$5,OverDate,"&lt;"&amp;DATE(YEAR($AC190),MONTH($AC190)+1,1),OverEnd,"&gt;="&amp;DATE(YEAR($AC190),MONTH($AC190),1))&gt;0,SUMIFS(OverValue,OverEmp,$C190,OverComp,U$5,OverDate,"&lt;"&amp;DATE(YEAR($AC190),MONTH($AC190)+1,1),OverEnd,"&gt;="&amp;DATE(YEAR($AC190),MONTH($AC190),1)),IF(OR(U$2="Fixed",U$2="Not Used"),(OFFSET(Setup!$E$81,MATCH(U$5,CompListItem,0),0,1,1)*$AA190)-SUMIFS(OFFSET(U$6,1,0,PayCount,1),PayDate,"&lt;"&amp;$AC190,PayEmp,$C190),IF(ISNA(MATCH(U$2,DedListItem,0))=FALSE,(SUMPRODUCT((PayEmp=$C190)*(PayDate&lt;=$AC190)*(PayDedList=U$2)*(PayDedValues))*OFFSET(Setup!$E$81,MATCH(U$5,CompListItem,0),0,1,1))-SUMIFS(OFFSET(U$6,1,0,PayCount,1),PayDate,"&lt;"&amp;$AC190,PayEmp,$C190),(MIN(IF(OFFSET(Setup!$G$81,MATCH(U$5,CompListItem,0),0,1,1)="Taxable",SUMPRODUCT((PayEmp=$C190)*(PayDate&lt;=$AC190)*(ISERROR(SEARCH(PayEarnCode,U$4)))*(PayEarnTax)*(PayEarnValues)),SUMPRODUCT((PayEmp=$C190)*(PayDate&lt;=$AC190)*(ISERROR(SEARCH(PayEarnCode,U$4)))*(PayEarnValues))),IF(ISNUMBER(U$3),U$3/12*$AA190,IgnoreMin)))*OFFSET(Setup!$E$81,MATCH(U$5,CompListItem,0),0,1,1)-SUMIFS(OFFSET(U$6,1,0,PayCount,1),PayDate,"&lt;"&amp;$AC190,PayEmp,$C190)))))))</f>
        <v>0</v>
      </c>
      <c r="V190" s="133" cm="1">
        <f t="array" aca="1" ref="V190" ca="1">IF($F190="Terminated",0,IF($AA190=0,0,IF(ISNA(MATCH(V$5,CompListItem,0)),0,IF(COUNTIFS(OverEmp,$C190,OverComp,V$5,OverDate,"&lt;"&amp;DATE(YEAR($AC190),MONTH($AC190)+1,1),OverEnd,"&gt;="&amp;DATE(YEAR($AC190),MONTH($AC190),1))&gt;0,SUMIFS(OverValue,OverEmp,$C190,OverComp,V$5,OverDate,"&lt;"&amp;DATE(YEAR($AC190),MONTH($AC190)+1,1),OverEnd,"&gt;="&amp;DATE(YEAR($AC190),MONTH($AC190),1)),IF(OR(V$2="Fixed",V$2="Not Used"),(OFFSET(Setup!$E$81,MATCH(V$5,CompListItem,0),0,1,1)*$AA190)-SUMIFS(OFFSET(V$6,1,0,PayCount,1),PayDate,"&lt;"&amp;$AC190,PayEmp,$C190),IF(ISNA(MATCH(V$2,DedListItem,0))=FALSE,(SUMPRODUCT((PayEmp=$C190)*(PayDate&lt;=$AC190)*(PayDedList=V$2)*(PayDedValues))*OFFSET(Setup!$E$81,MATCH(V$5,CompListItem,0),0,1,1))-SUMIFS(OFFSET(V$6,1,0,PayCount,1),PayDate,"&lt;"&amp;$AC190,PayEmp,$C190),(MIN(IF(OFFSET(Setup!$G$81,MATCH(V$5,CompListItem,0),0,1,1)="Taxable",SUMPRODUCT((PayEmp=$C190)*(PayDate&lt;=$AC190)*(ISERROR(SEARCH(PayEarnCode,V$4)))*(PayEarnTax)*(PayEarnValues)),SUMPRODUCT((PayEmp=$C190)*(PayDate&lt;=$AC190)*(ISERROR(SEARCH(PayEarnCode,V$4)))*(PayEarnValues))),IF(ISNUMBER(V$3),V$3/12*$AA190,IgnoreMin)))*OFFSET(Setup!$E$81,MATCH(V$5,CompListItem,0),0,1,1)-SUMIFS(OFFSET(V$6,1,0,PayCount,1),PayDate,"&lt;"&amp;$AC190,PayEmp,$C190)))))))</f>
        <v>0</v>
      </c>
      <c r="W190" s="133" cm="1">
        <f t="array" aca="1" ref="W190" ca="1">IF($F190="Terminated",0,IF($AA190=0,0,IF(ISNA(MATCH(W$5,CompListItem,0)),0,IF(COUNTIFS(OverEmp,$C190,OverComp,W$5,OverDate,"&lt;"&amp;DATE(YEAR($AC190),MONTH($AC190)+1,1),OverEnd,"&gt;="&amp;DATE(YEAR($AC190),MONTH($AC190),1))&gt;0,SUMIFS(OverValue,OverEmp,$C190,OverComp,W$5,OverDate,"&lt;"&amp;DATE(YEAR($AC190),MONTH($AC190)+1,1),OverEnd,"&gt;="&amp;DATE(YEAR($AC190),MONTH($AC190),1)),IF(OR(W$2="Fixed",W$2="Not Used"),(OFFSET(Setup!$E$81,MATCH(W$5,CompListItem,0),0,1,1)*$AA190)-SUMIFS(OFFSET(W$6,1,0,PayCount,1),PayDate,"&lt;"&amp;$AC190,PayEmp,$C190),IF(ISNA(MATCH(W$2,DedListItem,0))=FALSE,(SUMPRODUCT((PayEmp=$C190)*(PayDate&lt;=$AC190)*(PayDedList=W$2)*(PayDedValues))*OFFSET(Setup!$E$81,MATCH(W$5,CompListItem,0),0,1,1))-SUMIFS(OFFSET(W$6,1,0,PayCount,1),PayDate,"&lt;"&amp;$AC190,PayEmp,$C190),(MIN(IF(OFFSET(Setup!$G$81,MATCH(W$5,CompListItem,0),0,1,1)="Taxable",SUMPRODUCT((PayEmp=$C190)*(PayDate&lt;=$AC190)*(ISERROR(SEARCH(PayEarnCode,W$4)))*(PayEarnTax)*(PayEarnValues)),SUMPRODUCT((PayEmp=$C190)*(PayDate&lt;=$AC190)*(ISERROR(SEARCH(PayEarnCode,W$4)))*(PayEarnValues))),IF(ISNUMBER(W$3),W$3/12*$AA190,IgnoreMin)))*OFFSET(Setup!$E$81,MATCH(W$5,CompListItem,0),0,1,1)-SUMIFS(OFFSET(W$6,1,0,PayCount,1),PayDate,"&lt;"&amp;$AC190,PayEmp,$C190)))))))</f>
        <v>0</v>
      </c>
      <c r="X190" s="185">
        <f t="shared" ca="1" si="90"/>
        <v>0</v>
      </c>
      <c r="Y190" s="139">
        <f t="shared" ca="1" si="87"/>
        <v>0</v>
      </c>
      <c r="Z190" s="139">
        <f t="shared" ca="1" si="91"/>
        <v>0</v>
      </c>
      <c r="AA190" s="146">
        <f ca="1">IF(OR($B190&lt;=Setup!$E$12,$B190&gt;=Setup!$D$12+1),0,IF($F190&lt;&gt;"Active",0,IF($AE190="Yes",$AB190,((YEAR($AC190)*12)+MONTH($AC190))-((YEAR($AD190)*12)+MONTH($AD190)-1))))</f>
        <v>0</v>
      </c>
      <c r="AB190" s="146">
        <f ca="1">IF(OR($B190&lt;=Setup!$E$12,$B190&gt;=Setup!$D$12+1),0,((YEAR($AC190)*12)+MONTH($AC190))-((YEAR(Setup!$E$12)*12)+MONTH(Setup!$E$12)))</f>
        <v>12</v>
      </c>
      <c r="AC190" s="186">
        <f t="shared" ca="1" si="92"/>
        <v>45351</v>
      </c>
      <c r="AD190" s="144">
        <f ca="1">IF(ISNA(VLOOKUP($C190,EmpAll,COLUMN(Emp!$E$4),0)),$AC190,IF(VLOOKUP($C190,EmpAll,COLUMN(Emp!$E$4),0)&lt;=Setup!$E$12,DATE(YEAR(Setup!$E$12),MONTH(Setup!$E$12)+1,1),VLOOKUP($C190,EmpAll,COLUMN(Emp!$E$4),0)))</f>
        <v>45351</v>
      </c>
      <c r="AE190" s="144" t="str">
        <f ca="1">IF(ISNA(VLOOKUP($C190,EmpAll,COLUMN(Emp!$G$1),0)),"-",IF(VLOOKUP($C190,EmpAll,COLUMN(Emp!$G$1),0)=0,"-",VLOOKUP($C190,EmpAll,COLUMN(Emp!$G$1),0)))</f>
        <v>-</v>
      </c>
      <c r="AF190" s="145">
        <f>IF(A190=PaySlip!$G$3,1,0)</f>
        <v>0</v>
      </c>
      <c r="AG190" s="130" cm="1">
        <f t="array" aca="1" ref="AG190" ca="1">IF(COUNTIFS(OverEmp,$C190,OverMed,"MED",OverDate,"&lt;"&amp;DATE(YEAR($AC190),MONTH($AC190)+1,1),OverEnd,"&gt;="&amp;DATE(YEAR($AC190),MONTH($AC190),1))&gt;0,SUMIFS(OverValue,OverEmp,$C190,OverMed,"MED",OverDate,"&lt;"&amp;DATE(YEAR($AC190),MONTH($AC190)+1,1),OverEnd,"&gt;="&amp;DATE(YEAR($AC190),MONTH($AC190),1)),IF(ISNA(VLOOKUP($C190,EmpAll,COLUMN(Emp!$N$4),0)),0,VLOOKUP($C190,EmpAll,COLUMN(Emp!$N$4),0)))</f>
        <v>0</v>
      </c>
      <c r="AH190" s="146">
        <f ca="1">VLOOKUP($AG190,MedList,COLUMN(Setup!$C$49),1)</f>
        <v>0</v>
      </c>
      <c r="AI190" s="146">
        <f t="shared" ca="1" si="70"/>
        <v>0</v>
      </c>
      <c r="AJ190" s="101" t="str">
        <f ca="1">IF(ISNA(VLOOKUP($C190,EmpAll,COLUMN(Emp!$L$4),0)),"None!",VLOOKUP($C190,EmpAll,COLUMN(Emp!$L$4),0))</f>
        <v>None!</v>
      </c>
      <c r="AK190" s="147">
        <f t="shared" ca="1" si="80"/>
        <v>17235</v>
      </c>
      <c r="AL190" s="101" t="str">
        <f ca="1">IF(ISNA(VLOOKUP($C190,Employees[],COLUMN(Emp!$M$4),0))=TRUE,"Error!",IF(VLOOKUP($C190,Employees[],COLUMN(Emp!$M$4),0)=0,"Yes",VLOOKUP($C190,Employees[],COLUMN(Emp!$M$4),0)))</f>
        <v>Error!</v>
      </c>
      <c r="AM190" s="148">
        <f t="shared" ca="1" si="71"/>
        <v>0</v>
      </c>
      <c r="AN190" s="148" cm="1">
        <f t="array" aca="1" ref="AN190" ca="1">-IF($F190="Terminated",0,IF($AA190=0,0,IF(ISNA(MATCH(AN$5,PayDedList,0)),0,MIN(IF(COUNTIFS(OverEmp,$C190,OverDeduct,AN$5,OverDate,"&lt;"&amp;DATE(YEAR($AC190),MONTH($AC190)+1,1),OverEnd,"&gt;="&amp;DATE(YEAR($AC190),MONTH($AC190),1))&gt;0,SUMPRODUCT((PayEmp=$C190)*(PayDate&lt;=$AC190)*(OFFSET($N$6,1,MATCH(AN$5,PayDedList,0)-1,PayCount,1)))/$AA190*12*AN$3,IF(OR(AN$1="Fixed",AN$1="Not Used"),SUMPRODUCT((PayEmp=$C190)*(PayDate&lt;=$AC190)*(OFFSET($N$6,1,MATCH(AN$5,PayDedList,0)-1,PayCount,1)))/$AA190*12*AN$3,IF(ISNA(MATCH(AN$1,EarnListItem,0))=FALSE,SUMPRODUCT((PayEmp=$C190)*(PayDate&lt;=$AC190)*(OFFSET($N$6,1,MATCH(AN$5,PayDedList,0)-1,PayCount,1)))/$AA190*12*AN$3,(MIN(((SUMPRODUCT((PayEmp=$C190)*(PayDate&lt;=$AC190)*(ISERROR(SEARCH(PayEarnCode,AN$2)))*(PayEarnType="Monthly")*(PayEarnValues))/$AA190*12)+(SUMPRODUCT((PayEmp=$C190)*(PayDate&lt;=$AC190)*(ISERROR(SEARCH(PayEarnCode,AN$2)))*(PayEarnType="Quarterly")*(PayEarnValues))/MAX(1,ROUNDDOWN($AB190/3,0))*4)+(SUMPRODUCT((PayEmp=$C190)*(PayDate&lt;=$AC190)*(ISERROR(SEARCH(PayEarnCode,AN$2)))*(PayEarnType="Bi-Annual")*(PayEarnValues))/MAX(1,ROUNDDOWN($AB190/6,0))*2)+(SUMPRODUCT((PayEmp=$C190)*(PayDate&lt;=$AC190)*(ISERROR(SEARCH(PayEarnCode,AN$2)))*(PayEarnType="Annual")*(PayEarnValues)))),IF(ISNUMBER(OFFSET($N$3,0,MATCH(AN$5,PayDedList,0)-1,1,1)),OFFSET($N$3,0,MATCH(AN$5,PayDedList,0)-1,1,1),IgnoreMin)))*IF(COUNTIFS(EmpNo,$C190,OFFSET(Emp!$R$4,1,MATCH(AN$5,DedListItem,0)-1,EmpCount,1),"&lt;&gt;")&gt;0,VLOOKUP($C190,EmpAll,COLUMN(Emp!$R$4)+MATCH(AN$5,DedListItem,0)-1,0),OFFSET(Setup!$E$73,MATCH(AN$5,DedListItem,0),0,1,1))*AN$3))),IF(ISNUMBER(AN$4),AN$4,IgnoreMin)))))</f>
        <v>0</v>
      </c>
      <c r="AO190" s="148" cm="1">
        <f t="array" aca="1" ref="AO190" ca="1">-IF($F190="Terminated",0,IF($AA190=0,0,IF(ISNA(MATCH(AO$5,PayDedList,0)),0,MIN(IF(COUNTIFS(OverEmp,$C190,OverDeduct,AO$5,OverDate,"&lt;"&amp;DATE(YEAR($AC190),MONTH($AC190)+1,1),OverEnd,"&gt;="&amp;DATE(YEAR($AC190),MONTH($AC190),1))&gt;0,SUMPRODUCT((PayEmp=$C190)*(PayDate&lt;=$AC190)*(OFFSET($N$6,1,MATCH(AO$5,PayDedList,0)-1,PayCount,1)))/$AA190*12*AO$3,IF(OR(AO$1="Fixed",AO$1="Not Used"),SUMPRODUCT((PayEmp=$C190)*(PayDate&lt;=$AC190)*(OFFSET($N$6,1,MATCH(AO$5,PayDedList,0)-1,PayCount,1)))/$AA190*12*AO$3,IF(ISNA(MATCH(AO$1,EarnListItem,0))=FALSE,SUMPRODUCT((PayEmp=$C190)*(PayDate&lt;=$AC190)*(OFFSET($N$6,1,MATCH(AO$5,PayDedList,0)-1,PayCount,1)))/$AA190*12*AO$3,(MIN(((SUMPRODUCT((PayEmp=$C190)*(PayDate&lt;=$AC190)*(ISERROR(SEARCH(PayEarnCode,AO$2)))*(PayEarnType="Monthly")*(PayEarnValues))/$AA190*12)+(SUMPRODUCT((PayEmp=$C190)*(PayDate&lt;=$AC190)*(ISERROR(SEARCH(PayEarnCode,AO$2)))*(PayEarnType="Quarterly")*(PayEarnValues))/MAX(1,ROUNDDOWN($AB190/3,0))*4)+(SUMPRODUCT((PayEmp=$C190)*(PayDate&lt;=$AC190)*(ISERROR(SEARCH(PayEarnCode,AO$2)))*(PayEarnType="Bi-Annual")*(PayEarnValues))/MAX(1,ROUNDDOWN($AB190/6,0))*2)+(SUMPRODUCT((PayEmp=$C190)*(PayDate&lt;=$AC190)*(ISERROR(SEARCH(PayEarnCode,AO$2)))*(PayEarnType="Annual")*(PayEarnValues)))),IF(ISNUMBER(OFFSET($N$3,0,MATCH(AO$5,PayDedList,0)-1,1,1)),OFFSET($N$3,0,MATCH(AO$5,PayDedList,0)-1,1,1),IgnoreMin)))*IF(COUNTIFS(EmpNo,$C190,OFFSET(Emp!$R$4,1,MATCH(AO$5,DedListItem,0)-1,EmpCount,1),"&lt;&gt;")&gt;0,VLOOKUP($C190,EmpAll,COLUMN(Emp!$R$4)+MATCH(AO$5,DedListItem,0)-1,0),OFFSET(Setup!$E$73,MATCH(AO$5,DedListItem,0),0,1,1))*AO$3))),IF(ISNUMBER(AO$4),AO$4,IgnoreMin)))))</f>
        <v>0</v>
      </c>
      <c r="AP190" s="148" cm="1">
        <f t="array" aca="1" ref="AP190" ca="1">-IF($F190="Terminated",0,IF($AA190=0,0,IF(ISNA(MATCH(AP$5,PayDedList,0)),0,MIN(IF(COUNTIFS(OverEmp,$C190,OverDeduct,AP$5,OverDate,"&lt;"&amp;DATE(YEAR($AC190),MONTH($AC190)+1,1),OverEnd,"&gt;="&amp;DATE(YEAR($AC190),MONTH($AC190),1))&gt;0,SUMPRODUCT((PayEmp=$C190)*(PayDate&lt;=$AC190)*(OFFSET($N$6,1,MATCH(AP$5,PayDedList,0)-1,PayCount,1)))/$AA190*12*AP$3,IF(OR(AP$1="Fixed",AP$1="Not Used"),SUMPRODUCT((PayEmp=$C190)*(PayDate&lt;=$AC190)*(OFFSET($N$6,1,MATCH(AP$5,PayDedList,0)-1,PayCount,1)))/$AA190*12*AP$3,IF(ISNA(MATCH(AP$1,EarnListItem,0))=FALSE,SUMPRODUCT((PayEmp=$C190)*(PayDate&lt;=$AC190)*(OFFSET($N$6,1,MATCH(AP$5,PayDedList,0)-1,PayCount,1)))/$AA190*12*AP$3,(MIN(((SUMPRODUCT((PayEmp=$C190)*(PayDate&lt;=$AC190)*(ISERROR(SEARCH(PayEarnCode,AP$2)))*(PayEarnType="Monthly")*(PayEarnValues))/$AA190*12)+(SUMPRODUCT((PayEmp=$C190)*(PayDate&lt;=$AC190)*(ISERROR(SEARCH(PayEarnCode,AP$2)))*(PayEarnType="Quarterly")*(PayEarnValues))/MAX(1,ROUNDDOWN($AB190/3,0))*4)+(SUMPRODUCT((PayEmp=$C190)*(PayDate&lt;=$AC190)*(ISERROR(SEARCH(PayEarnCode,AP$2)))*(PayEarnType="Bi-Annual")*(PayEarnValues))/MAX(1,ROUNDDOWN($AB190/6,0))*2)+(SUMPRODUCT((PayEmp=$C190)*(PayDate&lt;=$AC190)*(ISERROR(SEARCH(PayEarnCode,AP$2)))*(PayEarnType="Annual")*(PayEarnValues)))),IF(ISNUMBER(OFFSET($N$3,0,MATCH(AP$5,PayDedList,0)-1,1,1)),OFFSET($N$3,0,MATCH(AP$5,PayDedList,0)-1,1,1),IgnoreMin)))*IF(COUNTIFS(EmpNo,$C190,OFFSET(Emp!$R$4,1,MATCH(AP$5,DedListItem,0)-1,EmpCount,1),"&lt;&gt;")&gt;0,VLOOKUP($C190,EmpAll,COLUMN(Emp!$R$4)+MATCH(AP$5,DedListItem,0)-1,0),OFFSET(Setup!$E$73,MATCH(AP$5,DedListItem,0),0,1,1))*AP$3))),IF(ISNUMBER(AP$4),AP$4,IgnoreMin)))))</f>
        <v>0</v>
      </c>
      <c r="AQ190" s="148" cm="1">
        <f t="array" aca="1" ref="AQ190" ca="1">-IF($F190="Terminated",0,IF($AA190=0,0,IF(ISNA(MATCH(AQ$5,PayDedList,0)),0,MIN(IF(COUNTIFS(OverEmp,$C190,OverDeduct,AQ$5,OverDate,"&lt;"&amp;DATE(YEAR($AC190),MONTH($AC190)+1,1),OverEnd,"&gt;="&amp;DATE(YEAR($AC190),MONTH($AC190),1))&gt;0,SUMPRODUCT((PayEmp=$C190)*(PayDate&lt;=$AC190)*(OFFSET($N$6,1,MATCH(AQ$5,PayDedList,0)-1,PayCount,1)))/$AA190*12*AQ$3,IF(OR(AQ$1="Fixed",AQ$1="Not Used"),SUMPRODUCT((PayEmp=$C190)*(PayDate&lt;=$AC190)*(OFFSET($N$6,1,MATCH(AQ$5,PayDedList,0)-1,PayCount,1)))/$AA190*12*AQ$3,IF(ISNA(MATCH(AQ$1,EarnListItem,0))=FALSE,SUMPRODUCT((PayEmp=$C190)*(PayDate&lt;=$AC190)*(OFFSET($N$6,1,MATCH(AQ$5,PayDedList,0)-1,PayCount,1)))/$AA190*12*AQ$3,(MIN(((SUMPRODUCT((PayEmp=$C190)*(PayDate&lt;=$AC190)*(ISERROR(SEARCH(PayEarnCode,AQ$2)))*(PayEarnType="Monthly")*(PayEarnValues))/$AA190*12)+(SUMPRODUCT((PayEmp=$C190)*(PayDate&lt;=$AC190)*(ISERROR(SEARCH(PayEarnCode,AQ$2)))*(PayEarnType="Quarterly")*(PayEarnValues))/MAX(1,ROUNDDOWN($AB190/3,0))*4)+(SUMPRODUCT((PayEmp=$C190)*(PayDate&lt;=$AC190)*(ISERROR(SEARCH(PayEarnCode,AQ$2)))*(PayEarnType="Bi-Annual")*(PayEarnValues))/MAX(1,ROUNDDOWN($AB190/6,0))*2)+(SUMPRODUCT((PayEmp=$C190)*(PayDate&lt;=$AC190)*(ISERROR(SEARCH(PayEarnCode,AQ$2)))*(PayEarnType="Annual")*(PayEarnValues)))),IF(ISNUMBER(OFFSET($N$3,0,MATCH(AQ$5,PayDedList,0)-1,1,1)),OFFSET($N$3,0,MATCH(AQ$5,PayDedList,0)-1,1,1),IgnoreMin)))*IF(COUNTIFS(EmpNo,$C190,OFFSET(Emp!$R$4,1,MATCH(AQ$5,DedListItem,0)-1,EmpCount,1),"&lt;&gt;")&gt;0,VLOOKUP($C190,EmpAll,COLUMN(Emp!$R$4)+MATCH(AQ$5,DedListItem,0)-1,0),OFFSET(Setup!$E$73,MATCH(AQ$5,DedListItem,0),0,1,1))*AQ$3))),IF(ISNUMBER(AQ$4),AQ$4,IgnoreMin)))))</f>
        <v>0</v>
      </c>
      <c r="AR190" s="148">
        <f t="shared" ca="1" si="93"/>
        <v>0</v>
      </c>
      <c r="AS190" s="148">
        <f t="shared" ca="1" si="72"/>
        <v>0</v>
      </c>
      <c r="AT190" s="148" cm="1">
        <f t="array" aca="1" ref="AT190" ca="1">-IF($F190="Terminated",0,IF($AA190=0,0,IF(ISNA(MATCH(AT$5,PayDedList,0)),0,MIN(IF(COUNTIFS(OverEmp,$C190,OverDeduct,AT$5,OverDate,"&lt;"&amp;DATE(YEAR($AC190),MONTH($AC190)+1,1),OverEnd,"&gt;="&amp;DATE(YEAR($AC190),MONTH($AC190),1))&gt;0,SUMPRODUCT((PayEmp=$C190)*(PayDate&lt;=$AC190)*(OFFSET($N$6,1,MATCH(AT$5,PayDedList,0)-1,PayCount,1)))/$AA190*12*AT$3,IF(OR(AT$1="Fixed",AT$1="Not Used"),SUMPRODUCT((PayEmp=$C190)*(PayDate&lt;=$AC190)*(OFFSET($N$6,1,MATCH(AT$5,PayDedList,0)-1,PayCount,1)))/$AA190*12*AT$3,IF(ISNA(MATCH(OFFSET($N$2,0,MATCH(AT$5,PayDedList,0)-1,1,1),EarnListItem,0))=FALSE,SUMPRODUCT((PayEmp=$C190)*(PayDate&lt;=$AC190)*(OFFSET($N$6,1,MATCH(AT$5,PayDedList,0)-1,PayCount,1)))/$AA190*12*AT$3,(MIN(SUMPRODUCT((PayEmp=$C190)*(PayDate&lt;=$AC190)*(ISERROR(SEARCH(PayEarnCode,AT$2)))*(PayEarnType="Monthly")*(PayEarnValues))/$AA190*12,IF(ISNUMBER(OFFSET($N$3,0,MATCH(AT$5,PayDedList,0)-1,1,1)),OFFSET($N$3,0,MATCH(AT$5,PayDedList,0)-1,1,1),IgnoreMin)))*IF(COUNTIFS(EmpNo,$C190,OFFSET(Emp!$R$4,1,MATCH(AT$5,DedListItem,0)-1,EmpCount,1),"&lt;&gt;")&gt;0,VLOOKUP($C190,EmpAll,COLUMN(Emp!$R$4)+MATCH(AT$5,DedListItem,0)-1,0),OFFSET(Setup!$E$73,MATCH(AT$5,DedListItem,0),0,1,1))*AT$3))),IF(ISNUMBER(AT$4),AT$4,IgnoreMin)))))</f>
        <v>0</v>
      </c>
      <c r="AU190" s="148" cm="1">
        <f t="array" aca="1" ref="AU190" ca="1">-IF($F190="Terminated",0,IF($AA190=0,0,IF(ISNA(MATCH(AU$5,PayDedList,0)),0,MIN(IF(COUNTIFS(OverEmp,$C190,OverDeduct,AU$5,OverDate,"&lt;"&amp;DATE(YEAR($AC190),MONTH($AC190)+1,1),OverEnd,"&gt;="&amp;DATE(YEAR($AC190),MONTH($AC190),1))&gt;0,SUMPRODUCT((PayEmp=$C190)*(PayDate&lt;=$AC190)*(OFFSET($N$6,1,MATCH(AU$5,PayDedList,0)-1,PayCount,1)))/$AA190*12*AU$3,IF(OR(AU$1="Fixed",AU$1="Not Used"),SUMPRODUCT((PayEmp=$C190)*(PayDate&lt;=$AC190)*(OFFSET($N$6,1,MATCH(AU$5,PayDedList,0)-1,PayCount,1)))/$AA190*12*AU$3,IF(ISNA(MATCH(OFFSET($N$2,0,MATCH(AU$5,PayDedList,0)-1,1,1),EarnListItem,0))=FALSE,SUMPRODUCT((PayEmp=$C190)*(PayDate&lt;=$AC190)*(OFFSET($N$6,1,MATCH(AU$5,PayDedList,0)-1,PayCount,1)))/$AA190*12*AU$3,(MIN(SUMPRODUCT((PayEmp=$C190)*(PayDate&lt;=$AC190)*(ISERROR(SEARCH(PayEarnCode,AU$2)))*(PayEarnType="Monthly")*(PayEarnValues))/$AA190*12,IF(ISNUMBER(OFFSET($N$3,0,MATCH(AU$5,PayDedList,0)-1,1,1)),OFFSET($N$3,0,MATCH(AU$5,PayDedList,0)-1,1,1),IgnoreMin)))*IF(COUNTIFS(EmpNo,$C190,OFFSET(Emp!$R$4,1,MATCH(AU$5,DedListItem,0)-1,EmpCount,1),"&lt;&gt;")&gt;0,VLOOKUP($C190,EmpAll,COLUMN(Emp!$R$4)+MATCH(AU$5,DedListItem,0)-1,0),OFFSET(Setup!$E$73,MATCH(AU$5,DedListItem,0),0,1,1))*AU$3))),IF(ISNUMBER(AU$4),AU$4,IgnoreMin)))))</f>
        <v>0</v>
      </c>
      <c r="AV190" s="148" cm="1">
        <f t="array" aca="1" ref="AV190" ca="1">-IF($F190="Terminated",0,IF($AA190=0,0,IF(ISNA(MATCH(AV$5,PayDedList,0)),0,MIN(IF(COUNTIFS(OverEmp,$C190,OverDeduct,AV$5,OverDate,"&lt;"&amp;DATE(YEAR($AC190),MONTH($AC190)+1,1),OverEnd,"&gt;="&amp;DATE(YEAR($AC190),MONTH($AC190),1))&gt;0,SUMPRODUCT((PayEmp=$C190)*(PayDate&lt;=$AC190)*(OFFSET($N$6,1,MATCH(AV$5,PayDedList,0)-1,PayCount,1)))/$AA190*12*AV$3,IF(OR(AV$1="Fixed",AV$1="Not Used"),SUMPRODUCT((PayEmp=$C190)*(PayDate&lt;=$AC190)*(OFFSET($N$6,1,MATCH(AV$5,PayDedList,0)-1,PayCount,1)))/$AA190*12*AV$3,IF(ISNA(MATCH(OFFSET($N$2,0,MATCH(AV$5,PayDedList,0)-1,1,1),EarnListItem,0))=FALSE,SUMPRODUCT((PayEmp=$C190)*(PayDate&lt;=$AC190)*(OFFSET($N$6,1,MATCH(AV$5,PayDedList,0)-1,PayCount,1)))/$AA190*12*AV$3,(MIN(SUMPRODUCT((PayEmp=$C190)*(PayDate&lt;=$AC190)*(ISERROR(SEARCH(PayEarnCode,AV$2)))*(PayEarnType="Monthly")*(PayEarnValues))/$AA190*12,IF(ISNUMBER(OFFSET($N$3,0,MATCH(AV$5,PayDedList,0)-1,1,1)),OFFSET($N$3,0,MATCH(AV$5,PayDedList,0)-1,1,1),IgnoreMin)))*IF(COUNTIFS(EmpNo,$C190,OFFSET(Emp!$R$4,1,MATCH(AV$5,DedListItem,0)-1,EmpCount,1),"&lt;&gt;")&gt;0,VLOOKUP($C190,EmpAll,COLUMN(Emp!$R$4)+MATCH(AV$5,DedListItem,0)-1,0),OFFSET(Setup!$E$73,MATCH(AV$5,DedListItem,0),0,1,1))*AV$3))),IF(ISNUMBER(AV$4),AV$4,IgnoreMin)))))</f>
        <v>0</v>
      </c>
      <c r="AW190" s="148" cm="1">
        <f t="array" aca="1" ref="AW190" ca="1">-IF($F190="Terminated",0,IF($AA190=0,0,IF(ISNA(MATCH(AW$5,PayDedList,0)),0,MIN(IF(COUNTIFS(OverEmp,$C190,OverDeduct,AW$5,OverDate,"&lt;"&amp;DATE(YEAR($AC190),MONTH($AC190)+1,1),OverEnd,"&gt;="&amp;DATE(YEAR($AC190),MONTH($AC190),1))&gt;0,SUMPRODUCT((PayEmp=$C190)*(PayDate&lt;=$AC190)*(OFFSET($N$6,1,MATCH(AW$5,PayDedList,0)-1,PayCount,1)))/$AA190*12*AW$3,IF(OR(AW$1="Fixed",AW$1="Not Used"),SUMPRODUCT((PayEmp=$C190)*(PayDate&lt;=$AC190)*(OFFSET($N$6,1,MATCH(AW$5,PayDedList,0)-1,PayCount,1)))/$AA190*12*AW$3,IF(ISNA(MATCH(OFFSET($N$2,0,MATCH(AW$5,PayDedList,0)-1,1,1),EarnListItem,0))=FALSE,SUMPRODUCT((PayEmp=$C190)*(PayDate&lt;=$AC190)*(OFFSET($N$6,1,MATCH(AW$5,PayDedList,0)-1,PayCount,1)))/$AA190*12*AW$3,(MIN(SUMPRODUCT((PayEmp=$C190)*(PayDate&lt;=$AC190)*(ISERROR(SEARCH(PayEarnCode,AW$2)))*(PayEarnType="Monthly")*(PayEarnValues))/$AA190*12,IF(ISNUMBER(OFFSET($N$3,0,MATCH(AW$5,PayDedList,0)-1,1,1)),OFFSET($N$3,0,MATCH(AW$5,PayDedList,0)-1,1,1),IgnoreMin)))*IF(COUNTIFS(EmpNo,$C190,OFFSET(Emp!$R$4,1,MATCH(AW$5,DedListItem,0)-1,EmpCount,1),"&lt;&gt;")&gt;0,VLOOKUP($C190,EmpAll,COLUMN(Emp!$R$4)+MATCH(AW$5,DedListItem,0)-1,0),OFFSET(Setup!$E$73,MATCH(AW$5,DedListItem,0),0,1,1))*AW$3))),IF(ISNUMBER(AW$4),AW$4,IgnoreMin)))))</f>
        <v>0</v>
      </c>
      <c r="AX190" s="148">
        <f t="shared" ca="1" si="88"/>
        <v>0</v>
      </c>
      <c r="AY190" s="148">
        <f t="shared" ca="1" si="89"/>
        <v>0</v>
      </c>
      <c r="AZ190" s="148">
        <f ca="1">IF(ISNUMBER($AL190),($AR190*$AL190)-$AI190-$AK190,MAX(0,IF($AL190="B",IF($AR190&lt;Setup!$C$32,($AR190*Setup!$D$32)-$AI190-$AK190,(($AR190-VLOOKUP($AR190,TaxAll2,1,1))*OFFSET(Setup!$D$32,MATCH($AR190,TaxBracket2,1),0,1,1))+OFFSET(Setup!$E$31,MATCH($AR190,TaxBracket2,1),0,1,1)-$AI190-$AK190),IF($AR190&lt;Setup!$C$21,($AR190*Setup!$D$21)-$AI190-$AK190,(($AR190-VLOOKUP($AR190,TaxAll1,1,1))*OFFSET(Setup!$D$21,MATCH($AR190,TaxBracket1,1),0,1,1))+OFFSET(Setup!$E$20,MATCH($AR190,TaxBracket1,1),0,1,1)-$AI190-$AK190))))</f>
        <v>0</v>
      </c>
      <c r="BA190" s="148">
        <f ca="1">IF(ISNUMBER($AL190),($AX190*$AL190)-$AI190-$AK190,MAX(0,IF($AL190="B",IF($AX190&lt;Setup!$C$32,($AX190*Setup!$D$32)-$AI190-$AK190,(($AX190-VLOOKUP($AX190,TaxAll2,1,1))*OFFSET(Setup!$D$32,MATCH($AX190,TaxBracket2,1),0,1,1))+OFFSET(Setup!$E$31,MATCH($AX190,TaxBracket2,1),0,1,1)-$AI190-$AK190),IF($AX190&lt;Setup!$C$21,($AX190*Setup!$D$21)-$AI190-$AK190,(($AX190-VLOOKUP($AX190,TaxAll1,1,1))*OFFSET(Setup!$D$21,MATCH($AX190,TaxBracket1,1),0,1,1))+OFFSET(Setup!$E$20,MATCH($AX190,TaxBracket1,1),0,1,1)-$AI190-$AK190))))</f>
        <v>0</v>
      </c>
      <c r="BB190" s="148">
        <f t="shared" ca="1" si="94"/>
        <v>0</v>
      </c>
      <c r="BC190" s="150">
        <f t="shared" ca="1" si="75"/>
        <v>0</v>
      </c>
      <c r="BD190" s="150">
        <f t="shared" ca="1" si="76"/>
        <v>0</v>
      </c>
      <c r="BE190" s="148">
        <f t="shared" ca="1" si="77"/>
        <v>0</v>
      </c>
    </row>
    <row r="191" spans="1:57" ht="16.149999999999999" customHeight="1" x14ac:dyDescent="0.25">
      <c r="A191" s="10" t="str" cm="1">
        <f t="array" ref="A191">IF(ROW($A191)-ROW($A$6)&gt;EmpCount*12,"-",TEXT($B191,"yyyy")&amp;TEXT($B191,"mm")&amp;"-"&amp;$C191)</f>
        <v>-</v>
      </c>
      <c r="B191" s="137" cm="1">
        <f t="array" aca="1" ref="B191" ca="1">IF(ROW($A191)-ROW($A$6)&gt;EmpCount*12,Setup!$D$12,DATE(YEAR(Setup!$F$12),MONTH(Setup!$F$12)+ROUNDDOWN((ROW($A191)-ROW($A$6)-1)/EmpCount,0),IF(Setup!$C$14&gt;DAY(DATE(YEAR(Setup!$F$12),MONTH(Setup!$F$12)+ROUNDDOWN((ROW($A191)-ROW($A$6)-1)/EmpCount,0)+1,0)),DAY(DATE(YEAR(Setup!$F$12),MONTH(Setup!$F$12)+ROUNDDOWN((ROW($A191)-ROW($A$6)-1)/EmpCount,0)+1,0)),Setup!$C$14)))</f>
        <v>45351</v>
      </c>
      <c r="C191" s="101" t="str" cm="1">
        <f t="array" aca="1" ref="C191" ca="1">IF(ROW($A191)-ROW($A$6)&gt;EmpCount*12,"-",OFFSET(Emp!$A$4,ROW($A191)-ROW($A$6)-IF(ROW($A191)-ROW($A$6)&gt;EmpCount,ROUNDDOWN((ROW($A191)-ROW($A$6)-1)/EmpCount,0)*EmpCount,0),0,1,1))</f>
        <v>-</v>
      </c>
      <c r="D191" s="10" t="str">
        <f ca="1">IF(ISNA(VLOOKUP($C191,EmpAll,COLUMN(Emp!$B$4),0)),"-",VLOOKUP($C191,EmpAll,COLUMN(Emp!$B$4),0))</f>
        <v>-</v>
      </c>
      <c r="E191" s="145" t="str">
        <f ca="1">IF(ISNA(VLOOKUP($C191,EmpAll,COLUMN(Emp!$C$4),0)),"-",VLOOKUP($C191,EmpAll,COLUMN(Emp!$C$4),0))</f>
        <v>-</v>
      </c>
      <c r="F191" s="101" t="str">
        <f ca="1">IF(ISNA(VLOOKUP($C191,EmpAll,COLUMN(Emp!$A$4),0)),"-",IF(AND(VLOOKUP($C191,EmpAll,COLUMN(Emp!$E$4),0)&lt;&gt;0,VLOOKUP($C191,EmpAll,COLUMN(Emp!$E$4),0)&gt;=DATE(YEAR($AC191),MONTH($AC191)+1,0)),"Inactive",IF(AND(VLOOKUP($C191,EmpAll,COLUMN(Emp!$F$4),0)&lt;&gt;0,VLOOKUP($C191,EmpAll,COLUMN(Emp!$F$4),0)&lt;=DATE(YEAR($AC191),MONTH($AC191),0)),"Terminated","Active")))</f>
        <v>-</v>
      </c>
      <c r="G191" s="133" cm="1">
        <f t="array" aca="1" ref="G191" ca="1">IF($F191&lt;&gt;"Active",0,IF(COUNTIFS(OverEmp,$C191,OverEarn,G$2,OverDate,"&lt;"&amp;DATE(YEAR($AC191),MONTH($AC191)+1,1),OverEnd,"&gt;="&amp;DATE(YEAR($AC191),MONTH($AC191),1))&gt;0,SUMIFS(OverValue,OverEmp,$C191,OverEarn,G$2,OverDate,"&lt;"&amp;DATE(YEAR($AC191),MONTH($AC191)+1,1),OverEnd,"&gt;="&amp;DATE(YEAR($AC191),MONTH($AC191),1)),IF(AND($AC191&gt;=Setup!$E$10,SUMIFS(EmpIncrease,EmpCode,$C191)&gt;0),SUMIFS(EmpIncrease,EmpCode,$C191),SUMIFS(EmpSalary,EmpCode,$C191))))</f>
        <v>0</v>
      </c>
      <c r="H191" s="133" cm="1">
        <f t="array" aca="1" ref="H191" ca="1">IF($F191&lt;&gt;"Active",0,IF(COUNTIFS(OverEmp,$C191,OverEarn,H$2,OverDate,"&lt;"&amp;DATE(YEAR($AC191),MONTH($AC191)+1,1),OverEnd,"&gt;="&amp;DATE(YEAR($AC191),MONTH($AC191),1))&gt;0,SUMIFS(OverValue,OverEmp,$C191,OverEarn,H$2,OverDate,"&lt;"&amp;DATE(YEAR($AC191),MONTH($AC191)+1,1),OverEnd,"&gt;="&amp;DATE(YEAR($AC191),MONTH($AC191),1)),0))</f>
        <v>0</v>
      </c>
      <c r="I191" s="133" cm="1">
        <f t="array" aca="1" ref="I191" ca="1">IF($F191&lt;&gt;"Active",0,IF(COUNTIFS(OverEmp,$C191,OverEarn,I$2,OverDate,"&lt;"&amp;DATE(YEAR($AC191),MONTH($AC191)+1,1),OverEnd,"&gt;="&amp;DATE(YEAR($AC191),MONTH($AC191),1))&gt;0,SUMIFS(OverValue,OverEmp,$C191,OverEarn,I$2,OverDate,"&lt;"&amp;DATE(YEAR($AC191),MONTH($AC191)+1,1),OverEnd,"&gt;="&amp;DATE(YEAR($AC191),MONTH($AC191),1)),IF(MONTH(B191)=Setup!$C$15,SUMIFS(EmpBonus,EmpCode,$C191),0)))</f>
        <v>0</v>
      </c>
      <c r="J191" s="133" cm="1">
        <f t="array" aca="1" ref="J191" ca="1">IF($F191&lt;&gt;"Active",0,IF(COUNTIFS(OverEmp,$C191,OverEarn,J$2,OverDate,"&lt;"&amp;DATE(YEAR($AC191),MONTH($AC191)+1,1),OverEnd,"&gt;="&amp;DATE(YEAR($AC191),MONTH($AC191),1))&gt;0,SUMIFS(OverValue,OverEmp,$C191,OverEarn,J$2,OverDate,"&lt;"&amp;DATE(YEAR($AC191),MONTH($AC191)+1,1),OverEnd,"&gt;="&amp;DATE(YEAR($AC191),MONTH($AC191),1)),0))</f>
        <v>0</v>
      </c>
      <c r="K191" s="133" cm="1">
        <f t="array" aca="1" ref="K191" ca="1">IF($F191&lt;&gt;"Active",0,IF(COUNTIFS(OverEmp,$C191,OverEarn,K$2,OverDate,"&lt;"&amp;DATE(YEAR($AC191),MONTH($AC191)+1,1),OverEnd,"&gt;="&amp;DATE(YEAR($AC191),MONTH($AC191),1))&gt;0,SUMIFS(OverValue,OverEmp,$C191,OverEarn,K$2,OverDate,"&lt;"&amp;DATE(YEAR($AC191),MONTH($AC191)+1,1),OverEnd,"&gt;="&amp;DATE(YEAR($AC191),MONTH($AC191),1)),0))</f>
        <v>0</v>
      </c>
      <c r="L191" s="185">
        <f t="shared" ca="1" si="84"/>
        <v>0</v>
      </c>
      <c r="M191" s="182" cm="1">
        <f t="array" aca="1" ref="M191" ca="1">IF(COUNTIFS(OverEmp,$C191,OverTax,M$5,OverDate,"&lt;"&amp;DATE(YEAR($AC191),MONTH($AC191)+1,1),OverEnd,"&gt;="&amp;DATE(YEAR($AC191),MONTH($AC191),1))&gt;0,SUMIFS(OverValue,OverEmp,$C191,OverTax,M$5,OverDate,"&lt;"&amp;DATE(YEAR($AC191),MONTH($AC191)+1,1),OverEnd,"&gt;="&amp;DATE(YEAR($AC191),MONTH($AC191),1)),(($BA191/12*$AA191)+(BB191*IF(1-$BC191=0,0,BD191/(1-$BC191))))-IF($F191="Terminated",0,SUMIFS(PayTaxDeduct,PayDate,"&lt;"&amp;$AC191,PayEmp,$C191)))</f>
        <v>0</v>
      </c>
      <c r="N191" s="133" cm="1">
        <f t="array" aca="1" ref="N191" ca="1">IF($F191="Terminated",0,IF($AA191=0,0,IF(ISNA(MATCH(N$5,DedListItem,0)),0,IF(COUNTIFS(OverEmp,$C191,OverDeduct,N$5,OverDate,"&lt;"&amp;DATE(YEAR($AC191),MONTH($AC191)+1,1),OverEnd,"&gt;="&amp;DATE(YEAR($AC191),MONTH($AC191),1))&gt;0,SUMIFS(OverValue,OverEmp,$C191,OverDeduct,N$5,OverDate,"&lt;"&amp;DATE(YEAR($AC191),MONTH($AC191)+1,1),OverEnd,"&gt;="&amp;DATE(YEAR($AC191),MONTH($AC191),1)),IF(OR(N$2="Fixed",N$2="Not Used"),(IF(COUNTIFS(EmpNo,$C191,OFFSET(Emp!$R$4,1,MATCH(N$5,DedListItem,0)-1,EmpCount,1),"&lt;&gt;")&gt;0,VLOOKUP($C191,EmpAll,COLUMN(Emp!$R$4)+MATCH(N$5,DedListItem,0)-1,0),OFFSET(Setup!$E$73,MATCH(N$5,DedListItem,0),0,1,1))*$AA191)-SUMIFS(OFFSET(N$6,1,0,PayCount,1),PayDate,"&lt;"&amp;$AC191,PayEmp,$C191),IF(ISNA(MATCH(N$2,EarnListItem,0))=FALSE,IF(OFFSET(Setup!$G$73,MATCH(N$5,DedListItem,0),0,1,1)="Taxable",SUMPRODUCT((PayEmp=$C191)*(PayDate&lt;=$AC191)*(PayEarnCode=N$2)*(PayEarnTax)*(PayEarnValues)),SUMPRODUCT((PayEmp=$C191)*(PayDate&lt;=$AC191)*(PayEarnCode=N$2)*(PayEarnValues)))*IF(COUNTIFS(EmpNo,$C191,OFFSET(Emp!$R$4,1,MATCH(N$5,DedListItem,0)-1,EmpCount,1),"&lt;&gt;")&gt;0,VLOOKUP($C191,EmpAll,COLUMN(Emp!$R$4)+MATCH(N$5,DedListItem,0)-1,0),OFFSET(Setup!$E$73,MATCH(N$5,DedListItem,0),0,1,1)),(MIN(IF(OFFSET(Setup!$G$73,MATCH(N$5,DedListItem,0),0,1,1)="Taxable",SUMPRODUCT((PayEmp=$C191)*(PayDate&lt;=$AC191)*(ISERROR(SEARCH(PayEarnCode,N$4)))*(PayEarnTax)*(PayEarnValues)),SUMPRODUCT((PayEmp=$C191)*(PayDate&lt;=$AC191)*(ISERROR(SEARCH(PayEarnCode,N$4)))*(PayEarnValues))),IF(ISNUMBER(N$3),N$3/12*$AA191,IgnoreMin)))*IF(COUNTIFS(EmpNo,$C191,OFFSET(Emp!$R$4,1,MATCH(N$5,DedListItem,0)-1,EmpCount,1),"&lt;&gt;")&gt;0,VLOOKUP($C191,EmpAll,COLUMN(Emp!$R$4)+MATCH(N$5,DedListItem,0)-1,0),OFFSET(Setup!$E$73,MATCH(N$5,DedListItem,0),0,1,1)))-SUMIFS(OFFSET(N$6,1,0,PayCount,1),PayDate,"&lt;"&amp;$AC191,PayEmp,$C191))))))</f>
        <v>0</v>
      </c>
      <c r="O191" s="133" cm="1">
        <f t="array" aca="1" ref="O191" ca="1">IF($F191="Terminated",0,IF($AA191=0,0,IF(ISNA(MATCH(O$5,DedListItem,0)),0,IF(COUNTIFS(OverEmp,$C191,OverDeduct,O$5,OverDate,"&lt;"&amp;DATE(YEAR($AC191),MONTH($AC191)+1,1),OverEnd,"&gt;="&amp;DATE(YEAR($AC191),MONTH($AC191),1))&gt;0,SUMIFS(OverValue,OverEmp,$C191,OverDeduct,O$5,OverDate,"&lt;"&amp;DATE(YEAR($AC191),MONTH($AC191)+1,1),OverEnd,"&gt;="&amp;DATE(YEAR($AC191),MONTH($AC191),1)),IF(OR(O$2="Fixed",O$2="Not Used"),(IF(COUNTIFS(EmpNo,$C191,OFFSET(Emp!$R$4,1,MATCH(O$5,DedListItem,0)-1,EmpCount,1),"&lt;&gt;")&gt;0,VLOOKUP($C191,EmpAll,COLUMN(Emp!$R$4)+MATCH(O$5,DedListItem,0)-1,0),OFFSET(Setup!$E$73,MATCH(O$5,DedListItem,0),0,1,1))*$AA191)-SUMIFS(OFFSET(O$6,1,0,PayCount,1),PayDate,"&lt;"&amp;$AC191,PayEmp,$C191),IF(ISNA(MATCH(O$2,EarnListItem,0))=FALSE,IF(OFFSET(Setup!$G$73,MATCH(O$5,DedListItem,0),0,1,1)="Taxable",SUMPRODUCT((PayEmp=$C191)*(PayDate&lt;=$AC191)*(PayEarnCode=O$2)*(PayEarnTax)*(PayEarnValues)),SUMPRODUCT((PayEmp=$C191)*(PayDate&lt;=$AC191)*(PayEarnCode=O$2)*(PayEarnValues)))*IF(COUNTIFS(EmpNo,$C191,OFFSET(Emp!$R$4,1,MATCH(O$5,DedListItem,0)-1,EmpCount,1),"&lt;&gt;")&gt;0,VLOOKUP($C191,EmpAll,COLUMN(Emp!$R$4)+MATCH(O$5,DedListItem,0)-1,0),OFFSET(Setup!$E$73,MATCH(O$5,DedListItem,0),0,1,1)),(MIN(IF(OFFSET(Setup!$G$73,MATCH(O$5,DedListItem,0),0,1,1)="Taxable",SUMPRODUCT((PayEmp=$C191)*(PayDate&lt;=$AC191)*(ISERROR(SEARCH(PayEarnCode,O$4)))*(PayEarnTax)*(PayEarnValues)),SUMPRODUCT((PayEmp=$C191)*(PayDate&lt;=$AC191)*(ISERROR(SEARCH(PayEarnCode,O$4)))*(PayEarnValues))),IF(ISNUMBER(O$3),O$3/12*$AA191,IgnoreMin)))*IF(COUNTIFS(EmpNo,$C191,OFFSET(Emp!$R$4,1,MATCH(O$5,DedListItem,0)-1,EmpCount,1),"&lt;&gt;")&gt;0,VLOOKUP($C191,EmpAll,COLUMN(Emp!$R$4)+MATCH(O$5,DedListItem,0)-1,0),OFFSET(Setup!$E$73,MATCH(O$5,DedListItem,0),0,1,1)))-SUMIFS(OFFSET(O$6,1,0,PayCount,1),PayDate,"&lt;"&amp;$AC191,PayEmp,$C191))))))</f>
        <v>0</v>
      </c>
      <c r="P191" s="133" cm="1">
        <f t="array" aca="1" ref="P191" ca="1">IF($F191="Terminated",0,IF($AA191=0,0,IF(ISNA(MATCH(P$5,DedListItem,0)),0,IF(COUNTIFS(OverEmp,$C191,OverDeduct,P$5,OverDate,"&lt;"&amp;DATE(YEAR($AC191),MONTH($AC191)+1,1),OverEnd,"&gt;="&amp;DATE(YEAR($AC191),MONTH($AC191),1))&gt;0,SUMIFS(OverValue,OverEmp,$C191,OverDeduct,P$5,OverDate,"&lt;"&amp;DATE(YEAR($AC191),MONTH($AC191)+1,1),OverEnd,"&gt;="&amp;DATE(YEAR($AC191),MONTH($AC191),1)),IF(OR(P$2="Fixed",P$2="Not Used"),(IF(COUNTIFS(EmpNo,$C191,OFFSET(Emp!$R$4,1,MATCH(P$5,DedListItem,0)-1,EmpCount,1),"&lt;&gt;")&gt;0,VLOOKUP($C191,EmpAll,COLUMN(Emp!$R$4)+MATCH(P$5,DedListItem,0)-1,0),OFFSET(Setup!$E$73,MATCH(P$5,DedListItem,0),0,1,1))*$AA191)-SUMIFS(OFFSET(P$6,1,0,PayCount,1),PayDate,"&lt;"&amp;$AC191,PayEmp,$C191),IF(ISNA(MATCH(P$2,EarnListItem,0))=FALSE,IF(OFFSET(Setup!$G$73,MATCH(P$5,DedListItem,0),0,1,1)="Taxable",SUMPRODUCT((PayEmp=$C191)*(PayDate&lt;=$AC191)*(PayEarnCode=P$2)*(PayEarnTax)*(PayEarnValues)),SUMPRODUCT((PayEmp=$C191)*(PayDate&lt;=$AC191)*(PayEarnCode=P$2)*(PayEarnValues)))*IF(COUNTIFS(EmpNo,$C191,OFFSET(Emp!$R$4,1,MATCH(P$5,DedListItem,0)-1,EmpCount,1),"&lt;&gt;")&gt;0,VLOOKUP($C191,EmpAll,COLUMN(Emp!$R$4)+MATCH(P$5,DedListItem,0)-1,0),OFFSET(Setup!$E$73,MATCH(P$5,DedListItem,0),0,1,1)),(MIN(IF(OFFSET(Setup!$G$73,MATCH(P$5,DedListItem,0),0,1,1)="Taxable",SUMPRODUCT((PayEmp=$C191)*(PayDate&lt;=$AC191)*(ISERROR(SEARCH(PayEarnCode,P$4)))*(PayEarnTax)*(PayEarnValues)),SUMPRODUCT((PayEmp=$C191)*(PayDate&lt;=$AC191)*(ISERROR(SEARCH(PayEarnCode,P$4)))*(PayEarnValues))),IF(ISNUMBER(P$3),P$3/12*$AA191,IgnoreMin)))*IF(COUNTIFS(EmpNo,$C191,OFFSET(Emp!$R$4,1,MATCH(P$5,DedListItem,0)-1,EmpCount,1),"&lt;&gt;")&gt;0,VLOOKUP($C191,EmpAll,COLUMN(Emp!$R$4)+MATCH(P$5,DedListItem,0)-1,0),OFFSET(Setup!$E$73,MATCH(P$5,DedListItem,0),0,1,1)))-SUMIFS(OFFSET(P$6,1,0,PayCount,1),PayDate,"&lt;"&amp;$AC191,PayEmp,$C191))))))</f>
        <v>0</v>
      </c>
      <c r="Q191" s="133" cm="1">
        <f t="array" aca="1" ref="Q191" ca="1">IF($F191="Terminated",0,IF($AA191=0,0,IF(ISNA(MATCH(Q$5,DedListItem,0)),0,IF(COUNTIFS(OverEmp,$C191,OverDeduct,Q$5,OverDate,"&lt;"&amp;DATE(YEAR($AC191),MONTH($AC191)+1,1),OverEnd,"&gt;="&amp;DATE(YEAR($AC191),MONTH($AC191),1))&gt;0,SUMIFS(OverValue,OverEmp,$C191,OverDeduct,Q$5,OverDate,"&lt;"&amp;DATE(YEAR($AC191),MONTH($AC191)+1,1),OverEnd,"&gt;="&amp;DATE(YEAR($AC191),MONTH($AC191),1)),IF(OR(Q$2="Fixed",Q$2="Not Used"),(IF(COUNTIFS(EmpNo,$C191,OFFSET(Emp!$R$4,1,MATCH(Q$5,DedListItem,0)-1,EmpCount,1),"&lt;&gt;")&gt;0,VLOOKUP($C191,EmpAll,COLUMN(Emp!$R$4)+MATCH(Q$5,DedListItem,0)-1,0),OFFSET(Setup!$E$73,MATCH(Q$5,DedListItem,0),0,1,1))*$AA191)-SUMIFS(OFFSET(Q$6,1,0,PayCount,1),PayDate,"&lt;"&amp;$AC191,PayEmp,$C191),IF(ISNA(MATCH(Q$2,EarnListItem,0))=FALSE,IF(OFFSET(Setup!$G$73,MATCH(Q$5,DedListItem,0),0,1,1)="Taxable",SUMPRODUCT((PayEmp=$C191)*(PayDate&lt;=$AC191)*(PayEarnCode=Q$2)*(PayEarnTax)*(PayEarnValues)),SUMPRODUCT((PayEmp=$C191)*(PayDate&lt;=$AC191)*(PayEarnCode=Q$2)*(PayEarnValues)))*IF(COUNTIFS(EmpNo,$C191,OFFSET(Emp!$R$4,1,MATCH(Q$5,DedListItem,0)-1,EmpCount,1),"&lt;&gt;")&gt;0,VLOOKUP($C191,EmpAll,COLUMN(Emp!$R$4)+MATCH(Q$5,DedListItem,0)-1,0),OFFSET(Setup!$E$73,MATCH(Q$5,DedListItem,0),0,1,1)),(MIN(IF(OFFSET(Setup!$G$73,MATCH(Q$5,DedListItem,0),0,1,1)="Taxable",SUMPRODUCT((PayEmp=$C191)*(PayDate&lt;=$AC191)*(ISERROR(SEARCH(PayEarnCode,Q$4)))*(PayEarnTax)*(PayEarnValues)),SUMPRODUCT((PayEmp=$C191)*(PayDate&lt;=$AC191)*(ISERROR(SEARCH(PayEarnCode,Q$4)))*(PayEarnValues))),IF(ISNUMBER(Q$3),Q$3/12*$AA191,IgnoreMin)))*IF(COUNTIFS(EmpNo,$C191,OFFSET(Emp!$R$4,1,MATCH(Q$5,DedListItem,0)-1,EmpCount,1),"&lt;&gt;")&gt;0,VLOOKUP($C191,EmpAll,COLUMN(Emp!$R$4)+MATCH(Q$5,DedListItem,0)-1,0),OFFSET(Setup!$E$73,MATCH(Q$5,DedListItem,0),0,1,1)))-SUMIFS(OFFSET(Q$6,1,0,PayCount,1),PayDate,"&lt;"&amp;$AC191,PayEmp,$C191))))))</f>
        <v>0</v>
      </c>
      <c r="R191" s="185">
        <f t="shared" ca="1" si="85"/>
        <v>0</v>
      </c>
      <c r="S191" s="139">
        <f t="shared" ca="1" si="86"/>
        <v>0</v>
      </c>
      <c r="T191" s="133" cm="1">
        <f t="array" aca="1" ref="T191" ca="1">IF($F191="Terminated",0,IF($AA191=0,0,IF(ISNA(MATCH(T$5,CompListItem,0)),0,IF(COUNTIFS(OverEmp,$C191,OverComp,T$5,OverDate,"&lt;"&amp;DATE(YEAR($AC191),MONTH($AC191)+1,1),OverEnd,"&gt;="&amp;DATE(YEAR($AC191),MONTH($AC191),1))&gt;0,SUMIFS(OverValue,OverEmp,$C191,OverComp,T$5,OverDate,"&lt;"&amp;DATE(YEAR($AC191),MONTH($AC191)+1,1),OverEnd,"&gt;="&amp;DATE(YEAR($AC191),MONTH($AC191),1)),IF(OR(T$2="Fixed",T$2="Not Used"),(OFFSET(Setup!$E$81,MATCH(T$5,CompListItem,0),0,1,1)*$AA191)-SUMIFS(OFFSET(T$6,1,0,PayCount,1),PayDate,"&lt;"&amp;$AC191,PayEmp,$C191),IF(ISNA(MATCH(T$2,DedListItem,0))=FALSE,(SUMPRODUCT((PayEmp=$C191)*(PayDate&lt;=$AC191)*(PayDedList=T$2)*(PayDedValues))*OFFSET(Setup!$E$81,MATCH(T$5,CompListItem,0),0,1,1))-SUMIFS(OFFSET(T$6,1,0,PayCount,1),PayDate,"&lt;"&amp;$AC191,PayEmp,$C191),(MIN(IF(OFFSET(Setup!$G$81,MATCH(T$5,CompListItem,0),0,1,1)="Taxable",SUMPRODUCT((PayEmp=$C191)*(PayDate&lt;=$AC191)*(ISERROR(SEARCH(PayEarnCode,T$4)))*(PayEarnTax)*(PayEarnValues)),SUMPRODUCT((PayEmp=$C191)*(PayDate&lt;=$AC191)*(ISERROR(SEARCH(PayEarnCode,T$4)))*(PayEarnValues))),IF(ISNUMBER(T$3),T$3/12*$AA191,IgnoreMin)))*OFFSET(Setup!$E$81,MATCH(T$5,CompListItem,0),0,1,1)-SUMIFS(OFFSET(T$6,1,0,PayCount,1),PayDate,"&lt;"&amp;$AC191,PayEmp,$C191)))))))</f>
        <v>0</v>
      </c>
      <c r="U191" s="133" cm="1">
        <f t="array" aca="1" ref="U191" ca="1">IF($F191="Terminated",0,IF($AA191=0,0,IF(ISNA(MATCH(U$5,CompListItem,0)),0,IF(COUNTIFS(OverEmp,$C191,OverComp,U$5,OverDate,"&lt;"&amp;DATE(YEAR($AC191),MONTH($AC191)+1,1),OverEnd,"&gt;="&amp;DATE(YEAR($AC191),MONTH($AC191),1))&gt;0,SUMIFS(OverValue,OverEmp,$C191,OverComp,U$5,OverDate,"&lt;"&amp;DATE(YEAR($AC191),MONTH($AC191)+1,1),OverEnd,"&gt;="&amp;DATE(YEAR($AC191),MONTH($AC191),1)),IF(OR(U$2="Fixed",U$2="Not Used"),(OFFSET(Setup!$E$81,MATCH(U$5,CompListItem,0),0,1,1)*$AA191)-SUMIFS(OFFSET(U$6,1,0,PayCount,1),PayDate,"&lt;"&amp;$AC191,PayEmp,$C191),IF(ISNA(MATCH(U$2,DedListItem,0))=FALSE,(SUMPRODUCT((PayEmp=$C191)*(PayDate&lt;=$AC191)*(PayDedList=U$2)*(PayDedValues))*OFFSET(Setup!$E$81,MATCH(U$5,CompListItem,0),0,1,1))-SUMIFS(OFFSET(U$6,1,0,PayCount,1),PayDate,"&lt;"&amp;$AC191,PayEmp,$C191),(MIN(IF(OFFSET(Setup!$G$81,MATCH(U$5,CompListItem,0),0,1,1)="Taxable",SUMPRODUCT((PayEmp=$C191)*(PayDate&lt;=$AC191)*(ISERROR(SEARCH(PayEarnCode,U$4)))*(PayEarnTax)*(PayEarnValues)),SUMPRODUCT((PayEmp=$C191)*(PayDate&lt;=$AC191)*(ISERROR(SEARCH(PayEarnCode,U$4)))*(PayEarnValues))),IF(ISNUMBER(U$3),U$3/12*$AA191,IgnoreMin)))*OFFSET(Setup!$E$81,MATCH(U$5,CompListItem,0),0,1,1)-SUMIFS(OFFSET(U$6,1,0,PayCount,1),PayDate,"&lt;"&amp;$AC191,PayEmp,$C191)))))))</f>
        <v>0</v>
      </c>
      <c r="V191" s="133" cm="1">
        <f t="array" aca="1" ref="V191" ca="1">IF($F191="Terminated",0,IF($AA191=0,0,IF(ISNA(MATCH(V$5,CompListItem,0)),0,IF(COUNTIFS(OverEmp,$C191,OverComp,V$5,OverDate,"&lt;"&amp;DATE(YEAR($AC191),MONTH($AC191)+1,1),OverEnd,"&gt;="&amp;DATE(YEAR($AC191),MONTH($AC191),1))&gt;0,SUMIFS(OverValue,OverEmp,$C191,OverComp,V$5,OverDate,"&lt;"&amp;DATE(YEAR($AC191),MONTH($AC191)+1,1),OverEnd,"&gt;="&amp;DATE(YEAR($AC191),MONTH($AC191),1)),IF(OR(V$2="Fixed",V$2="Not Used"),(OFFSET(Setup!$E$81,MATCH(V$5,CompListItem,0),0,1,1)*$AA191)-SUMIFS(OFFSET(V$6,1,0,PayCount,1),PayDate,"&lt;"&amp;$AC191,PayEmp,$C191),IF(ISNA(MATCH(V$2,DedListItem,0))=FALSE,(SUMPRODUCT((PayEmp=$C191)*(PayDate&lt;=$AC191)*(PayDedList=V$2)*(PayDedValues))*OFFSET(Setup!$E$81,MATCH(V$5,CompListItem,0),0,1,1))-SUMIFS(OFFSET(V$6,1,0,PayCount,1),PayDate,"&lt;"&amp;$AC191,PayEmp,$C191),(MIN(IF(OFFSET(Setup!$G$81,MATCH(V$5,CompListItem,0),0,1,1)="Taxable",SUMPRODUCT((PayEmp=$C191)*(PayDate&lt;=$AC191)*(ISERROR(SEARCH(PayEarnCode,V$4)))*(PayEarnTax)*(PayEarnValues)),SUMPRODUCT((PayEmp=$C191)*(PayDate&lt;=$AC191)*(ISERROR(SEARCH(PayEarnCode,V$4)))*(PayEarnValues))),IF(ISNUMBER(V$3),V$3/12*$AA191,IgnoreMin)))*OFFSET(Setup!$E$81,MATCH(V$5,CompListItem,0),0,1,1)-SUMIFS(OFFSET(V$6,1,0,PayCount,1),PayDate,"&lt;"&amp;$AC191,PayEmp,$C191)))))))</f>
        <v>0</v>
      </c>
      <c r="W191" s="133" cm="1">
        <f t="array" aca="1" ref="W191" ca="1">IF($F191="Terminated",0,IF($AA191=0,0,IF(ISNA(MATCH(W$5,CompListItem,0)),0,IF(COUNTIFS(OverEmp,$C191,OverComp,W$5,OverDate,"&lt;"&amp;DATE(YEAR($AC191),MONTH($AC191)+1,1),OverEnd,"&gt;="&amp;DATE(YEAR($AC191),MONTH($AC191),1))&gt;0,SUMIFS(OverValue,OverEmp,$C191,OverComp,W$5,OverDate,"&lt;"&amp;DATE(YEAR($AC191),MONTH($AC191)+1,1),OverEnd,"&gt;="&amp;DATE(YEAR($AC191),MONTH($AC191),1)),IF(OR(W$2="Fixed",W$2="Not Used"),(OFFSET(Setup!$E$81,MATCH(W$5,CompListItem,0),0,1,1)*$AA191)-SUMIFS(OFFSET(W$6,1,0,PayCount,1),PayDate,"&lt;"&amp;$AC191,PayEmp,$C191),IF(ISNA(MATCH(W$2,DedListItem,0))=FALSE,(SUMPRODUCT((PayEmp=$C191)*(PayDate&lt;=$AC191)*(PayDedList=W$2)*(PayDedValues))*OFFSET(Setup!$E$81,MATCH(W$5,CompListItem,0),0,1,1))-SUMIFS(OFFSET(W$6,1,0,PayCount,1),PayDate,"&lt;"&amp;$AC191,PayEmp,$C191),(MIN(IF(OFFSET(Setup!$G$81,MATCH(W$5,CompListItem,0),0,1,1)="Taxable",SUMPRODUCT((PayEmp=$C191)*(PayDate&lt;=$AC191)*(ISERROR(SEARCH(PayEarnCode,W$4)))*(PayEarnTax)*(PayEarnValues)),SUMPRODUCT((PayEmp=$C191)*(PayDate&lt;=$AC191)*(ISERROR(SEARCH(PayEarnCode,W$4)))*(PayEarnValues))),IF(ISNUMBER(W$3),W$3/12*$AA191,IgnoreMin)))*OFFSET(Setup!$E$81,MATCH(W$5,CompListItem,0),0,1,1)-SUMIFS(OFFSET(W$6,1,0,PayCount,1),PayDate,"&lt;"&amp;$AC191,PayEmp,$C191)))))))</f>
        <v>0</v>
      </c>
      <c r="X191" s="185">
        <f t="shared" ca="1" si="90"/>
        <v>0</v>
      </c>
      <c r="Y191" s="139">
        <f t="shared" ca="1" si="87"/>
        <v>0</v>
      </c>
      <c r="Z191" s="139">
        <f t="shared" ca="1" si="91"/>
        <v>0</v>
      </c>
      <c r="AA191" s="146">
        <f ca="1">IF(OR($B191&lt;=Setup!$E$12,$B191&gt;=Setup!$D$12+1),0,IF($F191&lt;&gt;"Active",0,IF($AE191="Yes",$AB191,((YEAR($AC191)*12)+MONTH($AC191))-((YEAR($AD191)*12)+MONTH($AD191)-1))))</f>
        <v>0</v>
      </c>
      <c r="AB191" s="146">
        <f ca="1">IF(OR($B191&lt;=Setup!$E$12,$B191&gt;=Setup!$D$12+1),0,((YEAR($AC191)*12)+MONTH($AC191))-((YEAR(Setup!$E$12)*12)+MONTH(Setup!$E$12)))</f>
        <v>12</v>
      </c>
      <c r="AC191" s="186">
        <f t="shared" ca="1" si="92"/>
        <v>45351</v>
      </c>
      <c r="AD191" s="144">
        <f ca="1">IF(ISNA(VLOOKUP($C191,EmpAll,COLUMN(Emp!$E$4),0)),$AC191,IF(VLOOKUP($C191,EmpAll,COLUMN(Emp!$E$4),0)&lt;=Setup!$E$12,DATE(YEAR(Setup!$E$12),MONTH(Setup!$E$12)+1,1),VLOOKUP($C191,EmpAll,COLUMN(Emp!$E$4),0)))</f>
        <v>45351</v>
      </c>
      <c r="AE191" s="144" t="str">
        <f ca="1">IF(ISNA(VLOOKUP($C191,EmpAll,COLUMN(Emp!$G$1),0)),"-",IF(VLOOKUP($C191,EmpAll,COLUMN(Emp!$G$1),0)=0,"-",VLOOKUP($C191,EmpAll,COLUMN(Emp!$G$1),0)))</f>
        <v>-</v>
      </c>
      <c r="AF191" s="145">
        <f>IF(A191=PaySlip!$G$3,1,0)</f>
        <v>0</v>
      </c>
      <c r="AG191" s="130" cm="1">
        <f t="array" aca="1" ref="AG191" ca="1">IF(COUNTIFS(OverEmp,$C191,OverMed,"MED",OverDate,"&lt;"&amp;DATE(YEAR($AC191),MONTH($AC191)+1,1),OverEnd,"&gt;="&amp;DATE(YEAR($AC191),MONTH($AC191),1))&gt;0,SUMIFS(OverValue,OverEmp,$C191,OverMed,"MED",OverDate,"&lt;"&amp;DATE(YEAR($AC191),MONTH($AC191)+1,1),OverEnd,"&gt;="&amp;DATE(YEAR($AC191),MONTH($AC191),1)),IF(ISNA(VLOOKUP($C191,EmpAll,COLUMN(Emp!$N$4),0)),0,VLOOKUP($C191,EmpAll,COLUMN(Emp!$N$4),0)))</f>
        <v>0</v>
      </c>
      <c r="AH191" s="146">
        <f ca="1">VLOOKUP($AG191,MedList,COLUMN(Setup!$C$49),1)</f>
        <v>0</v>
      </c>
      <c r="AI191" s="146">
        <f t="shared" ca="1" si="70"/>
        <v>0</v>
      </c>
      <c r="AJ191" s="101" t="str">
        <f ca="1">IF(ISNA(VLOOKUP($C191,EmpAll,COLUMN(Emp!$L$4),0)),"None!",VLOOKUP($C191,EmpAll,COLUMN(Emp!$L$4),0))</f>
        <v>None!</v>
      </c>
      <c r="AK191" s="147">
        <f t="shared" ca="1" si="80"/>
        <v>17235</v>
      </c>
      <c r="AL191" s="101" t="str">
        <f ca="1">IF(ISNA(VLOOKUP($C191,Employees[],COLUMN(Emp!$M$4),0))=TRUE,"Error!",IF(VLOOKUP($C191,Employees[],COLUMN(Emp!$M$4),0)=0,"Yes",VLOOKUP($C191,Employees[],COLUMN(Emp!$M$4),0)))</f>
        <v>Error!</v>
      </c>
      <c r="AM191" s="148">
        <f t="shared" ca="1" si="71"/>
        <v>0</v>
      </c>
      <c r="AN191" s="148" cm="1">
        <f t="array" aca="1" ref="AN191" ca="1">-IF($F191="Terminated",0,IF($AA191=0,0,IF(ISNA(MATCH(AN$5,PayDedList,0)),0,MIN(IF(COUNTIFS(OverEmp,$C191,OverDeduct,AN$5,OverDate,"&lt;"&amp;DATE(YEAR($AC191),MONTH($AC191)+1,1),OverEnd,"&gt;="&amp;DATE(YEAR($AC191),MONTH($AC191),1))&gt;0,SUMPRODUCT((PayEmp=$C191)*(PayDate&lt;=$AC191)*(OFFSET($N$6,1,MATCH(AN$5,PayDedList,0)-1,PayCount,1)))/$AA191*12*AN$3,IF(OR(AN$1="Fixed",AN$1="Not Used"),SUMPRODUCT((PayEmp=$C191)*(PayDate&lt;=$AC191)*(OFFSET($N$6,1,MATCH(AN$5,PayDedList,0)-1,PayCount,1)))/$AA191*12*AN$3,IF(ISNA(MATCH(AN$1,EarnListItem,0))=FALSE,SUMPRODUCT((PayEmp=$C191)*(PayDate&lt;=$AC191)*(OFFSET($N$6,1,MATCH(AN$5,PayDedList,0)-1,PayCount,1)))/$AA191*12*AN$3,(MIN(((SUMPRODUCT((PayEmp=$C191)*(PayDate&lt;=$AC191)*(ISERROR(SEARCH(PayEarnCode,AN$2)))*(PayEarnType="Monthly")*(PayEarnValues))/$AA191*12)+(SUMPRODUCT((PayEmp=$C191)*(PayDate&lt;=$AC191)*(ISERROR(SEARCH(PayEarnCode,AN$2)))*(PayEarnType="Quarterly")*(PayEarnValues))/MAX(1,ROUNDDOWN($AB191/3,0))*4)+(SUMPRODUCT((PayEmp=$C191)*(PayDate&lt;=$AC191)*(ISERROR(SEARCH(PayEarnCode,AN$2)))*(PayEarnType="Bi-Annual")*(PayEarnValues))/MAX(1,ROUNDDOWN($AB191/6,0))*2)+(SUMPRODUCT((PayEmp=$C191)*(PayDate&lt;=$AC191)*(ISERROR(SEARCH(PayEarnCode,AN$2)))*(PayEarnType="Annual")*(PayEarnValues)))),IF(ISNUMBER(OFFSET($N$3,0,MATCH(AN$5,PayDedList,0)-1,1,1)),OFFSET($N$3,0,MATCH(AN$5,PayDedList,0)-1,1,1),IgnoreMin)))*IF(COUNTIFS(EmpNo,$C191,OFFSET(Emp!$R$4,1,MATCH(AN$5,DedListItem,0)-1,EmpCount,1),"&lt;&gt;")&gt;0,VLOOKUP($C191,EmpAll,COLUMN(Emp!$R$4)+MATCH(AN$5,DedListItem,0)-1,0),OFFSET(Setup!$E$73,MATCH(AN$5,DedListItem,0),0,1,1))*AN$3))),IF(ISNUMBER(AN$4),AN$4,IgnoreMin)))))</f>
        <v>0</v>
      </c>
      <c r="AO191" s="148" cm="1">
        <f t="array" aca="1" ref="AO191" ca="1">-IF($F191="Terminated",0,IF($AA191=0,0,IF(ISNA(MATCH(AO$5,PayDedList,0)),0,MIN(IF(COUNTIFS(OverEmp,$C191,OverDeduct,AO$5,OverDate,"&lt;"&amp;DATE(YEAR($AC191),MONTH($AC191)+1,1),OverEnd,"&gt;="&amp;DATE(YEAR($AC191),MONTH($AC191),1))&gt;0,SUMPRODUCT((PayEmp=$C191)*(PayDate&lt;=$AC191)*(OFFSET($N$6,1,MATCH(AO$5,PayDedList,0)-1,PayCount,1)))/$AA191*12*AO$3,IF(OR(AO$1="Fixed",AO$1="Not Used"),SUMPRODUCT((PayEmp=$C191)*(PayDate&lt;=$AC191)*(OFFSET($N$6,1,MATCH(AO$5,PayDedList,0)-1,PayCount,1)))/$AA191*12*AO$3,IF(ISNA(MATCH(AO$1,EarnListItem,0))=FALSE,SUMPRODUCT((PayEmp=$C191)*(PayDate&lt;=$AC191)*(OFFSET($N$6,1,MATCH(AO$5,PayDedList,0)-1,PayCount,1)))/$AA191*12*AO$3,(MIN(((SUMPRODUCT((PayEmp=$C191)*(PayDate&lt;=$AC191)*(ISERROR(SEARCH(PayEarnCode,AO$2)))*(PayEarnType="Monthly")*(PayEarnValues))/$AA191*12)+(SUMPRODUCT((PayEmp=$C191)*(PayDate&lt;=$AC191)*(ISERROR(SEARCH(PayEarnCode,AO$2)))*(PayEarnType="Quarterly")*(PayEarnValues))/MAX(1,ROUNDDOWN($AB191/3,0))*4)+(SUMPRODUCT((PayEmp=$C191)*(PayDate&lt;=$AC191)*(ISERROR(SEARCH(PayEarnCode,AO$2)))*(PayEarnType="Bi-Annual")*(PayEarnValues))/MAX(1,ROUNDDOWN($AB191/6,0))*2)+(SUMPRODUCT((PayEmp=$C191)*(PayDate&lt;=$AC191)*(ISERROR(SEARCH(PayEarnCode,AO$2)))*(PayEarnType="Annual")*(PayEarnValues)))),IF(ISNUMBER(OFFSET($N$3,0,MATCH(AO$5,PayDedList,0)-1,1,1)),OFFSET($N$3,0,MATCH(AO$5,PayDedList,0)-1,1,1),IgnoreMin)))*IF(COUNTIFS(EmpNo,$C191,OFFSET(Emp!$R$4,1,MATCH(AO$5,DedListItem,0)-1,EmpCount,1),"&lt;&gt;")&gt;0,VLOOKUP($C191,EmpAll,COLUMN(Emp!$R$4)+MATCH(AO$5,DedListItem,0)-1,0),OFFSET(Setup!$E$73,MATCH(AO$5,DedListItem,0),0,1,1))*AO$3))),IF(ISNUMBER(AO$4),AO$4,IgnoreMin)))))</f>
        <v>0</v>
      </c>
      <c r="AP191" s="148" cm="1">
        <f t="array" aca="1" ref="AP191" ca="1">-IF($F191="Terminated",0,IF($AA191=0,0,IF(ISNA(MATCH(AP$5,PayDedList,0)),0,MIN(IF(COUNTIFS(OverEmp,$C191,OverDeduct,AP$5,OverDate,"&lt;"&amp;DATE(YEAR($AC191),MONTH($AC191)+1,1),OverEnd,"&gt;="&amp;DATE(YEAR($AC191),MONTH($AC191),1))&gt;0,SUMPRODUCT((PayEmp=$C191)*(PayDate&lt;=$AC191)*(OFFSET($N$6,1,MATCH(AP$5,PayDedList,0)-1,PayCount,1)))/$AA191*12*AP$3,IF(OR(AP$1="Fixed",AP$1="Not Used"),SUMPRODUCT((PayEmp=$C191)*(PayDate&lt;=$AC191)*(OFFSET($N$6,1,MATCH(AP$5,PayDedList,0)-1,PayCount,1)))/$AA191*12*AP$3,IF(ISNA(MATCH(AP$1,EarnListItem,0))=FALSE,SUMPRODUCT((PayEmp=$C191)*(PayDate&lt;=$AC191)*(OFFSET($N$6,1,MATCH(AP$5,PayDedList,0)-1,PayCount,1)))/$AA191*12*AP$3,(MIN(((SUMPRODUCT((PayEmp=$C191)*(PayDate&lt;=$AC191)*(ISERROR(SEARCH(PayEarnCode,AP$2)))*(PayEarnType="Monthly")*(PayEarnValues))/$AA191*12)+(SUMPRODUCT((PayEmp=$C191)*(PayDate&lt;=$AC191)*(ISERROR(SEARCH(PayEarnCode,AP$2)))*(PayEarnType="Quarterly")*(PayEarnValues))/MAX(1,ROUNDDOWN($AB191/3,0))*4)+(SUMPRODUCT((PayEmp=$C191)*(PayDate&lt;=$AC191)*(ISERROR(SEARCH(PayEarnCode,AP$2)))*(PayEarnType="Bi-Annual")*(PayEarnValues))/MAX(1,ROUNDDOWN($AB191/6,0))*2)+(SUMPRODUCT((PayEmp=$C191)*(PayDate&lt;=$AC191)*(ISERROR(SEARCH(PayEarnCode,AP$2)))*(PayEarnType="Annual")*(PayEarnValues)))),IF(ISNUMBER(OFFSET($N$3,0,MATCH(AP$5,PayDedList,0)-1,1,1)),OFFSET($N$3,0,MATCH(AP$5,PayDedList,0)-1,1,1),IgnoreMin)))*IF(COUNTIFS(EmpNo,$C191,OFFSET(Emp!$R$4,1,MATCH(AP$5,DedListItem,0)-1,EmpCount,1),"&lt;&gt;")&gt;0,VLOOKUP($C191,EmpAll,COLUMN(Emp!$R$4)+MATCH(AP$5,DedListItem,0)-1,0),OFFSET(Setup!$E$73,MATCH(AP$5,DedListItem,0),0,1,1))*AP$3))),IF(ISNUMBER(AP$4),AP$4,IgnoreMin)))))</f>
        <v>0</v>
      </c>
      <c r="AQ191" s="148" cm="1">
        <f t="array" aca="1" ref="AQ191" ca="1">-IF($F191="Terminated",0,IF($AA191=0,0,IF(ISNA(MATCH(AQ$5,PayDedList,0)),0,MIN(IF(COUNTIFS(OverEmp,$C191,OverDeduct,AQ$5,OverDate,"&lt;"&amp;DATE(YEAR($AC191),MONTH($AC191)+1,1),OverEnd,"&gt;="&amp;DATE(YEAR($AC191),MONTH($AC191),1))&gt;0,SUMPRODUCT((PayEmp=$C191)*(PayDate&lt;=$AC191)*(OFFSET($N$6,1,MATCH(AQ$5,PayDedList,0)-1,PayCount,1)))/$AA191*12*AQ$3,IF(OR(AQ$1="Fixed",AQ$1="Not Used"),SUMPRODUCT((PayEmp=$C191)*(PayDate&lt;=$AC191)*(OFFSET($N$6,1,MATCH(AQ$5,PayDedList,0)-1,PayCount,1)))/$AA191*12*AQ$3,IF(ISNA(MATCH(AQ$1,EarnListItem,0))=FALSE,SUMPRODUCT((PayEmp=$C191)*(PayDate&lt;=$AC191)*(OFFSET($N$6,1,MATCH(AQ$5,PayDedList,0)-1,PayCount,1)))/$AA191*12*AQ$3,(MIN(((SUMPRODUCT((PayEmp=$C191)*(PayDate&lt;=$AC191)*(ISERROR(SEARCH(PayEarnCode,AQ$2)))*(PayEarnType="Monthly")*(PayEarnValues))/$AA191*12)+(SUMPRODUCT((PayEmp=$C191)*(PayDate&lt;=$AC191)*(ISERROR(SEARCH(PayEarnCode,AQ$2)))*(PayEarnType="Quarterly")*(PayEarnValues))/MAX(1,ROUNDDOWN($AB191/3,0))*4)+(SUMPRODUCT((PayEmp=$C191)*(PayDate&lt;=$AC191)*(ISERROR(SEARCH(PayEarnCode,AQ$2)))*(PayEarnType="Bi-Annual")*(PayEarnValues))/MAX(1,ROUNDDOWN($AB191/6,0))*2)+(SUMPRODUCT((PayEmp=$C191)*(PayDate&lt;=$AC191)*(ISERROR(SEARCH(PayEarnCode,AQ$2)))*(PayEarnType="Annual")*(PayEarnValues)))),IF(ISNUMBER(OFFSET($N$3,0,MATCH(AQ$5,PayDedList,0)-1,1,1)),OFFSET($N$3,0,MATCH(AQ$5,PayDedList,0)-1,1,1),IgnoreMin)))*IF(COUNTIFS(EmpNo,$C191,OFFSET(Emp!$R$4,1,MATCH(AQ$5,DedListItem,0)-1,EmpCount,1),"&lt;&gt;")&gt;0,VLOOKUP($C191,EmpAll,COLUMN(Emp!$R$4)+MATCH(AQ$5,DedListItem,0)-1,0),OFFSET(Setup!$E$73,MATCH(AQ$5,DedListItem,0),0,1,1))*AQ$3))),IF(ISNUMBER(AQ$4),AQ$4,IgnoreMin)))))</f>
        <v>0</v>
      </c>
      <c r="AR191" s="148">
        <f t="shared" ca="1" si="93"/>
        <v>0</v>
      </c>
      <c r="AS191" s="148">
        <f t="shared" ca="1" si="72"/>
        <v>0</v>
      </c>
      <c r="AT191" s="148" cm="1">
        <f t="array" aca="1" ref="AT191" ca="1">-IF($F191="Terminated",0,IF($AA191=0,0,IF(ISNA(MATCH(AT$5,PayDedList,0)),0,MIN(IF(COUNTIFS(OverEmp,$C191,OverDeduct,AT$5,OverDate,"&lt;"&amp;DATE(YEAR($AC191),MONTH($AC191)+1,1),OverEnd,"&gt;="&amp;DATE(YEAR($AC191),MONTH($AC191),1))&gt;0,SUMPRODUCT((PayEmp=$C191)*(PayDate&lt;=$AC191)*(OFFSET($N$6,1,MATCH(AT$5,PayDedList,0)-1,PayCount,1)))/$AA191*12*AT$3,IF(OR(AT$1="Fixed",AT$1="Not Used"),SUMPRODUCT((PayEmp=$C191)*(PayDate&lt;=$AC191)*(OFFSET($N$6,1,MATCH(AT$5,PayDedList,0)-1,PayCount,1)))/$AA191*12*AT$3,IF(ISNA(MATCH(OFFSET($N$2,0,MATCH(AT$5,PayDedList,0)-1,1,1),EarnListItem,0))=FALSE,SUMPRODUCT((PayEmp=$C191)*(PayDate&lt;=$AC191)*(OFFSET($N$6,1,MATCH(AT$5,PayDedList,0)-1,PayCount,1)))/$AA191*12*AT$3,(MIN(SUMPRODUCT((PayEmp=$C191)*(PayDate&lt;=$AC191)*(ISERROR(SEARCH(PayEarnCode,AT$2)))*(PayEarnType="Monthly")*(PayEarnValues))/$AA191*12,IF(ISNUMBER(OFFSET($N$3,0,MATCH(AT$5,PayDedList,0)-1,1,1)),OFFSET($N$3,0,MATCH(AT$5,PayDedList,0)-1,1,1),IgnoreMin)))*IF(COUNTIFS(EmpNo,$C191,OFFSET(Emp!$R$4,1,MATCH(AT$5,DedListItem,0)-1,EmpCount,1),"&lt;&gt;")&gt;0,VLOOKUP($C191,EmpAll,COLUMN(Emp!$R$4)+MATCH(AT$5,DedListItem,0)-1,0),OFFSET(Setup!$E$73,MATCH(AT$5,DedListItem,0),0,1,1))*AT$3))),IF(ISNUMBER(AT$4),AT$4,IgnoreMin)))))</f>
        <v>0</v>
      </c>
      <c r="AU191" s="148" cm="1">
        <f t="array" aca="1" ref="AU191" ca="1">-IF($F191="Terminated",0,IF($AA191=0,0,IF(ISNA(MATCH(AU$5,PayDedList,0)),0,MIN(IF(COUNTIFS(OverEmp,$C191,OverDeduct,AU$5,OverDate,"&lt;"&amp;DATE(YEAR($AC191),MONTH($AC191)+1,1),OverEnd,"&gt;="&amp;DATE(YEAR($AC191),MONTH($AC191),1))&gt;0,SUMPRODUCT((PayEmp=$C191)*(PayDate&lt;=$AC191)*(OFFSET($N$6,1,MATCH(AU$5,PayDedList,0)-1,PayCount,1)))/$AA191*12*AU$3,IF(OR(AU$1="Fixed",AU$1="Not Used"),SUMPRODUCT((PayEmp=$C191)*(PayDate&lt;=$AC191)*(OFFSET($N$6,1,MATCH(AU$5,PayDedList,0)-1,PayCount,1)))/$AA191*12*AU$3,IF(ISNA(MATCH(OFFSET($N$2,0,MATCH(AU$5,PayDedList,0)-1,1,1),EarnListItem,0))=FALSE,SUMPRODUCT((PayEmp=$C191)*(PayDate&lt;=$AC191)*(OFFSET($N$6,1,MATCH(AU$5,PayDedList,0)-1,PayCount,1)))/$AA191*12*AU$3,(MIN(SUMPRODUCT((PayEmp=$C191)*(PayDate&lt;=$AC191)*(ISERROR(SEARCH(PayEarnCode,AU$2)))*(PayEarnType="Monthly")*(PayEarnValues))/$AA191*12,IF(ISNUMBER(OFFSET($N$3,0,MATCH(AU$5,PayDedList,0)-1,1,1)),OFFSET($N$3,0,MATCH(AU$5,PayDedList,0)-1,1,1),IgnoreMin)))*IF(COUNTIFS(EmpNo,$C191,OFFSET(Emp!$R$4,1,MATCH(AU$5,DedListItem,0)-1,EmpCount,1),"&lt;&gt;")&gt;0,VLOOKUP($C191,EmpAll,COLUMN(Emp!$R$4)+MATCH(AU$5,DedListItem,0)-1,0),OFFSET(Setup!$E$73,MATCH(AU$5,DedListItem,0),0,1,1))*AU$3))),IF(ISNUMBER(AU$4),AU$4,IgnoreMin)))))</f>
        <v>0</v>
      </c>
      <c r="AV191" s="148" cm="1">
        <f t="array" aca="1" ref="AV191" ca="1">-IF($F191="Terminated",0,IF($AA191=0,0,IF(ISNA(MATCH(AV$5,PayDedList,0)),0,MIN(IF(COUNTIFS(OverEmp,$C191,OverDeduct,AV$5,OverDate,"&lt;"&amp;DATE(YEAR($AC191),MONTH($AC191)+1,1),OverEnd,"&gt;="&amp;DATE(YEAR($AC191),MONTH($AC191),1))&gt;0,SUMPRODUCT((PayEmp=$C191)*(PayDate&lt;=$AC191)*(OFFSET($N$6,1,MATCH(AV$5,PayDedList,0)-1,PayCount,1)))/$AA191*12*AV$3,IF(OR(AV$1="Fixed",AV$1="Not Used"),SUMPRODUCT((PayEmp=$C191)*(PayDate&lt;=$AC191)*(OFFSET($N$6,1,MATCH(AV$5,PayDedList,0)-1,PayCount,1)))/$AA191*12*AV$3,IF(ISNA(MATCH(OFFSET($N$2,0,MATCH(AV$5,PayDedList,0)-1,1,1),EarnListItem,0))=FALSE,SUMPRODUCT((PayEmp=$C191)*(PayDate&lt;=$AC191)*(OFFSET($N$6,1,MATCH(AV$5,PayDedList,0)-1,PayCount,1)))/$AA191*12*AV$3,(MIN(SUMPRODUCT((PayEmp=$C191)*(PayDate&lt;=$AC191)*(ISERROR(SEARCH(PayEarnCode,AV$2)))*(PayEarnType="Monthly")*(PayEarnValues))/$AA191*12,IF(ISNUMBER(OFFSET($N$3,0,MATCH(AV$5,PayDedList,0)-1,1,1)),OFFSET($N$3,0,MATCH(AV$5,PayDedList,0)-1,1,1),IgnoreMin)))*IF(COUNTIFS(EmpNo,$C191,OFFSET(Emp!$R$4,1,MATCH(AV$5,DedListItem,0)-1,EmpCount,1),"&lt;&gt;")&gt;0,VLOOKUP($C191,EmpAll,COLUMN(Emp!$R$4)+MATCH(AV$5,DedListItem,0)-1,0),OFFSET(Setup!$E$73,MATCH(AV$5,DedListItem,0),0,1,1))*AV$3))),IF(ISNUMBER(AV$4),AV$4,IgnoreMin)))))</f>
        <v>0</v>
      </c>
      <c r="AW191" s="148" cm="1">
        <f t="array" aca="1" ref="AW191" ca="1">-IF($F191="Terminated",0,IF($AA191=0,0,IF(ISNA(MATCH(AW$5,PayDedList,0)),0,MIN(IF(COUNTIFS(OverEmp,$C191,OverDeduct,AW$5,OverDate,"&lt;"&amp;DATE(YEAR($AC191),MONTH($AC191)+1,1),OverEnd,"&gt;="&amp;DATE(YEAR($AC191),MONTH($AC191),1))&gt;0,SUMPRODUCT((PayEmp=$C191)*(PayDate&lt;=$AC191)*(OFFSET($N$6,1,MATCH(AW$5,PayDedList,0)-1,PayCount,1)))/$AA191*12*AW$3,IF(OR(AW$1="Fixed",AW$1="Not Used"),SUMPRODUCT((PayEmp=$C191)*(PayDate&lt;=$AC191)*(OFFSET($N$6,1,MATCH(AW$5,PayDedList,0)-1,PayCount,1)))/$AA191*12*AW$3,IF(ISNA(MATCH(OFFSET($N$2,0,MATCH(AW$5,PayDedList,0)-1,1,1),EarnListItem,0))=FALSE,SUMPRODUCT((PayEmp=$C191)*(PayDate&lt;=$AC191)*(OFFSET($N$6,1,MATCH(AW$5,PayDedList,0)-1,PayCount,1)))/$AA191*12*AW$3,(MIN(SUMPRODUCT((PayEmp=$C191)*(PayDate&lt;=$AC191)*(ISERROR(SEARCH(PayEarnCode,AW$2)))*(PayEarnType="Monthly")*(PayEarnValues))/$AA191*12,IF(ISNUMBER(OFFSET($N$3,0,MATCH(AW$5,PayDedList,0)-1,1,1)),OFFSET($N$3,0,MATCH(AW$5,PayDedList,0)-1,1,1),IgnoreMin)))*IF(COUNTIFS(EmpNo,$C191,OFFSET(Emp!$R$4,1,MATCH(AW$5,DedListItem,0)-1,EmpCount,1),"&lt;&gt;")&gt;0,VLOOKUP($C191,EmpAll,COLUMN(Emp!$R$4)+MATCH(AW$5,DedListItem,0)-1,0),OFFSET(Setup!$E$73,MATCH(AW$5,DedListItem,0),0,1,1))*AW$3))),IF(ISNUMBER(AW$4),AW$4,IgnoreMin)))))</f>
        <v>0</v>
      </c>
      <c r="AX191" s="148">
        <f t="shared" ca="1" si="88"/>
        <v>0</v>
      </c>
      <c r="AY191" s="148">
        <f t="shared" ca="1" si="89"/>
        <v>0</v>
      </c>
      <c r="AZ191" s="148">
        <f ca="1">IF(ISNUMBER($AL191),($AR191*$AL191)-$AI191-$AK191,MAX(0,IF($AL191="B",IF($AR191&lt;Setup!$C$32,($AR191*Setup!$D$32)-$AI191-$AK191,(($AR191-VLOOKUP($AR191,TaxAll2,1,1))*OFFSET(Setup!$D$32,MATCH($AR191,TaxBracket2,1),0,1,1))+OFFSET(Setup!$E$31,MATCH($AR191,TaxBracket2,1),0,1,1)-$AI191-$AK191),IF($AR191&lt;Setup!$C$21,($AR191*Setup!$D$21)-$AI191-$AK191,(($AR191-VLOOKUP($AR191,TaxAll1,1,1))*OFFSET(Setup!$D$21,MATCH($AR191,TaxBracket1,1),0,1,1))+OFFSET(Setup!$E$20,MATCH($AR191,TaxBracket1,1),0,1,1)-$AI191-$AK191))))</f>
        <v>0</v>
      </c>
      <c r="BA191" s="148">
        <f ca="1">IF(ISNUMBER($AL191),($AX191*$AL191)-$AI191-$AK191,MAX(0,IF($AL191="B",IF($AX191&lt;Setup!$C$32,($AX191*Setup!$D$32)-$AI191-$AK191,(($AX191-VLOOKUP($AX191,TaxAll2,1,1))*OFFSET(Setup!$D$32,MATCH($AX191,TaxBracket2,1),0,1,1))+OFFSET(Setup!$E$31,MATCH($AX191,TaxBracket2,1),0,1,1)-$AI191-$AK191),IF($AX191&lt;Setup!$C$21,($AX191*Setup!$D$21)-$AI191-$AK191,(($AX191-VLOOKUP($AX191,TaxAll1,1,1))*OFFSET(Setup!$D$21,MATCH($AX191,TaxBracket1,1),0,1,1))+OFFSET(Setup!$E$20,MATCH($AX191,TaxBracket1,1),0,1,1)-$AI191-$AK191))))</f>
        <v>0</v>
      </c>
      <c r="BB191" s="148">
        <f t="shared" ca="1" si="94"/>
        <v>0</v>
      </c>
      <c r="BC191" s="150">
        <f t="shared" ca="1" si="75"/>
        <v>0</v>
      </c>
      <c r="BD191" s="150">
        <f t="shared" ca="1" si="76"/>
        <v>0</v>
      </c>
      <c r="BE191" s="148">
        <f t="shared" ca="1" si="77"/>
        <v>0</v>
      </c>
    </row>
    <row r="192" spans="1:57" ht="16.149999999999999" customHeight="1" x14ac:dyDescent="0.25">
      <c r="A192" s="10" t="str" cm="1">
        <f t="array" ref="A192">IF(ROW($A192)-ROW($A$6)&gt;EmpCount*12,"-",TEXT($B192,"yyyy")&amp;TEXT($B192,"mm")&amp;"-"&amp;$C192)</f>
        <v>-</v>
      </c>
      <c r="B192" s="137" cm="1">
        <f t="array" aca="1" ref="B192" ca="1">IF(ROW($A192)-ROW($A$6)&gt;EmpCount*12,Setup!$D$12,DATE(YEAR(Setup!$F$12),MONTH(Setup!$F$12)+ROUNDDOWN((ROW($A192)-ROW($A$6)-1)/EmpCount,0),IF(Setup!$C$14&gt;DAY(DATE(YEAR(Setup!$F$12),MONTH(Setup!$F$12)+ROUNDDOWN((ROW($A192)-ROW($A$6)-1)/EmpCount,0)+1,0)),DAY(DATE(YEAR(Setup!$F$12),MONTH(Setup!$F$12)+ROUNDDOWN((ROW($A192)-ROW($A$6)-1)/EmpCount,0)+1,0)),Setup!$C$14)))</f>
        <v>45351</v>
      </c>
      <c r="C192" s="101" t="str" cm="1">
        <f t="array" aca="1" ref="C192" ca="1">IF(ROW($A192)-ROW($A$6)&gt;EmpCount*12,"-",OFFSET(Emp!$A$4,ROW($A192)-ROW($A$6)-IF(ROW($A192)-ROW($A$6)&gt;EmpCount,ROUNDDOWN((ROW($A192)-ROW($A$6)-1)/EmpCount,0)*EmpCount,0),0,1,1))</f>
        <v>-</v>
      </c>
      <c r="D192" s="10" t="str">
        <f ca="1">IF(ISNA(VLOOKUP($C192,EmpAll,COLUMN(Emp!$B$4),0)),"-",VLOOKUP($C192,EmpAll,COLUMN(Emp!$B$4),0))</f>
        <v>-</v>
      </c>
      <c r="E192" s="145" t="str">
        <f ca="1">IF(ISNA(VLOOKUP($C192,EmpAll,COLUMN(Emp!$C$4),0)),"-",VLOOKUP($C192,EmpAll,COLUMN(Emp!$C$4),0))</f>
        <v>-</v>
      </c>
      <c r="F192" s="101" t="str">
        <f ca="1">IF(ISNA(VLOOKUP($C192,EmpAll,COLUMN(Emp!$A$4),0)),"-",IF(AND(VLOOKUP($C192,EmpAll,COLUMN(Emp!$E$4),0)&lt;&gt;0,VLOOKUP($C192,EmpAll,COLUMN(Emp!$E$4),0)&gt;=DATE(YEAR($AC192),MONTH($AC192)+1,0)),"Inactive",IF(AND(VLOOKUP($C192,EmpAll,COLUMN(Emp!$F$4),0)&lt;&gt;0,VLOOKUP($C192,EmpAll,COLUMN(Emp!$F$4),0)&lt;=DATE(YEAR($AC192),MONTH($AC192),0)),"Terminated","Active")))</f>
        <v>-</v>
      </c>
      <c r="G192" s="133" cm="1">
        <f t="array" aca="1" ref="G192" ca="1">IF($F192&lt;&gt;"Active",0,IF(COUNTIFS(OverEmp,$C192,OverEarn,G$2,OverDate,"&lt;"&amp;DATE(YEAR($AC192),MONTH($AC192)+1,1),OverEnd,"&gt;="&amp;DATE(YEAR($AC192),MONTH($AC192),1))&gt;0,SUMIFS(OverValue,OverEmp,$C192,OverEarn,G$2,OverDate,"&lt;"&amp;DATE(YEAR($AC192),MONTH($AC192)+1,1),OverEnd,"&gt;="&amp;DATE(YEAR($AC192),MONTH($AC192),1)),IF(AND($AC192&gt;=Setup!$E$10,SUMIFS(EmpIncrease,EmpCode,$C192)&gt;0),SUMIFS(EmpIncrease,EmpCode,$C192),SUMIFS(EmpSalary,EmpCode,$C192))))</f>
        <v>0</v>
      </c>
      <c r="H192" s="133" cm="1">
        <f t="array" aca="1" ref="H192" ca="1">IF($F192&lt;&gt;"Active",0,IF(COUNTIFS(OverEmp,$C192,OverEarn,H$2,OverDate,"&lt;"&amp;DATE(YEAR($AC192),MONTH($AC192)+1,1),OverEnd,"&gt;="&amp;DATE(YEAR($AC192),MONTH($AC192),1))&gt;0,SUMIFS(OverValue,OverEmp,$C192,OverEarn,H$2,OverDate,"&lt;"&amp;DATE(YEAR($AC192),MONTH($AC192)+1,1),OverEnd,"&gt;="&amp;DATE(YEAR($AC192),MONTH($AC192),1)),0))</f>
        <v>0</v>
      </c>
      <c r="I192" s="133" cm="1">
        <f t="array" aca="1" ref="I192" ca="1">IF($F192&lt;&gt;"Active",0,IF(COUNTIFS(OverEmp,$C192,OverEarn,I$2,OverDate,"&lt;"&amp;DATE(YEAR($AC192),MONTH($AC192)+1,1),OverEnd,"&gt;="&amp;DATE(YEAR($AC192),MONTH($AC192),1))&gt;0,SUMIFS(OverValue,OverEmp,$C192,OverEarn,I$2,OverDate,"&lt;"&amp;DATE(YEAR($AC192),MONTH($AC192)+1,1),OverEnd,"&gt;="&amp;DATE(YEAR($AC192),MONTH($AC192),1)),IF(MONTH(B192)=Setup!$C$15,SUMIFS(EmpBonus,EmpCode,$C192),0)))</f>
        <v>0</v>
      </c>
      <c r="J192" s="133" cm="1">
        <f t="array" aca="1" ref="J192" ca="1">IF($F192&lt;&gt;"Active",0,IF(COUNTIFS(OverEmp,$C192,OverEarn,J$2,OverDate,"&lt;"&amp;DATE(YEAR($AC192),MONTH($AC192)+1,1),OverEnd,"&gt;="&amp;DATE(YEAR($AC192),MONTH($AC192),1))&gt;0,SUMIFS(OverValue,OverEmp,$C192,OverEarn,J$2,OverDate,"&lt;"&amp;DATE(YEAR($AC192),MONTH($AC192)+1,1),OverEnd,"&gt;="&amp;DATE(YEAR($AC192),MONTH($AC192),1)),0))</f>
        <v>0</v>
      </c>
      <c r="K192" s="133" cm="1">
        <f t="array" aca="1" ref="K192" ca="1">IF($F192&lt;&gt;"Active",0,IF(COUNTIFS(OverEmp,$C192,OverEarn,K$2,OverDate,"&lt;"&amp;DATE(YEAR($AC192),MONTH($AC192)+1,1),OverEnd,"&gt;="&amp;DATE(YEAR($AC192),MONTH($AC192),1))&gt;0,SUMIFS(OverValue,OverEmp,$C192,OverEarn,K$2,OverDate,"&lt;"&amp;DATE(YEAR($AC192),MONTH($AC192)+1,1),OverEnd,"&gt;="&amp;DATE(YEAR($AC192),MONTH($AC192),1)),0))</f>
        <v>0</v>
      </c>
      <c r="L192" s="185">
        <f t="shared" ca="1" si="84"/>
        <v>0</v>
      </c>
      <c r="M192" s="182" cm="1">
        <f t="array" aca="1" ref="M192" ca="1">IF(COUNTIFS(OverEmp,$C192,OverTax,M$5,OverDate,"&lt;"&amp;DATE(YEAR($AC192),MONTH($AC192)+1,1),OverEnd,"&gt;="&amp;DATE(YEAR($AC192),MONTH($AC192),1))&gt;0,SUMIFS(OverValue,OverEmp,$C192,OverTax,M$5,OverDate,"&lt;"&amp;DATE(YEAR($AC192),MONTH($AC192)+1,1),OverEnd,"&gt;="&amp;DATE(YEAR($AC192),MONTH($AC192),1)),(($BA192/12*$AA192)+(BB192*IF(1-$BC192=0,0,BD192/(1-$BC192))))-IF($F192="Terminated",0,SUMIFS(PayTaxDeduct,PayDate,"&lt;"&amp;$AC192,PayEmp,$C192)))</f>
        <v>0</v>
      </c>
      <c r="N192" s="133" cm="1">
        <f t="array" aca="1" ref="N192" ca="1">IF($F192="Terminated",0,IF($AA192=0,0,IF(ISNA(MATCH(N$5,DedListItem,0)),0,IF(COUNTIFS(OverEmp,$C192,OverDeduct,N$5,OverDate,"&lt;"&amp;DATE(YEAR($AC192),MONTH($AC192)+1,1),OverEnd,"&gt;="&amp;DATE(YEAR($AC192),MONTH($AC192),1))&gt;0,SUMIFS(OverValue,OverEmp,$C192,OverDeduct,N$5,OverDate,"&lt;"&amp;DATE(YEAR($AC192),MONTH($AC192)+1,1),OverEnd,"&gt;="&amp;DATE(YEAR($AC192),MONTH($AC192),1)),IF(OR(N$2="Fixed",N$2="Not Used"),(IF(COUNTIFS(EmpNo,$C192,OFFSET(Emp!$R$4,1,MATCH(N$5,DedListItem,0)-1,EmpCount,1),"&lt;&gt;")&gt;0,VLOOKUP($C192,EmpAll,COLUMN(Emp!$R$4)+MATCH(N$5,DedListItem,0)-1,0),OFFSET(Setup!$E$73,MATCH(N$5,DedListItem,0),0,1,1))*$AA192)-SUMIFS(OFFSET(N$6,1,0,PayCount,1),PayDate,"&lt;"&amp;$AC192,PayEmp,$C192),IF(ISNA(MATCH(N$2,EarnListItem,0))=FALSE,IF(OFFSET(Setup!$G$73,MATCH(N$5,DedListItem,0),0,1,1)="Taxable",SUMPRODUCT((PayEmp=$C192)*(PayDate&lt;=$AC192)*(PayEarnCode=N$2)*(PayEarnTax)*(PayEarnValues)),SUMPRODUCT((PayEmp=$C192)*(PayDate&lt;=$AC192)*(PayEarnCode=N$2)*(PayEarnValues)))*IF(COUNTIFS(EmpNo,$C192,OFFSET(Emp!$R$4,1,MATCH(N$5,DedListItem,0)-1,EmpCount,1),"&lt;&gt;")&gt;0,VLOOKUP($C192,EmpAll,COLUMN(Emp!$R$4)+MATCH(N$5,DedListItem,0)-1,0),OFFSET(Setup!$E$73,MATCH(N$5,DedListItem,0),0,1,1)),(MIN(IF(OFFSET(Setup!$G$73,MATCH(N$5,DedListItem,0),0,1,1)="Taxable",SUMPRODUCT((PayEmp=$C192)*(PayDate&lt;=$AC192)*(ISERROR(SEARCH(PayEarnCode,N$4)))*(PayEarnTax)*(PayEarnValues)),SUMPRODUCT((PayEmp=$C192)*(PayDate&lt;=$AC192)*(ISERROR(SEARCH(PayEarnCode,N$4)))*(PayEarnValues))),IF(ISNUMBER(N$3),N$3/12*$AA192,IgnoreMin)))*IF(COUNTIFS(EmpNo,$C192,OFFSET(Emp!$R$4,1,MATCH(N$5,DedListItem,0)-1,EmpCount,1),"&lt;&gt;")&gt;0,VLOOKUP($C192,EmpAll,COLUMN(Emp!$R$4)+MATCH(N$5,DedListItem,0)-1,0),OFFSET(Setup!$E$73,MATCH(N$5,DedListItem,0),0,1,1)))-SUMIFS(OFFSET(N$6,1,0,PayCount,1),PayDate,"&lt;"&amp;$AC192,PayEmp,$C192))))))</f>
        <v>0</v>
      </c>
      <c r="O192" s="133" cm="1">
        <f t="array" aca="1" ref="O192" ca="1">IF($F192="Terminated",0,IF($AA192=0,0,IF(ISNA(MATCH(O$5,DedListItem,0)),0,IF(COUNTIFS(OverEmp,$C192,OverDeduct,O$5,OverDate,"&lt;"&amp;DATE(YEAR($AC192),MONTH($AC192)+1,1),OverEnd,"&gt;="&amp;DATE(YEAR($AC192),MONTH($AC192),1))&gt;0,SUMIFS(OverValue,OverEmp,$C192,OverDeduct,O$5,OverDate,"&lt;"&amp;DATE(YEAR($AC192),MONTH($AC192)+1,1),OverEnd,"&gt;="&amp;DATE(YEAR($AC192),MONTH($AC192),1)),IF(OR(O$2="Fixed",O$2="Not Used"),(IF(COUNTIFS(EmpNo,$C192,OFFSET(Emp!$R$4,1,MATCH(O$5,DedListItem,0)-1,EmpCount,1),"&lt;&gt;")&gt;0,VLOOKUP($C192,EmpAll,COLUMN(Emp!$R$4)+MATCH(O$5,DedListItem,0)-1,0),OFFSET(Setup!$E$73,MATCH(O$5,DedListItem,0),0,1,1))*$AA192)-SUMIFS(OFFSET(O$6,1,0,PayCount,1),PayDate,"&lt;"&amp;$AC192,PayEmp,$C192),IF(ISNA(MATCH(O$2,EarnListItem,0))=FALSE,IF(OFFSET(Setup!$G$73,MATCH(O$5,DedListItem,0),0,1,1)="Taxable",SUMPRODUCT((PayEmp=$C192)*(PayDate&lt;=$AC192)*(PayEarnCode=O$2)*(PayEarnTax)*(PayEarnValues)),SUMPRODUCT((PayEmp=$C192)*(PayDate&lt;=$AC192)*(PayEarnCode=O$2)*(PayEarnValues)))*IF(COUNTIFS(EmpNo,$C192,OFFSET(Emp!$R$4,1,MATCH(O$5,DedListItem,0)-1,EmpCount,1),"&lt;&gt;")&gt;0,VLOOKUP($C192,EmpAll,COLUMN(Emp!$R$4)+MATCH(O$5,DedListItem,0)-1,0),OFFSET(Setup!$E$73,MATCH(O$5,DedListItem,0),0,1,1)),(MIN(IF(OFFSET(Setup!$G$73,MATCH(O$5,DedListItem,0),0,1,1)="Taxable",SUMPRODUCT((PayEmp=$C192)*(PayDate&lt;=$AC192)*(ISERROR(SEARCH(PayEarnCode,O$4)))*(PayEarnTax)*(PayEarnValues)),SUMPRODUCT((PayEmp=$C192)*(PayDate&lt;=$AC192)*(ISERROR(SEARCH(PayEarnCode,O$4)))*(PayEarnValues))),IF(ISNUMBER(O$3),O$3/12*$AA192,IgnoreMin)))*IF(COUNTIFS(EmpNo,$C192,OFFSET(Emp!$R$4,1,MATCH(O$5,DedListItem,0)-1,EmpCount,1),"&lt;&gt;")&gt;0,VLOOKUP($C192,EmpAll,COLUMN(Emp!$R$4)+MATCH(O$5,DedListItem,0)-1,0),OFFSET(Setup!$E$73,MATCH(O$5,DedListItem,0),0,1,1)))-SUMIFS(OFFSET(O$6,1,0,PayCount,1),PayDate,"&lt;"&amp;$AC192,PayEmp,$C192))))))</f>
        <v>0</v>
      </c>
      <c r="P192" s="133" cm="1">
        <f t="array" aca="1" ref="P192" ca="1">IF($F192="Terminated",0,IF($AA192=0,0,IF(ISNA(MATCH(P$5,DedListItem,0)),0,IF(COUNTIFS(OverEmp,$C192,OverDeduct,P$5,OverDate,"&lt;"&amp;DATE(YEAR($AC192),MONTH($AC192)+1,1),OverEnd,"&gt;="&amp;DATE(YEAR($AC192),MONTH($AC192),1))&gt;0,SUMIFS(OverValue,OverEmp,$C192,OverDeduct,P$5,OverDate,"&lt;"&amp;DATE(YEAR($AC192),MONTH($AC192)+1,1),OverEnd,"&gt;="&amp;DATE(YEAR($AC192),MONTH($AC192),1)),IF(OR(P$2="Fixed",P$2="Not Used"),(IF(COUNTIFS(EmpNo,$C192,OFFSET(Emp!$R$4,1,MATCH(P$5,DedListItem,0)-1,EmpCount,1),"&lt;&gt;")&gt;0,VLOOKUP($C192,EmpAll,COLUMN(Emp!$R$4)+MATCH(P$5,DedListItem,0)-1,0),OFFSET(Setup!$E$73,MATCH(P$5,DedListItem,0),0,1,1))*$AA192)-SUMIFS(OFFSET(P$6,1,0,PayCount,1),PayDate,"&lt;"&amp;$AC192,PayEmp,$C192),IF(ISNA(MATCH(P$2,EarnListItem,0))=FALSE,IF(OFFSET(Setup!$G$73,MATCH(P$5,DedListItem,0),0,1,1)="Taxable",SUMPRODUCT((PayEmp=$C192)*(PayDate&lt;=$AC192)*(PayEarnCode=P$2)*(PayEarnTax)*(PayEarnValues)),SUMPRODUCT((PayEmp=$C192)*(PayDate&lt;=$AC192)*(PayEarnCode=P$2)*(PayEarnValues)))*IF(COUNTIFS(EmpNo,$C192,OFFSET(Emp!$R$4,1,MATCH(P$5,DedListItem,0)-1,EmpCount,1),"&lt;&gt;")&gt;0,VLOOKUP($C192,EmpAll,COLUMN(Emp!$R$4)+MATCH(P$5,DedListItem,0)-1,0),OFFSET(Setup!$E$73,MATCH(P$5,DedListItem,0),0,1,1)),(MIN(IF(OFFSET(Setup!$G$73,MATCH(P$5,DedListItem,0),0,1,1)="Taxable",SUMPRODUCT((PayEmp=$C192)*(PayDate&lt;=$AC192)*(ISERROR(SEARCH(PayEarnCode,P$4)))*(PayEarnTax)*(PayEarnValues)),SUMPRODUCT((PayEmp=$C192)*(PayDate&lt;=$AC192)*(ISERROR(SEARCH(PayEarnCode,P$4)))*(PayEarnValues))),IF(ISNUMBER(P$3),P$3/12*$AA192,IgnoreMin)))*IF(COUNTIFS(EmpNo,$C192,OFFSET(Emp!$R$4,1,MATCH(P$5,DedListItem,0)-1,EmpCount,1),"&lt;&gt;")&gt;0,VLOOKUP($C192,EmpAll,COLUMN(Emp!$R$4)+MATCH(P$5,DedListItem,0)-1,0),OFFSET(Setup!$E$73,MATCH(P$5,DedListItem,0),0,1,1)))-SUMIFS(OFFSET(P$6,1,0,PayCount,1),PayDate,"&lt;"&amp;$AC192,PayEmp,$C192))))))</f>
        <v>0</v>
      </c>
      <c r="Q192" s="133" cm="1">
        <f t="array" aca="1" ref="Q192" ca="1">IF($F192="Terminated",0,IF($AA192=0,0,IF(ISNA(MATCH(Q$5,DedListItem,0)),0,IF(COUNTIFS(OverEmp,$C192,OverDeduct,Q$5,OverDate,"&lt;"&amp;DATE(YEAR($AC192),MONTH($AC192)+1,1),OverEnd,"&gt;="&amp;DATE(YEAR($AC192),MONTH($AC192),1))&gt;0,SUMIFS(OverValue,OverEmp,$C192,OverDeduct,Q$5,OverDate,"&lt;"&amp;DATE(YEAR($AC192),MONTH($AC192)+1,1),OverEnd,"&gt;="&amp;DATE(YEAR($AC192),MONTH($AC192),1)),IF(OR(Q$2="Fixed",Q$2="Not Used"),(IF(COUNTIFS(EmpNo,$C192,OFFSET(Emp!$R$4,1,MATCH(Q$5,DedListItem,0)-1,EmpCount,1),"&lt;&gt;")&gt;0,VLOOKUP($C192,EmpAll,COLUMN(Emp!$R$4)+MATCH(Q$5,DedListItem,0)-1,0),OFFSET(Setup!$E$73,MATCH(Q$5,DedListItem,0),0,1,1))*$AA192)-SUMIFS(OFFSET(Q$6,1,0,PayCount,1),PayDate,"&lt;"&amp;$AC192,PayEmp,$C192),IF(ISNA(MATCH(Q$2,EarnListItem,0))=FALSE,IF(OFFSET(Setup!$G$73,MATCH(Q$5,DedListItem,0),0,1,1)="Taxable",SUMPRODUCT((PayEmp=$C192)*(PayDate&lt;=$AC192)*(PayEarnCode=Q$2)*(PayEarnTax)*(PayEarnValues)),SUMPRODUCT((PayEmp=$C192)*(PayDate&lt;=$AC192)*(PayEarnCode=Q$2)*(PayEarnValues)))*IF(COUNTIFS(EmpNo,$C192,OFFSET(Emp!$R$4,1,MATCH(Q$5,DedListItem,0)-1,EmpCount,1),"&lt;&gt;")&gt;0,VLOOKUP($C192,EmpAll,COLUMN(Emp!$R$4)+MATCH(Q$5,DedListItem,0)-1,0),OFFSET(Setup!$E$73,MATCH(Q$5,DedListItem,0),0,1,1)),(MIN(IF(OFFSET(Setup!$G$73,MATCH(Q$5,DedListItem,0),0,1,1)="Taxable",SUMPRODUCT((PayEmp=$C192)*(PayDate&lt;=$AC192)*(ISERROR(SEARCH(PayEarnCode,Q$4)))*(PayEarnTax)*(PayEarnValues)),SUMPRODUCT((PayEmp=$C192)*(PayDate&lt;=$AC192)*(ISERROR(SEARCH(PayEarnCode,Q$4)))*(PayEarnValues))),IF(ISNUMBER(Q$3),Q$3/12*$AA192,IgnoreMin)))*IF(COUNTIFS(EmpNo,$C192,OFFSET(Emp!$R$4,1,MATCH(Q$5,DedListItem,0)-1,EmpCount,1),"&lt;&gt;")&gt;0,VLOOKUP($C192,EmpAll,COLUMN(Emp!$R$4)+MATCH(Q$5,DedListItem,0)-1,0),OFFSET(Setup!$E$73,MATCH(Q$5,DedListItem,0),0,1,1)))-SUMIFS(OFFSET(Q$6,1,0,PayCount,1),PayDate,"&lt;"&amp;$AC192,PayEmp,$C192))))))</f>
        <v>0</v>
      </c>
      <c r="R192" s="185">
        <f t="shared" ca="1" si="85"/>
        <v>0</v>
      </c>
      <c r="S192" s="139">
        <f t="shared" ca="1" si="86"/>
        <v>0</v>
      </c>
      <c r="T192" s="133" cm="1">
        <f t="array" aca="1" ref="T192" ca="1">IF($F192="Terminated",0,IF($AA192=0,0,IF(ISNA(MATCH(T$5,CompListItem,0)),0,IF(COUNTIFS(OverEmp,$C192,OverComp,T$5,OverDate,"&lt;"&amp;DATE(YEAR($AC192),MONTH($AC192)+1,1),OverEnd,"&gt;="&amp;DATE(YEAR($AC192),MONTH($AC192),1))&gt;0,SUMIFS(OverValue,OverEmp,$C192,OverComp,T$5,OverDate,"&lt;"&amp;DATE(YEAR($AC192),MONTH($AC192)+1,1),OverEnd,"&gt;="&amp;DATE(YEAR($AC192),MONTH($AC192),1)),IF(OR(T$2="Fixed",T$2="Not Used"),(OFFSET(Setup!$E$81,MATCH(T$5,CompListItem,0),0,1,1)*$AA192)-SUMIFS(OFFSET(T$6,1,0,PayCount,1),PayDate,"&lt;"&amp;$AC192,PayEmp,$C192),IF(ISNA(MATCH(T$2,DedListItem,0))=FALSE,(SUMPRODUCT((PayEmp=$C192)*(PayDate&lt;=$AC192)*(PayDedList=T$2)*(PayDedValues))*OFFSET(Setup!$E$81,MATCH(T$5,CompListItem,0),0,1,1))-SUMIFS(OFFSET(T$6,1,0,PayCount,1),PayDate,"&lt;"&amp;$AC192,PayEmp,$C192),(MIN(IF(OFFSET(Setup!$G$81,MATCH(T$5,CompListItem,0),0,1,1)="Taxable",SUMPRODUCT((PayEmp=$C192)*(PayDate&lt;=$AC192)*(ISERROR(SEARCH(PayEarnCode,T$4)))*(PayEarnTax)*(PayEarnValues)),SUMPRODUCT((PayEmp=$C192)*(PayDate&lt;=$AC192)*(ISERROR(SEARCH(PayEarnCode,T$4)))*(PayEarnValues))),IF(ISNUMBER(T$3),T$3/12*$AA192,IgnoreMin)))*OFFSET(Setup!$E$81,MATCH(T$5,CompListItem,0),0,1,1)-SUMIFS(OFFSET(T$6,1,0,PayCount,1),PayDate,"&lt;"&amp;$AC192,PayEmp,$C192)))))))</f>
        <v>0</v>
      </c>
      <c r="U192" s="133" cm="1">
        <f t="array" aca="1" ref="U192" ca="1">IF($F192="Terminated",0,IF($AA192=0,0,IF(ISNA(MATCH(U$5,CompListItem,0)),0,IF(COUNTIFS(OverEmp,$C192,OverComp,U$5,OverDate,"&lt;"&amp;DATE(YEAR($AC192),MONTH($AC192)+1,1),OverEnd,"&gt;="&amp;DATE(YEAR($AC192),MONTH($AC192),1))&gt;0,SUMIFS(OverValue,OverEmp,$C192,OverComp,U$5,OverDate,"&lt;"&amp;DATE(YEAR($AC192),MONTH($AC192)+1,1),OverEnd,"&gt;="&amp;DATE(YEAR($AC192),MONTH($AC192),1)),IF(OR(U$2="Fixed",U$2="Not Used"),(OFFSET(Setup!$E$81,MATCH(U$5,CompListItem,0),0,1,1)*$AA192)-SUMIFS(OFFSET(U$6,1,0,PayCount,1),PayDate,"&lt;"&amp;$AC192,PayEmp,$C192),IF(ISNA(MATCH(U$2,DedListItem,0))=FALSE,(SUMPRODUCT((PayEmp=$C192)*(PayDate&lt;=$AC192)*(PayDedList=U$2)*(PayDedValues))*OFFSET(Setup!$E$81,MATCH(U$5,CompListItem,0),0,1,1))-SUMIFS(OFFSET(U$6,1,0,PayCount,1),PayDate,"&lt;"&amp;$AC192,PayEmp,$C192),(MIN(IF(OFFSET(Setup!$G$81,MATCH(U$5,CompListItem,0),0,1,1)="Taxable",SUMPRODUCT((PayEmp=$C192)*(PayDate&lt;=$AC192)*(ISERROR(SEARCH(PayEarnCode,U$4)))*(PayEarnTax)*(PayEarnValues)),SUMPRODUCT((PayEmp=$C192)*(PayDate&lt;=$AC192)*(ISERROR(SEARCH(PayEarnCode,U$4)))*(PayEarnValues))),IF(ISNUMBER(U$3),U$3/12*$AA192,IgnoreMin)))*OFFSET(Setup!$E$81,MATCH(U$5,CompListItem,0),0,1,1)-SUMIFS(OFFSET(U$6,1,0,PayCount,1),PayDate,"&lt;"&amp;$AC192,PayEmp,$C192)))))))</f>
        <v>0</v>
      </c>
      <c r="V192" s="133" cm="1">
        <f t="array" aca="1" ref="V192" ca="1">IF($F192="Terminated",0,IF($AA192=0,0,IF(ISNA(MATCH(V$5,CompListItem,0)),0,IF(COUNTIFS(OverEmp,$C192,OverComp,V$5,OverDate,"&lt;"&amp;DATE(YEAR($AC192),MONTH($AC192)+1,1),OverEnd,"&gt;="&amp;DATE(YEAR($AC192),MONTH($AC192),1))&gt;0,SUMIFS(OverValue,OverEmp,$C192,OverComp,V$5,OverDate,"&lt;"&amp;DATE(YEAR($AC192),MONTH($AC192)+1,1),OverEnd,"&gt;="&amp;DATE(YEAR($AC192),MONTH($AC192),1)),IF(OR(V$2="Fixed",V$2="Not Used"),(OFFSET(Setup!$E$81,MATCH(V$5,CompListItem,0),0,1,1)*$AA192)-SUMIFS(OFFSET(V$6,1,0,PayCount,1),PayDate,"&lt;"&amp;$AC192,PayEmp,$C192),IF(ISNA(MATCH(V$2,DedListItem,0))=FALSE,(SUMPRODUCT((PayEmp=$C192)*(PayDate&lt;=$AC192)*(PayDedList=V$2)*(PayDedValues))*OFFSET(Setup!$E$81,MATCH(V$5,CompListItem,0),0,1,1))-SUMIFS(OFFSET(V$6,1,0,PayCount,1),PayDate,"&lt;"&amp;$AC192,PayEmp,$C192),(MIN(IF(OFFSET(Setup!$G$81,MATCH(V$5,CompListItem,0),0,1,1)="Taxable",SUMPRODUCT((PayEmp=$C192)*(PayDate&lt;=$AC192)*(ISERROR(SEARCH(PayEarnCode,V$4)))*(PayEarnTax)*(PayEarnValues)),SUMPRODUCT((PayEmp=$C192)*(PayDate&lt;=$AC192)*(ISERROR(SEARCH(PayEarnCode,V$4)))*(PayEarnValues))),IF(ISNUMBER(V$3),V$3/12*$AA192,IgnoreMin)))*OFFSET(Setup!$E$81,MATCH(V$5,CompListItem,0),0,1,1)-SUMIFS(OFFSET(V$6,1,0,PayCount,1),PayDate,"&lt;"&amp;$AC192,PayEmp,$C192)))))))</f>
        <v>0</v>
      </c>
      <c r="W192" s="133" cm="1">
        <f t="array" aca="1" ref="W192" ca="1">IF($F192="Terminated",0,IF($AA192=0,0,IF(ISNA(MATCH(W$5,CompListItem,0)),0,IF(COUNTIFS(OverEmp,$C192,OverComp,W$5,OverDate,"&lt;"&amp;DATE(YEAR($AC192),MONTH($AC192)+1,1),OverEnd,"&gt;="&amp;DATE(YEAR($AC192),MONTH($AC192),1))&gt;0,SUMIFS(OverValue,OverEmp,$C192,OverComp,W$5,OverDate,"&lt;"&amp;DATE(YEAR($AC192),MONTH($AC192)+1,1),OverEnd,"&gt;="&amp;DATE(YEAR($AC192),MONTH($AC192),1)),IF(OR(W$2="Fixed",W$2="Not Used"),(OFFSET(Setup!$E$81,MATCH(W$5,CompListItem,0),0,1,1)*$AA192)-SUMIFS(OFFSET(W$6,1,0,PayCount,1),PayDate,"&lt;"&amp;$AC192,PayEmp,$C192),IF(ISNA(MATCH(W$2,DedListItem,0))=FALSE,(SUMPRODUCT((PayEmp=$C192)*(PayDate&lt;=$AC192)*(PayDedList=W$2)*(PayDedValues))*OFFSET(Setup!$E$81,MATCH(W$5,CompListItem,0),0,1,1))-SUMIFS(OFFSET(W$6,1,0,PayCount,1),PayDate,"&lt;"&amp;$AC192,PayEmp,$C192),(MIN(IF(OFFSET(Setup!$G$81,MATCH(W$5,CompListItem,0),0,1,1)="Taxable",SUMPRODUCT((PayEmp=$C192)*(PayDate&lt;=$AC192)*(ISERROR(SEARCH(PayEarnCode,W$4)))*(PayEarnTax)*(PayEarnValues)),SUMPRODUCT((PayEmp=$C192)*(PayDate&lt;=$AC192)*(ISERROR(SEARCH(PayEarnCode,W$4)))*(PayEarnValues))),IF(ISNUMBER(W$3),W$3/12*$AA192,IgnoreMin)))*OFFSET(Setup!$E$81,MATCH(W$5,CompListItem,0),0,1,1)-SUMIFS(OFFSET(W$6,1,0,PayCount,1),PayDate,"&lt;"&amp;$AC192,PayEmp,$C192)))))))</f>
        <v>0</v>
      </c>
      <c r="X192" s="185">
        <f t="shared" ca="1" si="90"/>
        <v>0</v>
      </c>
      <c r="Y192" s="139">
        <f t="shared" ca="1" si="87"/>
        <v>0</v>
      </c>
      <c r="Z192" s="139">
        <f t="shared" ca="1" si="91"/>
        <v>0</v>
      </c>
      <c r="AA192" s="146">
        <f ca="1">IF(OR($B192&lt;=Setup!$E$12,$B192&gt;=Setup!$D$12+1),0,IF($F192&lt;&gt;"Active",0,IF($AE192="Yes",$AB192,((YEAR($AC192)*12)+MONTH($AC192))-((YEAR($AD192)*12)+MONTH($AD192)-1))))</f>
        <v>0</v>
      </c>
      <c r="AB192" s="146">
        <f ca="1">IF(OR($B192&lt;=Setup!$E$12,$B192&gt;=Setup!$D$12+1),0,((YEAR($AC192)*12)+MONTH($AC192))-((YEAR(Setup!$E$12)*12)+MONTH(Setup!$E$12)))</f>
        <v>12</v>
      </c>
      <c r="AC192" s="186">
        <f t="shared" ca="1" si="92"/>
        <v>45351</v>
      </c>
      <c r="AD192" s="144">
        <f ca="1">IF(ISNA(VLOOKUP($C192,EmpAll,COLUMN(Emp!$E$4),0)),$AC192,IF(VLOOKUP($C192,EmpAll,COLUMN(Emp!$E$4),0)&lt;=Setup!$E$12,DATE(YEAR(Setup!$E$12),MONTH(Setup!$E$12)+1,1),VLOOKUP($C192,EmpAll,COLUMN(Emp!$E$4),0)))</f>
        <v>45351</v>
      </c>
      <c r="AE192" s="144" t="str">
        <f ca="1">IF(ISNA(VLOOKUP($C192,EmpAll,COLUMN(Emp!$G$1),0)),"-",IF(VLOOKUP($C192,EmpAll,COLUMN(Emp!$G$1),0)=0,"-",VLOOKUP($C192,EmpAll,COLUMN(Emp!$G$1),0)))</f>
        <v>-</v>
      </c>
      <c r="AF192" s="145">
        <f>IF(A192=PaySlip!$G$3,1,0)</f>
        <v>0</v>
      </c>
      <c r="AG192" s="130" cm="1">
        <f t="array" aca="1" ref="AG192" ca="1">IF(COUNTIFS(OverEmp,$C192,OverMed,"MED",OverDate,"&lt;"&amp;DATE(YEAR($AC192),MONTH($AC192)+1,1),OverEnd,"&gt;="&amp;DATE(YEAR($AC192),MONTH($AC192),1))&gt;0,SUMIFS(OverValue,OverEmp,$C192,OverMed,"MED",OverDate,"&lt;"&amp;DATE(YEAR($AC192),MONTH($AC192)+1,1),OverEnd,"&gt;="&amp;DATE(YEAR($AC192),MONTH($AC192),1)),IF(ISNA(VLOOKUP($C192,EmpAll,COLUMN(Emp!$N$4),0)),0,VLOOKUP($C192,EmpAll,COLUMN(Emp!$N$4),0)))</f>
        <v>0</v>
      </c>
      <c r="AH192" s="146">
        <f ca="1">VLOOKUP($AG192,MedList,COLUMN(Setup!$C$49),1)</f>
        <v>0</v>
      </c>
      <c r="AI192" s="146">
        <f t="shared" ca="1" si="70"/>
        <v>0</v>
      </c>
      <c r="AJ192" s="101" t="str">
        <f ca="1">IF(ISNA(VLOOKUP($C192,EmpAll,COLUMN(Emp!$L$4),0)),"None!",VLOOKUP($C192,EmpAll,COLUMN(Emp!$L$4),0))</f>
        <v>None!</v>
      </c>
      <c r="AK192" s="147">
        <f t="shared" ca="1" si="80"/>
        <v>17235</v>
      </c>
      <c r="AL192" s="101" t="str">
        <f ca="1">IF(ISNA(VLOOKUP($C192,Employees[],COLUMN(Emp!$M$4),0))=TRUE,"Error!",IF(VLOOKUP($C192,Employees[],COLUMN(Emp!$M$4),0)=0,"Yes",VLOOKUP($C192,Employees[],COLUMN(Emp!$M$4),0)))</f>
        <v>Error!</v>
      </c>
      <c r="AM192" s="148">
        <f t="shared" ca="1" si="71"/>
        <v>0</v>
      </c>
      <c r="AN192" s="148" cm="1">
        <f t="array" aca="1" ref="AN192" ca="1">-IF($F192="Terminated",0,IF($AA192=0,0,IF(ISNA(MATCH(AN$5,PayDedList,0)),0,MIN(IF(COUNTIFS(OverEmp,$C192,OverDeduct,AN$5,OverDate,"&lt;"&amp;DATE(YEAR($AC192),MONTH($AC192)+1,1),OverEnd,"&gt;="&amp;DATE(YEAR($AC192),MONTH($AC192),1))&gt;0,SUMPRODUCT((PayEmp=$C192)*(PayDate&lt;=$AC192)*(OFFSET($N$6,1,MATCH(AN$5,PayDedList,0)-1,PayCount,1)))/$AA192*12*AN$3,IF(OR(AN$1="Fixed",AN$1="Not Used"),SUMPRODUCT((PayEmp=$C192)*(PayDate&lt;=$AC192)*(OFFSET($N$6,1,MATCH(AN$5,PayDedList,0)-1,PayCount,1)))/$AA192*12*AN$3,IF(ISNA(MATCH(AN$1,EarnListItem,0))=FALSE,SUMPRODUCT((PayEmp=$C192)*(PayDate&lt;=$AC192)*(OFFSET($N$6,1,MATCH(AN$5,PayDedList,0)-1,PayCount,1)))/$AA192*12*AN$3,(MIN(((SUMPRODUCT((PayEmp=$C192)*(PayDate&lt;=$AC192)*(ISERROR(SEARCH(PayEarnCode,AN$2)))*(PayEarnType="Monthly")*(PayEarnValues))/$AA192*12)+(SUMPRODUCT((PayEmp=$C192)*(PayDate&lt;=$AC192)*(ISERROR(SEARCH(PayEarnCode,AN$2)))*(PayEarnType="Quarterly")*(PayEarnValues))/MAX(1,ROUNDDOWN($AB192/3,0))*4)+(SUMPRODUCT((PayEmp=$C192)*(PayDate&lt;=$AC192)*(ISERROR(SEARCH(PayEarnCode,AN$2)))*(PayEarnType="Bi-Annual")*(PayEarnValues))/MAX(1,ROUNDDOWN($AB192/6,0))*2)+(SUMPRODUCT((PayEmp=$C192)*(PayDate&lt;=$AC192)*(ISERROR(SEARCH(PayEarnCode,AN$2)))*(PayEarnType="Annual")*(PayEarnValues)))),IF(ISNUMBER(OFFSET($N$3,0,MATCH(AN$5,PayDedList,0)-1,1,1)),OFFSET($N$3,0,MATCH(AN$5,PayDedList,0)-1,1,1),IgnoreMin)))*IF(COUNTIFS(EmpNo,$C192,OFFSET(Emp!$R$4,1,MATCH(AN$5,DedListItem,0)-1,EmpCount,1),"&lt;&gt;")&gt;0,VLOOKUP($C192,EmpAll,COLUMN(Emp!$R$4)+MATCH(AN$5,DedListItem,0)-1,0),OFFSET(Setup!$E$73,MATCH(AN$5,DedListItem,0),0,1,1))*AN$3))),IF(ISNUMBER(AN$4),AN$4,IgnoreMin)))))</f>
        <v>0</v>
      </c>
      <c r="AO192" s="148" cm="1">
        <f t="array" aca="1" ref="AO192" ca="1">-IF($F192="Terminated",0,IF($AA192=0,0,IF(ISNA(MATCH(AO$5,PayDedList,0)),0,MIN(IF(COUNTIFS(OverEmp,$C192,OverDeduct,AO$5,OverDate,"&lt;"&amp;DATE(YEAR($AC192),MONTH($AC192)+1,1),OverEnd,"&gt;="&amp;DATE(YEAR($AC192),MONTH($AC192),1))&gt;0,SUMPRODUCT((PayEmp=$C192)*(PayDate&lt;=$AC192)*(OFFSET($N$6,1,MATCH(AO$5,PayDedList,0)-1,PayCount,1)))/$AA192*12*AO$3,IF(OR(AO$1="Fixed",AO$1="Not Used"),SUMPRODUCT((PayEmp=$C192)*(PayDate&lt;=$AC192)*(OFFSET($N$6,1,MATCH(AO$5,PayDedList,0)-1,PayCount,1)))/$AA192*12*AO$3,IF(ISNA(MATCH(AO$1,EarnListItem,0))=FALSE,SUMPRODUCT((PayEmp=$C192)*(PayDate&lt;=$AC192)*(OFFSET($N$6,1,MATCH(AO$5,PayDedList,0)-1,PayCount,1)))/$AA192*12*AO$3,(MIN(((SUMPRODUCT((PayEmp=$C192)*(PayDate&lt;=$AC192)*(ISERROR(SEARCH(PayEarnCode,AO$2)))*(PayEarnType="Monthly")*(PayEarnValues))/$AA192*12)+(SUMPRODUCT((PayEmp=$C192)*(PayDate&lt;=$AC192)*(ISERROR(SEARCH(PayEarnCode,AO$2)))*(PayEarnType="Quarterly")*(PayEarnValues))/MAX(1,ROUNDDOWN($AB192/3,0))*4)+(SUMPRODUCT((PayEmp=$C192)*(PayDate&lt;=$AC192)*(ISERROR(SEARCH(PayEarnCode,AO$2)))*(PayEarnType="Bi-Annual")*(PayEarnValues))/MAX(1,ROUNDDOWN($AB192/6,0))*2)+(SUMPRODUCT((PayEmp=$C192)*(PayDate&lt;=$AC192)*(ISERROR(SEARCH(PayEarnCode,AO$2)))*(PayEarnType="Annual")*(PayEarnValues)))),IF(ISNUMBER(OFFSET($N$3,0,MATCH(AO$5,PayDedList,0)-1,1,1)),OFFSET($N$3,0,MATCH(AO$5,PayDedList,0)-1,1,1),IgnoreMin)))*IF(COUNTIFS(EmpNo,$C192,OFFSET(Emp!$R$4,1,MATCH(AO$5,DedListItem,0)-1,EmpCount,1),"&lt;&gt;")&gt;0,VLOOKUP($C192,EmpAll,COLUMN(Emp!$R$4)+MATCH(AO$5,DedListItem,0)-1,0),OFFSET(Setup!$E$73,MATCH(AO$5,DedListItem,0),0,1,1))*AO$3))),IF(ISNUMBER(AO$4),AO$4,IgnoreMin)))))</f>
        <v>0</v>
      </c>
      <c r="AP192" s="148" cm="1">
        <f t="array" aca="1" ref="AP192" ca="1">-IF($F192="Terminated",0,IF($AA192=0,0,IF(ISNA(MATCH(AP$5,PayDedList,0)),0,MIN(IF(COUNTIFS(OverEmp,$C192,OverDeduct,AP$5,OverDate,"&lt;"&amp;DATE(YEAR($AC192),MONTH($AC192)+1,1),OverEnd,"&gt;="&amp;DATE(YEAR($AC192),MONTH($AC192),1))&gt;0,SUMPRODUCT((PayEmp=$C192)*(PayDate&lt;=$AC192)*(OFFSET($N$6,1,MATCH(AP$5,PayDedList,0)-1,PayCount,1)))/$AA192*12*AP$3,IF(OR(AP$1="Fixed",AP$1="Not Used"),SUMPRODUCT((PayEmp=$C192)*(PayDate&lt;=$AC192)*(OFFSET($N$6,1,MATCH(AP$5,PayDedList,0)-1,PayCount,1)))/$AA192*12*AP$3,IF(ISNA(MATCH(AP$1,EarnListItem,0))=FALSE,SUMPRODUCT((PayEmp=$C192)*(PayDate&lt;=$AC192)*(OFFSET($N$6,1,MATCH(AP$5,PayDedList,0)-1,PayCount,1)))/$AA192*12*AP$3,(MIN(((SUMPRODUCT((PayEmp=$C192)*(PayDate&lt;=$AC192)*(ISERROR(SEARCH(PayEarnCode,AP$2)))*(PayEarnType="Monthly")*(PayEarnValues))/$AA192*12)+(SUMPRODUCT((PayEmp=$C192)*(PayDate&lt;=$AC192)*(ISERROR(SEARCH(PayEarnCode,AP$2)))*(PayEarnType="Quarterly")*(PayEarnValues))/MAX(1,ROUNDDOWN($AB192/3,0))*4)+(SUMPRODUCT((PayEmp=$C192)*(PayDate&lt;=$AC192)*(ISERROR(SEARCH(PayEarnCode,AP$2)))*(PayEarnType="Bi-Annual")*(PayEarnValues))/MAX(1,ROUNDDOWN($AB192/6,0))*2)+(SUMPRODUCT((PayEmp=$C192)*(PayDate&lt;=$AC192)*(ISERROR(SEARCH(PayEarnCode,AP$2)))*(PayEarnType="Annual")*(PayEarnValues)))),IF(ISNUMBER(OFFSET($N$3,0,MATCH(AP$5,PayDedList,0)-1,1,1)),OFFSET($N$3,0,MATCH(AP$5,PayDedList,0)-1,1,1),IgnoreMin)))*IF(COUNTIFS(EmpNo,$C192,OFFSET(Emp!$R$4,1,MATCH(AP$5,DedListItem,0)-1,EmpCount,1),"&lt;&gt;")&gt;0,VLOOKUP($C192,EmpAll,COLUMN(Emp!$R$4)+MATCH(AP$5,DedListItem,0)-1,0),OFFSET(Setup!$E$73,MATCH(AP$5,DedListItem,0),0,1,1))*AP$3))),IF(ISNUMBER(AP$4),AP$4,IgnoreMin)))))</f>
        <v>0</v>
      </c>
      <c r="AQ192" s="148" cm="1">
        <f t="array" aca="1" ref="AQ192" ca="1">-IF($F192="Terminated",0,IF($AA192=0,0,IF(ISNA(MATCH(AQ$5,PayDedList,0)),0,MIN(IF(COUNTIFS(OverEmp,$C192,OverDeduct,AQ$5,OverDate,"&lt;"&amp;DATE(YEAR($AC192),MONTH($AC192)+1,1),OverEnd,"&gt;="&amp;DATE(YEAR($AC192),MONTH($AC192),1))&gt;0,SUMPRODUCT((PayEmp=$C192)*(PayDate&lt;=$AC192)*(OFFSET($N$6,1,MATCH(AQ$5,PayDedList,0)-1,PayCount,1)))/$AA192*12*AQ$3,IF(OR(AQ$1="Fixed",AQ$1="Not Used"),SUMPRODUCT((PayEmp=$C192)*(PayDate&lt;=$AC192)*(OFFSET($N$6,1,MATCH(AQ$5,PayDedList,0)-1,PayCount,1)))/$AA192*12*AQ$3,IF(ISNA(MATCH(AQ$1,EarnListItem,0))=FALSE,SUMPRODUCT((PayEmp=$C192)*(PayDate&lt;=$AC192)*(OFFSET($N$6,1,MATCH(AQ$5,PayDedList,0)-1,PayCount,1)))/$AA192*12*AQ$3,(MIN(((SUMPRODUCT((PayEmp=$C192)*(PayDate&lt;=$AC192)*(ISERROR(SEARCH(PayEarnCode,AQ$2)))*(PayEarnType="Monthly")*(PayEarnValues))/$AA192*12)+(SUMPRODUCT((PayEmp=$C192)*(PayDate&lt;=$AC192)*(ISERROR(SEARCH(PayEarnCode,AQ$2)))*(PayEarnType="Quarterly")*(PayEarnValues))/MAX(1,ROUNDDOWN($AB192/3,0))*4)+(SUMPRODUCT((PayEmp=$C192)*(PayDate&lt;=$AC192)*(ISERROR(SEARCH(PayEarnCode,AQ$2)))*(PayEarnType="Bi-Annual")*(PayEarnValues))/MAX(1,ROUNDDOWN($AB192/6,0))*2)+(SUMPRODUCT((PayEmp=$C192)*(PayDate&lt;=$AC192)*(ISERROR(SEARCH(PayEarnCode,AQ$2)))*(PayEarnType="Annual")*(PayEarnValues)))),IF(ISNUMBER(OFFSET($N$3,0,MATCH(AQ$5,PayDedList,0)-1,1,1)),OFFSET($N$3,0,MATCH(AQ$5,PayDedList,0)-1,1,1),IgnoreMin)))*IF(COUNTIFS(EmpNo,$C192,OFFSET(Emp!$R$4,1,MATCH(AQ$5,DedListItem,0)-1,EmpCount,1),"&lt;&gt;")&gt;0,VLOOKUP($C192,EmpAll,COLUMN(Emp!$R$4)+MATCH(AQ$5,DedListItem,0)-1,0),OFFSET(Setup!$E$73,MATCH(AQ$5,DedListItem,0),0,1,1))*AQ$3))),IF(ISNUMBER(AQ$4),AQ$4,IgnoreMin)))))</f>
        <v>0</v>
      </c>
      <c r="AR192" s="148">
        <f t="shared" ca="1" si="93"/>
        <v>0</v>
      </c>
      <c r="AS192" s="148">
        <f t="shared" ca="1" si="72"/>
        <v>0</v>
      </c>
      <c r="AT192" s="148" cm="1">
        <f t="array" aca="1" ref="AT192" ca="1">-IF($F192="Terminated",0,IF($AA192=0,0,IF(ISNA(MATCH(AT$5,PayDedList,0)),0,MIN(IF(COUNTIFS(OverEmp,$C192,OverDeduct,AT$5,OverDate,"&lt;"&amp;DATE(YEAR($AC192),MONTH($AC192)+1,1),OverEnd,"&gt;="&amp;DATE(YEAR($AC192),MONTH($AC192),1))&gt;0,SUMPRODUCT((PayEmp=$C192)*(PayDate&lt;=$AC192)*(OFFSET($N$6,1,MATCH(AT$5,PayDedList,0)-1,PayCount,1)))/$AA192*12*AT$3,IF(OR(AT$1="Fixed",AT$1="Not Used"),SUMPRODUCT((PayEmp=$C192)*(PayDate&lt;=$AC192)*(OFFSET($N$6,1,MATCH(AT$5,PayDedList,0)-1,PayCount,1)))/$AA192*12*AT$3,IF(ISNA(MATCH(OFFSET($N$2,0,MATCH(AT$5,PayDedList,0)-1,1,1),EarnListItem,0))=FALSE,SUMPRODUCT((PayEmp=$C192)*(PayDate&lt;=$AC192)*(OFFSET($N$6,1,MATCH(AT$5,PayDedList,0)-1,PayCount,1)))/$AA192*12*AT$3,(MIN(SUMPRODUCT((PayEmp=$C192)*(PayDate&lt;=$AC192)*(ISERROR(SEARCH(PayEarnCode,AT$2)))*(PayEarnType="Monthly")*(PayEarnValues))/$AA192*12,IF(ISNUMBER(OFFSET($N$3,0,MATCH(AT$5,PayDedList,0)-1,1,1)),OFFSET($N$3,0,MATCH(AT$5,PayDedList,0)-1,1,1),IgnoreMin)))*IF(COUNTIFS(EmpNo,$C192,OFFSET(Emp!$R$4,1,MATCH(AT$5,DedListItem,0)-1,EmpCount,1),"&lt;&gt;")&gt;0,VLOOKUP($C192,EmpAll,COLUMN(Emp!$R$4)+MATCH(AT$5,DedListItem,0)-1,0),OFFSET(Setup!$E$73,MATCH(AT$5,DedListItem,0),0,1,1))*AT$3))),IF(ISNUMBER(AT$4),AT$4,IgnoreMin)))))</f>
        <v>0</v>
      </c>
      <c r="AU192" s="148" cm="1">
        <f t="array" aca="1" ref="AU192" ca="1">-IF($F192="Terminated",0,IF($AA192=0,0,IF(ISNA(MATCH(AU$5,PayDedList,0)),0,MIN(IF(COUNTIFS(OverEmp,$C192,OverDeduct,AU$5,OverDate,"&lt;"&amp;DATE(YEAR($AC192),MONTH($AC192)+1,1),OverEnd,"&gt;="&amp;DATE(YEAR($AC192),MONTH($AC192),1))&gt;0,SUMPRODUCT((PayEmp=$C192)*(PayDate&lt;=$AC192)*(OFFSET($N$6,1,MATCH(AU$5,PayDedList,0)-1,PayCount,1)))/$AA192*12*AU$3,IF(OR(AU$1="Fixed",AU$1="Not Used"),SUMPRODUCT((PayEmp=$C192)*(PayDate&lt;=$AC192)*(OFFSET($N$6,1,MATCH(AU$5,PayDedList,0)-1,PayCount,1)))/$AA192*12*AU$3,IF(ISNA(MATCH(OFFSET($N$2,0,MATCH(AU$5,PayDedList,0)-1,1,1),EarnListItem,0))=FALSE,SUMPRODUCT((PayEmp=$C192)*(PayDate&lt;=$AC192)*(OFFSET($N$6,1,MATCH(AU$5,PayDedList,0)-1,PayCount,1)))/$AA192*12*AU$3,(MIN(SUMPRODUCT((PayEmp=$C192)*(PayDate&lt;=$AC192)*(ISERROR(SEARCH(PayEarnCode,AU$2)))*(PayEarnType="Monthly")*(PayEarnValues))/$AA192*12,IF(ISNUMBER(OFFSET($N$3,0,MATCH(AU$5,PayDedList,0)-1,1,1)),OFFSET($N$3,0,MATCH(AU$5,PayDedList,0)-1,1,1),IgnoreMin)))*IF(COUNTIFS(EmpNo,$C192,OFFSET(Emp!$R$4,1,MATCH(AU$5,DedListItem,0)-1,EmpCount,1),"&lt;&gt;")&gt;0,VLOOKUP($C192,EmpAll,COLUMN(Emp!$R$4)+MATCH(AU$5,DedListItem,0)-1,0),OFFSET(Setup!$E$73,MATCH(AU$5,DedListItem,0),0,1,1))*AU$3))),IF(ISNUMBER(AU$4),AU$4,IgnoreMin)))))</f>
        <v>0</v>
      </c>
      <c r="AV192" s="148" cm="1">
        <f t="array" aca="1" ref="AV192" ca="1">-IF($F192="Terminated",0,IF($AA192=0,0,IF(ISNA(MATCH(AV$5,PayDedList,0)),0,MIN(IF(COUNTIFS(OverEmp,$C192,OverDeduct,AV$5,OverDate,"&lt;"&amp;DATE(YEAR($AC192),MONTH($AC192)+1,1),OverEnd,"&gt;="&amp;DATE(YEAR($AC192),MONTH($AC192),1))&gt;0,SUMPRODUCT((PayEmp=$C192)*(PayDate&lt;=$AC192)*(OFFSET($N$6,1,MATCH(AV$5,PayDedList,0)-1,PayCount,1)))/$AA192*12*AV$3,IF(OR(AV$1="Fixed",AV$1="Not Used"),SUMPRODUCT((PayEmp=$C192)*(PayDate&lt;=$AC192)*(OFFSET($N$6,1,MATCH(AV$5,PayDedList,0)-1,PayCount,1)))/$AA192*12*AV$3,IF(ISNA(MATCH(OFFSET($N$2,0,MATCH(AV$5,PayDedList,0)-1,1,1),EarnListItem,0))=FALSE,SUMPRODUCT((PayEmp=$C192)*(PayDate&lt;=$AC192)*(OFFSET($N$6,1,MATCH(AV$5,PayDedList,0)-1,PayCount,1)))/$AA192*12*AV$3,(MIN(SUMPRODUCT((PayEmp=$C192)*(PayDate&lt;=$AC192)*(ISERROR(SEARCH(PayEarnCode,AV$2)))*(PayEarnType="Monthly")*(PayEarnValues))/$AA192*12,IF(ISNUMBER(OFFSET($N$3,0,MATCH(AV$5,PayDedList,0)-1,1,1)),OFFSET($N$3,0,MATCH(AV$5,PayDedList,0)-1,1,1),IgnoreMin)))*IF(COUNTIFS(EmpNo,$C192,OFFSET(Emp!$R$4,1,MATCH(AV$5,DedListItem,0)-1,EmpCount,1),"&lt;&gt;")&gt;0,VLOOKUP($C192,EmpAll,COLUMN(Emp!$R$4)+MATCH(AV$5,DedListItem,0)-1,0),OFFSET(Setup!$E$73,MATCH(AV$5,DedListItem,0),0,1,1))*AV$3))),IF(ISNUMBER(AV$4),AV$4,IgnoreMin)))))</f>
        <v>0</v>
      </c>
      <c r="AW192" s="148" cm="1">
        <f t="array" aca="1" ref="AW192" ca="1">-IF($F192="Terminated",0,IF($AA192=0,0,IF(ISNA(MATCH(AW$5,PayDedList,0)),0,MIN(IF(COUNTIFS(OverEmp,$C192,OverDeduct,AW$5,OverDate,"&lt;"&amp;DATE(YEAR($AC192),MONTH($AC192)+1,1),OverEnd,"&gt;="&amp;DATE(YEAR($AC192),MONTH($AC192),1))&gt;0,SUMPRODUCT((PayEmp=$C192)*(PayDate&lt;=$AC192)*(OFFSET($N$6,1,MATCH(AW$5,PayDedList,0)-1,PayCount,1)))/$AA192*12*AW$3,IF(OR(AW$1="Fixed",AW$1="Not Used"),SUMPRODUCT((PayEmp=$C192)*(PayDate&lt;=$AC192)*(OFFSET($N$6,1,MATCH(AW$5,PayDedList,0)-1,PayCount,1)))/$AA192*12*AW$3,IF(ISNA(MATCH(OFFSET($N$2,0,MATCH(AW$5,PayDedList,0)-1,1,1),EarnListItem,0))=FALSE,SUMPRODUCT((PayEmp=$C192)*(PayDate&lt;=$AC192)*(OFFSET($N$6,1,MATCH(AW$5,PayDedList,0)-1,PayCount,1)))/$AA192*12*AW$3,(MIN(SUMPRODUCT((PayEmp=$C192)*(PayDate&lt;=$AC192)*(ISERROR(SEARCH(PayEarnCode,AW$2)))*(PayEarnType="Monthly")*(PayEarnValues))/$AA192*12,IF(ISNUMBER(OFFSET($N$3,0,MATCH(AW$5,PayDedList,0)-1,1,1)),OFFSET($N$3,0,MATCH(AW$5,PayDedList,0)-1,1,1),IgnoreMin)))*IF(COUNTIFS(EmpNo,$C192,OFFSET(Emp!$R$4,1,MATCH(AW$5,DedListItem,0)-1,EmpCount,1),"&lt;&gt;")&gt;0,VLOOKUP($C192,EmpAll,COLUMN(Emp!$R$4)+MATCH(AW$5,DedListItem,0)-1,0),OFFSET(Setup!$E$73,MATCH(AW$5,DedListItem,0),0,1,1))*AW$3))),IF(ISNUMBER(AW$4),AW$4,IgnoreMin)))))</f>
        <v>0</v>
      </c>
      <c r="AX192" s="148">
        <f t="shared" ca="1" si="88"/>
        <v>0</v>
      </c>
      <c r="AY192" s="148">
        <f t="shared" ca="1" si="89"/>
        <v>0</v>
      </c>
      <c r="AZ192" s="148">
        <f ca="1">IF(ISNUMBER($AL192),($AR192*$AL192)-$AI192-$AK192,MAX(0,IF($AL192="B",IF($AR192&lt;Setup!$C$32,($AR192*Setup!$D$32)-$AI192-$AK192,(($AR192-VLOOKUP($AR192,TaxAll2,1,1))*OFFSET(Setup!$D$32,MATCH($AR192,TaxBracket2,1),0,1,1))+OFFSET(Setup!$E$31,MATCH($AR192,TaxBracket2,1),0,1,1)-$AI192-$AK192),IF($AR192&lt;Setup!$C$21,($AR192*Setup!$D$21)-$AI192-$AK192,(($AR192-VLOOKUP($AR192,TaxAll1,1,1))*OFFSET(Setup!$D$21,MATCH($AR192,TaxBracket1,1),0,1,1))+OFFSET(Setup!$E$20,MATCH($AR192,TaxBracket1,1),0,1,1)-$AI192-$AK192))))</f>
        <v>0</v>
      </c>
      <c r="BA192" s="148">
        <f ca="1">IF(ISNUMBER($AL192),($AX192*$AL192)-$AI192-$AK192,MAX(0,IF($AL192="B",IF($AX192&lt;Setup!$C$32,($AX192*Setup!$D$32)-$AI192-$AK192,(($AX192-VLOOKUP($AX192,TaxAll2,1,1))*OFFSET(Setup!$D$32,MATCH($AX192,TaxBracket2,1),0,1,1))+OFFSET(Setup!$E$31,MATCH($AX192,TaxBracket2,1),0,1,1)-$AI192-$AK192),IF($AX192&lt;Setup!$C$21,($AX192*Setup!$D$21)-$AI192-$AK192,(($AX192-VLOOKUP($AX192,TaxAll1,1,1))*OFFSET(Setup!$D$21,MATCH($AX192,TaxBracket1,1),0,1,1))+OFFSET(Setup!$E$20,MATCH($AX192,TaxBracket1,1),0,1,1)-$AI192-$AK192))))</f>
        <v>0</v>
      </c>
      <c r="BB192" s="148">
        <f t="shared" ca="1" si="94"/>
        <v>0</v>
      </c>
      <c r="BC192" s="150">
        <f t="shared" ca="1" si="75"/>
        <v>0</v>
      </c>
      <c r="BD192" s="150">
        <f t="shared" ca="1" si="76"/>
        <v>0</v>
      </c>
      <c r="BE192" s="148">
        <f t="shared" ca="1" si="77"/>
        <v>0</v>
      </c>
    </row>
    <row r="193" spans="1:57" ht="16.149999999999999" customHeight="1" x14ac:dyDescent="0.25">
      <c r="A193" s="10" t="str" cm="1">
        <f t="array" ref="A193">IF(ROW($A193)-ROW($A$6)&gt;EmpCount*12,"-",TEXT($B193,"yyyy")&amp;TEXT($B193,"mm")&amp;"-"&amp;$C193)</f>
        <v>-</v>
      </c>
      <c r="B193" s="137" cm="1">
        <f t="array" aca="1" ref="B193" ca="1">IF(ROW($A193)-ROW($A$6)&gt;EmpCount*12,Setup!$D$12,DATE(YEAR(Setup!$F$12),MONTH(Setup!$F$12)+ROUNDDOWN((ROW($A193)-ROW($A$6)-1)/EmpCount,0),IF(Setup!$C$14&gt;DAY(DATE(YEAR(Setup!$F$12),MONTH(Setup!$F$12)+ROUNDDOWN((ROW($A193)-ROW($A$6)-1)/EmpCount,0)+1,0)),DAY(DATE(YEAR(Setup!$F$12),MONTH(Setup!$F$12)+ROUNDDOWN((ROW($A193)-ROW($A$6)-1)/EmpCount,0)+1,0)),Setup!$C$14)))</f>
        <v>45351</v>
      </c>
      <c r="C193" s="101" t="str" cm="1">
        <f t="array" aca="1" ref="C193" ca="1">IF(ROW($A193)-ROW($A$6)&gt;EmpCount*12,"-",OFFSET(Emp!$A$4,ROW($A193)-ROW($A$6)-IF(ROW($A193)-ROW($A$6)&gt;EmpCount,ROUNDDOWN((ROW($A193)-ROW($A$6)-1)/EmpCount,0)*EmpCount,0),0,1,1))</f>
        <v>-</v>
      </c>
      <c r="D193" s="10" t="str">
        <f ca="1">IF(ISNA(VLOOKUP($C193,EmpAll,COLUMN(Emp!$B$4),0)),"-",VLOOKUP($C193,EmpAll,COLUMN(Emp!$B$4),0))</f>
        <v>-</v>
      </c>
      <c r="E193" s="145" t="str">
        <f ca="1">IF(ISNA(VLOOKUP($C193,EmpAll,COLUMN(Emp!$C$4),0)),"-",VLOOKUP($C193,EmpAll,COLUMN(Emp!$C$4),0))</f>
        <v>-</v>
      </c>
      <c r="F193" s="101" t="str">
        <f ca="1">IF(ISNA(VLOOKUP($C193,EmpAll,COLUMN(Emp!$A$4),0)),"-",IF(AND(VLOOKUP($C193,EmpAll,COLUMN(Emp!$E$4),0)&lt;&gt;0,VLOOKUP($C193,EmpAll,COLUMN(Emp!$E$4),0)&gt;=DATE(YEAR($AC193),MONTH($AC193)+1,0)),"Inactive",IF(AND(VLOOKUP($C193,EmpAll,COLUMN(Emp!$F$4),0)&lt;&gt;0,VLOOKUP($C193,EmpAll,COLUMN(Emp!$F$4),0)&lt;=DATE(YEAR($AC193),MONTH($AC193),0)),"Terminated","Active")))</f>
        <v>-</v>
      </c>
      <c r="G193" s="133" cm="1">
        <f t="array" aca="1" ref="G193" ca="1">IF($F193&lt;&gt;"Active",0,IF(COUNTIFS(OverEmp,$C193,OverEarn,G$2,OverDate,"&lt;"&amp;DATE(YEAR($AC193),MONTH($AC193)+1,1),OverEnd,"&gt;="&amp;DATE(YEAR($AC193),MONTH($AC193),1))&gt;0,SUMIFS(OverValue,OverEmp,$C193,OverEarn,G$2,OverDate,"&lt;"&amp;DATE(YEAR($AC193),MONTH($AC193)+1,1),OverEnd,"&gt;="&amp;DATE(YEAR($AC193),MONTH($AC193),1)),IF(AND($AC193&gt;=Setup!$E$10,SUMIFS(EmpIncrease,EmpCode,$C193)&gt;0),SUMIFS(EmpIncrease,EmpCode,$C193),SUMIFS(EmpSalary,EmpCode,$C193))))</f>
        <v>0</v>
      </c>
      <c r="H193" s="133" cm="1">
        <f t="array" aca="1" ref="H193" ca="1">IF($F193&lt;&gt;"Active",0,IF(COUNTIFS(OverEmp,$C193,OverEarn,H$2,OverDate,"&lt;"&amp;DATE(YEAR($AC193),MONTH($AC193)+1,1),OverEnd,"&gt;="&amp;DATE(YEAR($AC193),MONTH($AC193),1))&gt;0,SUMIFS(OverValue,OverEmp,$C193,OverEarn,H$2,OverDate,"&lt;"&amp;DATE(YEAR($AC193),MONTH($AC193)+1,1),OverEnd,"&gt;="&amp;DATE(YEAR($AC193),MONTH($AC193),1)),0))</f>
        <v>0</v>
      </c>
      <c r="I193" s="133" cm="1">
        <f t="array" aca="1" ref="I193" ca="1">IF($F193&lt;&gt;"Active",0,IF(COUNTIFS(OverEmp,$C193,OverEarn,I$2,OverDate,"&lt;"&amp;DATE(YEAR($AC193),MONTH($AC193)+1,1),OverEnd,"&gt;="&amp;DATE(YEAR($AC193),MONTH($AC193),1))&gt;0,SUMIFS(OverValue,OverEmp,$C193,OverEarn,I$2,OverDate,"&lt;"&amp;DATE(YEAR($AC193),MONTH($AC193)+1,1),OverEnd,"&gt;="&amp;DATE(YEAR($AC193),MONTH($AC193),1)),IF(MONTH(B193)=Setup!$C$15,SUMIFS(EmpBonus,EmpCode,$C193),0)))</f>
        <v>0</v>
      </c>
      <c r="J193" s="133" cm="1">
        <f t="array" aca="1" ref="J193" ca="1">IF($F193&lt;&gt;"Active",0,IF(COUNTIFS(OverEmp,$C193,OverEarn,J$2,OverDate,"&lt;"&amp;DATE(YEAR($AC193),MONTH($AC193)+1,1),OverEnd,"&gt;="&amp;DATE(YEAR($AC193),MONTH($AC193),1))&gt;0,SUMIFS(OverValue,OverEmp,$C193,OverEarn,J$2,OverDate,"&lt;"&amp;DATE(YEAR($AC193),MONTH($AC193)+1,1),OverEnd,"&gt;="&amp;DATE(YEAR($AC193),MONTH($AC193),1)),0))</f>
        <v>0</v>
      </c>
      <c r="K193" s="133" cm="1">
        <f t="array" aca="1" ref="K193" ca="1">IF($F193&lt;&gt;"Active",0,IF(COUNTIFS(OverEmp,$C193,OverEarn,K$2,OverDate,"&lt;"&amp;DATE(YEAR($AC193),MONTH($AC193)+1,1),OverEnd,"&gt;="&amp;DATE(YEAR($AC193),MONTH($AC193),1))&gt;0,SUMIFS(OverValue,OverEmp,$C193,OverEarn,K$2,OverDate,"&lt;"&amp;DATE(YEAR($AC193),MONTH($AC193)+1,1),OverEnd,"&gt;="&amp;DATE(YEAR($AC193),MONTH($AC193),1)),0))</f>
        <v>0</v>
      </c>
      <c r="L193" s="185">
        <f t="shared" ca="1" si="84"/>
        <v>0</v>
      </c>
      <c r="M193" s="182" cm="1">
        <f t="array" aca="1" ref="M193" ca="1">IF(COUNTIFS(OverEmp,$C193,OverTax,M$5,OverDate,"&lt;"&amp;DATE(YEAR($AC193),MONTH($AC193)+1,1),OverEnd,"&gt;="&amp;DATE(YEAR($AC193),MONTH($AC193),1))&gt;0,SUMIFS(OverValue,OverEmp,$C193,OverTax,M$5,OverDate,"&lt;"&amp;DATE(YEAR($AC193),MONTH($AC193)+1,1),OverEnd,"&gt;="&amp;DATE(YEAR($AC193),MONTH($AC193),1)),(($BA193/12*$AA193)+(BB193*IF(1-$BC193=0,0,BD193/(1-$BC193))))-IF($F193="Terminated",0,SUMIFS(PayTaxDeduct,PayDate,"&lt;"&amp;$AC193,PayEmp,$C193)))</f>
        <v>0</v>
      </c>
      <c r="N193" s="133" cm="1">
        <f t="array" aca="1" ref="N193" ca="1">IF($F193="Terminated",0,IF($AA193=0,0,IF(ISNA(MATCH(N$5,DedListItem,0)),0,IF(COUNTIFS(OverEmp,$C193,OverDeduct,N$5,OverDate,"&lt;"&amp;DATE(YEAR($AC193),MONTH($AC193)+1,1),OverEnd,"&gt;="&amp;DATE(YEAR($AC193),MONTH($AC193),1))&gt;0,SUMIFS(OverValue,OverEmp,$C193,OverDeduct,N$5,OverDate,"&lt;"&amp;DATE(YEAR($AC193),MONTH($AC193)+1,1),OverEnd,"&gt;="&amp;DATE(YEAR($AC193),MONTH($AC193),1)),IF(OR(N$2="Fixed",N$2="Not Used"),(IF(COUNTIFS(EmpNo,$C193,OFFSET(Emp!$R$4,1,MATCH(N$5,DedListItem,0)-1,EmpCount,1),"&lt;&gt;")&gt;0,VLOOKUP($C193,EmpAll,COLUMN(Emp!$R$4)+MATCH(N$5,DedListItem,0)-1,0),OFFSET(Setup!$E$73,MATCH(N$5,DedListItem,0),0,1,1))*$AA193)-SUMIFS(OFFSET(N$6,1,0,PayCount,1),PayDate,"&lt;"&amp;$AC193,PayEmp,$C193),IF(ISNA(MATCH(N$2,EarnListItem,0))=FALSE,IF(OFFSET(Setup!$G$73,MATCH(N$5,DedListItem,0),0,1,1)="Taxable",SUMPRODUCT((PayEmp=$C193)*(PayDate&lt;=$AC193)*(PayEarnCode=N$2)*(PayEarnTax)*(PayEarnValues)),SUMPRODUCT((PayEmp=$C193)*(PayDate&lt;=$AC193)*(PayEarnCode=N$2)*(PayEarnValues)))*IF(COUNTIFS(EmpNo,$C193,OFFSET(Emp!$R$4,1,MATCH(N$5,DedListItem,0)-1,EmpCount,1),"&lt;&gt;")&gt;0,VLOOKUP($C193,EmpAll,COLUMN(Emp!$R$4)+MATCH(N$5,DedListItem,0)-1,0),OFFSET(Setup!$E$73,MATCH(N$5,DedListItem,0),0,1,1)),(MIN(IF(OFFSET(Setup!$G$73,MATCH(N$5,DedListItem,0),0,1,1)="Taxable",SUMPRODUCT((PayEmp=$C193)*(PayDate&lt;=$AC193)*(ISERROR(SEARCH(PayEarnCode,N$4)))*(PayEarnTax)*(PayEarnValues)),SUMPRODUCT((PayEmp=$C193)*(PayDate&lt;=$AC193)*(ISERROR(SEARCH(PayEarnCode,N$4)))*(PayEarnValues))),IF(ISNUMBER(N$3),N$3/12*$AA193,IgnoreMin)))*IF(COUNTIFS(EmpNo,$C193,OFFSET(Emp!$R$4,1,MATCH(N$5,DedListItem,0)-1,EmpCount,1),"&lt;&gt;")&gt;0,VLOOKUP($C193,EmpAll,COLUMN(Emp!$R$4)+MATCH(N$5,DedListItem,0)-1,0),OFFSET(Setup!$E$73,MATCH(N$5,DedListItem,0),0,1,1)))-SUMIFS(OFFSET(N$6,1,0,PayCount,1),PayDate,"&lt;"&amp;$AC193,PayEmp,$C193))))))</f>
        <v>0</v>
      </c>
      <c r="O193" s="133" cm="1">
        <f t="array" aca="1" ref="O193" ca="1">IF($F193="Terminated",0,IF($AA193=0,0,IF(ISNA(MATCH(O$5,DedListItem,0)),0,IF(COUNTIFS(OverEmp,$C193,OverDeduct,O$5,OverDate,"&lt;"&amp;DATE(YEAR($AC193),MONTH($AC193)+1,1),OverEnd,"&gt;="&amp;DATE(YEAR($AC193),MONTH($AC193),1))&gt;0,SUMIFS(OverValue,OverEmp,$C193,OverDeduct,O$5,OverDate,"&lt;"&amp;DATE(YEAR($AC193),MONTH($AC193)+1,1),OverEnd,"&gt;="&amp;DATE(YEAR($AC193),MONTH($AC193),1)),IF(OR(O$2="Fixed",O$2="Not Used"),(IF(COUNTIFS(EmpNo,$C193,OFFSET(Emp!$R$4,1,MATCH(O$5,DedListItem,0)-1,EmpCount,1),"&lt;&gt;")&gt;0,VLOOKUP($C193,EmpAll,COLUMN(Emp!$R$4)+MATCH(O$5,DedListItem,0)-1,0),OFFSET(Setup!$E$73,MATCH(O$5,DedListItem,0),0,1,1))*$AA193)-SUMIFS(OFFSET(O$6,1,0,PayCount,1),PayDate,"&lt;"&amp;$AC193,PayEmp,$C193),IF(ISNA(MATCH(O$2,EarnListItem,0))=FALSE,IF(OFFSET(Setup!$G$73,MATCH(O$5,DedListItem,0),0,1,1)="Taxable",SUMPRODUCT((PayEmp=$C193)*(PayDate&lt;=$AC193)*(PayEarnCode=O$2)*(PayEarnTax)*(PayEarnValues)),SUMPRODUCT((PayEmp=$C193)*(PayDate&lt;=$AC193)*(PayEarnCode=O$2)*(PayEarnValues)))*IF(COUNTIFS(EmpNo,$C193,OFFSET(Emp!$R$4,1,MATCH(O$5,DedListItem,0)-1,EmpCount,1),"&lt;&gt;")&gt;0,VLOOKUP($C193,EmpAll,COLUMN(Emp!$R$4)+MATCH(O$5,DedListItem,0)-1,0),OFFSET(Setup!$E$73,MATCH(O$5,DedListItem,0),0,1,1)),(MIN(IF(OFFSET(Setup!$G$73,MATCH(O$5,DedListItem,0),0,1,1)="Taxable",SUMPRODUCT((PayEmp=$C193)*(PayDate&lt;=$AC193)*(ISERROR(SEARCH(PayEarnCode,O$4)))*(PayEarnTax)*(PayEarnValues)),SUMPRODUCT((PayEmp=$C193)*(PayDate&lt;=$AC193)*(ISERROR(SEARCH(PayEarnCode,O$4)))*(PayEarnValues))),IF(ISNUMBER(O$3),O$3/12*$AA193,IgnoreMin)))*IF(COUNTIFS(EmpNo,$C193,OFFSET(Emp!$R$4,1,MATCH(O$5,DedListItem,0)-1,EmpCount,1),"&lt;&gt;")&gt;0,VLOOKUP($C193,EmpAll,COLUMN(Emp!$R$4)+MATCH(O$5,DedListItem,0)-1,0),OFFSET(Setup!$E$73,MATCH(O$5,DedListItem,0),0,1,1)))-SUMIFS(OFFSET(O$6,1,0,PayCount,1),PayDate,"&lt;"&amp;$AC193,PayEmp,$C193))))))</f>
        <v>0</v>
      </c>
      <c r="P193" s="133" cm="1">
        <f t="array" aca="1" ref="P193" ca="1">IF($F193="Terminated",0,IF($AA193=0,0,IF(ISNA(MATCH(P$5,DedListItem,0)),0,IF(COUNTIFS(OverEmp,$C193,OverDeduct,P$5,OverDate,"&lt;"&amp;DATE(YEAR($AC193),MONTH($AC193)+1,1),OverEnd,"&gt;="&amp;DATE(YEAR($AC193),MONTH($AC193),1))&gt;0,SUMIFS(OverValue,OverEmp,$C193,OverDeduct,P$5,OverDate,"&lt;"&amp;DATE(YEAR($AC193),MONTH($AC193)+1,1),OverEnd,"&gt;="&amp;DATE(YEAR($AC193),MONTH($AC193),1)),IF(OR(P$2="Fixed",P$2="Not Used"),(IF(COUNTIFS(EmpNo,$C193,OFFSET(Emp!$R$4,1,MATCH(P$5,DedListItem,0)-1,EmpCount,1),"&lt;&gt;")&gt;0,VLOOKUP($C193,EmpAll,COLUMN(Emp!$R$4)+MATCH(P$5,DedListItem,0)-1,0),OFFSET(Setup!$E$73,MATCH(P$5,DedListItem,0),0,1,1))*$AA193)-SUMIFS(OFFSET(P$6,1,0,PayCount,1),PayDate,"&lt;"&amp;$AC193,PayEmp,$C193),IF(ISNA(MATCH(P$2,EarnListItem,0))=FALSE,IF(OFFSET(Setup!$G$73,MATCH(P$5,DedListItem,0),0,1,1)="Taxable",SUMPRODUCT((PayEmp=$C193)*(PayDate&lt;=$AC193)*(PayEarnCode=P$2)*(PayEarnTax)*(PayEarnValues)),SUMPRODUCT((PayEmp=$C193)*(PayDate&lt;=$AC193)*(PayEarnCode=P$2)*(PayEarnValues)))*IF(COUNTIFS(EmpNo,$C193,OFFSET(Emp!$R$4,1,MATCH(P$5,DedListItem,0)-1,EmpCount,1),"&lt;&gt;")&gt;0,VLOOKUP($C193,EmpAll,COLUMN(Emp!$R$4)+MATCH(P$5,DedListItem,0)-1,0),OFFSET(Setup!$E$73,MATCH(P$5,DedListItem,0),0,1,1)),(MIN(IF(OFFSET(Setup!$G$73,MATCH(P$5,DedListItem,0),0,1,1)="Taxable",SUMPRODUCT((PayEmp=$C193)*(PayDate&lt;=$AC193)*(ISERROR(SEARCH(PayEarnCode,P$4)))*(PayEarnTax)*(PayEarnValues)),SUMPRODUCT((PayEmp=$C193)*(PayDate&lt;=$AC193)*(ISERROR(SEARCH(PayEarnCode,P$4)))*(PayEarnValues))),IF(ISNUMBER(P$3),P$3/12*$AA193,IgnoreMin)))*IF(COUNTIFS(EmpNo,$C193,OFFSET(Emp!$R$4,1,MATCH(P$5,DedListItem,0)-1,EmpCount,1),"&lt;&gt;")&gt;0,VLOOKUP($C193,EmpAll,COLUMN(Emp!$R$4)+MATCH(P$5,DedListItem,0)-1,0),OFFSET(Setup!$E$73,MATCH(P$5,DedListItem,0),0,1,1)))-SUMIFS(OFFSET(P$6,1,0,PayCount,1),PayDate,"&lt;"&amp;$AC193,PayEmp,$C193))))))</f>
        <v>0</v>
      </c>
      <c r="Q193" s="133" cm="1">
        <f t="array" aca="1" ref="Q193" ca="1">IF($F193="Terminated",0,IF($AA193=0,0,IF(ISNA(MATCH(Q$5,DedListItem,0)),0,IF(COUNTIFS(OverEmp,$C193,OverDeduct,Q$5,OverDate,"&lt;"&amp;DATE(YEAR($AC193),MONTH($AC193)+1,1),OverEnd,"&gt;="&amp;DATE(YEAR($AC193),MONTH($AC193),1))&gt;0,SUMIFS(OverValue,OverEmp,$C193,OverDeduct,Q$5,OverDate,"&lt;"&amp;DATE(YEAR($AC193),MONTH($AC193)+1,1),OverEnd,"&gt;="&amp;DATE(YEAR($AC193),MONTH($AC193),1)),IF(OR(Q$2="Fixed",Q$2="Not Used"),(IF(COUNTIFS(EmpNo,$C193,OFFSET(Emp!$R$4,1,MATCH(Q$5,DedListItem,0)-1,EmpCount,1),"&lt;&gt;")&gt;0,VLOOKUP($C193,EmpAll,COLUMN(Emp!$R$4)+MATCH(Q$5,DedListItem,0)-1,0),OFFSET(Setup!$E$73,MATCH(Q$5,DedListItem,0),0,1,1))*$AA193)-SUMIFS(OFFSET(Q$6,1,0,PayCount,1),PayDate,"&lt;"&amp;$AC193,PayEmp,$C193),IF(ISNA(MATCH(Q$2,EarnListItem,0))=FALSE,IF(OFFSET(Setup!$G$73,MATCH(Q$5,DedListItem,0),0,1,1)="Taxable",SUMPRODUCT((PayEmp=$C193)*(PayDate&lt;=$AC193)*(PayEarnCode=Q$2)*(PayEarnTax)*(PayEarnValues)),SUMPRODUCT((PayEmp=$C193)*(PayDate&lt;=$AC193)*(PayEarnCode=Q$2)*(PayEarnValues)))*IF(COUNTIFS(EmpNo,$C193,OFFSET(Emp!$R$4,1,MATCH(Q$5,DedListItem,0)-1,EmpCount,1),"&lt;&gt;")&gt;0,VLOOKUP($C193,EmpAll,COLUMN(Emp!$R$4)+MATCH(Q$5,DedListItem,0)-1,0),OFFSET(Setup!$E$73,MATCH(Q$5,DedListItem,0),0,1,1)),(MIN(IF(OFFSET(Setup!$G$73,MATCH(Q$5,DedListItem,0),0,1,1)="Taxable",SUMPRODUCT((PayEmp=$C193)*(PayDate&lt;=$AC193)*(ISERROR(SEARCH(PayEarnCode,Q$4)))*(PayEarnTax)*(PayEarnValues)),SUMPRODUCT((PayEmp=$C193)*(PayDate&lt;=$AC193)*(ISERROR(SEARCH(PayEarnCode,Q$4)))*(PayEarnValues))),IF(ISNUMBER(Q$3),Q$3/12*$AA193,IgnoreMin)))*IF(COUNTIFS(EmpNo,$C193,OFFSET(Emp!$R$4,1,MATCH(Q$5,DedListItem,0)-1,EmpCount,1),"&lt;&gt;")&gt;0,VLOOKUP($C193,EmpAll,COLUMN(Emp!$R$4)+MATCH(Q$5,DedListItem,0)-1,0),OFFSET(Setup!$E$73,MATCH(Q$5,DedListItem,0),0,1,1)))-SUMIFS(OFFSET(Q$6,1,0,PayCount,1),PayDate,"&lt;"&amp;$AC193,PayEmp,$C193))))))</f>
        <v>0</v>
      </c>
      <c r="R193" s="185">
        <f t="shared" ca="1" si="85"/>
        <v>0</v>
      </c>
      <c r="S193" s="139">
        <f t="shared" ca="1" si="86"/>
        <v>0</v>
      </c>
      <c r="T193" s="133" cm="1">
        <f t="array" aca="1" ref="T193" ca="1">IF($F193="Terminated",0,IF($AA193=0,0,IF(ISNA(MATCH(T$5,CompListItem,0)),0,IF(COUNTIFS(OverEmp,$C193,OverComp,T$5,OverDate,"&lt;"&amp;DATE(YEAR($AC193),MONTH($AC193)+1,1),OverEnd,"&gt;="&amp;DATE(YEAR($AC193),MONTH($AC193),1))&gt;0,SUMIFS(OverValue,OverEmp,$C193,OverComp,T$5,OverDate,"&lt;"&amp;DATE(YEAR($AC193),MONTH($AC193)+1,1),OverEnd,"&gt;="&amp;DATE(YEAR($AC193),MONTH($AC193),1)),IF(OR(T$2="Fixed",T$2="Not Used"),(OFFSET(Setup!$E$81,MATCH(T$5,CompListItem,0),0,1,1)*$AA193)-SUMIFS(OFFSET(T$6,1,0,PayCount,1),PayDate,"&lt;"&amp;$AC193,PayEmp,$C193),IF(ISNA(MATCH(T$2,DedListItem,0))=FALSE,(SUMPRODUCT((PayEmp=$C193)*(PayDate&lt;=$AC193)*(PayDedList=T$2)*(PayDedValues))*OFFSET(Setup!$E$81,MATCH(T$5,CompListItem,0),0,1,1))-SUMIFS(OFFSET(T$6,1,0,PayCount,1),PayDate,"&lt;"&amp;$AC193,PayEmp,$C193),(MIN(IF(OFFSET(Setup!$G$81,MATCH(T$5,CompListItem,0),0,1,1)="Taxable",SUMPRODUCT((PayEmp=$C193)*(PayDate&lt;=$AC193)*(ISERROR(SEARCH(PayEarnCode,T$4)))*(PayEarnTax)*(PayEarnValues)),SUMPRODUCT((PayEmp=$C193)*(PayDate&lt;=$AC193)*(ISERROR(SEARCH(PayEarnCode,T$4)))*(PayEarnValues))),IF(ISNUMBER(T$3),T$3/12*$AA193,IgnoreMin)))*OFFSET(Setup!$E$81,MATCH(T$5,CompListItem,0),0,1,1)-SUMIFS(OFFSET(T$6,1,0,PayCount,1),PayDate,"&lt;"&amp;$AC193,PayEmp,$C193)))))))</f>
        <v>0</v>
      </c>
      <c r="U193" s="133" cm="1">
        <f t="array" aca="1" ref="U193" ca="1">IF($F193="Terminated",0,IF($AA193=0,0,IF(ISNA(MATCH(U$5,CompListItem,0)),0,IF(COUNTIFS(OverEmp,$C193,OverComp,U$5,OverDate,"&lt;"&amp;DATE(YEAR($AC193),MONTH($AC193)+1,1),OverEnd,"&gt;="&amp;DATE(YEAR($AC193),MONTH($AC193),1))&gt;0,SUMIFS(OverValue,OverEmp,$C193,OverComp,U$5,OverDate,"&lt;"&amp;DATE(YEAR($AC193),MONTH($AC193)+1,1),OverEnd,"&gt;="&amp;DATE(YEAR($AC193),MONTH($AC193),1)),IF(OR(U$2="Fixed",U$2="Not Used"),(OFFSET(Setup!$E$81,MATCH(U$5,CompListItem,0),0,1,1)*$AA193)-SUMIFS(OFFSET(U$6,1,0,PayCount,1),PayDate,"&lt;"&amp;$AC193,PayEmp,$C193),IF(ISNA(MATCH(U$2,DedListItem,0))=FALSE,(SUMPRODUCT((PayEmp=$C193)*(PayDate&lt;=$AC193)*(PayDedList=U$2)*(PayDedValues))*OFFSET(Setup!$E$81,MATCH(U$5,CompListItem,0),0,1,1))-SUMIFS(OFFSET(U$6,1,0,PayCount,1),PayDate,"&lt;"&amp;$AC193,PayEmp,$C193),(MIN(IF(OFFSET(Setup!$G$81,MATCH(U$5,CompListItem,0),0,1,1)="Taxable",SUMPRODUCT((PayEmp=$C193)*(PayDate&lt;=$AC193)*(ISERROR(SEARCH(PayEarnCode,U$4)))*(PayEarnTax)*(PayEarnValues)),SUMPRODUCT((PayEmp=$C193)*(PayDate&lt;=$AC193)*(ISERROR(SEARCH(PayEarnCode,U$4)))*(PayEarnValues))),IF(ISNUMBER(U$3),U$3/12*$AA193,IgnoreMin)))*OFFSET(Setup!$E$81,MATCH(U$5,CompListItem,0),0,1,1)-SUMIFS(OFFSET(U$6,1,0,PayCount,1),PayDate,"&lt;"&amp;$AC193,PayEmp,$C193)))))))</f>
        <v>0</v>
      </c>
      <c r="V193" s="133" cm="1">
        <f t="array" aca="1" ref="V193" ca="1">IF($F193="Terminated",0,IF($AA193=0,0,IF(ISNA(MATCH(V$5,CompListItem,0)),0,IF(COUNTIFS(OverEmp,$C193,OverComp,V$5,OverDate,"&lt;"&amp;DATE(YEAR($AC193),MONTH($AC193)+1,1),OverEnd,"&gt;="&amp;DATE(YEAR($AC193),MONTH($AC193),1))&gt;0,SUMIFS(OverValue,OverEmp,$C193,OverComp,V$5,OverDate,"&lt;"&amp;DATE(YEAR($AC193),MONTH($AC193)+1,1),OverEnd,"&gt;="&amp;DATE(YEAR($AC193),MONTH($AC193),1)),IF(OR(V$2="Fixed",V$2="Not Used"),(OFFSET(Setup!$E$81,MATCH(V$5,CompListItem,0),0,1,1)*$AA193)-SUMIFS(OFFSET(V$6,1,0,PayCount,1),PayDate,"&lt;"&amp;$AC193,PayEmp,$C193),IF(ISNA(MATCH(V$2,DedListItem,0))=FALSE,(SUMPRODUCT((PayEmp=$C193)*(PayDate&lt;=$AC193)*(PayDedList=V$2)*(PayDedValues))*OFFSET(Setup!$E$81,MATCH(V$5,CompListItem,0),0,1,1))-SUMIFS(OFFSET(V$6,1,0,PayCount,1),PayDate,"&lt;"&amp;$AC193,PayEmp,$C193),(MIN(IF(OFFSET(Setup!$G$81,MATCH(V$5,CompListItem,0),0,1,1)="Taxable",SUMPRODUCT((PayEmp=$C193)*(PayDate&lt;=$AC193)*(ISERROR(SEARCH(PayEarnCode,V$4)))*(PayEarnTax)*(PayEarnValues)),SUMPRODUCT((PayEmp=$C193)*(PayDate&lt;=$AC193)*(ISERROR(SEARCH(PayEarnCode,V$4)))*(PayEarnValues))),IF(ISNUMBER(V$3),V$3/12*$AA193,IgnoreMin)))*OFFSET(Setup!$E$81,MATCH(V$5,CompListItem,0),0,1,1)-SUMIFS(OFFSET(V$6,1,0,PayCount,1),PayDate,"&lt;"&amp;$AC193,PayEmp,$C193)))))))</f>
        <v>0</v>
      </c>
      <c r="W193" s="133" cm="1">
        <f t="array" aca="1" ref="W193" ca="1">IF($F193="Terminated",0,IF($AA193=0,0,IF(ISNA(MATCH(W$5,CompListItem,0)),0,IF(COUNTIFS(OverEmp,$C193,OverComp,W$5,OverDate,"&lt;"&amp;DATE(YEAR($AC193),MONTH($AC193)+1,1),OverEnd,"&gt;="&amp;DATE(YEAR($AC193),MONTH($AC193),1))&gt;0,SUMIFS(OverValue,OverEmp,$C193,OverComp,W$5,OverDate,"&lt;"&amp;DATE(YEAR($AC193),MONTH($AC193)+1,1),OverEnd,"&gt;="&amp;DATE(YEAR($AC193),MONTH($AC193),1)),IF(OR(W$2="Fixed",W$2="Not Used"),(OFFSET(Setup!$E$81,MATCH(W$5,CompListItem,0),0,1,1)*$AA193)-SUMIFS(OFFSET(W$6,1,0,PayCount,1),PayDate,"&lt;"&amp;$AC193,PayEmp,$C193),IF(ISNA(MATCH(W$2,DedListItem,0))=FALSE,(SUMPRODUCT((PayEmp=$C193)*(PayDate&lt;=$AC193)*(PayDedList=W$2)*(PayDedValues))*OFFSET(Setup!$E$81,MATCH(W$5,CompListItem,0),0,1,1))-SUMIFS(OFFSET(W$6,1,0,PayCount,1),PayDate,"&lt;"&amp;$AC193,PayEmp,$C193),(MIN(IF(OFFSET(Setup!$G$81,MATCH(W$5,CompListItem,0),0,1,1)="Taxable",SUMPRODUCT((PayEmp=$C193)*(PayDate&lt;=$AC193)*(ISERROR(SEARCH(PayEarnCode,W$4)))*(PayEarnTax)*(PayEarnValues)),SUMPRODUCT((PayEmp=$C193)*(PayDate&lt;=$AC193)*(ISERROR(SEARCH(PayEarnCode,W$4)))*(PayEarnValues))),IF(ISNUMBER(W$3),W$3/12*$AA193,IgnoreMin)))*OFFSET(Setup!$E$81,MATCH(W$5,CompListItem,0),0,1,1)-SUMIFS(OFFSET(W$6,1,0,PayCount,1),PayDate,"&lt;"&amp;$AC193,PayEmp,$C193)))))))</f>
        <v>0</v>
      </c>
      <c r="X193" s="185">
        <f t="shared" ca="1" si="90"/>
        <v>0</v>
      </c>
      <c r="Y193" s="139">
        <f t="shared" ca="1" si="87"/>
        <v>0</v>
      </c>
      <c r="Z193" s="139">
        <f t="shared" ca="1" si="91"/>
        <v>0</v>
      </c>
      <c r="AA193" s="146">
        <f ca="1">IF(OR($B193&lt;=Setup!$E$12,$B193&gt;=Setup!$D$12+1),0,IF($F193&lt;&gt;"Active",0,IF($AE193="Yes",$AB193,((YEAR($AC193)*12)+MONTH($AC193))-((YEAR($AD193)*12)+MONTH($AD193)-1))))</f>
        <v>0</v>
      </c>
      <c r="AB193" s="146">
        <f ca="1">IF(OR($B193&lt;=Setup!$E$12,$B193&gt;=Setup!$D$12+1),0,((YEAR($AC193)*12)+MONTH($AC193))-((YEAR(Setup!$E$12)*12)+MONTH(Setup!$E$12)))</f>
        <v>12</v>
      </c>
      <c r="AC193" s="186">
        <f t="shared" ca="1" si="92"/>
        <v>45351</v>
      </c>
      <c r="AD193" s="144">
        <f ca="1">IF(ISNA(VLOOKUP($C193,EmpAll,COLUMN(Emp!$E$4),0)),$AC193,IF(VLOOKUP($C193,EmpAll,COLUMN(Emp!$E$4),0)&lt;=Setup!$E$12,DATE(YEAR(Setup!$E$12),MONTH(Setup!$E$12)+1,1),VLOOKUP($C193,EmpAll,COLUMN(Emp!$E$4),0)))</f>
        <v>45351</v>
      </c>
      <c r="AE193" s="144" t="str">
        <f ca="1">IF(ISNA(VLOOKUP($C193,EmpAll,COLUMN(Emp!$G$1),0)),"-",IF(VLOOKUP($C193,EmpAll,COLUMN(Emp!$G$1),0)=0,"-",VLOOKUP($C193,EmpAll,COLUMN(Emp!$G$1),0)))</f>
        <v>-</v>
      </c>
      <c r="AF193" s="145">
        <f>IF(A193=PaySlip!$G$3,1,0)</f>
        <v>0</v>
      </c>
      <c r="AG193" s="130" cm="1">
        <f t="array" aca="1" ref="AG193" ca="1">IF(COUNTIFS(OverEmp,$C193,OverMed,"MED",OverDate,"&lt;"&amp;DATE(YEAR($AC193),MONTH($AC193)+1,1),OverEnd,"&gt;="&amp;DATE(YEAR($AC193),MONTH($AC193),1))&gt;0,SUMIFS(OverValue,OverEmp,$C193,OverMed,"MED",OverDate,"&lt;"&amp;DATE(YEAR($AC193),MONTH($AC193)+1,1),OverEnd,"&gt;="&amp;DATE(YEAR($AC193),MONTH($AC193),1)),IF(ISNA(VLOOKUP($C193,EmpAll,COLUMN(Emp!$N$4),0)),0,VLOOKUP($C193,EmpAll,COLUMN(Emp!$N$4),0)))</f>
        <v>0</v>
      </c>
      <c r="AH193" s="146">
        <f ca="1">VLOOKUP($AG193,MedList,COLUMN(Setup!$C$49),1)</f>
        <v>0</v>
      </c>
      <c r="AI193" s="146">
        <f t="shared" ca="1" si="70"/>
        <v>0</v>
      </c>
      <c r="AJ193" s="101" t="str">
        <f ca="1">IF(ISNA(VLOOKUP($C193,EmpAll,COLUMN(Emp!$L$4),0)),"None!",VLOOKUP($C193,EmpAll,COLUMN(Emp!$L$4),0))</f>
        <v>None!</v>
      </c>
      <c r="AK193" s="147">
        <f t="shared" ca="1" si="80"/>
        <v>17235</v>
      </c>
      <c r="AL193" s="101" t="str">
        <f ca="1">IF(ISNA(VLOOKUP($C193,Employees[],COLUMN(Emp!$M$4),0))=TRUE,"Error!",IF(VLOOKUP($C193,Employees[],COLUMN(Emp!$M$4),0)=0,"Yes",VLOOKUP($C193,Employees[],COLUMN(Emp!$M$4),0)))</f>
        <v>Error!</v>
      </c>
      <c r="AM193" s="148">
        <f t="shared" ca="1" si="71"/>
        <v>0</v>
      </c>
      <c r="AN193" s="148" cm="1">
        <f t="array" aca="1" ref="AN193" ca="1">-IF($F193="Terminated",0,IF($AA193=0,0,IF(ISNA(MATCH(AN$5,PayDedList,0)),0,MIN(IF(COUNTIFS(OverEmp,$C193,OverDeduct,AN$5,OverDate,"&lt;"&amp;DATE(YEAR($AC193),MONTH($AC193)+1,1),OverEnd,"&gt;="&amp;DATE(YEAR($AC193),MONTH($AC193),1))&gt;0,SUMPRODUCT((PayEmp=$C193)*(PayDate&lt;=$AC193)*(OFFSET($N$6,1,MATCH(AN$5,PayDedList,0)-1,PayCount,1)))/$AA193*12*AN$3,IF(OR(AN$1="Fixed",AN$1="Not Used"),SUMPRODUCT((PayEmp=$C193)*(PayDate&lt;=$AC193)*(OFFSET($N$6,1,MATCH(AN$5,PayDedList,0)-1,PayCount,1)))/$AA193*12*AN$3,IF(ISNA(MATCH(AN$1,EarnListItem,0))=FALSE,SUMPRODUCT((PayEmp=$C193)*(PayDate&lt;=$AC193)*(OFFSET($N$6,1,MATCH(AN$5,PayDedList,0)-1,PayCount,1)))/$AA193*12*AN$3,(MIN(((SUMPRODUCT((PayEmp=$C193)*(PayDate&lt;=$AC193)*(ISERROR(SEARCH(PayEarnCode,AN$2)))*(PayEarnType="Monthly")*(PayEarnValues))/$AA193*12)+(SUMPRODUCT((PayEmp=$C193)*(PayDate&lt;=$AC193)*(ISERROR(SEARCH(PayEarnCode,AN$2)))*(PayEarnType="Quarterly")*(PayEarnValues))/MAX(1,ROUNDDOWN($AB193/3,0))*4)+(SUMPRODUCT((PayEmp=$C193)*(PayDate&lt;=$AC193)*(ISERROR(SEARCH(PayEarnCode,AN$2)))*(PayEarnType="Bi-Annual")*(PayEarnValues))/MAX(1,ROUNDDOWN($AB193/6,0))*2)+(SUMPRODUCT((PayEmp=$C193)*(PayDate&lt;=$AC193)*(ISERROR(SEARCH(PayEarnCode,AN$2)))*(PayEarnType="Annual")*(PayEarnValues)))),IF(ISNUMBER(OFFSET($N$3,0,MATCH(AN$5,PayDedList,0)-1,1,1)),OFFSET($N$3,0,MATCH(AN$5,PayDedList,0)-1,1,1),IgnoreMin)))*IF(COUNTIFS(EmpNo,$C193,OFFSET(Emp!$R$4,1,MATCH(AN$5,DedListItem,0)-1,EmpCount,1),"&lt;&gt;")&gt;0,VLOOKUP($C193,EmpAll,COLUMN(Emp!$R$4)+MATCH(AN$5,DedListItem,0)-1,0),OFFSET(Setup!$E$73,MATCH(AN$5,DedListItem,0),0,1,1))*AN$3))),IF(ISNUMBER(AN$4),AN$4,IgnoreMin)))))</f>
        <v>0</v>
      </c>
      <c r="AO193" s="148" cm="1">
        <f t="array" aca="1" ref="AO193" ca="1">-IF($F193="Terminated",0,IF($AA193=0,0,IF(ISNA(MATCH(AO$5,PayDedList,0)),0,MIN(IF(COUNTIFS(OverEmp,$C193,OverDeduct,AO$5,OverDate,"&lt;"&amp;DATE(YEAR($AC193),MONTH($AC193)+1,1),OverEnd,"&gt;="&amp;DATE(YEAR($AC193),MONTH($AC193),1))&gt;0,SUMPRODUCT((PayEmp=$C193)*(PayDate&lt;=$AC193)*(OFFSET($N$6,1,MATCH(AO$5,PayDedList,0)-1,PayCount,1)))/$AA193*12*AO$3,IF(OR(AO$1="Fixed",AO$1="Not Used"),SUMPRODUCT((PayEmp=$C193)*(PayDate&lt;=$AC193)*(OFFSET($N$6,1,MATCH(AO$5,PayDedList,0)-1,PayCount,1)))/$AA193*12*AO$3,IF(ISNA(MATCH(AO$1,EarnListItem,0))=FALSE,SUMPRODUCT((PayEmp=$C193)*(PayDate&lt;=$AC193)*(OFFSET($N$6,1,MATCH(AO$5,PayDedList,0)-1,PayCount,1)))/$AA193*12*AO$3,(MIN(((SUMPRODUCT((PayEmp=$C193)*(PayDate&lt;=$AC193)*(ISERROR(SEARCH(PayEarnCode,AO$2)))*(PayEarnType="Monthly")*(PayEarnValues))/$AA193*12)+(SUMPRODUCT((PayEmp=$C193)*(PayDate&lt;=$AC193)*(ISERROR(SEARCH(PayEarnCode,AO$2)))*(PayEarnType="Quarterly")*(PayEarnValues))/MAX(1,ROUNDDOWN($AB193/3,0))*4)+(SUMPRODUCT((PayEmp=$C193)*(PayDate&lt;=$AC193)*(ISERROR(SEARCH(PayEarnCode,AO$2)))*(PayEarnType="Bi-Annual")*(PayEarnValues))/MAX(1,ROUNDDOWN($AB193/6,0))*2)+(SUMPRODUCT((PayEmp=$C193)*(PayDate&lt;=$AC193)*(ISERROR(SEARCH(PayEarnCode,AO$2)))*(PayEarnType="Annual")*(PayEarnValues)))),IF(ISNUMBER(OFFSET($N$3,0,MATCH(AO$5,PayDedList,0)-1,1,1)),OFFSET($N$3,0,MATCH(AO$5,PayDedList,0)-1,1,1),IgnoreMin)))*IF(COUNTIFS(EmpNo,$C193,OFFSET(Emp!$R$4,1,MATCH(AO$5,DedListItem,0)-1,EmpCount,1),"&lt;&gt;")&gt;0,VLOOKUP($C193,EmpAll,COLUMN(Emp!$R$4)+MATCH(AO$5,DedListItem,0)-1,0),OFFSET(Setup!$E$73,MATCH(AO$5,DedListItem,0),0,1,1))*AO$3))),IF(ISNUMBER(AO$4),AO$4,IgnoreMin)))))</f>
        <v>0</v>
      </c>
      <c r="AP193" s="148" cm="1">
        <f t="array" aca="1" ref="AP193" ca="1">-IF($F193="Terminated",0,IF($AA193=0,0,IF(ISNA(MATCH(AP$5,PayDedList,0)),0,MIN(IF(COUNTIFS(OverEmp,$C193,OverDeduct,AP$5,OverDate,"&lt;"&amp;DATE(YEAR($AC193),MONTH($AC193)+1,1),OverEnd,"&gt;="&amp;DATE(YEAR($AC193),MONTH($AC193),1))&gt;0,SUMPRODUCT((PayEmp=$C193)*(PayDate&lt;=$AC193)*(OFFSET($N$6,1,MATCH(AP$5,PayDedList,0)-1,PayCount,1)))/$AA193*12*AP$3,IF(OR(AP$1="Fixed",AP$1="Not Used"),SUMPRODUCT((PayEmp=$C193)*(PayDate&lt;=$AC193)*(OFFSET($N$6,1,MATCH(AP$5,PayDedList,0)-1,PayCount,1)))/$AA193*12*AP$3,IF(ISNA(MATCH(AP$1,EarnListItem,0))=FALSE,SUMPRODUCT((PayEmp=$C193)*(PayDate&lt;=$AC193)*(OFFSET($N$6,1,MATCH(AP$5,PayDedList,0)-1,PayCount,1)))/$AA193*12*AP$3,(MIN(((SUMPRODUCT((PayEmp=$C193)*(PayDate&lt;=$AC193)*(ISERROR(SEARCH(PayEarnCode,AP$2)))*(PayEarnType="Monthly")*(PayEarnValues))/$AA193*12)+(SUMPRODUCT((PayEmp=$C193)*(PayDate&lt;=$AC193)*(ISERROR(SEARCH(PayEarnCode,AP$2)))*(PayEarnType="Quarterly")*(PayEarnValues))/MAX(1,ROUNDDOWN($AB193/3,0))*4)+(SUMPRODUCT((PayEmp=$C193)*(PayDate&lt;=$AC193)*(ISERROR(SEARCH(PayEarnCode,AP$2)))*(PayEarnType="Bi-Annual")*(PayEarnValues))/MAX(1,ROUNDDOWN($AB193/6,0))*2)+(SUMPRODUCT((PayEmp=$C193)*(PayDate&lt;=$AC193)*(ISERROR(SEARCH(PayEarnCode,AP$2)))*(PayEarnType="Annual")*(PayEarnValues)))),IF(ISNUMBER(OFFSET($N$3,0,MATCH(AP$5,PayDedList,0)-1,1,1)),OFFSET($N$3,0,MATCH(AP$5,PayDedList,0)-1,1,1),IgnoreMin)))*IF(COUNTIFS(EmpNo,$C193,OFFSET(Emp!$R$4,1,MATCH(AP$5,DedListItem,0)-1,EmpCount,1),"&lt;&gt;")&gt;0,VLOOKUP($C193,EmpAll,COLUMN(Emp!$R$4)+MATCH(AP$5,DedListItem,0)-1,0),OFFSET(Setup!$E$73,MATCH(AP$5,DedListItem,0),0,1,1))*AP$3))),IF(ISNUMBER(AP$4),AP$4,IgnoreMin)))))</f>
        <v>0</v>
      </c>
      <c r="AQ193" s="148" cm="1">
        <f t="array" aca="1" ref="AQ193" ca="1">-IF($F193="Terminated",0,IF($AA193=0,0,IF(ISNA(MATCH(AQ$5,PayDedList,0)),0,MIN(IF(COUNTIFS(OverEmp,$C193,OverDeduct,AQ$5,OverDate,"&lt;"&amp;DATE(YEAR($AC193),MONTH($AC193)+1,1),OverEnd,"&gt;="&amp;DATE(YEAR($AC193),MONTH($AC193),1))&gt;0,SUMPRODUCT((PayEmp=$C193)*(PayDate&lt;=$AC193)*(OFFSET($N$6,1,MATCH(AQ$5,PayDedList,0)-1,PayCount,1)))/$AA193*12*AQ$3,IF(OR(AQ$1="Fixed",AQ$1="Not Used"),SUMPRODUCT((PayEmp=$C193)*(PayDate&lt;=$AC193)*(OFFSET($N$6,1,MATCH(AQ$5,PayDedList,0)-1,PayCount,1)))/$AA193*12*AQ$3,IF(ISNA(MATCH(AQ$1,EarnListItem,0))=FALSE,SUMPRODUCT((PayEmp=$C193)*(PayDate&lt;=$AC193)*(OFFSET($N$6,1,MATCH(AQ$5,PayDedList,0)-1,PayCount,1)))/$AA193*12*AQ$3,(MIN(((SUMPRODUCT((PayEmp=$C193)*(PayDate&lt;=$AC193)*(ISERROR(SEARCH(PayEarnCode,AQ$2)))*(PayEarnType="Monthly")*(PayEarnValues))/$AA193*12)+(SUMPRODUCT((PayEmp=$C193)*(PayDate&lt;=$AC193)*(ISERROR(SEARCH(PayEarnCode,AQ$2)))*(PayEarnType="Quarterly")*(PayEarnValues))/MAX(1,ROUNDDOWN($AB193/3,0))*4)+(SUMPRODUCT((PayEmp=$C193)*(PayDate&lt;=$AC193)*(ISERROR(SEARCH(PayEarnCode,AQ$2)))*(PayEarnType="Bi-Annual")*(PayEarnValues))/MAX(1,ROUNDDOWN($AB193/6,0))*2)+(SUMPRODUCT((PayEmp=$C193)*(PayDate&lt;=$AC193)*(ISERROR(SEARCH(PayEarnCode,AQ$2)))*(PayEarnType="Annual")*(PayEarnValues)))),IF(ISNUMBER(OFFSET($N$3,0,MATCH(AQ$5,PayDedList,0)-1,1,1)),OFFSET($N$3,0,MATCH(AQ$5,PayDedList,0)-1,1,1),IgnoreMin)))*IF(COUNTIFS(EmpNo,$C193,OFFSET(Emp!$R$4,1,MATCH(AQ$5,DedListItem,0)-1,EmpCount,1),"&lt;&gt;")&gt;0,VLOOKUP($C193,EmpAll,COLUMN(Emp!$R$4)+MATCH(AQ$5,DedListItem,0)-1,0),OFFSET(Setup!$E$73,MATCH(AQ$5,DedListItem,0),0,1,1))*AQ$3))),IF(ISNUMBER(AQ$4),AQ$4,IgnoreMin)))))</f>
        <v>0</v>
      </c>
      <c r="AR193" s="148">
        <f t="shared" ca="1" si="93"/>
        <v>0</v>
      </c>
      <c r="AS193" s="148">
        <f t="shared" ca="1" si="72"/>
        <v>0</v>
      </c>
      <c r="AT193" s="148" cm="1">
        <f t="array" aca="1" ref="AT193" ca="1">-IF($F193="Terminated",0,IF($AA193=0,0,IF(ISNA(MATCH(AT$5,PayDedList,0)),0,MIN(IF(COUNTIFS(OverEmp,$C193,OverDeduct,AT$5,OverDate,"&lt;"&amp;DATE(YEAR($AC193),MONTH($AC193)+1,1),OverEnd,"&gt;="&amp;DATE(YEAR($AC193),MONTH($AC193),1))&gt;0,SUMPRODUCT((PayEmp=$C193)*(PayDate&lt;=$AC193)*(OFFSET($N$6,1,MATCH(AT$5,PayDedList,0)-1,PayCount,1)))/$AA193*12*AT$3,IF(OR(AT$1="Fixed",AT$1="Not Used"),SUMPRODUCT((PayEmp=$C193)*(PayDate&lt;=$AC193)*(OFFSET($N$6,1,MATCH(AT$5,PayDedList,0)-1,PayCount,1)))/$AA193*12*AT$3,IF(ISNA(MATCH(OFFSET($N$2,0,MATCH(AT$5,PayDedList,0)-1,1,1),EarnListItem,0))=FALSE,SUMPRODUCT((PayEmp=$C193)*(PayDate&lt;=$AC193)*(OFFSET($N$6,1,MATCH(AT$5,PayDedList,0)-1,PayCount,1)))/$AA193*12*AT$3,(MIN(SUMPRODUCT((PayEmp=$C193)*(PayDate&lt;=$AC193)*(ISERROR(SEARCH(PayEarnCode,AT$2)))*(PayEarnType="Monthly")*(PayEarnValues))/$AA193*12,IF(ISNUMBER(OFFSET($N$3,0,MATCH(AT$5,PayDedList,0)-1,1,1)),OFFSET($N$3,0,MATCH(AT$5,PayDedList,0)-1,1,1),IgnoreMin)))*IF(COUNTIFS(EmpNo,$C193,OFFSET(Emp!$R$4,1,MATCH(AT$5,DedListItem,0)-1,EmpCount,1),"&lt;&gt;")&gt;0,VLOOKUP($C193,EmpAll,COLUMN(Emp!$R$4)+MATCH(AT$5,DedListItem,0)-1,0),OFFSET(Setup!$E$73,MATCH(AT$5,DedListItem,0),0,1,1))*AT$3))),IF(ISNUMBER(AT$4),AT$4,IgnoreMin)))))</f>
        <v>0</v>
      </c>
      <c r="AU193" s="148" cm="1">
        <f t="array" aca="1" ref="AU193" ca="1">-IF($F193="Terminated",0,IF($AA193=0,0,IF(ISNA(MATCH(AU$5,PayDedList,0)),0,MIN(IF(COUNTIFS(OverEmp,$C193,OverDeduct,AU$5,OverDate,"&lt;"&amp;DATE(YEAR($AC193),MONTH($AC193)+1,1),OverEnd,"&gt;="&amp;DATE(YEAR($AC193),MONTH($AC193),1))&gt;0,SUMPRODUCT((PayEmp=$C193)*(PayDate&lt;=$AC193)*(OFFSET($N$6,1,MATCH(AU$5,PayDedList,0)-1,PayCount,1)))/$AA193*12*AU$3,IF(OR(AU$1="Fixed",AU$1="Not Used"),SUMPRODUCT((PayEmp=$C193)*(PayDate&lt;=$AC193)*(OFFSET($N$6,1,MATCH(AU$5,PayDedList,0)-1,PayCount,1)))/$AA193*12*AU$3,IF(ISNA(MATCH(OFFSET($N$2,0,MATCH(AU$5,PayDedList,0)-1,1,1),EarnListItem,0))=FALSE,SUMPRODUCT((PayEmp=$C193)*(PayDate&lt;=$AC193)*(OFFSET($N$6,1,MATCH(AU$5,PayDedList,0)-1,PayCount,1)))/$AA193*12*AU$3,(MIN(SUMPRODUCT((PayEmp=$C193)*(PayDate&lt;=$AC193)*(ISERROR(SEARCH(PayEarnCode,AU$2)))*(PayEarnType="Monthly")*(PayEarnValues))/$AA193*12,IF(ISNUMBER(OFFSET($N$3,0,MATCH(AU$5,PayDedList,0)-1,1,1)),OFFSET($N$3,0,MATCH(AU$5,PayDedList,0)-1,1,1),IgnoreMin)))*IF(COUNTIFS(EmpNo,$C193,OFFSET(Emp!$R$4,1,MATCH(AU$5,DedListItem,0)-1,EmpCount,1),"&lt;&gt;")&gt;0,VLOOKUP($C193,EmpAll,COLUMN(Emp!$R$4)+MATCH(AU$5,DedListItem,0)-1,0),OFFSET(Setup!$E$73,MATCH(AU$5,DedListItem,0),0,1,1))*AU$3))),IF(ISNUMBER(AU$4),AU$4,IgnoreMin)))))</f>
        <v>0</v>
      </c>
      <c r="AV193" s="148" cm="1">
        <f t="array" aca="1" ref="AV193" ca="1">-IF($F193="Terminated",0,IF($AA193=0,0,IF(ISNA(MATCH(AV$5,PayDedList,0)),0,MIN(IF(COUNTIFS(OverEmp,$C193,OverDeduct,AV$5,OverDate,"&lt;"&amp;DATE(YEAR($AC193),MONTH($AC193)+1,1),OverEnd,"&gt;="&amp;DATE(YEAR($AC193),MONTH($AC193),1))&gt;0,SUMPRODUCT((PayEmp=$C193)*(PayDate&lt;=$AC193)*(OFFSET($N$6,1,MATCH(AV$5,PayDedList,0)-1,PayCount,1)))/$AA193*12*AV$3,IF(OR(AV$1="Fixed",AV$1="Not Used"),SUMPRODUCT((PayEmp=$C193)*(PayDate&lt;=$AC193)*(OFFSET($N$6,1,MATCH(AV$5,PayDedList,0)-1,PayCount,1)))/$AA193*12*AV$3,IF(ISNA(MATCH(OFFSET($N$2,0,MATCH(AV$5,PayDedList,0)-1,1,1),EarnListItem,0))=FALSE,SUMPRODUCT((PayEmp=$C193)*(PayDate&lt;=$AC193)*(OFFSET($N$6,1,MATCH(AV$5,PayDedList,0)-1,PayCount,1)))/$AA193*12*AV$3,(MIN(SUMPRODUCT((PayEmp=$C193)*(PayDate&lt;=$AC193)*(ISERROR(SEARCH(PayEarnCode,AV$2)))*(PayEarnType="Monthly")*(PayEarnValues))/$AA193*12,IF(ISNUMBER(OFFSET($N$3,0,MATCH(AV$5,PayDedList,0)-1,1,1)),OFFSET($N$3,0,MATCH(AV$5,PayDedList,0)-1,1,1),IgnoreMin)))*IF(COUNTIFS(EmpNo,$C193,OFFSET(Emp!$R$4,1,MATCH(AV$5,DedListItem,0)-1,EmpCount,1),"&lt;&gt;")&gt;0,VLOOKUP($C193,EmpAll,COLUMN(Emp!$R$4)+MATCH(AV$5,DedListItem,0)-1,0),OFFSET(Setup!$E$73,MATCH(AV$5,DedListItem,0),0,1,1))*AV$3))),IF(ISNUMBER(AV$4),AV$4,IgnoreMin)))))</f>
        <v>0</v>
      </c>
      <c r="AW193" s="148" cm="1">
        <f t="array" aca="1" ref="AW193" ca="1">-IF($F193="Terminated",0,IF($AA193=0,0,IF(ISNA(MATCH(AW$5,PayDedList,0)),0,MIN(IF(COUNTIFS(OverEmp,$C193,OverDeduct,AW$5,OverDate,"&lt;"&amp;DATE(YEAR($AC193),MONTH($AC193)+1,1),OverEnd,"&gt;="&amp;DATE(YEAR($AC193),MONTH($AC193),1))&gt;0,SUMPRODUCT((PayEmp=$C193)*(PayDate&lt;=$AC193)*(OFFSET($N$6,1,MATCH(AW$5,PayDedList,0)-1,PayCount,1)))/$AA193*12*AW$3,IF(OR(AW$1="Fixed",AW$1="Not Used"),SUMPRODUCT((PayEmp=$C193)*(PayDate&lt;=$AC193)*(OFFSET($N$6,1,MATCH(AW$5,PayDedList,0)-1,PayCount,1)))/$AA193*12*AW$3,IF(ISNA(MATCH(OFFSET($N$2,0,MATCH(AW$5,PayDedList,0)-1,1,1),EarnListItem,0))=FALSE,SUMPRODUCT((PayEmp=$C193)*(PayDate&lt;=$AC193)*(OFFSET($N$6,1,MATCH(AW$5,PayDedList,0)-1,PayCount,1)))/$AA193*12*AW$3,(MIN(SUMPRODUCT((PayEmp=$C193)*(PayDate&lt;=$AC193)*(ISERROR(SEARCH(PayEarnCode,AW$2)))*(PayEarnType="Monthly")*(PayEarnValues))/$AA193*12,IF(ISNUMBER(OFFSET($N$3,0,MATCH(AW$5,PayDedList,0)-1,1,1)),OFFSET($N$3,0,MATCH(AW$5,PayDedList,0)-1,1,1),IgnoreMin)))*IF(COUNTIFS(EmpNo,$C193,OFFSET(Emp!$R$4,1,MATCH(AW$5,DedListItem,0)-1,EmpCount,1),"&lt;&gt;")&gt;0,VLOOKUP($C193,EmpAll,COLUMN(Emp!$R$4)+MATCH(AW$5,DedListItem,0)-1,0),OFFSET(Setup!$E$73,MATCH(AW$5,DedListItem,0),0,1,1))*AW$3))),IF(ISNUMBER(AW$4),AW$4,IgnoreMin)))))</f>
        <v>0</v>
      </c>
      <c r="AX193" s="148">
        <f t="shared" ca="1" si="88"/>
        <v>0</v>
      </c>
      <c r="AY193" s="148">
        <f t="shared" ca="1" si="89"/>
        <v>0</v>
      </c>
      <c r="AZ193" s="148">
        <f ca="1">IF(ISNUMBER($AL193),($AR193*$AL193)-$AI193-$AK193,MAX(0,IF($AL193="B",IF($AR193&lt;Setup!$C$32,($AR193*Setup!$D$32)-$AI193-$AK193,(($AR193-VLOOKUP($AR193,TaxAll2,1,1))*OFFSET(Setup!$D$32,MATCH($AR193,TaxBracket2,1),0,1,1))+OFFSET(Setup!$E$31,MATCH($AR193,TaxBracket2,1),0,1,1)-$AI193-$AK193),IF($AR193&lt;Setup!$C$21,($AR193*Setup!$D$21)-$AI193-$AK193,(($AR193-VLOOKUP($AR193,TaxAll1,1,1))*OFFSET(Setup!$D$21,MATCH($AR193,TaxBracket1,1),0,1,1))+OFFSET(Setup!$E$20,MATCH($AR193,TaxBracket1,1),0,1,1)-$AI193-$AK193))))</f>
        <v>0</v>
      </c>
      <c r="BA193" s="148">
        <f ca="1">IF(ISNUMBER($AL193),($AX193*$AL193)-$AI193-$AK193,MAX(0,IF($AL193="B",IF($AX193&lt;Setup!$C$32,($AX193*Setup!$D$32)-$AI193-$AK193,(($AX193-VLOOKUP($AX193,TaxAll2,1,1))*OFFSET(Setup!$D$32,MATCH($AX193,TaxBracket2,1),0,1,1))+OFFSET(Setup!$E$31,MATCH($AX193,TaxBracket2,1),0,1,1)-$AI193-$AK193),IF($AX193&lt;Setup!$C$21,($AX193*Setup!$D$21)-$AI193-$AK193,(($AX193-VLOOKUP($AX193,TaxAll1,1,1))*OFFSET(Setup!$D$21,MATCH($AX193,TaxBracket1,1),0,1,1))+OFFSET(Setup!$E$20,MATCH($AX193,TaxBracket1,1),0,1,1)-$AI193-$AK193))))</f>
        <v>0</v>
      </c>
      <c r="BB193" s="148">
        <f t="shared" ca="1" si="94"/>
        <v>0</v>
      </c>
      <c r="BC193" s="150">
        <f t="shared" ca="1" si="75"/>
        <v>0</v>
      </c>
      <c r="BD193" s="150">
        <f t="shared" ca="1" si="76"/>
        <v>0</v>
      </c>
      <c r="BE193" s="148">
        <f t="shared" ca="1" si="77"/>
        <v>0</v>
      </c>
    </row>
    <row r="194" spans="1:57" ht="16.149999999999999" customHeight="1" x14ac:dyDescent="0.25">
      <c r="A194" s="10" t="str" cm="1">
        <f t="array" ref="A194">IF(ROW($A194)-ROW($A$6)&gt;EmpCount*12,"-",TEXT($B194,"yyyy")&amp;TEXT($B194,"mm")&amp;"-"&amp;$C194)</f>
        <v>-</v>
      </c>
      <c r="B194" s="137" cm="1">
        <f t="array" aca="1" ref="B194" ca="1">IF(ROW($A194)-ROW($A$6)&gt;EmpCount*12,Setup!$D$12,DATE(YEAR(Setup!$F$12),MONTH(Setup!$F$12)+ROUNDDOWN((ROW($A194)-ROW($A$6)-1)/EmpCount,0),IF(Setup!$C$14&gt;DAY(DATE(YEAR(Setup!$F$12),MONTH(Setup!$F$12)+ROUNDDOWN((ROW($A194)-ROW($A$6)-1)/EmpCount,0)+1,0)),DAY(DATE(YEAR(Setup!$F$12),MONTH(Setup!$F$12)+ROUNDDOWN((ROW($A194)-ROW($A$6)-1)/EmpCount,0)+1,0)),Setup!$C$14)))</f>
        <v>45351</v>
      </c>
      <c r="C194" s="101" t="str" cm="1">
        <f t="array" aca="1" ref="C194" ca="1">IF(ROW($A194)-ROW($A$6)&gt;EmpCount*12,"-",OFFSET(Emp!$A$4,ROW($A194)-ROW($A$6)-IF(ROW($A194)-ROW($A$6)&gt;EmpCount,ROUNDDOWN((ROW($A194)-ROW($A$6)-1)/EmpCount,0)*EmpCount,0),0,1,1))</f>
        <v>-</v>
      </c>
      <c r="D194" s="10" t="str">
        <f ca="1">IF(ISNA(VLOOKUP($C194,EmpAll,COLUMN(Emp!$B$4),0)),"-",VLOOKUP($C194,EmpAll,COLUMN(Emp!$B$4),0))</f>
        <v>-</v>
      </c>
      <c r="E194" s="145" t="str">
        <f ca="1">IF(ISNA(VLOOKUP($C194,EmpAll,COLUMN(Emp!$C$4),0)),"-",VLOOKUP($C194,EmpAll,COLUMN(Emp!$C$4),0))</f>
        <v>-</v>
      </c>
      <c r="F194" s="101" t="str">
        <f ca="1">IF(ISNA(VLOOKUP($C194,EmpAll,COLUMN(Emp!$A$4),0)),"-",IF(AND(VLOOKUP($C194,EmpAll,COLUMN(Emp!$E$4),0)&lt;&gt;0,VLOOKUP($C194,EmpAll,COLUMN(Emp!$E$4),0)&gt;=DATE(YEAR($AC194),MONTH($AC194)+1,0)),"Inactive",IF(AND(VLOOKUP($C194,EmpAll,COLUMN(Emp!$F$4),0)&lt;&gt;0,VLOOKUP($C194,EmpAll,COLUMN(Emp!$F$4),0)&lt;=DATE(YEAR($AC194),MONTH($AC194),0)),"Terminated","Active")))</f>
        <v>-</v>
      </c>
      <c r="G194" s="133" cm="1">
        <f t="array" aca="1" ref="G194" ca="1">IF($F194&lt;&gt;"Active",0,IF(COUNTIFS(OverEmp,$C194,OverEarn,G$2,OverDate,"&lt;"&amp;DATE(YEAR($AC194),MONTH($AC194)+1,1),OverEnd,"&gt;="&amp;DATE(YEAR($AC194),MONTH($AC194),1))&gt;0,SUMIFS(OverValue,OverEmp,$C194,OverEarn,G$2,OverDate,"&lt;"&amp;DATE(YEAR($AC194),MONTH($AC194)+1,1),OverEnd,"&gt;="&amp;DATE(YEAR($AC194),MONTH($AC194),1)),IF(AND($AC194&gt;=Setup!$E$10,SUMIFS(EmpIncrease,EmpCode,$C194)&gt;0),SUMIFS(EmpIncrease,EmpCode,$C194),SUMIFS(EmpSalary,EmpCode,$C194))))</f>
        <v>0</v>
      </c>
      <c r="H194" s="133" cm="1">
        <f t="array" aca="1" ref="H194" ca="1">IF($F194&lt;&gt;"Active",0,IF(COUNTIFS(OverEmp,$C194,OverEarn,H$2,OverDate,"&lt;"&amp;DATE(YEAR($AC194),MONTH($AC194)+1,1),OverEnd,"&gt;="&amp;DATE(YEAR($AC194),MONTH($AC194),1))&gt;0,SUMIFS(OverValue,OverEmp,$C194,OverEarn,H$2,OverDate,"&lt;"&amp;DATE(YEAR($AC194),MONTH($AC194)+1,1),OverEnd,"&gt;="&amp;DATE(YEAR($AC194),MONTH($AC194),1)),0))</f>
        <v>0</v>
      </c>
      <c r="I194" s="133" cm="1">
        <f t="array" aca="1" ref="I194" ca="1">IF($F194&lt;&gt;"Active",0,IF(COUNTIFS(OverEmp,$C194,OverEarn,I$2,OverDate,"&lt;"&amp;DATE(YEAR($AC194),MONTH($AC194)+1,1),OverEnd,"&gt;="&amp;DATE(YEAR($AC194),MONTH($AC194),1))&gt;0,SUMIFS(OverValue,OverEmp,$C194,OverEarn,I$2,OverDate,"&lt;"&amp;DATE(YEAR($AC194),MONTH($AC194)+1,1),OverEnd,"&gt;="&amp;DATE(YEAR($AC194),MONTH($AC194),1)),IF(MONTH(B194)=Setup!$C$15,SUMIFS(EmpBonus,EmpCode,$C194),0)))</f>
        <v>0</v>
      </c>
      <c r="J194" s="133" cm="1">
        <f t="array" aca="1" ref="J194" ca="1">IF($F194&lt;&gt;"Active",0,IF(COUNTIFS(OverEmp,$C194,OverEarn,J$2,OverDate,"&lt;"&amp;DATE(YEAR($AC194),MONTH($AC194)+1,1),OverEnd,"&gt;="&amp;DATE(YEAR($AC194),MONTH($AC194),1))&gt;0,SUMIFS(OverValue,OverEmp,$C194,OverEarn,J$2,OverDate,"&lt;"&amp;DATE(YEAR($AC194),MONTH($AC194)+1,1),OverEnd,"&gt;="&amp;DATE(YEAR($AC194),MONTH($AC194),1)),0))</f>
        <v>0</v>
      </c>
      <c r="K194" s="133" cm="1">
        <f t="array" aca="1" ref="K194" ca="1">IF($F194&lt;&gt;"Active",0,IF(COUNTIFS(OverEmp,$C194,OverEarn,K$2,OverDate,"&lt;"&amp;DATE(YEAR($AC194),MONTH($AC194)+1,1),OverEnd,"&gt;="&amp;DATE(YEAR($AC194),MONTH($AC194),1))&gt;0,SUMIFS(OverValue,OverEmp,$C194,OverEarn,K$2,OverDate,"&lt;"&amp;DATE(YEAR($AC194),MONTH($AC194)+1,1),OverEnd,"&gt;="&amp;DATE(YEAR($AC194),MONTH($AC194),1)),0))</f>
        <v>0</v>
      </c>
      <c r="L194" s="185">
        <f t="shared" ca="1" si="84"/>
        <v>0</v>
      </c>
      <c r="M194" s="182" cm="1">
        <f t="array" aca="1" ref="M194" ca="1">IF(COUNTIFS(OverEmp,$C194,OverTax,M$5,OverDate,"&lt;"&amp;DATE(YEAR($AC194),MONTH($AC194)+1,1),OverEnd,"&gt;="&amp;DATE(YEAR($AC194),MONTH($AC194),1))&gt;0,SUMIFS(OverValue,OverEmp,$C194,OverTax,M$5,OverDate,"&lt;"&amp;DATE(YEAR($AC194),MONTH($AC194)+1,1),OverEnd,"&gt;="&amp;DATE(YEAR($AC194),MONTH($AC194),1)),(($BA194/12*$AA194)+(BB194*IF(1-$BC194=0,0,BD194/(1-$BC194))))-IF($F194="Terminated",0,SUMIFS(PayTaxDeduct,PayDate,"&lt;"&amp;$AC194,PayEmp,$C194)))</f>
        <v>0</v>
      </c>
      <c r="N194" s="133" cm="1">
        <f t="array" aca="1" ref="N194" ca="1">IF($F194="Terminated",0,IF($AA194=0,0,IF(ISNA(MATCH(N$5,DedListItem,0)),0,IF(COUNTIFS(OverEmp,$C194,OverDeduct,N$5,OverDate,"&lt;"&amp;DATE(YEAR($AC194),MONTH($AC194)+1,1),OverEnd,"&gt;="&amp;DATE(YEAR($AC194),MONTH($AC194),1))&gt;0,SUMIFS(OverValue,OverEmp,$C194,OverDeduct,N$5,OverDate,"&lt;"&amp;DATE(YEAR($AC194),MONTH($AC194)+1,1),OverEnd,"&gt;="&amp;DATE(YEAR($AC194),MONTH($AC194),1)),IF(OR(N$2="Fixed",N$2="Not Used"),(IF(COUNTIFS(EmpNo,$C194,OFFSET(Emp!$R$4,1,MATCH(N$5,DedListItem,0)-1,EmpCount,1),"&lt;&gt;")&gt;0,VLOOKUP($C194,EmpAll,COLUMN(Emp!$R$4)+MATCH(N$5,DedListItem,0)-1,0),OFFSET(Setup!$E$73,MATCH(N$5,DedListItem,0),0,1,1))*$AA194)-SUMIFS(OFFSET(N$6,1,0,PayCount,1),PayDate,"&lt;"&amp;$AC194,PayEmp,$C194),IF(ISNA(MATCH(N$2,EarnListItem,0))=FALSE,IF(OFFSET(Setup!$G$73,MATCH(N$5,DedListItem,0),0,1,1)="Taxable",SUMPRODUCT((PayEmp=$C194)*(PayDate&lt;=$AC194)*(PayEarnCode=N$2)*(PayEarnTax)*(PayEarnValues)),SUMPRODUCT((PayEmp=$C194)*(PayDate&lt;=$AC194)*(PayEarnCode=N$2)*(PayEarnValues)))*IF(COUNTIFS(EmpNo,$C194,OFFSET(Emp!$R$4,1,MATCH(N$5,DedListItem,0)-1,EmpCount,1),"&lt;&gt;")&gt;0,VLOOKUP($C194,EmpAll,COLUMN(Emp!$R$4)+MATCH(N$5,DedListItem,0)-1,0),OFFSET(Setup!$E$73,MATCH(N$5,DedListItem,0),0,1,1)),(MIN(IF(OFFSET(Setup!$G$73,MATCH(N$5,DedListItem,0),0,1,1)="Taxable",SUMPRODUCT((PayEmp=$C194)*(PayDate&lt;=$AC194)*(ISERROR(SEARCH(PayEarnCode,N$4)))*(PayEarnTax)*(PayEarnValues)),SUMPRODUCT((PayEmp=$C194)*(PayDate&lt;=$AC194)*(ISERROR(SEARCH(PayEarnCode,N$4)))*(PayEarnValues))),IF(ISNUMBER(N$3),N$3/12*$AA194,IgnoreMin)))*IF(COUNTIFS(EmpNo,$C194,OFFSET(Emp!$R$4,1,MATCH(N$5,DedListItem,0)-1,EmpCount,1),"&lt;&gt;")&gt;0,VLOOKUP($C194,EmpAll,COLUMN(Emp!$R$4)+MATCH(N$5,DedListItem,0)-1,0),OFFSET(Setup!$E$73,MATCH(N$5,DedListItem,0),0,1,1)))-SUMIFS(OFFSET(N$6,1,0,PayCount,1),PayDate,"&lt;"&amp;$AC194,PayEmp,$C194))))))</f>
        <v>0</v>
      </c>
      <c r="O194" s="133" cm="1">
        <f t="array" aca="1" ref="O194" ca="1">IF($F194="Terminated",0,IF($AA194=0,0,IF(ISNA(MATCH(O$5,DedListItem,0)),0,IF(COUNTIFS(OverEmp,$C194,OverDeduct,O$5,OverDate,"&lt;"&amp;DATE(YEAR($AC194),MONTH($AC194)+1,1),OverEnd,"&gt;="&amp;DATE(YEAR($AC194),MONTH($AC194),1))&gt;0,SUMIFS(OverValue,OverEmp,$C194,OverDeduct,O$5,OverDate,"&lt;"&amp;DATE(YEAR($AC194),MONTH($AC194)+1,1),OverEnd,"&gt;="&amp;DATE(YEAR($AC194),MONTH($AC194),1)),IF(OR(O$2="Fixed",O$2="Not Used"),(IF(COUNTIFS(EmpNo,$C194,OFFSET(Emp!$R$4,1,MATCH(O$5,DedListItem,0)-1,EmpCount,1),"&lt;&gt;")&gt;0,VLOOKUP($C194,EmpAll,COLUMN(Emp!$R$4)+MATCH(O$5,DedListItem,0)-1,0),OFFSET(Setup!$E$73,MATCH(O$5,DedListItem,0),0,1,1))*$AA194)-SUMIFS(OFFSET(O$6,1,0,PayCount,1),PayDate,"&lt;"&amp;$AC194,PayEmp,$C194),IF(ISNA(MATCH(O$2,EarnListItem,0))=FALSE,IF(OFFSET(Setup!$G$73,MATCH(O$5,DedListItem,0),0,1,1)="Taxable",SUMPRODUCT((PayEmp=$C194)*(PayDate&lt;=$AC194)*(PayEarnCode=O$2)*(PayEarnTax)*(PayEarnValues)),SUMPRODUCT((PayEmp=$C194)*(PayDate&lt;=$AC194)*(PayEarnCode=O$2)*(PayEarnValues)))*IF(COUNTIFS(EmpNo,$C194,OFFSET(Emp!$R$4,1,MATCH(O$5,DedListItem,0)-1,EmpCount,1),"&lt;&gt;")&gt;0,VLOOKUP($C194,EmpAll,COLUMN(Emp!$R$4)+MATCH(O$5,DedListItem,0)-1,0),OFFSET(Setup!$E$73,MATCH(O$5,DedListItem,0),0,1,1)),(MIN(IF(OFFSET(Setup!$G$73,MATCH(O$5,DedListItem,0),0,1,1)="Taxable",SUMPRODUCT((PayEmp=$C194)*(PayDate&lt;=$AC194)*(ISERROR(SEARCH(PayEarnCode,O$4)))*(PayEarnTax)*(PayEarnValues)),SUMPRODUCT((PayEmp=$C194)*(PayDate&lt;=$AC194)*(ISERROR(SEARCH(PayEarnCode,O$4)))*(PayEarnValues))),IF(ISNUMBER(O$3),O$3/12*$AA194,IgnoreMin)))*IF(COUNTIFS(EmpNo,$C194,OFFSET(Emp!$R$4,1,MATCH(O$5,DedListItem,0)-1,EmpCount,1),"&lt;&gt;")&gt;0,VLOOKUP($C194,EmpAll,COLUMN(Emp!$R$4)+MATCH(O$5,DedListItem,0)-1,0),OFFSET(Setup!$E$73,MATCH(O$5,DedListItem,0),0,1,1)))-SUMIFS(OFFSET(O$6,1,0,PayCount,1),PayDate,"&lt;"&amp;$AC194,PayEmp,$C194))))))</f>
        <v>0</v>
      </c>
      <c r="P194" s="133" cm="1">
        <f t="array" aca="1" ref="P194" ca="1">IF($F194="Terminated",0,IF($AA194=0,0,IF(ISNA(MATCH(P$5,DedListItem,0)),0,IF(COUNTIFS(OverEmp,$C194,OverDeduct,P$5,OverDate,"&lt;"&amp;DATE(YEAR($AC194),MONTH($AC194)+1,1),OverEnd,"&gt;="&amp;DATE(YEAR($AC194),MONTH($AC194),1))&gt;0,SUMIFS(OverValue,OverEmp,$C194,OverDeduct,P$5,OverDate,"&lt;"&amp;DATE(YEAR($AC194),MONTH($AC194)+1,1),OverEnd,"&gt;="&amp;DATE(YEAR($AC194),MONTH($AC194),1)),IF(OR(P$2="Fixed",P$2="Not Used"),(IF(COUNTIFS(EmpNo,$C194,OFFSET(Emp!$R$4,1,MATCH(P$5,DedListItem,0)-1,EmpCount,1),"&lt;&gt;")&gt;0,VLOOKUP($C194,EmpAll,COLUMN(Emp!$R$4)+MATCH(P$5,DedListItem,0)-1,0),OFFSET(Setup!$E$73,MATCH(P$5,DedListItem,0),0,1,1))*$AA194)-SUMIFS(OFFSET(P$6,1,0,PayCount,1),PayDate,"&lt;"&amp;$AC194,PayEmp,$C194),IF(ISNA(MATCH(P$2,EarnListItem,0))=FALSE,IF(OFFSET(Setup!$G$73,MATCH(P$5,DedListItem,0),0,1,1)="Taxable",SUMPRODUCT((PayEmp=$C194)*(PayDate&lt;=$AC194)*(PayEarnCode=P$2)*(PayEarnTax)*(PayEarnValues)),SUMPRODUCT((PayEmp=$C194)*(PayDate&lt;=$AC194)*(PayEarnCode=P$2)*(PayEarnValues)))*IF(COUNTIFS(EmpNo,$C194,OFFSET(Emp!$R$4,1,MATCH(P$5,DedListItem,0)-1,EmpCount,1),"&lt;&gt;")&gt;0,VLOOKUP($C194,EmpAll,COLUMN(Emp!$R$4)+MATCH(P$5,DedListItem,0)-1,0),OFFSET(Setup!$E$73,MATCH(P$5,DedListItem,0),0,1,1)),(MIN(IF(OFFSET(Setup!$G$73,MATCH(P$5,DedListItem,0),0,1,1)="Taxable",SUMPRODUCT((PayEmp=$C194)*(PayDate&lt;=$AC194)*(ISERROR(SEARCH(PayEarnCode,P$4)))*(PayEarnTax)*(PayEarnValues)),SUMPRODUCT((PayEmp=$C194)*(PayDate&lt;=$AC194)*(ISERROR(SEARCH(PayEarnCode,P$4)))*(PayEarnValues))),IF(ISNUMBER(P$3),P$3/12*$AA194,IgnoreMin)))*IF(COUNTIFS(EmpNo,$C194,OFFSET(Emp!$R$4,1,MATCH(P$5,DedListItem,0)-1,EmpCount,1),"&lt;&gt;")&gt;0,VLOOKUP($C194,EmpAll,COLUMN(Emp!$R$4)+MATCH(P$5,DedListItem,0)-1,0),OFFSET(Setup!$E$73,MATCH(P$5,DedListItem,0),0,1,1)))-SUMIFS(OFFSET(P$6,1,0,PayCount,1),PayDate,"&lt;"&amp;$AC194,PayEmp,$C194))))))</f>
        <v>0</v>
      </c>
      <c r="Q194" s="133" cm="1">
        <f t="array" aca="1" ref="Q194" ca="1">IF($F194="Terminated",0,IF($AA194=0,0,IF(ISNA(MATCH(Q$5,DedListItem,0)),0,IF(COUNTIFS(OverEmp,$C194,OverDeduct,Q$5,OverDate,"&lt;"&amp;DATE(YEAR($AC194),MONTH($AC194)+1,1),OverEnd,"&gt;="&amp;DATE(YEAR($AC194),MONTH($AC194),1))&gt;0,SUMIFS(OverValue,OverEmp,$C194,OverDeduct,Q$5,OverDate,"&lt;"&amp;DATE(YEAR($AC194),MONTH($AC194)+1,1),OverEnd,"&gt;="&amp;DATE(YEAR($AC194),MONTH($AC194),1)),IF(OR(Q$2="Fixed",Q$2="Not Used"),(IF(COUNTIFS(EmpNo,$C194,OFFSET(Emp!$R$4,1,MATCH(Q$5,DedListItem,0)-1,EmpCount,1),"&lt;&gt;")&gt;0,VLOOKUP($C194,EmpAll,COLUMN(Emp!$R$4)+MATCH(Q$5,DedListItem,0)-1,0),OFFSET(Setup!$E$73,MATCH(Q$5,DedListItem,0),0,1,1))*$AA194)-SUMIFS(OFFSET(Q$6,1,0,PayCount,1),PayDate,"&lt;"&amp;$AC194,PayEmp,$C194),IF(ISNA(MATCH(Q$2,EarnListItem,0))=FALSE,IF(OFFSET(Setup!$G$73,MATCH(Q$5,DedListItem,0),0,1,1)="Taxable",SUMPRODUCT((PayEmp=$C194)*(PayDate&lt;=$AC194)*(PayEarnCode=Q$2)*(PayEarnTax)*(PayEarnValues)),SUMPRODUCT((PayEmp=$C194)*(PayDate&lt;=$AC194)*(PayEarnCode=Q$2)*(PayEarnValues)))*IF(COUNTIFS(EmpNo,$C194,OFFSET(Emp!$R$4,1,MATCH(Q$5,DedListItem,0)-1,EmpCount,1),"&lt;&gt;")&gt;0,VLOOKUP($C194,EmpAll,COLUMN(Emp!$R$4)+MATCH(Q$5,DedListItem,0)-1,0),OFFSET(Setup!$E$73,MATCH(Q$5,DedListItem,0),0,1,1)),(MIN(IF(OFFSET(Setup!$G$73,MATCH(Q$5,DedListItem,0),0,1,1)="Taxable",SUMPRODUCT((PayEmp=$C194)*(PayDate&lt;=$AC194)*(ISERROR(SEARCH(PayEarnCode,Q$4)))*(PayEarnTax)*(PayEarnValues)),SUMPRODUCT((PayEmp=$C194)*(PayDate&lt;=$AC194)*(ISERROR(SEARCH(PayEarnCode,Q$4)))*(PayEarnValues))),IF(ISNUMBER(Q$3),Q$3/12*$AA194,IgnoreMin)))*IF(COUNTIFS(EmpNo,$C194,OFFSET(Emp!$R$4,1,MATCH(Q$5,DedListItem,0)-1,EmpCount,1),"&lt;&gt;")&gt;0,VLOOKUP($C194,EmpAll,COLUMN(Emp!$R$4)+MATCH(Q$5,DedListItem,0)-1,0),OFFSET(Setup!$E$73,MATCH(Q$5,DedListItem,0),0,1,1)))-SUMIFS(OFFSET(Q$6,1,0,PayCount,1),PayDate,"&lt;"&amp;$AC194,PayEmp,$C194))))))</f>
        <v>0</v>
      </c>
      <c r="R194" s="185">
        <f t="shared" ca="1" si="85"/>
        <v>0</v>
      </c>
      <c r="S194" s="139">
        <f t="shared" ca="1" si="86"/>
        <v>0</v>
      </c>
      <c r="T194" s="133" cm="1">
        <f t="array" aca="1" ref="T194" ca="1">IF($F194="Terminated",0,IF($AA194=0,0,IF(ISNA(MATCH(T$5,CompListItem,0)),0,IF(COUNTIFS(OverEmp,$C194,OverComp,T$5,OverDate,"&lt;"&amp;DATE(YEAR($AC194),MONTH($AC194)+1,1),OverEnd,"&gt;="&amp;DATE(YEAR($AC194),MONTH($AC194),1))&gt;0,SUMIFS(OverValue,OverEmp,$C194,OverComp,T$5,OverDate,"&lt;"&amp;DATE(YEAR($AC194),MONTH($AC194)+1,1),OverEnd,"&gt;="&amp;DATE(YEAR($AC194),MONTH($AC194),1)),IF(OR(T$2="Fixed",T$2="Not Used"),(OFFSET(Setup!$E$81,MATCH(T$5,CompListItem,0),0,1,1)*$AA194)-SUMIFS(OFFSET(T$6,1,0,PayCount,1),PayDate,"&lt;"&amp;$AC194,PayEmp,$C194),IF(ISNA(MATCH(T$2,DedListItem,0))=FALSE,(SUMPRODUCT((PayEmp=$C194)*(PayDate&lt;=$AC194)*(PayDedList=T$2)*(PayDedValues))*OFFSET(Setup!$E$81,MATCH(T$5,CompListItem,0),0,1,1))-SUMIFS(OFFSET(T$6,1,0,PayCount,1),PayDate,"&lt;"&amp;$AC194,PayEmp,$C194),(MIN(IF(OFFSET(Setup!$G$81,MATCH(T$5,CompListItem,0),0,1,1)="Taxable",SUMPRODUCT((PayEmp=$C194)*(PayDate&lt;=$AC194)*(ISERROR(SEARCH(PayEarnCode,T$4)))*(PayEarnTax)*(PayEarnValues)),SUMPRODUCT((PayEmp=$C194)*(PayDate&lt;=$AC194)*(ISERROR(SEARCH(PayEarnCode,T$4)))*(PayEarnValues))),IF(ISNUMBER(T$3),T$3/12*$AA194,IgnoreMin)))*OFFSET(Setup!$E$81,MATCH(T$5,CompListItem,0),0,1,1)-SUMIFS(OFFSET(T$6,1,0,PayCount,1),PayDate,"&lt;"&amp;$AC194,PayEmp,$C194)))))))</f>
        <v>0</v>
      </c>
      <c r="U194" s="133" cm="1">
        <f t="array" aca="1" ref="U194" ca="1">IF($F194="Terminated",0,IF($AA194=0,0,IF(ISNA(MATCH(U$5,CompListItem,0)),0,IF(COUNTIFS(OverEmp,$C194,OverComp,U$5,OverDate,"&lt;"&amp;DATE(YEAR($AC194),MONTH($AC194)+1,1),OverEnd,"&gt;="&amp;DATE(YEAR($AC194),MONTH($AC194),1))&gt;0,SUMIFS(OverValue,OverEmp,$C194,OverComp,U$5,OverDate,"&lt;"&amp;DATE(YEAR($AC194),MONTH($AC194)+1,1),OverEnd,"&gt;="&amp;DATE(YEAR($AC194),MONTH($AC194),1)),IF(OR(U$2="Fixed",U$2="Not Used"),(OFFSET(Setup!$E$81,MATCH(U$5,CompListItem,0),0,1,1)*$AA194)-SUMIFS(OFFSET(U$6,1,0,PayCount,1),PayDate,"&lt;"&amp;$AC194,PayEmp,$C194),IF(ISNA(MATCH(U$2,DedListItem,0))=FALSE,(SUMPRODUCT((PayEmp=$C194)*(PayDate&lt;=$AC194)*(PayDedList=U$2)*(PayDedValues))*OFFSET(Setup!$E$81,MATCH(U$5,CompListItem,0),0,1,1))-SUMIFS(OFFSET(U$6,1,0,PayCount,1),PayDate,"&lt;"&amp;$AC194,PayEmp,$C194),(MIN(IF(OFFSET(Setup!$G$81,MATCH(U$5,CompListItem,0),0,1,1)="Taxable",SUMPRODUCT((PayEmp=$C194)*(PayDate&lt;=$AC194)*(ISERROR(SEARCH(PayEarnCode,U$4)))*(PayEarnTax)*(PayEarnValues)),SUMPRODUCT((PayEmp=$C194)*(PayDate&lt;=$AC194)*(ISERROR(SEARCH(PayEarnCode,U$4)))*(PayEarnValues))),IF(ISNUMBER(U$3),U$3/12*$AA194,IgnoreMin)))*OFFSET(Setup!$E$81,MATCH(U$5,CompListItem,0),0,1,1)-SUMIFS(OFFSET(U$6,1,0,PayCount,1),PayDate,"&lt;"&amp;$AC194,PayEmp,$C194)))))))</f>
        <v>0</v>
      </c>
      <c r="V194" s="133" cm="1">
        <f t="array" aca="1" ref="V194" ca="1">IF($F194="Terminated",0,IF($AA194=0,0,IF(ISNA(MATCH(V$5,CompListItem,0)),0,IF(COUNTIFS(OverEmp,$C194,OverComp,V$5,OverDate,"&lt;"&amp;DATE(YEAR($AC194),MONTH($AC194)+1,1),OverEnd,"&gt;="&amp;DATE(YEAR($AC194),MONTH($AC194),1))&gt;0,SUMIFS(OverValue,OverEmp,$C194,OverComp,V$5,OverDate,"&lt;"&amp;DATE(YEAR($AC194),MONTH($AC194)+1,1),OverEnd,"&gt;="&amp;DATE(YEAR($AC194),MONTH($AC194),1)),IF(OR(V$2="Fixed",V$2="Not Used"),(OFFSET(Setup!$E$81,MATCH(V$5,CompListItem,0),0,1,1)*$AA194)-SUMIFS(OFFSET(V$6,1,0,PayCount,1),PayDate,"&lt;"&amp;$AC194,PayEmp,$C194),IF(ISNA(MATCH(V$2,DedListItem,0))=FALSE,(SUMPRODUCT((PayEmp=$C194)*(PayDate&lt;=$AC194)*(PayDedList=V$2)*(PayDedValues))*OFFSET(Setup!$E$81,MATCH(V$5,CompListItem,0),0,1,1))-SUMIFS(OFFSET(V$6,1,0,PayCount,1),PayDate,"&lt;"&amp;$AC194,PayEmp,$C194),(MIN(IF(OFFSET(Setup!$G$81,MATCH(V$5,CompListItem,0),0,1,1)="Taxable",SUMPRODUCT((PayEmp=$C194)*(PayDate&lt;=$AC194)*(ISERROR(SEARCH(PayEarnCode,V$4)))*(PayEarnTax)*(PayEarnValues)),SUMPRODUCT((PayEmp=$C194)*(PayDate&lt;=$AC194)*(ISERROR(SEARCH(PayEarnCode,V$4)))*(PayEarnValues))),IF(ISNUMBER(V$3),V$3/12*$AA194,IgnoreMin)))*OFFSET(Setup!$E$81,MATCH(V$5,CompListItem,0),0,1,1)-SUMIFS(OFFSET(V$6,1,0,PayCount,1),PayDate,"&lt;"&amp;$AC194,PayEmp,$C194)))))))</f>
        <v>0</v>
      </c>
      <c r="W194" s="133" cm="1">
        <f t="array" aca="1" ref="W194" ca="1">IF($F194="Terminated",0,IF($AA194=0,0,IF(ISNA(MATCH(W$5,CompListItem,0)),0,IF(COUNTIFS(OverEmp,$C194,OverComp,W$5,OverDate,"&lt;"&amp;DATE(YEAR($AC194),MONTH($AC194)+1,1),OverEnd,"&gt;="&amp;DATE(YEAR($AC194),MONTH($AC194),1))&gt;0,SUMIFS(OverValue,OverEmp,$C194,OverComp,W$5,OverDate,"&lt;"&amp;DATE(YEAR($AC194),MONTH($AC194)+1,1),OverEnd,"&gt;="&amp;DATE(YEAR($AC194),MONTH($AC194),1)),IF(OR(W$2="Fixed",W$2="Not Used"),(OFFSET(Setup!$E$81,MATCH(W$5,CompListItem,0),0,1,1)*$AA194)-SUMIFS(OFFSET(W$6,1,0,PayCount,1),PayDate,"&lt;"&amp;$AC194,PayEmp,$C194),IF(ISNA(MATCH(W$2,DedListItem,0))=FALSE,(SUMPRODUCT((PayEmp=$C194)*(PayDate&lt;=$AC194)*(PayDedList=W$2)*(PayDedValues))*OFFSET(Setup!$E$81,MATCH(W$5,CompListItem,0),0,1,1))-SUMIFS(OFFSET(W$6,1,0,PayCount,1),PayDate,"&lt;"&amp;$AC194,PayEmp,$C194),(MIN(IF(OFFSET(Setup!$G$81,MATCH(W$5,CompListItem,0),0,1,1)="Taxable",SUMPRODUCT((PayEmp=$C194)*(PayDate&lt;=$AC194)*(ISERROR(SEARCH(PayEarnCode,W$4)))*(PayEarnTax)*(PayEarnValues)),SUMPRODUCT((PayEmp=$C194)*(PayDate&lt;=$AC194)*(ISERROR(SEARCH(PayEarnCode,W$4)))*(PayEarnValues))),IF(ISNUMBER(W$3),W$3/12*$AA194,IgnoreMin)))*OFFSET(Setup!$E$81,MATCH(W$5,CompListItem,0),0,1,1)-SUMIFS(OFFSET(W$6,1,0,PayCount,1),PayDate,"&lt;"&amp;$AC194,PayEmp,$C194)))))))</f>
        <v>0</v>
      </c>
      <c r="X194" s="185">
        <f t="shared" ca="1" si="90"/>
        <v>0</v>
      </c>
      <c r="Y194" s="139">
        <f t="shared" ca="1" si="87"/>
        <v>0</v>
      </c>
      <c r="Z194" s="139">
        <f t="shared" ca="1" si="91"/>
        <v>0</v>
      </c>
      <c r="AA194" s="146">
        <f ca="1">IF(OR($B194&lt;=Setup!$E$12,$B194&gt;=Setup!$D$12+1),0,IF($F194&lt;&gt;"Active",0,IF($AE194="Yes",$AB194,((YEAR($AC194)*12)+MONTH($AC194))-((YEAR($AD194)*12)+MONTH($AD194)-1))))</f>
        <v>0</v>
      </c>
      <c r="AB194" s="146">
        <f ca="1">IF(OR($B194&lt;=Setup!$E$12,$B194&gt;=Setup!$D$12+1),0,((YEAR($AC194)*12)+MONTH($AC194))-((YEAR(Setup!$E$12)*12)+MONTH(Setup!$E$12)))</f>
        <v>12</v>
      </c>
      <c r="AC194" s="186">
        <f t="shared" ca="1" si="92"/>
        <v>45351</v>
      </c>
      <c r="AD194" s="144">
        <f ca="1">IF(ISNA(VLOOKUP($C194,EmpAll,COLUMN(Emp!$E$4),0)),$AC194,IF(VLOOKUP($C194,EmpAll,COLUMN(Emp!$E$4),0)&lt;=Setup!$E$12,DATE(YEAR(Setup!$E$12),MONTH(Setup!$E$12)+1,1),VLOOKUP($C194,EmpAll,COLUMN(Emp!$E$4),0)))</f>
        <v>45351</v>
      </c>
      <c r="AE194" s="144" t="str">
        <f ca="1">IF(ISNA(VLOOKUP($C194,EmpAll,COLUMN(Emp!$G$1),0)),"-",IF(VLOOKUP($C194,EmpAll,COLUMN(Emp!$G$1),0)=0,"-",VLOOKUP($C194,EmpAll,COLUMN(Emp!$G$1),0)))</f>
        <v>-</v>
      </c>
      <c r="AF194" s="145">
        <f>IF(A194=PaySlip!$G$3,1,0)</f>
        <v>0</v>
      </c>
      <c r="AG194" s="130" cm="1">
        <f t="array" aca="1" ref="AG194" ca="1">IF(COUNTIFS(OverEmp,$C194,OverMed,"MED",OverDate,"&lt;"&amp;DATE(YEAR($AC194),MONTH($AC194)+1,1),OverEnd,"&gt;="&amp;DATE(YEAR($AC194),MONTH($AC194),1))&gt;0,SUMIFS(OverValue,OverEmp,$C194,OverMed,"MED",OverDate,"&lt;"&amp;DATE(YEAR($AC194),MONTH($AC194)+1,1),OverEnd,"&gt;="&amp;DATE(YEAR($AC194),MONTH($AC194),1)),IF(ISNA(VLOOKUP($C194,EmpAll,COLUMN(Emp!$N$4),0)),0,VLOOKUP($C194,EmpAll,COLUMN(Emp!$N$4),0)))</f>
        <v>0</v>
      </c>
      <c r="AH194" s="146">
        <f ca="1">VLOOKUP($AG194,MedList,COLUMN(Setup!$C$49),1)</f>
        <v>0</v>
      </c>
      <c r="AI194" s="146">
        <f t="shared" ca="1" si="70"/>
        <v>0</v>
      </c>
      <c r="AJ194" s="101" t="str">
        <f ca="1">IF(ISNA(VLOOKUP($C194,EmpAll,COLUMN(Emp!$L$4),0)),"None!",VLOOKUP($C194,EmpAll,COLUMN(Emp!$L$4),0))</f>
        <v>None!</v>
      </c>
      <c r="AK194" s="147">
        <f t="shared" ca="1" si="80"/>
        <v>17235</v>
      </c>
      <c r="AL194" s="101" t="str">
        <f ca="1">IF(ISNA(VLOOKUP($C194,Employees[],COLUMN(Emp!$M$4),0))=TRUE,"Error!",IF(VLOOKUP($C194,Employees[],COLUMN(Emp!$M$4),0)=0,"Yes",VLOOKUP($C194,Employees[],COLUMN(Emp!$M$4),0)))</f>
        <v>Error!</v>
      </c>
      <c r="AM194" s="148">
        <f t="shared" ca="1" si="71"/>
        <v>0</v>
      </c>
      <c r="AN194" s="148" cm="1">
        <f t="array" aca="1" ref="AN194" ca="1">-IF($F194="Terminated",0,IF($AA194=0,0,IF(ISNA(MATCH(AN$5,PayDedList,0)),0,MIN(IF(COUNTIFS(OverEmp,$C194,OverDeduct,AN$5,OverDate,"&lt;"&amp;DATE(YEAR($AC194),MONTH($AC194)+1,1),OverEnd,"&gt;="&amp;DATE(YEAR($AC194),MONTH($AC194),1))&gt;0,SUMPRODUCT((PayEmp=$C194)*(PayDate&lt;=$AC194)*(OFFSET($N$6,1,MATCH(AN$5,PayDedList,0)-1,PayCount,1)))/$AA194*12*AN$3,IF(OR(AN$1="Fixed",AN$1="Not Used"),SUMPRODUCT((PayEmp=$C194)*(PayDate&lt;=$AC194)*(OFFSET($N$6,1,MATCH(AN$5,PayDedList,0)-1,PayCount,1)))/$AA194*12*AN$3,IF(ISNA(MATCH(AN$1,EarnListItem,0))=FALSE,SUMPRODUCT((PayEmp=$C194)*(PayDate&lt;=$AC194)*(OFFSET($N$6,1,MATCH(AN$5,PayDedList,0)-1,PayCount,1)))/$AA194*12*AN$3,(MIN(((SUMPRODUCT((PayEmp=$C194)*(PayDate&lt;=$AC194)*(ISERROR(SEARCH(PayEarnCode,AN$2)))*(PayEarnType="Monthly")*(PayEarnValues))/$AA194*12)+(SUMPRODUCT((PayEmp=$C194)*(PayDate&lt;=$AC194)*(ISERROR(SEARCH(PayEarnCode,AN$2)))*(PayEarnType="Quarterly")*(PayEarnValues))/MAX(1,ROUNDDOWN($AB194/3,0))*4)+(SUMPRODUCT((PayEmp=$C194)*(PayDate&lt;=$AC194)*(ISERROR(SEARCH(PayEarnCode,AN$2)))*(PayEarnType="Bi-Annual")*(PayEarnValues))/MAX(1,ROUNDDOWN($AB194/6,0))*2)+(SUMPRODUCT((PayEmp=$C194)*(PayDate&lt;=$AC194)*(ISERROR(SEARCH(PayEarnCode,AN$2)))*(PayEarnType="Annual")*(PayEarnValues)))),IF(ISNUMBER(OFFSET($N$3,0,MATCH(AN$5,PayDedList,0)-1,1,1)),OFFSET($N$3,0,MATCH(AN$5,PayDedList,0)-1,1,1),IgnoreMin)))*IF(COUNTIFS(EmpNo,$C194,OFFSET(Emp!$R$4,1,MATCH(AN$5,DedListItem,0)-1,EmpCount,1),"&lt;&gt;")&gt;0,VLOOKUP($C194,EmpAll,COLUMN(Emp!$R$4)+MATCH(AN$5,DedListItem,0)-1,0),OFFSET(Setup!$E$73,MATCH(AN$5,DedListItem,0),0,1,1))*AN$3))),IF(ISNUMBER(AN$4),AN$4,IgnoreMin)))))</f>
        <v>0</v>
      </c>
      <c r="AO194" s="148" cm="1">
        <f t="array" aca="1" ref="AO194" ca="1">-IF($F194="Terminated",0,IF($AA194=0,0,IF(ISNA(MATCH(AO$5,PayDedList,0)),0,MIN(IF(COUNTIFS(OverEmp,$C194,OverDeduct,AO$5,OverDate,"&lt;"&amp;DATE(YEAR($AC194),MONTH($AC194)+1,1),OverEnd,"&gt;="&amp;DATE(YEAR($AC194),MONTH($AC194),1))&gt;0,SUMPRODUCT((PayEmp=$C194)*(PayDate&lt;=$AC194)*(OFFSET($N$6,1,MATCH(AO$5,PayDedList,0)-1,PayCount,1)))/$AA194*12*AO$3,IF(OR(AO$1="Fixed",AO$1="Not Used"),SUMPRODUCT((PayEmp=$C194)*(PayDate&lt;=$AC194)*(OFFSET($N$6,1,MATCH(AO$5,PayDedList,0)-1,PayCount,1)))/$AA194*12*AO$3,IF(ISNA(MATCH(AO$1,EarnListItem,0))=FALSE,SUMPRODUCT((PayEmp=$C194)*(PayDate&lt;=$AC194)*(OFFSET($N$6,1,MATCH(AO$5,PayDedList,0)-1,PayCount,1)))/$AA194*12*AO$3,(MIN(((SUMPRODUCT((PayEmp=$C194)*(PayDate&lt;=$AC194)*(ISERROR(SEARCH(PayEarnCode,AO$2)))*(PayEarnType="Monthly")*(PayEarnValues))/$AA194*12)+(SUMPRODUCT((PayEmp=$C194)*(PayDate&lt;=$AC194)*(ISERROR(SEARCH(PayEarnCode,AO$2)))*(PayEarnType="Quarterly")*(PayEarnValues))/MAX(1,ROUNDDOWN($AB194/3,0))*4)+(SUMPRODUCT((PayEmp=$C194)*(PayDate&lt;=$AC194)*(ISERROR(SEARCH(PayEarnCode,AO$2)))*(PayEarnType="Bi-Annual")*(PayEarnValues))/MAX(1,ROUNDDOWN($AB194/6,0))*2)+(SUMPRODUCT((PayEmp=$C194)*(PayDate&lt;=$AC194)*(ISERROR(SEARCH(PayEarnCode,AO$2)))*(PayEarnType="Annual")*(PayEarnValues)))),IF(ISNUMBER(OFFSET($N$3,0,MATCH(AO$5,PayDedList,0)-1,1,1)),OFFSET($N$3,0,MATCH(AO$5,PayDedList,0)-1,1,1),IgnoreMin)))*IF(COUNTIFS(EmpNo,$C194,OFFSET(Emp!$R$4,1,MATCH(AO$5,DedListItem,0)-1,EmpCount,1),"&lt;&gt;")&gt;0,VLOOKUP($C194,EmpAll,COLUMN(Emp!$R$4)+MATCH(AO$5,DedListItem,0)-1,0),OFFSET(Setup!$E$73,MATCH(AO$5,DedListItem,0),0,1,1))*AO$3))),IF(ISNUMBER(AO$4),AO$4,IgnoreMin)))))</f>
        <v>0</v>
      </c>
      <c r="AP194" s="148" cm="1">
        <f t="array" aca="1" ref="AP194" ca="1">-IF($F194="Terminated",0,IF($AA194=0,0,IF(ISNA(MATCH(AP$5,PayDedList,0)),0,MIN(IF(COUNTIFS(OverEmp,$C194,OverDeduct,AP$5,OverDate,"&lt;"&amp;DATE(YEAR($AC194),MONTH($AC194)+1,1),OverEnd,"&gt;="&amp;DATE(YEAR($AC194),MONTH($AC194),1))&gt;0,SUMPRODUCT((PayEmp=$C194)*(PayDate&lt;=$AC194)*(OFFSET($N$6,1,MATCH(AP$5,PayDedList,0)-1,PayCount,1)))/$AA194*12*AP$3,IF(OR(AP$1="Fixed",AP$1="Not Used"),SUMPRODUCT((PayEmp=$C194)*(PayDate&lt;=$AC194)*(OFFSET($N$6,1,MATCH(AP$5,PayDedList,0)-1,PayCount,1)))/$AA194*12*AP$3,IF(ISNA(MATCH(AP$1,EarnListItem,0))=FALSE,SUMPRODUCT((PayEmp=$C194)*(PayDate&lt;=$AC194)*(OFFSET($N$6,1,MATCH(AP$5,PayDedList,0)-1,PayCount,1)))/$AA194*12*AP$3,(MIN(((SUMPRODUCT((PayEmp=$C194)*(PayDate&lt;=$AC194)*(ISERROR(SEARCH(PayEarnCode,AP$2)))*(PayEarnType="Monthly")*(PayEarnValues))/$AA194*12)+(SUMPRODUCT((PayEmp=$C194)*(PayDate&lt;=$AC194)*(ISERROR(SEARCH(PayEarnCode,AP$2)))*(PayEarnType="Quarterly")*(PayEarnValues))/MAX(1,ROUNDDOWN($AB194/3,0))*4)+(SUMPRODUCT((PayEmp=$C194)*(PayDate&lt;=$AC194)*(ISERROR(SEARCH(PayEarnCode,AP$2)))*(PayEarnType="Bi-Annual")*(PayEarnValues))/MAX(1,ROUNDDOWN($AB194/6,0))*2)+(SUMPRODUCT((PayEmp=$C194)*(PayDate&lt;=$AC194)*(ISERROR(SEARCH(PayEarnCode,AP$2)))*(PayEarnType="Annual")*(PayEarnValues)))),IF(ISNUMBER(OFFSET($N$3,0,MATCH(AP$5,PayDedList,0)-1,1,1)),OFFSET($N$3,0,MATCH(AP$5,PayDedList,0)-1,1,1),IgnoreMin)))*IF(COUNTIFS(EmpNo,$C194,OFFSET(Emp!$R$4,1,MATCH(AP$5,DedListItem,0)-1,EmpCount,1),"&lt;&gt;")&gt;0,VLOOKUP($C194,EmpAll,COLUMN(Emp!$R$4)+MATCH(AP$5,DedListItem,0)-1,0),OFFSET(Setup!$E$73,MATCH(AP$5,DedListItem,0),0,1,1))*AP$3))),IF(ISNUMBER(AP$4),AP$4,IgnoreMin)))))</f>
        <v>0</v>
      </c>
      <c r="AQ194" s="148" cm="1">
        <f t="array" aca="1" ref="AQ194" ca="1">-IF($F194="Terminated",0,IF($AA194=0,0,IF(ISNA(MATCH(AQ$5,PayDedList,0)),0,MIN(IF(COUNTIFS(OverEmp,$C194,OverDeduct,AQ$5,OverDate,"&lt;"&amp;DATE(YEAR($AC194),MONTH($AC194)+1,1),OverEnd,"&gt;="&amp;DATE(YEAR($AC194),MONTH($AC194),1))&gt;0,SUMPRODUCT((PayEmp=$C194)*(PayDate&lt;=$AC194)*(OFFSET($N$6,1,MATCH(AQ$5,PayDedList,0)-1,PayCount,1)))/$AA194*12*AQ$3,IF(OR(AQ$1="Fixed",AQ$1="Not Used"),SUMPRODUCT((PayEmp=$C194)*(PayDate&lt;=$AC194)*(OFFSET($N$6,1,MATCH(AQ$5,PayDedList,0)-1,PayCount,1)))/$AA194*12*AQ$3,IF(ISNA(MATCH(AQ$1,EarnListItem,0))=FALSE,SUMPRODUCT((PayEmp=$C194)*(PayDate&lt;=$AC194)*(OFFSET($N$6,1,MATCH(AQ$5,PayDedList,0)-1,PayCount,1)))/$AA194*12*AQ$3,(MIN(((SUMPRODUCT((PayEmp=$C194)*(PayDate&lt;=$AC194)*(ISERROR(SEARCH(PayEarnCode,AQ$2)))*(PayEarnType="Monthly")*(PayEarnValues))/$AA194*12)+(SUMPRODUCT((PayEmp=$C194)*(PayDate&lt;=$AC194)*(ISERROR(SEARCH(PayEarnCode,AQ$2)))*(PayEarnType="Quarterly")*(PayEarnValues))/MAX(1,ROUNDDOWN($AB194/3,0))*4)+(SUMPRODUCT((PayEmp=$C194)*(PayDate&lt;=$AC194)*(ISERROR(SEARCH(PayEarnCode,AQ$2)))*(PayEarnType="Bi-Annual")*(PayEarnValues))/MAX(1,ROUNDDOWN($AB194/6,0))*2)+(SUMPRODUCT((PayEmp=$C194)*(PayDate&lt;=$AC194)*(ISERROR(SEARCH(PayEarnCode,AQ$2)))*(PayEarnType="Annual")*(PayEarnValues)))),IF(ISNUMBER(OFFSET($N$3,0,MATCH(AQ$5,PayDedList,0)-1,1,1)),OFFSET($N$3,0,MATCH(AQ$5,PayDedList,0)-1,1,1),IgnoreMin)))*IF(COUNTIFS(EmpNo,$C194,OFFSET(Emp!$R$4,1,MATCH(AQ$5,DedListItem,0)-1,EmpCount,1),"&lt;&gt;")&gt;0,VLOOKUP($C194,EmpAll,COLUMN(Emp!$R$4)+MATCH(AQ$5,DedListItem,0)-1,0),OFFSET(Setup!$E$73,MATCH(AQ$5,DedListItem,0),0,1,1))*AQ$3))),IF(ISNUMBER(AQ$4),AQ$4,IgnoreMin)))))</f>
        <v>0</v>
      </c>
      <c r="AR194" s="148">
        <f t="shared" ca="1" si="93"/>
        <v>0</v>
      </c>
      <c r="AS194" s="148">
        <f t="shared" ca="1" si="72"/>
        <v>0</v>
      </c>
      <c r="AT194" s="148" cm="1">
        <f t="array" aca="1" ref="AT194" ca="1">-IF($F194="Terminated",0,IF($AA194=0,0,IF(ISNA(MATCH(AT$5,PayDedList,0)),0,MIN(IF(COUNTIFS(OverEmp,$C194,OverDeduct,AT$5,OverDate,"&lt;"&amp;DATE(YEAR($AC194),MONTH($AC194)+1,1),OverEnd,"&gt;="&amp;DATE(YEAR($AC194),MONTH($AC194),1))&gt;0,SUMPRODUCT((PayEmp=$C194)*(PayDate&lt;=$AC194)*(OFFSET($N$6,1,MATCH(AT$5,PayDedList,0)-1,PayCount,1)))/$AA194*12*AT$3,IF(OR(AT$1="Fixed",AT$1="Not Used"),SUMPRODUCT((PayEmp=$C194)*(PayDate&lt;=$AC194)*(OFFSET($N$6,1,MATCH(AT$5,PayDedList,0)-1,PayCount,1)))/$AA194*12*AT$3,IF(ISNA(MATCH(OFFSET($N$2,0,MATCH(AT$5,PayDedList,0)-1,1,1),EarnListItem,0))=FALSE,SUMPRODUCT((PayEmp=$C194)*(PayDate&lt;=$AC194)*(OFFSET($N$6,1,MATCH(AT$5,PayDedList,0)-1,PayCount,1)))/$AA194*12*AT$3,(MIN(SUMPRODUCT((PayEmp=$C194)*(PayDate&lt;=$AC194)*(ISERROR(SEARCH(PayEarnCode,AT$2)))*(PayEarnType="Monthly")*(PayEarnValues))/$AA194*12,IF(ISNUMBER(OFFSET($N$3,0,MATCH(AT$5,PayDedList,0)-1,1,1)),OFFSET($N$3,0,MATCH(AT$5,PayDedList,0)-1,1,1),IgnoreMin)))*IF(COUNTIFS(EmpNo,$C194,OFFSET(Emp!$R$4,1,MATCH(AT$5,DedListItem,0)-1,EmpCount,1),"&lt;&gt;")&gt;0,VLOOKUP($C194,EmpAll,COLUMN(Emp!$R$4)+MATCH(AT$5,DedListItem,0)-1,0),OFFSET(Setup!$E$73,MATCH(AT$5,DedListItem,0),0,1,1))*AT$3))),IF(ISNUMBER(AT$4),AT$4,IgnoreMin)))))</f>
        <v>0</v>
      </c>
      <c r="AU194" s="148" cm="1">
        <f t="array" aca="1" ref="AU194" ca="1">-IF($F194="Terminated",0,IF($AA194=0,0,IF(ISNA(MATCH(AU$5,PayDedList,0)),0,MIN(IF(COUNTIFS(OverEmp,$C194,OverDeduct,AU$5,OverDate,"&lt;"&amp;DATE(YEAR($AC194),MONTH($AC194)+1,1),OverEnd,"&gt;="&amp;DATE(YEAR($AC194),MONTH($AC194),1))&gt;0,SUMPRODUCT((PayEmp=$C194)*(PayDate&lt;=$AC194)*(OFFSET($N$6,1,MATCH(AU$5,PayDedList,0)-1,PayCount,1)))/$AA194*12*AU$3,IF(OR(AU$1="Fixed",AU$1="Not Used"),SUMPRODUCT((PayEmp=$C194)*(PayDate&lt;=$AC194)*(OFFSET($N$6,1,MATCH(AU$5,PayDedList,0)-1,PayCount,1)))/$AA194*12*AU$3,IF(ISNA(MATCH(OFFSET($N$2,0,MATCH(AU$5,PayDedList,0)-1,1,1),EarnListItem,0))=FALSE,SUMPRODUCT((PayEmp=$C194)*(PayDate&lt;=$AC194)*(OFFSET($N$6,1,MATCH(AU$5,PayDedList,0)-1,PayCount,1)))/$AA194*12*AU$3,(MIN(SUMPRODUCT((PayEmp=$C194)*(PayDate&lt;=$AC194)*(ISERROR(SEARCH(PayEarnCode,AU$2)))*(PayEarnType="Monthly")*(PayEarnValues))/$AA194*12,IF(ISNUMBER(OFFSET($N$3,0,MATCH(AU$5,PayDedList,0)-1,1,1)),OFFSET($N$3,0,MATCH(AU$5,PayDedList,0)-1,1,1),IgnoreMin)))*IF(COUNTIFS(EmpNo,$C194,OFFSET(Emp!$R$4,1,MATCH(AU$5,DedListItem,0)-1,EmpCount,1),"&lt;&gt;")&gt;0,VLOOKUP($C194,EmpAll,COLUMN(Emp!$R$4)+MATCH(AU$5,DedListItem,0)-1,0),OFFSET(Setup!$E$73,MATCH(AU$5,DedListItem,0),0,1,1))*AU$3))),IF(ISNUMBER(AU$4),AU$4,IgnoreMin)))))</f>
        <v>0</v>
      </c>
      <c r="AV194" s="148" cm="1">
        <f t="array" aca="1" ref="AV194" ca="1">-IF($F194="Terminated",0,IF($AA194=0,0,IF(ISNA(MATCH(AV$5,PayDedList,0)),0,MIN(IF(COUNTIFS(OverEmp,$C194,OverDeduct,AV$5,OverDate,"&lt;"&amp;DATE(YEAR($AC194),MONTH($AC194)+1,1),OverEnd,"&gt;="&amp;DATE(YEAR($AC194),MONTH($AC194),1))&gt;0,SUMPRODUCT((PayEmp=$C194)*(PayDate&lt;=$AC194)*(OFFSET($N$6,1,MATCH(AV$5,PayDedList,0)-1,PayCount,1)))/$AA194*12*AV$3,IF(OR(AV$1="Fixed",AV$1="Not Used"),SUMPRODUCT((PayEmp=$C194)*(PayDate&lt;=$AC194)*(OFFSET($N$6,1,MATCH(AV$5,PayDedList,0)-1,PayCount,1)))/$AA194*12*AV$3,IF(ISNA(MATCH(OFFSET($N$2,0,MATCH(AV$5,PayDedList,0)-1,1,1),EarnListItem,0))=FALSE,SUMPRODUCT((PayEmp=$C194)*(PayDate&lt;=$AC194)*(OFFSET($N$6,1,MATCH(AV$5,PayDedList,0)-1,PayCount,1)))/$AA194*12*AV$3,(MIN(SUMPRODUCT((PayEmp=$C194)*(PayDate&lt;=$AC194)*(ISERROR(SEARCH(PayEarnCode,AV$2)))*(PayEarnType="Monthly")*(PayEarnValues))/$AA194*12,IF(ISNUMBER(OFFSET($N$3,0,MATCH(AV$5,PayDedList,0)-1,1,1)),OFFSET($N$3,0,MATCH(AV$5,PayDedList,0)-1,1,1),IgnoreMin)))*IF(COUNTIFS(EmpNo,$C194,OFFSET(Emp!$R$4,1,MATCH(AV$5,DedListItem,0)-1,EmpCount,1),"&lt;&gt;")&gt;0,VLOOKUP($C194,EmpAll,COLUMN(Emp!$R$4)+MATCH(AV$5,DedListItem,0)-1,0),OFFSET(Setup!$E$73,MATCH(AV$5,DedListItem,0),0,1,1))*AV$3))),IF(ISNUMBER(AV$4),AV$4,IgnoreMin)))))</f>
        <v>0</v>
      </c>
      <c r="AW194" s="148" cm="1">
        <f t="array" aca="1" ref="AW194" ca="1">-IF($F194="Terminated",0,IF($AA194=0,0,IF(ISNA(MATCH(AW$5,PayDedList,0)),0,MIN(IF(COUNTIFS(OverEmp,$C194,OverDeduct,AW$5,OverDate,"&lt;"&amp;DATE(YEAR($AC194),MONTH($AC194)+1,1),OverEnd,"&gt;="&amp;DATE(YEAR($AC194),MONTH($AC194),1))&gt;0,SUMPRODUCT((PayEmp=$C194)*(PayDate&lt;=$AC194)*(OFFSET($N$6,1,MATCH(AW$5,PayDedList,0)-1,PayCount,1)))/$AA194*12*AW$3,IF(OR(AW$1="Fixed",AW$1="Not Used"),SUMPRODUCT((PayEmp=$C194)*(PayDate&lt;=$AC194)*(OFFSET($N$6,1,MATCH(AW$5,PayDedList,0)-1,PayCount,1)))/$AA194*12*AW$3,IF(ISNA(MATCH(OFFSET($N$2,0,MATCH(AW$5,PayDedList,0)-1,1,1),EarnListItem,0))=FALSE,SUMPRODUCT((PayEmp=$C194)*(PayDate&lt;=$AC194)*(OFFSET($N$6,1,MATCH(AW$5,PayDedList,0)-1,PayCount,1)))/$AA194*12*AW$3,(MIN(SUMPRODUCT((PayEmp=$C194)*(PayDate&lt;=$AC194)*(ISERROR(SEARCH(PayEarnCode,AW$2)))*(PayEarnType="Monthly")*(PayEarnValues))/$AA194*12,IF(ISNUMBER(OFFSET($N$3,0,MATCH(AW$5,PayDedList,0)-1,1,1)),OFFSET($N$3,0,MATCH(AW$5,PayDedList,0)-1,1,1),IgnoreMin)))*IF(COUNTIFS(EmpNo,$C194,OFFSET(Emp!$R$4,1,MATCH(AW$5,DedListItem,0)-1,EmpCount,1),"&lt;&gt;")&gt;0,VLOOKUP($C194,EmpAll,COLUMN(Emp!$R$4)+MATCH(AW$5,DedListItem,0)-1,0),OFFSET(Setup!$E$73,MATCH(AW$5,DedListItem,0),0,1,1))*AW$3))),IF(ISNUMBER(AW$4),AW$4,IgnoreMin)))))</f>
        <v>0</v>
      </c>
      <c r="AX194" s="148">
        <f t="shared" ca="1" si="88"/>
        <v>0</v>
      </c>
      <c r="AY194" s="148">
        <f t="shared" ca="1" si="89"/>
        <v>0</v>
      </c>
      <c r="AZ194" s="148">
        <f ca="1">IF(ISNUMBER($AL194),($AR194*$AL194)-$AI194-$AK194,MAX(0,IF($AL194="B",IF($AR194&lt;Setup!$C$32,($AR194*Setup!$D$32)-$AI194-$AK194,(($AR194-VLOOKUP($AR194,TaxAll2,1,1))*OFFSET(Setup!$D$32,MATCH($AR194,TaxBracket2,1),0,1,1))+OFFSET(Setup!$E$31,MATCH($AR194,TaxBracket2,1),0,1,1)-$AI194-$AK194),IF($AR194&lt;Setup!$C$21,($AR194*Setup!$D$21)-$AI194-$AK194,(($AR194-VLOOKUP($AR194,TaxAll1,1,1))*OFFSET(Setup!$D$21,MATCH($AR194,TaxBracket1,1),0,1,1))+OFFSET(Setup!$E$20,MATCH($AR194,TaxBracket1,1),0,1,1)-$AI194-$AK194))))</f>
        <v>0</v>
      </c>
      <c r="BA194" s="148">
        <f ca="1">IF(ISNUMBER($AL194),($AX194*$AL194)-$AI194-$AK194,MAX(0,IF($AL194="B",IF($AX194&lt;Setup!$C$32,($AX194*Setup!$D$32)-$AI194-$AK194,(($AX194-VLOOKUP($AX194,TaxAll2,1,1))*OFFSET(Setup!$D$32,MATCH($AX194,TaxBracket2,1),0,1,1))+OFFSET(Setup!$E$31,MATCH($AX194,TaxBracket2,1),0,1,1)-$AI194-$AK194),IF($AX194&lt;Setup!$C$21,($AX194*Setup!$D$21)-$AI194-$AK194,(($AX194-VLOOKUP($AX194,TaxAll1,1,1))*OFFSET(Setup!$D$21,MATCH($AX194,TaxBracket1,1),0,1,1))+OFFSET(Setup!$E$20,MATCH($AX194,TaxBracket1,1),0,1,1)-$AI194-$AK194))))</f>
        <v>0</v>
      </c>
      <c r="BB194" s="148">
        <f t="shared" ca="1" si="94"/>
        <v>0</v>
      </c>
      <c r="BC194" s="150">
        <f t="shared" ca="1" si="75"/>
        <v>0</v>
      </c>
      <c r="BD194" s="150">
        <f t="shared" ca="1" si="76"/>
        <v>0</v>
      </c>
      <c r="BE194" s="148">
        <f t="shared" ca="1" si="77"/>
        <v>0</v>
      </c>
    </row>
    <row r="195" spans="1:57" ht="16.149999999999999" customHeight="1" x14ac:dyDescent="0.25">
      <c r="A195" s="10" t="str" cm="1">
        <f t="array" ref="A195">IF(ROW($A195)-ROW($A$6)&gt;EmpCount*12,"-",TEXT($B195,"yyyy")&amp;TEXT($B195,"mm")&amp;"-"&amp;$C195)</f>
        <v>-</v>
      </c>
      <c r="B195" s="137" cm="1">
        <f t="array" aca="1" ref="B195" ca="1">IF(ROW($A195)-ROW($A$6)&gt;EmpCount*12,Setup!$D$12,DATE(YEAR(Setup!$F$12),MONTH(Setup!$F$12)+ROUNDDOWN((ROW($A195)-ROW($A$6)-1)/EmpCount,0),IF(Setup!$C$14&gt;DAY(DATE(YEAR(Setup!$F$12),MONTH(Setup!$F$12)+ROUNDDOWN((ROW($A195)-ROW($A$6)-1)/EmpCount,0)+1,0)),DAY(DATE(YEAR(Setup!$F$12),MONTH(Setup!$F$12)+ROUNDDOWN((ROW($A195)-ROW($A$6)-1)/EmpCount,0)+1,0)),Setup!$C$14)))</f>
        <v>45351</v>
      </c>
      <c r="C195" s="101" t="str" cm="1">
        <f t="array" aca="1" ref="C195" ca="1">IF(ROW($A195)-ROW($A$6)&gt;EmpCount*12,"-",OFFSET(Emp!$A$4,ROW($A195)-ROW($A$6)-IF(ROW($A195)-ROW($A$6)&gt;EmpCount,ROUNDDOWN((ROW($A195)-ROW($A$6)-1)/EmpCount,0)*EmpCount,0),0,1,1))</f>
        <v>-</v>
      </c>
      <c r="D195" s="10" t="str">
        <f ca="1">IF(ISNA(VLOOKUP($C195,EmpAll,COLUMN(Emp!$B$4),0)),"-",VLOOKUP($C195,EmpAll,COLUMN(Emp!$B$4),0))</f>
        <v>-</v>
      </c>
      <c r="E195" s="145" t="str">
        <f ca="1">IF(ISNA(VLOOKUP($C195,EmpAll,COLUMN(Emp!$C$4),0)),"-",VLOOKUP($C195,EmpAll,COLUMN(Emp!$C$4),0))</f>
        <v>-</v>
      </c>
      <c r="F195" s="101" t="str">
        <f ca="1">IF(ISNA(VLOOKUP($C195,EmpAll,COLUMN(Emp!$A$4),0)),"-",IF(AND(VLOOKUP($C195,EmpAll,COLUMN(Emp!$E$4),0)&lt;&gt;0,VLOOKUP($C195,EmpAll,COLUMN(Emp!$E$4),0)&gt;=DATE(YEAR($AC195),MONTH($AC195)+1,0)),"Inactive",IF(AND(VLOOKUP($C195,EmpAll,COLUMN(Emp!$F$4),0)&lt;&gt;0,VLOOKUP($C195,EmpAll,COLUMN(Emp!$F$4),0)&lt;=DATE(YEAR($AC195),MONTH($AC195),0)),"Terminated","Active")))</f>
        <v>-</v>
      </c>
      <c r="G195" s="133" cm="1">
        <f t="array" aca="1" ref="G195" ca="1">IF($F195&lt;&gt;"Active",0,IF(COUNTIFS(OverEmp,$C195,OverEarn,G$2,OverDate,"&lt;"&amp;DATE(YEAR($AC195),MONTH($AC195)+1,1),OverEnd,"&gt;="&amp;DATE(YEAR($AC195),MONTH($AC195),1))&gt;0,SUMIFS(OverValue,OverEmp,$C195,OverEarn,G$2,OverDate,"&lt;"&amp;DATE(YEAR($AC195),MONTH($AC195)+1,1),OverEnd,"&gt;="&amp;DATE(YEAR($AC195),MONTH($AC195),1)),IF(AND($AC195&gt;=Setup!$E$10,SUMIFS(EmpIncrease,EmpCode,$C195)&gt;0),SUMIFS(EmpIncrease,EmpCode,$C195),SUMIFS(EmpSalary,EmpCode,$C195))))</f>
        <v>0</v>
      </c>
      <c r="H195" s="133" cm="1">
        <f t="array" aca="1" ref="H195" ca="1">IF($F195&lt;&gt;"Active",0,IF(COUNTIFS(OverEmp,$C195,OverEarn,H$2,OverDate,"&lt;"&amp;DATE(YEAR($AC195),MONTH($AC195)+1,1),OverEnd,"&gt;="&amp;DATE(YEAR($AC195),MONTH($AC195),1))&gt;0,SUMIFS(OverValue,OverEmp,$C195,OverEarn,H$2,OverDate,"&lt;"&amp;DATE(YEAR($AC195),MONTH($AC195)+1,1),OverEnd,"&gt;="&amp;DATE(YEAR($AC195),MONTH($AC195),1)),0))</f>
        <v>0</v>
      </c>
      <c r="I195" s="133" cm="1">
        <f t="array" aca="1" ref="I195" ca="1">IF($F195&lt;&gt;"Active",0,IF(COUNTIFS(OverEmp,$C195,OverEarn,I$2,OverDate,"&lt;"&amp;DATE(YEAR($AC195),MONTH($AC195)+1,1),OverEnd,"&gt;="&amp;DATE(YEAR($AC195),MONTH($AC195),1))&gt;0,SUMIFS(OverValue,OverEmp,$C195,OverEarn,I$2,OverDate,"&lt;"&amp;DATE(YEAR($AC195),MONTH($AC195)+1,1),OverEnd,"&gt;="&amp;DATE(YEAR($AC195),MONTH($AC195),1)),IF(MONTH(B195)=Setup!$C$15,SUMIFS(EmpBonus,EmpCode,$C195),0)))</f>
        <v>0</v>
      </c>
      <c r="J195" s="133" cm="1">
        <f t="array" aca="1" ref="J195" ca="1">IF($F195&lt;&gt;"Active",0,IF(COUNTIFS(OverEmp,$C195,OverEarn,J$2,OverDate,"&lt;"&amp;DATE(YEAR($AC195),MONTH($AC195)+1,1),OverEnd,"&gt;="&amp;DATE(YEAR($AC195),MONTH($AC195),1))&gt;0,SUMIFS(OverValue,OverEmp,$C195,OverEarn,J$2,OverDate,"&lt;"&amp;DATE(YEAR($AC195),MONTH($AC195)+1,1),OverEnd,"&gt;="&amp;DATE(YEAR($AC195),MONTH($AC195),1)),0))</f>
        <v>0</v>
      </c>
      <c r="K195" s="133" cm="1">
        <f t="array" aca="1" ref="K195" ca="1">IF($F195&lt;&gt;"Active",0,IF(COUNTIFS(OverEmp,$C195,OverEarn,K$2,OverDate,"&lt;"&amp;DATE(YEAR($AC195),MONTH($AC195)+1,1),OverEnd,"&gt;="&amp;DATE(YEAR($AC195),MONTH($AC195),1))&gt;0,SUMIFS(OverValue,OverEmp,$C195,OverEarn,K$2,OverDate,"&lt;"&amp;DATE(YEAR($AC195),MONTH($AC195)+1,1),OverEnd,"&gt;="&amp;DATE(YEAR($AC195),MONTH($AC195),1)),0))</f>
        <v>0</v>
      </c>
      <c r="L195" s="185">
        <f t="shared" ref="L195:L207" ca="1" si="95">IF($AA195=0,0,SUM(OFFSET($G195,0,0,1,COLUMN($L$6)-COLUMN($G$6))))</f>
        <v>0</v>
      </c>
      <c r="M195" s="182" cm="1">
        <f t="array" aca="1" ref="M195" ca="1">IF(COUNTIFS(OverEmp,$C195,OverTax,M$5,OverDate,"&lt;"&amp;DATE(YEAR($AC195),MONTH($AC195)+1,1),OverEnd,"&gt;="&amp;DATE(YEAR($AC195),MONTH($AC195),1))&gt;0,SUMIFS(OverValue,OverEmp,$C195,OverTax,M$5,OverDate,"&lt;"&amp;DATE(YEAR($AC195),MONTH($AC195)+1,1),OverEnd,"&gt;="&amp;DATE(YEAR($AC195),MONTH($AC195),1)),(($BA195/12*$AA195)+(BB195*IF(1-$BC195=0,0,BD195/(1-$BC195))))-IF($F195="Terminated",0,SUMIFS(PayTaxDeduct,PayDate,"&lt;"&amp;$AC195,PayEmp,$C195)))</f>
        <v>0</v>
      </c>
      <c r="N195" s="133" cm="1">
        <f t="array" aca="1" ref="N195" ca="1">IF($F195="Terminated",0,IF($AA195=0,0,IF(ISNA(MATCH(N$5,DedListItem,0)),0,IF(COUNTIFS(OverEmp,$C195,OverDeduct,N$5,OverDate,"&lt;"&amp;DATE(YEAR($AC195),MONTH($AC195)+1,1),OverEnd,"&gt;="&amp;DATE(YEAR($AC195),MONTH($AC195),1))&gt;0,SUMIFS(OverValue,OverEmp,$C195,OverDeduct,N$5,OverDate,"&lt;"&amp;DATE(YEAR($AC195),MONTH($AC195)+1,1),OverEnd,"&gt;="&amp;DATE(YEAR($AC195),MONTH($AC195),1)),IF(OR(N$2="Fixed",N$2="Not Used"),(IF(COUNTIFS(EmpNo,$C195,OFFSET(Emp!$R$4,1,MATCH(N$5,DedListItem,0)-1,EmpCount,1),"&lt;&gt;")&gt;0,VLOOKUP($C195,EmpAll,COLUMN(Emp!$R$4)+MATCH(N$5,DedListItem,0)-1,0),OFFSET(Setup!$E$73,MATCH(N$5,DedListItem,0),0,1,1))*$AA195)-SUMIFS(OFFSET(N$6,1,0,PayCount,1),PayDate,"&lt;"&amp;$AC195,PayEmp,$C195),IF(ISNA(MATCH(N$2,EarnListItem,0))=FALSE,IF(OFFSET(Setup!$G$73,MATCH(N$5,DedListItem,0),0,1,1)="Taxable",SUMPRODUCT((PayEmp=$C195)*(PayDate&lt;=$AC195)*(PayEarnCode=N$2)*(PayEarnTax)*(PayEarnValues)),SUMPRODUCT((PayEmp=$C195)*(PayDate&lt;=$AC195)*(PayEarnCode=N$2)*(PayEarnValues)))*IF(COUNTIFS(EmpNo,$C195,OFFSET(Emp!$R$4,1,MATCH(N$5,DedListItem,0)-1,EmpCount,1),"&lt;&gt;")&gt;0,VLOOKUP($C195,EmpAll,COLUMN(Emp!$R$4)+MATCH(N$5,DedListItem,0)-1,0),OFFSET(Setup!$E$73,MATCH(N$5,DedListItem,0),0,1,1)),(MIN(IF(OFFSET(Setup!$G$73,MATCH(N$5,DedListItem,0),0,1,1)="Taxable",SUMPRODUCT((PayEmp=$C195)*(PayDate&lt;=$AC195)*(ISERROR(SEARCH(PayEarnCode,N$4)))*(PayEarnTax)*(PayEarnValues)),SUMPRODUCT((PayEmp=$C195)*(PayDate&lt;=$AC195)*(ISERROR(SEARCH(PayEarnCode,N$4)))*(PayEarnValues))),IF(ISNUMBER(N$3),N$3/12*$AA195,IgnoreMin)))*IF(COUNTIFS(EmpNo,$C195,OFFSET(Emp!$R$4,1,MATCH(N$5,DedListItem,0)-1,EmpCount,1),"&lt;&gt;")&gt;0,VLOOKUP($C195,EmpAll,COLUMN(Emp!$R$4)+MATCH(N$5,DedListItem,0)-1,0),OFFSET(Setup!$E$73,MATCH(N$5,DedListItem,0),0,1,1)))-SUMIFS(OFFSET(N$6,1,0,PayCount,1),PayDate,"&lt;"&amp;$AC195,PayEmp,$C195))))))</f>
        <v>0</v>
      </c>
      <c r="O195" s="133" cm="1">
        <f t="array" aca="1" ref="O195" ca="1">IF($F195="Terminated",0,IF($AA195=0,0,IF(ISNA(MATCH(O$5,DedListItem,0)),0,IF(COUNTIFS(OverEmp,$C195,OverDeduct,O$5,OverDate,"&lt;"&amp;DATE(YEAR($AC195),MONTH($AC195)+1,1),OverEnd,"&gt;="&amp;DATE(YEAR($AC195),MONTH($AC195),1))&gt;0,SUMIFS(OverValue,OverEmp,$C195,OverDeduct,O$5,OverDate,"&lt;"&amp;DATE(YEAR($AC195),MONTH($AC195)+1,1),OverEnd,"&gt;="&amp;DATE(YEAR($AC195),MONTH($AC195),1)),IF(OR(O$2="Fixed",O$2="Not Used"),(IF(COUNTIFS(EmpNo,$C195,OFFSET(Emp!$R$4,1,MATCH(O$5,DedListItem,0)-1,EmpCount,1),"&lt;&gt;")&gt;0,VLOOKUP($C195,EmpAll,COLUMN(Emp!$R$4)+MATCH(O$5,DedListItem,0)-1,0),OFFSET(Setup!$E$73,MATCH(O$5,DedListItem,0),0,1,1))*$AA195)-SUMIFS(OFFSET(O$6,1,0,PayCount,1),PayDate,"&lt;"&amp;$AC195,PayEmp,$C195),IF(ISNA(MATCH(O$2,EarnListItem,0))=FALSE,IF(OFFSET(Setup!$G$73,MATCH(O$5,DedListItem,0),0,1,1)="Taxable",SUMPRODUCT((PayEmp=$C195)*(PayDate&lt;=$AC195)*(PayEarnCode=O$2)*(PayEarnTax)*(PayEarnValues)),SUMPRODUCT((PayEmp=$C195)*(PayDate&lt;=$AC195)*(PayEarnCode=O$2)*(PayEarnValues)))*IF(COUNTIFS(EmpNo,$C195,OFFSET(Emp!$R$4,1,MATCH(O$5,DedListItem,0)-1,EmpCount,1),"&lt;&gt;")&gt;0,VLOOKUP($C195,EmpAll,COLUMN(Emp!$R$4)+MATCH(O$5,DedListItem,0)-1,0),OFFSET(Setup!$E$73,MATCH(O$5,DedListItem,0),0,1,1)),(MIN(IF(OFFSET(Setup!$G$73,MATCH(O$5,DedListItem,0),0,1,1)="Taxable",SUMPRODUCT((PayEmp=$C195)*(PayDate&lt;=$AC195)*(ISERROR(SEARCH(PayEarnCode,O$4)))*(PayEarnTax)*(PayEarnValues)),SUMPRODUCT((PayEmp=$C195)*(PayDate&lt;=$AC195)*(ISERROR(SEARCH(PayEarnCode,O$4)))*(PayEarnValues))),IF(ISNUMBER(O$3),O$3/12*$AA195,IgnoreMin)))*IF(COUNTIFS(EmpNo,$C195,OFFSET(Emp!$R$4,1,MATCH(O$5,DedListItem,0)-1,EmpCount,1),"&lt;&gt;")&gt;0,VLOOKUP($C195,EmpAll,COLUMN(Emp!$R$4)+MATCH(O$5,DedListItem,0)-1,0),OFFSET(Setup!$E$73,MATCH(O$5,DedListItem,0),0,1,1)))-SUMIFS(OFFSET(O$6,1,0,PayCount,1),PayDate,"&lt;"&amp;$AC195,PayEmp,$C195))))))</f>
        <v>0</v>
      </c>
      <c r="P195" s="133" cm="1">
        <f t="array" aca="1" ref="P195" ca="1">IF($F195="Terminated",0,IF($AA195=0,0,IF(ISNA(MATCH(P$5,DedListItem,0)),0,IF(COUNTIFS(OverEmp,$C195,OverDeduct,P$5,OverDate,"&lt;"&amp;DATE(YEAR($AC195),MONTH($AC195)+1,1),OverEnd,"&gt;="&amp;DATE(YEAR($AC195),MONTH($AC195),1))&gt;0,SUMIFS(OverValue,OverEmp,$C195,OverDeduct,P$5,OverDate,"&lt;"&amp;DATE(YEAR($AC195),MONTH($AC195)+1,1),OverEnd,"&gt;="&amp;DATE(YEAR($AC195),MONTH($AC195),1)),IF(OR(P$2="Fixed",P$2="Not Used"),(IF(COUNTIFS(EmpNo,$C195,OFFSET(Emp!$R$4,1,MATCH(P$5,DedListItem,0)-1,EmpCount,1),"&lt;&gt;")&gt;0,VLOOKUP($C195,EmpAll,COLUMN(Emp!$R$4)+MATCH(P$5,DedListItem,0)-1,0),OFFSET(Setup!$E$73,MATCH(P$5,DedListItem,0),0,1,1))*$AA195)-SUMIFS(OFFSET(P$6,1,0,PayCount,1),PayDate,"&lt;"&amp;$AC195,PayEmp,$C195),IF(ISNA(MATCH(P$2,EarnListItem,0))=FALSE,IF(OFFSET(Setup!$G$73,MATCH(P$5,DedListItem,0),0,1,1)="Taxable",SUMPRODUCT((PayEmp=$C195)*(PayDate&lt;=$AC195)*(PayEarnCode=P$2)*(PayEarnTax)*(PayEarnValues)),SUMPRODUCT((PayEmp=$C195)*(PayDate&lt;=$AC195)*(PayEarnCode=P$2)*(PayEarnValues)))*IF(COUNTIFS(EmpNo,$C195,OFFSET(Emp!$R$4,1,MATCH(P$5,DedListItem,0)-1,EmpCount,1),"&lt;&gt;")&gt;0,VLOOKUP($C195,EmpAll,COLUMN(Emp!$R$4)+MATCH(P$5,DedListItem,0)-1,0),OFFSET(Setup!$E$73,MATCH(P$5,DedListItem,0),0,1,1)),(MIN(IF(OFFSET(Setup!$G$73,MATCH(P$5,DedListItem,0),0,1,1)="Taxable",SUMPRODUCT((PayEmp=$C195)*(PayDate&lt;=$AC195)*(ISERROR(SEARCH(PayEarnCode,P$4)))*(PayEarnTax)*(PayEarnValues)),SUMPRODUCT((PayEmp=$C195)*(PayDate&lt;=$AC195)*(ISERROR(SEARCH(PayEarnCode,P$4)))*(PayEarnValues))),IF(ISNUMBER(P$3),P$3/12*$AA195,IgnoreMin)))*IF(COUNTIFS(EmpNo,$C195,OFFSET(Emp!$R$4,1,MATCH(P$5,DedListItem,0)-1,EmpCount,1),"&lt;&gt;")&gt;0,VLOOKUP($C195,EmpAll,COLUMN(Emp!$R$4)+MATCH(P$5,DedListItem,0)-1,0),OFFSET(Setup!$E$73,MATCH(P$5,DedListItem,0),0,1,1)))-SUMIFS(OFFSET(P$6,1,0,PayCount,1),PayDate,"&lt;"&amp;$AC195,PayEmp,$C195))))))</f>
        <v>0</v>
      </c>
      <c r="Q195" s="133" cm="1">
        <f t="array" aca="1" ref="Q195" ca="1">IF($F195="Terminated",0,IF($AA195=0,0,IF(ISNA(MATCH(Q$5,DedListItem,0)),0,IF(COUNTIFS(OverEmp,$C195,OverDeduct,Q$5,OverDate,"&lt;"&amp;DATE(YEAR($AC195),MONTH($AC195)+1,1),OverEnd,"&gt;="&amp;DATE(YEAR($AC195),MONTH($AC195),1))&gt;0,SUMIFS(OverValue,OverEmp,$C195,OverDeduct,Q$5,OverDate,"&lt;"&amp;DATE(YEAR($AC195),MONTH($AC195)+1,1),OverEnd,"&gt;="&amp;DATE(YEAR($AC195),MONTH($AC195),1)),IF(OR(Q$2="Fixed",Q$2="Not Used"),(IF(COUNTIFS(EmpNo,$C195,OFFSET(Emp!$R$4,1,MATCH(Q$5,DedListItem,0)-1,EmpCount,1),"&lt;&gt;")&gt;0,VLOOKUP($C195,EmpAll,COLUMN(Emp!$R$4)+MATCH(Q$5,DedListItem,0)-1,0),OFFSET(Setup!$E$73,MATCH(Q$5,DedListItem,0),0,1,1))*$AA195)-SUMIFS(OFFSET(Q$6,1,0,PayCount,1),PayDate,"&lt;"&amp;$AC195,PayEmp,$C195),IF(ISNA(MATCH(Q$2,EarnListItem,0))=FALSE,IF(OFFSET(Setup!$G$73,MATCH(Q$5,DedListItem,0),0,1,1)="Taxable",SUMPRODUCT((PayEmp=$C195)*(PayDate&lt;=$AC195)*(PayEarnCode=Q$2)*(PayEarnTax)*(PayEarnValues)),SUMPRODUCT((PayEmp=$C195)*(PayDate&lt;=$AC195)*(PayEarnCode=Q$2)*(PayEarnValues)))*IF(COUNTIFS(EmpNo,$C195,OFFSET(Emp!$R$4,1,MATCH(Q$5,DedListItem,0)-1,EmpCount,1),"&lt;&gt;")&gt;0,VLOOKUP($C195,EmpAll,COLUMN(Emp!$R$4)+MATCH(Q$5,DedListItem,0)-1,0),OFFSET(Setup!$E$73,MATCH(Q$5,DedListItem,0),0,1,1)),(MIN(IF(OFFSET(Setup!$G$73,MATCH(Q$5,DedListItem,0),0,1,1)="Taxable",SUMPRODUCT((PayEmp=$C195)*(PayDate&lt;=$AC195)*(ISERROR(SEARCH(PayEarnCode,Q$4)))*(PayEarnTax)*(PayEarnValues)),SUMPRODUCT((PayEmp=$C195)*(PayDate&lt;=$AC195)*(ISERROR(SEARCH(PayEarnCode,Q$4)))*(PayEarnValues))),IF(ISNUMBER(Q$3),Q$3/12*$AA195,IgnoreMin)))*IF(COUNTIFS(EmpNo,$C195,OFFSET(Emp!$R$4,1,MATCH(Q$5,DedListItem,0)-1,EmpCount,1),"&lt;&gt;")&gt;0,VLOOKUP($C195,EmpAll,COLUMN(Emp!$R$4)+MATCH(Q$5,DedListItem,0)-1,0),OFFSET(Setup!$E$73,MATCH(Q$5,DedListItem,0),0,1,1)))-SUMIFS(OFFSET(Q$6,1,0,PayCount,1),PayDate,"&lt;"&amp;$AC195,PayEmp,$C195))))))</f>
        <v>0</v>
      </c>
      <c r="R195" s="185">
        <f t="shared" ref="R195:R207" ca="1" si="96">SUM(OFFSET(M195,0,0,1,COLUMN($R$6)-COLUMN($M$6)))</f>
        <v>0</v>
      </c>
      <c r="S195" s="139">
        <f t="shared" ref="S195:S207" ca="1" si="97">ROUND(SUM(L195,-R195),2)</f>
        <v>0</v>
      </c>
      <c r="T195" s="133" cm="1">
        <f t="array" aca="1" ref="T195" ca="1">IF($F195="Terminated",0,IF($AA195=0,0,IF(ISNA(MATCH(T$5,CompListItem,0)),0,IF(COUNTIFS(OverEmp,$C195,OverComp,T$5,OverDate,"&lt;"&amp;DATE(YEAR($AC195),MONTH($AC195)+1,1),OverEnd,"&gt;="&amp;DATE(YEAR($AC195),MONTH($AC195),1))&gt;0,SUMIFS(OverValue,OverEmp,$C195,OverComp,T$5,OverDate,"&lt;"&amp;DATE(YEAR($AC195),MONTH($AC195)+1,1),OverEnd,"&gt;="&amp;DATE(YEAR($AC195),MONTH($AC195),1)),IF(OR(T$2="Fixed",T$2="Not Used"),(OFFSET(Setup!$E$81,MATCH(T$5,CompListItem,0),0,1,1)*$AA195)-SUMIFS(OFFSET(T$6,1,0,PayCount,1),PayDate,"&lt;"&amp;$AC195,PayEmp,$C195),IF(ISNA(MATCH(T$2,DedListItem,0))=FALSE,(SUMPRODUCT((PayEmp=$C195)*(PayDate&lt;=$AC195)*(PayDedList=T$2)*(PayDedValues))*OFFSET(Setup!$E$81,MATCH(T$5,CompListItem,0),0,1,1))-SUMIFS(OFFSET(T$6,1,0,PayCount,1),PayDate,"&lt;"&amp;$AC195,PayEmp,$C195),(MIN(IF(OFFSET(Setup!$G$81,MATCH(T$5,CompListItem,0),0,1,1)="Taxable",SUMPRODUCT((PayEmp=$C195)*(PayDate&lt;=$AC195)*(ISERROR(SEARCH(PayEarnCode,T$4)))*(PayEarnTax)*(PayEarnValues)),SUMPRODUCT((PayEmp=$C195)*(PayDate&lt;=$AC195)*(ISERROR(SEARCH(PayEarnCode,T$4)))*(PayEarnValues))),IF(ISNUMBER(T$3),T$3/12*$AA195,IgnoreMin)))*OFFSET(Setup!$E$81,MATCH(T$5,CompListItem,0),0,1,1)-SUMIFS(OFFSET(T$6,1,0,PayCount,1),PayDate,"&lt;"&amp;$AC195,PayEmp,$C195)))))))</f>
        <v>0</v>
      </c>
      <c r="U195" s="133" cm="1">
        <f t="array" aca="1" ref="U195" ca="1">IF($F195="Terminated",0,IF($AA195=0,0,IF(ISNA(MATCH(U$5,CompListItem,0)),0,IF(COUNTIFS(OverEmp,$C195,OverComp,U$5,OverDate,"&lt;"&amp;DATE(YEAR($AC195),MONTH($AC195)+1,1),OverEnd,"&gt;="&amp;DATE(YEAR($AC195),MONTH($AC195),1))&gt;0,SUMIFS(OverValue,OverEmp,$C195,OverComp,U$5,OverDate,"&lt;"&amp;DATE(YEAR($AC195),MONTH($AC195)+1,1),OverEnd,"&gt;="&amp;DATE(YEAR($AC195),MONTH($AC195),1)),IF(OR(U$2="Fixed",U$2="Not Used"),(OFFSET(Setup!$E$81,MATCH(U$5,CompListItem,0),0,1,1)*$AA195)-SUMIFS(OFFSET(U$6,1,0,PayCount,1),PayDate,"&lt;"&amp;$AC195,PayEmp,$C195),IF(ISNA(MATCH(U$2,DedListItem,0))=FALSE,(SUMPRODUCT((PayEmp=$C195)*(PayDate&lt;=$AC195)*(PayDedList=U$2)*(PayDedValues))*OFFSET(Setup!$E$81,MATCH(U$5,CompListItem,0),0,1,1))-SUMIFS(OFFSET(U$6,1,0,PayCount,1),PayDate,"&lt;"&amp;$AC195,PayEmp,$C195),(MIN(IF(OFFSET(Setup!$G$81,MATCH(U$5,CompListItem,0),0,1,1)="Taxable",SUMPRODUCT((PayEmp=$C195)*(PayDate&lt;=$AC195)*(ISERROR(SEARCH(PayEarnCode,U$4)))*(PayEarnTax)*(PayEarnValues)),SUMPRODUCT((PayEmp=$C195)*(PayDate&lt;=$AC195)*(ISERROR(SEARCH(PayEarnCode,U$4)))*(PayEarnValues))),IF(ISNUMBER(U$3),U$3/12*$AA195,IgnoreMin)))*OFFSET(Setup!$E$81,MATCH(U$5,CompListItem,0),0,1,1)-SUMIFS(OFFSET(U$6,1,0,PayCount,1),PayDate,"&lt;"&amp;$AC195,PayEmp,$C195)))))))</f>
        <v>0</v>
      </c>
      <c r="V195" s="133" cm="1">
        <f t="array" aca="1" ref="V195" ca="1">IF($F195="Terminated",0,IF($AA195=0,0,IF(ISNA(MATCH(V$5,CompListItem,0)),0,IF(COUNTIFS(OverEmp,$C195,OverComp,V$5,OverDate,"&lt;"&amp;DATE(YEAR($AC195),MONTH($AC195)+1,1),OverEnd,"&gt;="&amp;DATE(YEAR($AC195),MONTH($AC195),1))&gt;0,SUMIFS(OverValue,OverEmp,$C195,OverComp,V$5,OverDate,"&lt;"&amp;DATE(YEAR($AC195),MONTH($AC195)+1,1),OverEnd,"&gt;="&amp;DATE(YEAR($AC195),MONTH($AC195),1)),IF(OR(V$2="Fixed",V$2="Not Used"),(OFFSET(Setup!$E$81,MATCH(V$5,CompListItem,0),0,1,1)*$AA195)-SUMIFS(OFFSET(V$6,1,0,PayCount,1),PayDate,"&lt;"&amp;$AC195,PayEmp,$C195),IF(ISNA(MATCH(V$2,DedListItem,0))=FALSE,(SUMPRODUCT((PayEmp=$C195)*(PayDate&lt;=$AC195)*(PayDedList=V$2)*(PayDedValues))*OFFSET(Setup!$E$81,MATCH(V$5,CompListItem,0),0,1,1))-SUMIFS(OFFSET(V$6,1,0,PayCount,1),PayDate,"&lt;"&amp;$AC195,PayEmp,$C195),(MIN(IF(OFFSET(Setup!$G$81,MATCH(V$5,CompListItem,0),0,1,1)="Taxable",SUMPRODUCT((PayEmp=$C195)*(PayDate&lt;=$AC195)*(ISERROR(SEARCH(PayEarnCode,V$4)))*(PayEarnTax)*(PayEarnValues)),SUMPRODUCT((PayEmp=$C195)*(PayDate&lt;=$AC195)*(ISERROR(SEARCH(PayEarnCode,V$4)))*(PayEarnValues))),IF(ISNUMBER(V$3),V$3/12*$AA195,IgnoreMin)))*OFFSET(Setup!$E$81,MATCH(V$5,CompListItem,0),0,1,1)-SUMIFS(OFFSET(V$6,1,0,PayCount,1),PayDate,"&lt;"&amp;$AC195,PayEmp,$C195)))))))</f>
        <v>0</v>
      </c>
      <c r="W195" s="133" cm="1">
        <f t="array" aca="1" ref="W195" ca="1">IF($F195="Terminated",0,IF($AA195=0,0,IF(ISNA(MATCH(W$5,CompListItem,0)),0,IF(COUNTIFS(OverEmp,$C195,OverComp,W$5,OverDate,"&lt;"&amp;DATE(YEAR($AC195),MONTH($AC195)+1,1),OverEnd,"&gt;="&amp;DATE(YEAR($AC195),MONTH($AC195),1))&gt;0,SUMIFS(OverValue,OverEmp,$C195,OverComp,W$5,OverDate,"&lt;"&amp;DATE(YEAR($AC195),MONTH($AC195)+1,1),OverEnd,"&gt;="&amp;DATE(YEAR($AC195),MONTH($AC195),1)),IF(OR(W$2="Fixed",W$2="Not Used"),(OFFSET(Setup!$E$81,MATCH(W$5,CompListItem,0),0,1,1)*$AA195)-SUMIFS(OFFSET(W$6,1,0,PayCount,1),PayDate,"&lt;"&amp;$AC195,PayEmp,$C195),IF(ISNA(MATCH(W$2,DedListItem,0))=FALSE,(SUMPRODUCT((PayEmp=$C195)*(PayDate&lt;=$AC195)*(PayDedList=W$2)*(PayDedValues))*OFFSET(Setup!$E$81,MATCH(W$5,CompListItem,0),0,1,1))-SUMIFS(OFFSET(W$6,1,0,PayCount,1),PayDate,"&lt;"&amp;$AC195,PayEmp,$C195),(MIN(IF(OFFSET(Setup!$G$81,MATCH(W$5,CompListItem,0),0,1,1)="Taxable",SUMPRODUCT((PayEmp=$C195)*(PayDate&lt;=$AC195)*(ISERROR(SEARCH(PayEarnCode,W$4)))*(PayEarnTax)*(PayEarnValues)),SUMPRODUCT((PayEmp=$C195)*(PayDate&lt;=$AC195)*(ISERROR(SEARCH(PayEarnCode,W$4)))*(PayEarnValues))),IF(ISNUMBER(W$3),W$3/12*$AA195,IgnoreMin)))*OFFSET(Setup!$E$81,MATCH(W$5,CompListItem,0),0,1,1)-SUMIFS(OFFSET(W$6,1,0,PayCount,1),PayDate,"&lt;"&amp;$AC195,PayEmp,$C195)))))))</f>
        <v>0</v>
      </c>
      <c r="X195" s="185">
        <f t="shared" ref="X195:X207" ca="1" si="98">SUM(OFFSET($T195,0,0,1,COLUMN($X$6)-COLUMN($T$7)))</f>
        <v>0</v>
      </c>
      <c r="Y195" s="139">
        <f t="shared" ref="Y195:Y207" ca="1" si="99">L195+X195</f>
        <v>0</v>
      </c>
      <c r="Z195" s="139">
        <f t="shared" ref="Z195:Z207" ca="1" si="100">ROUND(SUM(R195,X195),2)</f>
        <v>0</v>
      </c>
      <c r="AA195" s="146">
        <f ca="1">IF(OR($B195&lt;=Setup!$E$12,$B195&gt;=Setup!$D$12+1),0,IF($F195&lt;&gt;"Active",0,IF($AE195="Yes",$AB195,((YEAR($AC195)*12)+MONTH($AC195))-((YEAR($AD195)*12)+MONTH($AD195)-1))))</f>
        <v>0</v>
      </c>
      <c r="AB195" s="146">
        <f ca="1">IF(OR($B195&lt;=Setup!$E$12,$B195&gt;=Setup!$D$12+1),0,((YEAR($AC195)*12)+MONTH($AC195))-((YEAR(Setup!$E$12)*12)+MONTH(Setup!$E$12)))</f>
        <v>12</v>
      </c>
      <c r="AC195" s="186">
        <f t="shared" ref="AC195:AC207" ca="1" si="101">DATE(YEAR($B195),MONTH($B195),DAY($B195))</f>
        <v>45351</v>
      </c>
      <c r="AD195" s="144">
        <f ca="1">IF(ISNA(VLOOKUP($C195,EmpAll,COLUMN(Emp!$E$4),0)),$AC195,IF(VLOOKUP($C195,EmpAll,COLUMN(Emp!$E$4),0)&lt;=Setup!$E$12,DATE(YEAR(Setup!$E$12),MONTH(Setup!$E$12)+1,1),VLOOKUP($C195,EmpAll,COLUMN(Emp!$E$4),0)))</f>
        <v>45351</v>
      </c>
      <c r="AE195" s="144" t="str">
        <f ca="1">IF(ISNA(VLOOKUP($C195,EmpAll,COLUMN(Emp!$G$1),0)),"-",IF(VLOOKUP($C195,EmpAll,COLUMN(Emp!$G$1),0)=0,"-",VLOOKUP($C195,EmpAll,COLUMN(Emp!$G$1),0)))</f>
        <v>-</v>
      </c>
      <c r="AF195" s="145">
        <f>IF(A195=PaySlip!$G$3,1,0)</f>
        <v>0</v>
      </c>
      <c r="AG195" s="130" cm="1">
        <f t="array" aca="1" ref="AG195" ca="1">IF(COUNTIFS(OverEmp,$C195,OverMed,"MED",OverDate,"&lt;"&amp;DATE(YEAR($AC195),MONTH($AC195)+1,1),OverEnd,"&gt;="&amp;DATE(YEAR($AC195),MONTH($AC195),1))&gt;0,SUMIFS(OverValue,OverEmp,$C195,OverMed,"MED",OverDate,"&lt;"&amp;DATE(YEAR($AC195),MONTH($AC195)+1,1),OverEnd,"&gt;="&amp;DATE(YEAR($AC195),MONTH($AC195),1)),IF(ISNA(VLOOKUP($C195,EmpAll,COLUMN(Emp!$N$4),0)),0,VLOOKUP($C195,EmpAll,COLUMN(Emp!$N$4),0)))</f>
        <v>0</v>
      </c>
      <c r="AH195" s="146">
        <f ca="1">VLOOKUP($AG195,MedList,COLUMN(Setup!$C$49),1)</f>
        <v>0</v>
      </c>
      <c r="AI195" s="146">
        <f t="shared" ca="1" si="70"/>
        <v>0</v>
      </c>
      <c r="AJ195" s="101" t="str">
        <f ca="1">IF(ISNA(VLOOKUP($C195,EmpAll,COLUMN(Emp!$L$4),0)),"None!",VLOOKUP($C195,EmpAll,COLUMN(Emp!$L$4),0))</f>
        <v>None!</v>
      </c>
      <c r="AK195" s="147">
        <f t="shared" ref="AK195:AK234" ca="1" si="102">IF(ISNA(VLOOKUP($AJ195,RebateList,4,0)),VLOOKUP("A",RebateList,3,0),VLOOKUP($AJ195,RebateList,4,0))</f>
        <v>17235</v>
      </c>
      <c r="AL195" s="101" t="str">
        <f ca="1">IF(ISNA(VLOOKUP($C195,Employees[],COLUMN(Emp!$M$4),0))=TRUE,"Error!",IF(VLOOKUP($C195,Employees[],COLUMN(Emp!$M$4),0)=0,"Yes",VLOOKUP($C195,Employees[],COLUMN(Emp!$M$4),0)))</f>
        <v>Error!</v>
      </c>
      <c r="AM195" s="148">
        <f t="shared" ca="1" si="71"/>
        <v>0</v>
      </c>
      <c r="AN195" s="148" cm="1">
        <f t="array" aca="1" ref="AN195" ca="1">-IF($F195="Terminated",0,IF($AA195=0,0,IF(ISNA(MATCH(AN$5,PayDedList,0)),0,MIN(IF(COUNTIFS(OverEmp,$C195,OverDeduct,AN$5,OverDate,"&lt;"&amp;DATE(YEAR($AC195),MONTH($AC195)+1,1),OverEnd,"&gt;="&amp;DATE(YEAR($AC195),MONTH($AC195),1))&gt;0,SUMPRODUCT((PayEmp=$C195)*(PayDate&lt;=$AC195)*(OFFSET($N$6,1,MATCH(AN$5,PayDedList,0)-1,PayCount,1)))/$AA195*12*AN$3,IF(OR(AN$1="Fixed",AN$1="Not Used"),SUMPRODUCT((PayEmp=$C195)*(PayDate&lt;=$AC195)*(OFFSET($N$6,1,MATCH(AN$5,PayDedList,0)-1,PayCount,1)))/$AA195*12*AN$3,IF(ISNA(MATCH(AN$1,EarnListItem,0))=FALSE,SUMPRODUCT((PayEmp=$C195)*(PayDate&lt;=$AC195)*(OFFSET($N$6,1,MATCH(AN$5,PayDedList,0)-1,PayCount,1)))/$AA195*12*AN$3,(MIN(((SUMPRODUCT((PayEmp=$C195)*(PayDate&lt;=$AC195)*(ISERROR(SEARCH(PayEarnCode,AN$2)))*(PayEarnType="Monthly")*(PayEarnValues))/$AA195*12)+(SUMPRODUCT((PayEmp=$C195)*(PayDate&lt;=$AC195)*(ISERROR(SEARCH(PayEarnCode,AN$2)))*(PayEarnType="Quarterly")*(PayEarnValues))/MAX(1,ROUNDDOWN($AB195/3,0))*4)+(SUMPRODUCT((PayEmp=$C195)*(PayDate&lt;=$AC195)*(ISERROR(SEARCH(PayEarnCode,AN$2)))*(PayEarnType="Bi-Annual")*(PayEarnValues))/MAX(1,ROUNDDOWN($AB195/6,0))*2)+(SUMPRODUCT((PayEmp=$C195)*(PayDate&lt;=$AC195)*(ISERROR(SEARCH(PayEarnCode,AN$2)))*(PayEarnType="Annual")*(PayEarnValues)))),IF(ISNUMBER(OFFSET($N$3,0,MATCH(AN$5,PayDedList,0)-1,1,1)),OFFSET($N$3,0,MATCH(AN$5,PayDedList,0)-1,1,1),IgnoreMin)))*IF(COUNTIFS(EmpNo,$C195,OFFSET(Emp!$R$4,1,MATCH(AN$5,DedListItem,0)-1,EmpCount,1),"&lt;&gt;")&gt;0,VLOOKUP($C195,EmpAll,COLUMN(Emp!$R$4)+MATCH(AN$5,DedListItem,0)-1,0),OFFSET(Setup!$E$73,MATCH(AN$5,DedListItem,0),0,1,1))*AN$3))),IF(ISNUMBER(AN$4),AN$4,IgnoreMin)))))</f>
        <v>0</v>
      </c>
      <c r="AO195" s="148" cm="1">
        <f t="array" aca="1" ref="AO195" ca="1">-IF($F195="Terminated",0,IF($AA195=0,0,IF(ISNA(MATCH(AO$5,PayDedList,0)),0,MIN(IF(COUNTIFS(OverEmp,$C195,OverDeduct,AO$5,OverDate,"&lt;"&amp;DATE(YEAR($AC195),MONTH($AC195)+1,1),OverEnd,"&gt;="&amp;DATE(YEAR($AC195),MONTH($AC195),1))&gt;0,SUMPRODUCT((PayEmp=$C195)*(PayDate&lt;=$AC195)*(OFFSET($N$6,1,MATCH(AO$5,PayDedList,0)-1,PayCount,1)))/$AA195*12*AO$3,IF(OR(AO$1="Fixed",AO$1="Not Used"),SUMPRODUCT((PayEmp=$C195)*(PayDate&lt;=$AC195)*(OFFSET($N$6,1,MATCH(AO$5,PayDedList,0)-1,PayCount,1)))/$AA195*12*AO$3,IF(ISNA(MATCH(AO$1,EarnListItem,0))=FALSE,SUMPRODUCT((PayEmp=$C195)*(PayDate&lt;=$AC195)*(OFFSET($N$6,1,MATCH(AO$5,PayDedList,0)-1,PayCount,1)))/$AA195*12*AO$3,(MIN(((SUMPRODUCT((PayEmp=$C195)*(PayDate&lt;=$AC195)*(ISERROR(SEARCH(PayEarnCode,AO$2)))*(PayEarnType="Monthly")*(PayEarnValues))/$AA195*12)+(SUMPRODUCT((PayEmp=$C195)*(PayDate&lt;=$AC195)*(ISERROR(SEARCH(PayEarnCode,AO$2)))*(PayEarnType="Quarterly")*(PayEarnValues))/MAX(1,ROUNDDOWN($AB195/3,0))*4)+(SUMPRODUCT((PayEmp=$C195)*(PayDate&lt;=$AC195)*(ISERROR(SEARCH(PayEarnCode,AO$2)))*(PayEarnType="Bi-Annual")*(PayEarnValues))/MAX(1,ROUNDDOWN($AB195/6,0))*2)+(SUMPRODUCT((PayEmp=$C195)*(PayDate&lt;=$AC195)*(ISERROR(SEARCH(PayEarnCode,AO$2)))*(PayEarnType="Annual")*(PayEarnValues)))),IF(ISNUMBER(OFFSET($N$3,0,MATCH(AO$5,PayDedList,0)-1,1,1)),OFFSET($N$3,0,MATCH(AO$5,PayDedList,0)-1,1,1),IgnoreMin)))*IF(COUNTIFS(EmpNo,$C195,OFFSET(Emp!$R$4,1,MATCH(AO$5,DedListItem,0)-1,EmpCount,1),"&lt;&gt;")&gt;0,VLOOKUP($C195,EmpAll,COLUMN(Emp!$R$4)+MATCH(AO$5,DedListItem,0)-1,0),OFFSET(Setup!$E$73,MATCH(AO$5,DedListItem,0),0,1,1))*AO$3))),IF(ISNUMBER(AO$4),AO$4,IgnoreMin)))))</f>
        <v>0</v>
      </c>
      <c r="AP195" s="148" cm="1">
        <f t="array" aca="1" ref="AP195" ca="1">-IF($F195="Terminated",0,IF($AA195=0,0,IF(ISNA(MATCH(AP$5,PayDedList,0)),0,MIN(IF(COUNTIFS(OverEmp,$C195,OverDeduct,AP$5,OverDate,"&lt;"&amp;DATE(YEAR($AC195),MONTH($AC195)+1,1),OverEnd,"&gt;="&amp;DATE(YEAR($AC195),MONTH($AC195),1))&gt;0,SUMPRODUCT((PayEmp=$C195)*(PayDate&lt;=$AC195)*(OFFSET($N$6,1,MATCH(AP$5,PayDedList,0)-1,PayCount,1)))/$AA195*12*AP$3,IF(OR(AP$1="Fixed",AP$1="Not Used"),SUMPRODUCT((PayEmp=$C195)*(PayDate&lt;=$AC195)*(OFFSET($N$6,1,MATCH(AP$5,PayDedList,0)-1,PayCount,1)))/$AA195*12*AP$3,IF(ISNA(MATCH(AP$1,EarnListItem,0))=FALSE,SUMPRODUCT((PayEmp=$C195)*(PayDate&lt;=$AC195)*(OFFSET($N$6,1,MATCH(AP$5,PayDedList,0)-1,PayCount,1)))/$AA195*12*AP$3,(MIN(((SUMPRODUCT((PayEmp=$C195)*(PayDate&lt;=$AC195)*(ISERROR(SEARCH(PayEarnCode,AP$2)))*(PayEarnType="Monthly")*(PayEarnValues))/$AA195*12)+(SUMPRODUCT((PayEmp=$C195)*(PayDate&lt;=$AC195)*(ISERROR(SEARCH(PayEarnCode,AP$2)))*(PayEarnType="Quarterly")*(PayEarnValues))/MAX(1,ROUNDDOWN($AB195/3,0))*4)+(SUMPRODUCT((PayEmp=$C195)*(PayDate&lt;=$AC195)*(ISERROR(SEARCH(PayEarnCode,AP$2)))*(PayEarnType="Bi-Annual")*(PayEarnValues))/MAX(1,ROUNDDOWN($AB195/6,0))*2)+(SUMPRODUCT((PayEmp=$C195)*(PayDate&lt;=$AC195)*(ISERROR(SEARCH(PayEarnCode,AP$2)))*(PayEarnType="Annual")*(PayEarnValues)))),IF(ISNUMBER(OFFSET($N$3,0,MATCH(AP$5,PayDedList,0)-1,1,1)),OFFSET($N$3,0,MATCH(AP$5,PayDedList,0)-1,1,1),IgnoreMin)))*IF(COUNTIFS(EmpNo,$C195,OFFSET(Emp!$R$4,1,MATCH(AP$5,DedListItem,0)-1,EmpCount,1),"&lt;&gt;")&gt;0,VLOOKUP($C195,EmpAll,COLUMN(Emp!$R$4)+MATCH(AP$5,DedListItem,0)-1,0),OFFSET(Setup!$E$73,MATCH(AP$5,DedListItem,0),0,1,1))*AP$3))),IF(ISNUMBER(AP$4),AP$4,IgnoreMin)))))</f>
        <v>0</v>
      </c>
      <c r="AQ195" s="148" cm="1">
        <f t="array" aca="1" ref="AQ195" ca="1">-IF($F195="Terminated",0,IF($AA195=0,0,IF(ISNA(MATCH(AQ$5,PayDedList,0)),0,MIN(IF(COUNTIFS(OverEmp,$C195,OverDeduct,AQ$5,OverDate,"&lt;"&amp;DATE(YEAR($AC195),MONTH($AC195)+1,1),OverEnd,"&gt;="&amp;DATE(YEAR($AC195),MONTH($AC195),1))&gt;0,SUMPRODUCT((PayEmp=$C195)*(PayDate&lt;=$AC195)*(OFFSET($N$6,1,MATCH(AQ$5,PayDedList,0)-1,PayCount,1)))/$AA195*12*AQ$3,IF(OR(AQ$1="Fixed",AQ$1="Not Used"),SUMPRODUCT((PayEmp=$C195)*(PayDate&lt;=$AC195)*(OFFSET($N$6,1,MATCH(AQ$5,PayDedList,0)-1,PayCount,1)))/$AA195*12*AQ$3,IF(ISNA(MATCH(AQ$1,EarnListItem,0))=FALSE,SUMPRODUCT((PayEmp=$C195)*(PayDate&lt;=$AC195)*(OFFSET($N$6,1,MATCH(AQ$5,PayDedList,0)-1,PayCount,1)))/$AA195*12*AQ$3,(MIN(((SUMPRODUCT((PayEmp=$C195)*(PayDate&lt;=$AC195)*(ISERROR(SEARCH(PayEarnCode,AQ$2)))*(PayEarnType="Monthly")*(PayEarnValues))/$AA195*12)+(SUMPRODUCT((PayEmp=$C195)*(PayDate&lt;=$AC195)*(ISERROR(SEARCH(PayEarnCode,AQ$2)))*(PayEarnType="Quarterly")*(PayEarnValues))/MAX(1,ROUNDDOWN($AB195/3,0))*4)+(SUMPRODUCT((PayEmp=$C195)*(PayDate&lt;=$AC195)*(ISERROR(SEARCH(PayEarnCode,AQ$2)))*(PayEarnType="Bi-Annual")*(PayEarnValues))/MAX(1,ROUNDDOWN($AB195/6,0))*2)+(SUMPRODUCT((PayEmp=$C195)*(PayDate&lt;=$AC195)*(ISERROR(SEARCH(PayEarnCode,AQ$2)))*(PayEarnType="Annual")*(PayEarnValues)))),IF(ISNUMBER(OFFSET($N$3,0,MATCH(AQ$5,PayDedList,0)-1,1,1)),OFFSET($N$3,0,MATCH(AQ$5,PayDedList,0)-1,1,1),IgnoreMin)))*IF(COUNTIFS(EmpNo,$C195,OFFSET(Emp!$R$4,1,MATCH(AQ$5,DedListItem,0)-1,EmpCount,1),"&lt;&gt;")&gt;0,VLOOKUP($C195,EmpAll,COLUMN(Emp!$R$4)+MATCH(AQ$5,DedListItem,0)-1,0),OFFSET(Setup!$E$73,MATCH(AQ$5,DedListItem,0),0,1,1))*AQ$3))),IF(ISNUMBER(AQ$4),AQ$4,IgnoreMin)))))</f>
        <v>0</v>
      </c>
      <c r="AR195" s="148">
        <f t="shared" ref="AR195:AR207" ca="1" si="103">$AM195+SUM(OFFSET($AM195,0,1,1,COLUMN($AR$2)-COLUMN($AM$2)-1))</f>
        <v>0</v>
      </c>
      <c r="AS195" s="148">
        <f t="shared" ca="1" si="72"/>
        <v>0</v>
      </c>
      <c r="AT195" s="148" cm="1">
        <f t="array" aca="1" ref="AT195" ca="1">-IF($F195="Terminated",0,IF($AA195=0,0,IF(ISNA(MATCH(AT$5,PayDedList,0)),0,MIN(IF(COUNTIFS(OverEmp,$C195,OverDeduct,AT$5,OverDate,"&lt;"&amp;DATE(YEAR($AC195),MONTH($AC195)+1,1),OverEnd,"&gt;="&amp;DATE(YEAR($AC195),MONTH($AC195),1))&gt;0,SUMPRODUCT((PayEmp=$C195)*(PayDate&lt;=$AC195)*(OFFSET($N$6,1,MATCH(AT$5,PayDedList,0)-1,PayCount,1)))/$AA195*12*AT$3,IF(OR(AT$1="Fixed",AT$1="Not Used"),SUMPRODUCT((PayEmp=$C195)*(PayDate&lt;=$AC195)*(OFFSET($N$6,1,MATCH(AT$5,PayDedList,0)-1,PayCount,1)))/$AA195*12*AT$3,IF(ISNA(MATCH(OFFSET($N$2,0,MATCH(AT$5,PayDedList,0)-1,1,1),EarnListItem,0))=FALSE,SUMPRODUCT((PayEmp=$C195)*(PayDate&lt;=$AC195)*(OFFSET($N$6,1,MATCH(AT$5,PayDedList,0)-1,PayCount,1)))/$AA195*12*AT$3,(MIN(SUMPRODUCT((PayEmp=$C195)*(PayDate&lt;=$AC195)*(ISERROR(SEARCH(PayEarnCode,AT$2)))*(PayEarnType="Monthly")*(PayEarnValues))/$AA195*12,IF(ISNUMBER(OFFSET($N$3,0,MATCH(AT$5,PayDedList,0)-1,1,1)),OFFSET($N$3,0,MATCH(AT$5,PayDedList,0)-1,1,1),IgnoreMin)))*IF(COUNTIFS(EmpNo,$C195,OFFSET(Emp!$R$4,1,MATCH(AT$5,DedListItem,0)-1,EmpCount,1),"&lt;&gt;")&gt;0,VLOOKUP($C195,EmpAll,COLUMN(Emp!$R$4)+MATCH(AT$5,DedListItem,0)-1,0),OFFSET(Setup!$E$73,MATCH(AT$5,DedListItem,0),0,1,1))*AT$3))),IF(ISNUMBER(AT$4),AT$4,IgnoreMin)))))</f>
        <v>0</v>
      </c>
      <c r="AU195" s="148" cm="1">
        <f t="array" aca="1" ref="AU195" ca="1">-IF($F195="Terminated",0,IF($AA195=0,0,IF(ISNA(MATCH(AU$5,PayDedList,0)),0,MIN(IF(COUNTIFS(OverEmp,$C195,OverDeduct,AU$5,OverDate,"&lt;"&amp;DATE(YEAR($AC195),MONTH($AC195)+1,1),OverEnd,"&gt;="&amp;DATE(YEAR($AC195),MONTH($AC195),1))&gt;0,SUMPRODUCT((PayEmp=$C195)*(PayDate&lt;=$AC195)*(OFFSET($N$6,1,MATCH(AU$5,PayDedList,0)-1,PayCount,1)))/$AA195*12*AU$3,IF(OR(AU$1="Fixed",AU$1="Not Used"),SUMPRODUCT((PayEmp=$C195)*(PayDate&lt;=$AC195)*(OFFSET($N$6,1,MATCH(AU$5,PayDedList,0)-1,PayCount,1)))/$AA195*12*AU$3,IF(ISNA(MATCH(OFFSET($N$2,0,MATCH(AU$5,PayDedList,0)-1,1,1),EarnListItem,0))=FALSE,SUMPRODUCT((PayEmp=$C195)*(PayDate&lt;=$AC195)*(OFFSET($N$6,1,MATCH(AU$5,PayDedList,0)-1,PayCount,1)))/$AA195*12*AU$3,(MIN(SUMPRODUCT((PayEmp=$C195)*(PayDate&lt;=$AC195)*(ISERROR(SEARCH(PayEarnCode,AU$2)))*(PayEarnType="Monthly")*(PayEarnValues))/$AA195*12,IF(ISNUMBER(OFFSET($N$3,0,MATCH(AU$5,PayDedList,0)-1,1,1)),OFFSET($N$3,0,MATCH(AU$5,PayDedList,0)-1,1,1),IgnoreMin)))*IF(COUNTIFS(EmpNo,$C195,OFFSET(Emp!$R$4,1,MATCH(AU$5,DedListItem,0)-1,EmpCount,1),"&lt;&gt;")&gt;0,VLOOKUP($C195,EmpAll,COLUMN(Emp!$R$4)+MATCH(AU$5,DedListItem,0)-1,0),OFFSET(Setup!$E$73,MATCH(AU$5,DedListItem,0),0,1,1))*AU$3))),IF(ISNUMBER(AU$4),AU$4,IgnoreMin)))))</f>
        <v>0</v>
      </c>
      <c r="AV195" s="148" cm="1">
        <f t="array" aca="1" ref="AV195" ca="1">-IF($F195="Terminated",0,IF($AA195=0,0,IF(ISNA(MATCH(AV$5,PayDedList,0)),0,MIN(IF(COUNTIFS(OverEmp,$C195,OverDeduct,AV$5,OverDate,"&lt;"&amp;DATE(YEAR($AC195),MONTH($AC195)+1,1),OverEnd,"&gt;="&amp;DATE(YEAR($AC195),MONTH($AC195),1))&gt;0,SUMPRODUCT((PayEmp=$C195)*(PayDate&lt;=$AC195)*(OFFSET($N$6,1,MATCH(AV$5,PayDedList,0)-1,PayCount,1)))/$AA195*12*AV$3,IF(OR(AV$1="Fixed",AV$1="Not Used"),SUMPRODUCT((PayEmp=$C195)*(PayDate&lt;=$AC195)*(OFFSET($N$6,1,MATCH(AV$5,PayDedList,0)-1,PayCount,1)))/$AA195*12*AV$3,IF(ISNA(MATCH(OFFSET($N$2,0,MATCH(AV$5,PayDedList,0)-1,1,1),EarnListItem,0))=FALSE,SUMPRODUCT((PayEmp=$C195)*(PayDate&lt;=$AC195)*(OFFSET($N$6,1,MATCH(AV$5,PayDedList,0)-1,PayCount,1)))/$AA195*12*AV$3,(MIN(SUMPRODUCT((PayEmp=$C195)*(PayDate&lt;=$AC195)*(ISERROR(SEARCH(PayEarnCode,AV$2)))*(PayEarnType="Monthly")*(PayEarnValues))/$AA195*12,IF(ISNUMBER(OFFSET($N$3,0,MATCH(AV$5,PayDedList,0)-1,1,1)),OFFSET($N$3,0,MATCH(AV$5,PayDedList,0)-1,1,1),IgnoreMin)))*IF(COUNTIFS(EmpNo,$C195,OFFSET(Emp!$R$4,1,MATCH(AV$5,DedListItem,0)-1,EmpCount,1),"&lt;&gt;")&gt;0,VLOOKUP($C195,EmpAll,COLUMN(Emp!$R$4)+MATCH(AV$5,DedListItem,0)-1,0),OFFSET(Setup!$E$73,MATCH(AV$5,DedListItem,0),0,1,1))*AV$3))),IF(ISNUMBER(AV$4),AV$4,IgnoreMin)))))</f>
        <v>0</v>
      </c>
      <c r="AW195" s="148" cm="1">
        <f t="array" aca="1" ref="AW195" ca="1">-IF($F195="Terminated",0,IF($AA195=0,0,IF(ISNA(MATCH(AW$5,PayDedList,0)),0,MIN(IF(COUNTIFS(OverEmp,$C195,OverDeduct,AW$5,OverDate,"&lt;"&amp;DATE(YEAR($AC195),MONTH($AC195)+1,1),OverEnd,"&gt;="&amp;DATE(YEAR($AC195),MONTH($AC195),1))&gt;0,SUMPRODUCT((PayEmp=$C195)*(PayDate&lt;=$AC195)*(OFFSET($N$6,1,MATCH(AW$5,PayDedList,0)-1,PayCount,1)))/$AA195*12*AW$3,IF(OR(AW$1="Fixed",AW$1="Not Used"),SUMPRODUCT((PayEmp=$C195)*(PayDate&lt;=$AC195)*(OFFSET($N$6,1,MATCH(AW$5,PayDedList,0)-1,PayCount,1)))/$AA195*12*AW$3,IF(ISNA(MATCH(OFFSET($N$2,0,MATCH(AW$5,PayDedList,0)-1,1,1),EarnListItem,0))=FALSE,SUMPRODUCT((PayEmp=$C195)*(PayDate&lt;=$AC195)*(OFFSET($N$6,1,MATCH(AW$5,PayDedList,0)-1,PayCount,1)))/$AA195*12*AW$3,(MIN(SUMPRODUCT((PayEmp=$C195)*(PayDate&lt;=$AC195)*(ISERROR(SEARCH(PayEarnCode,AW$2)))*(PayEarnType="Monthly")*(PayEarnValues))/$AA195*12,IF(ISNUMBER(OFFSET($N$3,0,MATCH(AW$5,PayDedList,0)-1,1,1)),OFFSET($N$3,0,MATCH(AW$5,PayDedList,0)-1,1,1),IgnoreMin)))*IF(COUNTIFS(EmpNo,$C195,OFFSET(Emp!$R$4,1,MATCH(AW$5,DedListItem,0)-1,EmpCount,1),"&lt;&gt;")&gt;0,VLOOKUP($C195,EmpAll,COLUMN(Emp!$R$4)+MATCH(AW$5,DedListItem,0)-1,0),OFFSET(Setup!$E$73,MATCH(AW$5,DedListItem,0),0,1,1))*AW$3))),IF(ISNUMBER(AW$4),AW$4,IgnoreMin)))))</f>
        <v>0</v>
      </c>
      <c r="AX195" s="148">
        <f t="shared" ref="AX195:AX207" ca="1" si="104">$AS195+SUM(OFFSET($AT195,0,0,1,COLUMN($AX$2)-COLUMN($AT$2)))</f>
        <v>0</v>
      </c>
      <c r="AY195" s="148">
        <f t="shared" ref="AY195:AY207" ca="1" si="105">AR195-AX195</f>
        <v>0</v>
      </c>
      <c r="AZ195" s="148">
        <f ca="1">IF(ISNUMBER($AL195),($AR195*$AL195)-$AI195-$AK195,MAX(0,IF($AL195="B",IF($AR195&lt;Setup!$C$32,($AR195*Setup!$D$32)-$AI195-$AK195,(($AR195-VLOOKUP($AR195,TaxAll2,1,1))*OFFSET(Setup!$D$32,MATCH($AR195,TaxBracket2,1),0,1,1))+OFFSET(Setup!$E$31,MATCH($AR195,TaxBracket2,1),0,1,1)-$AI195-$AK195),IF($AR195&lt;Setup!$C$21,($AR195*Setup!$D$21)-$AI195-$AK195,(($AR195-VLOOKUP($AR195,TaxAll1,1,1))*OFFSET(Setup!$D$21,MATCH($AR195,TaxBracket1,1),0,1,1))+OFFSET(Setup!$E$20,MATCH($AR195,TaxBracket1,1),0,1,1)-$AI195-$AK195))))</f>
        <v>0</v>
      </c>
      <c r="BA195" s="148">
        <f ca="1">IF(ISNUMBER($AL195),($AX195*$AL195)-$AI195-$AK195,MAX(0,IF($AL195="B",IF($AX195&lt;Setup!$C$32,($AX195*Setup!$D$32)-$AI195-$AK195,(($AX195-VLOOKUP($AX195,TaxAll2,1,1))*OFFSET(Setup!$D$32,MATCH($AX195,TaxBracket2,1),0,1,1))+OFFSET(Setup!$E$31,MATCH($AX195,TaxBracket2,1),0,1,1)-$AI195-$AK195),IF($AX195&lt;Setup!$C$21,($AX195*Setup!$D$21)-$AI195-$AK195,(($AX195-VLOOKUP($AX195,TaxAll1,1,1))*OFFSET(Setup!$D$21,MATCH($AX195,TaxBracket1,1),0,1,1))+OFFSET(Setup!$E$20,MATCH($AX195,TaxBracket1,1),0,1,1)-$AI195-$AK195))))</f>
        <v>0</v>
      </c>
      <c r="BB195" s="148">
        <f t="shared" ref="BB195:BB207" ca="1" si="106">AZ195-BA195</f>
        <v>0</v>
      </c>
      <c r="BC195" s="150">
        <f t="shared" ca="1" si="75"/>
        <v>0</v>
      </c>
      <c r="BD195" s="150">
        <f t="shared" ca="1" si="76"/>
        <v>0</v>
      </c>
      <c r="BE195" s="148">
        <f t="shared" ca="1" si="77"/>
        <v>0</v>
      </c>
    </row>
    <row r="196" spans="1:57" ht="16.149999999999999" customHeight="1" x14ac:dyDescent="0.25">
      <c r="A196" s="10" t="str" cm="1">
        <f t="array" ref="A196">IF(ROW($A196)-ROW($A$6)&gt;EmpCount*12,"-",TEXT($B196,"yyyy")&amp;TEXT($B196,"mm")&amp;"-"&amp;$C196)</f>
        <v>-</v>
      </c>
      <c r="B196" s="137" cm="1">
        <f t="array" aca="1" ref="B196" ca="1">IF(ROW($A196)-ROW($A$6)&gt;EmpCount*12,Setup!$D$12,DATE(YEAR(Setup!$F$12),MONTH(Setup!$F$12)+ROUNDDOWN((ROW($A196)-ROW($A$6)-1)/EmpCount,0),IF(Setup!$C$14&gt;DAY(DATE(YEAR(Setup!$F$12),MONTH(Setup!$F$12)+ROUNDDOWN((ROW($A196)-ROW($A$6)-1)/EmpCount,0)+1,0)),DAY(DATE(YEAR(Setup!$F$12),MONTH(Setup!$F$12)+ROUNDDOWN((ROW($A196)-ROW($A$6)-1)/EmpCount,0)+1,0)),Setup!$C$14)))</f>
        <v>45351</v>
      </c>
      <c r="C196" s="101" t="str" cm="1">
        <f t="array" aca="1" ref="C196" ca="1">IF(ROW($A196)-ROW($A$6)&gt;EmpCount*12,"-",OFFSET(Emp!$A$4,ROW($A196)-ROW($A$6)-IF(ROW($A196)-ROW($A$6)&gt;EmpCount,ROUNDDOWN((ROW($A196)-ROW($A$6)-1)/EmpCount,0)*EmpCount,0),0,1,1))</f>
        <v>-</v>
      </c>
      <c r="D196" s="10" t="str">
        <f ca="1">IF(ISNA(VLOOKUP($C196,EmpAll,COLUMN(Emp!$B$4),0)),"-",VLOOKUP($C196,EmpAll,COLUMN(Emp!$B$4),0))</f>
        <v>-</v>
      </c>
      <c r="E196" s="145" t="str">
        <f ca="1">IF(ISNA(VLOOKUP($C196,EmpAll,COLUMN(Emp!$C$4),0)),"-",VLOOKUP($C196,EmpAll,COLUMN(Emp!$C$4),0))</f>
        <v>-</v>
      </c>
      <c r="F196" s="101" t="str">
        <f ca="1">IF(ISNA(VLOOKUP($C196,EmpAll,COLUMN(Emp!$A$4),0)),"-",IF(AND(VLOOKUP($C196,EmpAll,COLUMN(Emp!$E$4),0)&lt;&gt;0,VLOOKUP($C196,EmpAll,COLUMN(Emp!$E$4),0)&gt;=DATE(YEAR($AC196),MONTH($AC196)+1,0)),"Inactive",IF(AND(VLOOKUP($C196,EmpAll,COLUMN(Emp!$F$4),0)&lt;&gt;0,VLOOKUP($C196,EmpAll,COLUMN(Emp!$F$4),0)&lt;=DATE(YEAR($AC196),MONTH($AC196),0)),"Terminated","Active")))</f>
        <v>-</v>
      </c>
      <c r="G196" s="133" cm="1">
        <f t="array" aca="1" ref="G196" ca="1">IF($F196&lt;&gt;"Active",0,IF(COUNTIFS(OverEmp,$C196,OverEarn,G$2,OverDate,"&lt;"&amp;DATE(YEAR($AC196),MONTH($AC196)+1,1),OverEnd,"&gt;="&amp;DATE(YEAR($AC196),MONTH($AC196),1))&gt;0,SUMIFS(OverValue,OverEmp,$C196,OverEarn,G$2,OverDate,"&lt;"&amp;DATE(YEAR($AC196),MONTH($AC196)+1,1),OverEnd,"&gt;="&amp;DATE(YEAR($AC196),MONTH($AC196),1)),IF(AND($AC196&gt;=Setup!$E$10,SUMIFS(EmpIncrease,EmpCode,$C196)&gt;0),SUMIFS(EmpIncrease,EmpCode,$C196),SUMIFS(EmpSalary,EmpCode,$C196))))</f>
        <v>0</v>
      </c>
      <c r="H196" s="133" cm="1">
        <f t="array" aca="1" ref="H196" ca="1">IF($F196&lt;&gt;"Active",0,IF(COUNTIFS(OverEmp,$C196,OverEarn,H$2,OverDate,"&lt;"&amp;DATE(YEAR($AC196),MONTH($AC196)+1,1),OverEnd,"&gt;="&amp;DATE(YEAR($AC196),MONTH($AC196),1))&gt;0,SUMIFS(OverValue,OverEmp,$C196,OverEarn,H$2,OverDate,"&lt;"&amp;DATE(YEAR($AC196),MONTH($AC196)+1,1),OverEnd,"&gt;="&amp;DATE(YEAR($AC196),MONTH($AC196),1)),0))</f>
        <v>0</v>
      </c>
      <c r="I196" s="133" cm="1">
        <f t="array" aca="1" ref="I196" ca="1">IF($F196&lt;&gt;"Active",0,IF(COUNTIFS(OverEmp,$C196,OverEarn,I$2,OverDate,"&lt;"&amp;DATE(YEAR($AC196),MONTH($AC196)+1,1),OverEnd,"&gt;="&amp;DATE(YEAR($AC196),MONTH($AC196),1))&gt;0,SUMIFS(OverValue,OverEmp,$C196,OverEarn,I$2,OverDate,"&lt;"&amp;DATE(YEAR($AC196),MONTH($AC196)+1,1),OverEnd,"&gt;="&amp;DATE(YEAR($AC196),MONTH($AC196),1)),IF(MONTH(B196)=Setup!$C$15,SUMIFS(EmpBonus,EmpCode,$C196),0)))</f>
        <v>0</v>
      </c>
      <c r="J196" s="133" cm="1">
        <f t="array" aca="1" ref="J196" ca="1">IF($F196&lt;&gt;"Active",0,IF(COUNTIFS(OverEmp,$C196,OverEarn,J$2,OverDate,"&lt;"&amp;DATE(YEAR($AC196),MONTH($AC196)+1,1),OverEnd,"&gt;="&amp;DATE(YEAR($AC196),MONTH($AC196),1))&gt;0,SUMIFS(OverValue,OverEmp,$C196,OverEarn,J$2,OverDate,"&lt;"&amp;DATE(YEAR($AC196),MONTH($AC196)+1,1),OverEnd,"&gt;="&amp;DATE(YEAR($AC196),MONTH($AC196),1)),0))</f>
        <v>0</v>
      </c>
      <c r="K196" s="133" cm="1">
        <f t="array" aca="1" ref="K196" ca="1">IF($F196&lt;&gt;"Active",0,IF(COUNTIFS(OverEmp,$C196,OverEarn,K$2,OverDate,"&lt;"&amp;DATE(YEAR($AC196),MONTH($AC196)+1,1),OverEnd,"&gt;="&amp;DATE(YEAR($AC196),MONTH($AC196),1))&gt;0,SUMIFS(OverValue,OverEmp,$C196,OverEarn,K$2,OverDate,"&lt;"&amp;DATE(YEAR($AC196),MONTH($AC196)+1,1),OverEnd,"&gt;="&amp;DATE(YEAR($AC196),MONTH($AC196),1)),0))</f>
        <v>0</v>
      </c>
      <c r="L196" s="185">
        <f t="shared" ca="1" si="95"/>
        <v>0</v>
      </c>
      <c r="M196" s="182" cm="1">
        <f t="array" aca="1" ref="M196" ca="1">IF(COUNTIFS(OverEmp,$C196,OverTax,M$5,OverDate,"&lt;"&amp;DATE(YEAR($AC196),MONTH($AC196)+1,1),OverEnd,"&gt;="&amp;DATE(YEAR($AC196),MONTH($AC196),1))&gt;0,SUMIFS(OverValue,OverEmp,$C196,OverTax,M$5,OverDate,"&lt;"&amp;DATE(YEAR($AC196),MONTH($AC196)+1,1),OverEnd,"&gt;="&amp;DATE(YEAR($AC196),MONTH($AC196),1)),(($BA196/12*$AA196)+(BB196*IF(1-$BC196=0,0,BD196/(1-$BC196))))-IF($F196="Terminated",0,SUMIFS(PayTaxDeduct,PayDate,"&lt;"&amp;$AC196,PayEmp,$C196)))</f>
        <v>0</v>
      </c>
      <c r="N196" s="133" cm="1">
        <f t="array" aca="1" ref="N196" ca="1">IF($F196="Terminated",0,IF($AA196=0,0,IF(ISNA(MATCH(N$5,DedListItem,0)),0,IF(COUNTIFS(OverEmp,$C196,OverDeduct,N$5,OverDate,"&lt;"&amp;DATE(YEAR($AC196),MONTH($AC196)+1,1),OverEnd,"&gt;="&amp;DATE(YEAR($AC196),MONTH($AC196),1))&gt;0,SUMIFS(OverValue,OverEmp,$C196,OverDeduct,N$5,OverDate,"&lt;"&amp;DATE(YEAR($AC196),MONTH($AC196)+1,1),OverEnd,"&gt;="&amp;DATE(YEAR($AC196),MONTH($AC196),1)),IF(OR(N$2="Fixed",N$2="Not Used"),(IF(COUNTIFS(EmpNo,$C196,OFFSET(Emp!$R$4,1,MATCH(N$5,DedListItem,0)-1,EmpCount,1),"&lt;&gt;")&gt;0,VLOOKUP($C196,EmpAll,COLUMN(Emp!$R$4)+MATCH(N$5,DedListItem,0)-1,0),OFFSET(Setup!$E$73,MATCH(N$5,DedListItem,0),0,1,1))*$AA196)-SUMIFS(OFFSET(N$6,1,0,PayCount,1),PayDate,"&lt;"&amp;$AC196,PayEmp,$C196),IF(ISNA(MATCH(N$2,EarnListItem,0))=FALSE,IF(OFFSET(Setup!$G$73,MATCH(N$5,DedListItem,0),0,1,1)="Taxable",SUMPRODUCT((PayEmp=$C196)*(PayDate&lt;=$AC196)*(PayEarnCode=N$2)*(PayEarnTax)*(PayEarnValues)),SUMPRODUCT((PayEmp=$C196)*(PayDate&lt;=$AC196)*(PayEarnCode=N$2)*(PayEarnValues)))*IF(COUNTIFS(EmpNo,$C196,OFFSET(Emp!$R$4,1,MATCH(N$5,DedListItem,0)-1,EmpCount,1),"&lt;&gt;")&gt;0,VLOOKUP($C196,EmpAll,COLUMN(Emp!$R$4)+MATCH(N$5,DedListItem,0)-1,0),OFFSET(Setup!$E$73,MATCH(N$5,DedListItem,0),0,1,1)),(MIN(IF(OFFSET(Setup!$G$73,MATCH(N$5,DedListItem,0),0,1,1)="Taxable",SUMPRODUCT((PayEmp=$C196)*(PayDate&lt;=$AC196)*(ISERROR(SEARCH(PayEarnCode,N$4)))*(PayEarnTax)*(PayEarnValues)),SUMPRODUCT((PayEmp=$C196)*(PayDate&lt;=$AC196)*(ISERROR(SEARCH(PayEarnCode,N$4)))*(PayEarnValues))),IF(ISNUMBER(N$3),N$3/12*$AA196,IgnoreMin)))*IF(COUNTIFS(EmpNo,$C196,OFFSET(Emp!$R$4,1,MATCH(N$5,DedListItem,0)-1,EmpCount,1),"&lt;&gt;")&gt;0,VLOOKUP($C196,EmpAll,COLUMN(Emp!$R$4)+MATCH(N$5,DedListItem,0)-1,0),OFFSET(Setup!$E$73,MATCH(N$5,DedListItem,0),0,1,1)))-SUMIFS(OFFSET(N$6,1,0,PayCount,1),PayDate,"&lt;"&amp;$AC196,PayEmp,$C196))))))</f>
        <v>0</v>
      </c>
      <c r="O196" s="133" cm="1">
        <f t="array" aca="1" ref="O196" ca="1">IF($F196="Terminated",0,IF($AA196=0,0,IF(ISNA(MATCH(O$5,DedListItem,0)),0,IF(COUNTIFS(OverEmp,$C196,OverDeduct,O$5,OverDate,"&lt;"&amp;DATE(YEAR($AC196),MONTH($AC196)+1,1),OverEnd,"&gt;="&amp;DATE(YEAR($AC196),MONTH($AC196),1))&gt;0,SUMIFS(OverValue,OverEmp,$C196,OverDeduct,O$5,OverDate,"&lt;"&amp;DATE(YEAR($AC196),MONTH($AC196)+1,1),OverEnd,"&gt;="&amp;DATE(YEAR($AC196),MONTH($AC196),1)),IF(OR(O$2="Fixed",O$2="Not Used"),(IF(COUNTIFS(EmpNo,$C196,OFFSET(Emp!$R$4,1,MATCH(O$5,DedListItem,0)-1,EmpCount,1),"&lt;&gt;")&gt;0,VLOOKUP($C196,EmpAll,COLUMN(Emp!$R$4)+MATCH(O$5,DedListItem,0)-1,0),OFFSET(Setup!$E$73,MATCH(O$5,DedListItem,0),0,1,1))*$AA196)-SUMIFS(OFFSET(O$6,1,0,PayCount,1),PayDate,"&lt;"&amp;$AC196,PayEmp,$C196),IF(ISNA(MATCH(O$2,EarnListItem,0))=FALSE,IF(OFFSET(Setup!$G$73,MATCH(O$5,DedListItem,0),0,1,1)="Taxable",SUMPRODUCT((PayEmp=$C196)*(PayDate&lt;=$AC196)*(PayEarnCode=O$2)*(PayEarnTax)*(PayEarnValues)),SUMPRODUCT((PayEmp=$C196)*(PayDate&lt;=$AC196)*(PayEarnCode=O$2)*(PayEarnValues)))*IF(COUNTIFS(EmpNo,$C196,OFFSET(Emp!$R$4,1,MATCH(O$5,DedListItem,0)-1,EmpCount,1),"&lt;&gt;")&gt;0,VLOOKUP($C196,EmpAll,COLUMN(Emp!$R$4)+MATCH(O$5,DedListItem,0)-1,0),OFFSET(Setup!$E$73,MATCH(O$5,DedListItem,0),0,1,1)),(MIN(IF(OFFSET(Setup!$G$73,MATCH(O$5,DedListItem,0),0,1,1)="Taxable",SUMPRODUCT((PayEmp=$C196)*(PayDate&lt;=$AC196)*(ISERROR(SEARCH(PayEarnCode,O$4)))*(PayEarnTax)*(PayEarnValues)),SUMPRODUCT((PayEmp=$C196)*(PayDate&lt;=$AC196)*(ISERROR(SEARCH(PayEarnCode,O$4)))*(PayEarnValues))),IF(ISNUMBER(O$3),O$3/12*$AA196,IgnoreMin)))*IF(COUNTIFS(EmpNo,$C196,OFFSET(Emp!$R$4,1,MATCH(O$5,DedListItem,0)-1,EmpCount,1),"&lt;&gt;")&gt;0,VLOOKUP($C196,EmpAll,COLUMN(Emp!$R$4)+MATCH(O$5,DedListItem,0)-1,0),OFFSET(Setup!$E$73,MATCH(O$5,DedListItem,0),0,1,1)))-SUMIFS(OFFSET(O$6,1,0,PayCount,1),PayDate,"&lt;"&amp;$AC196,PayEmp,$C196))))))</f>
        <v>0</v>
      </c>
      <c r="P196" s="133" cm="1">
        <f t="array" aca="1" ref="P196" ca="1">IF($F196="Terminated",0,IF($AA196=0,0,IF(ISNA(MATCH(P$5,DedListItem,0)),0,IF(COUNTIFS(OverEmp,$C196,OverDeduct,P$5,OverDate,"&lt;"&amp;DATE(YEAR($AC196),MONTH($AC196)+1,1),OverEnd,"&gt;="&amp;DATE(YEAR($AC196),MONTH($AC196),1))&gt;0,SUMIFS(OverValue,OverEmp,$C196,OverDeduct,P$5,OverDate,"&lt;"&amp;DATE(YEAR($AC196),MONTH($AC196)+1,1),OverEnd,"&gt;="&amp;DATE(YEAR($AC196),MONTH($AC196),1)),IF(OR(P$2="Fixed",P$2="Not Used"),(IF(COUNTIFS(EmpNo,$C196,OFFSET(Emp!$R$4,1,MATCH(P$5,DedListItem,0)-1,EmpCount,1),"&lt;&gt;")&gt;0,VLOOKUP($C196,EmpAll,COLUMN(Emp!$R$4)+MATCH(P$5,DedListItem,0)-1,0),OFFSET(Setup!$E$73,MATCH(P$5,DedListItem,0),0,1,1))*$AA196)-SUMIFS(OFFSET(P$6,1,0,PayCount,1),PayDate,"&lt;"&amp;$AC196,PayEmp,$C196),IF(ISNA(MATCH(P$2,EarnListItem,0))=FALSE,IF(OFFSET(Setup!$G$73,MATCH(P$5,DedListItem,0),0,1,1)="Taxable",SUMPRODUCT((PayEmp=$C196)*(PayDate&lt;=$AC196)*(PayEarnCode=P$2)*(PayEarnTax)*(PayEarnValues)),SUMPRODUCT((PayEmp=$C196)*(PayDate&lt;=$AC196)*(PayEarnCode=P$2)*(PayEarnValues)))*IF(COUNTIFS(EmpNo,$C196,OFFSET(Emp!$R$4,1,MATCH(P$5,DedListItem,0)-1,EmpCount,1),"&lt;&gt;")&gt;0,VLOOKUP($C196,EmpAll,COLUMN(Emp!$R$4)+MATCH(P$5,DedListItem,0)-1,0),OFFSET(Setup!$E$73,MATCH(P$5,DedListItem,0),0,1,1)),(MIN(IF(OFFSET(Setup!$G$73,MATCH(P$5,DedListItem,0),0,1,1)="Taxable",SUMPRODUCT((PayEmp=$C196)*(PayDate&lt;=$AC196)*(ISERROR(SEARCH(PayEarnCode,P$4)))*(PayEarnTax)*(PayEarnValues)),SUMPRODUCT((PayEmp=$C196)*(PayDate&lt;=$AC196)*(ISERROR(SEARCH(PayEarnCode,P$4)))*(PayEarnValues))),IF(ISNUMBER(P$3),P$3/12*$AA196,IgnoreMin)))*IF(COUNTIFS(EmpNo,$C196,OFFSET(Emp!$R$4,1,MATCH(P$5,DedListItem,0)-1,EmpCount,1),"&lt;&gt;")&gt;0,VLOOKUP($C196,EmpAll,COLUMN(Emp!$R$4)+MATCH(P$5,DedListItem,0)-1,0),OFFSET(Setup!$E$73,MATCH(P$5,DedListItem,0),0,1,1)))-SUMIFS(OFFSET(P$6,1,0,PayCount,1),PayDate,"&lt;"&amp;$AC196,PayEmp,$C196))))))</f>
        <v>0</v>
      </c>
      <c r="Q196" s="133" cm="1">
        <f t="array" aca="1" ref="Q196" ca="1">IF($F196="Terminated",0,IF($AA196=0,0,IF(ISNA(MATCH(Q$5,DedListItem,0)),0,IF(COUNTIFS(OverEmp,$C196,OverDeduct,Q$5,OverDate,"&lt;"&amp;DATE(YEAR($AC196),MONTH($AC196)+1,1),OverEnd,"&gt;="&amp;DATE(YEAR($AC196),MONTH($AC196),1))&gt;0,SUMIFS(OverValue,OverEmp,$C196,OverDeduct,Q$5,OverDate,"&lt;"&amp;DATE(YEAR($AC196),MONTH($AC196)+1,1),OverEnd,"&gt;="&amp;DATE(YEAR($AC196),MONTH($AC196),1)),IF(OR(Q$2="Fixed",Q$2="Not Used"),(IF(COUNTIFS(EmpNo,$C196,OFFSET(Emp!$R$4,1,MATCH(Q$5,DedListItem,0)-1,EmpCount,1),"&lt;&gt;")&gt;0,VLOOKUP($C196,EmpAll,COLUMN(Emp!$R$4)+MATCH(Q$5,DedListItem,0)-1,0),OFFSET(Setup!$E$73,MATCH(Q$5,DedListItem,0),0,1,1))*$AA196)-SUMIFS(OFFSET(Q$6,1,0,PayCount,1),PayDate,"&lt;"&amp;$AC196,PayEmp,$C196),IF(ISNA(MATCH(Q$2,EarnListItem,0))=FALSE,IF(OFFSET(Setup!$G$73,MATCH(Q$5,DedListItem,0),0,1,1)="Taxable",SUMPRODUCT((PayEmp=$C196)*(PayDate&lt;=$AC196)*(PayEarnCode=Q$2)*(PayEarnTax)*(PayEarnValues)),SUMPRODUCT((PayEmp=$C196)*(PayDate&lt;=$AC196)*(PayEarnCode=Q$2)*(PayEarnValues)))*IF(COUNTIFS(EmpNo,$C196,OFFSET(Emp!$R$4,1,MATCH(Q$5,DedListItem,0)-1,EmpCount,1),"&lt;&gt;")&gt;0,VLOOKUP($C196,EmpAll,COLUMN(Emp!$R$4)+MATCH(Q$5,DedListItem,0)-1,0),OFFSET(Setup!$E$73,MATCH(Q$5,DedListItem,0),0,1,1)),(MIN(IF(OFFSET(Setup!$G$73,MATCH(Q$5,DedListItem,0),0,1,1)="Taxable",SUMPRODUCT((PayEmp=$C196)*(PayDate&lt;=$AC196)*(ISERROR(SEARCH(PayEarnCode,Q$4)))*(PayEarnTax)*(PayEarnValues)),SUMPRODUCT((PayEmp=$C196)*(PayDate&lt;=$AC196)*(ISERROR(SEARCH(PayEarnCode,Q$4)))*(PayEarnValues))),IF(ISNUMBER(Q$3),Q$3/12*$AA196,IgnoreMin)))*IF(COUNTIFS(EmpNo,$C196,OFFSET(Emp!$R$4,1,MATCH(Q$5,DedListItem,0)-1,EmpCount,1),"&lt;&gt;")&gt;0,VLOOKUP($C196,EmpAll,COLUMN(Emp!$R$4)+MATCH(Q$5,DedListItem,0)-1,0),OFFSET(Setup!$E$73,MATCH(Q$5,DedListItem,0),0,1,1)))-SUMIFS(OFFSET(Q$6,1,0,PayCount,1),PayDate,"&lt;"&amp;$AC196,PayEmp,$C196))))))</f>
        <v>0</v>
      </c>
      <c r="R196" s="185">
        <f t="shared" ca="1" si="96"/>
        <v>0</v>
      </c>
      <c r="S196" s="139">
        <f t="shared" ca="1" si="97"/>
        <v>0</v>
      </c>
      <c r="T196" s="133" cm="1">
        <f t="array" aca="1" ref="T196" ca="1">IF($F196="Terminated",0,IF($AA196=0,0,IF(ISNA(MATCH(T$5,CompListItem,0)),0,IF(COUNTIFS(OverEmp,$C196,OverComp,T$5,OverDate,"&lt;"&amp;DATE(YEAR($AC196),MONTH($AC196)+1,1),OverEnd,"&gt;="&amp;DATE(YEAR($AC196),MONTH($AC196),1))&gt;0,SUMIFS(OverValue,OverEmp,$C196,OverComp,T$5,OverDate,"&lt;"&amp;DATE(YEAR($AC196),MONTH($AC196)+1,1),OverEnd,"&gt;="&amp;DATE(YEAR($AC196),MONTH($AC196),1)),IF(OR(T$2="Fixed",T$2="Not Used"),(OFFSET(Setup!$E$81,MATCH(T$5,CompListItem,0),0,1,1)*$AA196)-SUMIFS(OFFSET(T$6,1,0,PayCount,1),PayDate,"&lt;"&amp;$AC196,PayEmp,$C196),IF(ISNA(MATCH(T$2,DedListItem,0))=FALSE,(SUMPRODUCT((PayEmp=$C196)*(PayDate&lt;=$AC196)*(PayDedList=T$2)*(PayDedValues))*OFFSET(Setup!$E$81,MATCH(T$5,CompListItem,0),0,1,1))-SUMIFS(OFFSET(T$6,1,0,PayCount,1),PayDate,"&lt;"&amp;$AC196,PayEmp,$C196),(MIN(IF(OFFSET(Setup!$G$81,MATCH(T$5,CompListItem,0),0,1,1)="Taxable",SUMPRODUCT((PayEmp=$C196)*(PayDate&lt;=$AC196)*(ISERROR(SEARCH(PayEarnCode,T$4)))*(PayEarnTax)*(PayEarnValues)),SUMPRODUCT((PayEmp=$C196)*(PayDate&lt;=$AC196)*(ISERROR(SEARCH(PayEarnCode,T$4)))*(PayEarnValues))),IF(ISNUMBER(T$3),T$3/12*$AA196,IgnoreMin)))*OFFSET(Setup!$E$81,MATCH(T$5,CompListItem,0),0,1,1)-SUMIFS(OFFSET(T$6,1,0,PayCount,1),PayDate,"&lt;"&amp;$AC196,PayEmp,$C196)))))))</f>
        <v>0</v>
      </c>
      <c r="U196" s="133" cm="1">
        <f t="array" aca="1" ref="U196" ca="1">IF($F196="Terminated",0,IF($AA196=0,0,IF(ISNA(MATCH(U$5,CompListItem,0)),0,IF(COUNTIFS(OverEmp,$C196,OverComp,U$5,OverDate,"&lt;"&amp;DATE(YEAR($AC196),MONTH($AC196)+1,1),OverEnd,"&gt;="&amp;DATE(YEAR($AC196),MONTH($AC196),1))&gt;0,SUMIFS(OverValue,OverEmp,$C196,OverComp,U$5,OverDate,"&lt;"&amp;DATE(YEAR($AC196),MONTH($AC196)+1,1),OverEnd,"&gt;="&amp;DATE(YEAR($AC196),MONTH($AC196),1)),IF(OR(U$2="Fixed",U$2="Not Used"),(OFFSET(Setup!$E$81,MATCH(U$5,CompListItem,0),0,1,1)*$AA196)-SUMIFS(OFFSET(U$6,1,0,PayCount,1),PayDate,"&lt;"&amp;$AC196,PayEmp,$C196),IF(ISNA(MATCH(U$2,DedListItem,0))=FALSE,(SUMPRODUCT((PayEmp=$C196)*(PayDate&lt;=$AC196)*(PayDedList=U$2)*(PayDedValues))*OFFSET(Setup!$E$81,MATCH(U$5,CompListItem,0),0,1,1))-SUMIFS(OFFSET(U$6,1,0,PayCount,1),PayDate,"&lt;"&amp;$AC196,PayEmp,$C196),(MIN(IF(OFFSET(Setup!$G$81,MATCH(U$5,CompListItem,0),0,1,1)="Taxable",SUMPRODUCT((PayEmp=$C196)*(PayDate&lt;=$AC196)*(ISERROR(SEARCH(PayEarnCode,U$4)))*(PayEarnTax)*(PayEarnValues)),SUMPRODUCT((PayEmp=$C196)*(PayDate&lt;=$AC196)*(ISERROR(SEARCH(PayEarnCode,U$4)))*(PayEarnValues))),IF(ISNUMBER(U$3),U$3/12*$AA196,IgnoreMin)))*OFFSET(Setup!$E$81,MATCH(U$5,CompListItem,0),0,1,1)-SUMIFS(OFFSET(U$6,1,0,PayCount,1),PayDate,"&lt;"&amp;$AC196,PayEmp,$C196)))))))</f>
        <v>0</v>
      </c>
      <c r="V196" s="133" cm="1">
        <f t="array" aca="1" ref="V196" ca="1">IF($F196="Terminated",0,IF($AA196=0,0,IF(ISNA(MATCH(V$5,CompListItem,0)),0,IF(COUNTIFS(OverEmp,$C196,OverComp,V$5,OverDate,"&lt;"&amp;DATE(YEAR($AC196),MONTH($AC196)+1,1),OverEnd,"&gt;="&amp;DATE(YEAR($AC196),MONTH($AC196),1))&gt;0,SUMIFS(OverValue,OverEmp,$C196,OverComp,V$5,OverDate,"&lt;"&amp;DATE(YEAR($AC196),MONTH($AC196)+1,1),OverEnd,"&gt;="&amp;DATE(YEAR($AC196),MONTH($AC196),1)),IF(OR(V$2="Fixed",V$2="Not Used"),(OFFSET(Setup!$E$81,MATCH(V$5,CompListItem,0),0,1,1)*$AA196)-SUMIFS(OFFSET(V$6,1,0,PayCount,1),PayDate,"&lt;"&amp;$AC196,PayEmp,$C196),IF(ISNA(MATCH(V$2,DedListItem,0))=FALSE,(SUMPRODUCT((PayEmp=$C196)*(PayDate&lt;=$AC196)*(PayDedList=V$2)*(PayDedValues))*OFFSET(Setup!$E$81,MATCH(V$5,CompListItem,0),0,1,1))-SUMIFS(OFFSET(V$6,1,0,PayCount,1),PayDate,"&lt;"&amp;$AC196,PayEmp,$C196),(MIN(IF(OFFSET(Setup!$G$81,MATCH(V$5,CompListItem,0),0,1,1)="Taxable",SUMPRODUCT((PayEmp=$C196)*(PayDate&lt;=$AC196)*(ISERROR(SEARCH(PayEarnCode,V$4)))*(PayEarnTax)*(PayEarnValues)),SUMPRODUCT((PayEmp=$C196)*(PayDate&lt;=$AC196)*(ISERROR(SEARCH(PayEarnCode,V$4)))*(PayEarnValues))),IF(ISNUMBER(V$3),V$3/12*$AA196,IgnoreMin)))*OFFSET(Setup!$E$81,MATCH(V$5,CompListItem,0),0,1,1)-SUMIFS(OFFSET(V$6,1,0,PayCount,1),PayDate,"&lt;"&amp;$AC196,PayEmp,$C196)))))))</f>
        <v>0</v>
      </c>
      <c r="W196" s="133" cm="1">
        <f t="array" aca="1" ref="W196" ca="1">IF($F196="Terminated",0,IF($AA196=0,0,IF(ISNA(MATCH(W$5,CompListItem,0)),0,IF(COUNTIFS(OverEmp,$C196,OverComp,W$5,OverDate,"&lt;"&amp;DATE(YEAR($AC196),MONTH($AC196)+1,1),OverEnd,"&gt;="&amp;DATE(YEAR($AC196),MONTH($AC196),1))&gt;0,SUMIFS(OverValue,OverEmp,$C196,OverComp,W$5,OverDate,"&lt;"&amp;DATE(YEAR($AC196),MONTH($AC196)+1,1),OverEnd,"&gt;="&amp;DATE(YEAR($AC196),MONTH($AC196),1)),IF(OR(W$2="Fixed",W$2="Not Used"),(OFFSET(Setup!$E$81,MATCH(W$5,CompListItem,0),0,1,1)*$AA196)-SUMIFS(OFFSET(W$6,1,0,PayCount,1),PayDate,"&lt;"&amp;$AC196,PayEmp,$C196),IF(ISNA(MATCH(W$2,DedListItem,0))=FALSE,(SUMPRODUCT((PayEmp=$C196)*(PayDate&lt;=$AC196)*(PayDedList=W$2)*(PayDedValues))*OFFSET(Setup!$E$81,MATCH(W$5,CompListItem,0),0,1,1))-SUMIFS(OFFSET(W$6,1,0,PayCount,1),PayDate,"&lt;"&amp;$AC196,PayEmp,$C196),(MIN(IF(OFFSET(Setup!$G$81,MATCH(W$5,CompListItem,0),0,1,1)="Taxable",SUMPRODUCT((PayEmp=$C196)*(PayDate&lt;=$AC196)*(ISERROR(SEARCH(PayEarnCode,W$4)))*(PayEarnTax)*(PayEarnValues)),SUMPRODUCT((PayEmp=$C196)*(PayDate&lt;=$AC196)*(ISERROR(SEARCH(PayEarnCode,W$4)))*(PayEarnValues))),IF(ISNUMBER(W$3),W$3/12*$AA196,IgnoreMin)))*OFFSET(Setup!$E$81,MATCH(W$5,CompListItem,0),0,1,1)-SUMIFS(OFFSET(W$6,1,0,PayCount,1),PayDate,"&lt;"&amp;$AC196,PayEmp,$C196)))))))</f>
        <v>0</v>
      </c>
      <c r="X196" s="185">
        <f t="shared" ca="1" si="98"/>
        <v>0</v>
      </c>
      <c r="Y196" s="139">
        <f t="shared" ca="1" si="99"/>
        <v>0</v>
      </c>
      <c r="Z196" s="139">
        <f t="shared" ca="1" si="100"/>
        <v>0</v>
      </c>
      <c r="AA196" s="146">
        <f ca="1">IF(OR($B196&lt;=Setup!$E$12,$B196&gt;=Setup!$D$12+1),0,IF($F196&lt;&gt;"Active",0,IF($AE196="Yes",$AB196,((YEAR($AC196)*12)+MONTH($AC196))-((YEAR($AD196)*12)+MONTH($AD196)-1))))</f>
        <v>0</v>
      </c>
      <c r="AB196" s="146">
        <f ca="1">IF(OR($B196&lt;=Setup!$E$12,$B196&gt;=Setup!$D$12+1),0,((YEAR($AC196)*12)+MONTH($AC196))-((YEAR(Setup!$E$12)*12)+MONTH(Setup!$E$12)))</f>
        <v>12</v>
      </c>
      <c r="AC196" s="186">
        <f t="shared" ca="1" si="101"/>
        <v>45351</v>
      </c>
      <c r="AD196" s="144">
        <f ca="1">IF(ISNA(VLOOKUP($C196,EmpAll,COLUMN(Emp!$E$4),0)),$AC196,IF(VLOOKUP($C196,EmpAll,COLUMN(Emp!$E$4),0)&lt;=Setup!$E$12,DATE(YEAR(Setup!$E$12),MONTH(Setup!$E$12)+1,1),VLOOKUP($C196,EmpAll,COLUMN(Emp!$E$4),0)))</f>
        <v>45351</v>
      </c>
      <c r="AE196" s="144" t="str">
        <f ca="1">IF(ISNA(VLOOKUP($C196,EmpAll,COLUMN(Emp!$G$1),0)),"-",IF(VLOOKUP($C196,EmpAll,COLUMN(Emp!$G$1),0)=0,"-",VLOOKUP($C196,EmpAll,COLUMN(Emp!$G$1),0)))</f>
        <v>-</v>
      </c>
      <c r="AF196" s="145">
        <f>IF(A196=PaySlip!$G$3,1,0)</f>
        <v>0</v>
      </c>
      <c r="AG196" s="130" cm="1">
        <f t="array" aca="1" ref="AG196" ca="1">IF(COUNTIFS(OverEmp,$C196,OverMed,"MED",OverDate,"&lt;"&amp;DATE(YEAR($AC196),MONTH($AC196)+1,1),OverEnd,"&gt;="&amp;DATE(YEAR($AC196),MONTH($AC196),1))&gt;0,SUMIFS(OverValue,OverEmp,$C196,OverMed,"MED",OverDate,"&lt;"&amp;DATE(YEAR($AC196),MONTH($AC196)+1,1),OverEnd,"&gt;="&amp;DATE(YEAR($AC196),MONTH($AC196),1)),IF(ISNA(VLOOKUP($C196,EmpAll,COLUMN(Emp!$N$4),0)),0,VLOOKUP($C196,EmpAll,COLUMN(Emp!$N$4),0)))</f>
        <v>0</v>
      </c>
      <c r="AH196" s="146">
        <f ca="1">VLOOKUP($AG196,MedList,COLUMN(Setup!$C$49),1)</f>
        <v>0</v>
      </c>
      <c r="AI196" s="146">
        <f t="shared" ca="1" si="70"/>
        <v>0</v>
      </c>
      <c r="AJ196" s="101" t="str">
        <f ca="1">IF(ISNA(VLOOKUP($C196,EmpAll,COLUMN(Emp!$L$4),0)),"None!",VLOOKUP($C196,EmpAll,COLUMN(Emp!$L$4),0))</f>
        <v>None!</v>
      </c>
      <c r="AK196" s="147">
        <f t="shared" ca="1" si="102"/>
        <v>17235</v>
      </c>
      <c r="AL196" s="101" t="str">
        <f ca="1">IF(ISNA(VLOOKUP($C196,Employees[],COLUMN(Emp!$M$4),0))=TRUE,"Error!",IF(VLOOKUP($C196,Employees[],COLUMN(Emp!$M$4),0)=0,"Yes",VLOOKUP($C196,Employees[],COLUMN(Emp!$M$4),0)))</f>
        <v>Error!</v>
      </c>
      <c r="AM196" s="148">
        <f t="shared" ca="1" si="71"/>
        <v>0</v>
      </c>
      <c r="AN196" s="148" cm="1">
        <f t="array" aca="1" ref="AN196" ca="1">-IF($F196="Terminated",0,IF($AA196=0,0,IF(ISNA(MATCH(AN$5,PayDedList,0)),0,MIN(IF(COUNTIFS(OverEmp,$C196,OverDeduct,AN$5,OverDate,"&lt;"&amp;DATE(YEAR($AC196),MONTH($AC196)+1,1),OverEnd,"&gt;="&amp;DATE(YEAR($AC196),MONTH($AC196),1))&gt;0,SUMPRODUCT((PayEmp=$C196)*(PayDate&lt;=$AC196)*(OFFSET($N$6,1,MATCH(AN$5,PayDedList,0)-1,PayCount,1)))/$AA196*12*AN$3,IF(OR(AN$1="Fixed",AN$1="Not Used"),SUMPRODUCT((PayEmp=$C196)*(PayDate&lt;=$AC196)*(OFFSET($N$6,1,MATCH(AN$5,PayDedList,0)-1,PayCount,1)))/$AA196*12*AN$3,IF(ISNA(MATCH(AN$1,EarnListItem,0))=FALSE,SUMPRODUCT((PayEmp=$C196)*(PayDate&lt;=$AC196)*(OFFSET($N$6,1,MATCH(AN$5,PayDedList,0)-1,PayCount,1)))/$AA196*12*AN$3,(MIN(((SUMPRODUCT((PayEmp=$C196)*(PayDate&lt;=$AC196)*(ISERROR(SEARCH(PayEarnCode,AN$2)))*(PayEarnType="Monthly")*(PayEarnValues))/$AA196*12)+(SUMPRODUCT((PayEmp=$C196)*(PayDate&lt;=$AC196)*(ISERROR(SEARCH(PayEarnCode,AN$2)))*(PayEarnType="Quarterly")*(PayEarnValues))/MAX(1,ROUNDDOWN($AB196/3,0))*4)+(SUMPRODUCT((PayEmp=$C196)*(PayDate&lt;=$AC196)*(ISERROR(SEARCH(PayEarnCode,AN$2)))*(PayEarnType="Bi-Annual")*(PayEarnValues))/MAX(1,ROUNDDOWN($AB196/6,0))*2)+(SUMPRODUCT((PayEmp=$C196)*(PayDate&lt;=$AC196)*(ISERROR(SEARCH(PayEarnCode,AN$2)))*(PayEarnType="Annual")*(PayEarnValues)))),IF(ISNUMBER(OFFSET($N$3,0,MATCH(AN$5,PayDedList,0)-1,1,1)),OFFSET($N$3,0,MATCH(AN$5,PayDedList,0)-1,1,1),IgnoreMin)))*IF(COUNTIFS(EmpNo,$C196,OFFSET(Emp!$R$4,1,MATCH(AN$5,DedListItem,0)-1,EmpCount,1),"&lt;&gt;")&gt;0,VLOOKUP($C196,EmpAll,COLUMN(Emp!$R$4)+MATCH(AN$5,DedListItem,0)-1,0),OFFSET(Setup!$E$73,MATCH(AN$5,DedListItem,0),0,1,1))*AN$3))),IF(ISNUMBER(AN$4),AN$4,IgnoreMin)))))</f>
        <v>0</v>
      </c>
      <c r="AO196" s="148" cm="1">
        <f t="array" aca="1" ref="AO196" ca="1">-IF($F196="Terminated",0,IF($AA196=0,0,IF(ISNA(MATCH(AO$5,PayDedList,0)),0,MIN(IF(COUNTIFS(OverEmp,$C196,OverDeduct,AO$5,OverDate,"&lt;"&amp;DATE(YEAR($AC196),MONTH($AC196)+1,1),OverEnd,"&gt;="&amp;DATE(YEAR($AC196),MONTH($AC196),1))&gt;0,SUMPRODUCT((PayEmp=$C196)*(PayDate&lt;=$AC196)*(OFFSET($N$6,1,MATCH(AO$5,PayDedList,0)-1,PayCount,1)))/$AA196*12*AO$3,IF(OR(AO$1="Fixed",AO$1="Not Used"),SUMPRODUCT((PayEmp=$C196)*(PayDate&lt;=$AC196)*(OFFSET($N$6,1,MATCH(AO$5,PayDedList,0)-1,PayCount,1)))/$AA196*12*AO$3,IF(ISNA(MATCH(AO$1,EarnListItem,0))=FALSE,SUMPRODUCT((PayEmp=$C196)*(PayDate&lt;=$AC196)*(OFFSET($N$6,1,MATCH(AO$5,PayDedList,0)-1,PayCount,1)))/$AA196*12*AO$3,(MIN(((SUMPRODUCT((PayEmp=$C196)*(PayDate&lt;=$AC196)*(ISERROR(SEARCH(PayEarnCode,AO$2)))*(PayEarnType="Monthly")*(PayEarnValues))/$AA196*12)+(SUMPRODUCT((PayEmp=$C196)*(PayDate&lt;=$AC196)*(ISERROR(SEARCH(PayEarnCode,AO$2)))*(PayEarnType="Quarterly")*(PayEarnValues))/MAX(1,ROUNDDOWN($AB196/3,0))*4)+(SUMPRODUCT((PayEmp=$C196)*(PayDate&lt;=$AC196)*(ISERROR(SEARCH(PayEarnCode,AO$2)))*(PayEarnType="Bi-Annual")*(PayEarnValues))/MAX(1,ROUNDDOWN($AB196/6,0))*2)+(SUMPRODUCT((PayEmp=$C196)*(PayDate&lt;=$AC196)*(ISERROR(SEARCH(PayEarnCode,AO$2)))*(PayEarnType="Annual")*(PayEarnValues)))),IF(ISNUMBER(OFFSET($N$3,0,MATCH(AO$5,PayDedList,0)-1,1,1)),OFFSET($N$3,0,MATCH(AO$5,PayDedList,0)-1,1,1),IgnoreMin)))*IF(COUNTIFS(EmpNo,$C196,OFFSET(Emp!$R$4,1,MATCH(AO$5,DedListItem,0)-1,EmpCount,1),"&lt;&gt;")&gt;0,VLOOKUP($C196,EmpAll,COLUMN(Emp!$R$4)+MATCH(AO$5,DedListItem,0)-1,0),OFFSET(Setup!$E$73,MATCH(AO$5,DedListItem,0),0,1,1))*AO$3))),IF(ISNUMBER(AO$4),AO$4,IgnoreMin)))))</f>
        <v>0</v>
      </c>
      <c r="AP196" s="148" cm="1">
        <f t="array" aca="1" ref="AP196" ca="1">-IF($F196="Terminated",0,IF($AA196=0,0,IF(ISNA(MATCH(AP$5,PayDedList,0)),0,MIN(IF(COUNTIFS(OverEmp,$C196,OverDeduct,AP$5,OverDate,"&lt;"&amp;DATE(YEAR($AC196),MONTH($AC196)+1,1),OverEnd,"&gt;="&amp;DATE(YEAR($AC196),MONTH($AC196),1))&gt;0,SUMPRODUCT((PayEmp=$C196)*(PayDate&lt;=$AC196)*(OFFSET($N$6,1,MATCH(AP$5,PayDedList,0)-1,PayCount,1)))/$AA196*12*AP$3,IF(OR(AP$1="Fixed",AP$1="Not Used"),SUMPRODUCT((PayEmp=$C196)*(PayDate&lt;=$AC196)*(OFFSET($N$6,1,MATCH(AP$5,PayDedList,0)-1,PayCount,1)))/$AA196*12*AP$3,IF(ISNA(MATCH(AP$1,EarnListItem,0))=FALSE,SUMPRODUCT((PayEmp=$C196)*(PayDate&lt;=$AC196)*(OFFSET($N$6,1,MATCH(AP$5,PayDedList,0)-1,PayCount,1)))/$AA196*12*AP$3,(MIN(((SUMPRODUCT((PayEmp=$C196)*(PayDate&lt;=$AC196)*(ISERROR(SEARCH(PayEarnCode,AP$2)))*(PayEarnType="Monthly")*(PayEarnValues))/$AA196*12)+(SUMPRODUCT((PayEmp=$C196)*(PayDate&lt;=$AC196)*(ISERROR(SEARCH(PayEarnCode,AP$2)))*(PayEarnType="Quarterly")*(PayEarnValues))/MAX(1,ROUNDDOWN($AB196/3,0))*4)+(SUMPRODUCT((PayEmp=$C196)*(PayDate&lt;=$AC196)*(ISERROR(SEARCH(PayEarnCode,AP$2)))*(PayEarnType="Bi-Annual")*(PayEarnValues))/MAX(1,ROUNDDOWN($AB196/6,0))*2)+(SUMPRODUCT((PayEmp=$C196)*(PayDate&lt;=$AC196)*(ISERROR(SEARCH(PayEarnCode,AP$2)))*(PayEarnType="Annual")*(PayEarnValues)))),IF(ISNUMBER(OFFSET($N$3,0,MATCH(AP$5,PayDedList,0)-1,1,1)),OFFSET($N$3,0,MATCH(AP$5,PayDedList,0)-1,1,1),IgnoreMin)))*IF(COUNTIFS(EmpNo,$C196,OFFSET(Emp!$R$4,1,MATCH(AP$5,DedListItem,0)-1,EmpCount,1),"&lt;&gt;")&gt;0,VLOOKUP($C196,EmpAll,COLUMN(Emp!$R$4)+MATCH(AP$5,DedListItem,0)-1,0),OFFSET(Setup!$E$73,MATCH(AP$5,DedListItem,0),0,1,1))*AP$3))),IF(ISNUMBER(AP$4),AP$4,IgnoreMin)))))</f>
        <v>0</v>
      </c>
      <c r="AQ196" s="148" cm="1">
        <f t="array" aca="1" ref="AQ196" ca="1">-IF($F196="Terminated",0,IF($AA196=0,0,IF(ISNA(MATCH(AQ$5,PayDedList,0)),0,MIN(IF(COUNTIFS(OverEmp,$C196,OverDeduct,AQ$5,OverDate,"&lt;"&amp;DATE(YEAR($AC196),MONTH($AC196)+1,1),OverEnd,"&gt;="&amp;DATE(YEAR($AC196),MONTH($AC196),1))&gt;0,SUMPRODUCT((PayEmp=$C196)*(PayDate&lt;=$AC196)*(OFFSET($N$6,1,MATCH(AQ$5,PayDedList,0)-1,PayCount,1)))/$AA196*12*AQ$3,IF(OR(AQ$1="Fixed",AQ$1="Not Used"),SUMPRODUCT((PayEmp=$C196)*(PayDate&lt;=$AC196)*(OFFSET($N$6,1,MATCH(AQ$5,PayDedList,0)-1,PayCount,1)))/$AA196*12*AQ$3,IF(ISNA(MATCH(AQ$1,EarnListItem,0))=FALSE,SUMPRODUCT((PayEmp=$C196)*(PayDate&lt;=$AC196)*(OFFSET($N$6,1,MATCH(AQ$5,PayDedList,0)-1,PayCount,1)))/$AA196*12*AQ$3,(MIN(((SUMPRODUCT((PayEmp=$C196)*(PayDate&lt;=$AC196)*(ISERROR(SEARCH(PayEarnCode,AQ$2)))*(PayEarnType="Monthly")*(PayEarnValues))/$AA196*12)+(SUMPRODUCT((PayEmp=$C196)*(PayDate&lt;=$AC196)*(ISERROR(SEARCH(PayEarnCode,AQ$2)))*(PayEarnType="Quarterly")*(PayEarnValues))/MAX(1,ROUNDDOWN($AB196/3,0))*4)+(SUMPRODUCT((PayEmp=$C196)*(PayDate&lt;=$AC196)*(ISERROR(SEARCH(PayEarnCode,AQ$2)))*(PayEarnType="Bi-Annual")*(PayEarnValues))/MAX(1,ROUNDDOWN($AB196/6,0))*2)+(SUMPRODUCT((PayEmp=$C196)*(PayDate&lt;=$AC196)*(ISERROR(SEARCH(PayEarnCode,AQ$2)))*(PayEarnType="Annual")*(PayEarnValues)))),IF(ISNUMBER(OFFSET($N$3,0,MATCH(AQ$5,PayDedList,0)-1,1,1)),OFFSET($N$3,0,MATCH(AQ$5,PayDedList,0)-1,1,1),IgnoreMin)))*IF(COUNTIFS(EmpNo,$C196,OFFSET(Emp!$R$4,1,MATCH(AQ$5,DedListItem,0)-1,EmpCount,1),"&lt;&gt;")&gt;0,VLOOKUP($C196,EmpAll,COLUMN(Emp!$R$4)+MATCH(AQ$5,DedListItem,0)-1,0),OFFSET(Setup!$E$73,MATCH(AQ$5,DedListItem,0),0,1,1))*AQ$3))),IF(ISNUMBER(AQ$4),AQ$4,IgnoreMin)))))</f>
        <v>0</v>
      </c>
      <c r="AR196" s="148">
        <f t="shared" ca="1" si="103"/>
        <v>0</v>
      </c>
      <c r="AS196" s="148">
        <f t="shared" ca="1" si="72"/>
        <v>0</v>
      </c>
      <c r="AT196" s="148" cm="1">
        <f t="array" aca="1" ref="AT196" ca="1">-IF($F196="Terminated",0,IF($AA196=0,0,IF(ISNA(MATCH(AT$5,PayDedList,0)),0,MIN(IF(COUNTIFS(OverEmp,$C196,OverDeduct,AT$5,OverDate,"&lt;"&amp;DATE(YEAR($AC196),MONTH($AC196)+1,1),OverEnd,"&gt;="&amp;DATE(YEAR($AC196),MONTH($AC196),1))&gt;0,SUMPRODUCT((PayEmp=$C196)*(PayDate&lt;=$AC196)*(OFFSET($N$6,1,MATCH(AT$5,PayDedList,0)-1,PayCount,1)))/$AA196*12*AT$3,IF(OR(AT$1="Fixed",AT$1="Not Used"),SUMPRODUCT((PayEmp=$C196)*(PayDate&lt;=$AC196)*(OFFSET($N$6,1,MATCH(AT$5,PayDedList,0)-1,PayCount,1)))/$AA196*12*AT$3,IF(ISNA(MATCH(OFFSET($N$2,0,MATCH(AT$5,PayDedList,0)-1,1,1),EarnListItem,0))=FALSE,SUMPRODUCT((PayEmp=$C196)*(PayDate&lt;=$AC196)*(OFFSET($N$6,1,MATCH(AT$5,PayDedList,0)-1,PayCount,1)))/$AA196*12*AT$3,(MIN(SUMPRODUCT((PayEmp=$C196)*(PayDate&lt;=$AC196)*(ISERROR(SEARCH(PayEarnCode,AT$2)))*(PayEarnType="Monthly")*(PayEarnValues))/$AA196*12,IF(ISNUMBER(OFFSET($N$3,0,MATCH(AT$5,PayDedList,0)-1,1,1)),OFFSET($N$3,0,MATCH(AT$5,PayDedList,0)-1,1,1),IgnoreMin)))*IF(COUNTIFS(EmpNo,$C196,OFFSET(Emp!$R$4,1,MATCH(AT$5,DedListItem,0)-1,EmpCount,1),"&lt;&gt;")&gt;0,VLOOKUP($C196,EmpAll,COLUMN(Emp!$R$4)+MATCH(AT$5,DedListItem,0)-1,0),OFFSET(Setup!$E$73,MATCH(AT$5,DedListItem,0),0,1,1))*AT$3))),IF(ISNUMBER(AT$4),AT$4,IgnoreMin)))))</f>
        <v>0</v>
      </c>
      <c r="AU196" s="148" cm="1">
        <f t="array" aca="1" ref="AU196" ca="1">-IF($F196="Terminated",0,IF($AA196=0,0,IF(ISNA(MATCH(AU$5,PayDedList,0)),0,MIN(IF(COUNTIFS(OverEmp,$C196,OverDeduct,AU$5,OverDate,"&lt;"&amp;DATE(YEAR($AC196),MONTH($AC196)+1,1),OverEnd,"&gt;="&amp;DATE(YEAR($AC196),MONTH($AC196),1))&gt;0,SUMPRODUCT((PayEmp=$C196)*(PayDate&lt;=$AC196)*(OFFSET($N$6,1,MATCH(AU$5,PayDedList,0)-1,PayCount,1)))/$AA196*12*AU$3,IF(OR(AU$1="Fixed",AU$1="Not Used"),SUMPRODUCT((PayEmp=$C196)*(PayDate&lt;=$AC196)*(OFFSET($N$6,1,MATCH(AU$5,PayDedList,0)-1,PayCount,1)))/$AA196*12*AU$3,IF(ISNA(MATCH(OFFSET($N$2,0,MATCH(AU$5,PayDedList,0)-1,1,1),EarnListItem,0))=FALSE,SUMPRODUCT((PayEmp=$C196)*(PayDate&lt;=$AC196)*(OFFSET($N$6,1,MATCH(AU$5,PayDedList,0)-1,PayCount,1)))/$AA196*12*AU$3,(MIN(SUMPRODUCT((PayEmp=$C196)*(PayDate&lt;=$AC196)*(ISERROR(SEARCH(PayEarnCode,AU$2)))*(PayEarnType="Monthly")*(PayEarnValues))/$AA196*12,IF(ISNUMBER(OFFSET($N$3,0,MATCH(AU$5,PayDedList,0)-1,1,1)),OFFSET($N$3,0,MATCH(AU$5,PayDedList,0)-1,1,1),IgnoreMin)))*IF(COUNTIFS(EmpNo,$C196,OFFSET(Emp!$R$4,1,MATCH(AU$5,DedListItem,0)-1,EmpCount,1),"&lt;&gt;")&gt;0,VLOOKUP($C196,EmpAll,COLUMN(Emp!$R$4)+MATCH(AU$5,DedListItem,0)-1,0),OFFSET(Setup!$E$73,MATCH(AU$5,DedListItem,0),0,1,1))*AU$3))),IF(ISNUMBER(AU$4),AU$4,IgnoreMin)))))</f>
        <v>0</v>
      </c>
      <c r="AV196" s="148" cm="1">
        <f t="array" aca="1" ref="AV196" ca="1">-IF($F196="Terminated",0,IF($AA196=0,0,IF(ISNA(MATCH(AV$5,PayDedList,0)),0,MIN(IF(COUNTIFS(OverEmp,$C196,OverDeduct,AV$5,OverDate,"&lt;"&amp;DATE(YEAR($AC196),MONTH($AC196)+1,1),OverEnd,"&gt;="&amp;DATE(YEAR($AC196),MONTH($AC196),1))&gt;0,SUMPRODUCT((PayEmp=$C196)*(PayDate&lt;=$AC196)*(OFFSET($N$6,1,MATCH(AV$5,PayDedList,0)-1,PayCount,1)))/$AA196*12*AV$3,IF(OR(AV$1="Fixed",AV$1="Not Used"),SUMPRODUCT((PayEmp=$C196)*(PayDate&lt;=$AC196)*(OFFSET($N$6,1,MATCH(AV$5,PayDedList,0)-1,PayCount,1)))/$AA196*12*AV$3,IF(ISNA(MATCH(OFFSET($N$2,0,MATCH(AV$5,PayDedList,0)-1,1,1),EarnListItem,0))=FALSE,SUMPRODUCT((PayEmp=$C196)*(PayDate&lt;=$AC196)*(OFFSET($N$6,1,MATCH(AV$5,PayDedList,0)-1,PayCount,1)))/$AA196*12*AV$3,(MIN(SUMPRODUCT((PayEmp=$C196)*(PayDate&lt;=$AC196)*(ISERROR(SEARCH(PayEarnCode,AV$2)))*(PayEarnType="Monthly")*(PayEarnValues))/$AA196*12,IF(ISNUMBER(OFFSET($N$3,0,MATCH(AV$5,PayDedList,0)-1,1,1)),OFFSET($N$3,0,MATCH(AV$5,PayDedList,0)-1,1,1),IgnoreMin)))*IF(COUNTIFS(EmpNo,$C196,OFFSET(Emp!$R$4,1,MATCH(AV$5,DedListItem,0)-1,EmpCount,1),"&lt;&gt;")&gt;0,VLOOKUP($C196,EmpAll,COLUMN(Emp!$R$4)+MATCH(AV$5,DedListItem,0)-1,0),OFFSET(Setup!$E$73,MATCH(AV$5,DedListItem,0),0,1,1))*AV$3))),IF(ISNUMBER(AV$4),AV$4,IgnoreMin)))))</f>
        <v>0</v>
      </c>
      <c r="AW196" s="148" cm="1">
        <f t="array" aca="1" ref="AW196" ca="1">-IF($F196="Terminated",0,IF($AA196=0,0,IF(ISNA(MATCH(AW$5,PayDedList,0)),0,MIN(IF(COUNTIFS(OverEmp,$C196,OverDeduct,AW$5,OverDate,"&lt;"&amp;DATE(YEAR($AC196),MONTH($AC196)+1,1),OverEnd,"&gt;="&amp;DATE(YEAR($AC196),MONTH($AC196),1))&gt;0,SUMPRODUCT((PayEmp=$C196)*(PayDate&lt;=$AC196)*(OFFSET($N$6,1,MATCH(AW$5,PayDedList,0)-1,PayCount,1)))/$AA196*12*AW$3,IF(OR(AW$1="Fixed",AW$1="Not Used"),SUMPRODUCT((PayEmp=$C196)*(PayDate&lt;=$AC196)*(OFFSET($N$6,1,MATCH(AW$5,PayDedList,0)-1,PayCount,1)))/$AA196*12*AW$3,IF(ISNA(MATCH(OFFSET($N$2,0,MATCH(AW$5,PayDedList,0)-1,1,1),EarnListItem,0))=FALSE,SUMPRODUCT((PayEmp=$C196)*(PayDate&lt;=$AC196)*(OFFSET($N$6,1,MATCH(AW$5,PayDedList,0)-1,PayCount,1)))/$AA196*12*AW$3,(MIN(SUMPRODUCT((PayEmp=$C196)*(PayDate&lt;=$AC196)*(ISERROR(SEARCH(PayEarnCode,AW$2)))*(PayEarnType="Monthly")*(PayEarnValues))/$AA196*12,IF(ISNUMBER(OFFSET($N$3,0,MATCH(AW$5,PayDedList,0)-1,1,1)),OFFSET($N$3,0,MATCH(AW$5,PayDedList,0)-1,1,1),IgnoreMin)))*IF(COUNTIFS(EmpNo,$C196,OFFSET(Emp!$R$4,1,MATCH(AW$5,DedListItem,0)-1,EmpCount,1),"&lt;&gt;")&gt;0,VLOOKUP($C196,EmpAll,COLUMN(Emp!$R$4)+MATCH(AW$5,DedListItem,0)-1,0),OFFSET(Setup!$E$73,MATCH(AW$5,DedListItem,0),0,1,1))*AW$3))),IF(ISNUMBER(AW$4),AW$4,IgnoreMin)))))</f>
        <v>0</v>
      </c>
      <c r="AX196" s="148">
        <f t="shared" ca="1" si="104"/>
        <v>0</v>
      </c>
      <c r="AY196" s="148">
        <f t="shared" ca="1" si="105"/>
        <v>0</v>
      </c>
      <c r="AZ196" s="148">
        <f ca="1">IF(ISNUMBER($AL196),($AR196*$AL196)-$AI196-$AK196,MAX(0,IF($AL196="B",IF($AR196&lt;Setup!$C$32,($AR196*Setup!$D$32)-$AI196-$AK196,(($AR196-VLOOKUP($AR196,TaxAll2,1,1))*OFFSET(Setup!$D$32,MATCH($AR196,TaxBracket2,1),0,1,1))+OFFSET(Setup!$E$31,MATCH($AR196,TaxBracket2,1),0,1,1)-$AI196-$AK196),IF($AR196&lt;Setup!$C$21,($AR196*Setup!$D$21)-$AI196-$AK196,(($AR196-VLOOKUP($AR196,TaxAll1,1,1))*OFFSET(Setup!$D$21,MATCH($AR196,TaxBracket1,1),0,1,1))+OFFSET(Setup!$E$20,MATCH($AR196,TaxBracket1,1),0,1,1)-$AI196-$AK196))))</f>
        <v>0</v>
      </c>
      <c r="BA196" s="148">
        <f ca="1">IF(ISNUMBER($AL196),($AX196*$AL196)-$AI196-$AK196,MAX(0,IF($AL196="B",IF($AX196&lt;Setup!$C$32,($AX196*Setup!$D$32)-$AI196-$AK196,(($AX196-VLOOKUP($AX196,TaxAll2,1,1))*OFFSET(Setup!$D$32,MATCH($AX196,TaxBracket2,1),0,1,1))+OFFSET(Setup!$E$31,MATCH($AX196,TaxBracket2,1),0,1,1)-$AI196-$AK196),IF($AX196&lt;Setup!$C$21,($AX196*Setup!$D$21)-$AI196-$AK196,(($AX196-VLOOKUP($AX196,TaxAll1,1,1))*OFFSET(Setup!$D$21,MATCH($AX196,TaxBracket1,1),0,1,1))+OFFSET(Setup!$E$20,MATCH($AX196,TaxBracket1,1),0,1,1)-$AI196-$AK196))))</f>
        <v>0</v>
      </c>
      <c r="BB196" s="148">
        <f t="shared" ca="1" si="106"/>
        <v>0</v>
      </c>
      <c r="BC196" s="150">
        <f t="shared" ca="1" si="75"/>
        <v>0</v>
      </c>
      <c r="BD196" s="150">
        <f t="shared" ca="1" si="76"/>
        <v>0</v>
      </c>
      <c r="BE196" s="148">
        <f t="shared" ca="1" si="77"/>
        <v>0</v>
      </c>
    </row>
    <row r="197" spans="1:57" ht="16.149999999999999" customHeight="1" x14ac:dyDescent="0.25">
      <c r="A197" s="10" t="str" cm="1">
        <f t="array" ref="A197">IF(ROW($A197)-ROW($A$6)&gt;EmpCount*12,"-",TEXT($B197,"yyyy")&amp;TEXT($B197,"mm")&amp;"-"&amp;$C197)</f>
        <v>-</v>
      </c>
      <c r="B197" s="137" cm="1">
        <f t="array" aca="1" ref="B197" ca="1">IF(ROW($A197)-ROW($A$6)&gt;EmpCount*12,Setup!$D$12,DATE(YEAR(Setup!$F$12),MONTH(Setup!$F$12)+ROUNDDOWN((ROW($A197)-ROW($A$6)-1)/EmpCount,0),IF(Setup!$C$14&gt;DAY(DATE(YEAR(Setup!$F$12),MONTH(Setup!$F$12)+ROUNDDOWN((ROW($A197)-ROW($A$6)-1)/EmpCount,0)+1,0)),DAY(DATE(YEAR(Setup!$F$12),MONTH(Setup!$F$12)+ROUNDDOWN((ROW($A197)-ROW($A$6)-1)/EmpCount,0)+1,0)),Setup!$C$14)))</f>
        <v>45351</v>
      </c>
      <c r="C197" s="101" t="str" cm="1">
        <f t="array" aca="1" ref="C197" ca="1">IF(ROW($A197)-ROW($A$6)&gt;EmpCount*12,"-",OFFSET(Emp!$A$4,ROW($A197)-ROW($A$6)-IF(ROW($A197)-ROW($A$6)&gt;EmpCount,ROUNDDOWN((ROW($A197)-ROW($A$6)-1)/EmpCount,0)*EmpCount,0),0,1,1))</f>
        <v>-</v>
      </c>
      <c r="D197" s="10" t="str">
        <f ca="1">IF(ISNA(VLOOKUP($C197,EmpAll,COLUMN(Emp!$B$4),0)),"-",VLOOKUP($C197,EmpAll,COLUMN(Emp!$B$4),0))</f>
        <v>-</v>
      </c>
      <c r="E197" s="145" t="str">
        <f ca="1">IF(ISNA(VLOOKUP($C197,EmpAll,COLUMN(Emp!$C$4),0)),"-",VLOOKUP($C197,EmpAll,COLUMN(Emp!$C$4),0))</f>
        <v>-</v>
      </c>
      <c r="F197" s="101" t="str">
        <f ca="1">IF(ISNA(VLOOKUP($C197,EmpAll,COLUMN(Emp!$A$4),0)),"-",IF(AND(VLOOKUP($C197,EmpAll,COLUMN(Emp!$E$4),0)&lt;&gt;0,VLOOKUP($C197,EmpAll,COLUMN(Emp!$E$4),0)&gt;=DATE(YEAR($AC197),MONTH($AC197)+1,0)),"Inactive",IF(AND(VLOOKUP($C197,EmpAll,COLUMN(Emp!$F$4),0)&lt;&gt;0,VLOOKUP($C197,EmpAll,COLUMN(Emp!$F$4),0)&lt;=DATE(YEAR($AC197),MONTH($AC197),0)),"Terminated","Active")))</f>
        <v>-</v>
      </c>
      <c r="G197" s="133" cm="1">
        <f t="array" aca="1" ref="G197" ca="1">IF($F197&lt;&gt;"Active",0,IF(COUNTIFS(OverEmp,$C197,OverEarn,G$2,OverDate,"&lt;"&amp;DATE(YEAR($AC197),MONTH($AC197)+1,1),OverEnd,"&gt;="&amp;DATE(YEAR($AC197),MONTH($AC197),1))&gt;0,SUMIFS(OverValue,OverEmp,$C197,OverEarn,G$2,OverDate,"&lt;"&amp;DATE(YEAR($AC197),MONTH($AC197)+1,1),OverEnd,"&gt;="&amp;DATE(YEAR($AC197),MONTH($AC197),1)),IF(AND($AC197&gt;=Setup!$E$10,SUMIFS(EmpIncrease,EmpCode,$C197)&gt;0),SUMIFS(EmpIncrease,EmpCode,$C197),SUMIFS(EmpSalary,EmpCode,$C197))))</f>
        <v>0</v>
      </c>
      <c r="H197" s="133" cm="1">
        <f t="array" aca="1" ref="H197" ca="1">IF($F197&lt;&gt;"Active",0,IF(COUNTIFS(OverEmp,$C197,OverEarn,H$2,OverDate,"&lt;"&amp;DATE(YEAR($AC197),MONTH($AC197)+1,1),OverEnd,"&gt;="&amp;DATE(YEAR($AC197),MONTH($AC197),1))&gt;0,SUMIFS(OverValue,OverEmp,$C197,OverEarn,H$2,OverDate,"&lt;"&amp;DATE(YEAR($AC197),MONTH($AC197)+1,1),OverEnd,"&gt;="&amp;DATE(YEAR($AC197),MONTH($AC197),1)),0))</f>
        <v>0</v>
      </c>
      <c r="I197" s="133" cm="1">
        <f t="array" aca="1" ref="I197" ca="1">IF($F197&lt;&gt;"Active",0,IF(COUNTIFS(OverEmp,$C197,OverEarn,I$2,OverDate,"&lt;"&amp;DATE(YEAR($AC197),MONTH($AC197)+1,1),OverEnd,"&gt;="&amp;DATE(YEAR($AC197),MONTH($AC197),1))&gt;0,SUMIFS(OverValue,OverEmp,$C197,OverEarn,I$2,OverDate,"&lt;"&amp;DATE(YEAR($AC197),MONTH($AC197)+1,1),OverEnd,"&gt;="&amp;DATE(YEAR($AC197),MONTH($AC197),1)),IF(MONTH(B197)=Setup!$C$15,SUMIFS(EmpBonus,EmpCode,$C197),0)))</f>
        <v>0</v>
      </c>
      <c r="J197" s="133" cm="1">
        <f t="array" aca="1" ref="J197" ca="1">IF($F197&lt;&gt;"Active",0,IF(COUNTIFS(OverEmp,$C197,OverEarn,J$2,OverDate,"&lt;"&amp;DATE(YEAR($AC197),MONTH($AC197)+1,1),OverEnd,"&gt;="&amp;DATE(YEAR($AC197),MONTH($AC197),1))&gt;0,SUMIFS(OverValue,OverEmp,$C197,OverEarn,J$2,OverDate,"&lt;"&amp;DATE(YEAR($AC197),MONTH($AC197)+1,1),OverEnd,"&gt;="&amp;DATE(YEAR($AC197),MONTH($AC197),1)),0))</f>
        <v>0</v>
      </c>
      <c r="K197" s="133" cm="1">
        <f t="array" aca="1" ref="K197" ca="1">IF($F197&lt;&gt;"Active",0,IF(COUNTIFS(OverEmp,$C197,OverEarn,K$2,OverDate,"&lt;"&amp;DATE(YEAR($AC197),MONTH($AC197)+1,1),OverEnd,"&gt;="&amp;DATE(YEAR($AC197),MONTH($AC197),1))&gt;0,SUMIFS(OverValue,OverEmp,$C197,OverEarn,K$2,OverDate,"&lt;"&amp;DATE(YEAR($AC197),MONTH($AC197)+1,1),OverEnd,"&gt;="&amp;DATE(YEAR($AC197),MONTH($AC197),1)),0))</f>
        <v>0</v>
      </c>
      <c r="L197" s="185">
        <f t="shared" ca="1" si="95"/>
        <v>0</v>
      </c>
      <c r="M197" s="182" cm="1">
        <f t="array" aca="1" ref="M197" ca="1">IF(COUNTIFS(OverEmp,$C197,OverTax,M$5,OverDate,"&lt;"&amp;DATE(YEAR($AC197),MONTH($AC197)+1,1),OverEnd,"&gt;="&amp;DATE(YEAR($AC197),MONTH($AC197),1))&gt;0,SUMIFS(OverValue,OverEmp,$C197,OverTax,M$5,OverDate,"&lt;"&amp;DATE(YEAR($AC197),MONTH($AC197)+1,1),OverEnd,"&gt;="&amp;DATE(YEAR($AC197),MONTH($AC197),1)),(($BA197/12*$AA197)+(BB197*IF(1-$BC197=0,0,BD197/(1-$BC197))))-IF($F197="Terminated",0,SUMIFS(PayTaxDeduct,PayDate,"&lt;"&amp;$AC197,PayEmp,$C197)))</f>
        <v>0</v>
      </c>
      <c r="N197" s="133" cm="1">
        <f t="array" aca="1" ref="N197" ca="1">IF($F197="Terminated",0,IF($AA197=0,0,IF(ISNA(MATCH(N$5,DedListItem,0)),0,IF(COUNTIFS(OverEmp,$C197,OverDeduct,N$5,OverDate,"&lt;"&amp;DATE(YEAR($AC197),MONTH($AC197)+1,1),OverEnd,"&gt;="&amp;DATE(YEAR($AC197),MONTH($AC197),1))&gt;0,SUMIFS(OverValue,OverEmp,$C197,OverDeduct,N$5,OverDate,"&lt;"&amp;DATE(YEAR($AC197),MONTH($AC197)+1,1),OverEnd,"&gt;="&amp;DATE(YEAR($AC197),MONTH($AC197),1)),IF(OR(N$2="Fixed",N$2="Not Used"),(IF(COUNTIFS(EmpNo,$C197,OFFSET(Emp!$R$4,1,MATCH(N$5,DedListItem,0)-1,EmpCount,1),"&lt;&gt;")&gt;0,VLOOKUP($C197,EmpAll,COLUMN(Emp!$R$4)+MATCH(N$5,DedListItem,0)-1,0),OFFSET(Setup!$E$73,MATCH(N$5,DedListItem,0),0,1,1))*$AA197)-SUMIFS(OFFSET(N$6,1,0,PayCount,1),PayDate,"&lt;"&amp;$AC197,PayEmp,$C197),IF(ISNA(MATCH(N$2,EarnListItem,0))=FALSE,IF(OFFSET(Setup!$G$73,MATCH(N$5,DedListItem,0),0,1,1)="Taxable",SUMPRODUCT((PayEmp=$C197)*(PayDate&lt;=$AC197)*(PayEarnCode=N$2)*(PayEarnTax)*(PayEarnValues)),SUMPRODUCT((PayEmp=$C197)*(PayDate&lt;=$AC197)*(PayEarnCode=N$2)*(PayEarnValues)))*IF(COUNTIFS(EmpNo,$C197,OFFSET(Emp!$R$4,1,MATCH(N$5,DedListItem,0)-1,EmpCount,1),"&lt;&gt;")&gt;0,VLOOKUP($C197,EmpAll,COLUMN(Emp!$R$4)+MATCH(N$5,DedListItem,0)-1,0),OFFSET(Setup!$E$73,MATCH(N$5,DedListItem,0),0,1,1)),(MIN(IF(OFFSET(Setup!$G$73,MATCH(N$5,DedListItem,0),0,1,1)="Taxable",SUMPRODUCT((PayEmp=$C197)*(PayDate&lt;=$AC197)*(ISERROR(SEARCH(PayEarnCode,N$4)))*(PayEarnTax)*(PayEarnValues)),SUMPRODUCT((PayEmp=$C197)*(PayDate&lt;=$AC197)*(ISERROR(SEARCH(PayEarnCode,N$4)))*(PayEarnValues))),IF(ISNUMBER(N$3),N$3/12*$AA197,IgnoreMin)))*IF(COUNTIFS(EmpNo,$C197,OFFSET(Emp!$R$4,1,MATCH(N$5,DedListItem,0)-1,EmpCount,1),"&lt;&gt;")&gt;0,VLOOKUP($C197,EmpAll,COLUMN(Emp!$R$4)+MATCH(N$5,DedListItem,0)-1,0),OFFSET(Setup!$E$73,MATCH(N$5,DedListItem,0),0,1,1)))-SUMIFS(OFFSET(N$6,1,0,PayCount,1),PayDate,"&lt;"&amp;$AC197,PayEmp,$C197))))))</f>
        <v>0</v>
      </c>
      <c r="O197" s="133" cm="1">
        <f t="array" aca="1" ref="O197" ca="1">IF($F197="Terminated",0,IF($AA197=0,0,IF(ISNA(MATCH(O$5,DedListItem,0)),0,IF(COUNTIFS(OverEmp,$C197,OverDeduct,O$5,OverDate,"&lt;"&amp;DATE(YEAR($AC197),MONTH($AC197)+1,1),OverEnd,"&gt;="&amp;DATE(YEAR($AC197),MONTH($AC197),1))&gt;0,SUMIFS(OverValue,OverEmp,$C197,OverDeduct,O$5,OverDate,"&lt;"&amp;DATE(YEAR($AC197),MONTH($AC197)+1,1),OverEnd,"&gt;="&amp;DATE(YEAR($AC197),MONTH($AC197),1)),IF(OR(O$2="Fixed",O$2="Not Used"),(IF(COUNTIFS(EmpNo,$C197,OFFSET(Emp!$R$4,1,MATCH(O$5,DedListItem,0)-1,EmpCount,1),"&lt;&gt;")&gt;0,VLOOKUP($C197,EmpAll,COLUMN(Emp!$R$4)+MATCH(O$5,DedListItem,0)-1,0),OFFSET(Setup!$E$73,MATCH(O$5,DedListItem,0),0,1,1))*$AA197)-SUMIFS(OFFSET(O$6,1,0,PayCount,1),PayDate,"&lt;"&amp;$AC197,PayEmp,$C197),IF(ISNA(MATCH(O$2,EarnListItem,0))=FALSE,IF(OFFSET(Setup!$G$73,MATCH(O$5,DedListItem,0),0,1,1)="Taxable",SUMPRODUCT((PayEmp=$C197)*(PayDate&lt;=$AC197)*(PayEarnCode=O$2)*(PayEarnTax)*(PayEarnValues)),SUMPRODUCT((PayEmp=$C197)*(PayDate&lt;=$AC197)*(PayEarnCode=O$2)*(PayEarnValues)))*IF(COUNTIFS(EmpNo,$C197,OFFSET(Emp!$R$4,1,MATCH(O$5,DedListItem,0)-1,EmpCount,1),"&lt;&gt;")&gt;0,VLOOKUP($C197,EmpAll,COLUMN(Emp!$R$4)+MATCH(O$5,DedListItem,0)-1,0),OFFSET(Setup!$E$73,MATCH(O$5,DedListItem,0),0,1,1)),(MIN(IF(OFFSET(Setup!$G$73,MATCH(O$5,DedListItem,0),0,1,1)="Taxable",SUMPRODUCT((PayEmp=$C197)*(PayDate&lt;=$AC197)*(ISERROR(SEARCH(PayEarnCode,O$4)))*(PayEarnTax)*(PayEarnValues)),SUMPRODUCT((PayEmp=$C197)*(PayDate&lt;=$AC197)*(ISERROR(SEARCH(PayEarnCode,O$4)))*(PayEarnValues))),IF(ISNUMBER(O$3),O$3/12*$AA197,IgnoreMin)))*IF(COUNTIFS(EmpNo,$C197,OFFSET(Emp!$R$4,1,MATCH(O$5,DedListItem,0)-1,EmpCount,1),"&lt;&gt;")&gt;0,VLOOKUP($C197,EmpAll,COLUMN(Emp!$R$4)+MATCH(O$5,DedListItem,0)-1,0),OFFSET(Setup!$E$73,MATCH(O$5,DedListItem,0),0,1,1)))-SUMIFS(OFFSET(O$6,1,0,PayCount,1),PayDate,"&lt;"&amp;$AC197,PayEmp,$C197))))))</f>
        <v>0</v>
      </c>
      <c r="P197" s="133" cm="1">
        <f t="array" aca="1" ref="P197" ca="1">IF($F197="Terminated",0,IF($AA197=0,0,IF(ISNA(MATCH(P$5,DedListItem,0)),0,IF(COUNTIFS(OverEmp,$C197,OverDeduct,P$5,OverDate,"&lt;"&amp;DATE(YEAR($AC197),MONTH($AC197)+1,1),OverEnd,"&gt;="&amp;DATE(YEAR($AC197),MONTH($AC197),1))&gt;0,SUMIFS(OverValue,OverEmp,$C197,OverDeduct,P$5,OverDate,"&lt;"&amp;DATE(YEAR($AC197),MONTH($AC197)+1,1),OverEnd,"&gt;="&amp;DATE(YEAR($AC197),MONTH($AC197),1)),IF(OR(P$2="Fixed",P$2="Not Used"),(IF(COUNTIFS(EmpNo,$C197,OFFSET(Emp!$R$4,1,MATCH(P$5,DedListItem,0)-1,EmpCount,1),"&lt;&gt;")&gt;0,VLOOKUP($C197,EmpAll,COLUMN(Emp!$R$4)+MATCH(P$5,DedListItem,0)-1,0),OFFSET(Setup!$E$73,MATCH(P$5,DedListItem,0),0,1,1))*$AA197)-SUMIFS(OFFSET(P$6,1,0,PayCount,1),PayDate,"&lt;"&amp;$AC197,PayEmp,$C197),IF(ISNA(MATCH(P$2,EarnListItem,0))=FALSE,IF(OFFSET(Setup!$G$73,MATCH(P$5,DedListItem,0),0,1,1)="Taxable",SUMPRODUCT((PayEmp=$C197)*(PayDate&lt;=$AC197)*(PayEarnCode=P$2)*(PayEarnTax)*(PayEarnValues)),SUMPRODUCT((PayEmp=$C197)*(PayDate&lt;=$AC197)*(PayEarnCode=P$2)*(PayEarnValues)))*IF(COUNTIFS(EmpNo,$C197,OFFSET(Emp!$R$4,1,MATCH(P$5,DedListItem,0)-1,EmpCount,1),"&lt;&gt;")&gt;0,VLOOKUP($C197,EmpAll,COLUMN(Emp!$R$4)+MATCH(P$5,DedListItem,0)-1,0),OFFSET(Setup!$E$73,MATCH(P$5,DedListItem,0),0,1,1)),(MIN(IF(OFFSET(Setup!$G$73,MATCH(P$5,DedListItem,0),0,1,1)="Taxable",SUMPRODUCT((PayEmp=$C197)*(PayDate&lt;=$AC197)*(ISERROR(SEARCH(PayEarnCode,P$4)))*(PayEarnTax)*(PayEarnValues)),SUMPRODUCT((PayEmp=$C197)*(PayDate&lt;=$AC197)*(ISERROR(SEARCH(PayEarnCode,P$4)))*(PayEarnValues))),IF(ISNUMBER(P$3),P$3/12*$AA197,IgnoreMin)))*IF(COUNTIFS(EmpNo,$C197,OFFSET(Emp!$R$4,1,MATCH(P$5,DedListItem,0)-1,EmpCount,1),"&lt;&gt;")&gt;0,VLOOKUP($C197,EmpAll,COLUMN(Emp!$R$4)+MATCH(P$5,DedListItem,0)-1,0),OFFSET(Setup!$E$73,MATCH(P$5,DedListItem,0),0,1,1)))-SUMIFS(OFFSET(P$6,1,0,PayCount,1),PayDate,"&lt;"&amp;$AC197,PayEmp,$C197))))))</f>
        <v>0</v>
      </c>
      <c r="Q197" s="133" cm="1">
        <f t="array" aca="1" ref="Q197" ca="1">IF($F197="Terminated",0,IF($AA197=0,0,IF(ISNA(MATCH(Q$5,DedListItem,0)),0,IF(COUNTIFS(OverEmp,$C197,OverDeduct,Q$5,OverDate,"&lt;"&amp;DATE(YEAR($AC197),MONTH($AC197)+1,1),OverEnd,"&gt;="&amp;DATE(YEAR($AC197),MONTH($AC197),1))&gt;0,SUMIFS(OverValue,OverEmp,$C197,OverDeduct,Q$5,OverDate,"&lt;"&amp;DATE(YEAR($AC197),MONTH($AC197)+1,1),OverEnd,"&gt;="&amp;DATE(YEAR($AC197),MONTH($AC197),1)),IF(OR(Q$2="Fixed",Q$2="Not Used"),(IF(COUNTIFS(EmpNo,$C197,OFFSET(Emp!$R$4,1,MATCH(Q$5,DedListItem,0)-1,EmpCount,1),"&lt;&gt;")&gt;0,VLOOKUP($C197,EmpAll,COLUMN(Emp!$R$4)+MATCH(Q$5,DedListItem,0)-1,0),OFFSET(Setup!$E$73,MATCH(Q$5,DedListItem,0),0,1,1))*$AA197)-SUMIFS(OFFSET(Q$6,1,0,PayCount,1),PayDate,"&lt;"&amp;$AC197,PayEmp,$C197),IF(ISNA(MATCH(Q$2,EarnListItem,0))=FALSE,IF(OFFSET(Setup!$G$73,MATCH(Q$5,DedListItem,0),0,1,1)="Taxable",SUMPRODUCT((PayEmp=$C197)*(PayDate&lt;=$AC197)*(PayEarnCode=Q$2)*(PayEarnTax)*(PayEarnValues)),SUMPRODUCT((PayEmp=$C197)*(PayDate&lt;=$AC197)*(PayEarnCode=Q$2)*(PayEarnValues)))*IF(COUNTIFS(EmpNo,$C197,OFFSET(Emp!$R$4,1,MATCH(Q$5,DedListItem,0)-1,EmpCount,1),"&lt;&gt;")&gt;0,VLOOKUP($C197,EmpAll,COLUMN(Emp!$R$4)+MATCH(Q$5,DedListItem,0)-1,0),OFFSET(Setup!$E$73,MATCH(Q$5,DedListItem,0),0,1,1)),(MIN(IF(OFFSET(Setup!$G$73,MATCH(Q$5,DedListItem,0),0,1,1)="Taxable",SUMPRODUCT((PayEmp=$C197)*(PayDate&lt;=$AC197)*(ISERROR(SEARCH(PayEarnCode,Q$4)))*(PayEarnTax)*(PayEarnValues)),SUMPRODUCT((PayEmp=$C197)*(PayDate&lt;=$AC197)*(ISERROR(SEARCH(PayEarnCode,Q$4)))*(PayEarnValues))),IF(ISNUMBER(Q$3),Q$3/12*$AA197,IgnoreMin)))*IF(COUNTIFS(EmpNo,$C197,OFFSET(Emp!$R$4,1,MATCH(Q$5,DedListItem,0)-1,EmpCount,1),"&lt;&gt;")&gt;0,VLOOKUP($C197,EmpAll,COLUMN(Emp!$R$4)+MATCH(Q$5,DedListItem,0)-1,0),OFFSET(Setup!$E$73,MATCH(Q$5,DedListItem,0),0,1,1)))-SUMIFS(OFFSET(Q$6,1,0,PayCount,1),PayDate,"&lt;"&amp;$AC197,PayEmp,$C197))))))</f>
        <v>0</v>
      </c>
      <c r="R197" s="185">
        <f t="shared" ca="1" si="96"/>
        <v>0</v>
      </c>
      <c r="S197" s="139">
        <f t="shared" ca="1" si="97"/>
        <v>0</v>
      </c>
      <c r="T197" s="133" cm="1">
        <f t="array" aca="1" ref="T197" ca="1">IF($F197="Terminated",0,IF($AA197=0,0,IF(ISNA(MATCH(T$5,CompListItem,0)),0,IF(COUNTIFS(OverEmp,$C197,OverComp,T$5,OverDate,"&lt;"&amp;DATE(YEAR($AC197),MONTH($AC197)+1,1),OverEnd,"&gt;="&amp;DATE(YEAR($AC197),MONTH($AC197),1))&gt;0,SUMIFS(OverValue,OverEmp,$C197,OverComp,T$5,OverDate,"&lt;"&amp;DATE(YEAR($AC197),MONTH($AC197)+1,1),OverEnd,"&gt;="&amp;DATE(YEAR($AC197),MONTH($AC197),1)),IF(OR(T$2="Fixed",T$2="Not Used"),(OFFSET(Setup!$E$81,MATCH(T$5,CompListItem,0),0,1,1)*$AA197)-SUMIFS(OFFSET(T$6,1,0,PayCount,1),PayDate,"&lt;"&amp;$AC197,PayEmp,$C197),IF(ISNA(MATCH(T$2,DedListItem,0))=FALSE,(SUMPRODUCT((PayEmp=$C197)*(PayDate&lt;=$AC197)*(PayDedList=T$2)*(PayDedValues))*OFFSET(Setup!$E$81,MATCH(T$5,CompListItem,0),0,1,1))-SUMIFS(OFFSET(T$6,1,0,PayCount,1),PayDate,"&lt;"&amp;$AC197,PayEmp,$C197),(MIN(IF(OFFSET(Setup!$G$81,MATCH(T$5,CompListItem,0),0,1,1)="Taxable",SUMPRODUCT((PayEmp=$C197)*(PayDate&lt;=$AC197)*(ISERROR(SEARCH(PayEarnCode,T$4)))*(PayEarnTax)*(PayEarnValues)),SUMPRODUCT((PayEmp=$C197)*(PayDate&lt;=$AC197)*(ISERROR(SEARCH(PayEarnCode,T$4)))*(PayEarnValues))),IF(ISNUMBER(T$3),T$3/12*$AA197,IgnoreMin)))*OFFSET(Setup!$E$81,MATCH(T$5,CompListItem,0),0,1,1)-SUMIFS(OFFSET(T$6,1,0,PayCount,1),PayDate,"&lt;"&amp;$AC197,PayEmp,$C197)))))))</f>
        <v>0</v>
      </c>
      <c r="U197" s="133" cm="1">
        <f t="array" aca="1" ref="U197" ca="1">IF($F197="Terminated",0,IF($AA197=0,0,IF(ISNA(MATCH(U$5,CompListItem,0)),0,IF(COUNTIFS(OverEmp,$C197,OverComp,U$5,OverDate,"&lt;"&amp;DATE(YEAR($AC197),MONTH($AC197)+1,1),OverEnd,"&gt;="&amp;DATE(YEAR($AC197),MONTH($AC197),1))&gt;0,SUMIFS(OverValue,OverEmp,$C197,OverComp,U$5,OverDate,"&lt;"&amp;DATE(YEAR($AC197),MONTH($AC197)+1,1),OverEnd,"&gt;="&amp;DATE(YEAR($AC197),MONTH($AC197),1)),IF(OR(U$2="Fixed",U$2="Not Used"),(OFFSET(Setup!$E$81,MATCH(U$5,CompListItem,0),0,1,1)*$AA197)-SUMIFS(OFFSET(U$6,1,0,PayCount,1),PayDate,"&lt;"&amp;$AC197,PayEmp,$C197),IF(ISNA(MATCH(U$2,DedListItem,0))=FALSE,(SUMPRODUCT((PayEmp=$C197)*(PayDate&lt;=$AC197)*(PayDedList=U$2)*(PayDedValues))*OFFSET(Setup!$E$81,MATCH(U$5,CompListItem,0),0,1,1))-SUMIFS(OFFSET(U$6,1,0,PayCount,1),PayDate,"&lt;"&amp;$AC197,PayEmp,$C197),(MIN(IF(OFFSET(Setup!$G$81,MATCH(U$5,CompListItem,0),0,1,1)="Taxable",SUMPRODUCT((PayEmp=$C197)*(PayDate&lt;=$AC197)*(ISERROR(SEARCH(PayEarnCode,U$4)))*(PayEarnTax)*(PayEarnValues)),SUMPRODUCT((PayEmp=$C197)*(PayDate&lt;=$AC197)*(ISERROR(SEARCH(PayEarnCode,U$4)))*(PayEarnValues))),IF(ISNUMBER(U$3),U$3/12*$AA197,IgnoreMin)))*OFFSET(Setup!$E$81,MATCH(U$5,CompListItem,0),0,1,1)-SUMIFS(OFFSET(U$6,1,0,PayCount,1),PayDate,"&lt;"&amp;$AC197,PayEmp,$C197)))))))</f>
        <v>0</v>
      </c>
      <c r="V197" s="133" cm="1">
        <f t="array" aca="1" ref="V197" ca="1">IF($F197="Terminated",0,IF($AA197=0,0,IF(ISNA(MATCH(V$5,CompListItem,0)),0,IF(COUNTIFS(OverEmp,$C197,OverComp,V$5,OverDate,"&lt;"&amp;DATE(YEAR($AC197),MONTH($AC197)+1,1),OverEnd,"&gt;="&amp;DATE(YEAR($AC197),MONTH($AC197),1))&gt;0,SUMIFS(OverValue,OverEmp,$C197,OverComp,V$5,OverDate,"&lt;"&amp;DATE(YEAR($AC197),MONTH($AC197)+1,1),OverEnd,"&gt;="&amp;DATE(YEAR($AC197),MONTH($AC197),1)),IF(OR(V$2="Fixed",V$2="Not Used"),(OFFSET(Setup!$E$81,MATCH(V$5,CompListItem,0),0,1,1)*$AA197)-SUMIFS(OFFSET(V$6,1,0,PayCount,1),PayDate,"&lt;"&amp;$AC197,PayEmp,$C197),IF(ISNA(MATCH(V$2,DedListItem,0))=FALSE,(SUMPRODUCT((PayEmp=$C197)*(PayDate&lt;=$AC197)*(PayDedList=V$2)*(PayDedValues))*OFFSET(Setup!$E$81,MATCH(V$5,CompListItem,0),0,1,1))-SUMIFS(OFFSET(V$6,1,0,PayCount,1),PayDate,"&lt;"&amp;$AC197,PayEmp,$C197),(MIN(IF(OFFSET(Setup!$G$81,MATCH(V$5,CompListItem,0),0,1,1)="Taxable",SUMPRODUCT((PayEmp=$C197)*(PayDate&lt;=$AC197)*(ISERROR(SEARCH(PayEarnCode,V$4)))*(PayEarnTax)*(PayEarnValues)),SUMPRODUCT((PayEmp=$C197)*(PayDate&lt;=$AC197)*(ISERROR(SEARCH(PayEarnCode,V$4)))*(PayEarnValues))),IF(ISNUMBER(V$3),V$3/12*$AA197,IgnoreMin)))*OFFSET(Setup!$E$81,MATCH(V$5,CompListItem,0),0,1,1)-SUMIFS(OFFSET(V$6,1,0,PayCount,1),PayDate,"&lt;"&amp;$AC197,PayEmp,$C197)))))))</f>
        <v>0</v>
      </c>
      <c r="W197" s="133" cm="1">
        <f t="array" aca="1" ref="W197" ca="1">IF($F197="Terminated",0,IF($AA197=0,0,IF(ISNA(MATCH(W$5,CompListItem,0)),0,IF(COUNTIFS(OverEmp,$C197,OverComp,W$5,OverDate,"&lt;"&amp;DATE(YEAR($AC197),MONTH($AC197)+1,1),OverEnd,"&gt;="&amp;DATE(YEAR($AC197),MONTH($AC197),1))&gt;0,SUMIFS(OverValue,OverEmp,$C197,OverComp,W$5,OverDate,"&lt;"&amp;DATE(YEAR($AC197),MONTH($AC197)+1,1),OverEnd,"&gt;="&amp;DATE(YEAR($AC197),MONTH($AC197),1)),IF(OR(W$2="Fixed",W$2="Not Used"),(OFFSET(Setup!$E$81,MATCH(W$5,CompListItem,0),0,1,1)*$AA197)-SUMIFS(OFFSET(W$6,1,0,PayCount,1),PayDate,"&lt;"&amp;$AC197,PayEmp,$C197),IF(ISNA(MATCH(W$2,DedListItem,0))=FALSE,(SUMPRODUCT((PayEmp=$C197)*(PayDate&lt;=$AC197)*(PayDedList=W$2)*(PayDedValues))*OFFSET(Setup!$E$81,MATCH(W$5,CompListItem,0),0,1,1))-SUMIFS(OFFSET(W$6,1,0,PayCount,1),PayDate,"&lt;"&amp;$AC197,PayEmp,$C197),(MIN(IF(OFFSET(Setup!$G$81,MATCH(W$5,CompListItem,0),0,1,1)="Taxable",SUMPRODUCT((PayEmp=$C197)*(PayDate&lt;=$AC197)*(ISERROR(SEARCH(PayEarnCode,W$4)))*(PayEarnTax)*(PayEarnValues)),SUMPRODUCT((PayEmp=$C197)*(PayDate&lt;=$AC197)*(ISERROR(SEARCH(PayEarnCode,W$4)))*(PayEarnValues))),IF(ISNUMBER(W$3),W$3/12*$AA197,IgnoreMin)))*OFFSET(Setup!$E$81,MATCH(W$5,CompListItem,0),0,1,1)-SUMIFS(OFFSET(W$6,1,0,PayCount,1),PayDate,"&lt;"&amp;$AC197,PayEmp,$C197)))))))</f>
        <v>0</v>
      </c>
      <c r="X197" s="185">
        <f t="shared" ca="1" si="98"/>
        <v>0</v>
      </c>
      <c r="Y197" s="139">
        <f t="shared" ca="1" si="99"/>
        <v>0</v>
      </c>
      <c r="Z197" s="139">
        <f t="shared" ca="1" si="100"/>
        <v>0</v>
      </c>
      <c r="AA197" s="146">
        <f ca="1">IF(OR($B197&lt;=Setup!$E$12,$B197&gt;=Setup!$D$12+1),0,IF($F197&lt;&gt;"Active",0,IF($AE197="Yes",$AB197,((YEAR($AC197)*12)+MONTH($AC197))-((YEAR($AD197)*12)+MONTH($AD197)-1))))</f>
        <v>0</v>
      </c>
      <c r="AB197" s="146">
        <f ca="1">IF(OR($B197&lt;=Setup!$E$12,$B197&gt;=Setup!$D$12+1),0,((YEAR($AC197)*12)+MONTH($AC197))-((YEAR(Setup!$E$12)*12)+MONTH(Setup!$E$12)))</f>
        <v>12</v>
      </c>
      <c r="AC197" s="186">
        <f t="shared" ca="1" si="101"/>
        <v>45351</v>
      </c>
      <c r="AD197" s="144">
        <f ca="1">IF(ISNA(VLOOKUP($C197,EmpAll,COLUMN(Emp!$E$4),0)),$AC197,IF(VLOOKUP($C197,EmpAll,COLUMN(Emp!$E$4),0)&lt;=Setup!$E$12,DATE(YEAR(Setup!$E$12),MONTH(Setup!$E$12)+1,1),VLOOKUP($C197,EmpAll,COLUMN(Emp!$E$4),0)))</f>
        <v>45351</v>
      </c>
      <c r="AE197" s="144" t="str">
        <f ca="1">IF(ISNA(VLOOKUP($C197,EmpAll,COLUMN(Emp!$G$1),0)),"-",IF(VLOOKUP($C197,EmpAll,COLUMN(Emp!$G$1),0)=0,"-",VLOOKUP($C197,EmpAll,COLUMN(Emp!$G$1),0)))</f>
        <v>-</v>
      </c>
      <c r="AF197" s="145">
        <f>IF(A197=PaySlip!$G$3,1,0)</f>
        <v>0</v>
      </c>
      <c r="AG197" s="130" cm="1">
        <f t="array" aca="1" ref="AG197" ca="1">IF(COUNTIFS(OverEmp,$C197,OverMed,"MED",OverDate,"&lt;"&amp;DATE(YEAR($AC197),MONTH($AC197)+1,1),OverEnd,"&gt;="&amp;DATE(YEAR($AC197),MONTH($AC197),1))&gt;0,SUMIFS(OverValue,OverEmp,$C197,OverMed,"MED",OverDate,"&lt;"&amp;DATE(YEAR($AC197),MONTH($AC197)+1,1),OverEnd,"&gt;="&amp;DATE(YEAR($AC197),MONTH($AC197),1)),IF(ISNA(VLOOKUP($C197,EmpAll,COLUMN(Emp!$N$4),0)),0,VLOOKUP($C197,EmpAll,COLUMN(Emp!$N$4),0)))</f>
        <v>0</v>
      </c>
      <c r="AH197" s="146">
        <f ca="1">VLOOKUP($AG197,MedList,COLUMN(Setup!$C$49),1)</f>
        <v>0</v>
      </c>
      <c r="AI197" s="146">
        <f t="shared" ca="1" si="70"/>
        <v>0</v>
      </c>
      <c r="AJ197" s="101" t="str">
        <f ca="1">IF(ISNA(VLOOKUP($C197,EmpAll,COLUMN(Emp!$L$4),0)),"None!",VLOOKUP($C197,EmpAll,COLUMN(Emp!$L$4),0))</f>
        <v>None!</v>
      </c>
      <c r="AK197" s="147">
        <f t="shared" ca="1" si="102"/>
        <v>17235</v>
      </c>
      <c r="AL197" s="101" t="str">
        <f ca="1">IF(ISNA(VLOOKUP($C197,Employees[],COLUMN(Emp!$M$4),0))=TRUE,"Error!",IF(VLOOKUP($C197,Employees[],COLUMN(Emp!$M$4),0)=0,"Yes",VLOOKUP($C197,Employees[],COLUMN(Emp!$M$4),0)))</f>
        <v>Error!</v>
      </c>
      <c r="AM197" s="148">
        <f t="shared" ca="1" si="71"/>
        <v>0</v>
      </c>
      <c r="AN197" s="148" cm="1">
        <f t="array" aca="1" ref="AN197" ca="1">-IF($F197="Terminated",0,IF($AA197=0,0,IF(ISNA(MATCH(AN$5,PayDedList,0)),0,MIN(IF(COUNTIFS(OverEmp,$C197,OverDeduct,AN$5,OverDate,"&lt;"&amp;DATE(YEAR($AC197),MONTH($AC197)+1,1),OverEnd,"&gt;="&amp;DATE(YEAR($AC197),MONTH($AC197),1))&gt;0,SUMPRODUCT((PayEmp=$C197)*(PayDate&lt;=$AC197)*(OFFSET($N$6,1,MATCH(AN$5,PayDedList,0)-1,PayCount,1)))/$AA197*12*AN$3,IF(OR(AN$1="Fixed",AN$1="Not Used"),SUMPRODUCT((PayEmp=$C197)*(PayDate&lt;=$AC197)*(OFFSET($N$6,1,MATCH(AN$5,PayDedList,0)-1,PayCount,1)))/$AA197*12*AN$3,IF(ISNA(MATCH(AN$1,EarnListItem,0))=FALSE,SUMPRODUCT((PayEmp=$C197)*(PayDate&lt;=$AC197)*(OFFSET($N$6,1,MATCH(AN$5,PayDedList,0)-1,PayCount,1)))/$AA197*12*AN$3,(MIN(((SUMPRODUCT((PayEmp=$C197)*(PayDate&lt;=$AC197)*(ISERROR(SEARCH(PayEarnCode,AN$2)))*(PayEarnType="Monthly")*(PayEarnValues))/$AA197*12)+(SUMPRODUCT((PayEmp=$C197)*(PayDate&lt;=$AC197)*(ISERROR(SEARCH(PayEarnCode,AN$2)))*(PayEarnType="Quarterly")*(PayEarnValues))/MAX(1,ROUNDDOWN($AB197/3,0))*4)+(SUMPRODUCT((PayEmp=$C197)*(PayDate&lt;=$AC197)*(ISERROR(SEARCH(PayEarnCode,AN$2)))*(PayEarnType="Bi-Annual")*(PayEarnValues))/MAX(1,ROUNDDOWN($AB197/6,0))*2)+(SUMPRODUCT((PayEmp=$C197)*(PayDate&lt;=$AC197)*(ISERROR(SEARCH(PayEarnCode,AN$2)))*(PayEarnType="Annual")*(PayEarnValues)))),IF(ISNUMBER(OFFSET($N$3,0,MATCH(AN$5,PayDedList,0)-1,1,1)),OFFSET($N$3,0,MATCH(AN$5,PayDedList,0)-1,1,1),IgnoreMin)))*IF(COUNTIFS(EmpNo,$C197,OFFSET(Emp!$R$4,1,MATCH(AN$5,DedListItem,0)-1,EmpCount,1),"&lt;&gt;")&gt;0,VLOOKUP($C197,EmpAll,COLUMN(Emp!$R$4)+MATCH(AN$5,DedListItem,0)-1,0),OFFSET(Setup!$E$73,MATCH(AN$5,DedListItem,0),0,1,1))*AN$3))),IF(ISNUMBER(AN$4),AN$4,IgnoreMin)))))</f>
        <v>0</v>
      </c>
      <c r="AO197" s="148" cm="1">
        <f t="array" aca="1" ref="AO197" ca="1">-IF($F197="Terminated",0,IF($AA197=0,0,IF(ISNA(MATCH(AO$5,PayDedList,0)),0,MIN(IF(COUNTIFS(OverEmp,$C197,OverDeduct,AO$5,OverDate,"&lt;"&amp;DATE(YEAR($AC197),MONTH($AC197)+1,1),OverEnd,"&gt;="&amp;DATE(YEAR($AC197),MONTH($AC197),1))&gt;0,SUMPRODUCT((PayEmp=$C197)*(PayDate&lt;=$AC197)*(OFFSET($N$6,1,MATCH(AO$5,PayDedList,0)-1,PayCount,1)))/$AA197*12*AO$3,IF(OR(AO$1="Fixed",AO$1="Not Used"),SUMPRODUCT((PayEmp=$C197)*(PayDate&lt;=$AC197)*(OFFSET($N$6,1,MATCH(AO$5,PayDedList,0)-1,PayCount,1)))/$AA197*12*AO$3,IF(ISNA(MATCH(AO$1,EarnListItem,0))=FALSE,SUMPRODUCT((PayEmp=$C197)*(PayDate&lt;=$AC197)*(OFFSET($N$6,1,MATCH(AO$5,PayDedList,0)-1,PayCount,1)))/$AA197*12*AO$3,(MIN(((SUMPRODUCT((PayEmp=$C197)*(PayDate&lt;=$AC197)*(ISERROR(SEARCH(PayEarnCode,AO$2)))*(PayEarnType="Monthly")*(PayEarnValues))/$AA197*12)+(SUMPRODUCT((PayEmp=$C197)*(PayDate&lt;=$AC197)*(ISERROR(SEARCH(PayEarnCode,AO$2)))*(PayEarnType="Quarterly")*(PayEarnValues))/MAX(1,ROUNDDOWN($AB197/3,0))*4)+(SUMPRODUCT((PayEmp=$C197)*(PayDate&lt;=$AC197)*(ISERROR(SEARCH(PayEarnCode,AO$2)))*(PayEarnType="Bi-Annual")*(PayEarnValues))/MAX(1,ROUNDDOWN($AB197/6,0))*2)+(SUMPRODUCT((PayEmp=$C197)*(PayDate&lt;=$AC197)*(ISERROR(SEARCH(PayEarnCode,AO$2)))*(PayEarnType="Annual")*(PayEarnValues)))),IF(ISNUMBER(OFFSET($N$3,0,MATCH(AO$5,PayDedList,0)-1,1,1)),OFFSET($N$3,0,MATCH(AO$5,PayDedList,0)-1,1,1),IgnoreMin)))*IF(COUNTIFS(EmpNo,$C197,OFFSET(Emp!$R$4,1,MATCH(AO$5,DedListItem,0)-1,EmpCount,1),"&lt;&gt;")&gt;0,VLOOKUP($C197,EmpAll,COLUMN(Emp!$R$4)+MATCH(AO$5,DedListItem,0)-1,0),OFFSET(Setup!$E$73,MATCH(AO$5,DedListItem,0),0,1,1))*AO$3))),IF(ISNUMBER(AO$4),AO$4,IgnoreMin)))))</f>
        <v>0</v>
      </c>
      <c r="AP197" s="148" cm="1">
        <f t="array" aca="1" ref="AP197" ca="1">-IF($F197="Terminated",0,IF($AA197=0,0,IF(ISNA(MATCH(AP$5,PayDedList,0)),0,MIN(IF(COUNTIFS(OverEmp,$C197,OverDeduct,AP$5,OverDate,"&lt;"&amp;DATE(YEAR($AC197),MONTH($AC197)+1,1),OverEnd,"&gt;="&amp;DATE(YEAR($AC197),MONTH($AC197),1))&gt;0,SUMPRODUCT((PayEmp=$C197)*(PayDate&lt;=$AC197)*(OFFSET($N$6,1,MATCH(AP$5,PayDedList,0)-1,PayCount,1)))/$AA197*12*AP$3,IF(OR(AP$1="Fixed",AP$1="Not Used"),SUMPRODUCT((PayEmp=$C197)*(PayDate&lt;=$AC197)*(OFFSET($N$6,1,MATCH(AP$5,PayDedList,0)-1,PayCount,1)))/$AA197*12*AP$3,IF(ISNA(MATCH(AP$1,EarnListItem,0))=FALSE,SUMPRODUCT((PayEmp=$C197)*(PayDate&lt;=$AC197)*(OFFSET($N$6,1,MATCH(AP$5,PayDedList,0)-1,PayCount,1)))/$AA197*12*AP$3,(MIN(((SUMPRODUCT((PayEmp=$C197)*(PayDate&lt;=$AC197)*(ISERROR(SEARCH(PayEarnCode,AP$2)))*(PayEarnType="Monthly")*(PayEarnValues))/$AA197*12)+(SUMPRODUCT((PayEmp=$C197)*(PayDate&lt;=$AC197)*(ISERROR(SEARCH(PayEarnCode,AP$2)))*(PayEarnType="Quarterly")*(PayEarnValues))/MAX(1,ROUNDDOWN($AB197/3,0))*4)+(SUMPRODUCT((PayEmp=$C197)*(PayDate&lt;=$AC197)*(ISERROR(SEARCH(PayEarnCode,AP$2)))*(PayEarnType="Bi-Annual")*(PayEarnValues))/MAX(1,ROUNDDOWN($AB197/6,0))*2)+(SUMPRODUCT((PayEmp=$C197)*(PayDate&lt;=$AC197)*(ISERROR(SEARCH(PayEarnCode,AP$2)))*(PayEarnType="Annual")*(PayEarnValues)))),IF(ISNUMBER(OFFSET($N$3,0,MATCH(AP$5,PayDedList,0)-1,1,1)),OFFSET($N$3,0,MATCH(AP$5,PayDedList,0)-1,1,1),IgnoreMin)))*IF(COUNTIFS(EmpNo,$C197,OFFSET(Emp!$R$4,1,MATCH(AP$5,DedListItem,0)-1,EmpCount,1),"&lt;&gt;")&gt;0,VLOOKUP($C197,EmpAll,COLUMN(Emp!$R$4)+MATCH(AP$5,DedListItem,0)-1,0),OFFSET(Setup!$E$73,MATCH(AP$5,DedListItem,0),0,1,1))*AP$3))),IF(ISNUMBER(AP$4),AP$4,IgnoreMin)))))</f>
        <v>0</v>
      </c>
      <c r="AQ197" s="148" cm="1">
        <f t="array" aca="1" ref="AQ197" ca="1">-IF($F197="Terminated",0,IF($AA197=0,0,IF(ISNA(MATCH(AQ$5,PayDedList,0)),0,MIN(IF(COUNTIFS(OverEmp,$C197,OverDeduct,AQ$5,OverDate,"&lt;"&amp;DATE(YEAR($AC197),MONTH($AC197)+1,1),OverEnd,"&gt;="&amp;DATE(YEAR($AC197),MONTH($AC197),1))&gt;0,SUMPRODUCT((PayEmp=$C197)*(PayDate&lt;=$AC197)*(OFFSET($N$6,1,MATCH(AQ$5,PayDedList,0)-1,PayCount,1)))/$AA197*12*AQ$3,IF(OR(AQ$1="Fixed",AQ$1="Not Used"),SUMPRODUCT((PayEmp=$C197)*(PayDate&lt;=$AC197)*(OFFSET($N$6,1,MATCH(AQ$5,PayDedList,0)-1,PayCount,1)))/$AA197*12*AQ$3,IF(ISNA(MATCH(AQ$1,EarnListItem,0))=FALSE,SUMPRODUCT((PayEmp=$C197)*(PayDate&lt;=$AC197)*(OFFSET($N$6,1,MATCH(AQ$5,PayDedList,0)-1,PayCount,1)))/$AA197*12*AQ$3,(MIN(((SUMPRODUCT((PayEmp=$C197)*(PayDate&lt;=$AC197)*(ISERROR(SEARCH(PayEarnCode,AQ$2)))*(PayEarnType="Monthly")*(PayEarnValues))/$AA197*12)+(SUMPRODUCT((PayEmp=$C197)*(PayDate&lt;=$AC197)*(ISERROR(SEARCH(PayEarnCode,AQ$2)))*(PayEarnType="Quarterly")*(PayEarnValues))/MAX(1,ROUNDDOWN($AB197/3,0))*4)+(SUMPRODUCT((PayEmp=$C197)*(PayDate&lt;=$AC197)*(ISERROR(SEARCH(PayEarnCode,AQ$2)))*(PayEarnType="Bi-Annual")*(PayEarnValues))/MAX(1,ROUNDDOWN($AB197/6,0))*2)+(SUMPRODUCT((PayEmp=$C197)*(PayDate&lt;=$AC197)*(ISERROR(SEARCH(PayEarnCode,AQ$2)))*(PayEarnType="Annual")*(PayEarnValues)))),IF(ISNUMBER(OFFSET($N$3,0,MATCH(AQ$5,PayDedList,0)-1,1,1)),OFFSET($N$3,0,MATCH(AQ$5,PayDedList,0)-1,1,1),IgnoreMin)))*IF(COUNTIFS(EmpNo,$C197,OFFSET(Emp!$R$4,1,MATCH(AQ$5,DedListItem,0)-1,EmpCount,1),"&lt;&gt;")&gt;0,VLOOKUP($C197,EmpAll,COLUMN(Emp!$R$4)+MATCH(AQ$5,DedListItem,0)-1,0),OFFSET(Setup!$E$73,MATCH(AQ$5,DedListItem,0),0,1,1))*AQ$3))),IF(ISNUMBER(AQ$4),AQ$4,IgnoreMin)))))</f>
        <v>0</v>
      </c>
      <c r="AR197" s="148">
        <f t="shared" ca="1" si="103"/>
        <v>0</v>
      </c>
      <c r="AS197" s="148">
        <f t="shared" ca="1" si="72"/>
        <v>0</v>
      </c>
      <c r="AT197" s="148" cm="1">
        <f t="array" aca="1" ref="AT197" ca="1">-IF($F197="Terminated",0,IF($AA197=0,0,IF(ISNA(MATCH(AT$5,PayDedList,0)),0,MIN(IF(COUNTIFS(OverEmp,$C197,OverDeduct,AT$5,OverDate,"&lt;"&amp;DATE(YEAR($AC197),MONTH($AC197)+1,1),OverEnd,"&gt;="&amp;DATE(YEAR($AC197),MONTH($AC197),1))&gt;0,SUMPRODUCT((PayEmp=$C197)*(PayDate&lt;=$AC197)*(OFFSET($N$6,1,MATCH(AT$5,PayDedList,0)-1,PayCount,1)))/$AA197*12*AT$3,IF(OR(AT$1="Fixed",AT$1="Not Used"),SUMPRODUCT((PayEmp=$C197)*(PayDate&lt;=$AC197)*(OFFSET($N$6,1,MATCH(AT$5,PayDedList,0)-1,PayCount,1)))/$AA197*12*AT$3,IF(ISNA(MATCH(OFFSET($N$2,0,MATCH(AT$5,PayDedList,0)-1,1,1),EarnListItem,0))=FALSE,SUMPRODUCT((PayEmp=$C197)*(PayDate&lt;=$AC197)*(OFFSET($N$6,1,MATCH(AT$5,PayDedList,0)-1,PayCount,1)))/$AA197*12*AT$3,(MIN(SUMPRODUCT((PayEmp=$C197)*(PayDate&lt;=$AC197)*(ISERROR(SEARCH(PayEarnCode,AT$2)))*(PayEarnType="Monthly")*(PayEarnValues))/$AA197*12,IF(ISNUMBER(OFFSET($N$3,0,MATCH(AT$5,PayDedList,0)-1,1,1)),OFFSET($N$3,0,MATCH(AT$5,PayDedList,0)-1,1,1),IgnoreMin)))*IF(COUNTIFS(EmpNo,$C197,OFFSET(Emp!$R$4,1,MATCH(AT$5,DedListItem,0)-1,EmpCount,1),"&lt;&gt;")&gt;0,VLOOKUP($C197,EmpAll,COLUMN(Emp!$R$4)+MATCH(AT$5,DedListItem,0)-1,0),OFFSET(Setup!$E$73,MATCH(AT$5,DedListItem,0),0,1,1))*AT$3))),IF(ISNUMBER(AT$4),AT$4,IgnoreMin)))))</f>
        <v>0</v>
      </c>
      <c r="AU197" s="148" cm="1">
        <f t="array" aca="1" ref="AU197" ca="1">-IF($F197="Terminated",0,IF($AA197=0,0,IF(ISNA(MATCH(AU$5,PayDedList,0)),0,MIN(IF(COUNTIFS(OverEmp,$C197,OverDeduct,AU$5,OverDate,"&lt;"&amp;DATE(YEAR($AC197),MONTH($AC197)+1,1),OverEnd,"&gt;="&amp;DATE(YEAR($AC197),MONTH($AC197),1))&gt;0,SUMPRODUCT((PayEmp=$C197)*(PayDate&lt;=$AC197)*(OFFSET($N$6,1,MATCH(AU$5,PayDedList,0)-1,PayCount,1)))/$AA197*12*AU$3,IF(OR(AU$1="Fixed",AU$1="Not Used"),SUMPRODUCT((PayEmp=$C197)*(PayDate&lt;=$AC197)*(OFFSET($N$6,1,MATCH(AU$5,PayDedList,0)-1,PayCount,1)))/$AA197*12*AU$3,IF(ISNA(MATCH(OFFSET($N$2,0,MATCH(AU$5,PayDedList,0)-1,1,1),EarnListItem,0))=FALSE,SUMPRODUCT((PayEmp=$C197)*(PayDate&lt;=$AC197)*(OFFSET($N$6,1,MATCH(AU$5,PayDedList,0)-1,PayCount,1)))/$AA197*12*AU$3,(MIN(SUMPRODUCT((PayEmp=$C197)*(PayDate&lt;=$AC197)*(ISERROR(SEARCH(PayEarnCode,AU$2)))*(PayEarnType="Monthly")*(PayEarnValues))/$AA197*12,IF(ISNUMBER(OFFSET($N$3,0,MATCH(AU$5,PayDedList,0)-1,1,1)),OFFSET($N$3,0,MATCH(AU$5,PayDedList,0)-1,1,1),IgnoreMin)))*IF(COUNTIFS(EmpNo,$C197,OFFSET(Emp!$R$4,1,MATCH(AU$5,DedListItem,0)-1,EmpCount,1),"&lt;&gt;")&gt;0,VLOOKUP($C197,EmpAll,COLUMN(Emp!$R$4)+MATCH(AU$5,DedListItem,0)-1,0),OFFSET(Setup!$E$73,MATCH(AU$5,DedListItem,0),0,1,1))*AU$3))),IF(ISNUMBER(AU$4),AU$4,IgnoreMin)))))</f>
        <v>0</v>
      </c>
      <c r="AV197" s="148" cm="1">
        <f t="array" aca="1" ref="AV197" ca="1">-IF($F197="Terminated",0,IF($AA197=0,0,IF(ISNA(MATCH(AV$5,PayDedList,0)),0,MIN(IF(COUNTIFS(OverEmp,$C197,OverDeduct,AV$5,OverDate,"&lt;"&amp;DATE(YEAR($AC197),MONTH($AC197)+1,1),OverEnd,"&gt;="&amp;DATE(YEAR($AC197),MONTH($AC197),1))&gt;0,SUMPRODUCT((PayEmp=$C197)*(PayDate&lt;=$AC197)*(OFFSET($N$6,1,MATCH(AV$5,PayDedList,0)-1,PayCount,1)))/$AA197*12*AV$3,IF(OR(AV$1="Fixed",AV$1="Not Used"),SUMPRODUCT((PayEmp=$C197)*(PayDate&lt;=$AC197)*(OFFSET($N$6,1,MATCH(AV$5,PayDedList,0)-1,PayCount,1)))/$AA197*12*AV$3,IF(ISNA(MATCH(OFFSET($N$2,0,MATCH(AV$5,PayDedList,0)-1,1,1),EarnListItem,0))=FALSE,SUMPRODUCT((PayEmp=$C197)*(PayDate&lt;=$AC197)*(OFFSET($N$6,1,MATCH(AV$5,PayDedList,0)-1,PayCount,1)))/$AA197*12*AV$3,(MIN(SUMPRODUCT((PayEmp=$C197)*(PayDate&lt;=$AC197)*(ISERROR(SEARCH(PayEarnCode,AV$2)))*(PayEarnType="Monthly")*(PayEarnValues))/$AA197*12,IF(ISNUMBER(OFFSET($N$3,0,MATCH(AV$5,PayDedList,0)-1,1,1)),OFFSET($N$3,0,MATCH(AV$5,PayDedList,0)-1,1,1),IgnoreMin)))*IF(COUNTIFS(EmpNo,$C197,OFFSET(Emp!$R$4,1,MATCH(AV$5,DedListItem,0)-1,EmpCount,1),"&lt;&gt;")&gt;0,VLOOKUP($C197,EmpAll,COLUMN(Emp!$R$4)+MATCH(AV$5,DedListItem,0)-1,0),OFFSET(Setup!$E$73,MATCH(AV$5,DedListItem,0),0,1,1))*AV$3))),IF(ISNUMBER(AV$4),AV$4,IgnoreMin)))))</f>
        <v>0</v>
      </c>
      <c r="AW197" s="148" cm="1">
        <f t="array" aca="1" ref="AW197" ca="1">-IF($F197="Terminated",0,IF($AA197=0,0,IF(ISNA(MATCH(AW$5,PayDedList,0)),0,MIN(IF(COUNTIFS(OverEmp,$C197,OverDeduct,AW$5,OverDate,"&lt;"&amp;DATE(YEAR($AC197),MONTH($AC197)+1,1),OverEnd,"&gt;="&amp;DATE(YEAR($AC197),MONTH($AC197),1))&gt;0,SUMPRODUCT((PayEmp=$C197)*(PayDate&lt;=$AC197)*(OFFSET($N$6,1,MATCH(AW$5,PayDedList,0)-1,PayCount,1)))/$AA197*12*AW$3,IF(OR(AW$1="Fixed",AW$1="Not Used"),SUMPRODUCT((PayEmp=$C197)*(PayDate&lt;=$AC197)*(OFFSET($N$6,1,MATCH(AW$5,PayDedList,0)-1,PayCount,1)))/$AA197*12*AW$3,IF(ISNA(MATCH(OFFSET($N$2,0,MATCH(AW$5,PayDedList,0)-1,1,1),EarnListItem,0))=FALSE,SUMPRODUCT((PayEmp=$C197)*(PayDate&lt;=$AC197)*(OFFSET($N$6,1,MATCH(AW$5,PayDedList,0)-1,PayCount,1)))/$AA197*12*AW$3,(MIN(SUMPRODUCT((PayEmp=$C197)*(PayDate&lt;=$AC197)*(ISERROR(SEARCH(PayEarnCode,AW$2)))*(PayEarnType="Monthly")*(PayEarnValues))/$AA197*12,IF(ISNUMBER(OFFSET($N$3,0,MATCH(AW$5,PayDedList,0)-1,1,1)),OFFSET($N$3,0,MATCH(AW$5,PayDedList,0)-1,1,1),IgnoreMin)))*IF(COUNTIFS(EmpNo,$C197,OFFSET(Emp!$R$4,1,MATCH(AW$5,DedListItem,0)-1,EmpCount,1),"&lt;&gt;")&gt;0,VLOOKUP($C197,EmpAll,COLUMN(Emp!$R$4)+MATCH(AW$5,DedListItem,0)-1,0),OFFSET(Setup!$E$73,MATCH(AW$5,DedListItem,0),0,1,1))*AW$3))),IF(ISNUMBER(AW$4),AW$4,IgnoreMin)))))</f>
        <v>0</v>
      </c>
      <c r="AX197" s="148">
        <f t="shared" ca="1" si="104"/>
        <v>0</v>
      </c>
      <c r="AY197" s="148">
        <f t="shared" ca="1" si="105"/>
        <v>0</v>
      </c>
      <c r="AZ197" s="148">
        <f ca="1">IF(ISNUMBER($AL197),($AR197*$AL197)-$AI197-$AK197,MAX(0,IF($AL197="B",IF($AR197&lt;Setup!$C$32,($AR197*Setup!$D$32)-$AI197-$AK197,(($AR197-VLOOKUP($AR197,TaxAll2,1,1))*OFFSET(Setup!$D$32,MATCH($AR197,TaxBracket2,1),0,1,1))+OFFSET(Setup!$E$31,MATCH($AR197,TaxBracket2,1),0,1,1)-$AI197-$AK197),IF($AR197&lt;Setup!$C$21,($AR197*Setup!$D$21)-$AI197-$AK197,(($AR197-VLOOKUP($AR197,TaxAll1,1,1))*OFFSET(Setup!$D$21,MATCH($AR197,TaxBracket1,1),0,1,1))+OFFSET(Setup!$E$20,MATCH($AR197,TaxBracket1,1),0,1,1)-$AI197-$AK197))))</f>
        <v>0</v>
      </c>
      <c r="BA197" s="148">
        <f ca="1">IF(ISNUMBER($AL197),($AX197*$AL197)-$AI197-$AK197,MAX(0,IF($AL197="B",IF($AX197&lt;Setup!$C$32,($AX197*Setup!$D$32)-$AI197-$AK197,(($AX197-VLOOKUP($AX197,TaxAll2,1,1))*OFFSET(Setup!$D$32,MATCH($AX197,TaxBracket2,1),0,1,1))+OFFSET(Setup!$E$31,MATCH($AX197,TaxBracket2,1),0,1,1)-$AI197-$AK197),IF($AX197&lt;Setup!$C$21,($AX197*Setup!$D$21)-$AI197-$AK197,(($AX197-VLOOKUP($AX197,TaxAll1,1,1))*OFFSET(Setup!$D$21,MATCH($AX197,TaxBracket1,1),0,1,1))+OFFSET(Setup!$E$20,MATCH($AX197,TaxBracket1,1),0,1,1)-$AI197-$AK197))))</f>
        <v>0</v>
      </c>
      <c r="BB197" s="148">
        <f t="shared" ca="1" si="106"/>
        <v>0</v>
      </c>
      <c r="BC197" s="150">
        <f t="shared" ca="1" si="75"/>
        <v>0</v>
      </c>
      <c r="BD197" s="150">
        <f t="shared" ca="1" si="76"/>
        <v>0</v>
      </c>
      <c r="BE197" s="148">
        <f t="shared" ca="1" si="77"/>
        <v>0</v>
      </c>
    </row>
    <row r="198" spans="1:57" ht="16.149999999999999" customHeight="1" x14ac:dyDescent="0.25">
      <c r="A198" s="10" t="str" cm="1">
        <f t="array" ref="A198">IF(ROW($A198)-ROW($A$6)&gt;EmpCount*12,"-",TEXT($B198,"yyyy")&amp;TEXT($B198,"mm")&amp;"-"&amp;$C198)</f>
        <v>-</v>
      </c>
      <c r="B198" s="137" cm="1">
        <f t="array" aca="1" ref="B198" ca="1">IF(ROW($A198)-ROW($A$6)&gt;EmpCount*12,Setup!$D$12,DATE(YEAR(Setup!$F$12),MONTH(Setup!$F$12)+ROUNDDOWN((ROW($A198)-ROW($A$6)-1)/EmpCount,0),IF(Setup!$C$14&gt;DAY(DATE(YEAR(Setup!$F$12),MONTH(Setup!$F$12)+ROUNDDOWN((ROW($A198)-ROW($A$6)-1)/EmpCount,0)+1,0)),DAY(DATE(YEAR(Setup!$F$12),MONTH(Setup!$F$12)+ROUNDDOWN((ROW($A198)-ROW($A$6)-1)/EmpCount,0)+1,0)),Setup!$C$14)))</f>
        <v>45351</v>
      </c>
      <c r="C198" s="101" t="str" cm="1">
        <f t="array" aca="1" ref="C198" ca="1">IF(ROW($A198)-ROW($A$6)&gt;EmpCount*12,"-",OFFSET(Emp!$A$4,ROW($A198)-ROW($A$6)-IF(ROW($A198)-ROW($A$6)&gt;EmpCount,ROUNDDOWN((ROW($A198)-ROW($A$6)-1)/EmpCount,0)*EmpCount,0),0,1,1))</f>
        <v>-</v>
      </c>
      <c r="D198" s="10" t="str">
        <f ca="1">IF(ISNA(VLOOKUP($C198,EmpAll,COLUMN(Emp!$B$4),0)),"-",VLOOKUP($C198,EmpAll,COLUMN(Emp!$B$4),0))</f>
        <v>-</v>
      </c>
      <c r="E198" s="145" t="str">
        <f ca="1">IF(ISNA(VLOOKUP($C198,EmpAll,COLUMN(Emp!$C$4),0)),"-",VLOOKUP($C198,EmpAll,COLUMN(Emp!$C$4),0))</f>
        <v>-</v>
      </c>
      <c r="F198" s="101" t="str">
        <f ca="1">IF(ISNA(VLOOKUP($C198,EmpAll,COLUMN(Emp!$A$4),0)),"-",IF(AND(VLOOKUP($C198,EmpAll,COLUMN(Emp!$E$4),0)&lt;&gt;0,VLOOKUP($C198,EmpAll,COLUMN(Emp!$E$4),0)&gt;=DATE(YEAR($AC198),MONTH($AC198)+1,0)),"Inactive",IF(AND(VLOOKUP($C198,EmpAll,COLUMN(Emp!$F$4),0)&lt;&gt;0,VLOOKUP($C198,EmpAll,COLUMN(Emp!$F$4),0)&lt;=DATE(YEAR($AC198),MONTH($AC198),0)),"Terminated","Active")))</f>
        <v>-</v>
      </c>
      <c r="G198" s="133" cm="1">
        <f t="array" aca="1" ref="G198" ca="1">IF($F198&lt;&gt;"Active",0,IF(COUNTIFS(OverEmp,$C198,OverEarn,G$2,OverDate,"&lt;"&amp;DATE(YEAR($AC198),MONTH($AC198)+1,1),OverEnd,"&gt;="&amp;DATE(YEAR($AC198),MONTH($AC198),1))&gt;0,SUMIFS(OverValue,OverEmp,$C198,OverEarn,G$2,OverDate,"&lt;"&amp;DATE(YEAR($AC198),MONTH($AC198)+1,1),OverEnd,"&gt;="&amp;DATE(YEAR($AC198),MONTH($AC198),1)),IF(AND($AC198&gt;=Setup!$E$10,SUMIFS(EmpIncrease,EmpCode,$C198)&gt;0),SUMIFS(EmpIncrease,EmpCode,$C198),SUMIFS(EmpSalary,EmpCode,$C198))))</f>
        <v>0</v>
      </c>
      <c r="H198" s="133" cm="1">
        <f t="array" aca="1" ref="H198" ca="1">IF($F198&lt;&gt;"Active",0,IF(COUNTIFS(OverEmp,$C198,OverEarn,H$2,OverDate,"&lt;"&amp;DATE(YEAR($AC198),MONTH($AC198)+1,1),OverEnd,"&gt;="&amp;DATE(YEAR($AC198),MONTH($AC198),1))&gt;0,SUMIFS(OverValue,OverEmp,$C198,OverEarn,H$2,OverDate,"&lt;"&amp;DATE(YEAR($AC198),MONTH($AC198)+1,1),OverEnd,"&gt;="&amp;DATE(YEAR($AC198),MONTH($AC198),1)),0))</f>
        <v>0</v>
      </c>
      <c r="I198" s="133" cm="1">
        <f t="array" aca="1" ref="I198" ca="1">IF($F198&lt;&gt;"Active",0,IF(COUNTIFS(OverEmp,$C198,OverEarn,I$2,OverDate,"&lt;"&amp;DATE(YEAR($AC198),MONTH($AC198)+1,1),OverEnd,"&gt;="&amp;DATE(YEAR($AC198),MONTH($AC198),1))&gt;0,SUMIFS(OverValue,OverEmp,$C198,OverEarn,I$2,OverDate,"&lt;"&amp;DATE(YEAR($AC198),MONTH($AC198)+1,1),OverEnd,"&gt;="&amp;DATE(YEAR($AC198),MONTH($AC198),1)),IF(MONTH(B198)=Setup!$C$15,SUMIFS(EmpBonus,EmpCode,$C198),0)))</f>
        <v>0</v>
      </c>
      <c r="J198" s="133" cm="1">
        <f t="array" aca="1" ref="J198" ca="1">IF($F198&lt;&gt;"Active",0,IF(COUNTIFS(OverEmp,$C198,OverEarn,J$2,OverDate,"&lt;"&amp;DATE(YEAR($AC198),MONTH($AC198)+1,1),OverEnd,"&gt;="&amp;DATE(YEAR($AC198),MONTH($AC198),1))&gt;0,SUMIFS(OverValue,OverEmp,$C198,OverEarn,J$2,OverDate,"&lt;"&amp;DATE(YEAR($AC198),MONTH($AC198)+1,1),OverEnd,"&gt;="&amp;DATE(YEAR($AC198),MONTH($AC198),1)),0))</f>
        <v>0</v>
      </c>
      <c r="K198" s="133" cm="1">
        <f t="array" aca="1" ref="K198" ca="1">IF($F198&lt;&gt;"Active",0,IF(COUNTIFS(OverEmp,$C198,OverEarn,K$2,OverDate,"&lt;"&amp;DATE(YEAR($AC198),MONTH($AC198)+1,1),OverEnd,"&gt;="&amp;DATE(YEAR($AC198),MONTH($AC198),1))&gt;0,SUMIFS(OverValue,OverEmp,$C198,OverEarn,K$2,OverDate,"&lt;"&amp;DATE(YEAR($AC198),MONTH($AC198)+1,1),OverEnd,"&gt;="&amp;DATE(YEAR($AC198),MONTH($AC198),1)),0))</f>
        <v>0</v>
      </c>
      <c r="L198" s="185">
        <f ca="1">IF($AA198=0,0,SUM(OFFSET($G198,0,0,1,COLUMN($L$6)-COLUMN($G$6))))</f>
        <v>0</v>
      </c>
      <c r="M198" s="182" cm="1">
        <f t="array" aca="1" ref="M198" ca="1">IF(COUNTIFS(OverEmp,$C198,OverTax,M$5,OverDate,"&lt;"&amp;DATE(YEAR($AC198),MONTH($AC198)+1,1),OverEnd,"&gt;="&amp;DATE(YEAR($AC198),MONTH($AC198),1))&gt;0,SUMIFS(OverValue,OverEmp,$C198,OverTax,M$5,OverDate,"&lt;"&amp;DATE(YEAR($AC198),MONTH($AC198)+1,1),OverEnd,"&gt;="&amp;DATE(YEAR($AC198),MONTH($AC198),1)),(($BA198/12*$AA198)+(BB198*IF(1-$BC198=0,0,BD198/(1-$BC198))))-IF($F198="Terminated",0,SUMIFS(PayTaxDeduct,PayDate,"&lt;"&amp;$AC198,PayEmp,$C198)))</f>
        <v>0</v>
      </c>
      <c r="N198" s="133" cm="1">
        <f t="array" aca="1" ref="N198" ca="1">IF($F198="Terminated",0,IF($AA198=0,0,IF(ISNA(MATCH(N$5,DedListItem,0)),0,IF(COUNTIFS(OverEmp,$C198,OverDeduct,N$5,OverDate,"&lt;"&amp;DATE(YEAR($AC198),MONTH($AC198)+1,1),OverEnd,"&gt;="&amp;DATE(YEAR($AC198),MONTH($AC198),1))&gt;0,SUMIFS(OverValue,OverEmp,$C198,OverDeduct,N$5,OverDate,"&lt;"&amp;DATE(YEAR($AC198),MONTH($AC198)+1,1),OverEnd,"&gt;="&amp;DATE(YEAR($AC198),MONTH($AC198),1)),IF(OR(N$2="Fixed",N$2="Not Used"),(IF(COUNTIFS(EmpNo,$C198,OFFSET(Emp!$R$4,1,MATCH(N$5,DedListItem,0)-1,EmpCount,1),"&lt;&gt;")&gt;0,VLOOKUP($C198,EmpAll,COLUMN(Emp!$R$4)+MATCH(N$5,DedListItem,0)-1,0),OFFSET(Setup!$E$73,MATCH(N$5,DedListItem,0),0,1,1))*$AA198)-SUMIFS(OFFSET(N$6,1,0,PayCount,1),PayDate,"&lt;"&amp;$AC198,PayEmp,$C198),IF(ISNA(MATCH(N$2,EarnListItem,0))=FALSE,IF(OFFSET(Setup!$G$73,MATCH(N$5,DedListItem,0),0,1,1)="Taxable",SUMPRODUCT((PayEmp=$C198)*(PayDate&lt;=$AC198)*(PayEarnCode=N$2)*(PayEarnTax)*(PayEarnValues)),SUMPRODUCT((PayEmp=$C198)*(PayDate&lt;=$AC198)*(PayEarnCode=N$2)*(PayEarnValues)))*IF(COUNTIFS(EmpNo,$C198,OFFSET(Emp!$R$4,1,MATCH(N$5,DedListItem,0)-1,EmpCount,1),"&lt;&gt;")&gt;0,VLOOKUP($C198,EmpAll,COLUMN(Emp!$R$4)+MATCH(N$5,DedListItem,0)-1,0),OFFSET(Setup!$E$73,MATCH(N$5,DedListItem,0),0,1,1)),(MIN(IF(OFFSET(Setup!$G$73,MATCH(N$5,DedListItem,0),0,1,1)="Taxable",SUMPRODUCT((PayEmp=$C198)*(PayDate&lt;=$AC198)*(ISERROR(SEARCH(PayEarnCode,N$4)))*(PayEarnTax)*(PayEarnValues)),SUMPRODUCT((PayEmp=$C198)*(PayDate&lt;=$AC198)*(ISERROR(SEARCH(PayEarnCode,N$4)))*(PayEarnValues))),IF(ISNUMBER(N$3),N$3/12*$AA198,IgnoreMin)))*IF(COUNTIFS(EmpNo,$C198,OFFSET(Emp!$R$4,1,MATCH(N$5,DedListItem,0)-1,EmpCount,1),"&lt;&gt;")&gt;0,VLOOKUP($C198,EmpAll,COLUMN(Emp!$R$4)+MATCH(N$5,DedListItem,0)-1,0),OFFSET(Setup!$E$73,MATCH(N$5,DedListItem,0),0,1,1)))-SUMIFS(OFFSET(N$6,1,0,PayCount,1),PayDate,"&lt;"&amp;$AC198,PayEmp,$C198))))))</f>
        <v>0</v>
      </c>
      <c r="O198" s="133" cm="1">
        <f t="array" aca="1" ref="O198" ca="1">IF($F198="Terminated",0,IF($AA198=0,0,IF(ISNA(MATCH(O$5,DedListItem,0)),0,IF(COUNTIFS(OverEmp,$C198,OverDeduct,O$5,OverDate,"&lt;"&amp;DATE(YEAR($AC198),MONTH($AC198)+1,1),OverEnd,"&gt;="&amp;DATE(YEAR($AC198),MONTH($AC198),1))&gt;0,SUMIFS(OverValue,OverEmp,$C198,OverDeduct,O$5,OverDate,"&lt;"&amp;DATE(YEAR($AC198),MONTH($AC198)+1,1),OverEnd,"&gt;="&amp;DATE(YEAR($AC198),MONTH($AC198),1)),IF(OR(O$2="Fixed",O$2="Not Used"),(IF(COUNTIFS(EmpNo,$C198,OFFSET(Emp!$R$4,1,MATCH(O$5,DedListItem,0)-1,EmpCount,1),"&lt;&gt;")&gt;0,VLOOKUP($C198,EmpAll,COLUMN(Emp!$R$4)+MATCH(O$5,DedListItem,0)-1,0),OFFSET(Setup!$E$73,MATCH(O$5,DedListItem,0),0,1,1))*$AA198)-SUMIFS(OFFSET(O$6,1,0,PayCount,1),PayDate,"&lt;"&amp;$AC198,PayEmp,$C198),IF(ISNA(MATCH(O$2,EarnListItem,0))=FALSE,IF(OFFSET(Setup!$G$73,MATCH(O$5,DedListItem,0),0,1,1)="Taxable",SUMPRODUCT((PayEmp=$C198)*(PayDate&lt;=$AC198)*(PayEarnCode=O$2)*(PayEarnTax)*(PayEarnValues)),SUMPRODUCT((PayEmp=$C198)*(PayDate&lt;=$AC198)*(PayEarnCode=O$2)*(PayEarnValues)))*IF(COUNTIFS(EmpNo,$C198,OFFSET(Emp!$R$4,1,MATCH(O$5,DedListItem,0)-1,EmpCount,1),"&lt;&gt;")&gt;0,VLOOKUP($C198,EmpAll,COLUMN(Emp!$R$4)+MATCH(O$5,DedListItem,0)-1,0),OFFSET(Setup!$E$73,MATCH(O$5,DedListItem,0),0,1,1)),(MIN(IF(OFFSET(Setup!$G$73,MATCH(O$5,DedListItem,0),0,1,1)="Taxable",SUMPRODUCT((PayEmp=$C198)*(PayDate&lt;=$AC198)*(ISERROR(SEARCH(PayEarnCode,O$4)))*(PayEarnTax)*(PayEarnValues)),SUMPRODUCT((PayEmp=$C198)*(PayDate&lt;=$AC198)*(ISERROR(SEARCH(PayEarnCode,O$4)))*(PayEarnValues))),IF(ISNUMBER(O$3),O$3/12*$AA198,IgnoreMin)))*IF(COUNTIFS(EmpNo,$C198,OFFSET(Emp!$R$4,1,MATCH(O$5,DedListItem,0)-1,EmpCount,1),"&lt;&gt;")&gt;0,VLOOKUP($C198,EmpAll,COLUMN(Emp!$R$4)+MATCH(O$5,DedListItem,0)-1,0),OFFSET(Setup!$E$73,MATCH(O$5,DedListItem,0),0,1,1)))-SUMIFS(OFFSET(O$6,1,0,PayCount,1),PayDate,"&lt;"&amp;$AC198,PayEmp,$C198))))))</f>
        <v>0</v>
      </c>
      <c r="P198" s="133" cm="1">
        <f t="array" aca="1" ref="P198" ca="1">IF($F198="Terminated",0,IF($AA198=0,0,IF(ISNA(MATCH(P$5,DedListItem,0)),0,IF(COUNTIFS(OverEmp,$C198,OverDeduct,P$5,OverDate,"&lt;"&amp;DATE(YEAR($AC198),MONTH($AC198)+1,1),OverEnd,"&gt;="&amp;DATE(YEAR($AC198),MONTH($AC198),1))&gt;0,SUMIFS(OverValue,OverEmp,$C198,OverDeduct,P$5,OverDate,"&lt;"&amp;DATE(YEAR($AC198),MONTH($AC198)+1,1),OverEnd,"&gt;="&amp;DATE(YEAR($AC198),MONTH($AC198),1)),IF(OR(P$2="Fixed",P$2="Not Used"),(IF(COUNTIFS(EmpNo,$C198,OFFSET(Emp!$R$4,1,MATCH(P$5,DedListItem,0)-1,EmpCount,1),"&lt;&gt;")&gt;0,VLOOKUP($C198,EmpAll,COLUMN(Emp!$R$4)+MATCH(P$5,DedListItem,0)-1,0),OFFSET(Setup!$E$73,MATCH(P$5,DedListItem,0),0,1,1))*$AA198)-SUMIFS(OFFSET(P$6,1,0,PayCount,1),PayDate,"&lt;"&amp;$AC198,PayEmp,$C198),IF(ISNA(MATCH(P$2,EarnListItem,0))=FALSE,IF(OFFSET(Setup!$G$73,MATCH(P$5,DedListItem,0),0,1,1)="Taxable",SUMPRODUCT((PayEmp=$C198)*(PayDate&lt;=$AC198)*(PayEarnCode=P$2)*(PayEarnTax)*(PayEarnValues)),SUMPRODUCT((PayEmp=$C198)*(PayDate&lt;=$AC198)*(PayEarnCode=P$2)*(PayEarnValues)))*IF(COUNTIFS(EmpNo,$C198,OFFSET(Emp!$R$4,1,MATCH(P$5,DedListItem,0)-1,EmpCount,1),"&lt;&gt;")&gt;0,VLOOKUP($C198,EmpAll,COLUMN(Emp!$R$4)+MATCH(P$5,DedListItem,0)-1,0),OFFSET(Setup!$E$73,MATCH(P$5,DedListItem,0),0,1,1)),(MIN(IF(OFFSET(Setup!$G$73,MATCH(P$5,DedListItem,0),0,1,1)="Taxable",SUMPRODUCT((PayEmp=$C198)*(PayDate&lt;=$AC198)*(ISERROR(SEARCH(PayEarnCode,P$4)))*(PayEarnTax)*(PayEarnValues)),SUMPRODUCT((PayEmp=$C198)*(PayDate&lt;=$AC198)*(ISERROR(SEARCH(PayEarnCode,P$4)))*(PayEarnValues))),IF(ISNUMBER(P$3),P$3/12*$AA198,IgnoreMin)))*IF(COUNTIFS(EmpNo,$C198,OFFSET(Emp!$R$4,1,MATCH(P$5,DedListItem,0)-1,EmpCount,1),"&lt;&gt;")&gt;0,VLOOKUP($C198,EmpAll,COLUMN(Emp!$R$4)+MATCH(P$5,DedListItem,0)-1,0),OFFSET(Setup!$E$73,MATCH(P$5,DedListItem,0),0,1,1)))-SUMIFS(OFFSET(P$6,1,0,PayCount,1),PayDate,"&lt;"&amp;$AC198,PayEmp,$C198))))))</f>
        <v>0</v>
      </c>
      <c r="Q198" s="133" cm="1">
        <f t="array" aca="1" ref="Q198" ca="1">IF($F198="Terminated",0,IF($AA198=0,0,IF(ISNA(MATCH(Q$5,DedListItem,0)),0,IF(COUNTIFS(OverEmp,$C198,OverDeduct,Q$5,OverDate,"&lt;"&amp;DATE(YEAR($AC198),MONTH($AC198)+1,1),OverEnd,"&gt;="&amp;DATE(YEAR($AC198),MONTH($AC198),1))&gt;0,SUMIFS(OverValue,OverEmp,$C198,OverDeduct,Q$5,OverDate,"&lt;"&amp;DATE(YEAR($AC198),MONTH($AC198)+1,1),OverEnd,"&gt;="&amp;DATE(YEAR($AC198),MONTH($AC198),1)),IF(OR(Q$2="Fixed",Q$2="Not Used"),(IF(COUNTIFS(EmpNo,$C198,OFFSET(Emp!$R$4,1,MATCH(Q$5,DedListItem,0)-1,EmpCount,1),"&lt;&gt;")&gt;0,VLOOKUP($C198,EmpAll,COLUMN(Emp!$R$4)+MATCH(Q$5,DedListItem,0)-1,0),OFFSET(Setup!$E$73,MATCH(Q$5,DedListItem,0),0,1,1))*$AA198)-SUMIFS(OFFSET(Q$6,1,0,PayCount,1),PayDate,"&lt;"&amp;$AC198,PayEmp,$C198),IF(ISNA(MATCH(Q$2,EarnListItem,0))=FALSE,IF(OFFSET(Setup!$G$73,MATCH(Q$5,DedListItem,0),0,1,1)="Taxable",SUMPRODUCT((PayEmp=$C198)*(PayDate&lt;=$AC198)*(PayEarnCode=Q$2)*(PayEarnTax)*(PayEarnValues)),SUMPRODUCT((PayEmp=$C198)*(PayDate&lt;=$AC198)*(PayEarnCode=Q$2)*(PayEarnValues)))*IF(COUNTIFS(EmpNo,$C198,OFFSET(Emp!$R$4,1,MATCH(Q$5,DedListItem,0)-1,EmpCount,1),"&lt;&gt;")&gt;0,VLOOKUP($C198,EmpAll,COLUMN(Emp!$R$4)+MATCH(Q$5,DedListItem,0)-1,0),OFFSET(Setup!$E$73,MATCH(Q$5,DedListItem,0),0,1,1)),(MIN(IF(OFFSET(Setup!$G$73,MATCH(Q$5,DedListItem,0),0,1,1)="Taxable",SUMPRODUCT((PayEmp=$C198)*(PayDate&lt;=$AC198)*(ISERROR(SEARCH(PayEarnCode,Q$4)))*(PayEarnTax)*(PayEarnValues)),SUMPRODUCT((PayEmp=$C198)*(PayDate&lt;=$AC198)*(ISERROR(SEARCH(PayEarnCode,Q$4)))*(PayEarnValues))),IF(ISNUMBER(Q$3),Q$3/12*$AA198,IgnoreMin)))*IF(COUNTIFS(EmpNo,$C198,OFFSET(Emp!$R$4,1,MATCH(Q$5,DedListItem,0)-1,EmpCount,1),"&lt;&gt;")&gt;0,VLOOKUP($C198,EmpAll,COLUMN(Emp!$R$4)+MATCH(Q$5,DedListItem,0)-1,0),OFFSET(Setup!$E$73,MATCH(Q$5,DedListItem,0),0,1,1)))-SUMIFS(OFFSET(Q$6,1,0,PayCount,1),PayDate,"&lt;"&amp;$AC198,PayEmp,$C198))))))</f>
        <v>0</v>
      </c>
      <c r="R198" s="185">
        <f ca="1">SUM(OFFSET(M198,0,0,1,COLUMN($R$6)-COLUMN($M$6)))</f>
        <v>0</v>
      </c>
      <c r="S198" s="139">
        <f ca="1">ROUND(SUM(L198,-R198),2)</f>
        <v>0</v>
      </c>
      <c r="T198" s="133" cm="1">
        <f t="array" aca="1" ref="T198" ca="1">IF($F198="Terminated",0,IF($AA198=0,0,IF(ISNA(MATCH(T$5,CompListItem,0)),0,IF(COUNTIFS(OverEmp,$C198,OverComp,T$5,OverDate,"&lt;"&amp;DATE(YEAR($AC198),MONTH($AC198)+1,1),OverEnd,"&gt;="&amp;DATE(YEAR($AC198),MONTH($AC198),1))&gt;0,SUMIFS(OverValue,OverEmp,$C198,OverComp,T$5,OverDate,"&lt;"&amp;DATE(YEAR($AC198),MONTH($AC198)+1,1),OverEnd,"&gt;="&amp;DATE(YEAR($AC198),MONTH($AC198),1)),IF(OR(T$2="Fixed",T$2="Not Used"),(OFFSET(Setup!$E$81,MATCH(T$5,CompListItem,0),0,1,1)*$AA198)-SUMIFS(OFFSET(T$6,1,0,PayCount,1),PayDate,"&lt;"&amp;$AC198,PayEmp,$C198),IF(ISNA(MATCH(T$2,DedListItem,0))=FALSE,(SUMPRODUCT((PayEmp=$C198)*(PayDate&lt;=$AC198)*(PayDedList=T$2)*(PayDedValues))*OFFSET(Setup!$E$81,MATCH(T$5,CompListItem,0),0,1,1))-SUMIFS(OFFSET(T$6,1,0,PayCount,1),PayDate,"&lt;"&amp;$AC198,PayEmp,$C198),(MIN(IF(OFFSET(Setup!$G$81,MATCH(T$5,CompListItem,0),0,1,1)="Taxable",SUMPRODUCT((PayEmp=$C198)*(PayDate&lt;=$AC198)*(ISERROR(SEARCH(PayEarnCode,T$4)))*(PayEarnTax)*(PayEarnValues)),SUMPRODUCT((PayEmp=$C198)*(PayDate&lt;=$AC198)*(ISERROR(SEARCH(PayEarnCode,T$4)))*(PayEarnValues))),IF(ISNUMBER(T$3),T$3/12*$AA198,IgnoreMin)))*OFFSET(Setup!$E$81,MATCH(T$5,CompListItem,0),0,1,1)-SUMIFS(OFFSET(T$6,1,0,PayCount,1),PayDate,"&lt;"&amp;$AC198,PayEmp,$C198)))))))</f>
        <v>0</v>
      </c>
      <c r="U198" s="133" cm="1">
        <f t="array" aca="1" ref="U198" ca="1">IF($F198="Terminated",0,IF($AA198=0,0,IF(ISNA(MATCH(U$5,CompListItem,0)),0,IF(COUNTIFS(OverEmp,$C198,OverComp,U$5,OverDate,"&lt;"&amp;DATE(YEAR($AC198),MONTH($AC198)+1,1),OverEnd,"&gt;="&amp;DATE(YEAR($AC198),MONTH($AC198),1))&gt;0,SUMIFS(OverValue,OverEmp,$C198,OverComp,U$5,OverDate,"&lt;"&amp;DATE(YEAR($AC198),MONTH($AC198)+1,1),OverEnd,"&gt;="&amp;DATE(YEAR($AC198),MONTH($AC198),1)),IF(OR(U$2="Fixed",U$2="Not Used"),(OFFSET(Setup!$E$81,MATCH(U$5,CompListItem,0),0,1,1)*$AA198)-SUMIFS(OFFSET(U$6,1,0,PayCount,1),PayDate,"&lt;"&amp;$AC198,PayEmp,$C198),IF(ISNA(MATCH(U$2,DedListItem,0))=FALSE,(SUMPRODUCT((PayEmp=$C198)*(PayDate&lt;=$AC198)*(PayDedList=U$2)*(PayDedValues))*OFFSET(Setup!$E$81,MATCH(U$5,CompListItem,0),0,1,1))-SUMIFS(OFFSET(U$6,1,0,PayCount,1),PayDate,"&lt;"&amp;$AC198,PayEmp,$C198),(MIN(IF(OFFSET(Setup!$G$81,MATCH(U$5,CompListItem,0),0,1,1)="Taxable",SUMPRODUCT((PayEmp=$C198)*(PayDate&lt;=$AC198)*(ISERROR(SEARCH(PayEarnCode,U$4)))*(PayEarnTax)*(PayEarnValues)),SUMPRODUCT((PayEmp=$C198)*(PayDate&lt;=$AC198)*(ISERROR(SEARCH(PayEarnCode,U$4)))*(PayEarnValues))),IF(ISNUMBER(U$3),U$3/12*$AA198,IgnoreMin)))*OFFSET(Setup!$E$81,MATCH(U$5,CompListItem,0),0,1,1)-SUMIFS(OFFSET(U$6,1,0,PayCount,1),PayDate,"&lt;"&amp;$AC198,PayEmp,$C198)))))))</f>
        <v>0</v>
      </c>
      <c r="V198" s="133" cm="1">
        <f t="array" aca="1" ref="V198" ca="1">IF($F198="Terminated",0,IF($AA198=0,0,IF(ISNA(MATCH(V$5,CompListItem,0)),0,IF(COUNTIFS(OverEmp,$C198,OverComp,V$5,OverDate,"&lt;"&amp;DATE(YEAR($AC198),MONTH($AC198)+1,1),OverEnd,"&gt;="&amp;DATE(YEAR($AC198),MONTH($AC198),1))&gt;0,SUMIFS(OverValue,OverEmp,$C198,OverComp,V$5,OverDate,"&lt;"&amp;DATE(YEAR($AC198),MONTH($AC198)+1,1),OverEnd,"&gt;="&amp;DATE(YEAR($AC198),MONTH($AC198),1)),IF(OR(V$2="Fixed",V$2="Not Used"),(OFFSET(Setup!$E$81,MATCH(V$5,CompListItem,0),0,1,1)*$AA198)-SUMIFS(OFFSET(V$6,1,0,PayCount,1),PayDate,"&lt;"&amp;$AC198,PayEmp,$C198),IF(ISNA(MATCH(V$2,DedListItem,0))=FALSE,(SUMPRODUCT((PayEmp=$C198)*(PayDate&lt;=$AC198)*(PayDedList=V$2)*(PayDedValues))*OFFSET(Setup!$E$81,MATCH(V$5,CompListItem,0),0,1,1))-SUMIFS(OFFSET(V$6,1,0,PayCount,1),PayDate,"&lt;"&amp;$AC198,PayEmp,$C198),(MIN(IF(OFFSET(Setup!$G$81,MATCH(V$5,CompListItem,0),0,1,1)="Taxable",SUMPRODUCT((PayEmp=$C198)*(PayDate&lt;=$AC198)*(ISERROR(SEARCH(PayEarnCode,V$4)))*(PayEarnTax)*(PayEarnValues)),SUMPRODUCT((PayEmp=$C198)*(PayDate&lt;=$AC198)*(ISERROR(SEARCH(PayEarnCode,V$4)))*(PayEarnValues))),IF(ISNUMBER(V$3),V$3/12*$AA198,IgnoreMin)))*OFFSET(Setup!$E$81,MATCH(V$5,CompListItem,0),0,1,1)-SUMIFS(OFFSET(V$6,1,0,PayCount,1),PayDate,"&lt;"&amp;$AC198,PayEmp,$C198)))))))</f>
        <v>0</v>
      </c>
      <c r="W198" s="133" cm="1">
        <f t="array" aca="1" ref="W198" ca="1">IF($F198="Terminated",0,IF($AA198=0,0,IF(ISNA(MATCH(W$5,CompListItem,0)),0,IF(COUNTIFS(OverEmp,$C198,OverComp,W$5,OverDate,"&lt;"&amp;DATE(YEAR($AC198),MONTH($AC198)+1,1),OverEnd,"&gt;="&amp;DATE(YEAR($AC198),MONTH($AC198),1))&gt;0,SUMIFS(OverValue,OverEmp,$C198,OverComp,W$5,OverDate,"&lt;"&amp;DATE(YEAR($AC198),MONTH($AC198)+1,1),OverEnd,"&gt;="&amp;DATE(YEAR($AC198),MONTH($AC198),1)),IF(OR(W$2="Fixed",W$2="Not Used"),(OFFSET(Setup!$E$81,MATCH(W$5,CompListItem,0),0,1,1)*$AA198)-SUMIFS(OFFSET(W$6,1,0,PayCount,1),PayDate,"&lt;"&amp;$AC198,PayEmp,$C198),IF(ISNA(MATCH(W$2,DedListItem,0))=FALSE,(SUMPRODUCT((PayEmp=$C198)*(PayDate&lt;=$AC198)*(PayDedList=W$2)*(PayDedValues))*OFFSET(Setup!$E$81,MATCH(W$5,CompListItem,0),0,1,1))-SUMIFS(OFFSET(W$6,1,0,PayCount,1),PayDate,"&lt;"&amp;$AC198,PayEmp,$C198),(MIN(IF(OFFSET(Setup!$G$81,MATCH(W$5,CompListItem,0),0,1,1)="Taxable",SUMPRODUCT((PayEmp=$C198)*(PayDate&lt;=$AC198)*(ISERROR(SEARCH(PayEarnCode,W$4)))*(PayEarnTax)*(PayEarnValues)),SUMPRODUCT((PayEmp=$C198)*(PayDate&lt;=$AC198)*(ISERROR(SEARCH(PayEarnCode,W$4)))*(PayEarnValues))),IF(ISNUMBER(W$3),W$3/12*$AA198,IgnoreMin)))*OFFSET(Setup!$E$81,MATCH(W$5,CompListItem,0),0,1,1)-SUMIFS(OFFSET(W$6,1,0,PayCount,1),PayDate,"&lt;"&amp;$AC198,PayEmp,$C198)))))))</f>
        <v>0</v>
      </c>
      <c r="X198" s="185">
        <f ca="1">SUM(OFFSET($T198,0,0,1,COLUMN($X$6)-COLUMN($T$7)))</f>
        <v>0</v>
      </c>
      <c r="Y198" s="139">
        <f ca="1">L198+X198</f>
        <v>0</v>
      </c>
      <c r="Z198" s="139">
        <f ca="1">ROUND(SUM(R198,X198),2)</f>
        <v>0</v>
      </c>
      <c r="AA198" s="146">
        <f ca="1">IF(OR($B198&lt;=Setup!$E$12,$B198&gt;=Setup!$D$12+1),0,IF($F198&lt;&gt;"Active",0,IF($AE198="Yes",$AB198,((YEAR($AC198)*12)+MONTH($AC198))-((YEAR($AD198)*12)+MONTH($AD198)-1))))</f>
        <v>0</v>
      </c>
      <c r="AB198" s="146">
        <f ca="1">IF(OR($B198&lt;=Setup!$E$12,$B198&gt;=Setup!$D$12+1),0,((YEAR($AC198)*12)+MONTH($AC198))-((YEAR(Setup!$E$12)*12)+MONTH(Setup!$E$12)))</f>
        <v>12</v>
      </c>
      <c r="AC198" s="186">
        <f ca="1">DATE(YEAR($B198),MONTH($B198),DAY($B198))</f>
        <v>45351</v>
      </c>
      <c r="AD198" s="144">
        <f ca="1">IF(ISNA(VLOOKUP($C198,EmpAll,COLUMN(Emp!$E$4),0)),$AC198,IF(VLOOKUP($C198,EmpAll,COLUMN(Emp!$E$4),0)&lt;=Setup!$E$12,DATE(YEAR(Setup!$E$12),MONTH(Setup!$E$12)+1,1),VLOOKUP($C198,EmpAll,COLUMN(Emp!$E$4),0)))</f>
        <v>45351</v>
      </c>
      <c r="AE198" s="144" t="str">
        <f ca="1">IF(ISNA(VLOOKUP($C198,EmpAll,COLUMN(Emp!$G$1),0)),"-",IF(VLOOKUP($C198,EmpAll,COLUMN(Emp!$G$1),0)=0,"-",VLOOKUP($C198,EmpAll,COLUMN(Emp!$G$1),0)))</f>
        <v>-</v>
      </c>
      <c r="AF198" s="145">
        <f>IF(A198=PaySlip!$G$3,1,0)</f>
        <v>0</v>
      </c>
      <c r="AG198" s="130" cm="1">
        <f t="array" aca="1" ref="AG198" ca="1">IF(COUNTIFS(OverEmp,$C198,OverMed,"MED",OverDate,"&lt;"&amp;DATE(YEAR($AC198),MONTH($AC198)+1,1),OverEnd,"&gt;="&amp;DATE(YEAR($AC198),MONTH($AC198),1))&gt;0,SUMIFS(OverValue,OverEmp,$C198,OverMed,"MED",OverDate,"&lt;"&amp;DATE(YEAR($AC198),MONTH($AC198)+1,1),OverEnd,"&gt;="&amp;DATE(YEAR($AC198),MONTH($AC198),1)),IF(ISNA(VLOOKUP($C198,EmpAll,COLUMN(Emp!$N$4),0)),0,VLOOKUP($C198,EmpAll,COLUMN(Emp!$N$4),0)))</f>
        <v>0</v>
      </c>
      <c r="AH198" s="146">
        <f ca="1">VLOOKUP($AG198,MedList,COLUMN(Setup!$C$49),1)</f>
        <v>0</v>
      </c>
      <c r="AI198" s="146">
        <f t="shared" ca="1" si="70"/>
        <v>0</v>
      </c>
      <c r="AJ198" s="101" t="str">
        <f ca="1">IF(ISNA(VLOOKUP($C198,EmpAll,COLUMN(Emp!$L$4),0)),"None!",VLOOKUP($C198,EmpAll,COLUMN(Emp!$L$4),0))</f>
        <v>None!</v>
      </c>
      <c r="AK198" s="147">
        <f t="shared" ca="1" si="102"/>
        <v>17235</v>
      </c>
      <c r="AL198" s="101" t="str">
        <f ca="1">IF(ISNA(VLOOKUP($C198,Employees[],COLUMN(Emp!$M$4),0))=TRUE,"Error!",IF(VLOOKUP($C198,Employees[],COLUMN(Emp!$M$4),0)=0,"Yes",VLOOKUP($C198,Employees[],COLUMN(Emp!$M$4),0)))</f>
        <v>Error!</v>
      </c>
      <c r="AM198" s="148">
        <f t="shared" ca="1" si="71"/>
        <v>0</v>
      </c>
      <c r="AN198" s="148" cm="1">
        <f t="array" aca="1" ref="AN198" ca="1">-IF($F198="Terminated",0,IF($AA198=0,0,IF(ISNA(MATCH(AN$5,PayDedList,0)),0,MIN(IF(COUNTIFS(OverEmp,$C198,OverDeduct,AN$5,OverDate,"&lt;"&amp;DATE(YEAR($AC198),MONTH($AC198)+1,1),OverEnd,"&gt;="&amp;DATE(YEAR($AC198),MONTH($AC198),1))&gt;0,SUMPRODUCT((PayEmp=$C198)*(PayDate&lt;=$AC198)*(OFFSET($N$6,1,MATCH(AN$5,PayDedList,0)-1,PayCount,1)))/$AA198*12*AN$3,IF(OR(AN$1="Fixed",AN$1="Not Used"),SUMPRODUCT((PayEmp=$C198)*(PayDate&lt;=$AC198)*(OFFSET($N$6,1,MATCH(AN$5,PayDedList,0)-1,PayCount,1)))/$AA198*12*AN$3,IF(ISNA(MATCH(AN$1,EarnListItem,0))=FALSE,SUMPRODUCT((PayEmp=$C198)*(PayDate&lt;=$AC198)*(OFFSET($N$6,1,MATCH(AN$5,PayDedList,0)-1,PayCount,1)))/$AA198*12*AN$3,(MIN(((SUMPRODUCT((PayEmp=$C198)*(PayDate&lt;=$AC198)*(ISERROR(SEARCH(PayEarnCode,AN$2)))*(PayEarnType="Monthly")*(PayEarnValues))/$AA198*12)+(SUMPRODUCT((PayEmp=$C198)*(PayDate&lt;=$AC198)*(ISERROR(SEARCH(PayEarnCode,AN$2)))*(PayEarnType="Quarterly")*(PayEarnValues))/MAX(1,ROUNDDOWN($AB198/3,0))*4)+(SUMPRODUCT((PayEmp=$C198)*(PayDate&lt;=$AC198)*(ISERROR(SEARCH(PayEarnCode,AN$2)))*(PayEarnType="Bi-Annual")*(PayEarnValues))/MAX(1,ROUNDDOWN($AB198/6,0))*2)+(SUMPRODUCT((PayEmp=$C198)*(PayDate&lt;=$AC198)*(ISERROR(SEARCH(PayEarnCode,AN$2)))*(PayEarnType="Annual")*(PayEarnValues)))),IF(ISNUMBER(OFFSET($N$3,0,MATCH(AN$5,PayDedList,0)-1,1,1)),OFFSET($N$3,0,MATCH(AN$5,PayDedList,0)-1,1,1),IgnoreMin)))*IF(COUNTIFS(EmpNo,$C198,OFFSET(Emp!$R$4,1,MATCH(AN$5,DedListItem,0)-1,EmpCount,1),"&lt;&gt;")&gt;0,VLOOKUP($C198,EmpAll,COLUMN(Emp!$R$4)+MATCH(AN$5,DedListItem,0)-1,0),OFFSET(Setup!$E$73,MATCH(AN$5,DedListItem,0),0,1,1))*AN$3))),IF(ISNUMBER(AN$4),AN$4,IgnoreMin)))))</f>
        <v>0</v>
      </c>
      <c r="AO198" s="148" cm="1">
        <f t="array" aca="1" ref="AO198" ca="1">-IF($F198="Terminated",0,IF($AA198=0,0,IF(ISNA(MATCH(AO$5,PayDedList,0)),0,MIN(IF(COUNTIFS(OverEmp,$C198,OverDeduct,AO$5,OverDate,"&lt;"&amp;DATE(YEAR($AC198),MONTH($AC198)+1,1),OverEnd,"&gt;="&amp;DATE(YEAR($AC198),MONTH($AC198),1))&gt;0,SUMPRODUCT((PayEmp=$C198)*(PayDate&lt;=$AC198)*(OFFSET($N$6,1,MATCH(AO$5,PayDedList,0)-1,PayCount,1)))/$AA198*12*AO$3,IF(OR(AO$1="Fixed",AO$1="Not Used"),SUMPRODUCT((PayEmp=$C198)*(PayDate&lt;=$AC198)*(OFFSET($N$6,1,MATCH(AO$5,PayDedList,0)-1,PayCount,1)))/$AA198*12*AO$3,IF(ISNA(MATCH(AO$1,EarnListItem,0))=FALSE,SUMPRODUCT((PayEmp=$C198)*(PayDate&lt;=$AC198)*(OFFSET($N$6,1,MATCH(AO$5,PayDedList,0)-1,PayCount,1)))/$AA198*12*AO$3,(MIN(((SUMPRODUCT((PayEmp=$C198)*(PayDate&lt;=$AC198)*(ISERROR(SEARCH(PayEarnCode,AO$2)))*(PayEarnType="Monthly")*(PayEarnValues))/$AA198*12)+(SUMPRODUCT((PayEmp=$C198)*(PayDate&lt;=$AC198)*(ISERROR(SEARCH(PayEarnCode,AO$2)))*(PayEarnType="Quarterly")*(PayEarnValues))/MAX(1,ROUNDDOWN($AB198/3,0))*4)+(SUMPRODUCT((PayEmp=$C198)*(PayDate&lt;=$AC198)*(ISERROR(SEARCH(PayEarnCode,AO$2)))*(PayEarnType="Bi-Annual")*(PayEarnValues))/MAX(1,ROUNDDOWN($AB198/6,0))*2)+(SUMPRODUCT((PayEmp=$C198)*(PayDate&lt;=$AC198)*(ISERROR(SEARCH(PayEarnCode,AO$2)))*(PayEarnType="Annual")*(PayEarnValues)))),IF(ISNUMBER(OFFSET($N$3,0,MATCH(AO$5,PayDedList,0)-1,1,1)),OFFSET($N$3,0,MATCH(AO$5,PayDedList,0)-1,1,1),IgnoreMin)))*IF(COUNTIFS(EmpNo,$C198,OFFSET(Emp!$R$4,1,MATCH(AO$5,DedListItem,0)-1,EmpCount,1),"&lt;&gt;")&gt;0,VLOOKUP($C198,EmpAll,COLUMN(Emp!$R$4)+MATCH(AO$5,DedListItem,0)-1,0),OFFSET(Setup!$E$73,MATCH(AO$5,DedListItem,0),0,1,1))*AO$3))),IF(ISNUMBER(AO$4),AO$4,IgnoreMin)))))</f>
        <v>0</v>
      </c>
      <c r="AP198" s="148" cm="1">
        <f t="array" aca="1" ref="AP198" ca="1">-IF($F198="Terminated",0,IF($AA198=0,0,IF(ISNA(MATCH(AP$5,PayDedList,0)),0,MIN(IF(COUNTIFS(OverEmp,$C198,OverDeduct,AP$5,OverDate,"&lt;"&amp;DATE(YEAR($AC198),MONTH($AC198)+1,1),OverEnd,"&gt;="&amp;DATE(YEAR($AC198),MONTH($AC198),1))&gt;0,SUMPRODUCT((PayEmp=$C198)*(PayDate&lt;=$AC198)*(OFFSET($N$6,1,MATCH(AP$5,PayDedList,0)-1,PayCount,1)))/$AA198*12*AP$3,IF(OR(AP$1="Fixed",AP$1="Not Used"),SUMPRODUCT((PayEmp=$C198)*(PayDate&lt;=$AC198)*(OFFSET($N$6,1,MATCH(AP$5,PayDedList,0)-1,PayCount,1)))/$AA198*12*AP$3,IF(ISNA(MATCH(AP$1,EarnListItem,0))=FALSE,SUMPRODUCT((PayEmp=$C198)*(PayDate&lt;=$AC198)*(OFFSET($N$6,1,MATCH(AP$5,PayDedList,0)-1,PayCount,1)))/$AA198*12*AP$3,(MIN(((SUMPRODUCT((PayEmp=$C198)*(PayDate&lt;=$AC198)*(ISERROR(SEARCH(PayEarnCode,AP$2)))*(PayEarnType="Monthly")*(PayEarnValues))/$AA198*12)+(SUMPRODUCT((PayEmp=$C198)*(PayDate&lt;=$AC198)*(ISERROR(SEARCH(PayEarnCode,AP$2)))*(PayEarnType="Quarterly")*(PayEarnValues))/MAX(1,ROUNDDOWN($AB198/3,0))*4)+(SUMPRODUCT((PayEmp=$C198)*(PayDate&lt;=$AC198)*(ISERROR(SEARCH(PayEarnCode,AP$2)))*(PayEarnType="Bi-Annual")*(PayEarnValues))/MAX(1,ROUNDDOWN($AB198/6,0))*2)+(SUMPRODUCT((PayEmp=$C198)*(PayDate&lt;=$AC198)*(ISERROR(SEARCH(PayEarnCode,AP$2)))*(PayEarnType="Annual")*(PayEarnValues)))),IF(ISNUMBER(OFFSET($N$3,0,MATCH(AP$5,PayDedList,0)-1,1,1)),OFFSET($N$3,0,MATCH(AP$5,PayDedList,0)-1,1,1),IgnoreMin)))*IF(COUNTIFS(EmpNo,$C198,OFFSET(Emp!$R$4,1,MATCH(AP$5,DedListItem,0)-1,EmpCount,1),"&lt;&gt;")&gt;0,VLOOKUP($C198,EmpAll,COLUMN(Emp!$R$4)+MATCH(AP$5,DedListItem,0)-1,0),OFFSET(Setup!$E$73,MATCH(AP$5,DedListItem,0),0,1,1))*AP$3))),IF(ISNUMBER(AP$4),AP$4,IgnoreMin)))))</f>
        <v>0</v>
      </c>
      <c r="AQ198" s="148" cm="1">
        <f t="array" aca="1" ref="AQ198" ca="1">-IF($F198="Terminated",0,IF($AA198=0,0,IF(ISNA(MATCH(AQ$5,PayDedList,0)),0,MIN(IF(COUNTIFS(OverEmp,$C198,OverDeduct,AQ$5,OverDate,"&lt;"&amp;DATE(YEAR($AC198),MONTH($AC198)+1,1),OverEnd,"&gt;="&amp;DATE(YEAR($AC198),MONTH($AC198),1))&gt;0,SUMPRODUCT((PayEmp=$C198)*(PayDate&lt;=$AC198)*(OFFSET($N$6,1,MATCH(AQ$5,PayDedList,0)-1,PayCount,1)))/$AA198*12*AQ$3,IF(OR(AQ$1="Fixed",AQ$1="Not Used"),SUMPRODUCT((PayEmp=$C198)*(PayDate&lt;=$AC198)*(OFFSET($N$6,1,MATCH(AQ$5,PayDedList,0)-1,PayCount,1)))/$AA198*12*AQ$3,IF(ISNA(MATCH(AQ$1,EarnListItem,0))=FALSE,SUMPRODUCT((PayEmp=$C198)*(PayDate&lt;=$AC198)*(OFFSET($N$6,1,MATCH(AQ$5,PayDedList,0)-1,PayCount,1)))/$AA198*12*AQ$3,(MIN(((SUMPRODUCT((PayEmp=$C198)*(PayDate&lt;=$AC198)*(ISERROR(SEARCH(PayEarnCode,AQ$2)))*(PayEarnType="Monthly")*(PayEarnValues))/$AA198*12)+(SUMPRODUCT((PayEmp=$C198)*(PayDate&lt;=$AC198)*(ISERROR(SEARCH(PayEarnCode,AQ$2)))*(PayEarnType="Quarterly")*(PayEarnValues))/MAX(1,ROUNDDOWN($AB198/3,0))*4)+(SUMPRODUCT((PayEmp=$C198)*(PayDate&lt;=$AC198)*(ISERROR(SEARCH(PayEarnCode,AQ$2)))*(PayEarnType="Bi-Annual")*(PayEarnValues))/MAX(1,ROUNDDOWN($AB198/6,0))*2)+(SUMPRODUCT((PayEmp=$C198)*(PayDate&lt;=$AC198)*(ISERROR(SEARCH(PayEarnCode,AQ$2)))*(PayEarnType="Annual")*(PayEarnValues)))),IF(ISNUMBER(OFFSET($N$3,0,MATCH(AQ$5,PayDedList,0)-1,1,1)),OFFSET($N$3,0,MATCH(AQ$5,PayDedList,0)-1,1,1),IgnoreMin)))*IF(COUNTIFS(EmpNo,$C198,OFFSET(Emp!$R$4,1,MATCH(AQ$5,DedListItem,0)-1,EmpCount,1),"&lt;&gt;")&gt;0,VLOOKUP($C198,EmpAll,COLUMN(Emp!$R$4)+MATCH(AQ$5,DedListItem,0)-1,0),OFFSET(Setup!$E$73,MATCH(AQ$5,DedListItem,0),0,1,1))*AQ$3))),IF(ISNUMBER(AQ$4),AQ$4,IgnoreMin)))))</f>
        <v>0</v>
      </c>
      <c r="AR198" s="148">
        <f ca="1">$AM198+SUM(OFFSET($AM198,0,1,1,COLUMN($AR$2)-COLUMN($AM$2)-1))</f>
        <v>0</v>
      </c>
      <c r="AS198" s="148">
        <f t="shared" ca="1" si="72"/>
        <v>0</v>
      </c>
      <c r="AT198" s="148" cm="1">
        <f t="array" aca="1" ref="AT198" ca="1">-IF($F198="Terminated",0,IF($AA198=0,0,IF(ISNA(MATCH(AT$5,PayDedList,0)),0,MIN(IF(COUNTIFS(OverEmp,$C198,OverDeduct,AT$5,OverDate,"&lt;"&amp;DATE(YEAR($AC198),MONTH($AC198)+1,1),OverEnd,"&gt;="&amp;DATE(YEAR($AC198),MONTH($AC198),1))&gt;0,SUMPRODUCT((PayEmp=$C198)*(PayDate&lt;=$AC198)*(OFFSET($N$6,1,MATCH(AT$5,PayDedList,0)-1,PayCount,1)))/$AA198*12*AT$3,IF(OR(AT$1="Fixed",AT$1="Not Used"),SUMPRODUCT((PayEmp=$C198)*(PayDate&lt;=$AC198)*(OFFSET($N$6,1,MATCH(AT$5,PayDedList,0)-1,PayCount,1)))/$AA198*12*AT$3,IF(ISNA(MATCH(OFFSET($N$2,0,MATCH(AT$5,PayDedList,0)-1,1,1),EarnListItem,0))=FALSE,SUMPRODUCT((PayEmp=$C198)*(PayDate&lt;=$AC198)*(OFFSET($N$6,1,MATCH(AT$5,PayDedList,0)-1,PayCount,1)))/$AA198*12*AT$3,(MIN(SUMPRODUCT((PayEmp=$C198)*(PayDate&lt;=$AC198)*(ISERROR(SEARCH(PayEarnCode,AT$2)))*(PayEarnType="Monthly")*(PayEarnValues))/$AA198*12,IF(ISNUMBER(OFFSET($N$3,0,MATCH(AT$5,PayDedList,0)-1,1,1)),OFFSET($N$3,0,MATCH(AT$5,PayDedList,0)-1,1,1),IgnoreMin)))*IF(COUNTIFS(EmpNo,$C198,OFFSET(Emp!$R$4,1,MATCH(AT$5,DedListItem,0)-1,EmpCount,1),"&lt;&gt;")&gt;0,VLOOKUP($C198,EmpAll,COLUMN(Emp!$R$4)+MATCH(AT$5,DedListItem,0)-1,0),OFFSET(Setup!$E$73,MATCH(AT$5,DedListItem,0),0,1,1))*AT$3))),IF(ISNUMBER(AT$4),AT$4,IgnoreMin)))))</f>
        <v>0</v>
      </c>
      <c r="AU198" s="148" cm="1">
        <f t="array" aca="1" ref="AU198" ca="1">-IF($F198="Terminated",0,IF($AA198=0,0,IF(ISNA(MATCH(AU$5,PayDedList,0)),0,MIN(IF(COUNTIFS(OverEmp,$C198,OverDeduct,AU$5,OverDate,"&lt;"&amp;DATE(YEAR($AC198),MONTH($AC198)+1,1),OverEnd,"&gt;="&amp;DATE(YEAR($AC198),MONTH($AC198),1))&gt;0,SUMPRODUCT((PayEmp=$C198)*(PayDate&lt;=$AC198)*(OFFSET($N$6,1,MATCH(AU$5,PayDedList,0)-1,PayCount,1)))/$AA198*12*AU$3,IF(OR(AU$1="Fixed",AU$1="Not Used"),SUMPRODUCT((PayEmp=$C198)*(PayDate&lt;=$AC198)*(OFFSET($N$6,1,MATCH(AU$5,PayDedList,0)-1,PayCount,1)))/$AA198*12*AU$3,IF(ISNA(MATCH(OFFSET($N$2,0,MATCH(AU$5,PayDedList,0)-1,1,1),EarnListItem,0))=FALSE,SUMPRODUCT((PayEmp=$C198)*(PayDate&lt;=$AC198)*(OFFSET($N$6,1,MATCH(AU$5,PayDedList,0)-1,PayCount,1)))/$AA198*12*AU$3,(MIN(SUMPRODUCT((PayEmp=$C198)*(PayDate&lt;=$AC198)*(ISERROR(SEARCH(PayEarnCode,AU$2)))*(PayEarnType="Monthly")*(PayEarnValues))/$AA198*12,IF(ISNUMBER(OFFSET($N$3,0,MATCH(AU$5,PayDedList,0)-1,1,1)),OFFSET($N$3,0,MATCH(AU$5,PayDedList,0)-1,1,1),IgnoreMin)))*IF(COUNTIFS(EmpNo,$C198,OFFSET(Emp!$R$4,1,MATCH(AU$5,DedListItem,0)-1,EmpCount,1),"&lt;&gt;")&gt;0,VLOOKUP($C198,EmpAll,COLUMN(Emp!$R$4)+MATCH(AU$5,DedListItem,0)-1,0),OFFSET(Setup!$E$73,MATCH(AU$5,DedListItem,0),0,1,1))*AU$3))),IF(ISNUMBER(AU$4),AU$4,IgnoreMin)))))</f>
        <v>0</v>
      </c>
      <c r="AV198" s="148" cm="1">
        <f t="array" aca="1" ref="AV198" ca="1">-IF($F198="Terminated",0,IF($AA198=0,0,IF(ISNA(MATCH(AV$5,PayDedList,0)),0,MIN(IF(COUNTIFS(OverEmp,$C198,OverDeduct,AV$5,OverDate,"&lt;"&amp;DATE(YEAR($AC198),MONTH($AC198)+1,1),OverEnd,"&gt;="&amp;DATE(YEAR($AC198),MONTH($AC198),1))&gt;0,SUMPRODUCT((PayEmp=$C198)*(PayDate&lt;=$AC198)*(OFFSET($N$6,1,MATCH(AV$5,PayDedList,0)-1,PayCount,1)))/$AA198*12*AV$3,IF(OR(AV$1="Fixed",AV$1="Not Used"),SUMPRODUCT((PayEmp=$C198)*(PayDate&lt;=$AC198)*(OFFSET($N$6,1,MATCH(AV$5,PayDedList,0)-1,PayCount,1)))/$AA198*12*AV$3,IF(ISNA(MATCH(OFFSET($N$2,0,MATCH(AV$5,PayDedList,0)-1,1,1),EarnListItem,0))=FALSE,SUMPRODUCT((PayEmp=$C198)*(PayDate&lt;=$AC198)*(OFFSET($N$6,1,MATCH(AV$5,PayDedList,0)-1,PayCount,1)))/$AA198*12*AV$3,(MIN(SUMPRODUCT((PayEmp=$C198)*(PayDate&lt;=$AC198)*(ISERROR(SEARCH(PayEarnCode,AV$2)))*(PayEarnType="Monthly")*(PayEarnValues))/$AA198*12,IF(ISNUMBER(OFFSET($N$3,0,MATCH(AV$5,PayDedList,0)-1,1,1)),OFFSET($N$3,0,MATCH(AV$5,PayDedList,0)-1,1,1),IgnoreMin)))*IF(COUNTIFS(EmpNo,$C198,OFFSET(Emp!$R$4,1,MATCH(AV$5,DedListItem,0)-1,EmpCount,1),"&lt;&gt;")&gt;0,VLOOKUP($C198,EmpAll,COLUMN(Emp!$R$4)+MATCH(AV$5,DedListItem,0)-1,0),OFFSET(Setup!$E$73,MATCH(AV$5,DedListItem,0),0,1,1))*AV$3))),IF(ISNUMBER(AV$4),AV$4,IgnoreMin)))))</f>
        <v>0</v>
      </c>
      <c r="AW198" s="148" cm="1">
        <f t="array" aca="1" ref="AW198" ca="1">-IF($F198="Terminated",0,IF($AA198=0,0,IF(ISNA(MATCH(AW$5,PayDedList,0)),0,MIN(IF(COUNTIFS(OverEmp,$C198,OverDeduct,AW$5,OverDate,"&lt;"&amp;DATE(YEAR($AC198),MONTH($AC198)+1,1),OverEnd,"&gt;="&amp;DATE(YEAR($AC198),MONTH($AC198),1))&gt;0,SUMPRODUCT((PayEmp=$C198)*(PayDate&lt;=$AC198)*(OFFSET($N$6,1,MATCH(AW$5,PayDedList,0)-1,PayCount,1)))/$AA198*12*AW$3,IF(OR(AW$1="Fixed",AW$1="Not Used"),SUMPRODUCT((PayEmp=$C198)*(PayDate&lt;=$AC198)*(OFFSET($N$6,1,MATCH(AW$5,PayDedList,0)-1,PayCount,1)))/$AA198*12*AW$3,IF(ISNA(MATCH(OFFSET($N$2,0,MATCH(AW$5,PayDedList,0)-1,1,1),EarnListItem,0))=FALSE,SUMPRODUCT((PayEmp=$C198)*(PayDate&lt;=$AC198)*(OFFSET($N$6,1,MATCH(AW$5,PayDedList,0)-1,PayCount,1)))/$AA198*12*AW$3,(MIN(SUMPRODUCT((PayEmp=$C198)*(PayDate&lt;=$AC198)*(ISERROR(SEARCH(PayEarnCode,AW$2)))*(PayEarnType="Monthly")*(PayEarnValues))/$AA198*12,IF(ISNUMBER(OFFSET($N$3,0,MATCH(AW$5,PayDedList,0)-1,1,1)),OFFSET($N$3,0,MATCH(AW$5,PayDedList,0)-1,1,1),IgnoreMin)))*IF(COUNTIFS(EmpNo,$C198,OFFSET(Emp!$R$4,1,MATCH(AW$5,DedListItem,0)-1,EmpCount,1),"&lt;&gt;")&gt;0,VLOOKUP($C198,EmpAll,COLUMN(Emp!$R$4)+MATCH(AW$5,DedListItem,0)-1,0),OFFSET(Setup!$E$73,MATCH(AW$5,DedListItem,0),0,1,1))*AW$3))),IF(ISNUMBER(AW$4),AW$4,IgnoreMin)))))</f>
        <v>0</v>
      </c>
      <c r="AX198" s="148">
        <f ca="1">$AS198+SUM(OFFSET($AT198,0,0,1,COLUMN($AX$2)-COLUMN($AT$2)))</f>
        <v>0</v>
      </c>
      <c r="AY198" s="148">
        <f ca="1">AR198-AX198</f>
        <v>0</v>
      </c>
      <c r="AZ198" s="148">
        <f ca="1">IF(ISNUMBER($AL198),($AR198*$AL198)-$AI198-$AK198,MAX(0,IF($AL198="B",IF($AR198&lt;Setup!$C$32,($AR198*Setup!$D$32)-$AI198-$AK198,(($AR198-VLOOKUP($AR198,TaxAll2,1,1))*OFFSET(Setup!$D$32,MATCH($AR198,TaxBracket2,1),0,1,1))+OFFSET(Setup!$E$31,MATCH($AR198,TaxBracket2,1),0,1,1)-$AI198-$AK198),IF($AR198&lt;Setup!$C$21,($AR198*Setup!$D$21)-$AI198-$AK198,(($AR198-VLOOKUP($AR198,TaxAll1,1,1))*OFFSET(Setup!$D$21,MATCH($AR198,TaxBracket1,1),0,1,1))+OFFSET(Setup!$E$20,MATCH($AR198,TaxBracket1,1),0,1,1)-$AI198-$AK198))))</f>
        <v>0</v>
      </c>
      <c r="BA198" s="148">
        <f ca="1">IF(ISNUMBER($AL198),($AX198*$AL198)-$AI198-$AK198,MAX(0,IF($AL198="B",IF($AX198&lt;Setup!$C$32,($AX198*Setup!$D$32)-$AI198-$AK198,(($AX198-VLOOKUP($AX198,TaxAll2,1,1))*OFFSET(Setup!$D$32,MATCH($AX198,TaxBracket2,1),0,1,1))+OFFSET(Setup!$E$31,MATCH($AX198,TaxBracket2,1),0,1,1)-$AI198-$AK198),IF($AX198&lt;Setup!$C$21,($AX198*Setup!$D$21)-$AI198-$AK198,(($AX198-VLOOKUP($AX198,TaxAll1,1,1))*OFFSET(Setup!$D$21,MATCH($AX198,TaxBracket1,1),0,1,1))+OFFSET(Setup!$E$20,MATCH($AX198,TaxBracket1,1),0,1,1)-$AI198-$AK198))))</f>
        <v>0</v>
      </c>
      <c r="BB198" s="148">
        <f ca="1">AZ198-BA198</f>
        <v>0</v>
      </c>
      <c r="BC198" s="150">
        <f t="shared" ca="1" si="75"/>
        <v>0</v>
      </c>
      <c r="BD198" s="150">
        <f t="shared" ca="1" si="76"/>
        <v>0</v>
      </c>
      <c r="BE198" s="148">
        <f t="shared" ca="1" si="77"/>
        <v>0</v>
      </c>
    </row>
    <row r="199" spans="1:57" ht="16.149999999999999" customHeight="1" x14ac:dyDescent="0.25">
      <c r="A199" s="10" t="str" cm="1">
        <f t="array" ref="A199">IF(ROW($A199)-ROW($A$6)&gt;EmpCount*12,"-",TEXT($B199,"yyyy")&amp;TEXT($B199,"mm")&amp;"-"&amp;$C199)</f>
        <v>-</v>
      </c>
      <c r="B199" s="137" cm="1">
        <f t="array" aca="1" ref="B199" ca="1">IF(ROW($A199)-ROW($A$6)&gt;EmpCount*12,Setup!$D$12,DATE(YEAR(Setup!$F$12),MONTH(Setup!$F$12)+ROUNDDOWN((ROW($A199)-ROW($A$6)-1)/EmpCount,0),IF(Setup!$C$14&gt;DAY(DATE(YEAR(Setup!$F$12),MONTH(Setup!$F$12)+ROUNDDOWN((ROW($A199)-ROW($A$6)-1)/EmpCount,0)+1,0)),DAY(DATE(YEAR(Setup!$F$12),MONTH(Setup!$F$12)+ROUNDDOWN((ROW($A199)-ROW($A$6)-1)/EmpCount,0)+1,0)),Setup!$C$14)))</f>
        <v>45351</v>
      </c>
      <c r="C199" s="101" t="str" cm="1">
        <f t="array" aca="1" ref="C199" ca="1">IF(ROW($A199)-ROW($A$6)&gt;EmpCount*12,"-",OFFSET(Emp!$A$4,ROW($A199)-ROW($A$6)-IF(ROW($A199)-ROW($A$6)&gt;EmpCount,ROUNDDOWN((ROW($A199)-ROW($A$6)-1)/EmpCount,0)*EmpCount,0),0,1,1))</f>
        <v>-</v>
      </c>
      <c r="D199" s="10" t="str">
        <f ca="1">IF(ISNA(VLOOKUP($C199,EmpAll,COLUMN(Emp!$B$4),0)),"-",VLOOKUP($C199,EmpAll,COLUMN(Emp!$B$4),0))</f>
        <v>-</v>
      </c>
      <c r="E199" s="145" t="str">
        <f ca="1">IF(ISNA(VLOOKUP($C199,EmpAll,COLUMN(Emp!$C$4),0)),"-",VLOOKUP($C199,EmpAll,COLUMN(Emp!$C$4),0))</f>
        <v>-</v>
      </c>
      <c r="F199" s="101" t="str">
        <f ca="1">IF(ISNA(VLOOKUP($C199,EmpAll,COLUMN(Emp!$A$4),0)),"-",IF(AND(VLOOKUP($C199,EmpAll,COLUMN(Emp!$E$4),0)&lt;&gt;0,VLOOKUP($C199,EmpAll,COLUMN(Emp!$E$4),0)&gt;=DATE(YEAR($AC199),MONTH($AC199)+1,0)),"Inactive",IF(AND(VLOOKUP($C199,EmpAll,COLUMN(Emp!$F$4),0)&lt;&gt;0,VLOOKUP($C199,EmpAll,COLUMN(Emp!$F$4),0)&lt;=DATE(YEAR($AC199),MONTH($AC199),0)),"Terminated","Active")))</f>
        <v>-</v>
      </c>
      <c r="G199" s="133" cm="1">
        <f t="array" aca="1" ref="G199" ca="1">IF($F199&lt;&gt;"Active",0,IF(COUNTIFS(OverEmp,$C199,OverEarn,G$2,OverDate,"&lt;"&amp;DATE(YEAR($AC199),MONTH($AC199)+1,1),OverEnd,"&gt;="&amp;DATE(YEAR($AC199),MONTH($AC199),1))&gt;0,SUMIFS(OverValue,OverEmp,$C199,OverEarn,G$2,OverDate,"&lt;"&amp;DATE(YEAR($AC199),MONTH($AC199)+1,1),OverEnd,"&gt;="&amp;DATE(YEAR($AC199),MONTH($AC199),1)),IF(AND($AC199&gt;=Setup!$E$10,SUMIFS(EmpIncrease,EmpCode,$C199)&gt;0),SUMIFS(EmpIncrease,EmpCode,$C199),SUMIFS(EmpSalary,EmpCode,$C199))))</f>
        <v>0</v>
      </c>
      <c r="H199" s="133" cm="1">
        <f t="array" aca="1" ref="H199" ca="1">IF($F199&lt;&gt;"Active",0,IF(COUNTIFS(OverEmp,$C199,OverEarn,H$2,OverDate,"&lt;"&amp;DATE(YEAR($AC199),MONTH($AC199)+1,1),OverEnd,"&gt;="&amp;DATE(YEAR($AC199),MONTH($AC199),1))&gt;0,SUMIFS(OverValue,OverEmp,$C199,OverEarn,H$2,OverDate,"&lt;"&amp;DATE(YEAR($AC199),MONTH($AC199)+1,1),OverEnd,"&gt;="&amp;DATE(YEAR($AC199),MONTH($AC199),1)),0))</f>
        <v>0</v>
      </c>
      <c r="I199" s="133" cm="1">
        <f t="array" aca="1" ref="I199" ca="1">IF($F199&lt;&gt;"Active",0,IF(COUNTIFS(OverEmp,$C199,OverEarn,I$2,OverDate,"&lt;"&amp;DATE(YEAR($AC199),MONTH($AC199)+1,1),OverEnd,"&gt;="&amp;DATE(YEAR($AC199),MONTH($AC199),1))&gt;0,SUMIFS(OverValue,OverEmp,$C199,OverEarn,I$2,OverDate,"&lt;"&amp;DATE(YEAR($AC199),MONTH($AC199)+1,1),OverEnd,"&gt;="&amp;DATE(YEAR($AC199),MONTH($AC199),1)),IF(MONTH(B199)=Setup!$C$15,SUMIFS(EmpBonus,EmpCode,$C199),0)))</f>
        <v>0</v>
      </c>
      <c r="J199" s="133" cm="1">
        <f t="array" aca="1" ref="J199" ca="1">IF($F199&lt;&gt;"Active",0,IF(COUNTIFS(OverEmp,$C199,OverEarn,J$2,OverDate,"&lt;"&amp;DATE(YEAR($AC199),MONTH($AC199)+1,1),OverEnd,"&gt;="&amp;DATE(YEAR($AC199),MONTH($AC199),1))&gt;0,SUMIFS(OverValue,OverEmp,$C199,OverEarn,J$2,OverDate,"&lt;"&amp;DATE(YEAR($AC199),MONTH($AC199)+1,1),OverEnd,"&gt;="&amp;DATE(YEAR($AC199),MONTH($AC199),1)),0))</f>
        <v>0</v>
      </c>
      <c r="K199" s="133" cm="1">
        <f t="array" aca="1" ref="K199" ca="1">IF($F199&lt;&gt;"Active",0,IF(COUNTIFS(OverEmp,$C199,OverEarn,K$2,OverDate,"&lt;"&amp;DATE(YEAR($AC199),MONTH($AC199)+1,1),OverEnd,"&gt;="&amp;DATE(YEAR($AC199),MONTH($AC199),1))&gt;0,SUMIFS(OverValue,OverEmp,$C199,OverEarn,K$2,OverDate,"&lt;"&amp;DATE(YEAR($AC199),MONTH($AC199)+1,1),OverEnd,"&gt;="&amp;DATE(YEAR($AC199),MONTH($AC199),1)),0))</f>
        <v>0</v>
      </c>
      <c r="L199" s="185">
        <f ca="1">IF($AA199=0,0,SUM(OFFSET($G199,0,0,1,COLUMN($L$6)-COLUMN($G$6))))</f>
        <v>0</v>
      </c>
      <c r="M199" s="182" cm="1">
        <f t="array" aca="1" ref="M199" ca="1">IF(COUNTIFS(OverEmp,$C199,OverTax,M$5,OverDate,"&lt;"&amp;DATE(YEAR($AC199),MONTH($AC199)+1,1),OverEnd,"&gt;="&amp;DATE(YEAR($AC199),MONTH($AC199),1))&gt;0,SUMIFS(OverValue,OverEmp,$C199,OverTax,M$5,OverDate,"&lt;"&amp;DATE(YEAR($AC199),MONTH($AC199)+1,1),OverEnd,"&gt;="&amp;DATE(YEAR($AC199),MONTH($AC199),1)),(($BA199/12*$AA199)+(BB199*IF(1-$BC199=0,0,BD199/(1-$BC199))))-IF($F199="Terminated",0,SUMIFS(PayTaxDeduct,PayDate,"&lt;"&amp;$AC199,PayEmp,$C199)))</f>
        <v>0</v>
      </c>
      <c r="N199" s="133" cm="1">
        <f t="array" aca="1" ref="N199" ca="1">IF($F199="Terminated",0,IF($AA199=0,0,IF(ISNA(MATCH(N$5,DedListItem,0)),0,IF(COUNTIFS(OverEmp,$C199,OverDeduct,N$5,OverDate,"&lt;"&amp;DATE(YEAR($AC199),MONTH($AC199)+1,1),OverEnd,"&gt;="&amp;DATE(YEAR($AC199),MONTH($AC199),1))&gt;0,SUMIFS(OverValue,OverEmp,$C199,OverDeduct,N$5,OverDate,"&lt;"&amp;DATE(YEAR($AC199),MONTH($AC199)+1,1),OverEnd,"&gt;="&amp;DATE(YEAR($AC199),MONTH($AC199),1)),IF(OR(N$2="Fixed",N$2="Not Used"),(IF(COUNTIFS(EmpNo,$C199,OFFSET(Emp!$R$4,1,MATCH(N$5,DedListItem,0)-1,EmpCount,1),"&lt;&gt;")&gt;0,VLOOKUP($C199,EmpAll,COLUMN(Emp!$R$4)+MATCH(N$5,DedListItem,0)-1,0),OFFSET(Setup!$E$73,MATCH(N$5,DedListItem,0),0,1,1))*$AA199)-SUMIFS(OFFSET(N$6,1,0,PayCount,1),PayDate,"&lt;"&amp;$AC199,PayEmp,$C199),IF(ISNA(MATCH(N$2,EarnListItem,0))=FALSE,IF(OFFSET(Setup!$G$73,MATCH(N$5,DedListItem,0),0,1,1)="Taxable",SUMPRODUCT((PayEmp=$C199)*(PayDate&lt;=$AC199)*(PayEarnCode=N$2)*(PayEarnTax)*(PayEarnValues)),SUMPRODUCT((PayEmp=$C199)*(PayDate&lt;=$AC199)*(PayEarnCode=N$2)*(PayEarnValues)))*IF(COUNTIFS(EmpNo,$C199,OFFSET(Emp!$R$4,1,MATCH(N$5,DedListItem,0)-1,EmpCount,1),"&lt;&gt;")&gt;0,VLOOKUP($C199,EmpAll,COLUMN(Emp!$R$4)+MATCH(N$5,DedListItem,0)-1,0),OFFSET(Setup!$E$73,MATCH(N$5,DedListItem,0),0,1,1)),(MIN(IF(OFFSET(Setup!$G$73,MATCH(N$5,DedListItem,0),0,1,1)="Taxable",SUMPRODUCT((PayEmp=$C199)*(PayDate&lt;=$AC199)*(ISERROR(SEARCH(PayEarnCode,N$4)))*(PayEarnTax)*(PayEarnValues)),SUMPRODUCT((PayEmp=$C199)*(PayDate&lt;=$AC199)*(ISERROR(SEARCH(PayEarnCode,N$4)))*(PayEarnValues))),IF(ISNUMBER(N$3),N$3/12*$AA199,IgnoreMin)))*IF(COUNTIFS(EmpNo,$C199,OFFSET(Emp!$R$4,1,MATCH(N$5,DedListItem,0)-1,EmpCount,1),"&lt;&gt;")&gt;0,VLOOKUP($C199,EmpAll,COLUMN(Emp!$R$4)+MATCH(N$5,DedListItem,0)-1,0),OFFSET(Setup!$E$73,MATCH(N$5,DedListItem,0),0,1,1)))-SUMIFS(OFFSET(N$6,1,0,PayCount,1),PayDate,"&lt;"&amp;$AC199,PayEmp,$C199))))))</f>
        <v>0</v>
      </c>
      <c r="O199" s="133" cm="1">
        <f t="array" aca="1" ref="O199" ca="1">IF($F199="Terminated",0,IF($AA199=0,0,IF(ISNA(MATCH(O$5,DedListItem,0)),0,IF(COUNTIFS(OverEmp,$C199,OverDeduct,O$5,OverDate,"&lt;"&amp;DATE(YEAR($AC199),MONTH($AC199)+1,1),OverEnd,"&gt;="&amp;DATE(YEAR($AC199),MONTH($AC199),1))&gt;0,SUMIFS(OverValue,OverEmp,$C199,OverDeduct,O$5,OverDate,"&lt;"&amp;DATE(YEAR($AC199),MONTH($AC199)+1,1),OverEnd,"&gt;="&amp;DATE(YEAR($AC199),MONTH($AC199),1)),IF(OR(O$2="Fixed",O$2="Not Used"),(IF(COUNTIFS(EmpNo,$C199,OFFSET(Emp!$R$4,1,MATCH(O$5,DedListItem,0)-1,EmpCount,1),"&lt;&gt;")&gt;0,VLOOKUP($C199,EmpAll,COLUMN(Emp!$R$4)+MATCH(O$5,DedListItem,0)-1,0),OFFSET(Setup!$E$73,MATCH(O$5,DedListItem,0),0,1,1))*$AA199)-SUMIFS(OFFSET(O$6,1,0,PayCount,1),PayDate,"&lt;"&amp;$AC199,PayEmp,$C199),IF(ISNA(MATCH(O$2,EarnListItem,0))=FALSE,IF(OFFSET(Setup!$G$73,MATCH(O$5,DedListItem,0),0,1,1)="Taxable",SUMPRODUCT((PayEmp=$C199)*(PayDate&lt;=$AC199)*(PayEarnCode=O$2)*(PayEarnTax)*(PayEarnValues)),SUMPRODUCT((PayEmp=$C199)*(PayDate&lt;=$AC199)*(PayEarnCode=O$2)*(PayEarnValues)))*IF(COUNTIFS(EmpNo,$C199,OFFSET(Emp!$R$4,1,MATCH(O$5,DedListItem,0)-1,EmpCount,1),"&lt;&gt;")&gt;0,VLOOKUP($C199,EmpAll,COLUMN(Emp!$R$4)+MATCH(O$5,DedListItem,0)-1,0),OFFSET(Setup!$E$73,MATCH(O$5,DedListItem,0),0,1,1)),(MIN(IF(OFFSET(Setup!$G$73,MATCH(O$5,DedListItem,0),0,1,1)="Taxable",SUMPRODUCT((PayEmp=$C199)*(PayDate&lt;=$AC199)*(ISERROR(SEARCH(PayEarnCode,O$4)))*(PayEarnTax)*(PayEarnValues)),SUMPRODUCT((PayEmp=$C199)*(PayDate&lt;=$AC199)*(ISERROR(SEARCH(PayEarnCode,O$4)))*(PayEarnValues))),IF(ISNUMBER(O$3),O$3/12*$AA199,IgnoreMin)))*IF(COUNTIFS(EmpNo,$C199,OFFSET(Emp!$R$4,1,MATCH(O$5,DedListItem,0)-1,EmpCount,1),"&lt;&gt;")&gt;0,VLOOKUP($C199,EmpAll,COLUMN(Emp!$R$4)+MATCH(O$5,DedListItem,0)-1,0),OFFSET(Setup!$E$73,MATCH(O$5,DedListItem,0),0,1,1)))-SUMIFS(OFFSET(O$6,1,0,PayCount,1),PayDate,"&lt;"&amp;$AC199,PayEmp,$C199))))))</f>
        <v>0</v>
      </c>
      <c r="P199" s="133" cm="1">
        <f t="array" aca="1" ref="P199" ca="1">IF($F199="Terminated",0,IF($AA199=0,0,IF(ISNA(MATCH(P$5,DedListItem,0)),0,IF(COUNTIFS(OverEmp,$C199,OverDeduct,P$5,OverDate,"&lt;"&amp;DATE(YEAR($AC199),MONTH($AC199)+1,1),OverEnd,"&gt;="&amp;DATE(YEAR($AC199),MONTH($AC199),1))&gt;0,SUMIFS(OverValue,OverEmp,$C199,OverDeduct,P$5,OverDate,"&lt;"&amp;DATE(YEAR($AC199),MONTH($AC199)+1,1),OverEnd,"&gt;="&amp;DATE(YEAR($AC199),MONTH($AC199),1)),IF(OR(P$2="Fixed",P$2="Not Used"),(IF(COUNTIFS(EmpNo,$C199,OFFSET(Emp!$R$4,1,MATCH(P$5,DedListItem,0)-1,EmpCount,1),"&lt;&gt;")&gt;0,VLOOKUP($C199,EmpAll,COLUMN(Emp!$R$4)+MATCH(P$5,DedListItem,0)-1,0),OFFSET(Setup!$E$73,MATCH(P$5,DedListItem,0),0,1,1))*$AA199)-SUMIFS(OFFSET(P$6,1,0,PayCount,1),PayDate,"&lt;"&amp;$AC199,PayEmp,$C199),IF(ISNA(MATCH(P$2,EarnListItem,0))=FALSE,IF(OFFSET(Setup!$G$73,MATCH(P$5,DedListItem,0),0,1,1)="Taxable",SUMPRODUCT((PayEmp=$C199)*(PayDate&lt;=$AC199)*(PayEarnCode=P$2)*(PayEarnTax)*(PayEarnValues)),SUMPRODUCT((PayEmp=$C199)*(PayDate&lt;=$AC199)*(PayEarnCode=P$2)*(PayEarnValues)))*IF(COUNTIFS(EmpNo,$C199,OFFSET(Emp!$R$4,1,MATCH(P$5,DedListItem,0)-1,EmpCount,1),"&lt;&gt;")&gt;0,VLOOKUP($C199,EmpAll,COLUMN(Emp!$R$4)+MATCH(P$5,DedListItem,0)-1,0),OFFSET(Setup!$E$73,MATCH(P$5,DedListItem,0),0,1,1)),(MIN(IF(OFFSET(Setup!$G$73,MATCH(P$5,DedListItem,0),0,1,1)="Taxable",SUMPRODUCT((PayEmp=$C199)*(PayDate&lt;=$AC199)*(ISERROR(SEARCH(PayEarnCode,P$4)))*(PayEarnTax)*(PayEarnValues)),SUMPRODUCT((PayEmp=$C199)*(PayDate&lt;=$AC199)*(ISERROR(SEARCH(PayEarnCode,P$4)))*(PayEarnValues))),IF(ISNUMBER(P$3),P$3/12*$AA199,IgnoreMin)))*IF(COUNTIFS(EmpNo,$C199,OFFSET(Emp!$R$4,1,MATCH(P$5,DedListItem,0)-1,EmpCount,1),"&lt;&gt;")&gt;0,VLOOKUP($C199,EmpAll,COLUMN(Emp!$R$4)+MATCH(P$5,DedListItem,0)-1,0),OFFSET(Setup!$E$73,MATCH(P$5,DedListItem,0),0,1,1)))-SUMIFS(OFFSET(P$6,1,0,PayCount,1),PayDate,"&lt;"&amp;$AC199,PayEmp,$C199))))))</f>
        <v>0</v>
      </c>
      <c r="Q199" s="133" cm="1">
        <f t="array" aca="1" ref="Q199" ca="1">IF($F199="Terminated",0,IF($AA199=0,0,IF(ISNA(MATCH(Q$5,DedListItem,0)),0,IF(COUNTIFS(OverEmp,$C199,OverDeduct,Q$5,OverDate,"&lt;"&amp;DATE(YEAR($AC199),MONTH($AC199)+1,1),OverEnd,"&gt;="&amp;DATE(YEAR($AC199),MONTH($AC199),1))&gt;0,SUMIFS(OverValue,OverEmp,$C199,OverDeduct,Q$5,OverDate,"&lt;"&amp;DATE(YEAR($AC199),MONTH($AC199)+1,1),OverEnd,"&gt;="&amp;DATE(YEAR($AC199),MONTH($AC199),1)),IF(OR(Q$2="Fixed",Q$2="Not Used"),(IF(COUNTIFS(EmpNo,$C199,OFFSET(Emp!$R$4,1,MATCH(Q$5,DedListItem,0)-1,EmpCount,1),"&lt;&gt;")&gt;0,VLOOKUP($C199,EmpAll,COLUMN(Emp!$R$4)+MATCH(Q$5,DedListItem,0)-1,0),OFFSET(Setup!$E$73,MATCH(Q$5,DedListItem,0),0,1,1))*$AA199)-SUMIFS(OFFSET(Q$6,1,0,PayCount,1),PayDate,"&lt;"&amp;$AC199,PayEmp,$C199),IF(ISNA(MATCH(Q$2,EarnListItem,0))=FALSE,IF(OFFSET(Setup!$G$73,MATCH(Q$5,DedListItem,0),0,1,1)="Taxable",SUMPRODUCT((PayEmp=$C199)*(PayDate&lt;=$AC199)*(PayEarnCode=Q$2)*(PayEarnTax)*(PayEarnValues)),SUMPRODUCT((PayEmp=$C199)*(PayDate&lt;=$AC199)*(PayEarnCode=Q$2)*(PayEarnValues)))*IF(COUNTIFS(EmpNo,$C199,OFFSET(Emp!$R$4,1,MATCH(Q$5,DedListItem,0)-1,EmpCount,1),"&lt;&gt;")&gt;0,VLOOKUP($C199,EmpAll,COLUMN(Emp!$R$4)+MATCH(Q$5,DedListItem,0)-1,0),OFFSET(Setup!$E$73,MATCH(Q$5,DedListItem,0),0,1,1)),(MIN(IF(OFFSET(Setup!$G$73,MATCH(Q$5,DedListItem,0),0,1,1)="Taxable",SUMPRODUCT((PayEmp=$C199)*(PayDate&lt;=$AC199)*(ISERROR(SEARCH(PayEarnCode,Q$4)))*(PayEarnTax)*(PayEarnValues)),SUMPRODUCT((PayEmp=$C199)*(PayDate&lt;=$AC199)*(ISERROR(SEARCH(PayEarnCode,Q$4)))*(PayEarnValues))),IF(ISNUMBER(Q$3),Q$3/12*$AA199,IgnoreMin)))*IF(COUNTIFS(EmpNo,$C199,OFFSET(Emp!$R$4,1,MATCH(Q$5,DedListItem,0)-1,EmpCount,1),"&lt;&gt;")&gt;0,VLOOKUP($C199,EmpAll,COLUMN(Emp!$R$4)+MATCH(Q$5,DedListItem,0)-1,0),OFFSET(Setup!$E$73,MATCH(Q$5,DedListItem,0),0,1,1)))-SUMIFS(OFFSET(Q$6,1,0,PayCount,1),PayDate,"&lt;"&amp;$AC199,PayEmp,$C199))))))</f>
        <v>0</v>
      </c>
      <c r="R199" s="185">
        <f ca="1">SUM(OFFSET(M199,0,0,1,COLUMN($R$6)-COLUMN($M$6)))</f>
        <v>0</v>
      </c>
      <c r="S199" s="139">
        <f ca="1">ROUND(SUM(L199,-R199),2)</f>
        <v>0</v>
      </c>
      <c r="T199" s="133" cm="1">
        <f t="array" aca="1" ref="T199" ca="1">IF($F199="Terminated",0,IF($AA199=0,0,IF(ISNA(MATCH(T$5,CompListItem,0)),0,IF(COUNTIFS(OverEmp,$C199,OverComp,T$5,OverDate,"&lt;"&amp;DATE(YEAR($AC199),MONTH($AC199)+1,1),OverEnd,"&gt;="&amp;DATE(YEAR($AC199),MONTH($AC199),1))&gt;0,SUMIFS(OverValue,OverEmp,$C199,OverComp,T$5,OverDate,"&lt;"&amp;DATE(YEAR($AC199),MONTH($AC199)+1,1),OverEnd,"&gt;="&amp;DATE(YEAR($AC199),MONTH($AC199),1)),IF(OR(T$2="Fixed",T$2="Not Used"),(OFFSET(Setup!$E$81,MATCH(T$5,CompListItem,0),0,1,1)*$AA199)-SUMIFS(OFFSET(T$6,1,0,PayCount,1),PayDate,"&lt;"&amp;$AC199,PayEmp,$C199),IF(ISNA(MATCH(T$2,DedListItem,0))=FALSE,(SUMPRODUCT((PayEmp=$C199)*(PayDate&lt;=$AC199)*(PayDedList=T$2)*(PayDedValues))*OFFSET(Setup!$E$81,MATCH(T$5,CompListItem,0),0,1,1))-SUMIFS(OFFSET(T$6,1,0,PayCount,1),PayDate,"&lt;"&amp;$AC199,PayEmp,$C199),(MIN(IF(OFFSET(Setup!$G$81,MATCH(T$5,CompListItem,0),0,1,1)="Taxable",SUMPRODUCT((PayEmp=$C199)*(PayDate&lt;=$AC199)*(ISERROR(SEARCH(PayEarnCode,T$4)))*(PayEarnTax)*(PayEarnValues)),SUMPRODUCT((PayEmp=$C199)*(PayDate&lt;=$AC199)*(ISERROR(SEARCH(PayEarnCode,T$4)))*(PayEarnValues))),IF(ISNUMBER(T$3),T$3/12*$AA199,IgnoreMin)))*OFFSET(Setup!$E$81,MATCH(T$5,CompListItem,0),0,1,1)-SUMIFS(OFFSET(T$6,1,0,PayCount,1),PayDate,"&lt;"&amp;$AC199,PayEmp,$C199)))))))</f>
        <v>0</v>
      </c>
      <c r="U199" s="133" cm="1">
        <f t="array" aca="1" ref="U199" ca="1">IF($F199="Terminated",0,IF($AA199=0,0,IF(ISNA(MATCH(U$5,CompListItem,0)),0,IF(COUNTIFS(OverEmp,$C199,OverComp,U$5,OverDate,"&lt;"&amp;DATE(YEAR($AC199),MONTH($AC199)+1,1),OverEnd,"&gt;="&amp;DATE(YEAR($AC199),MONTH($AC199),1))&gt;0,SUMIFS(OverValue,OverEmp,$C199,OverComp,U$5,OverDate,"&lt;"&amp;DATE(YEAR($AC199),MONTH($AC199)+1,1),OverEnd,"&gt;="&amp;DATE(YEAR($AC199),MONTH($AC199),1)),IF(OR(U$2="Fixed",U$2="Not Used"),(OFFSET(Setup!$E$81,MATCH(U$5,CompListItem,0),0,1,1)*$AA199)-SUMIFS(OFFSET(U$6,1,0,PayCount,1),PayDate,"&lt;"&amp;$AC199,PayEmp,$C199),IF(ISNA(MATCH(U$2,DedListItem,0))=FALSE,(SUMPRODUCT((PayEmp=$C199)*(PayDate&lt;=$AC199)*(PayDedList=U$2)*(PayDedValues))*OFFSET(Setup!$E$81,MATCH(U$5,CompListItem,0),0,1,1))-SUMIFS(OFFSET(U$6,1,0,PayCount,1),PayDate,"&lt;"&amp;$AC199,PayEmp,$C199),(MIN(IF(OFFSET(Setup!$G$81,MATCH(U$5,CompListItem,0),0,1,1)="Taxable",SUMPRODUCT((PayEmp=$C199)*(PayDate&lt;=$AC199)*(ISERROR(SEARCH(PayEarnCode,U$4)))*(PayEarnTax)*(PayEarnValues)),SUMPRODUCT((PayEmp=$C199)*(PayDate&lt;=$AC199)*(ISERROR(SEARCH(PayEarnCode,U$4)))*(PayEarnValues))),IF(ISNUMBER(U$3),U$3/12*$AA199,IgnoreMin)))*OFFSET(Setup!$E$81,MATCH(U$5,CompListItem,0),0,1,1)-SUMIFS(OFFSET(U$6,1,0,PayCount,1),PayDate,"&lt;"&amp;$AC199,PayEmp,$C199)))))))</f>
        <v>0</v>
      </c>
      <c r="V199" s="133" cm="1">
        <f t="array" aca="1" ref="V199" ca="1">IF($F199="Terminated",0,IF($AA199=0,0,IF(ISNA(MATCH(V$5,CompListItem,0)),0,IF(COUNTIFS(OverEmp,$C199,OverComp,V$5,OverDate,"&lt;"&amp;DATE(YEAR($AC199),MONTH($AC199)+1,1),OverEnd,"&gt;="&amp;DATE(YEAR($AC199),MONTH($AC199),1))&gt;0,SUMIFS(OverValue,OverEmp,$C199,OverComp,V$5,OverDate,"&lt;"&amp;DATE(YEAR($AC199),MONTH($AC199)+1,1),OverEnd,"&gt;="&amp;DATE(YEAR($AC199),MONTH($AC199),1)),IF(OR(V$2="Fixed",V$2="Not Used"),(OFFSET(Setup!$E$81,MATCH(V$5,CompListItem,0),0,1,1)*$AA199)-SUMIFS(OFFSET(V$6,1,0,PayCount,1),PayDate,"&lt;"&amp;$AC199,PayEmp,$C199),IF(ISNA(MATCH(V$2,DedListItem,0))=FALSE,(SUMPRODUCT((PayEmp=$C199)*(PayDate&lt;=$AC199)*(PayDedList=V$2)*(PayDedValues))*OFFSET(Setup!$E$81,MATCH(V$5,CompListItem,0),0,1,1))-SUMIFS(OFFSET(V$6,1,0,PayCount,1),PayDate,"&lt;"&amp;$AC199,PayEmp,$C199),(MIN(IF(OFFSET(Setup!$G$81,MATCH(V$5,CompListItem,0),0,1,1)="Taxable",SUMPRODUCT((PayEmp=$C199)*(PayDate&lt;=$AC199)*(ISERROR(SEARCH(PayEarnCode,V$4)))*(PayEarnTax)*(PayEarnValues)),SUMPRODUCT((PayEmp=$C199)*(PayDate&lt;=$AC199)*(ISERROR(SEARCH(PayEarnCode,V$4)))*(PayEarnValues))),IF(ISNUMBER(V$3),V$3/12*$AA199,IgnoreMin)))*OFFSET(Setup!$E$81,MATCH(V$5,CompListItem,0),0,1,1)-SUMIFS(OFFSET(V$6,1,0,PayCount,1),PayDate,"&lt;"&amp;$AC199,PayEmp,$C199)))))))</f>
        <v>0</v>
      </c>
      <c r="W199" s="133" cm="1">
        <f t="array" aca="1" ref="W199" ca="1">IF($F199="Terminated",0,IF($AA199=0,0,IF(ISNA(MATCH(W$5,CompListItem,0)),0,IF(COUNTIFS(OverEmp,$C199,OverComp,W$5,OverDate,"&lt;"&amp;DATE(YEAR($AC199),MONTH($AC199)+1,1),OverEnd,"&gt;="&amp;DATE(YEAR($AC199),MONTH($AC199),1))&gt;0,SUMIFS(OverValue,OverEmp,$C199,OverComp,W$5,OverDate,"&lt;"&amp;DATE(YEAR($AC199),MONTH($AC199)+1,1),OverEnd,"&gt;="&amp;DATE(YEAR($AC199),MONTH($AC199),1)),IF(OR(W$2="Fixed",W$2="Not Used"),(OFFSET(Setup!$E$81,MATCH(W$5,CompListItem,0),0,1,1)*$AA199)-SUMIFS(OFFSET(W$6,1,0,PayCount,1),PayDate,"&lt;"&amp;$AC199,PayEmp,$C199),IF(ISNA(MATCH(W$2,DedListItem,0))=FALSE,(SUMPRODUCT((PayEmp=$C199)*(PayDate&lt;=$AC199)*(PayDedList=W$2)*(PayDedValues))*OFFSET(Setup!$E$81,MATCH(W$5,CompListItem,0),0,1,1))-SUMIFS(OFFSET(W$6,1,0,PayCount,1),PayDate,"&lt;"&amp;$AC199,PayEmp,$C199),(MIN(IF(OFFSET(Setup!$G$81,MATCH(W$5,CompListItem,0),0,1,1)="Taxable",SUMPRODUCT((PayEmp=$C199)*(PayDate&lt;=$AC199)*(ISERROR(SEARCH(PayEarnCode,W$4)))*(PayEarnTax)*(PayEarnValues)),SUMPRODUCT((PayEmp=$C199)*(PayDate&lt;=$AC199)*(ISERROR(SEARCH(PayEarnCode,W$4)))*(PayEarnValues))),IF(ISNUMBER(W$3),W$3/12*$AA199,IgnoreMin)))*OFFSET(Setup!$E$81,MATCH(W$5,CompListItem,0),0,1,1)-SUMIFS(OFFSET(W$6,1,0,PayCount,1),PayDate,"&lt;"&amp;$AC199,PayEmp,$C199)))))))</f>
        <v>0</v>
      </c>
      <c r="X199" s="185">
        <f ca="1">SUM(OFFSET($T199,0,0,1,COLUMN($X$6)-COLUMN($T$7)))</f>
        <v>0</v>
      </c>
      <c r="Y199" s="139">
        <f ca="1">L199+X199</f>
        <v>0</v>
      </c>
      <c r="Z199" s="139">
        <f ca="1">ROUND(SUM(R199,X199),2)</f>
        <v>0</v>
      </c>
      <c r="AA199" s="146">
        <f ca="1">IF(OR($B199&lt;=Setup!$E$12,$B199&gt;=Setup!$D$12+1),0,IF($F199&lt;&gt;"Active",0,IF($AE199="Yes",$AB199,((YEAR($AC199)*12)+MONTH($AC199))-((YEAR($AD199)*12)+MONTH($AD199)-1))))</f>
        <v>0</v>
      </c>
      <c r="AB199" s="146">
        <f ca="1">IF(OR($B199&lt;=Setup!$E$12,$B199&gt;=Setup!$D$12+1),0,((YEAR($AC199)*12)+MONTH($AC199))-((YEAR(Setup!$E$12)*12)+MONTH(Setup!$E$12)))</f>
        <v>12</v>
      </c>
      <c r="AC199" s="186">
        <f ca="1">DATE(YEAR($B199),MONTH($B199),DAY($B199))</f>
        <v>45351</v>
      </c>
      <c r="AD199" s="144">
        <f ca="1">IF(ISNA(VLOOKUP($C199,EmpAll,COLUMN(Emp!$E$4),0)),$AC199,IF(VLOOKUP($C199,EmpAll,COLUMN(Emp!$E$4),0)&lt;=Setup!$E$12,DATE(YEAR(Setup!$E$12),MONTH(Setup!$E$12)+1,1),VLOOKUP($C199,EmpAll,COLUMN(Emp!$E$4),0)))</f>
        <v>45351</v>
      </c>
      <c r="AE199" s="144" t="str">
        <f ca="1">IF(ISNA(VLOOKUP($C199,EmpAll,COLUMN(Emp!$G$1),0)),"-",IF(VLOOKUP($C199,EmpAll,COLUMN(Emp!$G$1),0)=0,"-",VLOOKUP($C199,EmpAll,COLUMN(Emp!$G$1),0)))</f>
        <v>-</v>
      </c>
      <c r="AF199" s="145">
        <f>IF(A199=PaySlip!$G$3,1,0)</f>
        <v>0</v>
      </c>
      <c r="AG199" s="130" cm="1">
        <f t="array" aca="1" ref="AG199" ca="1">IF(COUNTIFS(OverEmp,$C199,OverMed,"MED",OverDate,"&lt;"&amp;DATE(YEAR($AC199),MONTH($AC199)+1,1),OverEnd,"&gt;="&amp;DATE(YEAR($AC199),MONTH($AC199),1))&gt;0,SUMIFS(OverValue,OverEmp,$C199,OverMed,"MED",OverDate,"&lt;"&amp;DATE(YEAR($AC199),MONTH($AC199)+1,1),OverEnd,"&gt;="&amp;DATE(YEAR($AC199),MONTH($AC199),1)),IF(ISNA(VLOOKUP($C199,EmpAll,COLUMN(Emp!$N$4),0)),0,VLOOKUP($C199,EmpAll,COLUMN(Emp!$N$4),0)))</f>
        <v>0</v>
      </c>
      <c r="AH199" s="146">
        <f ca="1">VLOOKUP($AG199,MedList,COLUMN(Setup!$C$49),1)</f>
        <v>0</v>
      </c>
      <c r="AI199" s="146">
        <f t="shared" ref="AI199:AI246" ca="1" si="107">SUMIFS(PayMedDeduct,PayDate,"&lt;"&amp;$AC199,PayEmp,$C199)+$AH199+($AH199*(12-$AA199))</f>
        <v>0</v>
      </c>
      <c r="AJ199" s="101" t="str">
        <f ca="1">IF(ISNA(VLOOKUP($C199,EmpAll,COLUMN(Emp!$L$4),0)),"None!",VLOOKUP($C199,EmpAll,COLUMN(Emp!$L$4),0))</f>
        <v>None!</v>
      </c>
      <c r="AK199" s="147">
        <f t="shared" ca="1" si="102"/>
        <v>17235</v>
      </c>
      <c r="AL199" s="101" t="str">
        <f ca="1">IF(ISNA(VLOOKUP($C199,Employees[],COLUMN(Emp!$M$4),0))=TRUE,"Error!",IF(VLOOKUP($C199,Employees[],COLUMN(Emp!$M$4),0)=0,"Yes",VLOOKUP($C199,Employees[],COLUMN(Emp!$M$4),0)))</f>
        <v>Error!</v>
      </c>
      <c r="AM199" s="148">
        <f t="shared" ref="AM199:AM246" ca="1" si="108">IF($AA199=0,0,((SUMPRODUCT((PayEmp=$C199)*(PayDate&lt;=$AC199)*(PayEarnType="Monthly")*(PayEarnTax)*(PayEarnValues))/$AA199*12)+(SUMPRODUCT((PayEmp=$C199)*(PayDate&lt;=$AC199)*(PayEarnType="Quarterly")*(PayEarnTax)*(PayEarnValues))/MAX(1,ROUNDDOWN($AB199/3,0))*4)+(SUMPRODUCT((PayEmp=$C199)*(PayDate&lt;=$AC199)*(PayEarnType="Bi-Annual")*(PayEarnTax)*(PayEarnValues))/MAX(1,ROUNDDOWN($AB199/6,0))*2)+(SUMPRODUCT((PayEmp=$C199)*(PayDate&lt;=$AC199)*(PayEarnType="Annual")*(PayEarnTax)*(PayEarnValues)))))</f>
        <v>0</v>
      </c>
      <c r="AN199" s="148" cm="1">
        <f t="array" aca="1" ref="AN199" ca="1">-IF($F199="Terminated",0,IF($AA199=0,0,IF(ISNA(MATCH(AN$5,PayDedList,0)),0,MIN(IF(COUNTIFS(OverEmp,$C199,OverDeduct,AN$5,OverDate,"&lt;"&amp;DATE(YEAR($AC199),MONTH($AC199)+1,1),OverEnd,"&gt;="&amp;DATE(YEAR($AC199),MONTH($AC199),1))&gt;0,SUMPRODUCT((PayEmp=$C199)*(PayDate&lt;=$AC199)*(OFFSET($N$6,1,MATCH(AN$5,PayDedList,0)-1,PayCount,1)))/$AA199*12*AN$3,IF(OR(AN$1="Fixed",AN$1="Not Used"),SUMPRODUCT((PayEmp=$C199)*(PayDate&lt;=$AC199)*(OFFSET($N$6,1,MATCH(AN$5,PayDedList,0)-1,PayCount,1)))/$AA199*12*AN$3,IF(ISNA(MATCH(AN$1,EarnListItem,0))=FALSE,SUMPRODUCT((PayEmp=$C199)*(PayDate&lt;=$AC199)*(OFFSET($N$6,1,MATCH(AN$5,PayDedList,0)-1,PayCount,1)))/$AA199*12*AN$3,(MIN(((SUMPRODUCT((PayEmp=$C199)*(PayDate&lt;=$AC199)*(ISERROR(SEARCH(PayEarnCode,AN$2)))*(PayEarnType="Monthly")*(PayEarnValues))/$AA199*12)+(SUMPRODUCT((PayEmp=$C199)*(PayDate&lt;=$AC199)*(ISERROR(SEARCH(PayEarnCode,AN$2)))*(PayEarnType="Quarterly")*(PayEarnValues))/MAX(1,ROUNDDOWN($AB199/3,0))*4)+(SUMPRODUCT((PayEmp=$C199)*(PayDate&lt;=$AC199)*(ISERROR(SEARCH(PayEarnCode,AN$2)))*(PayEarnType="Bi-Annual")*(PayEarnValues))/MAX(1,ROUNDDOWN($AB199/6,0))*2)+(SUMPRODUCT((PayEmp=$C199)*(PayDate&lt;=$AC199)*(ISERROR(SEARCH(PayEarnCode,AN$2)))*(PayEarnType="Annual")*(PayEarnValues)))),IF(ISNUMBER(OFFSET($N$3,0,MATCH(AN$5,PayDedList,0)-1,1,1)),OFFSET($N$3,0,MATCH(AN$5,PayDedList,0)-1,1,1),IgnoreMin)))*IF(COUNTIFS(EmpNo,$C199,OFFSET(Emp!$R$4,1,MATCH(AN$5,DedListItem,0)-1,EmpCount,1),"&lt;&gt;")&gt;0,VLOOKUP($C199,EmpAll,COLUMN(Emp!$R$4)+MATCH(AN$5,DedListItem,0)-1,0),OFFSET(Setup!$E$73,MATCH(AN$5,DedListItem,0),0,1,1))*AN$3))),IF(ISNUMBER(AN$4),AN$4,IgnoreMin)))))</f>
        <v>0</v>
      </c>
      <c r="AO199" s="148" cm="1">
        <f t="array" aca="1" ref="AO199" ca="1">-IF($F199="Terminated",0,IF($AA199=0,0,IF(ISNA(MATCH(AO$5,PayDedList,0)),0,MIN(IF(COUNTIFS(OverEmp,$C199,OverDeduct,AO$5,OverDate,"&lt;"&amp;DATE(YEAR($AC199),MONTH($AC199)+1,1),OverEnd,"&gt;="&amp;DATE(YEAR($AC199),MONTH($AC199),1))&gt;0,SUMPRODUCT((PayEmp=$C199)*(PayDate&lt;=$AC199)*(OFFSET($N$6,1,MATCH(AO$5,PayDedList,0)-1,PayCount,1)))/$AA199*12*AO$3,IF(OR(AO$1="Fixed",AO$1="Not Used"),SUMPRODUCT((PayEmp=$C199)*(PayDate&lt;=$AC199)*(OFFSET($N$6,1,MATCH(AO$5,PayDedList,0)-1,PayCount,1)))/$AA199*12*AO$3,IF(ISNA(MATCH(AO$1,EarnListItem,0))=FALSE,SUMPRODUCT((PayEmp=$C199)*(PayDate&lt;=$AC199)*(OFFSET($N$6,1,MATCH(AO$5,PayDedList,0)-1,PayCount,1)))/$AA199*12*AO$3,(MIN(((SUMPRODUCT((PayEmp=$C199)*(PayDate&lt;=$AC199)*(ISERROR(SEARCH(PayEarnCode,AO$2)))*(PayEarnType="Monthly")*(PayEarnValues))/$AA199*12)+(SUMPRODUCT((PayEmp=$C199)*(PayDate&lt;=$AC199)*(ISERROR(SEARCH(PayEarnCode,AO$2)))*(PayEarnType="Quarterly")*(PayEarnValues))/MAX(1,ROUNDDOWN($AB199/3,0))*4)+(SUMPRODUCT((PayEmp=$C199)*(PayDate&lt;=$AC199)*(ISERROR(SEARCH(PayEarnCode,AO$2)))*(PayEarnType="Bi-Annual")*(PayEarnValues))/MAX(1,ROUNDDOWN($AB199/6,0))*2)+(SUMPRODUCT((PayEmp=$C199)*(PayDate&lt;=$AC199)*(ISERROR(SEARCH(PayEarnCode,AO$2)))*(PayEarnType="Annual")*(PayEarnValues)))),IF(ISNUMBER(OFFSET($N$3,0,MATCH(AO$5,PayDedList,0)-1,1,1)),OFFSET($N$3,0,MATCH(AO$5,PayDedList,0)-1,1,1),IgnoreMin)))*IF(COUNTIFS(EmpNo,$C199,OFFSET(Emp!$R$4,1,MATCH(AO$5,DedListItem,0)-1,EmpCount,1),"&lt;&gt;")&gt;0,VLOOKUP($C199,EmpAll,COLUMN(Emp!$R$4)+MATCH(AO$5,DedListItem,0)-1,0),OFFSET(Setup!$E$73,MATCH(AO$5,DedListItem,0),0,1,1))*AO$3))),IF(ISNUMBER(AO$4),AO$4,IgnoreMin)))))</f>
        <v>0</v>
      </c>
      <c r="AP199" s="148" cm="1">
        <f t="array" aca="1" ref="AP199" ca="1">-IF($F199="Terminated",0,IF($AA199=0,0,IF(ISNA(MATCH(AP$5,PayDedList,0)),0,MIN(IF(COUNTIFS(OverEmp,$C199,OverDeduct,AP$5,OverDate,"&lt;"&amp;DATE(YEAR($AC199),MONTH($AC199)+1,1),OverEnd,"&gt;="&amp;DATE(YEAR($AC199),MONTH($AC199),1))&gt;0,SUMPRODUCT((PayEmp=$C199)*(PayDate&lt;=$AC199)*(OFFSET($N$6,1,MATCH(AP$5,PayDedList,0)-1,PayCount,1)))/$AA199*12*AP$3,IF(OR(AP$1="Fixed",AP$1="Not Used"),SUMPRODUCT((PayEmp=$C199)*(PayDate&lt;=$AC199)*(OFFSET($N$6,1,MATCH(AP$5,PayDedList,0)-1,PayCount,1)))/$AA199*12*AP$3,IF(ISNA(MATCH(AP$1,EarnListItem,0))=FALSE,SUMPRODUCT((PayEmp=$C199)*(PayDate&lt;=$AC199)*(OFFSET($N$6,1,MATCH(AP$5,PayDedList,0)-1,PayCount,1)))/$AA199*12*AP$3,(MIN(((SUMPRODUCT((PayEmp=$C199)*(PayDate&lt;=$AC199)*(ISERROR(SEARCH(PayEarnCode,AP$2)))*(PayEarnType="Monthly")*(PayEarnValues))/$AA199*12)+(SUMPRODUCT((PayEmp=$C199)*(PayDate&lt;=$AC199)*(ISERROR(SEARCH(PayEarnCode,AP$2)))*(PayEarnType="Quarterly")*(PayEarnValues))/MAX(1,ROUNDDOWN($AB199/3,0))*4)+(SUMPRODUCT((PayEmp=$C199)*(PayDate&lt;=$AC199)*(ISERROR(SEARCH(PayEarnCode,AP$2)))*(PayEarnType="Bi-Annual")*(PayEarnValues))/MAX(1,ROUNDDOWN($AB199/6,0))*2)+(SUMPRODUCT((PayEmp=$C199)*(PayDate&lt;=$AC199)*(ISERROR(SEARCH(PayEarnCode,AP$2)))*(PayEarnType="Annual")*(PayEarnValues)))),IF(ISNUMBER(OFFSET($N$3,0,MATCH(AP$5,PayDedList,0)-1,1,1)),OFFSET($N$3,0,MATCH(AP$5,PayDedList,0)-1,1,1),IgnoreMin)))*IF(COUNTIFS(EmpNo,$C199,OFFSET(Emp!$R$4,1,MATCH(AP$5,DedListItem,0)-1,EmpCount,1),"&lt;&gt;")&gt;0,VLOOKUP($C199,EmpAll,COLUMN(Emp!$R$4)+MATCH(AP$5,DedListItem,0)-1,0),OFFSET(Setup!$E$73,MATCH(AP$5,DedListItem,0),0,1,1))*AP$3))),IF(ISNUMBER(AP$4),AP$4,IgnoreMin)))))</f>
        <v>0</v>
      </c>
      <c r="AQ199" s="148" cm="1">
        <f t="array" aca="1" ref="AQ199" ca="1">-IF($F199="Terminated",0,IF($AA199=0,0,IF(ISNA(MATCH(AQ$5,PayDedList,0)),0,MIN(IF(COUNTIFS(OverEmp,$C199,OverDeduct,AQ$5,OverDate,"&lt;"&amp;DATE(YEAR($AC199),MONTH($AC199)+1,1),OverEnd,"&gt;="&amp;DATE(YEAR($AC199),MONTH($AC199),1))&gt;0,SUMPRODUCT((PayEmp=$C199)*(PayDate&lt;=$AC199)*(OFFSET($N$6,1,MATCH(AQ$5,PayDedList,0)-1,PayCount,1)))/$AA199*12*AQ$3,IF(OR(AQ$1="Fixed",AQ$1="Not Used"),SUMPRODUCT((PayEmp=$C199)*(PayDate&lt;=$AC199)*(OFFSET($N$6,1,MATCH(AQ$5,PayDedList,0)-1,PayCount,1)))/$AA199*12*AQ$3,IF(ISNA(MATCH(AQ$1,EarnListItem,0))=FALSE,SUMPRODUCT((PayEmp=$C199)*(PayDate&lt;=$AC199)*(OFFSET($N$6,1,MATCH(AQ$5,PayDedList,0)-1,PayCount,1)))/$AA199*12*AQ$3,(MIN(((SUMPRODUCT((PayEmp=$C199)*(PayDate&lt;=$AC199)*(ISERROR(SEARCH(PayEarnCode,AQ$2)))*(PayEarnType="Monthly")*(PayEarnValues))/$AA199*12)+(SUMPRODUCT((PayEmp=$C199)*(PayDate&lt;=$AC199)*(ISERROR(SEARCH(PayEarnCode,AQ$2)))*(PayEarnType="Quarterly")*(PayEarnValues))/MAX(1,ROUNDDOWN($AB199/3,0))*4)+(SUMPRODUCT((PayEmp=$C199)*(PayDate&lt;=$AC199)*(ISERROR(SEARCH(PayEarnCode,AQ$2)))*(PayEarnType="Bi-Annual")*(PayEarnValues))/MAX(1,ROUNDDOWN($AB199/6,0))*2)+(SUMPRODUCT((PayEmp=$C199)*(PayDate&lt;=$AC199)*(ISERROR(SEARCH(PayEarnCode,AQ$2)))*(PayEarnType="Annual")*(PayEarnValues)))),IF(ISNUMBER(OFFSET($N$3,0,MATCH(AQ$5,PayDedList,0)-1,1,1)),OFFSET($N$3,0,MATCH(AQ$5,PayDedList,0)-1,1,1),IgnoreMin)))*IF(COUNTIFS(EmpNo,$C199,OFFSET(Emp!$R$4,1,MATCH(AQ$5,DedListItem,0)-1,EmpCount,1),"&lt;&gt;")&gt;0,VLOOKUP($C199,EmpAll,COLUMN(Emp!$R$4)+MATCH(AQ$5,DedListItem,0)-1,0),OFFSET(Setup!$E$73,MATCH(AQ$5,DedListItem,0),0,1,1))*AQ$3))),IF(ISNUMBER(AQ$4),AQ$4,IgnoreMin)))))</f>
        <v>0</v>
      </c>
      <c r="AR199" s="148">
        <f ca="1">$AM199+SUM(OFFSET($AM199,0,1,1,COLUMN($AR$2)-COLUMN($AM$2)-1))</f>
        <v>0</v>
      </c>
      <c r="AS199" s="148">
        <f t="shared" ref="AS199:AS246" ca="1" si="109">IF($AA199=0,0,(SUMPRODUCT((PayEmp=$C199)*(PayDate&lt;=$AC199)*(PayEarnType="Monthly")*(PayEarnTax)*(PayEarnValues))/$AA199*12))</f>
        <v>0</v>
      </c>
      <c r="AT199" s="148" cm="1">
        <f t="array" aca="1" ref="AT199" ca="1">-IF($F199="Terminated",0,IF($AA199=0,0,IF(ISNA(MATCH(AT$5,PayDedList,0)),0,MIN(IF(COUNTIFS(OverEmp,$C199,OverDeduct,AT$5,OverDate,"&lt;"&amp;DATE(YEAR($AC199),MONTH($AC199)+1,1),OverEnd,"&gt;="&amp;DATE(YEAR($AC199),MONTH($AC199),1))&gt;0,SUMPRODUCT((PayEmp=$C199)*(PayDate&lt;=$AC199)*(OFFSET($N$6,1,MATCH(AT$5,PayDedList,0)-1,PayCount,1)))/$AA199*12*AT$3,IF(OR(AT$1="Fixed",AT$1="Not Used"),SUMPRODUCT((PayEmp=$C199)*(PayDate&lt;=$AC199)*(OFFSET($N$6,1,MATCH(AT$5,PayDedList,0)-1,PayCount,1)))/$AA199*12*AT$3,IF(ISNA(MATCH(OFFSET($N$2,0,MATCH(AT$5,PayDedList,0)-1,1,1),EarnListItem,0))=FALSE,SUMPRODUCT((PayEmp=$C199)*(PayDate&lt;=$AC199)*(OFFSET($N$6,1,MATCH(AT$5,PayDedList,0)-1,PayCount,1)))/$AA199*12*AT$3,(MIN(SUMPRODUCT((PayEmp=$C199)*(PayDate&lt;=$AC199)*(ISERROR(SEARCH(PayEarnCode,AT$2)))*(PayEarnType="Monthly")*(PayEarnValues))/$AA199*12,IF(ISNUMBER(OFFSET($N$3,0,MATCH(AT$5,PayDedList,0)-1,1,1)),OFFSET($N$3,0,MATCH(AT$5,PayDedList,0)-1,1,1),IgnoreMin)))*IF(COUNTIFS(EmpNo,$C199,OFFSET(Emp!$R$4,1,MATCH(AT$5,DedListItem,0)-1,EmpCount,1),"&lt;&gt;")&gt;0,VLOOKUP($C199,EmpAll,COLUMN(Emp!$R$4)+MATCH(AT$5,DedListItem,0)-1,0),OFFSET(Setup!$E$73,MATCH(AT$5,DedListItem,0),0,1,1))*AT$3))),IF(ISNUMBER(AT$4),AT$4,IgnoreMin)))))</f>
        <v>0</v>
      </c>
      <c r="AU199" s="148" cm="1">
        <f t="array" aca="1" ref="AU199" ca="1">-IF($F199="Terminated",0,IF($AA199=0,0,IF(ISNA(MATCH(AU$5,PayDedList,0)),0,MIN(IF(COUNTIFS(OverEmp,$C199,OverDeduct,AU$5,OverDate,"&lt;"&amp;DATE(YEAR($AC199),MONTH($AC199)+1,1),OverEnd,"&gt;="&amp;DATE(YEAR($AC199),MONTH($AC199),1))&gt;0,SUMPRODUCT((PayEmp=$C199)*(PayDate&lt;=$AC199)*(OFFSET($N$6,1,MATCH(AU$5,PayDedList,0)-1,PayCount,1)))/$AA199*12*AU$3,IF(OR(AU$1="Fixed",AU$1="Not Used"),SUMPRODUCT((PayEmp=$C199)*(PayDate&lt;=$AC199)*(OFFSET($N$6,1,MATCH(AU$5,PayDedList,0)-1,PayCount,1)))/$AA199*12*AU$3,IF(ISNA(MATCH(OFFSET($N$2,0,MATCH(AU$5,PayDedList,0)-1,1,1),EarnListItem,0))=FALSE,SUMPRODUCT((PayEmp=$C199)*(PayDate&lt;=$AC199)*(OFFSET($N$6,1,MATCH(AU$5,PayDedList,0)-1,PayCount,1)))/$AA199*12*AU$3,(MIN(SUMPRODUCT((PayEmp=$C199)*(PayDate&lt;=$AC199)*(ISERROR(SEARCH(PayEarnCode,AU$2)))*(PayEarnType="Monthly")*(PayEarnValues))/$AA199*12,IF(ISNUMBER(OFFSET($N$3,0,MATCH(AU$5,PayDedList,0)-1,1,1)),OFFSET($N$3,0,MATCH(AU$5,PayDedList,0)-1,1,1),IgnoreMin)))*IF(COUNTIFS(EmpNo,$C199,OFFSET(Emp!$R$4,1,MATCH(AU$5,DedListItem,0)-1,EmpCount,1),"&lt;&gt;")&gt;0,VLOOKUP($C199,EmpAll,COLUMN(Emp!$R$4)+MATCH(AU$5,DedListItem,0)-1,0),OFFSET(Setup!$E$73,MATCH(AU$5,DedListItem,0),0,1,1))*AU$3))),IF(ISNUMBER(AU$4),AU$4,IgnoreMin)))))</f>
        <v>0</v>
      </c>
      <c r="AV199" s="148" cm="1">
        <f t="array" aca="1" ref="AV199" ca="1">-IF($F199="Terminated",0,IF($AA199=0,0,IF(ISNA(MATCH(AV$5,PayDedList,0)),0,MIN(IF(COUNTIFS(OverEmp,$C199,OverDeduct,AV$5,OverDate,"&lt;"&amp;DATE(YEAR($AC199),MONTH($AC199)+1,1),OverEnd,"&gt;="&amp;DATE(YEAR($AC199),MONTH($AC199),1))&gt;0,SUMPRODUCT((PayEmp=$C199)*(PayDate&lt;=$AC199)*(OFFSET($N$6,1,MATCH(AV$5,PayDedList,0)-1,PayCount,1)))/$AA199*12*AV$3,IF(OR(AV$1="Fixed",AV$1="Not Used"),SUMPRODUCT((PayEmp=$C199)*(PayDate&lt;=$AC199)*(OFFSET($N$6,1,MATCH(AV$5,PayDedList,0)-1,PayCount,1)))/$AA199*12*AV$3,IF(ISNA(MATCH(OFFSET($N$2,0,MATCH(AV$5,PayDedList,0)-1,1,1),EarnListItem,0))=FALSE,SUMPRODUCT((PayEmp=$C199)*(PayDate&lt;=$AC199)*(OFFSET($N$6,1,MATCH(AV$5,PayDedList,0)-1,PayCount,1)))/$AA199*12*AV$3,(MIN(SUMPRODUCT((PayEmp=$C199)*(PayDate&lt;=$AC199)*(ISERROR(SEARCH(PayEarnCode,AV$2)))*(PayEarnType="Monthly")*(PayEarnValues))/$AA199*12,IF(ISNUMBER(OFFSET($N$3,0,MATCH(AV$5,PayDedList,0)-1,1,1)),OFFSET($N$3,0,MATCH(AV$5,PayDedList,0)-1,1,1),IgnoreMin)))*IF(COUNTIFS(EmpNo,$C199,OFFSET(Emp!$R$4,1,MATCH(AV$5,DedListItem,0)-1,EmpCount,1),"&lt;&gt;")&gt;0,VLOOKUP($C199,EmpAll,COLUMN(Emp!$R$4)+MATCH(AV$5,DedListItem,0)-1,0),OFFSET(Setup!$E$73,MATCH(AV$5,DedListItem,0),0,1,1))*AV$3))),IF(ISNUMBER(AV$4),AV$4,IgnoreMin)))))</f>
        <v>0</v>
      </c>
      <c r="AW199" s="148" cm="1">
        <f t="array" aca="1" ref="AW199" ca="1">-IF($F199="Terminated",0,IF($AA199=0,0,IF(ISNA(MATCH(AW$5,PayDedList,0)),0,MIN(IF(COUNTIFS(OverEmp,$C199,OverDeduct,AW$5,OverDate,"&lt;"&amp;DATE(YEAR($AC199),MONTH($AC199)+1,1),OverEnd,"&gt;="&amp;DATE(YEAR($AC199),MONTH($AC199),1))&gt;0,SUMPRODUCT((PayEmp=$C199)*(PayDate&lt;=$AC199)*(OFFSET($N$6,1,MATCH(AW$5,PayDedList,0)-1,PayCount,1)))/$AA199*12*AW$3,IF(OR(AW$1="Fixed",AW$1="Not Used"),SUMPRODUCT((PayEmp=$C199)*(PayDate&lt;=$AC199)*(OFFSET($N$6,1,MATCH(AW$5,PayDedList,0)-1,PayCount,1)))/$AA199*12*AW$3,IF(ISNA(MATCH(OFFSET($N$2,0,MATCH(AW$5,PayDedList,0)-1,1,1),EarnListItem,0))=FALSE,SUMPRODUCT((PayEmp=$C199)*(PayDate&lt;=$AC199)*(OFFSET($N$6,1,MATCH(AW$5,PayDedList,0)-1,PayCount,1)))/$AA199*12*AW$3,(MIN(SUMPRODUCT((PayEmp=$C199)*(PayDate&lt;=$AC199)*(ISERROR(SEARCH(PayEarnCode,AW$2)))*(PayEarnType="Monthly")*(PayEarnValues))/$AA199*12,IF(ISNUMBER(OFFSET($N$3,0,MATCH(AW$5,PayDedList,0)-1,1,1)),OFFSET($N$3,0,MATCH(AW$5,PayDedList,0)-1,1,1),IgnoreMin)))*IF(COUNTIFS(EmpNo,$C199,OFFSET(Emp!$R$4,1,MATCH(AW$5,DedListItem,0)-1,EmpCount,1),"&lt;&gt;")&gt;0,VLOOKUP($C199,EmpAll,COLUMN(Emp!$R$4)+MATCH(AW$5,DedListItem,0)-1,0),OFFSET(Setup!$E$73,MATCH(AW$5,DedListItem,0),0,1,1))*AW$3))),IF(ISNUMBER(AW$4),AW$4,IgnoreMin)))))</f>
        <v>0</v>
      </c>
      <c r="AX199" s="148">
        <f ca="1">$AS199+SUM(OFFSET($AT199,0,0,1,COLUMN($AX$2)-COLUMN($AT$2)))</f>
        <v>0</v>
      </c>
      <c r="AY199" s="148">
        <f ca="1">AR199-AX199</f>
        <v>0</v>
      </c>
      <c r="AZ199" s="148">
        <f ca="1">IF(ISNUMBER($AL199),($AR199*$AL199)-$AI199-$AK199,MAX(0,IF($AL199="B",IF($AR199&lt;Setup!$C$32,($AR199*Setup!$D$32)-$AI199-$AK199,(($AR199-VLOOKUP($AR199,TaxAll2,1,1))*OFFSET(Setup!$D$32,MATCH($AR199,TaxBracket2,1),0,1,1))+OFFSET(Setup!$E$31,MATCH($AR199,TaxBracket2,1),0,1,1)-$AI199-$AK199),IF($AR199&lt;Setup!$C$21,($AR199*Setup!$D$21)-$AI199-$AK199,(($AR199-VLOOKUP($AR199,TaxAll1,1,1))*OFFSET(Setup!$D$21,MATCH($AR199,TaxBracket1,1),0,1,1))+OFFSET(Setup!$E$20,MATCH($AR199,TaxBracket1,1),0,1,1)-$AI199-$AK199))))</f>
        <v>0</v>
      </c>
      <c r="BA199" s="148">
        <f ca="1">IF(ISNUMBER($AL199),($AX199*$AL199)-$AI199-$AK199,MAX(0,IF($AL199="B",IF($AX199&lt;Setup!$C$32,($AX199*Setup!$D$32)-$AI199-$AK199,(($AX199-VLOOKUP($AX199,TaxAll2,1,1))*OFFSET(Setup!$D$32,MATCH($AX199,TaxBracket2,1),0,1,1))+OFFSET(Setup!$E$31,MATCH($AX199,TaxBracket2,1),0,1,1)-$AI199-$AK199),IF($AX199&lt;Setup!$C$21,($AX199*Setup!$D$21)-$AI199-$AK199,(($AX199-VLOOKUP($AX199,TaxAll1,1,1))*OFFSET(Setup!$D$21,MATCH($AX199,TaxBracket1,1),0,1,1))+OFFSET(Setup!$E$20,MATCH($AX199,TaxBracket1,1),0,1,1)-$AI199-$AK199))))</f>
        <v>0</v>
      </c>
      <c r="BB199" s="148">
        <f ca="1">AZ199-BA199</f>
        <v>0</v>
      </c>
      <c r="BC199" s="150">
        <f t="shared" ref="BC199:BC246" ca="1" si="110">IF($AA199=0,0,IF($BE199=0,0,(SUMPRODUCT((PayEmp=$C199)*(PayDate&lt;=$AC199)*(ISERROR(SEARCH(PayEarnCode,O$4)))*(PayEarnType="Monthly")*(PayEarnValues))/$AA199*12)/$BE199))</f>
        <v>0</v>
      </c>
      <c r="BD199" s="150">
        <f t="shared" ref="BD199:BD246" ca="1" si="111">IF($BE199=0,0,(SUMPRODUCT((PayEmp=$C199)*(PayDate&lt;=$AC199)*(ISERROR(SEARCH(PayEarnCode,N$4)))*(PayEarnType="Annual")*(PayEarnValues)))/$BE199)</f>
        <v>0</v>
      </c>
      <c r="BE199" s="148">
        <f t="shared" ref="BE199:BE246" ca="1" si="112">IF($AA199=0,0,((SUMPRODUCT((PayEmp=$C199)*(PayDate&lt;=$AC199)*(ISERROR(SEARCH(PayEarnCode,O$4)))*(PayEarnType="Monthly")*(PayEarnValues))/$AA199*12)+(SUMPRODUCT((PayEmp=$C199)*(PayDate&lt;=$AC199)*(ISERROR(SEARCH(PayEarnCode,N$4)))*(PayEarnType="Annual")*(PayEarnValues)))))</f>
        <v>0</v>
      </c>
    </row>
    <row r="200" spans="1:57" ht="16.149999999999999" customHeight="1" x14ac:dyDescent="0.25">
      <c r="A200" s="10" t="str" cm="1">
        <f t="array" ref="A200">IF(ROW($A200)-ROW($A$6)&gt;EmpCount*12,"-",TEXT($B200,"yyyy")&amp;TEXT($B200,"mm")&amp;"-"&amp;$C200)</f>
        <v>-</v>
      </c>
      <c r="B200" s="137" cm="1">
        <f t="array" aca="1" ref="B200" ca="1">IF(ROW($A200)-ROW($A$6)&gt;EmpCount*12,Setup!$D$12,DATE(YEAR(Setup!$F$12),MONTH(Setup!$F$12)+ROUNDDOWN((ROW($A200)-ROW($A$6)-1)/EmpCount,0),IF(Setup!$C$14&gt;DAY(DATE(YEAR(Setup!$F$12),MONTH(Setup!$F$12)+ROUNDDOWN((ROW($A200)-ROW($A$6)-1)/EmpCount,0)+1,0)),DAY(DATE(YEAR(Setup!$F$12),MONTH(Setup!$F$12)+ROUNDDOWN((ROW($A200)-ROW($A$6)-1)/EmpCount,0)+1,0)),Setup!$C$14)))</f>
        <v>45351</v>
      </c>
      <c r="C200" s="101" t="str" cm="1">
        <f t="array" aca="1" ref="C200" ca="1">IF(ROW($A200)-ROW($A$6)&gt;EmpCount*12,"-",OFFSET(Emp!$A$4,ROW($A200)-ROW($A$6)-IF(ROW($A200)-ROW($A$6)&gt;EmpCount,ROUNDDOWN((ROW($A200)-ROW($A$6)-1)/EmpCount,0)*EmpCount,0),0,1,1))</f>
        <v>-</v>
      </c>
      <c r="D200" s="10" t="str">
        <f ca="1">IF(ISNA(VLOOKUP($C200,EmpAll,COLUMN(Emp!$B$4),0)),"-",VLOOKUP($C200,EmpAll,COLUMN(Emp!$B$4),0))</f>
        <v>-</v>
      </c>
      <c r="E200" s="145" t="str">
        <f ca="1">IF(ISNA(VLOOKUP($C200,EmpAll,COLUMN(Emp!$C$4),0)),"-",VLOOKUP($C200,EmpAll,COLUMN(Emp!$C$4),0))</f>
        <v>-</v>
      </c>
      <c r="F200" s="101" t="str">
        <f ca="1">IF(ISNA(VLOOKUP($C200,EmpAll,COLUMN(Emp!$A$4),0)),"-",IF(AND(VLOOKUP($C200,EmpAll,COLUMN(Emp!$E$4),0)&lt;&gt;0,VLOOKUP($C200,EmpAll,COLUMN(Emp!$E$4),0)&gt;=DATE(YEAR($AC200),MONTH($AC200)+1,0)),"Inactive",IF(AND(VLOOKUP($C200,EmpAll,COLUMN(Emp!$F$4),0)&lt;&gt;0,VLOOKUP($C200,EmpAll,COLUMN(Emp!$F$4),0)&lt;=DATE(YEAR($AC200),MONTH($AC200),0)),"Terminated","Active")))</f>
        <v>-</v>
      </c>
      <c r="G200" s="133" cm="1">
        <f t="array" aca="1" ref="G200" ca="1">IF($F200&lt;&gt;"Active",0,IF(COUNTIFS(OverEmp,$C200,OverEarn,G$2,OverDate,"&lt;"&amp;DATE(YEAR($AC200),MONTH($AC200)+1,1),OverEnd,"&gt;="&amp;DATE(YEAR($AC200),MONTH($AC200),1))&gt;0,SUMIFS(OverValue,OverEmp,$C200,OverEarn,G$2,OverDate,"&lt;"&amp;DATE(YEAR($AC200),MONTH($AC200)+1,1),OverEnd,"&gt;="&amp;DATE(YEAR($AC200),MONTH($AC200),1)),IF(AND($AC200&gt;=Setup!$E$10,SUMIFS(EmpIncrease,EmpCode,$C200)&gt;0),SUMIFS(EmpIncrease,EmpCode,$C200),SUMIFS(EmpSalary,EmpCode,$C200))))</f>
        <v>0</v>
      </c>
      <c r="H200" s="133" cm="1">
        <f t="array" aca="1" ref="H200" ca="1">IF($F200&lt;&gt;"Active",0,IF(COUNTIFS(OverEmp,$C200,OverEarn,H$2,OverDate,"&lt;"&amp;DATE(YEAR($AC200),MONTH($AC200)+1,1),OverEnd,"&gt;="&amp;DATE(YEAR($AC200),MONTH($AC200),1))&gt;0,SUMIFS(OverValue,OverEmp,$C200,OverEarn,H$2,OverDate,"&lt;"&amp;DATE(YEAR($AC200),MONTH($AC200)+1,1),OverEnd,"&gt;="&amp;DATE(YEAR($AC200),MONTH($AC200),1)),0))</f>
        <v>0</v>
      </c>
      <c r="I200" s="133" cm="1">
        <f t="array" aca="1" ref="I200" ca="1">IF($F200&lt;&gt;"Active",0,IF(COUNTIFS(OverEmp,$C200,OverEarn,I$2,OverDate,"&lt;"&amp;DATE(YEAR($AC200),MONTH($AC200)+1,1),OverEnd,"&gt;="&amp;DATE(YEAR($AC200),MONTH($AC200),1))&gt;0,SUMIFS(OverValue,OverEmp,$C200,OverEarn,I$2,OverDate,"&lt;"&amp;DATE(YEAR($AC200),MONTH($AC200)+1,1),OverEnd,"&gt;="&amp;DATE(YEAR($AC200),MONTH($AC200),1)),IF(MONTH(B200)=Setup!$C$15,SUMIFS(EmpBonus,EmpCode,$C200),0)))</f>
        <v>0</v>
      </c>
      <c r="J200" s="133" cm="1">
        <f t="array" aca="1" ref="J200" ca="1">IF($F200&lt;&gt;"Active",0,IF(COUNTIFS(OverEmp,$C200,OverEarn,J$2,OverDate,"&lt;"&amp;DATE(YEAR($AC200),MONTH($AC200)+1,1),OverEnd,"&gt;="&amp;DATE(YEAR($AC200),MONTH($AC200),1))&gt;0,SUMIFS(OverValue,OverEmp,$C200,OverEarn,J$2,OverDate,"&lt;"&amp;DATE(YEAR($AC200),MONTH($AC200)+1,1),OverEnd,"&gt;="&amp;DATE(YEAR($AC200),MONTH($AC200),1)),0))</f>
        <v>0</v>
      </c>
      <c r="K200" s="133" cm="1">
        <f t="array" aca="1" ref="K200" ca="1">IF($F200&lt;&gt;"Active",0,IF(COUNTIFS(OverEmp,$C200,OverEarn,K$2,OverDate,"&lt;"&amp;DATE(YEAR($AC200),MONTH($AC200)+1,1),OverEnd,"&gt;="&amp;DATE(YEAR($AC200),MONTH($AC200),1))&gt;0,SUMIFS(OverValue,OverEmp,$C200,OverEarn,K$2,OverDate,"&lt;"&amp;DATE(YEAR($AC200),MONTH($AC200)+1,1),OverEnd,"&gt;="&amp;DATE(YEAR($AC200),MONTH($AC200),1)),0))</f>
        <v>0</v>
      </c>
      <c r="L200" s="185">
        <f ca="1">IF($AA200=0,0,SUM(OFFSET($G200,0,0,1,COLUMN($L$6)-COLUMN($G$6))))</f>
        <v>0</v>
      </c>
      <c r="M200" s="182" cm="1">
        <f t="array" aca="1" ref="M200" ca="1">IF(COUNTIFS(OverEmp,$C200,OverTax,M$5,OverDate,"&lt;"&amp;DATE(YEAR($AC200),MONTH($AC200)+1,1),OverEnd,"&gt;="&amp;DATE(YEAR($AC200),MONTH($AC200),1))&gt;0,SUMIFS(OverValue,OverEmp,$C200,OverTax,M$5,OverDate,"&lt;"&amp;DATE(YEAR($AC200),MONTH($AC200)+1,1),OverEnd,"&gt;="&amp;DATE(YEAR($AC200),MONTH($AC200),1)),(($BA200/12*$AA200)+(BB200*IF(1-$BC200=0,0,BD200/(1-$BC200))))-IF($F200="Terminated",0,SUMIFS(PayTaxDeduct,PayDate,"&lt;"&amp;$AC200,PayEmp,$C200)))</f>
        <v>0</v>
      </c>
      <c r="N200" s="133" cm="1">
        <f t="array" aca="1" ref="N200" ca="1">IF($F200="Terminated",0,IF($AA200=0,0,IF(ISNA(MATCH(N$5,DedListItem,0)),0,IF(COUNTIFS(OverEmp,$C200,OverDeduct,N$5,OverDate,"&lt;"&amp;DATE(YEAR($AC200),MONTH($AC200)+1,1),OverEnd,"&gt;="&amp;DATE(YEAR($AC200),MONTH($AC200),1))&gt;0,SUMIFS(OverValue,OverEmp,$C200,OverDeduct,N$5,OverDate,"&lt;"&amp;DATE(YEAR($AC200),MONTH($AC200)+1,1),OverEnd,"&gt;="&amp;DATE(YEAR($AC200),MONTH($AC200),1)),IF(OR(N$2="Fixed",N$2="Not Used"),(IF(COUNTIFS(EmpNo,$C200,OFFSET(Emp!$R$4,1,MATCH(N$5,DedListItem,0)-1,EmpCount,1),"&lt;&gt;")&gt;0,VLOOKUP($C200,EmpAll,COLUMN(Emp!$R$4)+MATCH(N$5,DedListItem,0)-1,0),OFFSET(Setup!$E$73,MATCH(N$5,DedListItem,0),0,1,1))*$AA200)-SUMIFS(OFFSET(N$6,1,0,PayCount,1),PayDate,"&lt;"&amp;$AC200,PayEmp,$C200),IF(ISNA(MATCH(N$2,EarnListItem,0))=FALSE,IF(OFFSET(Setup!$G$73,MATCH(N$5,DedListItem,0),0,1,1)="Taxable",SUMPRODUCT((PayEmp=$C200)*(PayDate&lt;=$AC200)*(PayEarnCode=N$2)*(PayEarnTax)*(PayEarnValues)),SUMPRODUCT((PayEmp=$C200)*(PayDate&lt;=$AC200)*(PayEarnCode=N$2)*(PayEarnValues)))*IF(COUNTIFS(EmpNo,$C200,OFFSET(Emp!$R$4,1,MATCH(N$5,DedListItem,0)-1,EmpCount,1),"&lt;&gt;")&gt;0,VLOOKUP($C200,EmpAll,COLUMN(Emp!$R$4)+MATCH(N$5,DedListItem,0)-1,0),OFFSET(Setup!$E$73,MATCH(N$5,DedListItem,0),0,1,1)),(MIN(IF(OFFSET(Setup!$G$73,MATCH(N$5,DedListItem,0),0,1,1)="Taxable",SUMPRODUCT((PayEmp=$C200)*(PayDate&lt;=$AC200)*(ISERROR(SEARCH(PayEarnCode,N$4)))*(PayEarnTax)*(PayEarnValues)),SUMPRODUCT((PayEmp=$C200)*(PayDate&lt;=$AC200)*(ISERROR(SEARCH(PayEarnCode,N$4)))*(PayEarnValues))),IF(ISNUMBER(N$3),N$3/12*$AA200,IgnoreMin)))*IF(COUNTIFS(EmpNo,$C200,OFFSET(Emp!$R$4,1,MATCH(N$5,DedListItem,0)-1,EmpCount,1),"&lt;&gt;")&gt;0,VLOOKUP($C200,EmpAll,COLUMN(Emp!$R$4)+MATCH(N$5,DedListItem,0)-1,0),OFFSET(Setup!$E$73,MATCH(N$5,DedListItem,0),0,1,1)))-SUMIFS(OFFSET(N$6,1,0,PayCount,1),PayDate,"&lt;"&amp;$AC200,PayEmp,$C200))))))</f>
        <v>0</v>
      </c>
      <c r="O200" s="133" cm="1">
        <f t="array" aca="1" ref="O200" ca="1">IF($F200="Terminated",0,IF($AA200=0,0,IF(ISNA(MATCH(O$5,DedListItem,0)),0,IF(COUNTIFS(OverEmp,$C200,OverDeduct,O$5,OverDate,"&lt;"&amp;DATE(YEAR($AC200),MONTH($AC200)+1,1),OverEnd,"&gt;="&amp;DATE(YEAR($AC200),MONTH($AC200),1))&gt;0,SUMIFS(OverValue,OverEmp,$C200,OverDeduct,O$5,OverDate,"&lt;"&amp;DATE(YEAR($AC200),MONTH($AC200)+1,1),OverEnd,"&gt;="&amp;DATE(YEAR($AC200),MONTH($AC200),1)),IF(OR(O$2="Fixed",O$2="Not Used"),(IF(COUNTIFS(EmpNo,$C200,OFFSET(Emp!$R$4,1,MATCH(O$5,DedListItem,0)-1,EmpCount,1),"&lt;&gt;")&gt;0,VLOOKUP($C200,EmpAll,COLUMN(Emp!$R$4)+MATCH(O$5,DedListItem,0)-1,0),OFFSET(Setup!$E$73,MATCH(O$5,DedListItem,0),0,1,1))*$AA200)-SUMIFS(OFFSET(O$6,1,0,PayCount,1),PayDate,"&lt;"&amp;$AC200,PayEmp,$C200),IF(ISNA(MATCH(O$2,EarnListItem,0))=FALSE,IF(OFFSET(Setup!$G$73,MATCH(O$5,DedListItem,0),0,1,1)="Taxable",SUMPRODUCT((PayEmp=$C200)*(PayDate&lt;=$AC200)*(PayEarnCode=O$2)*(PayEarnTax)*(PayEarnValues)),SUMPRODUCT((PayEmp=$C200)*(PayDate&lt;=$AC200)*(PayEarnCode=O$2)*(PayEarnValues)))*IF(COUNTIFS(EmpNo,$C200,OFFSET(Emp!$R$4,1,MATCH(O$5,DedListItem,0)-1,EmpCount,1),"&lt;&gt;")&gt;0,VLOOKUP($C200,EmpAll,COLUMN(Emp!$R$4)+MATCH(O$5,DedListItem,0)-1,0),OFFSET(Setup!$E$73,MATCH(O$5,DedListItem,0),0,1,1)),(MIN(IF(OFFSET(Setup!$G$73,MATCH(O$5,DedListItem,0),0,1,1)="Taxable",SUMPRODUCT((PayEmp=$C200)*(PayDate&lt;=$AC200)*(ISERROR(SEARCH(PayEarnCode,O$4)))*(PayEarnTax)*(PayEarnValues)),SUMPRODUCT((PayEmp=$C200)*(PayDate&lt;=$AC200)*(ISERROR(SEARCH(PayEarnCode,O$4)))*(PayEarnValues))),IF(ISNUMBER(O$3),O$3/12*$AA200,IgnoreMin)))*IF(COUNTIFS(EmpNo,$C200,OFFSET(Emp!$R$4,1,MATCH(O$5,DedListItem,0)-1,EmpCount,1),"&lt;&gt;")&gt;0,VLOOKUP($C200,EmpAll,COLUMN(Emp!$R$4)+MATCH(O$5,DedListItem,0)-1,0),OFFSET(Setup!$E$73,MATCH(O$5,DedListItem,0),0,1,1)))-SUMIFS(OFFSET(O$6,1,0,PayCount,1),PayDate,"&lt;"&amp;$AC200,PayEmp,$C200))))))</f>
        <v>0</v>
      </c>
      <c r="P200" s="133" cm="1">
        <f t="array" aca="1" ref="P200" ca="1">IF($F200="Terminated",0,IF($AA200=0,0,IF(ISNA(MATCH(P$5,DedListItem,0)),0,IF(COUNTIFS(OverEmp,$C200,OverDeduct,P$5,OverDate,"&lt;"&amp;DATE(YEAR($AC200),MONTH($AC200)+1,1),OverEnd,"&gt;="&amp;DATE(YEAR($AC200),MONTH($AC200),1))&gt;0,SUMIFS(OverValue,OverEmp,$C200,OverDeduct,P$5,OverDate,"&lt;"&amp;DATE(YEAR($AC200),MONTH($AC200)+1,1),OverEnd,"&gt;="&amp;DATE(YEAR($AC200),MONTH($AC200),1)),IF(OR(P$2="Fixed",P$2="Not Used"),(IF(COUNTIFS(EmpNo,$C200,OFFSET(Emp!$R$4,1,MATCH(P$5,DedListItem,0)-1,EmpCount,1),"&lt;&gt;")&gt;0,VLOOKUP($C200,EmpAll,COLUMN(Emp!$R$4)+MATCH(P$5,DedListItem,0)-1,0),OFFSET(Setup!$E$73,MATCH(P$5,DedListItem,0),0,1,1))*$AA200)-SUMIFS(OFFSET(P$6,1,0,PayCount,1),PayDate,"&lt;"&amp;$AC200,PayEmp,$C200),IF(ISNA(MATCH(P$2,EarnListItem,0))=FALSE,IF(OFFSET(Setup!$G$73,MATCH(P$5,DedListItem,0),0,1,1)="Taxable",SUMPRODUCT((PayEmp=$C200)*(PayDate&lt;=$AC200)*(PayEarnCode=P$2)*(PayEarnTax)*(PayEarnValues)),SUMPRODUCT((PayEmp=$C200)*(PayDate&lt;=$AC200)*(PayEarnCode=P$2)*(PayEarnValues)))*IF(COUNTIFS(EmpNo,$C200,OFFSET(Emp!$R$4,1,MATCH(P$5,DedListItem,0)-1,EmpCount,1),"&lt;&gt;")&gt;0,VLOOKUP($C200,EmpAll,COLUMN(Emp!$R$4)+MATCH(P$5,DedListItem,0)-1,0),OFFSET(Setup!$E$73,MATCH(P$5,DedListItem,0),0,1,1)),(MIN(IF(OFFSET(Setup!$G$73,MATCH(P$5,DedListItem,0),0,1,1)="Taxable",SUMPRODUCT((PayEmp=$C200)*(PayDate&lt;=$AC200)*(ISERROR(SEARCH(PayEarnCode,P$4)))*(PayEarnTax)*(PayEarnValues)),SUMPRODUCT((PayEmp=$C200)*(PayDate&lt;=$AC200)*(ISERROR(SEARCH(PayEarnCode,P$4)))*(PayEarnValues))),IF(ISNUMBER(P$3),P$3/12*$AA200,IgnoreMin)))*IF(COUNTIFS(EmpNo,$C200,OFFSET(Emp!$R$4,1,MATCH(P$5,DedListItem,0)-1,EmpCount,1),"&lt;&gt;")&gt;0,VLOOKUP($C200,EmpAll,COLUMN(Emp!$R$4)+MATCH(P$5,DedListItem,0)-1,0),OFFSET(Setup!$E$73,MATCH(P$5,DedListItem,0),0,1,1)))-SUMIFS(OFFSET(P$6,1,0,PayCount,1),PayDate,"&lt;"&amp;$AC200,PayEmp,$C200))))))</f>
        <v>0</v>
      </c>
      <c r="Q200" s="133" cm="1">
        <f t="array" aca="1" ref="Q200" ca="1">IF($F200="Terminated",0,IF($AA200=0,0,IF(ISNA(MATCH(Q$5,DedListItem,0)),0,IF(COUNTIFS(OverEmp,$C200,OverDeduct,Q$5,OverDate,"&lt;"&amp;DATE(YEAR($AC200),MONTH($AC200)+1,1),OverEnd,"&gt;="&amp;DATE(YEAR($AC200),MONTH($AC200),1))&gt;0,SUMIFS(OverValue,OverEmp,$C200,OverDeduct,Q$5,OverDate,"&lt;"&amp;DATE(YEAR($AC200),MONTH($AC200)+1,1),OverEnd,"&gt;="&amp;DATE(YEAR($AC200),MONTH($AC200),1)),IF(OR(Q$2="Fixed",Q$2="Not Used"),(IF(COUNTIFS(EmpNo,$C200,OFFSET(Emp!$R$4,1,MATCH(Q$5,DedListItem,0)-1,EmpCount,1),"&lt;&gt;")&gt;0,VLOOKUP($C200,EmpAll,COLUMN(Emp!$R$4)+MATCH(Q$5,DedListItem,0)-1,0),OFFSET(Setup!$E$73,MATCH(Q$5,DedListItem,0),0,1,1))*$AA200)-SUMIFS(OFFSET(Q$6,1,0,PayCount,1),PayDate,"&lt;"&amp;$AC200,PayEmp,$C200),IF(ISNA(MATCH(Q$2,EarnListItem,0))=FALSE,IF(OFFSET(Setup!$G$73,MATCH(Q$5,DedListItem,0),0,1,1)="Taxable",SUMPRODUCT((PayEmp=$C200)*(PayDate&lt;=$AC200)*(PayEarnCode=Q$2)*(PayEarnTax)*(PayEarnValues)),SUMPRODUCT((PayEmp=$C200)*(PayDate&lt;=$AC200)*(PayEarnCode=Q$2)*(PayEarnValues)))*IF(COUNTIFS(EmpNo,$C200,OFFSET(Emp!$R$4,1,MATCH(Q$5,DedListItem,0)-1,EmpCount,1),"&lt;&gt;")&gt;0,VLOOKUP($C200,EmpAll,COLUMN(Emp!$R$4)+MATCH(Q$5,DedListItem,0)-1,0),OFFSET(Setup!$E$73,MATCH(Q$5,DedListItem,0),0,1,1)),(MIN(IF(OFFSET(Setup!$G$73,MATCH(Q$5,DedListItem,0),0,1,1)="Taxable",SUMPRODUCT((PayEmp=$C200)*(PayDate&lt;=$AC200)*(ISERROR(SEARCH(PayEarnCode,Q$4)))*(PayEarnTax)*(PayEarnValues)),SUMPRODUCT((PayEmp=$C200)*(PayDate&lt;=$AC200)*(ISERROR(SEARCH(PayEarnCode,Q$4)))*(PayEarnValues))),IF(ISNUMBER(Q$3),Q$3/12*$AA200,IgnoreMin)))*IF(COUNTIFS(EmpNo,$C200,OFFSET(Emp!$R$4,1,MATCH(Q$5,DedListItem,0)-1,EmpCount,1),"&lt;&gt;")&gt;0,VLOOKUP($C200,EmpAll,COLUMN(Emp!$R$4)+MATCH(Q$5,DedListItem,0)-1,0),OFFSET(Setup!$E$73,MATCH(Q$5,DedListItem,0),0,1,1)))-SUMIFS(OFFSET(Q$6,1,0,PayCount,1),PayDate,"&lt;"&amp;$AC200,PayEmp,$C200))))))</f>
        <v>0</v>
      </c>
      <c r="R200" s="185">
        <f ca="1">SUM(OFFSET(M200,0,0,1,COLUMN($R$6)-COLUMN($M$6)))</f>
        <v>0</v>
      </c>
      <c r="S200" s="139">
        <f ca="1">ROUND(SUM(L200,-R200),2)</f>
        <v>0</v>
      </c>
      <c r="T200" s="133" cm="1">
        <f t="array" aca="1" ref="T200" ca="1">IF($F200="Terminated",0,IF($AA200=0,0,IF(ISNA(MATCH(T$5,CompListItem,0)),0,IF(COUNTIFS(OverEmp,$C200,OverComp,T$5,OverDate,"&lt;"&amp;DATE(YEAR($AC200),MONTH($AC200)+1,1),OverEnd,"&gt;="&amp;DATE(YEAR($AC200),MONTH($AC200),1))&gt;0,SUMIFS(OverValue,OverEmp,$C200,OverComp,T$5,OverDate,"&lt;"&amp;DATE(YEAR($AC200),MONTH($AC200)+1,1),OverEnd,"&gt;="&amp;DATE(YEAR($AC200),MONTH($AC200),1)),IF(OR(T$2="Fixed",T$2="Not Used"),(OFFSET(Setup!$E$81,MATCH(T$5,CompListItem,0),0,1,1)*$AA200)-SUMIFS(OFFSET(T$6,1,0,PayCount,1),PayDate,"&lt;"&amp;$AC200,PayEmp,$C200),IF(ISNA(MATCH(T$2,DedListItem,0))=FALSE,(SUMPRODUCT((PayEmp=$C200)*(PayDate&lt;=$AC200)*(PayDedList=T$2)*(PayDedValues))*OFFSET(Setup!$E$81,MATCH(T$5,CompListItem,0),0,1,1))-SUMIFS(OFFSET(T$6,1,0,PayCount,1),PayDate,"&lt;"&amp;$AC200,PayEmp,$C200),(MIN(IF(OFFSET(Setup!$G$81,MATCH(T$5,CompListItem,0),0,1,1)="Taxable",SUMPRODUCT((PayEmp=$C200)*(PayDate&lt;=$AC200)*(ISERROR(SEARCH(PayEarnCode,T$4)))*(PayEarnTax)*(PayEarnValues)),SUMPRODUCT((PayEmp=$C200)*(PayDate&lt;=$AC200)*(ISERROR(SEARCH(PayEarnCode,T$4)))*(PayEarnValues))),IF(ISNUMBER(T$3),T$3/12*$AA200,IgnoreMin)))*OFFSET(Setup!$E$81,MATCH(T$5,CompListItem,0),0,1,1)-SUMIFS(OFFSET(T$6,1,0,PayCount,1),PayDate,"&lt;"&amp;$AC200,PayEmp,$C200)))))))</f>
        <v>0</v>
      </c>
      <c r="U200" s="133" cm="1">
        <f t="array" aca="1" ref="U200" ca="1">IF($F200="Terminated",0,IF($AA200=0,0,IF(ISNA(MATCH(U$5,CompListItem,0)),0,IF(COUNTIFS(OverEmp,$C200,OverComp,U$5,OverDate,"&lt;"&amp;DATE(YEAR($AC200),MONTH($AC200)+1,1),OverEnd,"&gt;="&amp;DATE(YEAR($AC200),MONTH($AC200),1))&gt;0,SUMIFS(OverValue,OverEmp,$C200,OverComp,U$5,OverDate,"&lt;"&amp;DATE(YEAR($AC200),MONTH($AC200)+1,1),OverEnd,"&gt;="&amp;DATE(YEAR($AC200),MONTH($AC200),1)),IF(OR(U$2="Fixed",U$2="Not Used"),(OFFSET(Setup!$E$81,MATCH(U$5,CompListItem,0),0,1,1)*$AA200)-SUMIFS(OFFSET(U$6,1,0,PayCount,1),PayDate,"&lt;"&amp;$AC200,PayEmp,$C200),IF(ISNA(MATCH(U$2,DedListItem,0))=FALSE,(SUMPRODUCT((PayEmp=$C200)*(PayDate&lt;=$AC200)*(PayDedList=U$2)*(PayDedValues))*OFFSET(Setup!$E$81,MATCH(U$5,CompListItem,0),0,1,1))-SUMIFS(OFFSET(U$6,1,0,PayCount,1),PayDate,"&lt;"&amp;$AC200,PayEmp,$C200),(MIN(IF(OFFSET(Setup!$G$81,MATCH(U$5,CompListItem,0),0,1,1)="Taxable",SUMPRODUCT((PayEmp=$C200)*(PayDate&lt;=$AC200)*(ISERROR(SEARCH(PayEarnCode,U$4)))*(PayEarnTax)*(PayEarnValues)),SUMPRODUCT((PayEmp=$C200)*(PayDate&lt;=$AC200)*(ISERROR(SEARCH(PayEarnCode,U$4)))*(PayEarnValues))),IF(ISNUMBER(U$3),U$3/12*$AA200,IgnoreMin)))*OFFSET(Setup!$E$81,MATCH(U$5,CompListItem,0),0,1,1)-SUMIFS(OFFSET(U$6,1,0,PayCount,1),PayDate,"&lt;"&amp;$AC200,PayEmp,$C200)))))))</f>
        <v>0</v>
      </c>
      <c r="V200" s="133" cm="1">
        <f t="array" aca="1" ref="V200" ca="1">IF($F200="Terminated",0,IF($AA200=0,0,IF(ISNA(MATCH(V$5,CompListItem,0)),0,IF(COUNTIFS(OverEmp,$C200,OverComp,V$5,OverDate,"&lt;"&amp;DATE(YEAR($AC200),MONTH($AC200)+1,1),OverEnd,"&gt;="&amp;DATE(YEAR($AC200),MONTH($AC200),1))&gt;0,SUMIFS(OverValue,OverEmp,$C200,OverComp,V$5,OverDate,"&lt;"&amp;DATE(YEAR($AC200),MONTH($AC200)+1,1),OverEnd,"&gt;="&amp;DATE(YEAR($AC200),MONTH($AC200),1)),IF(OR(V$2="Fixed",V$2="Not Used"),(OFFSET(Setup!$E$81,MATCH(V$5,CompListItem,0),0,1,1)*$AA200)-SUMIFS(OFFSET(V$6,1,0,PayCount,1),PayDate,"&lt;"&amp;$AC200,PayEmp,$C200),IF(ISNA(MATCH(V$2,DedListItem,0))=FALSE,(SUMPRODUCT((PayEmp=$C200)*(PayDate&lt;=$AC200)*(PayDedList=V$2)*(PayDedValues))*OFFSET(Setup!$E$81,MATCH(V$5,CompListItem,0),0,1,1))-SUMIFS(OFFSET(V$6,1,0,PayCount,1),PayDate,"&lt;"&amp;$AC200,PayEmp,$C200),(MIN(IF(OFFSET(Setup!$G$81,MATCH(V$5,CompListItem,0),0,1,1)="Taxable",SUMPRODUCT((PayEmp=$C200)*(PayDate&lt;=$AC200)*(ISERROR(SEARCH(PayEarnCode,V$4)))*(PayEarnTax)*(PayEarnValues)),SUMPRODUCT((PayEmp=$C200)*(PayDate&lt;=$AC200)*(ISERROR(SEARCH(PayEarnCode,V$4)))*(PayEarnValues))),IF(ISNUMBER(V$3),V$3/12*$AA200,IgnoreMin)))*OFFSET(Setup!$E$81,MATCH(V$5,CompListItem,0),0,1,1)-SUMIFS(OFFSET(V$6,1,0,PayCount,1),PayDate,"&lt;"&amp;$AC200,PayEmp,$C200)))))))</f>
        <v>0</v>
      </c>
      <c r="W200" s="133" cm="1">
        <f t="array" aca="1" ref="W200" ca="1">IF($F200="Terminated",0,IF($AA200=0,0,IF(ISNA(MATCH(W$5,CompListItem,0)),0,IF(COUNTIFS(OverEmp,$C200,OverComp,W$5,OverDate,"&lt;"&amp;DATE(YEAR($AC200),MONTH($AC200)+1,1),OverEnd,"&gt;="&amp;DATE(YEAR($AC200),MONTH($AC200),1))&gt;0,SUMIFS(OverValue,OverEmp,$C200,OverComp,W$5,OverDate,"&lt;"&amp;DATE(YEAR($AC200),MONTH($AC200)+1,1),OverEnd,"&gt;="&amp;DATE(YEAR($AC200),MONTH($AC200),1)),IF(OR(W$2="Fixed",W$2="Not Used"),(OFFSET(Setup!$E$81,MATCH(W$5,CompListItem,0),0,1,1)*$AA200)-SUMIFS(OFFSET(W$6,1,0,PayCount,1),PayDate,"&lt;"&amp;$AC200,PayEmp,$C200),IF(ISNA(MATCH(W$2,DedListItem,0))=FALSE,(SUMPRODUCT((PayEmp=$C200)*(PayDate&lt;=$AC200)*(PayDedList=W$2)*(PayDedValues))*OFFSET(Setup!$E$81,MATCH(W$5,CompListItem,0),0,1,1))-SUMIFS(OFFSET(W$6,1,0,PayCount,1),PayDate,"&lt;"&amp;$AC200,PayEmp,$C200),(MIN(IF(OFFSET(Setup!$G$81,MATCH(W$5,CompListItem,0),0,1,1)="Taxable",SUMPRODUCT((PayEmp=$C200)*(PayDate&lt;=$AC200)*(ISERROR(SEARCH(PayEarnCode,W$4)))*(PayEarnTax)*(PayEarnValues)),SUMPRODUCT((PayEmp=$C200)*(PayDate&lt;=$AC200)*(ISERROR(SEARCH(PayEarnCode,W$4)))*(PayEarnValues))),IF(ISNUMBER(W$3),W$3/12*$AA200,IgnoreMin)))*OFFSET(Setup!$E$81,MATCH(W$5,CompListItem,0),0,1,1)-SUMIFS(OFFSET(W$6,1,0,PayCount,1),PayDate,"&lt;"&amp;$AC200,PayEmp,$C200)))))))</f>
        <v>0</v>
      </c>
      <c r="X200" s="185">
        <f ca="1">SUM(OFFSET($T200,0,0,1,COLUMN($X$6)-COLUMN($T$7)))</f>
        <v>0</v>
      </c>
      <c r="Y200" s="139">
        <f ca="1">L200+X200</f>
        <v>0</v>
      </c>
      <c r="Z200" s="139">
        <f ca="1">ROUND(SUM(R200,X200),2)</f>
        <v>0</v>
      </c>
      <c r="AA200" s="146">
        <f ca="1">IF(OR($B200&lt;=Setup!$E$12,$B200&gt;=Setup!$D$12+1),0,IF($F200&lt;&gt;"Active",0,IF($AE200="Yes",$AB200,((YEAR($AC200)*12)+MONTH($AC200))-((YEAR($AD200)*12)+MONTH($AD200)-1))))</f>
        <v>0</v>
      </c>
      <c r="AB200" s="146">
        <f ca="1">IF(OR($B200&lt;=Setup!$E$12,$B200&gt;=Setup!$D$12+1),0,((YEAR($AC200)*12)+MONTH($AC200))-((YEAR(Setup!$E$12)*12)+MONTH(Setup!$E$12)))</f>
        <v>12</v>
      </c>
      <c r="AC200" s="186">
        <f ca="1">DATE(YEAR($B200),MONTH($B200),DAY($B200))</f>
        <v>45351</v>
      </c>
      <c r="AD200" s="144">
        <f ca="1">IF(ISNA(VLOOKUP($C200,EmpAll,COLUMN(Emp!$E$4),0)),$AC200,IF(VLOOKUP($C200,EmpAll,COLUMN(Emp!$E$4),0)&lt;=Setup!$E$12,DATE(YEAR(Setup!$E$12),MONTH(Setup!$E$12)+1,1),VLOOKUP($C200,EmpAll,COLUMN(Emp!$E$4),0)))</f>
        <v>45351</v>
      </c>
      <c r="AE200" s="144" t="str">
        <f ca="1">IF(ISNA(VLOOKUP($C200,EmpAll,COLUMN(Emp!$G$1),0)),"-",IF(VLOOKUP($C200,EmpAll,COLUMN(Emp!$G$1),0)=0,"-",VLOOKUP($C200,EmpAll,COLUMN(Emp!$G$1),0)))</f>
        <v>-</v>
      </c>
      <c r="AF200" s="145">
        <f>IF(A200=PaySlip!$G$3,1,0)</f>
        <v>0</v>
      </c>
      <c r="AG200" s="130" cm="1">
        <f t="array" aca="1" ref="AG200" ca="1">IF(COUNTIFS(OverEmp,$C200,OverMed,"MED",OverDate,"&lt;"&amp;DATE(YEAR($AC200),MONTH($AC200)+1,1),OverEnd,"&gt;="&amp;DATE(YEAR($AC200),MONTH($AC200),1))&gt;0,SUMIFS(OverValue,OverEmp,$C200,OverMed,"MED",OverDate,"&lt;"&amp;DATE(YEAR($AC200),MONTH($AC200)+1,1),OverEnd,"&gt;="&amp;DATE(YEAR($AC200),MONTH($AC200),1)),IF(ISNA(VLOOKUP($C200,EmpAll,COLUMN(Emp!$N$4),0)),0,VLOOKUP($C200,EmpAll,COLUMN(Emp!$N$4),0)))</f>
        <v>0</v>
      </c>
      <c r="AH200" s="146">
        <f ca="1">VLOOKUP($AG200,MedList,COLUMN(Setup!$C$49),1)</f>
        <v>0</v>
      </c>
      <c r="AI200" s="146">
        <f t="shared" ca="1" si="107"/>
        <v>0</v>
      </c>
      <c r="AJ200" s="101" t="str">
        <f ca="1">IF(ISNA(VLOOKUP($C200,EmpAll,COLUMN(Emp!$L$4),0)),"None!",VLOOKUP($C200,EmpAll,COLUMN(Emp!$L$4),0))</f>
        <v>None!</v>
      </c>
      <c r="AK200" s="147">
        <f t="shared" ca="1" si="102"/>
        <v>17235</v>
      </c>
      <c r="AL200" s="101" t="str">
        <f ca="1">IF(ISNA(VLOOKUP($C200,Employees[],COLUMN(Emp!$M$4),0))=TRUE,"Error!",IF(VLOOKUP($C200,Employees[],COLUMN(Emp!$M$4),0)=0,"Yes",VLOOKUP($C200,Employees[],COLUMN(Emp!$M$4),0)))</f>
        <v>Error!</v>
      </c>
      <c r="AM200" s="148">
        <f t="shared" ca="1" si="108"/>
        <v>0</v>
      </c>
      <c r="AN200" s="148" cm="1">
        <f t="array" aca="1" ref="AN200" ca="1">-IF($F200="Terminated",0,IF($AA200=0,0,IF(ISNA(MATCH(AN$5,PayDedList,0)),0,MIN(IF(COUNTIFS(OverEmp,$C200,OverDeduct,AN$5,OverDate,"&lt;"&amp;DATE(YEAR($AC200),MONTH($AC200)+1,1),OverEnd,"&gt;="&amp;DATE(YEAR($AC200),MONTH($AC200),1))&gt;0,SUMPRODUCT((PayEmp=$C200)*(PayDate&lt;=$AC200)*(OFFSET($N$6,1,MATCH(AN$5,PayDedList,0)-1,PayCount,1)))/$AA200*12*AN$3,IF(OR(AN$1="Fixed",AN$1="Not Used"),SUMPRODUCT((PayEmp=$C200)*(PayDate&lt;=$AC200)*(OFFSET($N$6,1,MATCH(AN$5,PayDedList,0)-1,PayCount,1)))/$AA200*12*AN$3,IF(ISNA(MATCH(AN$1,EarnListItem,0))=FALSE,SUMPRODUCT((PayEmp=$C200)*(PayDate&lt;=$AC200)*(OFFSET($N$6,1,MATCH(AN$5,PayDedList,0)-1,PayCount,1)))/$AA200*12*AN$3,(MIN(((SUMPRODUCT((PayEmp=$C200)*(PayDate&lt;=$AC200)*(ISERROR(SEARCH(PayEarnCode,AN$2)))*(PayEarnType="Monthly")*(PayEarnValues))/$AA200*12)+(SUMPRODUCT((PayEmp=$C200)*(PayDate&lt;=$AC200)*(ISERROR(SEARCH(PayEarnCode,AN$2)))*(PayEarnType="Quarterly")*(PayEarnValues))/MAX(1,ROUNDDOWN($AB200/3,0))*4)+(SUMPRODUCT((PayEmp=$C200)*(PayDate&lt;=$AC200)*(ISERROR(SEARCH(PayEarnCode,AN$2)))*(PayEarnType="Bi-Annual")*(PayEarnValues))/MAX(1,ROUNDDOWN($AB200/6,0))*2)+(SUMPRODUCT((PayEmp=$C200)*(PayDate&lt;=$AC200)*(ISERROR(SEARCH(PayEarnCode,AN$2)))*(PayEarnType="Annual")*(PayEarnValues)))),IF(ISNUMBER(OFFSET($N$3,0,MATCH(AN$5,PayDedList,0)-1,1,1)),OFFSET($N$3,0,MATCH(AN$5,PayDedList,0)-1,1,1),IgnoreMin)))*IF(COUNTIFS(EmpNo,$C200,OFFSET(Emp!$R$4,1,MATCH(AN$5,DedListItem,0)-1,EmpCount,1),"&lt;&gt;")&gt;0,VLOOKUP($C200,EmpAll,COLUMN(Emp!$R$4)+MATCH(AN$5,DedListItem,0)-1,0),OFFSET(Setup!$E$73,MATCH(AN$5,DedListItem,0),0,1,1))*AN$3))),IF(ISNUMBER(AN$4),AN$4,IgnoreMin)))))</f>
        <v>0</v>
      </c>
      <c r="AO200" s="148" cm="1">
        <f t="array" aca="1" ref="AO200" ca="1">-IF($F200="Terminated",0,IF($AA200=0,0,IF(ISNA(MATCH(AO$5,PayDedList,0)),0,MIN(IF(COUNTIFS(OverEmp,$C200,OverDeduct,AO$5,OverDate,"&lt;"&amp;DATE(YEAR($AC200),MONTH($AC200)+1,1),OverEnd,"&gt;="&amp;DATE(YEAR($AC200),MONTH($AC200),1))&gt;0,SUMPRODUCT((PayEmp=$C200)*(PayDate&lt;=$AC200)*(OFFSET($N$6,1,MATCH(AO$5,PayDedList,0)-1,PayCount,1)))/$AA200*12*AO$3,IF(OR(AO$1="Fixed",AO$1="Not Used"),SUMPRODUCT((PayEmp=$C200)*(PayDate&lt;=$AC200)*(OFFSET($N$6,1,MATCH(AO$5,PayDedList,0)-1,PayCount,1)))/$AA200*12*AO$3,IF(ISNA(MATCH(AO$1,EarnListItem,0))=FALSE,SUMPRODUCT((PayEmp=$C200)*(PayDate&lt;=$AC200)*(OFFSET($N$6,1,MATCH(AO$5,PayDedList,0)-1,PayCount,1)))/$AA200*12*AO$3,(MIN(((SUMPRODUCT((PayEmp=$C200)*(PayDate&lt;=$AC200)*(ISERROR(SEARCH(PayEarnCode,AO$2)))*(PayEarnType="Monthly")*(PayEarnValues))/$AA200*12)+(SUMPRODUCT((PayEmp=$C200)*(PayDate&lt;=$AC200)*(ISERROR(SEARCH(PayEarnCode,AO$2)))*(PayEarnType="Quarterly")*(PayEarnValues))/MAX(1,ROUNDDOWN($AB200/3,0))*4)+(SUMPRODUCT((PayEmp=$C200)*(PayDate&lt;=$AC200)*(ISERROR(SEARCH(PayEarnCode,AO$2)))*(PayEarnType="Bi-Annual")*(PayEarnValues))/MAX(1,ROUNDDOWN($AB200/6,0))*2)+(SUMPRODUCT((PayEmp=$C200)*(PayDate&lt;=$AC200)*(ISERROR(SEARCH(PayEarnCode,AO$2)))*(PayEarnType="Annual")*(PayEarnValues)))),IF(ISNUMBER(OFFSET($N$3,0,MATCH(AO$5,PayDedList,0)-1,1,1)),OFFSET($N$3,0,MATCH(AO$5,PayDedList,0)-1,1,1),IgnoreMin)))*IF(COUNTIFS(EmpNo,$C200,OFFSET(Emp!$R$4,1,MATCH(AO$5,DedListItem,0)-1,EmpCount,1),"&lt;&gt;")&gt;0,VLOOKUP($C200,EmpAll,COLUMN(Emp!$R$4)+MATCH(AO$5,DedListItem,0)-1,0),OFFSET(Setup!$E$73,MATCH(AO$5,DedListItem,0),0,1,1))*AO$3))),IF(ISNUMBER(AO$4),AO$4,IgnoreMin)))))</f>
        <v>0</v>
      </c>
      <c r="AP200" s="148" cm="1">
        <f t="array" aca="1" ref="AP200" ca="1">-IF($F200="Terminated",0,IF($AA200=0,0,IF(ISNA(MATCH(AP$5,PayDedList,0)),0,MIN(IF(COUNTIFS(OverEmp,$C200,OverDeduct,AP$5,OverDate,"&lt;"&amp;DATE(YEAR($AC200),MONTH($AC200)+1,1),OverEnd,"&gt;="&amp;DATE(YEAR($AC200),MONTH($AC200),1))&gt;0,SUMPRODUCT((PayEmp=$C200)*(PayDate&lt;=$AC200)*(OFFSET($N$6,1,MATCH(AP$5,PayDedList,0)-1,PayCount,1)))/$AA200*12*AP$3,IF(OR(AP$1="Fixed",AP$1="Not Used"),SUMPRODUCT((PayEmp=$C200)*(PayDate&lt;=$AC200)*(OFFSET($N$6,1,MATCH(AP$5,PayDedList,0)-1,PayCount,1)))/$AA200*12*AP$3,IF(ISNA(MATCH(AP$1,EarnListItem,0))=FALSE,SUMPRODUCT((PayEmp=$C200)*(PayDate&lt;=$AC200)*(OFFSET($N$6,1,MATCH(AP$5,PayDedList,0)-1,PayCount,1)))/$AA200*12*AP$3,(MIN(((SUMPRODUCT((PayEmp=$C200)*(PayDate&lt;=$AC200)*(ISERROR(SEARCH(PayEarnCode,AP$2)))*(PayEarnType="Monthly")*(PayEarnValues))/$AA200*12)+(SUMPRODUCT((PayEmp=$C200)*(PayDate&lt;=$AC200)*(ISERROR(SEARCH(PayEarnCode,AP$2)))*(PayEarnType="Quarterly")*(PayEarnValues))/MAX(1,ROUNDDOWN($AB200/3,0))*4)+(SUMPRODUCT((PayEmp=$C200)*(PayDate&lt;=$AC200)*(ISERROR(SEARCH(PayEarnCode,AP$2)))*(PayEarnType="Bi-Annual")*(PayEarnValues))/MAX(1,ROUNDDOWN($AB200/6,0))*2)+(SUMPRODUCT((PayEmp=$C200)*(PayDate&lt;=$AC200)*(ISERROR(SEARCH(PayEarnCode,AP$2)))*(PayEarnType="Annual")*(PayEarnValues)))),IF(ISNUMBER(OFFSET($N$3,0,MATCH(AP$5,PayDedList,0)-1,1,1)),OFFSET($N$3,0,MATCH(AP$5,PayDedList,0)-1,1,1),IgnoreMin)))*IF(COUNTIFS(EmpNo,$C200,OFFSET(Emp!$R$4,1,MATCH(AP$5,DedListItem,0)-1,EmpCount,1),"&lt;&gt;")&gt;0,VLOOKUP($C200,EmpAll,COLUMN(Emp!$R$4)+MATCH(AP$5,DedListItem,0)-1,0),OFFSET(Setup!$E$73,MATCH(AP$5,DedListItem,0),0,1,1))*AP$3))),IF(ISNUMBER(AP$4),AP$4,IgnoreMin)))))</f>
        <v>0</v>
      </c>
      <c r="AQ200" s="148" cm="1">
        <f t="array" aca="1" ref="AQ200" ca="1">-IF($F200="Terminated",0,IF($AA200=0,0,IF(ISNA(MATCH(AQ$5,PayDedList,0)),0,MIN(IF(COUNTIFS(OverEmp,$C200,OverDeduct,AQ$5,OverDate,"&lt;"&amp;DATE(YEAR($AC200),MONTH($AC200)+1,1),OverEnd,"&gt;="&amp;DATE(YEAR($AC200),MONTH($AC200),1))&gt;0,SUMPRODUCT((PayEmp=$C200)*(PayDate&lt;=$AC200)*(OFFSET($N$6,1,MATCH(AQ$5,PayDedList,0)-1,PayCount,1)))/$AA200*12*AQ$3,IF(OR(AQ$1="Fixed",AQ$1="Not Used"),SUMPRODUCT((PayEmp=$C200)*(PayDate&lt;=$AC200)*(OFFSET($N$6,1,MATCH(AQ$5,PayDedList,0)-1,PayCount,1)))/$AA200*12*AQ$3,IF(ISNA(MATCH(AQ$1,EarnListItem,0))=FALSE,SUMPRODUCT((PayEmp=$C200)*(PayDate&lt;=$AC200)*(OFFSET($N$6,1,MATCH(AQ$5,PayDedList,0)-1,PayCount,1)))/$AA200*12*AQ$3,(MIN(((SUMPRODUCT((PayEmp=$C200)*(PayDate&lt;=$AC200)*(ISERROR(SEARCH(PayEarnCode,AQ$2)))*(PayEarnType="Monthly")*(PayEarnValues))/$AA200*12)+(SUMPRODUCT((PayEmp=$C200)*(PayDate&lt;=$AC200)*(ISERROR(SEARCH(PayEarnCode,AQ$2)))*(PayEarnType="Quarterly")*(PayEarnValues))/MAX(1,ROUNDDOWN($AB200/3,0))*4)+(SUMPRODUCT((PayEmp=$C200)*(PayDate&lt;=$AC200)*(ISERROR(SEARCH(PayEarnCode,AQ$2)))*(PayEarnType="Bi-Annual")*(PayEarnValues))/MAX(1,ROUNDDOWN($AB200/6,0))*2)+(SUMPRODUCT((PayEmp=$C200)*(PayDate&lt;=$AC200)*(ISERROR(SEARCH(PayEarnCode,AQ$2)))*(PayEarnType="Annual")*(PayEarnValues)))),IF(ISNUMBER(OFFSET($N$3,0,MATCH(AQ$5,PayDedList,0)-1,1,1)),OFFSET($N$3,0,MATCH(AQ$5,PayDedList,0)-1,1,1),IgnoreMin)))*IF(COUNTIFS(EmpNo,$C200,OFFSET(Emp!$R$4,1,MATCH(AQ$5,DedListItem,0)-1,EmpCount,1),"&lt;&gt;")&gt;0,VLOOKUP($C200,EmpAll,COLUMN(Emp!$R$4)+MATCH(AQ$5,DedListItem,0)-1,0),OFFSET(Setup!$E$73,MATCH(AQ$5,DedListItem,0),0,1,1))*AQ$3))),IF(ISNUMBER(AQ$4),AQ$4,IgnoreMin)))))</f>
        <v>0</v>
      </c>
      <c r="AR200" s="148">
        <f ca="1">$AM200+SUM(OFFSET($AM200,0,1,1,COLUMN($AR$2)-COLUMN($AM$2)-1))</f>
        <v>0</v>
      </c>
      <c r="AS200" s="148">
        <f t="shared" ca="1" si="109"/>
        <v>0</v>
      </c>
      <c r="AT200" s="148" cm="1">
        <f t="array" aca="1" ref="AT200" ca="1">-IF($F200="Terminated",0,IF($AA200=0,0,IF(ISNA(MATCH(AT$5,PayDedList,0)),0,MIN(IF(COUNTIFS(OverEmp,$C200,OverDeduct,AT$5,OverDate,"&lt;"&amp;DATE(YEAR($AC200),MONTH($AC200)+1,1),OverEnd,"&gt;="&amp;DATE(YEAR($AC200),MONTH($AC200),1))&gt;0,SUMPRODUCT((PayEmp=$C200)*(PayDate&lt;=$AC200)*(OFFSET($N$6,1,MATCH(AT$5,PayDedList,0)-1,PayCount,1)))/$AA200*12*AT$3,IF(OR(AT$1="Fixed",AT$1="Not Used"),SUMPRODUCT((PayEmp=$C200)*(PayDate&lt;=$AC200)*(OFFSET($N$6,1,MATCH(AT$5,PayDedList,0)-1,PayCount,1)))/$AA200*12*AT$3,IF(ISNA(MATCH(OFFSET($N$2,0,MATCH(AT$5,PayDedList,0)-1,1,1),EarnListItem,0))=FALSE,SUMPRODUCT((PayEmp=$C200)*(PayDate&lt;=$AC200)*(OFFSET($N$6,1,MATCH(AT$5,PayDedList,0)-1,PayCount,1)))/$AA200*12*AT$3,(MIN(SUMPRODUCT((PayEmp=$C200)*(PayDate&lt;=$AC200)*(ISERROR(SEARCH(PayEarnCode,AT$2)))*(PayEarnType="Monthly")*(PayEarnValues))/$AA200*12,IF(ISNUMBER(OFFSET($N$3,0,MATCH(AT$5,PayDedList,0)-1,1,1)),OFFSET($N$3,0,MATCH(AT$5,PayDedList,0)-1,1,1),IgnoreMin)))*IF(COUNTIFS(EmpNo,$C200,OFFSET(Emp!$R$4,1,MATCH(AT$5,DedListItem,0)-1,EmpCount,1),"&lt;&gt;")&gt;0,VLOOKUP($C200,EmpAll,COLUMN(Emp!$R$4)+MATCH(AT$5,DedListItem,0)-1,0),OFFSET(Setup!$E$73,MATCH(AT$5,DedListItem,0),0,1,1))*AT$3))),IF(ISNUMBER(AT$4),AT$4,IgnoreMin)))))</f>
        <v>0</v>
      </c>
      <c r="AU200" s="148" cm="1">
        <f t="array" aca="1" ref="AU200" ca="1">-IF($F200="Terminated",0,IF($AA200=0,0,IF(ISNA(MATCH(AU$5,PayDedList,0)),0,MIN(IF(COUNTIFS(OverEmp,$C200,OverDeduct,AU$5,OverDate,"&lt;"&amp;DATE(YEAR($AC200),MONTH($AC200)+1,1),OverEnd,"&gt;="&amp;DATE(YEAR($AC200),MONTH($AC200),1))&gt;0,SUMPRODUCT((PayEmp=$C200)*(PayDate&lt;=$AC200)*(OFFSET($N$6,1,MATCH(AU$5,PayDedList,0)-1,PayCount,1)))/$AA200*12*AU$3,IF(OR(AU$1="Fixed",AU$1="Not Used"),SUMPRODUCT((PayEmp=$C200)*(PayDate&lt;=$AC200)*(OFFSET($N$6,1,MATCH(AU$5,PayDedList,0)-1,PayCount,1)))/$AA200*12*AU$3,IF(ISNA(MATCH(OFFSET($N$2,0,MATCH(AU$5,PayDedList,0)-1,1,1),EarnListItem,0))=FALSE,SUMPRODUCT((PayEmp=$C200)*(PayDate&lt;=$AC200)*(OFFSET($N$6,1,MATCH(AU$5,PayDedList,0)-1,PayCount,1)))/$AA200*12*AU$3,(MIN(SUMPRODUCT((PayEmp=$C200)*(PayDate&lt;=$AC200)*(ISERROR(SEARCH(PayEarnCode,AU$2)))*(PayEarnType="Monthly")*(PayEarnValues))/$AA200*12,IF(ISNUMBER(OFFSET($N$3,0,MATCH(AU$5,PayDedList,0)-1,1,1)),OFFSET($N$3,0,MATCH(AU$5,PayDedList,0)-1,1,1),IgnoreMin)))*IF(COUNTIFS(EmpNo,$C200,OFFSET(Emp!$R$4,1,MATCH(AU$5,DedListItem,0)-1,EmpCount,1),"&lt;&gt;")&gt;0,VLOOKUP($C200,EmpAll,COLUMN(Emp!$R$4)+MATCH(AU$5,DedListItem,0)-1,0),OFFSET(Setup!$E$73,MATCH(AU$5,DedListItem,0),0,1,1))*AU$3))),IF(ISNUMBER(AU$4),AU$4,IgnoreMin)))))</f>
        <v>0</v>
      </c>
      <c r="AV200" s="148" cm="1">
        <f t="array" aca="1" ref="AV200" ca="1">-IF($F200="Terminated",0,IF($AA200=0,0,IF(ISNA(MATCH(AV$5,PayDedList,0)),0,MIN(IF(COUNTIFS(OverEmp,$C200,OverDeduct,AV$5,OverDate,"&lt;"&amp;DATE(YEAR($AC200),MONTH($AC200)+1,1),OverEnd,"&gt;="&amp;DATE(YEAR($AC200),MONTH($AC200),1))&gt;0,SUMPRODUCT((PayEmp=$C200)*(PayDate&lt;=$AC200)*(OFFSET($N$6,1,MATCH(AV$5,PayDedList,0)-1,PayCount,1)))/$AA200*12*AV$3,IF(OR(AV$1="Fixed",AV$1="Not Used"),SUMPRODUCT((PayEmp=$C200)*(PayDate&lt;=$AC200)*(OFFSET($N$6,1,MATCH(AV$5,PayDedList,0)-1,PayCount,1)))/$AA200*12*AV$3,IF(ISNA(MATCH(OFFSET($N$2,0,MATCH(AV$5,PayDedList,0)-1,1,1),EarnListItem,0))=FALSE,SUMPRODUCT((PayEmp=$C200)*(PayDate&lt;=$AC200)*(OFFSET($N$6,1,MATCH(AV$5,PayDedList,0)-1,PayCount,1)))/$AA200*12*AV$3,(MIN(SUMPRODUCT((PayEmp=$C200)*(PayDate&lt;=$AC200)*(ISERROR(SEARCH(PayEarnCode,AV$2)))*(PayEarnType="Monthly")*(PayEarnValues))/$AA200*12,IF(ISNUMBER(OFFSET($N$3,0,MATCH(AV$5,PayDedList,0)-1,1,1)),OFFSET($N$3,0,MATCH(AV$5,PayDedList,0)-1,1,1),IgnoreMin)))*IF(COUNTIFS(EmpNo,$C200,OFFSET(Emp!$R$4,1,MATCH(AV$5,DedListItem,0)-1,EmpCount,1),"&lt;&gt;")&gt;0,VLOOKUP($C200,EmpAll,COLUMN(Emp!$R$4)+MATCH(AV$5,DedListItem,0)-1,0),OFFSET(Setup!$E$73,MATCH(AV$5,DedListItem,0),0,1,1))*AV$3))),IF(ISNUMBER(AV$4),AV$4,IgnoreMin)))))</f>
        <v>0</v>
      </c>
      <c r="AW200" s="148" cm="1">
        <f t="array" aca="1" ref="AW200" ca="1">-IF($F200="Terminated",0,IF($AA200=0,0,IF(ISNA(MATCH(AW$5,PayDedList,0)),0,MIN(IF(COUNTIFS(OverEmp,$C200,OverDeduct,AW$5,OverDate,"&lt;"&amp;DATE(YEAR($AC200),MONTH($AC200)+1,1),OverEnd,"&gt;="&amp;DATE(YEAR($AC200),MONTH($AC200),1))&gt;0,SUMPRODUCT((PayEmp=$C200)*(PayDate&lt;=$AC200)*(OFFSET($N$6,1,MATCH(AW$5,PayDedList,0)-1,PayCount,1)))/$AA200*12*AW$3,IF(OR(AW$1="Fixed",AW$1="Not Used"),SUMPRODUCT((PayEmp=$C200)*(PayDate&lt;=$AC200)*(OFFSET($N$6,1,MATCH(AW$5,PayDedList,0)-1,PayCount,1)))/$AA200*12*AW$3,IF(ISNA(MATCH(OFFSET($N$2,0,MATCH(AW$5,PayDedList,0)-1,1,1),EarnListItem,0))=FALSE,SUMPRODUCT((PayEmp=$C200)*(PayDate&lt;=$AC200)*(OFFSET($N$6,1,MATCH(AW$5,PayDedList,0)-1,PayCount,1)))/$AA200*12*AW$3,(MIN(SUMPRODUCT((PayEmp=$C200)*(PayDate&lt;=$AC200)*(ISERROR(SEARCH(PayEarnCode,AW$2)))*(PayEarnType="Monthly")*(PayEarnValues))/$AA200*12,IF(ISNUMBER(OFFSET($N$3,0,MATCH(AW$5,PayDedList,0)-1,1,1)),OFFSET($N$3,0,MATCH(AW$5,PayDedList,0)-1,1,1),IgnoreMin)))*IF(COUNTIFS(EmpNo,$C200,OFFSET(Emp!$R$4,1,MATCH(AW$5,DedListItem,0)-1,EmpCount,1),"&lt;&gt;")&gt;0,VLOOKUP($C200,EmpAll,COLUMN(Emp!$R$4)+MATCH(AW$5,DedListItem,0)-1,0),OFFSET(Setup!$E$73,MATCH(AW$5,DedListItem,0),0,1,1))*AW$3))),IF(ISNUMBER(AW$4),AW$4,IgnoreMin)))))</f>
        <v>0</v>
      </c>
      <c r="AX200" s="148">
        <f ca="1">$AS200+SUM(OFFSET($AT200,0,0,1,COLUMN($AX$2)-COLUMN($AT$2)))</f>
        <v>0</v>
      </c>
      <c r="AY200" s="148">
        <f ca="1">AR200-AX200</f>
        <v>0</v>
      </c>
      <c r="AZ200" s="148">
        <f ca="1">IF(ISNUMBER($AL200),($AR200*$AL200)-$AI200-$AK200,MAX(0,IF($AL200="B",IF($AR200&lt;Setup!$C$32,($AR200*Setup!$D$32)-$AI200-$AK200,(($AR200-VLOOKUP($AR200,TaxAll2,1,1))*OFFSET(Setup!$D$32,MATCH($AR200,TaxBracket2,1),0,1,1))+OFFSET(Setup!$E$31,MATCH($AR200,TaxBracket2,1),0,1,1)-$AI200-$AK200),IF($AR200&lt;Setup!$C$21,($AR200*Setup!$D$21)-$AI200-$AK200,(($AR200-VLOOKUP($AR200,TaxAll1,1,1))*OFFSET(Setup!$D$21,MATCH($AR200,TaxBracket1,1),0,1,1))+OFFSET(Setup!$E$20,MATCH($AR200,TaxBracket1,1),0,1,1)-$AI200-$AK200))))</f>
        <v>0</v>
      </c>
      <c r="BA200" s="148">
        <f ca="1">IF(ISNUMBER($AL200),($AX200*$AL200)-$AI200-$AK200,MAX(0,IF($AL200="B",IF($AX200&lt;Setup!$C$32,($AX200*Setup!$D$32)-$AI200-$AK200,(($AX200-VLOOKUP($AX200,TaxAll2,1,1))*OFFSET(Setup!$D$32,MATCH($AX200,TaxBracket2,1),0,1,1))+OFFSET(Setup!$E$31,MATCH($AX200,TaxBracket2,1),0,1,1)-$AI200-$AK200),IF($AX200&lt;Setup!$C$21,($AX200*Setup!$D$21)-$AI200-$AK200,(($AX200-VLOOKUP($AX200,TaxAll1,1,1))*OFFSET(Setup!$D$21,MATCH($AX200,TaxBracket1,1),0,1,1))+OFFSET(Setup!$E$20,MATCH($AX200,TaxBracket1,1),0,1,1)-$AI200-$AK200))))</f>
        <v>0</v>
      </c>
      <c r="BB200" s="148">
        <f ca="1">AZ200-BA200</f>
        <v>0</v>
      </c>
      <c r="BC200" s="150">
        <f t="shared" ca="1" si="110"/>
        <v>0</v>
      </c>
      <c r="BD200" s="150">
        <f t="shared" ca="1" si="111"/>
        <v>0</v>
      </c>
      <c r="BE200" s="148">
        <f t="shared" ca="1" si="112"/>
        <v>0</v>
      </c>
    </row>
    <row r="201" spans="1:57" ht="16.149999999999999" customHeight="1" x14ac:dyDescent="0.25">
      <c r="A201" s="10" t="str" cm="1">
        <f t="array" ref="A201">IF(ROW($A201)-ROW($A$6)&gt;EmpCount*12,"-",TEXT($B201,"yyyy")&amp;TEXT($B201,"mm")&amp;"-"&amp;$C201)</f>
        <v>-</v>
      </c>
      <c r="B201" s="137" cm="1">
        <f t="array" aca="1" ref="B201" ca="1">IF(ROW($A201)-ROW($A$6)&gt;EmpCount*12,Setup!$D$12,DATE(YEAR(Setup!$F$12),MONTH(Setup!$F$12)+ROUNDDOWN((ROW($A201)-ROW($A$6)-1)/EmpCount,0),IF(Setup!$C$14&gt;DAY(DATE(YEAR(Setup!$F$12),MONTH(Setup!$F$12)+ROUNDDOWN((ROW($A201)-ROW($A$6)-1)/EmpCount,0)+1,0)),DAY(DATE(YEAR(Setup!$F$12),MONTH(Setup!$F$12)+ROUNDDOWN((ROW($A201)-ROW($A$6)-1)/EmpCount,0)+1,0)),Setup!$C$14)))</f>
        <v>45351</v>
      </c>
      <c r="C201" s="101" t="str" cm="1">
        <f t="array" aca="1" ref="C201" ca="1">IF(ROW($A201)-ROW($A$6)&gt;EmpCount*12,"-",OFFSET(Emp!$A$4,ROW($A201)-ROW($A$6)-IF(ROW($A201)-ROW($A$6)&gt;EmpCount,ROUNDDOWN((ROW($A201)-ROW($A$6)-1)/EmpCount,0)*EmpCount,0),0,1,1))</f>
        <v>-</v>
      </c>
      <c r="D201" s="10" t="str">
        <f ca="1">IF(ISNA(VLOOKUP($C201,EmpAll,COLUMN(Emp!$B$4),0)),"-",VLOOKUP($C201,EmpAll,COLUMN(Emp!$B$4),0))</f>
        <v>-</v>
      </c>
      <c r="E201" s="145" t="str">
        <f ca="1">IF(ISNA(VLOOKUP($C201,EmpAll,COLUMN(Emp!$C$4),0)),"-",VLOOKUP($C201,EmpAll,COLUMN(Emp!$C$4),0))</f>
        <v>-</v>
      </c>
      <c r="F201" s="101" t="str">
        <f ca="1">IF(ISNA(VLOOKUP($C201,EmpAll,COLUMN(Emp!$A$4),0)),"-",IF(AND(VLOOKUP($C201,EmpAll,COLUMN(Emp!$E$4),0)&lt;&gt;0,VLOOKUP($C201,EmpAll,COLUMN(Emp!$E$4),0)&gt;=DATE(YEAR($AC201),MONTH($AC201)+1,0)),"Inactive",IF(AND(VLOOKUP($C201,EmpAll,COLUMN(Emp!$F$4),0)&lt;&gt;0,VLOOKUP($C201,EmpAll,COLUMN(Emp!$F$4),0)&lt;=DATE(YEAR($AC201),MONTH($AC201),0)),"Terminated","Active")))</f>
        <v>-</v>
      </c>
      <c r="G201" s="133" cm="1">
        <f t="array" aca="1" ref="G201" ca="1">IF($F201&lt;&gt;"Active",0,IF(COUNTIFS(OverEmp,$C201,OverEarn,G$2,OverDate,"&lt;"&amp;DATE(YEAR($AC201),MONTH($AC201)+1,1),OverEnd,"&gt;="&amp;DATE(YEAR($AC201),MONTH($AC201),1))&gt;0,SUMIFS(OverValue,OverEmp,$C201,OverEarn,G$2,OverDate,"&lt;"&amp;DATE(YEAR($AC201),MONTH($AC201)+1,1),OverEnd,"&gt;="&amp;DATE(YEAR($AC201),MONTH($AC201),1)),IF(AND($AC201&gt;=Setup!$E$10,SUMIFS(EmpIncrease,EmpCode,$C201)&gt;0),SUMIFS(EmpIncrease,EmpCode,$C201),SUMIFS(EmpSalary,EmpCode,$C201))))</f>
        <v>0</v>
      </c>
      <c r="H201" s="133" cm="1">
        <f t="array" aca="1" ref="H201" ca="1">IF($F201&lt;&gt;"Active",0,IF(COUNTIFS(OverEmp,$C201,OverEarn,H$2,OverDate,"&lt;"&amp;DATE(YEAR($AC201),MONTH($AC201)+1,1),OverEnd,"&gt;="&amp;DATE(YEAR($AC201),MONTH($AC201),1))&gt;0,SUMIFS(OverValue,OverEmp,$C201,OverEarn,H$2,OverDate,"&lt;"&amp;DATE(YEAR($AC201),MONTH($AC201)+1,1),OverEnd,"&gt;="&amp;DATE(YEAR($AC201),MONTH($AC201),1)),0))</f>
        <v>0</v>
      </c>
      <c r="I201" s="133" cm="1">
        <f t="array" aca="1" ref="I201" ca="1">IF($F201&lt;&gt;"Active",0,IF(COUNTIFS(OverEmp,$C201,OverEarn,I$2,OverDate,"&lt;"&amp;DATE(YEAR($AC201),MONTH($AC201)+1,1),OverEnd,"&gt;="&amp;DATE(YEAR($AC201),MONTH($AC201),1))&gt;0,SUMIFS(OverValue,OverEmp,$C201,OverEarn,I$2,OverDate,"&lt;"&amp;DATE(YEAR($AC201),MONTH($AC201)+1,1),OverEnd,"&gt;="&amp;DATE(YEAR($AC201),MONTH($AC201),1)),IF(MONTH(B201)=Setup!$C$15,SUMIFS(EmpBonus,EmpCode,$C201),0)))</f>
        <v>0</v>
      </c>
      <c r="J201" s="133" cm="1">
        <f t="array" aca="1" ref="J201" ca="1">IF($F201&lt;&gt;"Active",0,IF(COUNTIFS(OverEmp,$C201,OverEarn,J$2,OverDate,"&lt;"&amp;DATE(YEAR($AC201),MONTH($AC201)+1,1),OverEnd,"&gt;="&amp;DATE(YEAR($AC201),MONTH($AC201),1))&gt;0,SUMIFS(OverValue,OverEmp,$C201,OverEarn,J$2,OverDate,"&lt;"&amp;DATE(YEAR($AC201),MONTH($AC201)+1,1),OverEnd,"&gt;="&amp;DATE(YEAR($AC201),MONTH($AC201),1)),0))</f>
        <v>0</v>
      </c>
      <c r="K201" s="133" cm="1">
        <f t="array" aca="1" ref="K201" ca="1">IF($F201&lt;&gt;"Active",0,IF(COUNTIFS(OverEmp,$C201,OverEarn,K$2,OverDate,"&lt;"&amp;DATE(YEAR($AC201),MONTH($AC201)+1,1),OverEnd,"&gt;="&amp;DATE(YEAR($AC201),MONTH($AC201),1))&gt;0,SUMIFS(OverValue,OverEmp,$C201,OverEarn,K$2,OverDate,"&lt;"&amp;DATE(YEAR($AC201),MONTH($AC201)+1,1),OverEnd,"&gt;="&amp;DATE(YEAR($AC201),MONTH($AC201),1)),0))</f>
        <v>0</v>
      </c>
      <c r="L201" s="185">
        <f ca="1">IF($AA201=0,0,SUM(OFFSET($G201,0,0,1,COLUMN($L$6)-COLUMN($G$6))))</f>
        <v>0</v>
      </c>
      <c r="M201" s="182" cm="1">
        <f t="array" aca="1" ref="M201" ca="1">IF(COUNTIFS(OverEmp,$C201,OverTax,M$5,OverDate,"&lt;"&amp;DATE(YEAR($AC201),MONTH($AC201)+1,1),OverEnd,"&gt;="&amp;DATE(YEAR($AC201),MONTH($AC201),1))&gt;0,SUMIFS(OverValue,OverEmp,$C201,OverTax,M$5,OverDate,"&lt;"&amp;DATE(YEAR($AC201),MONTH($AC201)+1,1),OverEnd,"&gt;="&amp;DATE(YEAR($AC201),MONTH($AC201),1)),(($BA201/12*$AA201)+(BB201*IF(1-$BC201=0,0,BD201/(1-$BC201))))-IF($F201="Terminated",0,SUMIFS(PayTaxDeduct,PayDate,"&lt;"&amp;$AC201,PayEmp,$C201)))</f>
        <v>0</v>
      </c>
      <c r="N201" s="133" cm="1">
        <f t="array" aca="1" ref="N201" ca="1">IF($F201="Terminated",0,IF($AA201=0,0,IF(ISNA(MATCH(N$5,DedListItem,0)),0,IF(COUNTIFS(OverEmp,$C201,OverDeduct,N$5,OverDate,"&lt;"&amp;DATE(YEAR($AC201),MONTH($AC201)+1,1),OverEnd,"&gt;="&amp;DATE(YEAR($AC201),MONTH($AC201),1))&gt;0,SUMIFS(OverValue,OverEmp,$C201,OverDeduct,N$5,OverDate,"&lt;"&amp;DATE(YEAR($AC201),MONTH($AC201)+1,1),OverEnd,"&gt;="&amp;DATE(YEAR($AC201),MONTH($AC201),1)),IF(OR(N$2="Fixed",N$2="Not Used"),(IF(COUNTIFS(EmpNo,$C201,OFFSET(Emp!$R$4,1,MATCH(N$5,DedListItem,0)-1,EmpCount,1),"&lt;&gt;")&gt;0,VLOOKUP($C201,EmpAll,COLUMN(Emp!$R$4)+MATCH(N$5,DedListItem,0)-1,0),OFFSET(Setup!$E$73,MATCH(N$5,DedListItem,0),0,1,1))*$AA201)-SUMIFS(OFFSET(N$6,1,0,PayCount,1),PayDate,"&lt;"&amp;$AC201,PayEmp,$C201),IF(ISNA(MATCH(N$2,EarnListItem,0))=FALSE,IF(OFFSET(Setup!$G$73,MATCH(N$5,DedListItem,0),0,1,1)="Taxable",SUMPRODUCT((PayEmp=$C201)*(PayDate&lt;=$AC201)*(PayEarnCode=N$2)*(PayEarnTax)*(PayEarnValues)),SUMPRODUCT((PayEmp=$C201)*(PayDate&lt;=$AC201)*(PayEarnCode=N$2)*(PayEarnValues)))*IF(COUNTIFS(EmpNo,$C201,OFFSET(Emp!$R$4,1,MATCH(N$5,DedListItem,0)-1,EmpCount,1),"&lt;&gt;")&gt;0,VLOOKUP($C201,EmpAll,COLUMN(Emp!$R$4)+MATCH(N$5,DedListItem,0)-1,0),OFFSET(Setup!$E$73,MATCH(N$5,DedListItem,0),0,1,1)),(MIN(IF(OFFSET(Setup!$G$73,MATCH(N$5,DedListItem,0),0,1,1)="Taxable",SUMPRODUCT((PayEmp=$C201)*(PayDate&lt;=$AC201)*(ISERROR(SEARCH(PayEarnCode,N$4)))*(PayEarnTax)*(PayEarnValues)),SUMPRODUCT((PayEmp=$C201)*(PayDate&lt;=$AC201)*(ISERROR(SEARCH(PayEarnCode,N$4)))*(PayEarnValues))),IF(ISNUMBER(N$3),N$3/12*$AA201,IgnoreMin)))*IF(COUNTIFS(EmpNo,$C201,OFFSET(Emp!$R$4,1,MATCH(N$5,DedListItem,0)-1,EmpCount,1),"&lt;&gt;")&gt;0,VLOOKUP($C201,EmpAll,COLUMN(Emp!$R$4)+MATCH(N$5,DedListItem,0)-1,0),OFFSET(Setup!$E$73,MATCH(N$5,DedListItem,0),0,1,1)))-SUMIFS(OFFSET(N$6,1,0,PayCount,1),PayDate,"&lt;"&amp;$AC201,PayEmp,$C201))))))</f>
        <v>0</v>
      </c>
      <c r="O201" s="133" cm="1">
        <f t="array" aca="1" ref="O201" ca="1">IF($F201="Terminated",0,IF($AA201=0,0,IF(ISNA(MATCH(O$5,DedListItem,0)),0,IF(COUNTIFS(OverEmp,$C201,OverDeduct,O$5,OverDate,"&lt;"&amp;DATE(YEAR($AC201),MONTH($AC201)+1,1),OverEnd,"&gt;="&amp;DATE(YEAR($AC201),MONTH($AC201),1))&gt;0,SUMIFS(OverValue,OverEmp,$C201,OverDeduct,O$5,OverDate,"&lt;"&amp;DATE(YEAR($AC201),MONTH($AC201)+1,1),OverEnd,"&gt;="&amp;DATE(YEAR($AC201),MONTH($AC201),1)),IF(OR(O$2="Fixed",O$2="Not Used"),(IF(COUNTIFS(EmpNo,$C201,OFFSET(Emp!$R$4,1,MATCH(O$5,DedListItem,0)-1,EmpCount,1),"&lt;&gt;")&gt;0,VLOOKUP($C201,EmpAll,COLUMN(Emp!$R$4)+MATCH(O$5,DedListItem,0)-1,0),OFFSET(Setup!$E$73,MATCH(O$5,DedListItem,0),0,1,1))*$AA201)-SUMIFS(OFFSET(O$6,1,0,PayCount,1),PayDate,"&lt;"&amp;$AC201,PayEmp,$C201),IF(ISNA(MATCH(O$2,EarnListItem,0))=FALSE,IF(OFFSET(Setup!$G$73,MATCH(O$5,DedListItem,0),0,1,1)="Taxable",SUMPRODUCT((PayEmp=$C201)*(PayDate&lt;=$AC201)*(PayEarnCode=O$2)*(PayEarnTax)*(PayEarnValues)),SUMPRODUCT((PayEmp=$C201)*(PayDate&lt;=$AC201)*(PayEarnCode=O$2)*(PayEarnValues)))*IF(COUNTIFS(EmpNo,$C201,OFFSET(Emp!$R$4,1,MATCH(O$5,DedListItem,0)-1,EmpCount,1),"&lt;&gt;")&gt;0,VLOOKUP($C201,EmpAll,COLUMN(Emp!$R$4)+MATCH(O$5,DedListItem,0)-1,0),OFFSET(Setup!$E$73,MATCH(O$5,DedListItem,0),0,1,1)),(MIN(IF(OFFSET(Setup!$G$73,MATCH(O$5,DedListItem,0),0,1,1)="Taxable",SUMPRODUCT((PayEmp=$C201)*(PayDate&lt;=$AC201)*(ISERROR(SEARCH(PayEarnCode,O$4)))*(PayEarnTax)*(PayEarnValues)),SUMPRODUCT((PayEmp=$C201)*(PayDate&lt;=$AC201)*(ISERROR(SEARCH(PayEarnCode,O$4)))*(PayEarnValues))),IF(ISNUMBER(O$3),O$3/12*$AA201,IgnoreMin)))*IF(COUNTIFS(EmpNo,$C201,OFFSET(Emp!$R$4,1,MATCH(O$5,DedListItem,0)-1,EmpCount,1),"&lt;&gt;")&gt;0,VLOOKUP($C201,EmpAll,COLUMN(Emp!$R$4)+MATCH(O$5,DedListItem,0)-1,0),OFFSET(Setup!$E$73,MATCH(O$5,DedListItem,0),0,1,1)))-SUMIFS(OFFSET(O$6,1,0,PayCount,1),PayDate,"&lt;"&amp;$AC201,PayEmp,$C201))))))</f>
        <v>0</v>
      </c>
      <c r="P201" s="133" cm="1">
        <f t="array" aca="1" ref="P201" ca="1">IF($F201="Terminated",0,IF($AA201=0,0,IF(ISNA(MATCH(P$5,DedListItem,0)),0,IF(COUNTIFS(OverEmp,$C201,OverDeduct,P$5,OverDate,"&lt;"&amp;DATE(YEAR($AC201),MONTH($AC201)+1,1),OverEnd,"&gt;="&amp;DATE(YEAR($AC201),MONTH($AC201),1))&gt;0,SUMIFS(OverValue,OverEmp,$C201,OverDeduct,P$5,OverDate,"&lt;"&amp;DATE(YEAR($AC201),MONTH($AC201)+1,1),OverEnd,"&gt;="&amp;DATE(YEAR($AC201),MONTH($AC201),1)),IF(OR(P$2="Fixed",P$2="Not Used"),(IF(COUNTIFS(EmpNo,$C201,OFFSET(Emp!$R$4,1,MATCH(P$5,DedListItem,0)-1,EmpCount,1),"&lt;&gt;")&gt;0,VLOOKUP($C201,EmpAll,COLUMN(Emp!$R$4)+MATCH(P$5,DedListItem,0)-1,0),OFFSET(Setup!$E$73,MATCH(P$5,DedListItem,0),0,1,1))*$AA201)-SUMIFS(OFFSET(P$6,1,0,PayCount,1),PayDate,"&lt;"&amp;$AC201,PayEmp,$C201),IF(ISNA(MATCH(P$2,EarnListItem,0))=FALSE,IF(OFFSET(Setup!$G$73,MATCH(P$5,DedListItem,0),0,1,1)="Taxable",SUMPRODUCT((PayEmp=$C201)*(PayDate&lt;=$AC201)*(PayEarnCode=P$2)*(PayEarnTax)*(PayEarnValues)),SUMPRODUCT((PayEmp=$C201)*(PayDate&lt;=$AC201)*(PayEarnCode=P$2)*(PayEarnValues)))*IF(COUNTIFS(EmpNo,$C201,OFFSET(Emp!$R$4,1,MATCH(P$5,DedListItem,0)-1,EmpCount,1),"&lt;&gt;")&gt;0,VLOOKUP($C201,EmpAll,COLUMN(Emp!$R$4)+MATCH(P$5,DedListItem,0)-1,0),OFFSET(Setup!$E$73,MATCH(P$5,DedListItem,0),0,1,1)),(MIN(IF(OFFSET(Setup!$G$73,MATCH(P$5,DedListItem,0),0,1,1)="Taxable",SUMPRODUCT((PayEmp=$C201)*(PayDate&lt;=$AC201)*(ISERROR(SEARCH(PayEarnCode,P$4)))*(PayEarnTax)*(PayEarnValues)),SUMPRODUCT((PayEmp=$C201)*(PayDate&lt;=$AC201)*(ISERROR(SEARCH(PayEarnCode,P$4)))*(PayEarnValues))),IF(ISNUMBER(P$3),P$3/12*$AA201,IgnoreMin)))*IF(COUNTIFS(EmpNo,$C201,OFFSET(Emp!$R$4,1,MATCH(P$5,DedListItem,0)-1,EmpCount,1),"&lt;&gt;")&gt;0,VLOOKUP($C201,EmpAll,COLUMN(Emp!$R$4)+MATCH(P$5,DedListItem,0)-1,0),OFFSET(Setup!$E$73,MATCH(P$5,DedListItem,0),0,1,1)))-SUMIFS(OFFSET(P$6,1,0,PayCount,1),PayDate,"&lt;"&amp;$AC201,PayEmp,$C201))))))</f>
        <v>0</v>
      </c>
      <c r="Q201" s="133" cm="1">
        <f t="array" aca="1" ref="Q201" ca="1">IF($F201="Terminated",0,IF($AA201=0,0,IF(ISNA(MATCH(Q$5,DedListItem,0)),0,IF(COUNTIFS(OverEmp,$C201,OverDeduct,Q$5,OverDate,"&lt;"&amp;DATE(YEAR($AC201),MONTH($AC201)+1,1),OverEnd,"&gt;="&amp;DATE(YEAR($AC201),MONTH($AC201),1))&gt;0,SUMIFS(OverValue,OverEmp,$C201,OverDeduct,Q$5,OverDate,"&lt;"&amp;DATE(YEAR($AC201),MONTH($AC201)+1,1),OverEnd,"&gt;="&amp;DATE(YEAR($AC201),MONTH($AC201),1)),IF(OR(Q$2="Fixed",Q$2="Not Used"),(IF(COUNTIFS(EmpNo,$C201,OFFSET(Emp!$R$4,1,MATCH(Q$5,DedListItem,0)-1,EmpCount,1),"&lt;&gt;")&gt;0,VLOOKUP($C201,EmpAll,COLUMN(Emp!$R$4)+MATCH(Q$5,DedListItem,0)-1,0),OFFSET(Setup!$E$73,MATCH(Q$5,DedListItem,0),0,1,1))*$AA201)-SUMIFS(OFFSET(Q$6,1,0,PayCount,1),PayDate,"&lt;"&amp;$AC201,PayEmp,$C201),IF(ISNA(MATCH(Q$2,EarnListItem,0))=FALSE,IF(OFFSET(Setup!$G$73,MATCH(Q$5,DedListItem,0),0,1,1)="Taxable",SUMPRODUCT((PayEmp=$C201)*(PayDate&lt;=$AC201)*(PayEarnCode=Q$2)*(PayEarnTax)*(PayEarnValues)),SUMPRODUCT((PayEmp=$C201)*(PayDate&lt;=$AC201)*(PayEarnCode=Q$2)*(PayEarnValues)))*IF(COUNTIFS(EmpNo,$C201,OFFSET(Emp!$R$4,1,MATCH(Q$5,DedListItem,0)-1,EmpCount,1),"&lt;&gt;")&gt;0,VLOOKUP($C201,EmpAll,COLUMN(Emp!$R$4)+MATCH(Q$5,DedListItem,0)-1,0),OFFSET(Setup!$E$73,MATCH(Q$5,DedListItem,0),0,1,1)),(MIN(IF(OFFSET(Setup!$G$73,MATCH(Q$5,DedListItem,0),0,1,1)="Taxable",SUMPRODUCT((PayEmp=$C201)*(PayDate&lt;=$AC201)*(ISERROR(SEARCH(PayEarnCode,Q$4)))*(PayEarnTax)*(PayEarnValues)),SUMPRODUCT((PayEmp=$C201)*(PayDate&lt;=$AC201)*(ISERROR(SEARCH(PayEarnCode,Q$4)))*(PayEarnValues))),IF(ISNUMBER(Q$3),Q$3/12*$AA201,IgnoreMin)))*IF(COUNTIFS(EmpNo,$C201,OFFSET(Emp!$R$4,1,MATCH(Q$5,DedListItem,0)-1,EmpCount,1),"&lt;&gt;")&gt;0,VLOOKUP($C201,EmpAll,COLUMN(Emp!$R$4)+MATCH(Q$5,DedListItem,0)-1,0),OFFSET(Setup!$E$73,MATCH(Q$5,DedListItem,0),0,1,1)))-SUMIFS(OFFSET(Q$6,1,0,PayCount,1),PayDate,"&lt;"&amp;$AC201,PayEmp,$C201))))))</f>
        <v>0</v>
      </c>
      <c r="R201" s="185">
        <f ca="1">SUM(OFFSET(M201,0,0,1,COLUMN($R$6)-COLUMN($M$6)))</f>
        <v>0</v>
      </c>
      <c r="S201" s="139">
        <f ca="1">ROUND(SUM(L201,-R201),2)</f>
        <v>0</v>
      </c>
      <c r="T201" s="133" cm="1">
        <f t="array" aca="1" ref="T201" ca="1">IF($F201="Terminated",0,IF($AA201=0,0,IF(ISNA(MATCH(T$5,CompListItem,0)),0,IF(COUNTIFS(OverEmp,$C201,OverComp,T$5,OverDate,"&lt;"&amp;DATE(YEAR($AC201),MONTH($AC201)+1,1),OverEnd,"&gt;="&amp;DATE(YEAR($AC201),MONTH($AC201),1))&gt;0,SUMIFS(OverValue,OverEmp,$C201,OverComp,T$5,OverDate,"&lt;"&amp;DATE(YEAR($AC201),MONTH($AC201)+1,1),OverEnd,"&gt;="&amp;DATE(YEAR($AC201),MONTH($AC201),1)),IF(OR(T$2="Fixed",T$2="Not Used"),(OFFSET(Setup!$E$81,MATCH(T$5,CompListItem,0),0,1,1)*$AA201)-SUMIFS(OFFSET(T$6,1,0,PayCount,1),PayDate,"&lt;"&amp;$AC201,PayEmp,$C201),IF(ISNA(MATCH(T$2,DedListItem,0))=FALSE,(SUMPRODUCT((PayEmp=$C201)*(PayDate&lt;=$AC201)*(PayDedList=T$2)*(PayDedValues))*OFFSET(Setup!$E$81,MATCH(T$5,CompListItem,0),0,1,1))-SUMIFS(OFFSET(T$6,1,0,PayCount,1),PayDate,"&lt;"&amp;$AC201,PayEmp,$C201),(MIN(IF(OFFSET(Setup!$G$81,MATCH(T$5,CompListItem,0),0,1,1)="Taxable",SUMPRODUCT((PayEmp=$C201)*(PayDate&lt;=$AC201)*(ISERROR(SEARCH(PayEarnCode,T$4)))*(PayEarnTax)*(PayEarnValues)),SUMPRODUCT((PayEmp=$C201)*(PayDate&lt;=$AC201)*(ISERROR(SEARCH(PayEarnCode,T$4)))*(PayEarnValues))),IF(ISNUMBER(T$3),T$3/12*$AA201,IgnoreMin)))*OFFSET(Setup!$E$81,MATCH(T$5,CompListItem,0),0,1,1)-SUMIFS(OFFSET(T$6,1,0,PayCount,1),PayDate,"&lt;"&amp;$AC201,PayEmp,$C201)))))))</f>
        <v>0</v>
      </c>
      <c r="U201" s="133" cm="1">
        <f t="array" aca="1" ref="U201" ca="1">IF($F201="Terminated",0,IF($AA201=0,0,IF(ISNA(MATCH(U$5,CompListItem,0)),0,IF(COUNTIFS(OverEmp,$C201,OverComp,U$5,OverDate,"&lt;"&amp;DATE(YEAR($AC201),MONTH($AC201)+1,1),OverEnd,"&gt;="&amp;DATE(YEAR($AC201),MONTH($AC201),1))&gt;0,SUMIFS(OverValue,OverEmp,$C201,OverComp,U$5,OverDate,"&lt;"&amp;DATE(YEAR($AC201),MONTH($AC201)+1,1),OverEnd,"&gt;="&amp;DATE(YEAR($AC201),MONTH($AC201),1)),IF(OR(U$2="Fixed",U$2="Not Used"),(OFFSET(Setup!$E$81,MATCH(U$5,CompListItem,0),0,1,1)*$AA201)-SUMIFS(OFFSET(U$6,1,0,PayCount,1),PayDate,"&lt;"&amp;$AC201,PayEmp,$C201),IF(ISNA(MATCH(U$2,DedListItem,0))=FALSE,(SUMPRODUCT((PayEmp=$C201)*(PayDate&lt;=$AC201)*(PayDedList=U$2)*(PayDedValues))*OFFSET(Setup!$E$81,MATCH(U$5,CompListItem,0),0,1,1))-SUMIFS(OFFSET(U$6,1,0,PayCount,1),PayDate,"&lt;"&amp;$AC201,PayEmp,$C201),(MIN(IF(OFFSET(Setup!$G$81,MATCH(U$5,CompListItem,0),0,1,1)="Taxable",SUMPRODUCT((PayEmp=$C201)*(PayDate&lt;=$AC201)*(ISERROR(SEARCH(PayEarnCode,U$4)))*(PayEarnTax)*(PayEarnValues)),SUMPRODUCT((PayEmp=$C201)*(PayDate&lt;=$AC201)*(ISERROR(SEARCH(PayEarnCode,U$4)))*(PayEarnValues))),IF(ISNUMBER(U$3),U$3/12*$AA201,IgnoreMin)))*OFFSET(Setup!$E$81,MATCH(U$5,CompListItem,0),0,1,1)-SUMIFS(OFFSET(U$6,1,0,PayCount,1),PayDate,"&lt;"&amp;$AC201,PayEmp,$C201)))))))</f>
        <v>0</v>
      </c>
      <c r="V201" s="133" cm="1">
        <f t="array" aca="1" ref="V201" ca="1">IF($F201="Terminated",0,IF($AA201=0,0,IF(ISNA(MATCH(V$5,CompListItem,0)),0,IF(COUNTIFS(OverEmp,$C201,OverComp,V$5,OverDate,"&lt;"&amp;DATE(YEAR($AC201),MONTH($AC201)+1,1),OverEnd,"&gt;="&amp;DATE(YEAR($AC201),MONTH($AC201),1))&gt;0,SUMIFS(OverValue,OverEmp,$C201,OverComp,V$5,OverDate,"&lt;"&amp;DATE(YEAR($AC201),MONTH($AC201)+1,1),OverEnd,"&gt;="&amp;DATE(YEAR($AC201),MONTH($AC201),1)),IF(OR(V$2="Fixed",V$2="Not Used"),(OFFSET(Setup!$E$81,MATCH(V$5,CompListItem,0),0,1,1)*$AA201)-SUMIFS(OFFSET(V$6,1,0,PayCount,1),PayDate,"&lt;"&amp;$AC201,PayEmp,$C201),IF(ISNA(MATCH(V$2,DedListItem,0))=FALSE,(SUMPRODUCT((PayEmp=$C201)*(PayDate&lt;=$AC201)*(PayDedList=V$2)*(PayDedValues))*OFFSET(Setup!$E$81,MATCH(V$5,CompListItem,0),0,1,1))-SUMIFS(OFFSET(V$6,1,0,PayCount,1),PayDate,"&lt;"&amp;$AC201,PayEmp,$C201),(MIN(IF(OFFSET(Setup!$G$81,MATCH(V$5,CompListItem,0),0,1,1)="Taxable",SUMPRODUCT((PayEmp=$C201)*(PayDate&lt;=$AC201)*(ISERROR(SEARCH(PayEarnCode,V$4)))*(PayEarnTax)*(PayEarnValues)),SUMPRODUCT((PayEmp=$C201)*(PayDate&lt;=$AC201)*(ISERROR(SEARCH(PayEarnCode,V$4)))*(PayEarnValues))),IF(ISNUMBER(V$3),V$3/12*$AA201,IgnoreMin)))*OFFSET(Setup!$E$81,MATCH(V$5,CompListItem,0),0,1,1)-SUMIFS(OFFSET(V$6,1,0,PayCount,1),PayDate,"&lt;"&amp;$AC201,PayEmp,$C201)))))))</f>
        <v>0</v>
      </c>
      <c r="W201" s="133" cm="1">
        <f t="array" aca="1" ref="W201" ca="1">IF($F201="Terminated",0,IF($AA201=0,0,IF(ISNA(MATCH(W$5,CompListItem,0)),0,IF(COUNTIFS(OverEmp,$C201,OverComp,W$5,OverDate,"&lt;"&amp;DATE(YEAR($AC201),MONTH($AC201)+1,1),OverEnd,"&gt;="&amp;DATE(YEAR($AC201),MONTH($AC201),1))&gt;0,SUMIFS(OverValue,OverEmp,$C201,OverComp,W$5,OverDate,"&lt;"&amp;DATE(YEAR($AC201),MONTH($AC201)+1,1),OverEnd,"&gt;="&amp;DATE(YEAR($AC201),MONTH($AC201),1)),IF(OR(W$2="Fixed",W$2="Not Used"),(OFFSET(Setup!$E$81,MATCH(W$5,CompListItem,0),0,1,1)*$AA201)-SUMIFS(OFFSET(W$6,1,0,PayCount,1),PayDate,"&lt;"&amp;$AC201,PayEmp,$C201),IF(ISNA(MATCH(W$2,DedListItem,0))=FALSE,(SUMPRODUCT((PayEmp=$C201)*(PayDate&lt;=$AC201)*(PayDedList=W$2)*(PayDedValues))*OFFSET(Setup!$E$81,MATCH(W$5,CompListItem,0),0,1,1))-SUMIFS(OFFSET(W$6,1,0,PayCount,1),PayDate,"&lt;"&amp;$AC201,PayEmp,$C201),(MIN(IF(OFFSET(Setup!$G$81,MATCH(W$5,CompListItem,0),0,1,1)="Taxable",SUMPRODUCT((PayEmp=$C201)*(PayDate&lt;=$AC201)*(ISERROR(SEARCH(PayEarnCode,W$4)))*(PayEarnTax)*(PayEarnValues)),SUMPRODUCT((PayEmp=$C201)*(PayDate&lt;=$AC201)*(ISERROR(SEARCH(PayEarnCode,W$4)))*(PayEarnValues))),IF(ISNUMBER(W$3),W$3/12*$AA201,IgnoreMin)))*OFFSET(Setup!$E$81,MATCH(W$5,CompListItem,0),0,1,1)-SUMIFS(OFFSET(W$6,1,0,PayCount,1),PayDate,"&lt;"&amp;$AC201,PayEmp,$C201)))))))</f>
        <v>0</v>
      </c>
      <c r="X201" s="185">
        <f ca="1">SUM(OFFSET($T201,0,0,1,COLUMN($X$6)-COLUMN($T$7)))</f>
        <v>0</v>
      </c>
      <c r="Y201" s="139">
        <f ca="1">L201+X201</f>
        <v>0</v>
      </c>
      <c r="Z201" s="139">
        <f ca="1">ROUND(SUM(R201,X201),2)</f>
        <v>0</v>
      </c>
      <c r="AA201" s="146">
        <f ca="1">IF(OR($B201&lt;=Setup!$E$12,$B201&gt;=Setup!$D$12+1),0,IF($F201&lt;&gt;"Active",0,IF($AE201="Yes",$AB201,((YEAR($AC201)*12)+MONTH($AC201))-((YEAR($AD201)*12)+MONTH($AD201)-1))))</f>
        <v>0</v>
      </c>
      <c r="AB201" s="146">
        <f ca="1">IF(OR($B201&lt;=Setup!$E$12,$B201&gt;=Setup!$D$12+1),0,((YEAR($AC201)*12)+MONTH($AC201))-((YEAR(Setup!$E$12)*12)+MONTH(Setup!$E$12)))</f>
        <v>12</v>
      </c>
      <c r="AC201" s="186">
        <f ca="1">DATE(YEAR($B201),MONTH($B201),DAY($B201))</f>
        <v>45351</v>
      </c>
      <c r="AD201" s="144">
        <f ca="1">IF(ISNA(VLOOKUP($C201,EmpAll,COLUMN(Emp!$E$4),0)),$AC201,IF(VLOOKUP($C201,EmpAll,COLUMN(Emp!$E$4),0)&lt;=Setup!$E$12,DATE(YEAR(Setup!$E$12),MONTH(Setup!$E$12)+1,1),VLOOKUP($C201,EmpAll,COLUMN(Emp!$E$4),0)))</f>
        <v>45351</v>
      </c>
      <c r="AE201" s="144" t="str">
        <f ca="1">IF(ISNA(VLOOKUP($C201,EmpAll,COLUMN(Emp!$G$1),0)),"-",IF(VLOOKUP($C201,EmpAll,COLUMN(Emp!$G$1),0)=0,"-",VLOOKUP($C201,EmpAll,COLUMN(Emp!$G$1),0)))</f>
        <v>-</v>
      </c>
      <c r="AF201" s="145">
        <f>IF(A201=PaySlip!$G$3,1,0)</f>
        <v>0</v>
      </c>
      <c r="AG201" s="130" cm="1">
        <f t="array" aca="1" ref="AG201" ca="1">IF(COUNTIFS(OverEmp,$C201,OverMed,"MED",OverDate,"&lt;"&amp;DATE(YEAR($AC201),MONTH($AC201)+1,1),OverEnd,"&gt;="&amp;DATE(YEAR($AC201),MONTH($AC201),1))&gt;0,SUMIFS(OverValue,OverEmp,$C201,OverMed,"MED",OverDate,"&lt;"&amp;DATE(YEAR($AC201),MONTH($AC201)+1,1),OverEnd,"&gt;="&amp;DATE(YEAR($AC201),MONTH($AC201),1)),IF(ISNA(VLOOKUP($C201,EmpAll,COLUMN(Emp!$N$4),0)),0,VLOOKUP($C201,EmpAll,COLUMN(Emp!$N$4),0)))</f>
        <v>0</v>
      </c>
      <c r="AH201" s="146">
        <f ca="1">VLOOKUP($AG201,MedList,COLUMN(Setup!$C$49),1)</f>
        <v>0</v>
      </c>
      <c r="AI201" s="146">
        <f t="shared" ca="1" si="107"/>
        <v>0</v>
      </c>
      <c r="AJ201" s="101" t="str">
        <f ca="1">IF(ISNA(VLOOKUP($C201,EmpAll,COLUMN(Emp!$L$4),0)),"None!",VLOOKUP($C201,EmpAll,COLUMN(Emp!$L$4),0))</f>
        <v>None!</v>
      </c>
      <c r="AK201" s="147">
        <f t="shared" ca="1" si="102"/>
        <v>17235</v>
      </c>
      <c r="AL201" s="101" t="str">
        <f ca="1">IF(ISNA(VLOOKUP($C201,Employees[],COLUMN(Emp!$M$4),0))=TRUE,"Error!",IF(VLOOKUP($C201,Employees[],COLUMN(Emp!$M$4),0)=0,"Yes",VLOOKUP($C201,Employees[],COLUMN(Emp!$M$4),0)))</f>
        <v>Error!</v>
      </c>
      <c r="AM201" s="148">
        <f t="shared" ca="1" si="108"/>
        <v>0</v>
      </c>
      <c r="AN201" s="148" cm="1">
        <f t="array" aca="1" ref="AN201" ca="1">-IF($F201="Terminated",0,IF($AA201=0,0,IF(ISNA(MATCH(AN$5,PayDedList,0)),0,MIN(IF(COUNTIFS(OverEmp,$C201,OverDeduct,AN$5,OverDate,"&lt;"&amp;DATE(YEAR($AC201),MONTH($AC201)+1,1),OverEnd,"&gt;="&amp;DATE(YEAR($AC201),MONTH($AC201),1))&gt;0,SUMPRODUCT((PayEmp=$C201)*(PayDate&lt;=$AC201)*(OFFSET($N$6,1,MATCH(AN$5,PayDedList,0)-1,PayCount,1)))/$AA201*12*AN$3,IF(OR(AN$1="Fixed",AN$1="Not Used"),SUMPRODUCT((PayEmp=$C201)*(PayDate&lt;=$AC201)*(OFFSET($N$6,1,MATCH(AN$5,PayDedList,0)-1,PayCount,1)))/$AA201*12*AN$3,IF(ISNA(MATCH(AN$1,EarnListItem,0))=FALSE,SUMPRODUCT((PayEmp=$C201)*(PayDate&lt;=$AC201)*(OFFSET($N$6,1,MATCH(AN$5,PayDedList,0)-1,PayCount,1)))/$AA201*12*AN$3,(MIN(((SUMPRODUCT((PayEmp=$C201)*(PayDate&lt;=$AC201)*(ISERROR(SEARCH(PayEarnCode,AN$2)))*(PayEarnType="Monthly")*(PayEarnValues))/$AA201*12)+(SUMPRODUCT((PayEmp=$C201)*(PayDate&lt;=$AC201)*(ISERROR(SEARCH(PayEarnCode,AN$2)))*(PayEarnType="Quarterly")*(PayEarnValues))/MAX(1,ROUNDDOWN($AB201/3,0))*4)+(SUMPRODUCT((PayEmp=$C201)*(PayDate&lt;=$AC201)*(ISERROR(SEARCH(PayEarnCode,AN$2)))*(PayEarnType="Bi-Annual")*(PayEarnValues))/MAX(1,ROUNDDOWN($AB201/6,0))*2)+(SUMPRODUCT((PayEmp=$C201)*(PayDate&lt;=$AC201)*(ISERROR(SEARCH(PayEarnCode,AN$2)))*(PayEarnType="Annual")*(PayEarnValues)))),IF(ISNUMBER(OFFSET($N$3,0,MATCH(AN$5,PayDedList,0)-1,1,1)),OFFSET($N$3,0,MATCH(AN$5,PayDedList,0)-1,1,1),IgnoreMin)))*IF(COUNTIFS(EmpNo,$C201,OFFSET(Emp!$R$4,1,MATCH(AN$5,DedListItem,0)-1,EmpCount,1),"&lt;&gt;")&gt;0,VLOOKUP($C201,EmpAll,COLUMN(Emp!$R$4)+MATCH(AN$5,DedListItem,0)-1,0),OFFSET(Setup!$E$73,MATCH(AN$5,DedListItem,0),0,1,1))*AN$3))),IF(ISNUMBER(AN$4),AN$4,IgnoreMin)))))</f>
        <v>0</v>
      </c>
      <c r="AO201" s="148" cm="1">
        <f t="array" aca="1" ref="AO201" ca="1">-IF($F201="Terminated",0,IF($AA201=0,0,IF(ISNA(MATCH(AO$5,PayDedList,0)),0,MIN(IF(COUNTIFS(OverEmp,$C201,OverDeduct,AO$5,OverDate,"&lt;"&amp;DATE(YEAR($AC201),MONTH($AC201)+1,1),OverEnd,"&gt;="&amp;DATE(YEAR($AC201),MONTH($AC201),1))&gt;0,SUMPRODUCT((PayEmp=$C201)*(PayDate&lt;=$AC201)*(OFFSET($N$6,1,MATCH(AO$5,PayDedList,0)-1,PayCount,1)))/$AA201*12*AO$3,IF(OR(AO$1="Fixed",AO$1="Not Used"),SUMPRODUCT((PayEmp=$C201)*(PayDate&lt;=$AC201)*(OFFSET($N$6,1,MATCH(AO$5,PayDedList,0)-1,PayCount,1)))/$AA201*12*AO$3,IF(ISNA(MATCH(AO$1,EarnListItem,0))=FALSE,SUMPRODUCT((PayEmp=$C201)*(PayDate&lt;=$AC201)*(OFFSET($N$6,1,MATCH(AO$5,PayDedList,0)-1,PayCount,1)))/$AA201*12*AO$3,(MIN(((SUMPRODUCT((PayEmp=$C201)*(PayDate&lt;=$AC201)*(ISERROR(SEARCH(PayEarnCode,AO$2)))*(PayEarnType="Monthly")*(PayEarnValues))/$AA201*12)+(SUMPRODUCT((PayEmp=$C201)*(PayDate&lt;=$AC201)*(ISERROR(SEARCH(PayEarnCode,AO$2)))*(PayEarnType="Quarterly")*(PayEarnValues))/MAX(1,ROUNDDOWN($AB201/3,0))*4)+(SUMPRODUCT((PayEmp=$C201)*(PayDate&lt;=$AC201)*(ISERROR(SEARCH(PayEarnCode,AO$2)))*(PayEarnType="Bi-Annual")*(PayEarnValues))/MAX(1,ROUNDDOWN($AB201/6,0))*2)+(SUMPRODUCT((PayEmp=$C201)*(PayDate&lt;=$AC201)*(ISERROR(SEARCH(PayEarnCode,AO$2)))*(PayEarnType="Annual")*(PayEarnValues)))),IF(ISNUMBER(OFFSET($N$3,0,MATCH(AO$5,PayDedList,0)-1,1,1)),OFFSET($N$3,0,MATCH(AO$5,PayDedList,0)-1,1,1),IgnoreMin)))*IF(COUNTIFS(EmpNo,$C201,OFFSET(Emp!$R$4,1,MATCH(AO$5,DedListItem,0)-1,EmpCount,1),"&lt;&gt;")&gt;0,VLOOKUP($C201,EmpAll,COLUMN(Emp!$R$4)+MATCH(AO$5,DedListItem,0)-1,0),OFFSET(Setup!$E$73,MATCH(AO$5,DedListItem,0),0,1,1))*AO$3))),IF(ISNUMBER(AO$4),AO$4,IgnoreMin)))))</f>
        <v>0</v>
      </c>
      <c r="AP201" s="148" cm="1">
        <f t="array" aca="1" ref="AP201" ca="1">-IF($F201="Terminated",0,IF($AA201=0,0,IF(ISNA(MATCH(AP$5,PayDedList,0)),0,MIN(IF(COUNTIFS(OverEmp,$C201,OverDeduct,AP$5,OverDate,"&lt;"&amp;DATE(YEAR($AC201),MONTH($AC201)+1,1),OverEnd,"&gt;="&amp;DATE(YEAR($AC201),MONTH($AC201),1))&gt;0,SUMPRODUCT((PayEmp=$C201)*(PayDate&lt;=$AC201)*(OFFSET($N$6,1,MATCH(AP$5,PayDedList,0)-1,PayCount,1)))/$AA201*12*AP$3,IF(OR(AP$1="Fixed",AP$1="Not Used"),SUMPRODUCT((PayEmp=$C201)*(PayDate&lt;=$AC201)*(OFFSET($N$6,1,MATCH(AP$5,PayDedList,0)-1,PayCount,1)))/$AA201*12*AP$3,IF(ISNA(MATCH(AP$1,EarnListItem,0))=FALSE,SUMPRODUCT((PayEmp=$C201)*(PayDate&lt;=$AC201)*(OFFSET($N$6,1,MATCH(AP$5,PayDedList,0)-1,PayCount,1)))/$AA201*12*AP$3,(MIN(((SUMPRODUCT((PayEmp=$C201)*(PayDate&lt;=$AC201)*(ISERROR(SEARCH(PayEarnCode,AP$2)))*(PayEarnType="Monthly")*(PayEarnValues))/$AA201*12)+(SUMPRODUCT((PayEmp=$C201)*(PayDate&lt;=$AC201)*(ISERROR(SEARCH(PayEarnCode,AP$2)))*(PayEarnType="Quarterly")*(PayEarnValues))/MAX(1,ROUNDDOWN($AB201/3,0))*4)+(SUMPRODUCT((PayEmp=$C201)*(PayDate&lt;=$AC201)*(ISERROR(SEARCH(PayEarnCode,AP$2)))*(PayEarnType="Bi-Annual")*(PayEarnValues))/MAX(1,ROUNDDOWN($AB201/6,0))*2)+(SUMPRODUCT((PayEmp=$C201)*(PayDate&lt;=$AC201)*(ISERROR(SEARCH(PayEarnCode,AP$2)))*(PayEarnType="Annual")*(PayEarnValues)))),IF(ISNUMBER(OFFSET($N$3,0,MATCH(AP$5,PayDedList,0)-1,1,1)),OFFSET($N$3,0,MATCH(AP$5,PayDedList,0)-1,1,1),IgnoreMin)))*IF(COUNTIFS(EmpNo,$C201,OFFSET(Emp!$R$4,1,MATCH(AP$5,DedListItem,0)-1,EmpCount,1),"&lt;&gt;")&gt;0,VLOOKUP($C201,EmpAll,COLUMN(Emp!$R$4)+MATCH(AP$5,DedListItem,0)-1,0),OFFSET(Setup!$E$73,MATCH(AP$5,DedListItem,0),0,1,1))*AP$3))),IF(ISNUMBER(AP$4),AP$4,IgnoreMin)))))</f>
        <v>0</v>
      </c>
      <c r="AQ201" s="148" cm="1">
        <f t="array" aca="1" ref="AQ201" ca="1">-IF($F201="Terminated",0,IF($AA201=0,0,IF(ISNA(MATCH(AQ$5,PayDedList,0)),0,MIN(IF(COUNTIFS(OverEmp,$C201,OverDeduct,AQ$5,OverDate,"&lt;"&amp;DATE(YEAR($AC201),MONTH($AC201)+1,1),OverEnd,"&gt;="&amp;DATE(YEAR($AC201),MONTH($AC201),1))&gt;0,SUMPRODUCT((PayEmp=$C201)*(PayDate&lt;=$AC201)*(OFFSET($N$6,1,MATCH(AQ$5,PayDedList,0)-1,PayCount,1)))/$AA201*12*AQ$3,IF(OR(AQ$1="Fixed",AQ$1="Not Used"),SUMPRODUCT((PayEmp=$C201)*(PayDate&lt;=$AC201)*(OFFSET($N$6,1,MATCH(AQ$5,PayDedList,0)-1,PayCount,1)))/$AA201*12*AQ$3,IF(ISNA(MATCH(AQ$1,EarnListItem,0))=FALSE,SUMPRODUCT((PayEmp=$C201)*(PayDate&lt;=$AC201)*(OFFSET($N$6,1,MATCH(AQ$5,PayDedList,0)-1,PayCount,1)))/$AA201*12*AQ$3,(MIN(((SUMPRODUCT((PayEmp=$C201)*(PayDate&lt;=$AC201)*(ISERROR(SEARCH(PayEarnCode,AQ$2)))*(PayEarnType="Monthly")*(PayEarnValues))/$AA201*12)+(SUMPRODUCT((PayEmp=$C201)*(PayDate&lt;=$AC201)*(ISERROR(SEARCH(PayEarnCode,AQ$2)))*(PayEarnType="Quarterly")*(PayEarnValues))/MAX(1,ROUNDDOWN($AB201/3,0))*4)+(SUMPRODUCT((PayEmp=$C201)*(PayDate&lt;=$AC201)*(ISERROR(SEARCH(PayEarnCode,AQ$2)))*(PayEarnType="Bi-Annual")*(PayEarnValues))/MAX(1,ROUNDDOWN($AB201/6,0))*2)+(SUMPRODUCT((PayEmp=$C201)*(PayDate&lt;=$AC201)*(ISERROR(SEARCH(PayEarnCode,AQ$2)))*(PayEarnType="Annual")*(PayEarnValues)))),IF(ISNUMBER(OFFSET($N$3,0,MATCH(AQ$5,PayDedList,0)-1,1,1)),OFFSET($N$3,0,MATCH(AQ$5,PayDedList,0)-1,1,1),IgnoreMin)))*IF(COUNTIFS(EmpNo,$C201,OFFSET(Emp!$R$4,1,MATCH(AQ$5,DedListItem,0)-1,EmpCount,1),"&lt;&gt;")&gt;0,VLOOKUP($C201,EmpAll,COLUMN(Emp!$R$4)+MATCH(AQ$5,DedListItem,0)-1,0),OFFSET(Setup!$E$73,MATCH(AQ$5,DedListItem,0),0,1,1))*AQ$3))),IF(ISNUMBER(AQ$4),AQ$4,IgnoreMin)))))</f>
        <v>0</v>
      </c>
      <c r="AR201" s="148">
        <f ca="1">$AM201+SUM(OFFSET($AM201,0,1,1,COLUMN($AR$2)-COLUMN($AM$2)-1))</f>
        <v>0</v>
      </c>
      <c r="AS201" s="148">
        <f t="shared" ca="1" si="109"/>
        <v>0</v>
      </c>
      <c r="AT201" s="148" cm="1">
        <f t="array" aca="1" ref="AT201" ca="1">-IF($F201="Terminated",0,IF($AA201=0,0,IF(ISNA(MATCH(AT$5,PayDedList,0)),0,MIN(IF(COUNTIFS(OverEmp,$C201,OverDeduct,AT$5,OverDate,"&lt;"&amp;DATE(YEAR($AC201),MONTH($AC201)+1,1),OverEnd,"&gt;="&amp;DATE(YEAR($AC201),MONTH($AC201),1))&gt;0,SUMPRODUCT((PayEmp=$C201)*(PayDate&lt;=$AC201)*(OFFSET($N$6,1,MATCH(AT$5,PayDedList,0)-1,PayCount,1)))/$AA201*12*AT$3,IF(OR(AT$1="Fixed",AT$1="Not Used"),SUMPRODUCT((PayEmp=$C201)*(PayDate&lt;=$AC201)*(OFFSET($N$6,1,MATCH(AT$5,PayDedList,0)-1,PayCount,1)))/$AA201*12*AT$3,IF(ISNA(MATCH(OFFSET($N$2,0,MATCH(AT$5,PayDedList,0)-1,1,1),EarnListItem,0))=FALSE,SUMPRODUCT((PayEmp=$C201)*(PayDate&lt;=$AC201)*(OFFSET($N$6,1,MATCH(AT$5,PayDedList,0)-1,PayCount,1)))/$AA201*12*AT$3,(MIN(SUMPRODUCT((PayEmp=$C201)*(PayDate&lt;=$AC201)*(ISERROR(SEARCH(PayEarnCode,AT$2)))*(PayEarnType="Monthly")*(PayEarnValues))/$AA201*12,IF(ISNUMBER(OFFSET($N$3,0,MATCH(AT$5,PayDedList,0)-1,1,1)),OFFSET($N$3,0,MATCH(AT$5,PayDedList,0)-1,1,1),IgnoreMin)))*IF(COUNTIFS(EmpNo,$C201,OFFSET(Emp!$R$4,1,MATCH(AT$5,DedListItem,0)-1,EmpCount,1),"&lt;&gt;")&gt;0,VLOOKUP($C201,EmpAll,COLUMN(Emp!$R$4)+MATCH(AT$5,DedListItem,0)-1,0),OFFSET(Setup!$E$73,MATCH(AT$5,DedListItem,0),0,1,1))*AT$3))),IF(ISNUMBER(AT$4),AT$4,IgnoreMin)))))</f>
        <v>0</v>
      </c>
      <c r="AU201" s="148" cm="1">
        <f t="array" aca="1" ref="AU201" ca="1">-IF($F201="Terminated",0,IF($AA201=0,0,IF(ISNA(MATCH(AU$5,PayDedList,0)),0,MIN(IF(COUNTIFS(OverEmp,$C201,OverDeduct,AU$5,OverDate,"&lt;"&amp;DATE(YEAR($AC201),MONTH($AC201)+1,1),OverEnd,"&gt;="&amp;DATE(YEAR($AC201),MONTH($AC201),1))&gt;0,SUMPRODUCT((PayEmp=$C201)*(PayDate&lt;=$AC201)*(OFFSET($N$6,1,MATCH(AU$5,PayDedList,0)-1,PayCount,1)))/$AA201*12*AU$3,IF(OR(AU$1="Fixed",AU$1="Not Used"),SUMPRODUCT((PayEmp=$C201)*(PayDate&lt;=$AC201)*(OFFSET($N$6,1,MATCH(AU$5,PayDedList,0)-1,PayCount,1)))/$AA201*12*AU$3,IF(ISNA(MATCH(OFFSET($N$2,0,MATCH(AU$5,PayDedList,0)-1,1,1),EarnListItem,0))=FALSE,SUMPRODUCT((PayEmp=$C201)*(PayDate&lt;=$AC201)*(OFFSET($N$6,1,MATCH(AU$5,PayDedList,0)-1,PayCount,1)))/$AA201*12*AU$3,(MIN(SUMPRODUCT((PayEmp=$C201)*(PayDate&lt;=$AC201)*(ISERROR(SEARCH(PayEarnCode,AU$2)))*(PayEarnType="Monthly")*(PayEarnValues))/$AA201*12,IF(ISNUMBER(OFFSET($N$3,0,MATCH(AU$5,PayDedList,0)-1,1,1)),OFFSET($N$3,0,MATCH(AU$5,PayDedList,0)-1,1,1),IgnoreMin)))*IF(COUNTIFS(EmpNo,$C201,OFFSET(Emp!$R$4,1,MATCH(AU$5,DedListItem,0)-1,EmpCount,1),"&lt;&gt;")&gt;0,VLOOKUP($C201,EmpAll,COLUMN(Emp!$R$4)+MATCH(AU$5,DedListItem,0)-1,0),OFFSET(Setup!$E$73,MATCH(AU$5,DedListItem,0),0,1,1))*AU$3))),IF(ISNUMBER(AU$4),AU$4,IgnoreMin)))))</f>
        <v>0</v>
      </c>
      <c r="AV201" s="148" cm="1">
        <f t="array" aca="1" ref="AV201" ca="1">-IF($F201="Terminated",0,IF($AA201=0,0,IF(ISNA(MATCH(AV$5,PayDedList,0)),0,MIN(IF(COUNTIFS(OverEmp,$C201,OverDeduct,AV$5,OverDate,"&lt;"&amp;DATE(YEAR($AC201),MONTH($AC201)+1,1),OverEnd,"&gt;="&amp;DATE(YEAR($AC201),MONTH($AC201),1))&gt;0,SUMPRODUCT((PayEmp=$C201)*(PayDate&lt;=$AC201)*(OFFSET($N$6,1,MATCH(AV$5,PayDedList,0)-1,PayCount,1)))/$AA201*12*AV$3,IF(OR(AV$1="Fixed",AV$1="Not Used"),SUMPRODUCT((PayEmp=$C201)*(PayDate&lt;=$AC201)*(OFFSET($N$6,1,MATCH(AV$5,PayDedList,0)-1,PayCount,1)))/$AA201*12*AV$3,IF(ISNA(MATCH(OFFSET($N$2,0,MATCH(AV$5,PayDedList,0)-1,1,1),EarnListItem,0))=FALSE,SUMPRODUCT((PayEmp=$C201)*(PayDate&lt;=$AC201)*(OFFSET($N$6,1,MATCH(AV$5,PayDedList,0)-1,PayCount,1)))/$AA201*12*AV$3,(MIN(SUMPRODUCT((PayEmp=$C201)*(PayDate&lt;=$AC201)*(ISERROR(SEARCH(PayEarnCode,AV$2)))*(PayEarnType="Monthly")*(PayEarnValues))/$AA201*12,IF(ISNUMBER(OFFSET($N$3,0,MATCH(AV$5,PayDedList,0)-1,1,1)),OFFSET($N$3,0,MATCH(AV$5,PayDedList,0)-1,1,1),IgnoreMin)))*IF(COUNTIFS(EmpNo,$C201,OFFSET(Emp!$R$4,1,MATCH(AV$5,DedListItem,0)-1,EmpCount,1),"&lt;&gt;")&gt;0,VLOOKUP($C201,EmpAll,COLUMN(Emp!$R$4)+MATCH(AV$5,DedListItem,0)-1,0),OFFSET(Setup!$E$73,MATCH(AV$5,DedListItem,0),0,1,1))*AV$3))),IF(ISNUMBER(AV$4),AV$4,IgnoreMin)))))</f>
        <v>0</v>
      </c>
      <c r="AW201" s="148" cm="1">
        <f t="array" aca="1" ref="AW201" ca="1">-IF($F201="Terminated",0,IF($AA201=0,0,IF(ISNA(MATCH(AW$5,PayDedList,0)),0,MIN(IF(COUNTIFS(OverEmp,$C201,OverDeduct,AW$5,OverDate,"&lt;"&amp;DATE(YEAR($AC201),MONTH($AC201)+1,1),OverEnd,"&gt;="&amp;DATE(YEAR($AC201),MONTH($AC201),1))&gt;0,SUMPRODUCT((PayEmp=$C201)*(PayDate&lt;=$AC201)*(OFFSET($N$6,1,MATCH(AW$5,PayDedList,0)-1,PayCount,1)))/$AA201*12*AW$3,IF(OR(AW$1="Fixed",AW$1="Not Used"),SUMPRODUCT((PayEmp=$C201)*(PayDate&lt;=$AC201)*(OFFSET($N$6,1,MATCH(AW$5,PayDedList,0)-1,PayCount,1)))/$AA201*12*AW$3,IF(ISNA(MATCH(OFFSET($N$2,0,MATCH(AW$5,PayDedList,0)-1,1,1),EarnListItem,0))=FALSE,SUMPRODUCT((PayEmp=$C201)*(PayDate&lt;=$AC201)*(OFFSET($N$6,1,MATCH(AW$5,PayDedList,0)-1,PayCount,1)))/$AA201*12*AW$3,(MIN(SUMPRODUCT((PayEmp=$C201)*(PayDate&lt;=$AC201)*(ISERROR(SEARCH(PayEarnCode,AW$2)))*(PayEarnType="Monthly")*(PayEarnValues))/$AA201*12,IF(ISNUMBER(OFFSET($N$3,0,MATCH(AW$5,PayDedList,0)-1,1,1)),OFFSET($N$3,0,MATCH(AW$5,PayDedList,0)-1,1,1),IgnoreMin)))*IF(COUNTIFS(EmpNo,$C201,OFFSET(Emp!$R$4,1,MATCH(AW$5,DedListItem,0)-1,EmpCount,1),"&lt;&gt;")&gt;0,VLOOKUP($C201,EmpAll,COLUMN(Emp!$R$4)+MATCH(AW$5,DedListItem,0)-1,0),OFFSET(Setup!$E$73,MATCH(AW$5,DedListItem,0),0,1,1))*AW$3))),IF(ISNUMBER(AW$4),AW$4,IgnoreMin)))))</f>
        <v>0</v>
      </c>
      <c r="AX201" s="148">
        <f ca="1">$AS201+SUM(OFFSET($AT201,0,0,1,COLUMN($AX$2)-COLUMN($AT$2)))</f>
        <v>0</v>
      </c>
      <c r="AY201" s="148">
        <f ca="1">AR201-AX201</f>
        <v>0</v>
      </c>
      <c r="AZ201" s="148">
        <f ca="1">IF(ISNUMBER($AL201),($AR201*$AL201)-$AI201-$AK201,MAX(0,IF($AL201="B",IF($AR201&lt;Setup!$C$32,($AR201*Setup!$D$32)-$AI201-$AK201,(($AR201-VLOOKUP($AR201,TaxAll2,1,1))*OFFSET(Setup!$D$32,MATCH($AR201,TaxBracket2,1),0,1,1))+OFFSET(Setup!$E$31,MATCH($AR201,TaxBracket2,1),0,1,1)-$AI201-$AK201),IF($AR201&lt;Setup!$C$21,($AR201*Setup!$D$21)-$AI201-$AK201,(($AR201-VLOOKUP($AR201,TaxAll1,1,1))*OFFSET(Setup!$D$21,MATCH($AR201,TaxBracket1,1),0,1,1))+OFFSET(Setup!$E$20,MATCH($AR201,TaxBracket1,1),0,1,1)-$AI201-$AK201))))</f>
        <v>0</v>
      </c>
      <c r="BA201" s="148">
        <f ca="1">IF(ISNUMBER($AL201),($AX201*$AL201)-$AI201-$AK201,MAX(0,IF($AL201="B",IF($AX201&lt;Setup!$C$32,($AX201*Setup!$D$32)-$AI201-$AK201,(($AX201-VLOOKUP($AX201,TaxAll2,1,1))*OFFSET(Setup!$D$32,MATCH($AX201,TaxBracket2,1),0,1,1))+OFFSET(Setup!$E$31,MATCH($AX201,TaxBracket2,1),0,1,1)-$AI201-$AK201),IF($AX201&lt;Setup!$C$21,($AX201*Setup!$D$21)-$AI201-$AK201,(($AX201-VLOOKUP($AX201,TaxAll1,1,1))*OFFSET(Setup!$D$21,MATCH($AX201,TaxBracket1,1),0,1,1))+OFFSET(Setup!$E$20,MATCH($AX201,TaxBracket1,1),0,1,1)-$AI201-$AK201))))</f>
        <v>0</v>
      </c>
      <c r="BB201" s="148">
        <f ca="1">AZ201-BA201</f>
        <v>0</v>
      </c>
      <c r="BC201" s="150">
        <f t="shared" ca="1" si="110"/>
        <v>0</v>
      </c>
      <c r="BD201" s="150">
        <f t="shared" ca="1" si="111"/>
        <v>0</v>
      </c>
      <c r="BE201" s="148">
        <f t="shared" ca="1" si="112"/>
        <v>0</v>
      </c>
    </row>
    <row r="202" spans="1:57" ht="16.149999999999999" customHeight="1" x14ac:dyDescent="0.25">
      <c r="A202" s="10" t="str" cm="1">
        <f t="array" ref="A202">IF(ROW($A202)-ROW($A$6)&gt;EmpCount*12,"-",TEXT($B202,"yyyy")&amp;TEXT($B202,"mm")&amp;"-"&amp;$C202)</f>
        <v>-</v>
      </c>
      <c r="B202" s="137" cm="1">
        <f t="array" aca="1" ref="B202" ca="1">IF(ROW($A202)-ROW($A$6)&gt;EmpCount*12,Setup!$D$12,DATE(YEAR(Setup!$F$12),MONTH(Setup!$F$12)+ROUNDDOWN((ROW($A202)-ROW($A$6)-1)/EmpCount,0),IF(Setup!$C$14&gt;DAY(DATE(YEAR(Setup!$F$12),MONTH(Setup!$F$12)+ROUNDDOWN((ROW($A202)-ROW($A$6)-1)/EmpCount,0)+1,0)),DAY(DATE(YEAR(Setup!$F$12),MONTH(Setup!$F$12)+ROUNDDOWN((ROW($A202)-ROW($A$6)-1)/EmpCount,0)+1,0)),Setup!$C$14)))</f>
        <v>45351</v>
      </c>
      <c r="C202" s="101" t="str" cm="1">
        <f t="array" aca="1" ref="C202" ca="1">IF(ROW($A202)-ROW($A$6)&gt;EmpCount*12,"-",OFFSET(Emp!$A$4,ROW($A202)-ROW($A$6)-IF(ROW($A202)-ROW($A$6)&gt;EmpCount,ROUNDDOWN((ROW($A202)-ROW($A$6)-1)/EmpCount,0)*EmpCount,0),0,1,1))</f>
        <v>-</v>
      </c>
      <c r="D202" s="10" t="str">
        <f ca="1">IF(ISNA(VLOOKUP($C202,EmpAll,COLUMN(Emp!$B$4),0)),"-",VLOOKUP($C202,EmpAll,COLUMN(Emp!$B$4),0))</f>
        <v>-</v>
      </c>
      <c r="E202" s="145" t="str">
        <f ca="1">IF(ISNA(VLOOKUP($C202,EmpAll,COLUMN(Emp!$C$4),0)),"-",VLOOKUP($C202,EmpAll,COLUMN(Emp!$C$4),0))</f>
        <v>-</v>
      </c>
      <c r="F202" s="101" t="str">
        <f ca="1">IF(ISNA(VLOOKUP($C202,EmpAll,COLUMN(Emp!$A$4),0)),"-",IF(AND(VLOOKUP($C202,EmpAll,COLUMN(Emp!$E$4),0)&lt;&gt;0,VLOOKUP($C202,EmpAll,COLUMN(Emp!$E$4),0)&gt;=DATE(YEAR($AC202),MONTH($AC202)+1,0)),"Inactive",IF(AND(VLOOKUP($C202,EmpAll,COLUMN(Emp!$F$4),0)&lt;&gt;0,VLOOKUP($C202,EmpAll,COLUMN(Emp!$F$4),0)&lt;=DATE(YEAR($AC202),MONTH($AC202),0)),"Terminated","Active")))</f>
        <v>-</v>
      </c>
      <c r="G202" s="133" cm="1">
        <f t="array" aca="1" ref="G202" ca="1">IF($F202&lt;&gt;"Active",0,IF(COUNTIFS(OverEmp,$C202,OverEarn,G$2,OverDate,"&lt;"&amp;DATE(YEAR($AC202),MONTH($AC202)+1,1),OverEnd,"&gt;="&amp;DATE(YEAR($AC202),MONTH($AC202),1))&gt;0,SUMIFS(OverValue,OverEmp,$C202,OverEarn,G$2,OverDate,"&lt;"&amp;DATE(YEAR($AC202),MONTH($AC202)+1,1),OverEnd,"&gt;="&amp;DATE(YEAR($AC202),MONTH($AC202),1)),IF(AND($AC202&gt;=Setup!$E$10,SUMIFS(EmpIncrease,EmpCode,$C202)&gt;0),SUMIFS(EmpIncrease,EmpCode,$C202),SUMIFS(EmpSalary,EmpCode,$C202))))</f>
        <v>0</v>
      </c>
      <c r="H202" s="133" cm="1">
        <f t="array" aca="1" ref="H202" ca="1">IF($F202&lt;&gt;"Active",0,IF(COUNTIFS(OverEmp,$C202,OverEarn,H$2,OverDate,"&lt;"&amp;DATE(YEAR($AC202),MONTH($AC202)+1,1),OverEnd,"&gt;="&amp;DATE(YEAR($AC202),MONTH($AC202),1))&gt;0,SUMIFS(OverValue,OverEmp,$C202,OverEarn,H$2,OverDate,"&lt;"&amp;DATE(YEAR($AC202),MONTH($AC202)+1,1),OverEnd,"&gt;="&amp;DATE(YEAR($AC202),MONTH($AC202),1)),0))</f>
        <v>0</v>
      </c>
      <c r="I202" s="133" cm="1">
        <f t="array" aca="1" ref="I202" ca="1">IF($F202&lt;&gt;"Active",0,IF(COUNTIFS(OverEmp,$C202,OverEarn,I$2,OverDate,"&lt;"&amp;DATE(YEAR($AC202),MONTH($AC202)+1,1),OverEnd,"&gt;="&amp;DATE(YEAR($AC202),MONTH($AC202),1))&gt;0,SUMIFS(OverValue,OverEmp,$C202,OverEarn,I$2,OverDate,"&lt;"&amp;DATE(YEAR($AC202),MONTH($AC202)+1,1),OverEnd,"&gt;="&amp;DATE(YEAR($AC202),MONTH($AC202),1)),IF(MONTH(B202)=Setup!$C$15,SUMIFS(EmpBonus,EmpCode,$C202),0)))</f>
        <v>0</v>
      </c>
      <c r="J202" s="133" cm="1">
        <f t="array" aca="1" ref="J202" ca="1">IF($F202&lt;&gt;"Active",0,IF(COUNTIFS(OverEmp,$C202,OverEarn,J$2,OverDate,"&lt;"&amp;DATE(YEAR($AC202),MONTH($AC202)+1,1),OverEnd,"&gt;="&amp;DATE(YEAR($AC202),MONTH($AC202),1))&gt;0,SUMIFS(OverValue,OverEmp,$C202,OverEarn,J$2,OverDate,"&lt;"&amp;DATE(YEAR($AC202),MONTH($AC202)+1,1),OverEnd,"&gt;="&amp;DATE(YEAR($AC202),MONTH($AC202),1)),0))</f>
        <v>0</v>
      </c>
      <c r="K202" s="133" cm="1">
        <f t="array" aca="1" ref="K202" ca="1">IF($F202&lt;&gt;"Active",0,IF(COUNTIFS(OverEmp,$C202,OverEarn,K$2,OverDate,"&lt;"&amp;DATE(YEAR($AC202),MONTH($AC202)+1,1),OverEnd,"&gt;="&amp;DATE(YEAR($AC202),MONTH($AC202),1))&gt;0,SUMIFS(OverValue,OverEmp,$C202,OverEarn,K$2,OverDate,"&lt;"&amp;DATE(YEAR($AC202),MONTH($AC202)+1,1),OverEnd,"&gt;="&amp;DATE(YEAR($AC202),MONTH($AC202),1)),0))</f>
        <v>0</v>
      </c>
      <c r="L202" s="185">
        <f t="shared" ca="1" si="95"/>
        <v>0</v>
      </c>
      <c r="M202" s="182" cm="1">
        <f t="array" aca="1" ref="M202" ca="1">IF(COUNTIFS(OverEmp,$C202,OverTax,M$5,OverDate,"&lt;"&amp;DATE(YEAR($AC202),MONTH($AC202)+1,1),OverEnd,"&gt;="&amp;DATE(YEAR($AC202),MONTH($AC202),1))&gt;0,SUMIFS(OverValue,OverEmp,$C202,OverTax,M$5,OverDate,"&lt;"&amp;DATE(YEAR($AC202),MONTH($AC202)+1,1),OverEnd,"&gt;="&amp;DATE(YEAR($AC202),MONTH($AC202),1)),(($BA202/12*$AA202)+(BB202*IF(1-$BC202=0,0,BD202/(1-$BC202))))-IF($F202="Terminated",0,SUMIFS(PayTaxDeduct,PayDate,"&lt;"&amp;$AC202,PayEmp,$C202)))</f>
        <v>0</v>
      </c>
      <c r="N202" s="133" cm="1">
        <f t="array" aca="1" ref="N202" ca="1">IF($F202="Terminated",0,IF($AA202=0,0,IF(ISNA(MATCH(N$5,DedListItem,0)),0,IF(COUNTIFS(OverEmp,$C202,OverDeduct,N$5,OverDate,"&lt;"&amp;DATE(YEAR($AC202),MONTH($AC202)+1,1),OverEnd,"&gt;="&amp;DATE(YEAR($AC202),MONTH($AC202),1))&gt;0,SUMIFS(OverValue,OverEmp,$C202,OverDeduct,N$5,OverDate,"&lt;"&amp;DATE(YEAR($AC202),MONTH($AC202)+1,1),OverEnd,"&gt;="&amp;DATE(YEAR($AC202),MONTH($AC202),1)),IF(OR(N$2="Fixed",N$2="Not Used"),(IF(COUNTIFS(EmpNo,$C202,OFFSET(Emp!$R$4,1,MATCH(N$5,DedListItem,0)-1,EmpCount,1),"&lt;&gt;")&gt;0,VLOOKUP($C202,EmpAll,COLUMN(Emp!$R$4)+MATCH(N$5,DedListItem,0)-1,0),OFFSET(Setup!$E$73,MATCH(N$5,DedListItem,0),0,1,1))*$AA202)-SUMIFS(OFFSET(N$6,1,0,PayCount,1),PayDate,"&lt;"&amp;$AC202,PayEmp,$C202),IF(ISNA(MATCH(N$2,EarnListItem,0))=FALSE,IF(OFFSET(Setup!$G$73,MATCH(N$5,DedListItem,0),0,1,1)="Taxable",SUMPRODUCT((PayEmp=$C202)*(PayDate&lt;=$AC202)*(PayEarnCode=N$2)*(PayEarnTax)*(PayEarnValues)),SUMPRODUCT((PayEmp=$C202)*(PayDate&lt;=$AC202)*(PayEarnCode=N$2)*(PayEarnValues)))*IF(COUNTIFS(EmpNo,$C202,OFFSET(Emp!$R$4,1,MATCH(N$5,DedListItem,0)-1,EmpCount,1),"&lt;&gt;")&gt;0,VLOOKUP($C202,EmpAll,COLUMN(Emp!$R$4)+MATCH(N$5,DedListItem,0)-1,0),OFFSET(Setup!$E$73,MATCH(N$5,DedListItem,0),0,1,1)),(MIN(IF(OFFSET(Setup!$G$73,MATCH(N$5,DedListItem,0),0,1,1)="Taxable",SUMPRODUCT((PayEmp=$C202)*(PayDate&lt;=$AC202)*(ISERROR(SEARCH(PayEarnCode,N$4)))*(PayEarnTax)*(PayEarnValues)),SUMPRODUCT((PayEmp=$C202)*(PayDate&lt;=$AC202)*(ISERROR(SEARCH(PayEarnCode,N$4)))*(PayEarnValues))),IF(ISNUMBER(N$3),N$3/12*$AA202,IgnoreMin)))*IF(COUNTIFS(EmpNo,$C202,OFFSET(Emp!$R$4,1,MATCH(N$5,DedListItem,0)-1,EmpCount,1),"&lt;&gt;")&gt;0,VLOOKUP($C202,EmpAll,COLUMN(Emp!$R$4)+MATCH(N$5,DedListItem,0)-1,0),OFFSET(Setup!$E$73,MATCH(N$5,DedListItem,0),0,1,1)))-SUMIFS(OFFSET(N$6,1,0,PayCount,1),PayDate,"&lt;"&amp;$AC202,PayEmp,$C202))))))</f>
        <v>0</v>
      </c>
      <c r="O202" s="133" cm="1">
        <f t="array" aca="1" ref="O202" ca="1">IF($F202="Terminated",0,IF($AA202=0,0,IF(ISNA(MATCH(O$5,DedListItem,0)),0,IF(COUNTIFS(OverEmp,$C202,OverDeduct,O$5,OverDate,"&lt;"&amp;DATE(YEAR($AC202),MONTH($AC202)+1,1),OverEnd,"&gt;="&amp;DATE(YEAR($AC202),MONTH($AC202),1))&gt;0,SUMIFS(OverValue,OverEmp,$C202,OverDeduct,O$5,OverDate,"&lt;"&amp;DATE(YEAR($AC202),MONTH($AC202)+1,1),OverEnd,"&gt;="&amp;DATE(YEAR($AC202),MONTH($AC202),1)),IF(OR(O$2="Fixed",O$2="Not Used"),(IF(COUNTIFS(EmpNo,$C202,OFFSET(Emp!$R$4,1,MATCH(O$5,DedListItem,0)-1,EmpCount,1),"&lt;&gt;")&gt;0,VLOOKUP($C202,EmpAll,COLUMN(Emp!$R$4)+MATCH(O$5,DedListItem,0)-1,0),OFFSET(Setup!$E$73,MATCH(O$5,DedListItem,0),0,1,1))*$AA202)-SUMIFS(OFFSET(O$6,1,0,PayCount,1),PayDate,"&lt;"&amp;$AC202,PayEmp,$C202),IF(ISNA(MATCH(O$2,EarnListItem,0))=FALSE,IF(OFFSET(Setup!$G$73,MATCH(O$5,DedListItem,0),0,1,1)="Taxable",SUMPRODUCT((PayEmp=$C202)*(PayDate&lt;=$AC202)*(PayEarnCode=O$2)*(PayEarnTax)*(PayEarnValues)),SUMPRODUCT((PayEmp=$C202)*(PayDate&lt;=$AC202)*(PayEarnCode=O$2)*(PayEarnValues)))*IF(COUNTIFS(EmpNo,$C202,OFFSET(Emp!$R$4,1,MATCH(O$5,DedListItem,0)-1,EmpCount,1),"&lt;&gt;")&gt;0,VLOOKUP($C202,EmpAll,COLUMN(Emp!$R$4)+MATCH(O$5,DedListItem,0)-1,0),OFFSET(Setup!$E$73,MATCH(O$5,DedListItem,0),0,1,1)),(MIN(IF(OFFSET(Setup!$G$73,MATCH(O$5,DedListItem,0),0,1,1)="Taxable",SUMPRODUCT((PayEmp=$C202)*(PayDate&lt;=$AC202)*(ISERROR(SEARCH(PayEarnCode,O$4)))*(PayEarnTax)*(PayEarnValues)),SUMPRODUCT((PayEmp=$C202)*(PayDate&lt;=$AC202)*(ISERROR(SEARCH(PayEarnCode,O$4)))*(PayEarnValues))),IF(ISNUMBER(O$3),O$3/12*$AA202,IgnoreMin)))*IF(COUNTIFS(EmpNo,$C202,OFFSET(Emp!$R$4,1,MATCH(O$5,DedListItem,0)-1,EmpCount,1),"&lt;&gt;")&gt;0,VLOOKUP($C202,EmpAll,COLUMN(Emp!$R$4)+MATCH(O$5,DedListItem,0)-1,0),OFFSET(Setup!$E$73,MATCH(O$5,DedListItem,0),0,1,1)))-SUMIFS(OFFSET(O$6,1,0,PayCount,1),PayDate,"&lt;"&amp;$AC202,PayEmp,$C202))))))</f>
        <v>0</v>
      </c>
      <c r="P202" s="133" cm="1">
        <f t="array" aca="1" ref="P202" ca="1">IF($F202="Terminated",0,IF($AA202=0,0,IF(ISNA(MATCH(P$5,DedListItem,0)),0,IF(COUNTIFS(OverEmp,$C202,OverDeduct,P$5,OverDate,"&lt;"&amp;DATE(YEAR($AC202),MONTH($AC202)+1,1),OverEnd,"&gt;="&amp;DATE(YEAR($AC202),MONTH($AC202),1))&gt;0,SUMIFS(OverValue,OverEmp,$C202,OverDeduct,P$5,OverDate,"&lt;"&amp;DATE(YEAR($AC202),MONTH($AC202)+1,1),OverEnd,"&gt;="&amp;DATE(YEAR($AC202),MONTH($AC202),1)),IF(OR(P$2="Fixed",P$2="Not Used"),(IF(COUNTIFS(EmpNo,$C202,OFFSET(Emp!$R$4,1,MATCH(P$5,DedListItem,0)-1,EmpCount,1),"&lt;&gt;")&gt;0,VLOOKUP($C202,EmpAll,COLUMN(Emp!$R$4)+MATCH(P$5,DedListItem,0)-1,0),OFFSET(Setup!$E$73,MATCH(P$5,DedListItem,0),0,1,1))*$AA202)-SUMIFS(OFFSET(P$6,1,0,PayCount,1),PayDate,"&lt;"&amp;$AC202,PayEmp,$C202),IF(ISNA(MATCH(P$2,EarnListItem,0))=FALSE,IF(OFFSET(Setup!$G$73,MATCH(P$5,DedListItem,0),0,1,1)="Taxable",SUMPRODUCT((PayEmp=$C202)*(PayDate&lt;=$AC202)*(PayEarnCode=P$2)*(PayEarnTax)*(PayEarnValues)),SUMPRODUCT((PayEmp=$C202)*(PayDate&lt;=$AC202)*(PayEarnCode=P$2)*(PayEarnValues)))*IF(COUNTIFS(EmpNo,$C202,OFFSET(Emp!$R$4,1,MATCH(P$5,DedListItem,0)-1,EmpCount,1),"&lt;&gt;")&gt;0,VLOOKUP($C202,EmpAll,COLUMN(Emp!$R$4)+MATCH(P$5,DedListItem,0)-1,0),OFFSET(Setup!$E$73,MATCH(P$5,DedListItem,0),0,1,1)),(MIN(IF(OFFSET(Setup!$G$73,MATCH(P$5,DedListItem,0),0,1,1)="Taxable",SUMPRODUCT((PayEmp=$C202)*(PayDate&lt;=$AC202)*(ISERROR(SEARCH(PayEarnCode,P$4)))*(PayEarnTax)*(PayEarnValues)),SUMPRODUCT((PayEmp=$C202)*(PayDate&lt;=$AC202)*(ISERROR(SEARCH(PayEarnCode,P$4)))*(PayEarnValues))),IF(ISNUMBER(P$3),P$3/12*$AA202,IgnoreMin)))*IF(COUNTIFS(EmpNo,$C202,OFFSET(Emp!$R$4,1,MATCH(P$5,DedListItem,0)-1,EmpCount,1),"&lt;&gt;")&gt;0,VLOOKUP($C202,EmpAll,COLUMN(Emp!$R$4)+MATCH(P$5,DedListItem,0)-1,0),OFFSET(Setup!$E$73,MATCH(P$5,DedListItem,0),0,1,1)))-SUMIFS(OFFSET(P$6,1,0,PayCount,1),PayDate,"&lt;"&amp;$AC202,PayEmp,$C202))))))</f>
        <v>0</v>
      </c>
      <c r="Q202" s="133" cm="1">
        <f t="array" aca="1" ref="Q202" ca="1">IF($F202="Terminated",0,IF($AA202=0,0,IF(ISNA(MATCH(Q$5,DedListItem,0)),0,IF(COUNTIFS(OverEmp,$C202,OverDeduct,Q$5,OverDate,"&lt;"&amp;DATE(YEAR($AC202),MONTH($AC202)+1,1),OverEnd,"&gt;="&amp;DATE(YEAR($AC202),MONTH($AC202),1))&gt;0,SUMIFS(OverValue,OverEmp,$C202,OverDeduct,Q$5,OverDate,"&lt;"&amp;DATE(YEAR($AC202),MONTH($AC202)+1,1),OverEnd,"&gt;="&amp;DATE(YEAR($AC202),MONTH($AC202),1)),IF(OR(Q$2="Fixed",Q$2="Not Used"),(IF(COUNTIFS(EmpNo,$C202,OFFSET(Emp!$R$4,1,MATCH(Q$5,DedListItem,0)-1,EmpCount,1),"&lt;&gt;")&gt;0,VLOOKUP($C202,EmpAll,COLUMN(Emp!$R$4)+MATCH(Q$5,DedListItem,0)-1,0),OFFSET(Setup!$E$73,MATCH(Q$5,DedListItem,0),0,1,1))*$AA202)-SUMIFS(OFFSET(Q$6,1,0,PayCount,1),PayDate,"&lt;"&amp;$AC202,PayEmp,$C202),IF(ISNA(MATCH(Q$2,EarnListItem,0))=FALSE,IF(OFFSET(Setup!$G$73,MATCH(Q$5,DedListItem,0),0,1,1)="Taxable",SUMPRODUCT((PayEmp=$C202)*(PayDate&lt;=$AC202)*(PayEarnCode=Q$2)*(PayEarnTax)*(PayEarnValues)),SUMPRODUCT((PayEmp=$C202)*(PayDate&lt;=$AC202)*(PayEarnCode=Q$2)*(PayEarnValues)))*IF(COUNTIFS(EmpNo,$C202,OFFSET(Emp!$R$4,1,MATCH(Q$5,DedListItem,0)-1,EmpCount,1),"&lt;&gt;")&gt;0,VLOOKUP($C202,EmpAll,COLUMN(Emp!$R$4)+MATCH(Q$5,DedListItem,0)-1,0),OFFSET(Setup!$E$73,MATCH(Q$5,DedListItem,0),0,1,1)),(MIN(IF(OFFSET(Setup!$G$73,MATCH(Q$5,DedListItem,0),0,1,1)="Taxable",SUMPRODUCT((PayEmp=$C202)*(PayDate&lt;=$AC202)*(ISERROR(SEARCH(PayEarnCode,Q$4)))*(PayEarnTax)*(PayEarnValues)),SUMPRODUCT((PayEmp=$C202)*(PayDate&lt;=$AC202)*(ISERROR(SEARCH(PayEarnCode,Q$4)))*(PayEarnValues))),IF(ISNUMBER(Q$3),Q$3/12*$AA202,IgnoreMin)))*IF(COUNTIFS(EmpNo,$C202,OFFSET(Emp!$R$4,1,MATCH(Q$5,DedListItem,0)-1,EmpCount,1),"&lt;&gt;")&gt;0,VLOOKUP($C202,EmpAll,COLUMN(Emp!$R$4)+MATCH(Q$5,DedListItem,0)-1,0),OFFSET(Setup!$E$73,MATCH(Q$5,DedListItem,0),0,1,1)))-SUMIFS(OFFSET(Q$6,1,0,PayCount,1),PayDate,"&lt;"&amp;$AC202,PayEmp,$C202))))))</f>
        <v>0</v>
      </c>
      <c r="R202" s="185">
        <f t="shared" ca="1" si="96"/>
        <v>0</v>
      </c>
      <c r="S202" s="139">
        <f t="shared" ca="1" si="97"/>
        <v>0</v>
      </c>
      <c r="T202" s="133" cm="1">
        <f t="array" aca="1" ref="T202" ca="1">IF($F202="Terminated",0,IF($AA202=0,0,IF(ISNA(MATCH(T$5,CompListItem,0)),0,IF(COUNTIFS(OverEmp,$C202,OverComp,T$5,OverDate,"&lt;"&amp;DATE(YEAR($AC202),MONTH($AC202)+1,1),OverEnd,"&gt;="&amp;DATE(YEAR($AC202),MONTH($AC202),1))&gt;0,SUMIFS(OverValue,OverEmp,$C202,OverComp,T$5,OverDate,"&lt;"&amp;DATE(YEAR($AC202),MONTH($AC202)+1,1),OverEnd,"&gt;="&amp;DATE(YEAR($AC202),MONTH($AC202),1)),IF(OR(T$2="Fixed",T$2="Not Used"),(OFFSET(Setup!$E$81,MATCH(T$5,CompListItem,0),0,1,1)*$AA202)-SUMIFS(OFFSET(T$6,1,0,PayCount,1),PayDate,"&lt;"&amp;$AC202,PayEmp,$C202),IF(ISNA(MATCH(T$2,DedListItem,0))=FALSE,(SUMPRODUCT((PayEmp=$C202)*(PayDate&lt;=$AC202)*(PayDedList=T$2)*(PayDedValues))*OFFSET(Setup!$E$81,MATCH(T$5,CompListItem,0),0,1,1))-SUMIFS(OFFSET(T$6,1,0,PayCount,1),PayDate,"&lt;"&amp;$AC202,PayEmp,$C202),(MIN(IF(OFFSET(Setup!$G$81,MATCH(T$5,CompListItem,0),0,1,1)="Taxable",SUMPRODUCT((PayEmp=$C202)*(PayDate&lt;=$AC202)*(ISERROR(SEARCH(PayEarnCode,T$4)))*(PayEarnTax)*(PayEarnValues)),SUMPRODUCT((PayEmp=$C202)*(PayDate&lt;=$AC202)*(ISERROR(SEARCH(PayEarnCode,T$4)))*(PayEarnValues))),IF(ISNUMBER(T$3),T$3/12*$AA202,IgnoreMin)))*OFFSET(Setup!$E$81,MATCH(T$5,CompListItem,0),0,1,1)-SUMIFS(OFFSET(T$6,1,0,PayCount,1),PayDate,"&lt;"&amp;$AC202,PayEmp,$C202)))))))</f>
        <v>0</v>
      </c>
      <c r="U202" s="133" cm="1">
        <f t="array" aca="1" ref="U202" ca="1">IF($F202="Terminated",0,IF($AA202=0,0,IF(ISNA(MATCH(U$5,CompListItem,0)),0,IF(COUNTIFS(OverEmp,$C202,OverComp,U$5,OverDate,"&lt;"&amp;DATE(YEAR($AC202),MONTH($AC202)+1,1),OverEnd,"&gt;="&amp;DATE(YEAR($AC202),MONTH($AC202),1))&gt;0,SUMIFS(OverValue,OverEmp,$C202,OverComp,U$5,OverDate,"&lt;"&amp;DATE(YEAR($AC202),MONTH($AC202)+1,1),OverEnd,"&gt;="&amp;DATE(YEAR($AC202),MONTH($AC202),1)),IF(OR(U$2="Fixed",U$2="Not Used"),(OFFSET(Setup!$E$81,MATCH(U$5,CompListItem,0),0,1,1)*$AA202)-SUMIFS(OFFSET(U$6,1,0,PayCount,1),PayDate,"&lt;"&amp;$AC202,PayEmp,$C202),IF(ISNA(MATCH(U$2,DedListItem,0))=FALSE,(SUMPRODUCT((PayEmp=$C202)*(PayDate&lt;=$AC202)*(PayDedList=U$2)*(PayDedValues))*OFFSET(Setup!$E$81,MATCH(U$5,CompListItem,0),0,1,1))-SUMIFS(OFFSET(U$6,1,0,PayCount,1),PayDate,"&lt;"&amp;$AC202,PayEmp,$C202),(MIN(IF(OFFSET(Setup!$G$81,MATCH(U$5,CompListItem,0),0,1,1)="Taxable",SUMPRODUCT((PayEmp=$C202)*(PayDate&lt;=$AC202)*(ISERROR(SEARCH(PayEarnCode,U$4)))*(PayEarnTax)*(PayEarnValues)),SUMPRODUCT((PayEmp=$C202)*(PayDate&lt;=$AC202)*(ISERROR(SEARCH(PayEarnCode,U$4)))*(PayEarnValues))),IF(ISNUMBER(U$3),U$3/12*$AA202,IgnoreMin)))*OFFSET(Setup!$E$81,MATCH(U$5,CompListItem,0),0,1,1)-SUMIFS(OFFSET(U$6,1,0,PayCount,1),PayDate,"&lt;"&amp;$AC202,PayEmp,$C202)))))))</f>
        <v>0</v>
      </c>
      <c r="V202" s="133" cm="1">
        <f t="array" aca="1" ref="V202" ca="1">IF($F202="Terminated",0,IF($AA202=0,0,IF(ISNA(MATCH(V$5,CompListItem,0)),0,IF(COUNTIFS(OverEmp,$C202,OverComp,V$5,OverDate,"&lt;"&amp;DATE(YEAR($AC202),MONTH($AC202)+1,1),OverEnd,"&gt;="&amp;DATE(YEAR($AC202),MONTH($AC202),1))&gt;0,SUMIFS(OverValue,OverEmp,$C202,OverComp,V$5,OverDate,"&lt;"&amp;DATE(YEAR($AC202),MONTH($AC202)+1,1),OverEnd,"&gt;="&amp;DATE(YEAR($AC202),MONTH($AC202),1)),IF(OR(V$2="Fixed",V$2="Not Used"),(OFFSET(Setup!$E$81,MATCH(V$5,CompListItem,0),0,1,1)*$AA202)-SUMIFS(OFFSET(V$6,1,0,PayCount,1),PayDate,"&lt;"&amp;$AC202,PayEmp,$C202),IF(ISNA(MATCH(V$2,DedListItem,0))=FALSE,(SUMPRODUCT((PayEmp=$C202)*(PayDate&lt;=$AC202)*(PayDedList=V$2)*(PayDedValues))*OFFSET(Setup!$E$81,MATCH(V$5,CompListItem,0),0,1,1))-SUMIFS(OFFSET(V$6,1,0,PayCount,1),PayDate,"&lt;"&amp;$AC202,PayEmp,$C202),(MIN(IF(OFFSET(Setup!$G$81,MATCH(V$5,CompListItem,0),0,1,1)="Taxable",SUMPRODUCT((PayEmp=$C202)*(PayDate&lt;=$AC202)*(ISERROR(SEARCH(PayEarnCode,V$4)))*(PayEarnTax)*(PayEarnValues)),SUMPRODUCT((PayEmp=$C202)*(PayDate&lt;=$AC202)*(ISERROR(SEARCH(PayEarnCode,V$4)))*(PayEarnValues))),IF(ISNUMBER(V$3),V$3/12*$AA202,IgnoreMin)))*OFFSET(Setup!$E$81,MATCH(V$5,CompListItem,0),0,1,1)-SUMIFS(OFFSET(V$6,1,0,PayCount,1),PayDate,"&lt;"&amp;$AC202,PayEmp,$C202)))))))</f>
        <v>0</v>
      </c>
      <c r="W202" s="133" cm="1">
        <f t="array" aca="1" ref="W202" ca="1">IF($F202="Terminated",0,IF($AA202=0,0,IF(ISNA(MATCH(W$5,CompListItem,0)),0,IF(COUNTIFS(OverEmp,$C202,OverComp,W$5,OverDate,"&lt;"&amp;DATE(YEAR($AC202),MONTH($AC202)+1,1),OverEnd,"&gt;="&amp;DATE(YEAR($AC202),MONTH($AC202),1))&gt;0,SUMIFS(OverValue,OverEmp,$C202,OverComp,W$5,OverDate,"&lt;"&amp;DATE(YEAR($AC202),MONTH($AC202)+1,1),OverEnd,"&gt;="&amp;DATE(YEAR($AC202),MONTH($AC202),1)),IF(OR(W$2="Fixed",W$2="Not Used"),(OFFSET(Setup!$E$81,MATCH(W$5,CompListItem,0),0,1,1)*$AA202)-SUMIFS(OFFSET(W$6,1,0,PayCount,1),PayDate,"&lt;"&amp;$AC202,PayEmp,$C202),IF(ISNA(MATCH(W$2,DedListItem,0))=FALSE,(SUMPRODUCT((PayEmp=$C202)*(PayDate&lt;=$AC202)*(PayDedList=W$2)*(PayDedValues))*OFFSET(Setup!$E$81,MATCH(W$5,CompListItem,0),0,1,1))-SUMIFS(OFFSET(W$6,1,0,PayCount,1),PayDate,"&lt;"&amp;$AC202,PayEmp,$C202),(MIN(IF(OFFSET(Setup!$G$81,MATCH(W$5,CompListItem,0),0,1,1)="Taxable",SUMPRODUCT((PayEmp=$C202)*(PayDate&lt;=$AC202)*(ISERROR(SEARCH(PayEarnCode,W$4)))*(PayEarnTax)*(PayEarnValues)),SUMPRODUCT((PayEmp=$C202)*(PayDate&lt;=$AC202)*(ISERROR(SEARCH(PayEarnCode,W$4)))*(PayEarnValues))),IF(ISNUMBER(W$3),W$3/12*$AA202,IgnoreMin)))*OFFSET(Setup!$E$81,MATCH(W$5,CompListItem,0),0,1,1)-SUMIFS(OFFSET(W$6,1,0,PayCount,1),PayDate,"&lt;"&amp;$AC202,PayEmp,$C202)))))))</f>
        <v>0</v>
      </c>
      <c r="X202" s="185">
        <f t="shared" ca="1" si="98"/>
        <v>0</v>
      </c>
      <c r="Y202" s="139">
        <f t="shared" ca="1" si="99"/>
        <v>0</v>
      </c>
      <c r="Z202" s="139">
        <f t="shared" ca="1" si="100"/>
        <v>0</v>
      </c>
      <c r="AA202" s="146">
        <f ca="1">IF(OR($B202&lt;=Setup!$E$12,$B202&gt;=Setup!$D$12+1),0,IF($F202&lt;&gt;"Active",0,IF($AE202="Yes",$AB202,((YEAR($AC202)*12)+MONTH($AC202))-((YEAR($AD202)*12)+MONTH($AD202)-1))))</f>
        <v>0</v>
      </c>
      <c r="AB202" s="146">
        <f ca="1">IF(OR($B202&lt;=Setup!$E$12,$B202&gt;=Setup!$D$12+1),0,((YEAR($AC202)*12)+MONTH($AC202))-((YEAR(Setup!$E$12)*12)+MONTH(Setup!$E$12)))</f>
        <v>12</v>
      </c>
      <c r="AC202" s="186">
        <f t="shared" ca="1" si="101"/>
        <v>45351</v>
      </c>
      <c r="AD202" s="144">
        <f ca="1">IF(ISNA(VLOOKUP($C202,EmpAll,COLUMN(Emp!$E$4),0)),$AC202,IF(VLOOKUP($C202,EmpAll,COLUMN(Emp!$E$4),0)&lt;=Setup!$E$12,DATE(YEAR(Setup!$E$12),MONTH(Setup!$E$12)+1,1),VLOOKUP($C202,EmpAll,COLUMN(Emp!$E$4),0)))</f>
        <v>45351</v>
      </c>
      <c r="AE202" s="144" t="str">
        <f ca="1">IF(ISNA(VLOOKUP($C202,EmpAll,COLUMN(Emp!$G$1),0)),"-",IF(VLOOKUP($C202,EmpAll,COLUMN(Emp!$G$1),0)=0,"-",VLOOKUP($C202,EmpAll,COLUMN(Emp!$G$1),0)))</f>
        <v>-</v>
      </c>
      <c r="AF202" s="145">
        <f>IF(A202=PaySlip!$G$3,1,0)</f>
        <v>0</v>
      </c>
      <c r="AG202" s="130" cm="1">
        <f t="array" aca="1" ref="AG202" ca="1">IF(COUNTIFS(OverEmp,$C202,OverMed,"MED",OverDate,"&lt;"&amp;DATE(YEAR($AC202),MONTH($AC202)+1,1),OverEnd,"&gt;="&amp;DATE(YEAR($AC202),MONTH($AC202),1))&gt;0,SUMIFS(OverValue,OverEmp,$C202,OverMed,"MED",OverDate,"&lt;"&amp;DATE(YEAR($AC202),MONTH($AC202)+1,1),OverEnd,"&gt;="&amp;DATE(YEAR($AC202),MONTH($AC202),1)),IF(ISNA(VLOOKUP($C202,EmpAll,COLUMN(Emp!$N$4),0)),0,VLOOKUP($C202,EmpAll,COLUMN(Emp!$N$4),0)))</f>
        <v>0</v>
      </c>
      <c r="AH202" s="146">
        <f ca="1">VLOOKUP($AG202,MedList,COLUMN(Setup!$C$49),1)</f>
        <v>0</v>
      </c>
      <c r="AI202" s="146">
        <f t="shared" ca="1" si="107"/>
        <v>0</v>
      </c>
      <c r="AJ202" s="101" t="str">
        <f ca="1">IF(ISNA(VLOOKUP($C202,EmpAll,COLUMN(Emp!$L$4),0)),"None!",VLOOKUP($C202,EmpAll,COLUMN(Emp!$L$4),0))</f>
        <v>None!</v>
      </c>
      <c r="AK202" s="147">
        <f t="shared" ca="1" si="102"/>
        <v>17235</v>
      </c>
      <c r="AL202" s="101" t="str">
        <f ca="1">IF(ISNA(VLOOKUP($C202,Employees[],COLUMN(Emp!$M$4),0))=TRUE,"Error!",IF(VLOOKUP($C202,Employees[],COLUMN(Emp!$M$4),0)=0,"Yes",VLOOKUP($C202,Employees[],COLUMN(Emp!$M$4),0)))</f>
        <v>Error!</v>
      </c>
      <c r="AM202" s="148">
        <f t="shared" ca="1" si="108"/>
        <v>0</v>
      </c>
      <c r="AN202" s="148" cm="1">
        <f t="array" aca="1" ref="AN202" ca="1">-IF($F202="Terminated",0,IF($AA202=0,0,IF(ISNA(MATCH(AN$5,PayDedList,0)),0,MIN(IF(COUNTIFS(OverEmp,$C202,OverDeduct,AN$5,OverDate,"&lt;"&amp;DATE(YEAR($AC202),MONTH($AC202)+1,1),OverEnd,"&gt;="&amp;DATE(YEAR($AC202),MONTH($AC202),1))&gt;0,SUMPRODUCT((PayEmp=$C202)*(PayDate&lt;=$AC202)*(OFFSET($N$6,1,MATCH(AN$5,PayDedList,0)-1,PayCount,1)))/$AA202*12*AN$3,IF(OR(AN$1="Fixed",AN$1="Not Used"),SUMPRODUCT((PayEmp=$C202)*(PayDate&lt;=$AC202)*(OFFSET($N$6,1,MATCH(AN$5,PayDedList,0)-1,PayCount,1)))/$AA202*12*AN$3,IF(ISNA(MATCH(AN$1,EarnListItem,0))=FALSE,SUMPRODUCT((PayEmp=$C202)*(PayDate&lt;=$AC202)*(OFFSET($N$6,1,MATCH(AN$5,PayDedList,0)-1,PayCount,1)))/$AA202*12*AN$3,(MIN(((SUMPRODUCT((PayEmp=$C202)*(PayDate&lt;=$AC202)*(ISERROR(SEARCH(PayEarnCode,AN$2)))*(PayEarnType="Monthly")*(PayEarnValues))/$AA202*12)+(SUMPRODUCT((PayEmp=$C202)*(PayDate&lt;=$AC202)*(ISERROR(SEARCH(PayEarnCode,AN$2)))*(PayEarnType="Quarterly")*(PayEarnValues))/MAX(1,ROUNDDOWN($AB202/3,0))*4)+(SUMPRODUCT((PayEmp=$C202)*(PayDate&lt;=$AC202)*(ISERROR(SEARCH(PayEarnCode,AN$2)))*(PayEarnType="Bi-Annual")*(PayEarnValues))/MAX(1,ROUNDDOWN($AB202/6,0))*2)+(SUMPRODUCT((PayEmp=$C202)*(PayDate&lt;=$AC202)*(ISERROR(SEARCH(PayEarnCode,AN$2)))*(PayEarnType="Annual")*(PayEarnValues)))),IF(ISNUMBER(OFFSET($N$3,0,MATCH(AN$5,PayDedList,0)-1,1,1)),OFFSET($N$3,0,MATCH(AN$5,PayDedList,0)-1,1,1),IgnoreMin)))*IF(COUNTIFS(EmpNo,$C202,OFFSET(Emp!$R$4,1,MATCH(AN$5,DedListItem,0)-1,EmpCount,1),"&lt;&gt;")&gt;0,VLOOKUP($C202,EmpAll,COLUMN(Emp!$R$4)+MATCH(AN$5,DedListItem,0)-1,0),OFFSET(Setup!$E$73,MATCH(AN$5,DedListItem,0),0,1,1))*AN$3))),IF(ISNUMBER(AN$4),AN$4,IgnoreMin)))))</f>
        <v>0</v>
      </c>
      <c r="AO202" s="148" cm="1">
        <f t="array" aca="1" ref="AO202" ca="1">-IF($F202="Terminated",0,IF($AA202=0,0,IF(ISNA(MATCH(AO$5,PayDedList,0)),0,MIN(IF(COUNTIFS(OverEmp,$C202,OverDeduct,AO$5,OverDate,"&lt;"&amp;DATE(YEAR($AC202),MONTH($AC202)+1,1),OverEnd,"&gt;="&amp;DATE(YEAR($AC202),MONTH($AC202),1))&gt;0,SUMPRODUCT((PayEmp=$C202)*(PayDate&lt;=$AC202)*(OFFSET($N$6,1,MATCH(AO$5,PayDedList,0)-1,PayCount,1)))/$AA202*12*AO$3,IF(OR(AO$1="Fixed",AO$1="Not Used"),SUMPRODUCT((PayEmp=$C202)*(PayDate&lt;=$AC202)*(OFFSET($N$6,1,MATCH(AO$5,PayDedList,0)-1,PayCount,1)))/$AA202*12*AO$3,IF(ISNA(MATCH(AO$1,EarnListItem,0))=FALSE,SUMPRODUCT((PayEmp=$C202)*(PayDate&lt;=$AC202)*(OFFSET($N$6,1,MATCH(AO$5,PayDedList,0)-1,PayCount,1)))/$AA202*12*AO$3,(MIN(((SUMPRODUCT((PayEmp=$C202)*(PayDate&lt;=$AC202)*(ISERROR(SEARCH(PayEarnCode,AO$2)))*(PayEarnType="Monthly")*(PayEarnValues))/$AA202*12)+(SUMPRODUCT((PayEmp=$C202)*(PayDate&lt;=$AC202)*(ISERROR(SEARCH(PayEarnCode,AO$2)))*(PayEarnType="Quarterly")*(PayEarnValues))/MAX(1,ROUNDDOWN($AB202/3,0))*4)+(SUMPRODUCT((PayEmp=$C202)*(PayDate&lt;=$AC202)*(ISERROR(SEARCH(PayEarnCode,AO$2)))*(PayEarnType="Bi-Annual")*(PayEarnValues))/MAX(1,ROUNDDOWN($AB202/6,0))*2)+(SUMPRODUCT((PayEmp=$C202)*(PayDate&lt;=$AC202)*(ISERROR(SEARCH(PayEarnCode,AO$2)))*(PayEarnType="Annual")*(PayEarnValues)))),IF(ISNUMBER(OFFSET($N$3,0,MATCH(AO$5,PayDedList,0)-1,1,1)),OFFSET($N$3,0,MATCH(AO$5,PayDedList,0)-1,1,1),IgnoreMin)))*IF(COUNTIFS(EmpNo,$C202,OFFSET(Emp!$R$4,1,MATCH(AO$5,DedListItem,0)-1,EmpCount,1),"&lt;&gt;")&gt;0,VLOOKUP($C202,EmpAll,COLUMN(Emp!$R$4)+MATCH(AO$5,DedListItem,0)-1,0),OFFSET(Setup!$E$73,MATCH(AO$5,DedListItem,0),0,1,1))*AO$3))),IF(ISNUMBER(AO$4),AO$4,IgnoreMin)))))</f>
        <v>0</v>
      </c>
      <c r="AP202" s="148" cm="1">
        <f t="array" aca="1" ref="AP202" ca="1">-IF($F202="Terminated",0,IF($AA202=0,0,IF(ISNA(MATCH(AP$5,PayDedList,0)),0,MIN(IF(COUNTIFS(OverEmp,$C202,OverDeduct,AP$5,OverDate,"&lt;"&amp;DATE(YEAR($AC202),MONTH($AC202)+1,1),OverEnd,"&gt;="&amp;DATE(YEAR($AC202),MONTH($AC202),1))&gt;0,SUMPRODUCT((PayEmp=$C202)*(PayDate&lt;=$AC202)*(OFFSET($N$6,1,MATCH(AP$5,PayDedList,0)-1,PayCount,1)))/$AA202*12*AP$3,IF(OR(AP$1="Fixed",AP$1="Not Used"),SUMPRODUCT((PayEmp=$C202)*(PayDate&lt;=$AC202)*(OFFSET($N$6,1,MATCH(AP$5,PayDedList,0)-1,PayCount,1)))/$AA202*12*AP$3,IF(ISNA(MATCH(AP$1,EarnListItem,0))=FALSE,SUMPRODUCT((PayEmp=$C202)*(PayDate&lt;=$AC202)*(OFFSET($N$6,1,MATCH(AP$5,PayDedList,0)-1,PayCount,1)))/$AA202*12*AP$3,(MIN(((SUMPRODUCT((PayEmp=$C202)*(PayDate&lt;=$AC202)*(ISERROR(SEARCH(PayEarnCode,AP$2)))*(PayEarnType="Monthly")*(PayEarnValues))/$AA202*12)+(SUMPRODUCT((PayEmp=$C202)*(PayDate&lt;=$AC202)*(ISERROR(SEARCH(PayEarnCode,AP$2)))*(PayEarnType="Quarterly")*(PayEarnValues))/MAX(1,ROUNDDOWN($AB202/3,0))*4)+(SUMPRODUCT((PayEmp=$C202)*(PayDate&lt;=$AC202)*(ISERROR(SEARCH(PayEarnCode,AP$2)))*(PayEarnType="Bi-Annual")*(PayEarnValues))/MAX(1,ROUNDDOWN($AB202/6,0))*2)+(SUMPRODUCT((PayEmp=$C202)*(PayDate&lt;=$AC202)*(ISERROR(SEARCH(PayEarnCode,AP$2)))*(PayEarnType="Annual")*(PayEarnValues)))),IF(ISNUMBER(OFFSET($N$3,0,MATCH(AP$5,PayDedList,0)-1,1,1)),OFFSET($N$3,0,MATCH(AP$5,PayDedList,0)-1,1,1),IgnoreMin)))*IF(COUNTIFS(EmpNo,$C202,OFFSET(Emp!$R$4,1,MATCH(AP$5,DedListItem,0)-1,EmpCount,1),"&lt;&gt;")&gt;0,VLOOKUP($C202,EmpAll,COLUMN(Emp!$R$4)+MATCH(AP$5,DedListItem,0)-1,0),OFFSET(Setup!$E$73,MATCH(AP$5,DedListItem,0),0,1,1))*AP$3))),IF(ISNUMBER(AP$4),AP$4,IgnoreMin)))))</f>
        <v>0</v>
      </c>
      <c r="AQ202" s="148" cm="1">
        <f t="array" aca="1" ref="AQ202" ca="1">-IF($F202="Terminated",0,IF($AA202=0,0,IF(ISNA(MATCH(AQ$5,PayDedList,0)),0,MIN(IF(COUNTIFS(OverEmp,$C202,OverDeduct,AQ$5,OverDate,"&lt;"&amp;DATE(YEAR($AC202),MONTH($AC202)+1,1),OverEnd,"&gt;="&amp;DATE(YEAR($AC202),MONTH($AC202),1))&gt;0,SUMPRODUCT((PayEmp=$C202)*(PayDate&lt;=$AC202)*(OFFSET($N$6,1,MATCH(AQ$5,PayDedList,0)-1,PayCount,1)))/$AA202*12*AQ$3,IF(OR(AQ$1="Fixed",AQ$1="Not Used"),SUMPRODUCT((PayEmp=$C202)*(PayDate&lt;=$AC202)*(OFFSET($N$6,1,MATCH(AQ$5,PayDedList,0)-1,PayCount,1)))/$AA202*12*AQ$3,IF(ISNA(MATCH(AQ$1,EarnListItem,0))=FALSE,SUMPRODUCT((PayEmp=$C202)*(PayDate&lt;=$AC202)*(OFFSET($N$6,1,MATCH(AQ$5,PayDedList,0)-1,PayCount,1)))/$AA202*12*AQ$3,(MIN(((SUMPRODUCT((PayEmp=$C202)*(PayDate&lt;=$AC202)*(ISERROR(SEARCH(PayEarnCode,AQ$2)))*(PayEarnType="Monthly")*(PayEarnValues))/$AA202*12)+(SUMPRODUCT((PayEmp=$C202)*(PayDate&lt;=$AC202)*(ISERROR(SEARCH(PayEarnCode,AQ$2)))*(PayEarnType="Quarterly")*(PayEarnValues))/MAX(1,ROUNDDOWN($AB202/3,0))*4)+(SUMPRODUCT((PayEmp=$C202)*(PayDate&lt;=$AC202)*(ISERROR(SEARCH(PayEarnCode,AQ$2)))*(PayEarnType="Bi-Annual")*(PayEarnValues))/MAX(1,ROUNDDOWN($AB202/6,0))*2)+(SUMPRODUCT((PayEmp=$C202)*(PayDate&lt;=$AC202)*(ISERROR(SEARCH(PayEarnCode,AQ$2)))*(PayEarnType="Annual")*(PayEarnValues)))),IF(ISNUMBER(OFFSET($N$3,0,MATCH(AQ$5,PayDedList,0)-1,1,1)),OFFSET($N$3,0,MATCH(AQ$5,PayDedList,0)-1,1,1),IgnoreMin)))*IF(COUNTIFS(EmpNo,$C202,OFFSET(Emp!$R$4,1,MATCH(AQ$5,DedListItem,0)-1,EmpCount,1),"&lt;&gt;")&gt;0,VLOOKUP($C202,EmpAll,COLUMN(Emp!$R$4)+MATCH(AQ$5,DedListItem,0)-1,0),OFFSET(Setup!$E$73,MATCH(AQ$5,DedListItem,0),0,1,1))*AQ$3))),IF(ISNUMBER(AQ$4),AQ$4,IgnoreMin)))))</f>
        <v>0</v>
      </c>
      <c r="AR202" s="148">
        <f t="shared" ca="1" si="103"/>
        <v>0</v>
      </c>
      <c r="AS202" s="148">
        <f t="shared" ca="1" si="109"/>
        <v>0</v>
      </c>
      <c r="AT202" s="148" cm="1">
        <f t="array" aca="1" ref="AT202" ca="1">-IF($F202="Terminated",0,IF($AA202=0,0,IF(ISNA(MATCH(AT$5,PayDedList,0)),0,MIN(IF(COUNTIFS(OverEmp,$C202,OverDeduct,AT$5,OverDate,"&lt;"&amp;DATE(YEAR($AC202),MONTH($AC202)+1,1),OverEnd,"&gt;="&amp;DATE(YEAR($AC202),MONTH($AC202),1))&gt;0,SUMPRODUCT((PayEmp=$C202)*(PayDate&lt;=$AC202)*(OFFSET($N$6,1,MATCH(AT$5,PayDedList,0)-1,PayCount,1)))/$AA202*12*AT$3,IF(OR(AT$1="Fixed",AT$1="Not Used"),SUMPRODUCT((PayEmp=$C202)*(PayDate&lt;=$AC202)*(OFFSET($N$6,1,MATCH(AT$5,PayDedList,0)-1,PayCount,1)))/$AA202*12*AT$3,IF(ISNA(MATCH(OFFSET($N$2,0,MATCH(AT$5,PayDedList,0)-1,1,1),EarnListItem,0))=FALSE,SUMPRODUCT((PayEmp=$C202)*(PayDate&lt;=$AC202)*(OFFSET($N$6,1,MATCH(AT$5,PayDedList,0)-1,PayCount,1)))/$AA202*12*AT$3,(MIN(SUMPRODUCT((PayEmp=$C202)*(PayDate&lt;=$AC202)*(ISERROR(SEARCH(PayEarnCode,AT$2)))*(PayEarnType="Monthly")*(PayEarnValues))/$AA202*12,IF(ISNUMBER(OFFSET($N$3,0,MATCH(AT$5,PayDedList,0)-1,1,1)),OFFSET($N$3,0,MATCH(AT$5,PayDedList,0)-1,1,1),IgnoreMin)))*IF(COUNTIFS(EmpNo,$C202,OFFSET(Emp!$R$4,1,MATCH(AT$5,DedListItem,0)-1,EmpCount,1),"&lt;&gt;")&gt;0,VLOOKUP($C202,EmpAll,COLUMN(Emp!$R$4)+MATCH(AT$5,DedListItem,0)-1,0),OFFSET(Setup!$E$73,MATCH(AT$5,DedListItem,0),0,1,1))*AT$3))),IF(ISNUMBER(AT$4),AT$4,IgnoreMin)))))</f>
        <v>0</v>
      </c>
      <c r="AU202" s="148" cm="1">
        <f t="array" aca="1" ref="AU202" ca="1">-IF($F202="Terminated",0,IF($AA202=0,0,IF(ISNA(MATCH(AU$5,PayDedList,0)),0,MIN(IF(COUNTIFS(OverEmp,$C202,OverDeduct,AU$5,OverDate,"&lt;"&amp;DATE(YEAR($AC202),MONTH($AC202)+1,1),OverEnd,"&gt;="&amp;DATE(YEAR($AC202),MONTH($AC202),1))&gt;0,SUMPRODUCT((PayEmp=$C202)*(PayDate&lt;=$AC202)*(OFFSET($N$6,1,MATCH(AU$5,PayDedList,0)-1,PayCount,1)))/$AA202*12*AU$3,IF(OR(AU$1="Fixed",AU$1="Not Used"),SUMPRODUCT((PayEmp=$C202)*(PayDate&lt;=$AC202)*(OFFSET($N$6,1,MATCH(AU$5,PayDedList,0)-1,PayCount,1)))/$AA202*12*AU$3,IF(ISNA(MATCH(OFFSET($N$2,0,MATCH(AU$5,PayDedList,0)-1,1,1),EarnListItem,0))=FALSE,SUMPRODUCT((PayEmp=$C202)*(PayDate&lt;=$AC202)*(OFFSET($N$6,1,MATCH(AU$5,PayDedList,0)-1,PayCount,1)))/$AA202*12*AU$3,(MIN(SUMPRODUCT((PayEmp=$C202)*(PayDate&lt;=$AC202)*(ISERROR(SEARCH(PayEarnCode,AU$2)))*(PayEarnType="Monthly")*(PayEarnValues))/$AA202*12,IF(ISNUMBER(OFFSET($N$3,0,MATCH(AU$5,PayDedList,0)-1,1,1)),OFFSET($N$3,0,MATCH(AU$5,PayDedList,0)-1,1,1),IgnoreMin)))*IF(COUNTIFS(EmpNo,$C202,OFFSET(Emp!$R$4,1,MATCH(AU$5,DedListItem,0)-1,EmpCount,1),"&lt;&gt;")&gt;0,VLOOKUP($C202,EmpAll,COLUMN(Emp!$R$4)+MATCH(AU$5,DedListItem,0)-1,0),OFFSET(Setup!$E$73,MATCH(AU$5,DedListItem,0),0,1,1))*AU$3))),IF(ISNUMBER(AU$4),AU$4,IgnoreMin)))))</f>
        <v>0</v>
      </c>
      <c r="AV202" s="148" cm="1">
        <f t="array" aca="1" ref="AV202" ca="1">-IF($F202="Terminated",0,IF($AA202=0,0,IF(ISNA(MATCH(AV$5,PayDedList,0)),0,MIN(IF(COUNTIFS(OverEmp,$C202,OverDeduct,AV$5,OverDate,"&lt;"&amp;DATE(YEAR($AC202),MONTH($AC202)+1,1),OverEnd,"&gt;="&amp;DATE(YEAR($AC202),MONTH($AC202),1))&gt;0,SUMPRODUCT((PayEmp=$C202)*(PayDate&lt;=$AC202)*(OFFSET($N$6,1,MATCH(AV$5,PayDedList,0)-1,PayCount,1)))/$AA202*12*AV$3,IF(OR(AV$1="Fixed",AV$1="Not Used"),SUMPRODUCT((PayEmp=$C202)*(PayDate&lt;=$AC202)*(OFFSET($N$6,1,MATCH(AV$5,PayDedList,0)-1,PayCount,1)))/$AA202*12*AV$3,IF(ISNA(MATCH(OFFSET($N$2,0,MATCH(AV$5,PayDedList,0)-1,1,1),EarnListItem,0))=FALSE,SUMPRODUCT((PayEmp=$C202)*(PayDate&lt;=$AC202)*(OFFSET($N$6,1,MATCH(AV$5,PayDedList,0)-1,PayCount,1)))/$AA202*12*AV$3,(MIN(SUMPRODUCT((PayEmp=$C202)*(PayDate&lt;=$AC202)*(ISERROR(SEARCH(PayEarnCode,AV$2)))*(PayEarnType="Monthly")*(PayEarnValues))/$AA202*12,IF(ISNUMBER(OFFSET($N$3,0,MATCH(AV$5,PayDedList,0)-1,1,1)),OFFSET($N$3,0,MATCH(AV$5,PayDedList,0)-1,1,1),IgnoreMin)))*IF(COUNTIFS(EmpNo,$C202,OFFSET(Emp!$R$4,1,MATCH(AV$5,DedListItem,0)-1,EmpCount,1),"&lt;&gt;")&gt;0,VLOOKUP($C202,EmpAll,COLUMN(Emp!$R$4)+MATCH(AV$5,DedListItem,0)-1,0),OFFSET(Setup!$E$73,MATCH(AV$5,DedListItem,0),0,1,1))*AV$3))),IF(ISNUMBER(AV$4),AV$4,IgnoreMin)))))</f>
        <v>0</v>
      </c>
      <c r="AW202" s="148" cm="1">
        <f t="array" aca="1" ref="AW202" ca="1">-IF($F202="Terminated",0,IF($AA202=0,0,IF(ISNA(MATCH(AW$5,PayDedList,0)),0,MIN(IF(COUNTIFS(OverEmp,$C202,OverDeduct,AW$5,OverDate,"&lt;"&amp;DATE(YEAR($AC202),MONTH($AC202)+1,1),OverEnd,"&gt;="&amp;DATE(YEAR($AC202),MONTH($AC202),1))&gt;0,SUMPRODUCT((PayEmp=$C202)*(PayDate&lt;=$AC202)*(OFFSET($N$6,1,MATCH(AW$5,PayDedList,0)-1,PayCount,1)))/$AA202*12*AW$3,IF(OR(AW$1="Fixed",AW$1="Not Used"),SUMPRODUCT((PayEmp=$C202)*(PayDate&lt;=$AC202)*(OFFSET($N$6,1,MATCH(AW$5,PayDedList,0)-1,PayCount,1)))/$AA202*12*AW$3,IF(ISNA(MATCH(OFFSET($N$2,0,MATCH(AW$5,PayDedList,0)-1,1,1),EarnListItem,0))=FALSE,SUMPRODUCT((PayEmp=$C202)*(PayDate&lt;=$AC202)*(OFFSET($N$6,1,MATCH(AW$5,PayDedList,0)-1,PayCount,1)))/$AA202*12*AW$3,(MIN(SUMPRODUCT((PayEmp=$C202)*(PayDate&lt;=$AC202)*(ISERROR(SEARCH(PayEarnCode,AW$2)))*(PayEarnType="Monthly")*(PayEarnValues))/$AA202*12,IF(ISNUMBER(OFFSET($N$3,0,MATCH(AW$5,PayDedList,0)-1,1,1)),OFFSET($N$3,0,MATCH(AW$5,PayDedList,0)-1,1,1),IgnoreMin)))*IF(COUNTIFS(EmpNo,$C202,OFFSET(Emp!$R$4,1,MATCH(AW$5,DedListItem,0)-1,EmpCount,1),"&lt;&gt;")&gt;0,VLOOKUP($C202,EmpAll,COLUMN(Emp!$R$4)+MATCH(AW$5,DedListItem,0)-1,0),OFFSET(Setup!$E$73,MATCH(AW$5,DedListItem,0),0,1,1))*AW$3))),IF(ISNUMBER(AW$4),AW$4,IgnoreMin)))))</f>
        <v>0</v>
      </c>
      <c r="AX202" s="148">
        <f t="shared" ca="1" si="104"/>
        <v>0</v>
      </c>
      <c r="AY202" s="148">
        <f t="shared" ca="1" si="105"/>
        <v>0</v>
      </c>
      <c r="AZ202" s="148">
        <f ca="1">IF(ISNUMBER($AL202),($AR202*$AL202)-$AI202-$AK202,MAX(0,IF($AL202="B",IF($AR202&lt;Setup!$C$32,($AR202*Setup!$D$32)-$AI202-$AK202,(($AR202-VLOOKUP($AR202,TaxAll2,1,1))*OFFSET(Setup!$D$32,MATCH($AR202,TaxBracket2,1),0,1,1))+OFFSET(Setup!$E$31,MATCH($AR202,TaxBracket2,1),0,1,1)-$AI202-$AK202),IF($AR202&lt;Setup!$C$21,($AR202*Setup!$D$21)-$AI202-$AK202,(($AR202-VLOOKUP($AR202,TaxAll1,1,1))*OFFSET(Setup!$D$21,MATCH($AR202,TaxBracket1,1),0,1,1))+OFFSET(Setup!$E$20,MATCH($AR202,TaxBracket1,1),0,1,1)-$AI202-$AK202))))</f>
        <v>0</v>
      </c>
      <c r="BA202" s="148">
        <f ca="1">IF(ISNUMBER($AL202),($AX202*$AL202)-$AI202-$AK202,MAX(0,IF($AL202="B",IF($AX202&lt;Setup!$C$32,($AX202*Setup!$D$32)-$AI202-$AK202,(($AX202-VLOOKUP($AX202,TaxAll2,1,1))*OFFSET(Setup!$D$32,MATCH($AX202,TaxBracket2,1),0,1,1))+OFFSET(Setup!$E$31,MATCH($AX202,TaxBracket2,1),0,1,1)-$AI202-$AK202),IF($AX202&lt;Setup!$C$21,($AX202*Setup!$D$21)-$AI202-$AK202,(($AX202-VLOOKUP($AX202,TaxAll1,1,1))*OFFSET(Setup!$D$21,MATCH($AX202,TaxBracket1,1),0,1,1))+OFFSET(Setup!$E$20,MATCH($AX202,TaxBracket1,1),0,1,1)-$AI202-$AK202))))</f>
        <v>0</v>
      </c>
      <c r="BB202" s="148">
        <f t="shared" ca="1" si="106"/>
        <v>0</v>
      </c>
      <c r="BC202" s="150">
        <f t="shared" ca="1" si="110"/>
        <v>0</v>
      </c>
      <c r="BD202" s="150">
        <f t="shared" ca="1" si="111"/>
        <v>0</v>
      </c>
      <c r="BE202" s="148">
        <f t="shared" ca="1" si="112"/>
        <v>0</v>
      </c>
    </row>
    <row r="203" spans="1:57" ht="16.149999999999999" customHeight="1" x14ac:dyDescent="0.25">
      <c r="A203" s="10" t="str" cm="1">
        <f t="array" ref="A203">IF(ROW($A203)-ROW($A$6)&gt;EmpCount*12,"-",TEXT($B203,"yyyy")&amp;TEXT($B203,"mm")&amp;"-"&amp;$C203)</f>
        <v>-</v>
      </c>
      <c r="B203" s="137" cm="1">
        <f t="array" aca="1" ref="B203" ca="1">IF(ROW($A203)-ROW($A$6)&gt;EmpCount*12,Setup!$D$12,DATE(YEAR(Setup!$F$12),MONTH(Setup!$F$12)+ROUNDDOWN((ROW($A203)-ROW($A$6)-1)/EmpCount,0),IF(Setup!$C$14&gt;DAY(DATE(YEAR(Setup!$F$12),MONTH(Setup!$F$12)+ROUNDDOWN((ROW($A203)-ROW($A$6)-1)/EmpCount,0)+1,0)),DAY(DATE(YEAR(Setup!$F$12),MONTH(Setup!$F$12)+ROUNDDOWN((ROW($A203)-ROW($A$6)-1)/EmpCount,0)+1,0)),Setup!$C$14)))</f>
        <v>45351</v>
      </c>
      <c r="C203" s="101" t="str" cm="1">
        <f t="array" aca="1" ref="C203" ca="1">IF(ROW($A203)-ROW($A$6)&gt;EmpCount*12,"-",OFFSET(Emp!$A$4,ROW($A203)-ROW($A$6)-IF(ROW($A203)-ROW($A$6)&gt;EmpCount,ROUNDDOWN((ROW($A203)-ROW($A$6)-1)/EmpCount,0)*EmpCount,0),0,1,1))</f>
        <v>-</v>
      </c>
      <c r="D203" s="10" t="str">
        <f ca="1">IF(ISNA(VLOOKUP($C203,EmpAll,COLUMN(Emp!$B$4),0)),"-",VLOOKUP($C203,EmpAll,COLUMN(Emp!$B$4),0))</f>
        <v>-</v>
      </c>
      <c r="E203" s="145" t="str">
        <f ca="1">IF(ISNA(VLOOKUP($C203,EmpAll,COLUMN(Emp!$C$4),0)),"-",VLOOKUP($C203,EmpAll,COLUMN(Emp!$C$4),0))</f>
        <v>-</v>
      </c>
      <c r="F203" s="101" t="str">
        <f ca="1">IF(ISNA(VLOOKUP($C203,EmpAll,COLUMN(Emp!$A$4),0)),"-",IF(AND(VLOOKUP($C203,EmpAll,COLUMN(Emp!$E$4),0)&lt;&gt;0,VLOOKUP($C203,EmpAll,COLUMN(Emp!$E$4),0)&gt;=DATE(YEAR($AC203),MONTH($AC203)+1,0)),"Inactive",IF(AND(VLOOKUP($C203,EmpAll,COLUMN(Emp!$F$4),0)&lt;&gt;0,VLOOKUP($C203,EmpAll,COLUMN(Emp!$F$4),0)&lt;=DATE(YEAR($AC203),MONTH($AC203),0)),"Terminated","Active")))</f>
        <v>-</v>
      </c>
      <c r="G203" s="133" cm="1">
        <f t="array" aca="1" ref="G203" ca="1">IF($F203&lt;&gt;"Active",0,IF(COUNTIFS(OverEmp,$C203,OverEarn,G$2,OverDate,"&lt;"&amp;DATE(YEAR($AC203),MONTH($AC203)+1,1),OverEnd,"&gt;="&amp;DATE(YEAR($AC203),MONTH($AC203),1))&gt;0,SUMIFS(OverValue,OverEmp,$C203,OverEarn,G$2,OverDate,"&lt;"&amp;DATE(YEAR($AC203),MONTH($AC203)+1,1),OverEnd,"&gt;="&amp;DATE(YEAR($AC203),MONTH($AC203),1)),IF(AND($AC203&gt;=Setup!$E$10,SUMIFS(EmpIncrease,EmpCode,$C203)&gt;0),SUMIFS(EmpIncrease,EmpCode,$C203),SUMIFS(EmpSalary,EmpCode,$C203))))</f>
        <v>0</v>
      </c>
      <c r="H203" s="133" cm="1">
        <f t="array" aca="1" ref="H203" ca="1">IF($F203&lt;&gt;"Active",0,IF(COUNTIFS(OverEmp,$C203,OverEarn,H$2,OverDate,"&lt;"&amp;DATE(YEAR($AC203),MONTH($AC203)+1,1),OverEnd,"&gt;="&amp;DATE(YEAR($AC203),MONTH($AC203),1))&gt;0,SUMIFS(OverValue,OverEmp,$C203,OverEarn,H$2,OverDate,"&lt;"&amp;DATE(YEAR($AC203),MONTH($AC203)+1,1),OverEnd,"&gt;="&amp;DATE(YEAR($AC203),MONTH($AC203),1)),0))</f>
        <v>0</v>
      </c>
      <c r="I203" s="133" cm="1">
        <f t="array" aca="1" ref="I203" ca="1">IF($F203&lt;&gt;"Active",0,IF(COUNTIFS(OverEmp,$C203,OverEarn,I$2,OverDate,"&lt;"&amp;DATE(YEAR($AC203),MONTH($AC203)+1,1),OverEnd,"&gt;="&amp;DATE(YEAR($AC203),MONTH($AC203),1))&gt;0,SUMIFS(OverValue,OverEmp,$C203,OverEarn,I$2,OverDate,"&lt;"&amp;DATE(YEAR($AC203),MONTH($AC203)+1,1),OverEnd,"&gt;="&amp;DATE(YEAR($AC203),MONTH($AC203),1)),IF(MONTH(B203)=Setup!$C$15,SUMIFS(EmpBonus,EmpCode,$C203),0)))</f>
        <v>0</v>
      </c>
      <c r="J203" s="133" cm="1">
        <f t="array" aca="1" ref="J203" ca="1">IF($F203&lt;&gt;"Active",0,IF(COUNTIFS(OverEmp,$C203,OverEarn,J$2,OverDate,"&lt;"&amp;DATE(YEAR($AC203),MONTH($AC203)+1,1),OverEnd,"&gt;="&amp;DATE(YEAR($AC203),MONTH($AC203),1))&gt;0,SUMIFS(OverValue,OverEmp,$C203,OverEarn,J$2,OverDate,"&lt;"&amp;DATE(YEAR($AC203),MONTH($AC203)+1,1),OverEnd,"&gt;="&amp;DATE(YEAR($AC203),MONTH($AC203),1)),0))</f>
        <v>0</v>
      </c>
      <c r="K203" s="133" cm="1">
        <f t="array" aca="1" ref="K203" ca="1">IF($F203&lt;&gt;"Active",0,IF(COUNTIFS(OverEmp,$C203,OverEarn,K$2,OverDate,"&lt;"&amp;DATE(YEAR($AC203),MONTH($AC203)+1,1),OverEnd,"&gt;="&amp;DATE(YEAR($AC203),MONTH($AC203),1))&gt;0,SUMIFS(OverValue,OverEmp,$C203,OverEarn,K$2,OverDate,"&lt;"&amp;DATE(YEAR($AC203),MONTH($AC203)+1,1),OverEnd,"&gt;="&amp;DATE(YEAR($AC203),MONTH($AC203),1)),0))</f>
        <v>0</v>
      </c>
      <c r="L203" s="185">
        <f t="shared" ca="1" si="95"/>
        <v>0</v>
      </c>
      <c r="M203" s="182" cm="1">
        <f t="array" aca="1" ref="M203" ca="1">IF(COUNTIFS(OverEmp,$C203,OverTax,M$5,OverDate,"&lt;"&amp;DATE(YEAR($AC203),MONTH($AC203)+1,1),OverEnd,"&gt;="&amp;DATE(YEAR($AC203),MONTH($AC203),1))&gt;0,SUMIFS(OverValue,OverEmp,$C203,OverTax,M$5,OverDate,"&lt;"&amp;DATE(YEAR($AC203),MONTH($AC203)+1,1),OverEnd,"&gt;="&amp;DATE(YEAR($AC203),MONTH($AC203),1)),(($BA203/12*$AA203)+(BB203*IF(1-$BC203=0,0,BD203/(1-$BC203))))-IF($F203="Terminated",0,SUMIFS(PayTaxDeduct,PayDate,"&lt;"&amp;$AC203,PayEmp,$C203)))</f>
        <v>0</v>
      </c>
      <c r="N203" s="133" cm="1">
        <f t="array" aca="1" ref="N203" ca="1">IF($F203="Terminated",0,IF($AA203=0,0,IF(ISNA(MATCH(N$5,DedListItem,0)),0,IF(COUNTIFS(OverEmp,$C203,OverDeduct,N$5,OverDate,"&lt;"&amp;DATE(YEAR($AC203),MONTH($AC203)+1,1),OverEnd,"&gt;="&amp;DATE(YEAR($AC203),MONTH($AC203),1))&gt;0,SUMIFS(OverValue,OverEmp,$C203,OverDeduct,N$5,OverDate,"&lt;"&amp;DATE(YEAR($AC203),MONTH($AC203)+1,1),OverEnd,"&gt;="&amp;DATE(YEAR($AC203),MONTH($AC203),1)),IF(OR(N$2="Fixed",N$2="Not Used"),(IF(COUNTIFS(EmpNo,$C203,OFFSET(Emp!$R$4,1,MATCH(N$5,DedListItem,0)-1,EmpCount,1),"&lt;&gt;")&gt;0,VLOOKUP($C203,EmpAll,COLUMN(Emp!$R$4)+MATCH(N$5,DedListItem,0)-1,0),OFFSET(Setup!$E$73,MATCH(N$5,DedListItem,0),0,1,1))*$AA203)-SUMIFS(OFFSET(N$6,1,0,PayCount,1),PayDate,"&lt;"&amp;$AC203,PayEmp,$C203),IF(ISNA(MATCH(N$2,EarnListItem,0))=FALSE,IF(OFFSET(Setup!$G$73,MATCH(N$5,DedListItem,0),0,1,1)="Taxable",SUMPRODUCT((PayEmp=$C203)*(PayDate&lt;=$AC203)*(PayEarnCode=N$2)*(PayEarnTax)*(PayEarnValues)),SUMPRODUCT((PayEmp=$C203)*(PayDate&lt;=$AC203)*(PayEarnCode=N$2)*(PayEarnValues)))*IF(COUNTIFS(EmpNo,$C203,OFFSET(Emp!$R$4,1,MATCH(N$5,DedListItem,0)-1,EmpCount,1),"&lt;&gt;")&gt;0,VLOOKUP($C203,EmpAll,COLUMN(Emp!$R$4)+MATCH(N$5,DedListItem,0)-1,0),OFFSET(Setup!$E$73,MATCH(N$5,DedListItem,0),0,1,1)),(MIN(IF(OFFSET(Setup!$G$73,MATCH(N$5,DedListItem,0),0,1,1)="Taxable",SUMPRODUCT((PayEmp=$C203)*(PayDate&lt;=$AC203)*(ISERROR(SEARCH(PayEarnCode,N$4)))*(PayEarnTax)*(PayEarnValues)),SUMPRODUCT((PayEmp=$C203)*(PayDate&lt;=$AC203)*(ISERROR(SEARCH(PayEarnCode,N$4)))*(PayEarnValues))),IF(ISNUMBER(N$3),N$3/12*$AA203,IgnoreMin)))*IF(COUNTIFS(EmpNo,$C203,OFFSET(Emp!$R$4,1,MATCH(N$5,DedListItem,0)-1,EmpCount,1),"&lt;&gt;")&gt;0,VLOOKUP($C203,EmpAll,COLUMN(Emp!$R$4)+MATCH(N$5,DedListItem,0)-1,0),OFFSET(Setup!$E$73,MATCH(N$5,DedListItem,0),0,1,1)))-SUMIFS(OFFSET(N$6,1,0,PayCount,1),PayDate,"&lt;"&amp;$AC203,PayEmp,$C203))))))</f>
        <v>0</v>
      </c>
      <c r="O203" s="133" cm="1">
        <f t="array" aca="1" ref="O203" ca="1">IF($F203="Terminated",0,IF($AA203=0,0,IF(ISNA(MATCH(O$5,DedListItem,0)),0,IF(COUNTIFS(OverEmp,$C203,OverDeduct,O$5,OverDate,"&lt;"&amp;DATE(YEAR($AC203),MONTH($AC203)+1,1),OverEnd,"&gt;="&amp;DATE(YEAR($AC203),MONTH($AC203),1))&gt;0,SUMIFS(OverValue,OverEmp,$C203,OverDeduct,O$5,OverDate,"&lt;"&amp;DATE(YEAR($AC203),MONTH($AC203)+1,1),OverEnd,"&gt;="&amp;DATE(YEAR($AC203),MONTH($AC203),1)),IF(OR(O$2="Fixed",O$2="Not Used"),(IF(COUNTIFS(EmpNo,$C203,OFFSET(Emp!$R$4,1,MATCH(O$5,DedListItem,0)-1,EmpCount,1),"&lt;&gt;")&gt;0,VLOOKUP($C203,EmpAll,COLUMN(Emp!$R$4)+MATCH(O$5,DedListItem,0)-1,0),OFFSET(Setup!$E$73,MATCH(O$5,DedListItem,0),0,1,1))*$AA203)-SUMIFS(OFFSET(O$6,1,0,PayCount,1),PayDate,"&lt;"&amp;$AC203,PayEmp,$C203),IF(ISNA(MATCH(O$2,EarnListItem,0))=FALSE,IF(OFFSET(Setup!$G$73,MATCH(O$5,DedListItem,0),0,1,1)="Taxable",SUMPRODUCT((PayEmp=$C203)*(PayDate&lt;=$AC203)*(PayEarnCode=O$2)*(PayEarnTax)*(PayEarnValues)),SUMPRODUCT((PayEmp=$C203)*(PayDate&lt;=$AC203)*(PayEarnCode=O$2)*(PayEarnValues)))*IF(COUNTIFS(EmpNo,$C203,OFFSET(Emp!$R$4,1,MATCH(O$5,DedListItem,0)-1,EmpCount,1),"&lt;&gt;")&gt;0,VLOOKUP($C203,EmpAll,COLUMN(Emp!$R$4)+MATCH(O$5,DedListItem,0)-1,0),OFFSET(Setup!$E$73,MATCH(O$5,DedListItem,0),0,1,1)),(MIN(IF(OFFSET(Setup!$G$73,MATCH(O$5,DedListItem,0),0,1,1)="Taxable",SUMPRODUCT((PayEmp=$C203)*(PayDate&lt;=$AC203)*(ISERROR(SEARCH(PayEarnCode,O$4)))*(PayEarnTax)*(PayEarnValues)),SUMPRODUCT((PayEmp=$C203)*(PayDate&lt;=$AC203)*(ISERROR(SEARCH(PayEarnCode,O$4)))*(PayEarnValues))),IF(ISNUMBER(O$3),O$3/12*$AA203,IgnoreMin)))*IF(COUNTIFS(EmpNo,$C203,OFFSET(Emp!$R$4,1,MATCH(O$5,DedListItem,0)-1,EmpCount,1),"&lt;&gt;")&gt;0,VLOOKUP($C203,EmpAll,COLUMN(Emp!$R$4)+MATCH(O$5,DedListItem,0)-1,0),OFFSET(Setup!$E$73,MATCH(O$5,DedListItem,0),0,1,1)))-SUMIFS(OFFSET(O$6,1,0,PayCount,1),PayDate,"&lt;"&amp;$AC203,PayEmp,$C203))))))</f>
        <v>0</v>
      </c>
      <c r="P203" s="133" cm="1">
        <f t="array" aca="1" ref="P203" ca="1">IF($F203="Terminated",0,IF($AA203=0,0,IF(ISNA(MATCH(P$5,DedListItem,0)),0,IF(COUNTIFS(OverEmp,$C203,OverDeduct,P$5,OverDate,"&lt;"&amp;DATE(YEAR($AC203),MONTH($AC203)+1,1),OverEnd,"&gt;="&amp;DATE(YEAR($AC203),MONTH($AC203),1))&gt;0,SUMIFS(OverValue,OverEmp,$C203,OverDeduct,P$5,OverDate,"&lt;"&amp;DATE(YEAR($AC203),MONTH($AC203)+1,1),OverEnd,"&gt;="&amp;DATE(YEAR($AC203),MONTH($AC203),1)),IF(OR(P$2="Fixed",P$2="Not Used"),(IF(COUNTIFS(EmpNo,$C203,OFFSET(Emp!$R$4,1,MATCH(P$5,DedListItem,0)-1,EmpCount,1),"&lt;&gt;")&gt;0,VLOOKUP($C203,EmpAll,COLUMN(Emp!$R$4)+MATCH(P$5,DedListItem,0)-1,0),OFFSET(Setup!$E$73,MATCH(P$5,DedListItem,0),0,1,1))*$AA203)-SUMIFS(OFFSET(P$6,1,0,PayCount,1),PayDate,"&lt;"&amp;$AC203,PayEmp,$C203),IF(ISNA(MATCH(P$2,EarnListItem,0))=FALSE,IF(OFFSET(Setup!$G$73,MATCH(P$5,DedListItem,0),0,1,1)="Taxable",SUMPRODUCT((PayEmp=$C203)*(PayDate&lt;=$AC203)*(PayEarnCode=P$2)*(PayEarnTax)*(PayEarnValues)),SUMPRODUCT((PayEmp=$C203)*(PayDate&lt;=$AC203)*(PayEarnCode=P$2)*(PayEarnValues)))*IF(COUNTIFS(EmpNo,$C203,OFFSET(Emp!$R$4,1,MATCH(P$5,DedListItem,0)-1,EmpCount,1),"&lt;&gt;")&gt;0,VLOOKUP($C203,EmpAll,COLUMN(Emp!$R$4)+MATCH(P$5,DedListItem,0)-1,0),OFFSET(Setup!$E$73,MATCH(P$5,DedListItem,0),0,1,1)),(MIN(IF(OFFSET(Setup!$G$73,MATCH(P$5,DedListItem,0),0,1,1)="Taxable",SUMPRODUCT((PayEmp=$C203)*(PayDate&lt;=$AC203)*(ISERROR(SEARCH(PayEarnCode,P$4)))*(PayEarnTax)*(PayEarnValues)),SUMPRODUCT((PayEmp=$C203)*(PayDate&lt;=$AC203)*(ISERROR(SEARCH(PayEarnCode,P$4)))*(PayEarnValues))),IF(ISNUMBER(P$3),P$3/12*$AA203,IgnoreMin)))*IF(COUNTIFS(EmpNo,$C203,OFFSET(Emp!$R$4,1,MATCH(P$5,DedListItem,0)-1,EmpCount,1),"&lt;&gt;")&gt;0,VLOOKUP($C203,EmpAll,COLUMN(Emp!$R$4)+MATCH(P$5,DedListItem,0)-1,0),OFFSET(Setup!$E$73,MATCH(P$5,DedListItem,0),0,1,1)))-SUMIFS(OFFSET(P$6,1,0,PayCount,1),PayDate,"&lt;"&amp;$AC203,PayEmp,$C203))))))</f>
        <v>0</v>
      </c>
      <c r="Q203" s="133" cm="1">
        <f t="array" aca="1" ref="Q203" ca="1">IF($F203="Terminated",0,IF($AA203=0,0,IF(ISNA(MATCH(Q$5,DedListItem,0)),0,IF(COUNTIFS(OverEmp,$C203,OverDeduct,Q$5,OverDate,"&lt;"&amp;DATE(YEAR($AC203),MONTH($AC203)+1,1),OverEnd,"&gt;="&amp;DATE(YEAR($AC203),MONTH($AC203),1))&gt;0,SUMIFS(OverValue,OverEmp,$C203,OverDeduct,Q$5,OverDate,"&lt;"&amp;DATE(YEAR($AC203),MONTH($AC203)+1,1),OverEnd,"&gt;="&amp;DATE(YEAR($AC203),MONTH($AC203),1)),IF(OR(Q$2="Fixed",Q$2="Not Used"),(IF(COUNTIFS(EmpNo,$C203,OFFSET(Emp!$R$4,1,MATCH(Q$5,DedListItem,0)-1,EmpCount,1),"&lt;&gt;")&gt;0,VLOOKUP($C203,EmpAll,COLUMN(Emp!$R$4)+MATCH(Q$5,DedListItem,0)-1,0),OFFSET(Setup!$E$73,MATCH(Q$5,DedListItem,0),0,1,1))*$AA203)-SUMIFS(OFFSET(Q$6,1,0,PayCount,1),PayDate,"&lt;"&amp;$AC203,PayEmp,$C203),IF(ISNA(MATCH(Q$2,EarnListItem,0))=FALSE,IF(OFFSET(Setup!$G$73,MATCH(Q$5,DedListItem,0),0,1,1)="Taxable",SUMPRODUCT((PayEmp=$C203)*(PayDate&lt;=$AC203)*(PayEarnCode=Q$2)*(PayEarnTax)*(PayEarnValues)),SUMPRODUCT((PayEmp=$C203)*(PayDate&lt;=$AC203)*(PayEarnCode=Q$2)*(PayEarnValues)))*IF(COUNTIFS(EmpNo,$C203,OFFSET(Emp!$R$4,1,MATCH(Q$5,DedListItem,0)-1,EmpCount,1),"&lt;&gt;")&gt;0,VLOOKUP($C203,EmpAll,COLUMN(Emp!$R$4)+MATCH(Q$5,DedListItem,0)-1,0),OFFSET(Setup!$E$73,MATCH(Q$5,DedListItem,0),0,1,1)),(MIN(IF(OFFSET(Setup!$G$73,MATCH(Q$5,DedListItem,0),0,1,1)="Taxable",SUMPRODUCT((PayEmp=$C203)*(PayDate&lt;=$AC203)*(ISERROR(SEARCH(PayEarnCode,Q$4)))*(PayEarnTax)*(PayEarnValues)),SUMPRODUCT((PayEmp=$C203)*(PayDate&lt;=$AC203)*(ISERROR(SEARCH(PayEarnCode,Q$4)))*(PayEarnValues))),IF(ISNUMBER(Q$3),Q$3/12*$AA203,IgnoreMin)))*IF(COUNTIFS(EmpNo,$C203,OFFSET(Emp!$R$4,1,MATCH(Q$5,DedListItem,0)-1,EmpCount,1),"&lt;&gt;")&gt;0,VLOOKUP($C203,EmpAll,COLUMN(Emp!$R$4)+MATCH(Q$5,DedListItem,0)-1,0),OFFSET(Setup!$E$73,MATCH(Q$5,DedListItem,0),0,1,1)))-SUMIFS(OFFSET(Q$6,1,0,PayCount,1),PayDate,"&lt;"&amp;$AC203,PayEmp,$C203))))))</f>
        <v>0</v>
      </c>
      <c r="R203" s="185">
        <f t="shared" ca="1" si="96"/>
        <v>0</v>
      </c>
      <c r="S203" s="139">
        <f t="shared" ca="1" si="97"/>
        <v>0</v>
      </c>
      <c r="T203" s="133" cm="1">
        <f t="array" aca="1" ref="T203" ca="1">IF($F203="Terminated",0,IF($AA203=0,0,IF(ISNA(MATCH(T$5,CompListItem,0)),0,IF(COUNTIFS(OverEmp,$C203,OverComp,T$5,OverDate,"&lt;"&amp;DATE(YEAR($AC203),MONTH($AC203)+1,1),OverEnd,"&gt;="&amp;DATE(YEAR($AC203),MONTH($AC203),1))&gt;0,SUMIFS(OverValue,OverEmp,$C203,OverComp,T$5,OverDate,"&lt;"&amp;DATE(YEAR($AC203),MONTH($AC203)+1,1),OverEnd,"&gt;="&amp;DATE(YEAR($AC203),MONTH($AC203),1)),IF(OR(T$2="Fixed",T$2="Not Used"),(OFFSET(Setup!$E$81,MATCH(T$5,CompListItem,0),0,1,1)*$AA203)-SUMIFS(OFFSET(T$6,1,0,PayCount,1),PayDate,"&lt;"&amp;$AC203,PayEmp,$C203),IF(ISNA(MATCH(T$2,DedListItem,0))=FALSE,(SUMPRODUCT((PayEmp=$C203)*(PayDate&lt;=$AC203)*(PayDedList=T$2)*(PayDedValues))*OFFSET(Setup!$E$81,MATCH(T$5,CompListItem,0),0,1,1))-SUMIFS(OFFSET(T$6,1,0,PayCount,1),PayDate,"&lt;"&amp;$AC203,PayEmp,$C203),(MIN(IF(OFFSET(Setup!$G$81,MATCH(T$5,CompListItem,0),0,1,1)="Taxable",SUMPRODUCT((PayEmp=$C203)*(PayDate&lt;=$AC203)*(ISERROR(SEARCH(PayEarnCode,T$4)))*(PayEarnTax)*(PayEarnValues)),SUMPRODUCT((PayEmp=$C203)*(PayDate&lt;=$AC203)*(ISERROR(SEARCH(PayEarnCode,T$4)))*(PayEarnValues))),IF(ISNUMBER(T$3),T$3/12*$AA203,IgnoreMin)))*OFFSET(Setup!$E$81,MATCH(T$5,CompListItem,0),0,1,1)-SUMIFS(OFFSET(T$6,1,0,PayCount,1),PayDate,"&lt;"&amp;$AC203,PayEmp,$C203)))))))</f>
        <v>0</v>
      </c>
      <c r="U203" s="133" cm="1">
        <f t="array" aca="1" ref="U203" ca="1">IF($F203="Terminated",0,IF($AA203=0,0,IF(ISNA(MATCH(U$5,CompListItem,0)),0,IF(COUNTIFS(OverEmp,$C203,OverComp,U$5,OverDate,"&lt;"&amp;DATE(YEAR($AC203),MONTH($AC203)+1,1),OverEnd,"&gt;="&amp;DATE(YEAR($AC203),MONTH($AC203),1))&gt;0,SUMIFS(OverValue,OverEmp,$C203,OverComp,U$5,OverDate,"&lt;"&amp;DATE(YEAR($AC203),MONTH($AC203)+1,1),OverEnd,"&gt;="&amp;DATE(YEAR($AC203),MONTH($AC203),1)),IF(OR(U$2="Fixed",U$2="Not Used"),(OFFSET(Setup!$E$81,MATCH(U$5,CompListItem,0),0,1,1)*$AA203)-SUMIFS(OFFSET(U$6,1,0,PayCount,1),PayDate,"&lt;"&amp;$AC203,PayEmp,$C203),IF(ISNA(MATCH(U$2,DedListItem,0))=FALSE,(SUMPRODUCT((PayEmp=$C203)*(PayDate&lt;=$AC203)*(PayDedList=U$2)*(PayDedValues))*OFFSET(Setup!$E$81,MATCH(U$5,CompListItem,0),0,1,1))-SUMIFS(OFFSET(U$6,1,0,PayCount,1),PayDate,"&lt;"&amp;$AC203,PayEmp,$C203),(MIN(IF(OFFSET(Setup!$G$81,MATCH(U$5,CompListItem,0),0,1,1)="Taxable",SUMPRODUCT((PayEmp=$C203)*(PayDate&lt;=$AC203)*(ISERROR(SEARCH(PayEarnCode,U$4)))*(PayEarnTax)*(PayEarnValues)),SUMPRODUCT((PayEmp=$C203)*(PayDate&lt;=$AC203)*(ISERROR(SEARCH(PayEarnCode,U$4)))*(PayEarnValues))),IF(ISNUMBER(U$3),U$3/12*$AA203,IgnoreMin)))*OFFSET(Setup!$E$81,MATCH(U$5,CompListItem,0),0,1,1)-SUMIFS(OFFSET(U$6,1,0,PayCount,1),PayDate,"&lt;"&amp;$AC203,PayEmp,$C203)))))))</f>
        <v>0</v>
      </c>
      <c r="V203" s="133" cm="1">
        <f t="array" aca="1" ref="V203" ca="1">IF($F203="Terminated",0,IF($AA203=0,0,IF(ISNA(MATCH(V$5,CompListItem,0)),0,IF(COUNTIFS(OverEmp,$C203,OverComp,V$5,OverDate,"&lt;"&amp;DATE(YEAR($AC203),MONTH($AC203)+1,1),OverEnd,"&gt;="&amp;DATE(YEAR($AC203),MONTH($AC203),1))&gt;0,SUMIFS(OverValue,OverEmp,$C203,OverComp,V$5,OverDate,"&lt;"&amp;DATE(YEAR($AC203),MONTH($AC203)+1,1),OverEnd,"&gt;="&amp;DATE(YEAR($AC203),MONTH($AC203),1)),IF(OR(V$2="Fixed",V$2="Not Used"),(OFFSET(Setup!$E$81,MATCH(V$5,CompListItem,0),0,1,1)*$AA203)-SUMIFS(OFFSET(V$6,1,0,PayCount,1),PayDate,"&lt;"&amp;$AC203,PayEmp,$C203),IF(ISNA(MATCH(V$2,DedListItem,0))=FALSE,(SUMPRODUCT((PayEmp=$C203)*(PayDate&lt;=$AC203)*(PayDedList=V$2)*(PayDedValues))*OFFSET(Setup!$E$81,MATCH(V$5,CompListItem,0),0,1,1))-SUMIFS(OFFSET(V$6,1,0,PayCount,1),PayDate,"&lt;"&amp;$AC203,PayEmp,$C203),(MIN(IF(OFFSET(Setup!$G$81,MATCH(V$5,CompListItem,0),0,1,1)="Taxable",SUMPRODUCT((PayEmp=$C203)*(PayDate&lt;=$AC203)*(ISERROR(SEARCH(PayEarnCode,V$4)))*(PayEarnTax)*(PayEarnValues)),SUMPRODUCT((PayEmp=$C203)*(PayDate&lt;=$AC203)*(ISERROR(SEARCH(PayEarnCode,V$4)))*(PayEarnValues))),IF(ISNUMBER(V$3),V$3/12*$AA203,IgnoreMin)))*OFFSET(Setup!$E$81,MATCH(V$5,CompListItem,0),0,1,1)-SUMIFS(OFFSET(V$6,1,0,PayCount,1),PayDate,"&lt;"&amp;$AC203,PayEmp,$C203)))))))</f>
        <v>0</v>
      </c>
      <c r="W203" s="133" cm="1">
        <f t="array" aca="1" ref="W203" ca="1">IF($F203="Terminated",0,IF($AA203=0,0,IF(ISNA(MATCH(W$5,CompListItem,0)),0,IF(COUNTIFS(OverEmp,$C203,OverComp,W$5,OverDate,"&lt;"&amp;DATE(YEAR($AC203),MONTH($AC203)+1,1),OverEnd,"&gt;="&amp;DATE(YEAR($AC203),MONTH($AC203),1))&gt;0,SUMIFS(OverValue,OverEmp,$C203,OverComp,W$5,OverDate,"&lt;"&amp;DATE(YEAR($AC203),MONTH($AC203)+1,1),OverEnd,"&gt;="&amp;DATE(YEAR($AC203),MONTH($AC203),1)),IF(OR(W$2="Fixed",W$2="Not Used"),(OFFSET(Setup!$E$81,MATCH(W$5,CompListItem,0),0,1,1)*$AA203)-SUMIFS(OFFSET(W$6,1,0,PayCount,1),PayDate,"&lt;"&amp;$AC203,PayEmp,$C203),IF(ISNA(MATCH(W$2,DedListItem,0))=FALSE,(SUMPRODUCT((PayEmp=$C203)*(PayDate&lt;=$AC203)*(PayDedList=W$2)*(PayDedValues))*OFFSET(Setup!$E$81,MATCH(W$5,CompListItem,0),0,1,1))-SUMIFS(OFFSET(W$6,1,0,PayCount,1),PayDate,"&lt;"&amp;$AC203,PayEmp,$C203),(MIN(IF(OFFSET(Setup!$G$81,MATCH(W$5,CompListItem,0),0,1,1)="Taxable",SUMPRODUCT((PayEmp=$C203)*(PayDate&lt;=$AC203)*(ISERROR(SEARCH(PayEarnCode,W$4)))*(PayEarnTax)*(PayEarnValues)),SUMPRODUCT((PayEmp=$C203)*(PayDate&lt;=$AC203)*(ISERROR(SEARCH(PayEarnCode,W$4)))*(PayEarnValues))),IF(ISNUMBER(W$3),W$3/12*$AA203,IgnoreMin)))*OFFSET(Setup!$E$81,MATCH(W$5,CompListItem,0),0,1,1)-SUMIFS(OFFSET(W$6,1,0,PayCount,1),PayDate,"&lt;"&amp;$AC203,PayEmp,$C203)))))))</f>
        <v>0</v>
      </c>
      <c r="X203" s="185">
        <f t="shared" ca="1" si="98"/>
        <v>0</v>
      </c>
      <c r="Y203" s="139">
        <f t="shared" ca="1" si="99"/>
        <v>0</v>
      </c>
      <c r="Z203" s="139">
        <f t="shared" ca="1" si="100"/>
        <v>0</v>
      </c>
      <c r="AA203" s="146">
        <f ca="1">IF(OR($B203&lt;=Setup!$E$12,$B203&gt;=Setup!$D$12+1),0,IF($F203&lt;&gt;"Active",0,IF($AE203="Yes",$AB203,((YEAR($AC203)*12)+MONTH($AC203))-((YEAR($AD203)*12)+MONTH($AD203)-1))))</f>
        <v>0</v>
      </c>
      <c r="AB203" s="146">
        <f ca="1">IF(OR($B203&lt;=Setup!$E$12,$B203&gt;=Setup!$D$12+1),0,((YEAR($AC203)*12)+MONTH($AC203))-((YEAR(Setup!$E$12)*12)+MONTH(Setup!$E$12)))</f>
        <v>12</v>
      </c>
      <c r="AC203" s="186">
        <f t="shared" ca="1" si="101"/>
        <v>45351</v>
      </c>
      <c r="AD203" s="144">
        <f ca="1">IF(ISNA(VLOOKUP($C203,EmpAll,COLUMN(Emp!$E$4),0)),$AC203,IF(VLOOKUP($C203,EmpAll,COLUMN(Emp!$E$4),0)&lt;=Setup!$E$12,DATE(YEAR(Setup!$E$12),MONTH(Setup!$E$12)+1,1),VLOOKUP($C203,EmpAll,COLUMN(Emp!$E$4),0)))</f>
        <v>45351</v>
      </c>
      <c r="AE203" s="144" t="str">
        <f ca="1">IF(ISNA(VLOOKUP($C203,EmpAll,COLUMN(Emp!$G$1),0)),"-",IF(VLOOKUP($C203,EmpAll,COLUMN(Emp!$G$1),0)=0,"-",VLOOKUP($C203,EmpAll,COLUMN(Emp!$G$1),0)))</f>
        <v>-</v>
      </c>
      <c r="AF203" s="145">
        <f>IF(A203=PaySlip!$G$3,1,0)</f>
        <v>0</v>
      </c>
      <c r="AG203" s="130" cm="1">
        <f t="array" aca="1" ref="AG203" ca="1">IF(COUNTIFS(OverEmp,$C203,OverMed,"MED",OverDate,"&lt;"&amp;DATE(YEAR($AC203),MONTH($AC203)+1,1),OverEnd,"&gt;="&amp;DATE(YEAR($AC203),MONTH($AC203),1))&gt;0,SUMIFS(OverValue,OverEmp,$C203,OverMed,"MED",OverDate,"&lt;"&amp;DATE(YEAR($AC203),MONTH($AC203)+1,1),OverEnd,"&gt;="&amp;DATE(YEAR($AC203),MONTH($AC203),1)),IF(ISNA(VLOOKUP($C203,EmpAll,COLUMN(Emp!$N$4),0)),0,VLOOKUP($C203,EmpAll,COLUMN(Emp!$N$4),0)))</f>
        <v>0</v>
      </c>
      <c r="AH203" s="146">
        <f ca="1">VLOOKUP($AG203,MedList,COLUMN(Setup!$C$49),1)</f>
        <v>0</v>
      </c>
      <c r="AI203" s="146">
        <f t="shared" ca="1" si="107"/>
        <v>0</v>
      </c>
      <c r="AJ203" s="101" t="str">
        <f ca="1">IF(ISNA(VLOOKUP($C203,EmpAll,COLUMN(Emp!$L$4),0)),"None!",VLOOKUP($C203,EmpAll,COLUMN(Emp!$L$4),0))</f>
        <v>None!</v>
      </c>
      <c r="AK203" s="147">
        <f t="shared" ca="1" si="102"/>
        <v>17235</v>
      </c>
      <c r="AL203" s="101" t="str">
        <f ca="1">IF(ISNA(VLOOKUP($C203,Employees[],COLUMN(Emp!$M$4),0))=TRUE,"Error!",IF(VLOOKUP($C203,Employees[],COLUMN(Emp!$M$4),0)=0,"Yes",VLOOKUP($C203,Employees[],COLUMN(Emp!$M$4),0)))</f>
        <v>Error!</v>
      </c>
      <c r="AM203" s="148">
        <f t="shared" ca="1" si="108"/>
        <v>0</v>
      </c>
      <c r="AN203" s="148" cm="1">
        <f t="array" aca="1" ref="AN203" ca="1">-IF($F203="Terminated",0,IF($AA203=0,0,IF(ISNA(MATCH(AN$5,PayDedList,0)),0,MIN(IF(COUNTIFS(OverEmp,$C203,OverDeduct,AN$5,OverDate,"&lt;"&amp;DATE(YEAR($AC203),MONTH($AC203)+1,1),OverEnd,"&gt;="&amp;DATE(YEAR($AC203),MONTH($AC203),1))&gt;0,SUMPRODUCT((PayEmp=$C203)*(PayDate&lt;=$AC203)*(OFFSET($N$6,1,MATCH(AN$5,PayDedList,0)-1,PayCount,1)))/$AA203*12*AN$3,IF(OR(AN$1="Fixed",AN$1="Not Used"),SUMPRODUCT((PayEmp=$C203)*(PayDate&lt;=$AC203)*(OFFSET($N$6,1,MATCH(AN$5,PayDedList,0)-1,PayCount,1)))/$AA203*12*AN$3,IF(ISNA(MATCH(AN$1,EarnListItem,0))=FALSE,SUMPRODUCT((PayEmp=$C203)*(PayDate&lt;=$AC203)*(OFFSET($N$6,1,MATCH(AN$5,PayDedList,0)-1,PayCount,1)))/$AA203*12*AN$3,(MIN(((SUMPRODUCT((PayEmp=$C203)*(PayDate&lt;=$AC203)*(ISERROR(SEARCH(PayEarnCode,AN$2)))*(PayEarnType="Monthly")*(PayEarnValues))/$AA203*12)+(SUMPRODUCT((PayEmp=$C203)*(PayDate&lt;=$AC203)*(ISERROR(SEARCH(PayEarnCode,AN$2)))*(PayEarnType="Quarterly")*(PayEarnValues))/MAX(1,ROUNDDOWN($AB203/3,0))*4)+(SUMPRODUCT((PayEmp=$C203)*(PayDate&lt;=$AC203)*(ISERROR(SEARCH(PayEarnCode,AN$2)))*(PayEarnType="Bi-Annual")*(PayEarnValues))/MAX(1,ROUNDDOWN($AB203/6,0))*2)+(SUMPRODUCT((PayEmp=$C203)*(PayDate&lt;=$AC203)*(ISERROR(SEARCH(PayEarnCode,AN$2)))*(PayEarnType="Annual")*(PayEarnValues)))),IF(ISNUMBER(OFFSET($N$3,0,MATCH(AN$5,PayDedList,0)-1,1,1)),OFFSET($N$3,0,MATCH(AN$5,PayDedList,0)-1,1,1),IgnoreMin)))*IF(COUNTIFS(EmpNo,$C203,OFFSET(Emp!$R$4,1,MATCH(AN$5,DedListItem,0)-1,EmpCount,1),"&lt;&gt;")&gt;0,VLOOKUP($C203,EmpAll,COLUMN(Emp!$R$4)+MATCH(AN$5,DedListItem,0)-1,0),OFFSET(Setup!$E$73,MATCH(AN$5,DedListItem,0),0,1,1))*AN$3))),IF(ISNUMBER(AN$4),AN$4,IgnoreMin)))))</f>
        <v>0</v>
      </c>
      <c r="AO203" s="148" cm="1">
        <f t="array" aca="1" ref="AO203" ca="1">-IF($F203="Terminated",0,IF($AA203=0,0,IF(ISNA(MATCH(AO$5,PayDedList,0)),0,MIN(IF(COUNTIFS(OverEmp,$C203,OverDeduct,AO$5,OverDate,"&lt;"&amp;DATE(YEAR($AC203),MONTH($AC203)+1,1),OverEnd,"&gt;="&amp;DATE(YEAR($AC203),MONTH($AC203),1))&gt;0,SUMPRODUCT((PayEmp=$C203)*(PayDate&lt;=$AC203)*(OFFSET($N$6,1,MATCH(AO$5,PayDedList,0)-1,PayCount,1)))/$AA203*12*AO$3,IF(OR(AO$1="Fixed",AO$1="Not Used"),SUMPRODUCT((PayEmp=$C203)*(PayDate&lt;=$AC203)*(OFFSET($N$6,1,MATCH(AO$5,PayDedList,0)-1,PayCount,1)))/$AA203*12*AO$3,IF(ISNA(MATCH(AO$1,EarnListItem,0))=FALSE,SUMPRODUCT((PayEmp=$C203)*(PayDate&lt;=$AC203)*(OFFSET($N$6,1,MATCH(AO$5,PayDedList,0)-1,PayCount,1)))/$AA203*12*AO$3,(MIN(((SUMPRODUCT((PayEmp=$C203)*(PayDate&lt;=$AC203)*(ISERROR(SEARCH(PayEarnCode,AO$2)))*(PayEarnType="Monthly")*(PayEarnValues))/$AA203*12)+(SUMPRODUCT((PayEmp=$C203)*(PayDate&lt;=$AC203)*(ISERROR(SEARCH(PayEarnCode,AO$2)))*(PayEarnType="Quarterly")*(PayEarnValues))/MAX(1,ROUNDDOWN($AB203/3,0))*4)+(SUMPRODUCT((PayEmp=$C203)*(PayDate&lt;=$AC203)*(ISERROR(SEARCH(PayEarnCode,AO$2)))*(PayEarnType="Bi-Annual")*(PayEarnValues))/MAX(1,ROUNDDOWN($AB203/6,0))*2)+(SUMPRODUCT((PayEmp=$C203)*(PayDate&lt;=$AC203)*(ISERROR(SEARCH(PayEarnCode,AO$2)))*(PayEarnType="Annual")*(PayEarnValues)))),IF(ISNUMBER(OFFSET($N$3,0,MATCH(AO$5,PayDedList,0)-1,1,1)),OFFSET($N$3,0,MATCH(AO$5,PayDedList,0)-1,1,1),IgnoreMin)))*IF(COUNTIFS(EmpNo,$C203,OFFSET(Emp!$R$4,1,MATCH(AO$5,DedListItem,0)-1,EmpCount,1),"&lt;&gt;")&gt;0,VLOOKUP($C203,EmpAll,COLUMN(Emp!$R$4)+MATCH(AO$5,DedListItem,0)-1,0),OFFSET(Setup!$E$73,MATCH(AO$5,DedListItem,0),0,1,1))*AO$3))),IF(ISNUMBER(AO$4),AO$4,IgnoreMin)))))</f>
        <v>0</v>
      </c>
      <c r="AP203" s="148" cm="1">
        <f t="array" aca="1" ref="AP203" ca="1">-IF($F203="Terminated",0,IF($AA203=0,0,IF(ISNA(MATCH(AP$5,PayDedList,0)),0,MIN(IF(COUNTIFS(OverEmp,$C203,OverDeduct,AP$5,OverDate,"&lt;"&amp;DATE(YEAR($AC203),MONTH($AC203)+1,1),OverEnd,"&gt;="&amp;DATE(YEAR($AC203),MONTH($AC203),1))&gt;0,SUMPRODUCT((PayEmp=$C203)*(PayDate&lt;=$AC203)*(OFFSET($N$6,1,MATCH(AP$5,PayDedList,0)-1,PayCount,1)))/$AA203*12*AP$3,IF(OR(AP$1="Fixed",AP$1="Not Used"),SUMPRODUCT((PayEmp=$C203)*(PayDate&lt;=$AC203)*(OFFSET($N$6,1,MATCH(AP$5,PayDedList,0)-1,PayCount,1)))/$AA203*12*AP$3,IF(ISNA(MATCH(AP$1,EarnListItem,0))=FALSE,SUMPRODUCT((PayEmp=$C203)*(PayDate&lt;=$AC203)*(OFFSET($N$6,1,MATCH(AP$5,PayDedList,0)-1,PayCount,1)))/$AA203*12*AP$3,(MIN(((SUMPRODUCT((PayEmp=$C203)*(PayDate&lt;=$AC203)*(ISERROR(SEARCH(PayEarnCode,AP$2)))*(PayEarnType="Monthly")*(PayEarnValues))/$AA203*12)+(SUMPRODUCT((PayEmp=$C203)*(PayDate&lt;=$AC203)*(ISERROR(SEARCH(PayEarnCode,AP$2)))*(PayEarnType="Quarterly")*(PayEarnValues))/MAX(1,ROUNDDOWN($AB203/3,0))*4)+(SUMPRODUCT((PayEmp=$C203)*(PayDate&lt;=$AC203)*(ISERROR(SEARCH(PayEarnCode,AP$2)))*(PayEarnType="Bi-Annual")*(PayEarnValues))/MAX(1,ROUNDDOWN($AB203/6,0))*2)+(SUMPRODUCT((PayEmp=$C203)*(PayDate&lt;=$AC203)*(ISERROR(SEARCH(PayEarnCode,AP$2)))*(PayEarnType="Annual")*(PayEarnValues)))),IF(ISNUMBER(OFFSET($N$3,0,MATCH(AP$5,PayDedList,0)-1,1,1)),OFFSET($N$3,0,MATCH(AP$5,PayDedList,0)-1,1,1),IgnoreMin)))*IF(COUNTIFS(EmpNo,$C203,OFFSET(Emp!$R$4,1,MATCH(AP$5,DedListItem,0)-1,EmpCount,1),"&lt;&gt;")&gt;0,VLOOKUP($C203,EmpAll,COLUMN(Emp!$R$4)+MATCH(AP$5,DedListItem,0)-1,0),OFFSET(Setup!$E$73,MATCH(AP$5,DedListItem,0),0,1,1))*AP$3))),IF(ISNUMBER(AP$4),AP$4,IgnoreMin)))))</f>
        <v>0</v>
      </c>
      <c r="AQ203" s="148" cm="1">
        <f t="array" aca="1" ref="AQ203" ca="1">-IF($F203="Terminated",0,IF($AA203=0,0,IF(ISNA(MATCH(AQ$5,PayDedList,0)),0,MIN(IF(COUNTIFS(OverEmp,$C203,OverDeduct,AQ$5,OverDate,"&lt;"&amp;DATE(YEAR($AC203),MONTH($AC203)+1,1),OverEnd,"&gt;="&amp;DATE(YEAR($AC203),MONTH($AC203),1))&gt;0,SUMPRODUCT((PayEmp=$C203)*(PayDate&lt;=$AC203)*(OFFSET($N$6,1,MATCH(AQ$5,PayDedList,0)-1,PayCount,1)))/$AA203*12*AQ$3,IF(OR(AQ$1="Fixed",AQ$1="Not Used"),SUMPRODUCT((PayEmp=$C203)*(PayDate&lt;=$AC203)*(OFFSET($N$6,1,MATCH(AQ$5,PayDedList,0)-1,PayCount,1)))/$AA203*12*AQ$3,IF(ISNA(MATCH(AQ$1,EarnListItem,0))=FALSE,SUMPRODUCT((PayEmp=$C203)*(PayDate&lt;=$AC203)*(OFFSET($N$6,1,MATCH(AQ$5,PayDedList,0)-1,PayCount,1)))/$AA203*12*AQ$3,(MIN(((SUMPRODUCT((PayEmp=$C203)*(PayDate&lt;=$AC203)*(ISERROR(SEARCH(PayEarnCode,AQ$2)))*(PayEarnType="Monthly")*(PayEarnValues))/$AA203*12)+(SUMPRODUCT((PayEmp=$C203)*(PayDate&lt;=$AC203)*(ISERROR(SEARCH(PayEarnCode,AQ$2)))*(PayEarnType="Quarterly")*(PayEarnValues))/MAX(1,ROUNDDOWN($AB203/3,0))*4)+(SUMPRODUCT((PayEmp=$C203)*(PayDate&lt;=$AC203)*(ISERROR(SEARCH(PayEarnCode,AQ$2)))*(PayEarnType="Bi-Annual")*(PayEarnValues))/MAX(1,ROUNDDOWN($AB203/6,0))*2)+(SUMPRODUCT((PayEmp=$C203)*(PayDate&lt;=$AC203)*(ISERROR(SEARCH(PayEarnCode,AQ$2)))*(PayEarnType="Annual")*(PayEarnValues)))),IF(ISNUMBER(OFFSET($N$3,0,MATCH(AQ$5,PayDedList,0)-1,1,1)),OFFSET($N$3,0,MATCH(AQ$5,PayDedList,0)-1,1,1),IgnoreMin)))*IF(COUNTIFS(EmpNo,$C203,OFFSET(Emp!$R$4,1,MATCH(AQ$5,DedListItem,0)-1,EmpCount,1),"&lt;&gt;")&gt;0,VLOOKUP($C203,EmpAll,COLUMN(Emp!$R$4)+MATCH(AQ$5,DedListItem,0)-1,0),OFFSET(Setup!$E$73,MATCH(AQ$5,DedListItem,0),0,1,1))*AQ$3))),IF(ISNUMBER(AQ$4),AQ$4,IgnoreMin)))))</f>
        <v>0</v>
      </c>
      <c r="AR203" s="148">
        <f t="shared" ca="1" si="103"/>
        <v>0</v>
      </c>
      <c r="AS203" s="148">
        <f t="shared" ca="1" si="109"/>
        <v>0</v>
      </c>
      <c r="AT203" s="148" cm="1">
        <f t="array" aca="1" ref="AT203" ca="1">-IF($F203="Terminated",0,IF($AA203=0,0,IF(ISNA(MATCH(AT$5,PayDedList,0)),0,MIN(IF(COUNTIFS(OverEmp,$C203,OverDeduct,AT$5,OverDate,"&lt;"&amp;DATE(YEAR($AC203),MONTH($AC203)+1,1),OverEnd,"&gt;="&amp;DATE(YEAR($AC203),MONTH($AC203),1))&gt;0,SUMPRODUCT((PayEmp=$C203)*(PayDate&lt;=$AC203)*(OFFSET($N$6,1,MATCH(AT$5,PayDedList,0)-1,PayCount,1)))/$AA203*12*AT$3,IF(OR(AT$1="Fixed",AT$1="Not Used"),SUMPRODUCT((PayEmp=$C203)*(PayDate&lt;=$AC203)*(OFFSET($N$6,1,MATCH(AT$5,PayDedList,0)-1,PayCount,1)))/$AA203*12*AT$3,IF(ISNA(MATCH(OFFSET($N$2,0,MATCH(AT$5,PayDedList,0)-1,1,1),EarnListItem,0))=FALSE,SUMPRODUCT((PayEmp=$C203)*(PayDate&lt;=$AC203)*(OFFSET($N$6,1,MATCH(AT$5,PayDedList,0)-1,PayCount,1)))/$AA203*12*AT$3,(MIN(SUMPRODUCT((PayEmp=$C203)*(PayDate&lt;=$AC203)*(ISERROR(SEARCH(PayEarnCode,AT$2)))*(PayEarnType="Monthly")*(PayEarnValues))/$AA203*12,IF(ISNUMBER(OFFSET($N$3,0,MATCH(AT$5,PayDedList,0)-1,1,1)),OFFSET($N$3,0,MATCH(AT$5,PayDedList,0)-1,1,1),IgnoreMin)))*IF(COUNTIFS(EmpNo,$C203,OFFSET(Emp!$R$4,1,MATCH(AT$5,DedListItem,0)-1,EmpCount,1),"&lt;&gt;")&gt;0,VLOOKUP($C203,EmpAll,COLUMN(Emp!$R$4)+MATCH(AT$5,DedListItem,0)-1,0),OFFSET(Setup!$E$73,MATCH(AT$5,DedListItem,0),0,1,1))*AT$3))),IF(ISNUMBER(AT$4),AT$4,IgnoreMin)))))</f>
        <v>0</v>
      </c>
      <c r="AU203" s="148" cm="1">
        <f t="array" aca="1" ref="AU203" ca="1">-IF($F203="Terminated",0,IF($AA203=0,0,IF(ISNA(MATCH(AU$5,PayDedList,0)),0,MIN(IF(COUNTIFS(OverEmp,$C203,OverDeduct,AU$5,OverDate,"&lt;"&amp;DATE(YEAR($AC203),MONTH($AC203)+1,1),OverEnd,"&gt;="&amp;DATE(YEAR($AC203),MONTH($AC203),1))&gt;0,SUMPRODUCT((PayEmp=$C203)*(PayDate&lt;=$AC203)*(OFFSET($N$6,1,MATCH(AU$5,PayDedList,0)-1,PayCount,1)))/$AA203*12*AU$3,IF(OR(AU$1="Fixed",AU$1="Not Used"),SUMPRODUCT((PayEmp=$C203)*(PayDate&lt;=$AC203)*(OFFSET($N$6,1,MATCH(AU$5,PayDedList,0)-1,PayCount,1)))/$AA203*12*AU$3,IF(ISNA(MATCH(OFFSET($N$2,0,MATCH(AU$5,PayDedList,0)-1,1,1),EarnListItem,0))=FALSE,SUMPRODUCT((PayEmp=$C203)*(PayDate&lt;=$AC203)*(OFFSET($N$6,1,MATCH(AU$5,PayDedList,0)-1,PayCount,1)))/$AA203*12*AU$3,(MIN(SUMPRODUCT((PayEmp=$C203)*(PayDate&lt;=$AC203)*(ISERROR(SEARCH(PayEarnCode,AU$2)))*(PayEarnType="Monthly")*(PayEarnValues))/$AA203*12,IF(ISNUMBER(OFFSET($N$3,0,MATCH(AU$5,PayDedList,0)-1,1,1)),OFFSET($N$3,0,MATCH(AU$5,PayDedList,0)-1,1,1),IgnoreMin)))*IF(COUNTIFS(EmpNo,$C203,OFFSET(Emp!$R$4,1,MATCH(AU$5,DedListItem,0)-1,EmpCount,1),"&lt;&gt;")&gt;0,VLOOKUP($C203,EmpAll,COLUMN(Emp!$R$4)+MATCH(AU$5,DedListItem,0)-1,0),OFFSET(Setup!$E$73,MATCH(AU$5,DedListItem,0),0,1,1))*AU$3))),IF(ISNUMBER(AU$4),AU$4,IgnoreMin)))))</f>
        <v>0</v>
      </c>
      <c r="AV203" s="148" cm="1">
        <f t="array" aca="1" ref="AV203" ca="1">-IF($F203="Terminated",0,IF($AA203=0,0,IF(ISNA(MATCH(AV$5,PayDedList,0)),0,MIN(IF(COUNTIFS(OverEmp,$C203,OverDeduct,AV$5,OverDate,"&lt;"&amp;DATE(YEAR($AC203),MONTH($AC203)+1,1),OverEnd,"&gt;="&amp;DATE(YEAR($AC203),MONTH($AC203),1))&gt;0,SUMPRODUCT((PayEmp=$C203)*(PayDate&lt;=$AC203)*(OFFSET($N$6,1,MATCH(AV$5,PayDedList,0)-1,PayCount,1)))/$AA203*12*AV$3,IF(OR(AV$1="Fixed",AV$1="Not Used"),SUMPRODUCT((PayEmp=$C203)*(PayDate&lt;=$AC203)*(OFFSET($N$6,1,MATCH(AV$5,PayDedList,0)-1,PayCount,1)))/$AA203*12*AV$3,IF(ISNA(MATCH(OFFSET($N$2,0,MATCH(AV$5,PayDedList,0)-1,1,1),EarnListItem,0))=FALSE,SUMPRODUCT((PayEmp=$C203)*(PayDate&lt;=$AC203)*(OFFSET($N$6,1,MATCH(AV$5,PayDedList,0)-1,PayCount,1)))/$AA203*12*AV$3,(MIN(SUMPRODUCT((PayEmp=$C203)*(PayDate&lt;=$AC203)*(ISERROR(SEARCH(PayEarnCode,AV$2)))*(PayEarnType="Monthly")*(PayEarnValues))/$AA203*12,IF(ISNUMBER(OFFSET($N$3,0,MATCH(AV$5,PayDedList,0)-1,1,1)),OFFSET($N$3,0,MATCH(AV$5,PayDedList,0)-1,1,1),IgnoreMin)))*IF(COUNTIFS(EmpNo,$C203,OFFSET(Emp!$R$4,1,MATCH(AV$5,DedListItem,0)-1,EmpCount,1),"&lt;&gt;")&gt;0,VLOOKUP($C203,EmpAll,COLUMN(Emp!$R$4)+MATCH(AV$5,DedListItem,0)-1,0),OFFSET(Setup!$E$73,MATCH(AV$5,DedListItem,0),0,1,1))*AV$3))),IF(ISNUMBER(AV$4),AV$4,IgnoreMin)))))</f>
        <v>0</v>
      </c>
      <c r="AW203" s="148" cm="1">
        <f t="array" aca="1" ref="AW203" ca="1">-IF($F203="Terminated",0,IF($AA203=0,0,IF(ISNA(MATCH(AW$5,PayDedList,0)),0,MIN(IF(COUNTIFS(OverEmp,$C203,OverDeduct,AW$5,OverDate,"&lt;"&amp;DATE(YEAR($AC203),MONTH($AC203)+1,1),OverEnd,"&gt;="&amp;DATE(YEAR($AC203),MONTH($AC203),1))&gt;0,SUMPRODUCT((PayEmp=$C203)*(PayDate&lt;=$AC203)*(OFFSET($N$6,1,MATCH(AW$5,PayDedList,0)-1,PayCount,1)))/$AA203*12*AW$3,IF(OR(AW$1="Fixed",AW$1="Not Used"),SUMPRODUCT((PayEmp=$C203)*(PayDate&lt;=$AC203)*(OFFSET($N$6,1,MATCH(AW$5,PayDedList,0)-1,PayCount,1)))/$AA203*12*AW$3,IF(ISNA(MATCH(OFFSET($N$2,0,MATCH(AW$5,PayDedList,0)-1,1,1),EarnListItem,0))=FALSE,SUMPRODUCT((PayEmp=$C203)*(PayDate&lt;=$AC203)*(OFFSET($N$6,1,MATCH(AW$5,PayDedList,0)-1,PayCount,1)))/$AA203*12*AW$3,(MIN(SUMPRODUCT((PayEmp=$C203)*(PayDate&lt;=$AC203)*(ISERROR(SEARCH(PayEarnCode,AW$2)))*(PayEarnType="Monthly")*(PayEarnValues))/$AA203*12,IF(ISNUMBER(OFFSET($N$3,0,MATCH(AW$5,PayDedList,0)-1,1,1)),OFFSET($N$3,0,MATCH(AW$5,PayDedList,0)-1,1,1),IgnoreMin)))*IF(COUNTIFS(EmpNo,$C203,OFFSET(Emp!$R$4,1,MATCH(AW$5,DedListItem,0)-1,EmpCount,1),"&lt;&gt;")&gt;0,VLOOKUP($C203,EmpAll,COLUMN(Emp!$R$4)+MATCH(AW$5,DedListItem,0)-1,0),OFFSET(Setup!$E$73,MATCH(AW$5,DedListItem,0),0,1,1))*AW$3))),IF(ISNUMBER(AW$4),AW$4,IgnoreMin)))))</f>
        <v>0</v>
      </c>
      <c r="AX203" s="148">
        <f t="shared" ca="1" si="104"/>
        <v>0</v>
      </c>
      <c r="AY203" s="148">
        <f t="shared" ca="1" si="105"/>
        <v>0</v>
      </c>
      <c r="AZ203" s="148">
        <f ca="1">IF(ISNUMBER($AL203),($AR203*$AL203)-$AI203-$AK203,MAX(0,IF($AL203="B",IF($AR203&lt;Setup!$C$32,($AR203*Setup!$D$32)-$AI203-$AK203,(($AR203-VLOOKUP($AR203,TaxAll2,1,1))*OFFSET(Setup!$D$32,MATCH($AR203,TaxBracket2,1),0,1,1))+OFFSET(Setup!$E$31,MATCH($AR203,TaxBracket2,1),0,1,1)-$AI203-$AK203),IF($AR203&lt;Setup!$C$21,($AR203*Setup!$D$21)-$AI203-$AK203,(($AR203-VLOOKUP($AR203,TaxAll1,1,1))*OFFSET(Setup!$D$21,MATCH($AR203,TaxBracket1,1),0,1,1))+OFFSET(Setup!$E$20,MATCH($AR203,TaxBracket1,1),0,1,1)-$AI203-$AK203))))</f>
        <v>0</v>
      </c>
      <c r="BA203" s="148">
        <f ca="1">IF(ISNUMBER($AL203),($AX203*$AL203)-$AI203-$AK203,MAX(0,IF($AL203="B",IF($AX203&lt;Setup!$C$32,($AX203*Setup!$D$32)-$AI203-$AK203,(($AX203-VLOOKUP($AX203,TaxAll2,1,1))*OFFSET(Setup!$D$32,MATCH($AX203,TaxBracket2,1),0,1,1))+OFFSET(Setup!$E$31,MATCH($AX203,TaxBracket2,1),0,1,1)-$AI203-$AK203),IF($AX203&lt;Setup!$C$21,($AX203*Setup!$D$21)-$AI203-$AK203,(($AX203-VLOOKUP($AX203,TaxAll1,1,1))*OFFSET(Setup!$D$21,MATCH($AX203,TaxBracket1,1),0,1,1))+OFFSET(Setup!$E$20,MATCH($AX203,TaxBracket1,1),0,1,1)-$AI203-$AK203))))</f>
        <v>0</v>
      </c>
      <c r="BB203" s="148">
        <f t="shared" ca="1" si="106"/>
        <v>0</v>
      </c>
      <c r="BC203" s="150">
        <f t="shared" ca="1" si="110"/>
        <v>0</v>
      </c>
      <c r="BD203" s="150">
        <f t="shared" ca="1" si="111"/>
        <v>0</v>
      </c>
      <c r="BE203" s="148">
        <f t="shared" ca="1" si="112"/>
        <v>0</v>
      </c>
    </row>
    <row r="204" spans="1:57" ht="16.149999999999999" customHeight="1" x14ac:dyDescent="0.25">
      <c r="A204" s="10" t="str" cm="1">
        <f t="array" ref="A204">IF(ROW($A204)-ROW($A$6)&gt;EmpCount*12,"-",TEXT($B204,"yyyy")&amp;TEXT($B204,"mm")&amp;"-"&amp;$C204)</f>
        <v>-</v>
      </c>
      <c r="B204" s="137" cm="1">
        <f t="array" aca="1" ref="B204" ca="1">IF(ROW($A204)-ROW($A$6)&gt;EmpCount*12,Setup!$D$12,DATE(YEAR(Setup!$F$12),MONTH(Setup!$F$12)+ROUNDDOWN((ROW($A204)-ROW($A$6)-1)/EmpCount,0),IF(Setup!$C$14&gt;DAY(DATE(YEAR(Setup!$F$12),MONTH(Setup!$F$12)+ROUNDDOWN((ROW($A204)-ROW($A$6)-1)/EmpCount,0)+1,0)),DAY(DATE(YEAR(Setup!$F$12),MONTH(Setup!$F$12)+ROUNDDOWN((ROW($A204)-ROW($A$6)-1)/EmpCount,0)+1,0)),Setup!$C$14)))</f>
        <v>45351</v>
      </c>
      <c r="C204" s="101" t="str" cm="1">
        <f t="array" aca="1" ref="C204" ca="1">IF(ROW($A204)-ROW($A$6)&gt;EmpCount*12,"-",OFFSET(Emp!$A$4,ROW($A204)-ROW($A$6)-IF(ROW($A204)-ROW($A$6)&gt;EmpCount,ROUNDDOWN((ROW($A204)-ROW($A$6)-1)/EmpCount,0)*EmpCount,0),0,1,1))</f>
        <v>-</v>
      </c>
      <c r="D204" s="10" t="str">
        <f ca="1">IF(ISNA(VLOOKUP($C204,EmpAll,COLUMN(Emp!$B$4),0)),"-",VLOOKUP($C204,EmpAll,COLUMN(Emp!$B$4),0))</f>
        <v>-</v>
      </c>
      <c r="E204" s="145" t="str">
        <f ca="1">IF(ISNA(VLOOKUP($C204,EmpAll,COLUMN(Emp!$C$4),0)),"-",VLOOKUP($C204,EmpAll,COLUMN(Emp!$C$4),0))</f>
        <v>-</v>
      </c>
      <c r="F204" s="101" t="str">
        <f ca="1">IF(ISNA(VLOOKUP($C204,EmpAll,COLUMN(Emp!$A$4),0)),"-",IF(AND(VLOOKUP($C204,EmpAll,COLUMN(Emp!$E$4),0)&lt;&gt;0,VLOOKUP($C204,EmpAll,COLUMN(Emp!$E$4),0)&gt;=DATE(YEAR($AC204),MONTH($AC204)+1,0)),"Inactive",IF(AND(VLOOKUP($C204,EmpAll,COLUMN(Emp!$F$4),0)&lt;&gt;0,VLOOKUP($C204,EmpAll,COLUMN(Emp!$F$4),0)&lt;=DATE(YEAR($AC204),MONTH($AC204),0)),"Terminated","Active")))</f>
        <v>-</v>
      </c>
      <c r="G204" s="133" cm="1">
        <f t="array" aca="1" ref="G204" ca="1">IF($F204&lt;&gt;"Active",0,IF(COUNTIFS(OverEmp,$C204,OverEarn,G$2,OverDate,"&lt;"&amp;DATE(YEAR($AC204),MONTH($AC204)+1,1),OverEnd,"&gt;="&amp;DATE(YEAR($AC204),MONTH($AC204),1))&gt;0,SUMIFS(OverValue,OverEmp,$C204,OverEarn,G$2,OverDate,"&lt;"&amp;DATE(YEAR($AC204),MONTH($AC204)+1,1),OverEnd,"&gt;="&amp;DATE(YEAR($AC204),MONTH($AC204),1)),IF(AND($AC204&gt;=Setup!$E$10,SUMIFS(EmpIncrease,EmpCode,$C204)&gt;0),SUMIFS(EmpIncrease,EmpCode,$C204),SUMIFS(EmpSalary,EmpCode,$C204))))</f>
        <v>0</v>
      </c>
      <c r="H204" s="133" cm="1">
        <f t="array" aca="1" ref="H204" ca="1">IF($F204&lt;&gt;"Active",0,IF(COUNTIFS(OverEmp,$C204,OverEarn,H$2,OverDate,"&lt;"&amp;DATE(YEAR($AC204),MONTH($AC204)+1,1),OverEnd,"&gt;="&amp;DATE(YEAR($AC204),MONTH($AC204),1))&gt;0,SUMIFS(OverValue,OverEmp,$C204,OverEarn,H$2,OverDate,"&lt;"&amp;DATE(YEAR($AC204),MONTH($AC204)+1,1),OverEnd,"&gt;="&amp;DATE(YEAR($AC204),MONTH($AC204),1)),0))</f>
        <v>0</v>
      </c>
      <c r="I204" s="133" cm="1">
        <f t="array" aca="1" ref="I204" ca="1">IF($F204&lt;&gt;"Active",0,IF(COUNTIFS(OverEmp,$C204,OverEarn,I$2,OverDate,"&lt;"&amp;DATE(YEAR($AC204),MONTH($AC204)+1,1),OverEnd,"&gt;="&amp;DATE(YEAR($AC204),MONTH($AC204),1))&gt;0,SUMIFS(OverValue,OverEmp,$C204,OverEarn,I$2,OverDate,"&lt;"&amp;DATE(YEAR($AC204),MONTH($AC204)+1,1),OverEnd,"&gt;="&amp;DATE(YEAR($AC204),MONTH($AC204),1)),IF(MONTH(B204)=Setup!$C$15,SUMIFS(EmpBonus,EmpCode,$C204),0)))</f>
        <v>0</v>
      </c>
      <c r="J204" s="133" cm="1">
        <f t="array" aca="1" ref="J204" ca="1">IF($F204&lt;&gt;"Active",0,IF(COUNTIFS(OverEmp,$C204,OverEarn,J$2,OverDate,"&lt;"&amp;DATE(YEAR($AC204),MONTH($AC204)+1,1),OverEnd,"&gt;="&amp;DATE(YEAR($AC204),MONTH($AC204),1))&gt;0,SUMIFS(OverValue,OverEmp,$C204,OverEarn,J$2,OverDate,"&lt;"&amp;DATE(YEAR($AC204),MONTH($AC204)+1,1),OverEnd,"&gt;="&amp;DATE(YEAR($AC204),MONTH($AC204),1)),0))</f>
        <v>0</v>
      </c>
      <c r="K204" s="133" cm="1">
        <f t="array" aca="1" ref="K204" ca="1">IF($F204&lt;&gt;"Active",0,IF(COUNTIFS(OverEmp,$C204,OverEarn,K$2,OverDate,"&lt;"&amp;DATE(YEAR($AC204),MONTH($AC204)+1,1),OverEnd,"&gt;="&amp;DATE(YEAR($AC204),MONTH($AC204),1))&gt;0,SUMIFS(OverValue,OverEmp,$C204,OverEarn,K$2,OverDate,"&lt;"&amp;DATE(YEAR($AC204),MONTH($AC204)+1,1),OverEnd,"&gt;="&amp;DATE(YEAR($AC204),MONTH($AC204),1)),0))</f>
        <v>0</v>
      </c>
      <c r="L204" s="185">
        <f t="shared" ca="1" si="95"/>
        <v>0</v>
      </c>
      <c r="M204" s="182" cm="1">
        <f t="array" aca="1" ref="M204" ca="1">IF(COUNTIFS(OverEmp,$C204,OverTax,M$5,OverDate,"&lt;"&amp;DATE(YEAR($AC204),MONTH($AC204)+1,1),OverEnd,"&gt;="&amp;DATE(YEAR($AC204),MONTH($AC204),1))&gt;0,SUMIFS(OverValue,OverEmp,$C204,OverTax,M$5,OverDate,"&lt;"&amp;DATE(YEAR($AC204),MONTH($AC204)+1,1),OverEnd,"&gt;="&amp;DATE(YEAR($AC204),MONTH($AC204),1)),(($BA204/12*$AA204)+(BB204*IF(1-$BC204=0,0,BD204/(1-$BC204))))-IF($F204="Terminated",0,SUMIFS(PayTaxDeduct,PayDate,"&lt;"&amp;$AC204,PayEmp,$C204)))</f>
        <v>0</v>
      </c>
      <c r="N204" s="133" cm="1">
        <f t="array" aca="1" ref="N204" ca="1">IF($F204="Terminated",0,IF($AA204=0,0,IF(ISNA(MATCH(N$5,DedListItem,0)),0,IF(COUNTIFS(OverEmp,$C204,OverDeduct,N$5,OverDate,"&lt;"&amp;DATE(YEAR($AC204),MONTH($AC204)+1,1),OverEnd,"&gt;="&amp;DATE(YEAR($AC204),MONTH($AC204),1))&gt;0,SUMIFS(OverValue,OverEmp,$C204,OverDeduct,N$5,OverDate,"&lt;"&amp;DATE(YEAR($AC204),MONTH($AC204)+1,1),OverEnd,"&gt;="&amp;DATE(YEAR($AC204),MONTH($AC204),1)),IF(OR(N$2="Fixed",N$2="Not Used"),(IF(COUNTIFS(EmpNo,$C204,OFFSET(Emp!$R$4,1,MATCH(N$5,DedListItem,0)-1,EmpCount,1),"&lt;&gt;")&gt;0,VLOOKUP($C204,EmpAll,COLUMN(Emp!$R$4)+MATCH(N$5,DedListItem,0)-1,0),OFFSET(Setup!$E$73,MATCH(N$5,DedListItem,0),0,1,1))*$AA204)-SUMIFS(OFFSET(N$6,1,0,PayCount,1),PayDate,"&lt;"&amp;$AC204,PayEmp,$C204),IF(ISNA(MATCH(N$2,EarnListItem,0))=FALSE,IF(OFFSET(Setup!$G$73,MATCH(N$5,DedListItem,0),0,1,1)="Taxable",SUMPRODUCT((PayEmp=$C204)*(PayDate&lt;=$AC204)*(PayEarnCode=N$2)*(PayEarnTax)*(PayEarnValues)),SUMPRODUCT((PayEmp=$C204)*(PayDate&lt;=$AC204)*(PayEarnCode=N$2)*(PayEarnValues)))*IF(COUNTIFS(EmpNo,$C204,OFFSET(Emp!$R$4,1,MATCH(N$5,DedListItem,0)-1,EmpCount,1),"&lt;&gt;")&gt;0,VLOOKUP($C204,EmpAll,COLUMN(Emp!$R$4)+MATCH(N$5,DedListItem,0)-1,0),OFFSET(Setup!$E$73,MATCH(N$5,DedListItem,0),0,1,1)),(MIN(IF(OFFSET(Setup!$G$73,MATCH(N$5,DedListItem,0),0,1,1)="Taxable",SUMPRODUCT((PayEmp=$C204)*(PayDate&lt;=$AC204)*(ISERROR(SEARCH(PayEarnCode,N$4)))*(PayEarnTax)*(PayEarnValues)),SUMPRODUCT((PayEmp=$C204)*(PayDate&lt;=$AC204)*(ISERROR(SEARCH(PayEarnCode,N$4)))*(PayEarnValues))),IF(ISNUMBER(N$3),N$3/12*$AA204,IgnoreMin)))*IF(COUNTIFS(EmpNo,$C204,OFFSET(Emp!$R$4,1,MATCH(N$5,DedListItem,0)-1,EmpCount,1),"&lt;&gt;")&gt;0,VLOOKUP($C204,EmpAll,COLUMN(Emp!$R$4)+MATCH(N$5,DedListItem,0)-1,0),OFFSET(Setup!$E$73,MATCH(N$5,DedListItem,0),0,1,1)))-SUMIFS(OFFSET(N$6,1,0,PayCount,1),PayDate,"&lt;"&amp;$AC204,PayEmp,$C204))))))</f>
        <v>0</v>
      </c>
      <c r="O204" s="133" cm="1">
        <f t="array" aca="1" ref="O204" ca="1">IF($F204="Terminated",0,IF($AA204=0,0,IF(ISNA(MATCH(O$5,DedListItem,0)),0,IF(COUNTIFS(OverEmp,$C204,OverDeduct,O$5,OverDate,"&lt;"&amp;DATE(YEAR($AC204),MONTH($AC204)+1,1),OverEnd,"&gt;="&amp;DATE(YEAR($AC204),MONTH($AC204),1))&gt;0,SUMIFS(OverValue,OverEmp,$C204,OverDeduct,O$5,OverDate,"&lt;"&amp;DATE(YEAR($AC204),MONTH($AC204)+1,1),OverEnd,"&gt;="&amp;DATE(YEAR($AC204),MONTH($AC204),1)),IF(OR(O$2="Fixed",O$2="Not Used"),(IF(COUNTIFS(EmpNo,$C204,OFFSET(Emp!$R$4,1,MATCH(O$5,DedListItem,0)-1,EmpCount,1),"&lt;&gt;")&gt;0,VLOOKUP($C204,EmpAll,COLUMN(Emp!$R$4)+MATCH(O$5,DedListItem,0)-1,0),OFFSET(Setup!$E$73,MATCH(O$5,DedListItem,0),0,1,1))*$AA204)-SUMIFS(OFFSET(O$6,1,0,PayCount,1),PayDate,"&lt;"&amp;$AC204,PayEmp,$C204),IF(ISNA(MATCH(O$2,EarnListItem,0))=FALSE,IF(OFFSET(Setup!$G$73,MATCH(O$5,DedListItem,0),0,1,1)="Taxable",SUMPRODUCT((PayEmp=$C204)*(PayDate&lt;=$AC204)*(PayEarnCode=O$2)*(PayEarnTax)*(PayEarnValues)),SUMPRODUCT((PayEmp=$C204)*(PayDate&lt;=$AC204)*(PayEarnCode=O$2)*(PayEarnValues)))*IF(COUNTIFS(EmpNo,$C204,OFFSET(Emp!$R$4,1,MATCH(O$5,DedListItem,0)-1,EmpCount,1),"&lt;&gt;")&gt;0,VLOOKUP($C204,EmpAll,COLUMN(Emp!$R$4)+MATCH(O$5,DedListItem,0)-1,0),OFFSET(Setup!$E$73,MATCH(O$5,DedListItem,0),0,1,1)),(MIN(IF(OFFSET(Setup!$G$73,MATCH(O$5,DedListItem,0),0,1,1)="Taxable",SUMPRODUCT((PayEmp=$C204)*(PayDate&lt;=$AC204)*(ISERROR(SEARCH(PayEarnCode,O$4)))*(PayEarnTax)*(PayEarnValues)),SUMPRODUCT((PayEmp=$C204)*(PayDate&lt;=$AC204)*(ISERROR(SEARCH(PayEarnCode,O$4)))*(PayEarnValues))),IF(ISNUMBER(O$3),O$3/12*$AA204,IgnoreMin)))*IF(COUNTIFS(EmpNo,$C204,OFFSET(Emp!$R$4,1,MATCH(O$5,DedListItem,0)-1,EmpCount,1),"&lt;&gt;")&gt;0,VLOOKUP($C204,EmpAll,COLUMN(Emp!$R$4)+MATCH(O$5,DedListItem,0)-1,0),OFFSET(Setup!$E$73,MATCH(O$5,DedListItem,0),0,1,1)))-SUMIFS(OFFSET(O$6,1,0,PayCount,1),PayDate,"&lt;"&amp;$AC204,PayEmp,$C204))))))</f>
        <v>0</v>
      </c>
      <c r="P204" s="133" cm="1">
        <f t="array" aca="1" ref="P204" ca="1">IF($F204="Terminated",0,IF($AA204=0,0,IF(ISNA(MATCH(P$5,DedListItem,0)),0,IF(COUNTIFS(OverEmp,$C204,OverDeduct,P$5,OverDate,"&lt;"&amp;DATE(YEAR($AC204),MONTH($AC204)+1,1),OverEnd,"&gt;="&amp;DATE(YEAR($AC204),MONTH($AC204),1))&gt;0,SUMIFS(OverValue,OverEmp,$C204,OverDeduct,P$5,OverDate,"&lt;"&amp;DATE(YEAR($AC204),MONTH($AC204)+1,1),OverEnd,"&gt;="&amp;DATE(YEAR($AC204),MONTH($AC204),1)),IF(OR(P$2="Fixed",P$2="Not Used"),(IF(COUNTIFS(EmpNo,$C204,OFFSET(Emp!$R$4,1,MATCH(P$5,DedListItem,0)-1,EmpCount,1),"&lt;&gt;")&gt;0,VLOOKUP($C204,EmpAll,COLUMN(Emp!$R$4)+MATCH(P$5,DedListItem,0)-1,0),OFFSET(Setup!$E$73,MATCH(P$5,DedListItem,0),0,1,1))*$AA204)-SUMIFS(OFFSET(P$6,1,0,PayCount,1),PayDate,"&lt;"&amp;$AC204,PayEmp,$C204),IF(ISNA(MATCH(P$2,EarnListItem,0))=FALSE,IF(OFFSET(Setup!$G$73,MATCH(P$5,DedListItem,0),0,1,1)="Taxable",SUMPRODUCT((PayEmp=$C204)*(PayDate&lt;=$AC204)*(PayEarnCode=P$2)*(PayEarnTax)*(PayEarnValues)),SUMPRODUCT((PayEmp=$C204)*(PayDate&lt;=$AC204)*(PayEarnCode=P$2)*(PayEarnValues)))*IF(COUNTIFS(EmpNo,$C204,OFFSET(Emp!$R$4,1,MATCH(P$5,DedListItem,0)-1,EmpCount,1),"&lt;&gt;")&gt;0,VLOOKUP($C204,EmpAll,COLUMN(Emp!$R$4)+MATCH(P$5,DedListItem,0)-1,0),OFFSET(Setup!$E$73,MATCH(P$5,DedListItem,0),0,1,1)),(MIN(IF(OFFSET(Setup!$G$73,MATCH(P$5,DedListItem,0),0,1,1)="Taxable",SUMPRODUCT((PayEmp=$C204)*(PayDate&lt;=$AC204)*(ISERROR(SEARCH(PayEarnCode,P$4)))*(PayEarnTax)*(PayEarnValues)),SUMPRODUCT((PayEmp=$C204)*(PayDate&lt;=$AC204)*(ISERROR(SEARCH(PayEarnCode,P$4)))*(PayEarnValues))),IF(ISNUMBER(P$3),P$3/12*$AA204,IgnoreMin)))*IF(COUNTIFS(EmpNo,$C204,OFFSET(Emp!$R$4,1,MATCH(P$5,DedListItem,0)-1,EmpCount,1),"&lt;&gt;")&gt;0,VLOOKUP($C204,EmpAll,COLUMN(Emp!$R$4)+MATCH(P$5,DedListItem,0)-1,0),OFFSET(Setup!$E$73,MATCH(P$5,DedListItem,0),0,1,1)))-SUMIFS(OFFSET(P$6,1,0,PayCount,1),PayDate,"&lt;"&amp;$AC204,PayEmp,$C204))))))</f>
        <v>0</v>
      </c>
      <c r="Q204" s="133" cm="1">
        <f t="array" aca="1" ref="Q204" ca="1">IF($F204="Terminated",0,IF($AA204=0,0,IF(ISNA(MATCH(Q$5,DedListItem,0)),0,IF(COUNTIFS(OverEmp,$C204,OverDeduct,Q$5,OverDate,"&lt;"&amp;DATE(YEAR($AC204),MONTH($AC204)+1,1),OverEnd,"&gt;="&amp;DATE(YEAR($AC204),MONTH($AC204),1))&gt;0,SUMIFS(OverValue,OverEmp,$C204,OverDeduct,Q$5,OverDate,"&lt;"&amp;DATE(YEAR($AC204),MONTH($AC204)+1,1),OverEnd,"&gt;="&amp;DATE(YEAR($AC204),MONTH($AC204),1)),IF(OR(Q$2="Fixed",Q$2="Not Used"),(IF(COUNTIFS(EmpNo,$C204,OFFSET(Emp!$R$4,1,MATCH(Q$5,DedListItem,0)-1,EmpCount,1),"&lt;&gt;")&gt;0,VLOOKUP($C204,EmpAll,COLUMN(Emp!$R$4)+MATCH(Q$5,DedListItem,0)-1,0),OFFSET(Setup!$E$73,MATCH(Q$5,DedListItem,0),0,1,1))*$AA204)-SUMIFS(OFFSET(Q$6,1,0,PayCount,1),PayDate,"&lt;"&amp;$AC204,PayEmp,$C204),IF(ISNA(MATCH(Q$2,EarnListItem,0))=FALSE,IF(OFFSET(Setup!$G$73,MATCH(Q$5,DedListItem,0),0,1,1)="Taxable",SUMPRODUCT((PayEmp=$C204)*(PayDate&lt;=$AC204)*(PayEarnCode=Q$2)*(PayEarnTax)*(PayEarnValues)),SUMPRODUCT((PayEmp=$C204)*(PayDate&lt;=$AC204)*(PayEarnCode=Q$2)*(PayEarnValues)))*IF(COUNTIFS(EmpNo,$C204,OFFSET(Emp!$R$4,1,MATCH(Q$5,DedListItem,0)-1,EmpCount,1),"&lt;&gt;")&gt;0,VLOOKUP($C204,EmpAll,COLUMN(Emp!$R$4)+MATCH(Q$5,DedListItem,0)-1,0),OFFSET(Setup!$E$73,MATCH(Q$5,DedListItem,0),0,1,1)),(MIN(IF(OFFSET(Setup!$G$73,MATCH(Q$5,DedListItem,0),0,1,1)="Taxable",SUMPRODUCT((PayEmp=$C204)*(PayDate&lt;=$AC204)*(ISERROR(SEARCH(PayEarnCode,Q$4)))*(PayEarnTax)*(PayEarnValues)),SUMPRODUCT((PayEmp=$C204)*(PayDate&lt;=$AC204)*(ISERROR(SEARCH(PayEarnCode,Q$4)))*(PayEarnValues))),IF(ISNUMBER(Q$3),Q$3/12*$AA204,IgnoreMin)))*IF(COUNTIFS(EmpNo,$C204,OFFSET(Emp!$R$4,1,MATCH(Q$5,DedListItem,0)-1,EmpCount,1),"&lt;&gt;")&gt;0,VLOOKUP($C204,EmpAll,COLUMN(Emp!$R$4)+MATCH(Q$5,DedListItem,0)-1,0),OFFSET(Setup!$E$73,MATCH(Q$5,DedListItem,0),0,1,1)))-SUMIFS(OFFSET(Q$6,1,0,PayCount,1),PayDate,"&lt;"&amp;$AC204,PayEmp,$C204))))))</f>
        <v>0</v>
      </c>
      <c r="R204" s="185">
        <f t="shared" ca="1" si="96"/>
        <v>0</v>
      </c>
      <c r="S204" s="139">
        <f t="shared" ca="1" si="97"/>
        <v>0</v>
      </c>
      <c r="T204" s="133" cm="1">
        <f t="array" aca="1" ref="T204" ca="1">IF($F204="Terminated",0,IF($AA204=0,0,IF(ISNA(MATCH(T$5,CompListItem,0)),0,IF(COUNTIFS(OverEmp,$C204,OverComp,T$5,OverDate,"&lt;"&amp;DATE(YEAR($AC204),MONTH($AC204)+1,1),OverEnd,"&gt;="&amp;DATE(YEAR($AC204),MONTH($AC204),1))&gt;0,SUMIFS(OverValue,OverEmp,$C204,OverComp,T$5,OverDate,"&lt;"&amp;DATE(YEAR($AC204),MONTH($AC204)+1,1),OverEnd,"&gt;="&amp;DATE(YEAR($AC204),MONTH($AC204),1)),IF(OR(T$2="Fixed",T$2="Not Used"),(OFFSET(Setup!$E$81,MATCH(T$5,CompListItem,0),0,1,1)*$AA204)-SUMIFS(OFFSET(T$6,1,0,PayCount,1),PayDate,"&lt;"&amp;$AC204,PayEmp,$C204),IF(ISNA(MATCH(T$2,DedListItem,0))=FALSE,(SUMPRODUCT((PayEmp=$C204)*(PayDate&lt;=$AC204)*(PayDedList=T$2)*(PayDedValues))*OFFSET(Setup!$E$81,MATCH(T$5,CompListItem,0),0,1,1))-SUMIFS(OFFSET(T$6,1,0,PayCount,1),PayDate,"&lt;"&amp;$AC204,PayEmp,$C204),(MIN(IF(OFFSET(Setup!$G$81,MATCH(T$5,CompListItem,0),0,1,1)="Taxable",SUMPRODUCT((PayEmp=$C204)*(PayDate&lt;=$AC204)*(ISERROR(SEARCH(PayEarnCode,T$4)))*(PayEarnTax)*(PayEarnValues)),SUMPRODUCT((PayEmp=$C204)*(PayDate&lt;=$AC204)*(ISERROR(SEARCH(PayEarnCode,T$4)))*(PayEarnValues))),IF(ISNUMBER(T$3),T$3/12*$AA204,IgnoreMin)))*OFFSET(Setup!$E$81,MATCH(T$5,CompListItem,0),0,1,1)-SUMIFS(OFFSET(T$6,1,0,PayCount,1),PayDate,"&lt;"&amp;$AC204,PayEmp,$C204)))))))</f>
        <v>0</v>
      </c>
      <c r="U204" s="133" cm="1">
        <f t="array" aca="1" ref="U204" ca="1">IF($F204="Terminated",0,IF($AA204=0,0,IF(ISNA(MATCH(U$5,CompListItem,0)),0,IF(COUNTIFS(OverEmp,$C204,OverComp,U$5,OverDate,"&lt;"&amp;DATE(YEAR($AC204),MONTH($AC204)+1,1),OverEnd,"&gt;="&amp;DATE(YEAR($AC204),MONTH($AC204),1))&gt;0,SUMIFS(OverValue,OverEmp,$C204,OverComp,U$5,OverDate,"&lt;"&amp;DATE(YEAR($AC204),MONTH($AC204)+1,1),OverEnd,"&gt;="&amp;DATE(YEAR($AC204),MONTH($AC204),1)),IF(OR(U$2="Fixed",U$2="Not Used"),(OFFSET(Setup!$E$81,MATCH(U$5,CompListItem,0),0,1,1)*$AA204)-SUMIFS(OFFSET(U$6,1,0,PayCount,1),PayDate,"&lt;"&amp;$AC204,PayEmp,$C204),IF(ISNA(MATCH(U$2,DedListItem,0))=FALSE,(SUMPRODUCT((PayEmp=$C204)*(PayDate&lt;=$AC204)*(PayDedList=U$2)*(PayDedValues))*OFFSET(Setup!$E$81,MATCH(U$5,CompListItem,0),0,1,1))-SUMIFS(OFFSET(U$6,1,0,PayCount,1),PayDate,"&lt;"&amp;$AC204,PayEmp,$C204),(MIN(IF(OFFSET(Setup!$G$81,MATCH(U$5,CompListItem,0),0,1,1)="Taxable",SUMPRODUCT((PayEmp=$C204)*(PayDate&lt;=$AC204)*(ISERROR(SEARCH(PayEarnCode,U$4)))*(PayEarnTax)*(PayEarnValues)),SUMPRODUCT((PayEmp=$C204)*(PayDate&lt;=$AC204)*(ISERROR(SEARCH(PayEarnCode,U$4)))*(PayEarnValues))),IF(ISNUMBER(U$3),U$3/12*$AA204,IgnoreMin)))*OFFSET(Setup!$E$81,MATCH(U$5,CompListItem,0),0,1,1)-SUMIFS(OFFSET(U$6,1,0,PayCount,1),PayDate,"&lt;"&amp;$AC204,PayEmp,$C204)))))))</f>
        <v>0</v>
      </c>
      <c r="V204" s="133" cm="1">
        <f t="array" aca="1" ref="V204" ca="1">IF($F204="Terminated",0,IF($AA204=0,0,IF(ISNA(MATCH(V$5,CompListItem,0)),0,IF(COUNTIFS(OverEmp,$C204,OverComp,V$5,OverDate,"&lt;"&amp;DATE(YEAR($AC204),MONTH($AC204)+1,1),OverEnd,"&gt;="&amp;DATE(YEAR($AC204),MONTH($AC204),1))&gt;0,SUMIFS(OverValue,OverEmp,$C204,OverComp,V$5,OverDate,"&lt;"&amp;DATE(YEAR($AC204),MONTH($AC204)+1,1),OverEnd,"&gt;="&amp;DATE(YEAR($AC204),MONTH($AC204),1)),IF(OR(V$2="Fixed",V$2="Not Used"),(OFFSET(Setup!$E$81,MATCH(V$5,CompListItem,0),0,1,1)*$AA204)-SUMIFS(OFFSET(V$6,1,0,PayCount,1),PayDate,"&lt;"&amp;$AC204,PayEmp,$C204),IF(ISNA(MATCH(V$2,DedListItem,0))=FALSE,(SUMPRODUCT((PayEmp=$C204)*(PayDate&lt;=$AC204)*(PayDedList=V$2)*(PayDedValues))*OFFSET(Setup!$E$81,MATCH(V$5,CompListItem,0),0,1,1))-SUMIFS(OFFSET(V$6,1,0,PayCount,1),PayDate,"&lt;"&amp;$AC204,PayEmp,$C204),(MIN(IF(OFFSET(Setup!$G$81,MATCH(V$5,CompListItem,0),0,1,1)="Taxable",SUMPRODUCT((PayEmp=$C204)*(PayDate&lt;=$AC204)*(ISERROR(SEARCH(PayEarnCode,V$4)))*(PayEarnTax)*(PayEarnValues)),SUMPRODUCT((PayEmp=$C204)*(PayDate&lt;=$AC204)*(ISERROR(SEARCH(PayEarnCode,V$4)))*(PayEarnValues))),IF(ISNUMBER(V$3),V$3/12*$AA204,IgnoreMin)))*OFFSET(Setup!$E$81,MATCH(V$5,CompListItem,0),0,1,1)-SUMIFS(OFFSET(V$6,1,0,PayCount,1),PayDate,"&lt;"&amp;$AC204,PayEmp,$C204)))))))</f>
        <v>0</v>
      </c>
      <c r="W204" s="133" cm="1">
        <f t="array" aca="1" ref="W204" ca="1">IF($F204="Terminated",0,IF($AA204=0,0,IF(ISNA(MATCH(W$5,CompListItem,0)),0,IF(COUNTIFS(OverEmp,$C204,OverComp,W$5,OverDate,"&lt;"&amp;DATE(YEAR($AC204),MONTH($AC204)+1,1),OverEnd,"&gt;="&amp;DATE(YEAR($AC204),MONTH($AC204),1))&gt;0,SUMIFS(OverValue,OverEmp,$C204,OverComp,W$5,OverDate,"&lt;"&amp;DATE(YEAR($AC204),MONTH($AC204)+1,1),OverEnd,"&gt;="&amp;DATE(YEAR($AC204),MONTH($AC204),1)),IF(OR(W$2="Fixed",W$2="Not Used"),(OFFSET(Setup!$E$81,MATCH(W$5,CompListItem,0),0,1,1)*$AA204)-SUMIFS(OFFSET(W$6,1,0,PayCount,1),PayDate,"&lt;"&amp;$AC204,PayEmp,$C204),IF(ISNA(MATCH(W$2,DedListItem,0))=FALSE,(SUMPRODUCT((PayEmp=$C204)*(PayDate&lt;=$AC204)*(PayDedList=W$2)*(PayDedValues))*OFFSET(Setup!$E$81,MATCH(W$5,CompListItem,0),0,1,1))-SUMIFS(OFFSET(W$6,1,0,PayCount,1),PayDate,"&lt;"&amp;$AC204,PayEmp,$C204),(MIN(IF(OFFSET(Setup!$G$81,MATCH(W$5,CompListItem,0),0,1,1)="Taxable",SUMPRODUCT((PayEmp=$C204)*(PayDate&lt;=$AC204)*(ISERROR(SEARCH(PayEarnCode,W$4)))*(PayEarnTax)*(PayEarnValues)),SUMPRODUCT((PayEmp=$C204)*(PayDate&lt;=$AC204)*(ISERROR(SEARCH(PayEarnCode,W$4)))*(PayEarnValues))),IF(ISNUMBER(W$3),W$3/12*$AA204,IgnoreMin)))*OFFSET(Setup!$E$81,MATCH(W$5,CompListItem,0),0,1,1)-SUMIFS(OFFSET(W$6,1,0,PayCount,1),PayDate,"&lt;"&amp;$AC204,PayEmp,$C204)))))))</f>
        <v>0</v>
      </c>
      <c r="X204" s="185">
        <f t="shared" ca="1" si="98"/>
        <v>0</v>
      </c>
      <c r="Y204" s="139">
        <f t="shared" ca="1" si="99"/>
        <v>0</v>
      </c>
      <c r="Z204" s="139">
        <f t="shared" ca="1" si="100"/>
        <v>0</v>
      </c>
      <c r="AA204" s="146">
        <f ca="1">IF(OR($B204&lt;=Setup!$E$12,$B204&gt;=Setup!$D$12+1),0,IF($F204&lt;&gt;"Active",0,IF($AE204="Yes",$AB204,((YEAR($AC204)*12)+MONTH($AC204))-((YEAR($AD204)*12)+MONTH($AD204)-1))))</f>
        <v>0</v>
      </c>
      <c r="AB204" s="146">
        <f ca="1">IF(OR($B204&lt;=Setup!$E$12,$B204&gt;=Setup!$D$12+1),0,((YEAR($AC204)*12)+MONTH($AC204))-((YEAR(Setup!$E$12)*12)+MONTH(Setup!$E$12)))</f>
        <v>12</v>
      </c>
      <c r="AC204" s="186">
        <f t="shared" ca="1" si="101"/>
        <v>45351</v>
      </c>
      <c r="AD204" s="144">
        <f ca="1">IF(ISNA(VLOOKUP($C204,EmpAll,COLUMN(Emp!$E$4),0)),$AC204,IF(VLOOKUP($C204,EmpAll,COLUMN(Emp!$E$4),0)&lt;=Setup!$E$12,DATE(YEAR(Setup!$E$12),MONTH(Setup!$E$12)+1,1),VLOOKUP($C204,EmpAll,COLUMN(Emp!$E$4),0)))</f>
        <v>45351</v>
      </c>
      <c r="AE204" s="144" t="str">
        <f ca="1">IF(ISNA(VLOOKUP($C204,EmpAll,COLUMN(Emp!$G$1),0)),"-",IF(VLOOKUP($C204,EmpAll,COLUMN(Emp!$G$1),0)=0,"-",VLOOKUP($C204,EmpAll,COLUMN(Emp!$G$1),0)))</f>
        <v>-</v>
      </c>
      <c r="AF204" s="145">
        <f>IF(A204=PaySlip!$G$3,1,0)</f>
        <v>0</v>
      </c>
      <c r="AG204" s="130" cm="1">
        <f t="array" aca="1" ref="AG204" ca="1">IF(COUNTIFS(OverEmp,$C204,OverMed,"MED",OverDate,"&lt;"&amp;DATE(YEAR($AC204),MONTH($AC204)+1,1),OverEnd,"&gt;="&amp;DATE(YEAR($AC204),MONTH($AC204),1))&gt;0,SUMIFS(OverValue,OverEmp,$C204,OverMed,"MED",OverDate,"&lt;"&amp;DATE(YEAR($AC204),MONTH($AC204)+1,1),OverEnd,"&gt;="&amp;DATE(YEAR($AC204),MONTH($AC204),1)),IF(ISNA(VLOOKUP($C204,EmpAll,COLUMN(Emp!$N$4),0)),0,VLOOKUP($C204,EmpAll,COLUMN(Emp!$N$4),0)))</f>
        <v>0</v>
      </c>
      <c r="AH204" s="146">
        <f ca="1">VLOOKUP($AG204,MedList,COLUMN(Setup!$C$49),1)</f>
        <v>0</v>
      </c>
      <c r="AI204" s="146">
        <f t="shared" ca="1" si="107"/>
        <v>0</v>
      </c>
      <c r="AJ204" s="101" t="str">
        <f ca="1">IF(ISNA(VLOOKUP($C204,EmpAll,COLUMN(Emp!$L$4),0)),"None!",VLOOKUP($C204,EmpAll,COLUMN(Emp!$L$4),0))</f>
        <v>None!</v>
      </c>
      <c r="AK204" s="147">
        <f t="shared" ca="1" si="102"/>
        <v>17235</v>
      </c>
      <c r="AL204" s="101" t="str">
        <f ca="1">IF(ISNA(VLOOKUP($C204,Employees[],COLUMN(Emp!$M$4),0))=TRUE,"Error!",IF(VLOOKUP($C204,Employees[],COLUMN(Emp!$M$4),0)=0,"Yes",VLOOKUP($C204,Employees[],COLUMN(Emp!$M$4),0)))</f>
        <v>Error!</v>
      </c>
      <c r="AM204" s="148">
        <f t="shared" ca="1" si="108"/>
        <v>0</v>
      </c>
      <c r="AN204" s="148" cm="1">
        <f t="array" aca="1" ref="AN204" ca="1">-IF($F204="Terminated",0,IF($AA204=0,0,IF(ISNA(MATCH(AN$5,PayDedList,0)),0,MIN(IF(COUNTIFS(OverEmp,$C204,OverDeduct,AN$5,OverDate,"&lt;"&amp;DATE(YEAR($AC204),MONTH($AC204)+1,1),OverEnd,"&gt;="&amp;DATE(YEAR($AC204),MONTH($AC204),1))&gt;0,SUMPRODUCT((PayEmp=$C204)*(PayDate&lt;=$AC204)*(OFFSET($N$6,1,MATCH(AN$5,PayDedList,0)-1,PayCount,1)))/$AA204*12*AN$3,IF(OR(AN$1="Fixed",AN$1="Not Used"),SUMPRODUCT((PayEmp=$C204)*(PayDate&lt;=$AC204)*(OFFSET($N$6,1,MATCH(AN$5,PayDedList,0)-1,PayCount,1)))/$AA204*12*AN$3,IF(ISNA(MATCH(AN$1,EarnListItem,0))=FALSE,SUMPRODUCT((PayEmp=$C204)*(PayDate&lt;=$AC204)*(OFFSET($N$6,1,MATCH(AN$5,PayDedList,0)-1,PayCount,1)))/$AA204*12*AN$3,(MIN(((SUMPRODUCT((PayEmp=$C204)*(PayDate&lt;=$AC204)*(ISERROR(SEARCH(PayEarnCode,AN$2)))*(PayEarnType="Monthly")*(PayEarnValues))/$AA204*12)+(SUMPRODUCT((PayEmp=$C204)*(PayDate&lt;=$AC204)*(ISERROR(SEARCH(PayEarnCode,AN$2)))*(PayEarnType="Quarterly")*(PayEarnValues))/MAX(1,ROUNDDOWN($AB204/3,0))*4)+(SUMPRODUCT((PayEmp=$C204)*(PayDate&lt;=$AC204)*(ISERROR(SEARCH(PayEarnCode,AN$2)))*(PayEarnType="Bi-Annual")*(PayEarnValues))/MAX(1,ROUNDDOWN($AB204/6,0))*2)+(SUMPRODUCT((PayEmp=$C204)*(PayDate&lt;=$AC204)*(ISERROR(SEARCH(PayEarnCode,AN$2)))*(PayEarnType="Annual")*(PayEarnValues)))),IF(ISNUMBER(OFFSET($N$3,0,MATCH(AN$5,PayDedList,0)-1,1,1)),OFFSET($N$3,0,MATCH(AN$5,PayDedList,0)-1,1,1),IgnoreMin)))*IF(COUNTIFS(EmpNo,$C204,OFFSET(Emp!$R$4,1,MATCH(AN$5,DedListItem,0)-1,EmpCount,1),"&lt;&gt;")&gt;0,VLOOKUP($C204,EmpAll,COLUMN(Emp!$R$4)+MATCH(AN$5,DedListItem,0)-1,0),OFFSET(Setup!$E$73,MATCH(AN$5,DedListItem,0),0,1,1))*AN$3))),IF(ISNUMBER(AN$4),AN$4,IgnoreMin)))))</f>
        <v>0</v>
      </c>
      <c r="AO204" s="148" cm="1">
        <f t="array" aca="1" ref="AO204" ca="1">-IF($F204="Terminated",0,IF($AA204=0,0,IF(ISNA(MATCH(AO$5,PayDedList,0)),0,MIN(IF(COUNTIFS(OverEmp,$C204,OverDeduct,AO$5,OverDate,"&lt;"&amp;DATE(YEAR($AC204),MONTH($AC204)+1,1),OverEnd,"&gt;="&amp;DATE(YEAR($AC204),MONTH($AC204),1))&gt;0,SUMPRODUCT((PayEmp=$C204)*(PayDate&lt;=$AC204)*(OFFSET($N$6,1,MATCH(AO$5,PayDedList,0)-1,PayCount,1)))/$AA204*12*AO$3,IF(OR(AO$1="Fixed",AO$1="Not Used"),SUMPRODUCT((PayEmp=$C204)*(PayDate&lt;=$AC204)*(OFFSET($N$6,1,MATCH(AO$5,PayDedList,0)-1,PayCount,1)))/$AA204*12*AO$3,IF(ISNA(MATCH(AO$1,EarnListItem,0))=FALSE,SUMPRODUCT((PayEmp=$C204)*(PayDate&lt;=$AC204)*(OFFSET($N$6,1,MATCH(AO$5,PayDedList,0)-1,PayCount,1)))/$AA204*12*AO$3,(MIN(((SUMPRODUCT((PayEmp=$C204)*(PayDate&lt;=$AC204)*(ISERROR(SEARCH(PayEarnCode,AO$2)))*(PayEarnType="Monthly")*(PayEarnValues))/$AA204*12)+(SUMPRODUCT((PayEmp=$C204)*(PayDate&lt;=$AC204)*(ISERROR(SEARCH(PayEarnCode,AO$2)))*(PayEarnType="Quarterly")*(PayEarnValues))/MAX(1,ROUNDDOWN($AB204/3,0))*4)+(SUMPRODUCT((PayEmp=$C204)*(PayDate&lt;=$AC204)*(ISERROR(SEARCH(PayEarnCode,AO$2)))*(PayEarnType="Bi-Annual")*(PayEarnValues))/MAX(1,ROUNDDOWN($AB204/6,0))*2)+(SUMPRODUCT((PayEmp=$C204)*(PayDate&lt;=$AC204)*(ISERROR(SEARCH(PayEarnCode,AO$2)))*(PayEarnType="Annual")*(PayEarnValues)))),IF(ISNUMBER(OFFSET($N$3,0,MATCH(AO$5,PayDedList,0)-1,1,1)),OFFSET($N$3,0,MATCH(AO$5,PayDedList,0)-1,1,1),IgnoreMin)))*IF(COUNTIFS(EmpNo,$C204,OFFSET(Emp!$R$4,1,MATCH(AO$5,DedListItem,0)-1,EmpCount,1),"&lt;&gt;")&gt;0,VLOOKUP($C204,EmpAll,COLUMN(Emp!$R$4)+MATCH(AO$5,DedListItem,0)-1,0),OFFSET(Setup!$E$73,MATCH(AO$5,DedListItem,0),0,1,1))*AO$3))),IF(ISNUMBER(AO$4),AO$4,IgnoreMin)))))</f>
        <v>0</v>
      </c>
      <c r="AP204" s="148" cm="1">
        <f t="array" aca="1" ref="AP204" ca="1">-IF($F204="Terminated",0,IF($AA204=0,0,IF(ISNA(MATCH(AP$5,PayDedList,0)),0,MIN(IF(COUNTIFS(OverEmp,$C204,OverDeduct,AP$5,OverDate,"&lt;"&amp;DATE(YEAR($AC204),MONTH($AC204)+1,1),OverEnd,"&gt;="&amp;DATE(YEAR($AC204),MONTH($AC204),1))&gt;0,SUMPRODUCT((PayEmp=$C204)*(PayDate&lt;=$AC204)*(OFFSET($N$6,1,MATCH(AP$5,PayDedList,0)-1,PayCount,1)))/$AA204*12*AP$3,IF(OR(AP$1="Fixed",AP$1="Not Used"),SUMPRODUCT((PayEmp=$C204)*(PayDate&lt;=$AC204)*(OFFSET($N$6,1,MATCH(AP$5,PayDedList,0)-1,PayCount,1)))/$AA204*12*AP$3,IF(ISNA(MATCH(AP$1,EarnListItem,0))=FALSE,SUMPRODUCT((PayEmp=$C204)*(PayDate&lt;=$AC204)*(OFFSET($N$6,1,MATCH(AP$5,PayDedList,0)-1,PayCount,1)))/$AA204*12*AP$3,(MIN(((SUMPRODUCT((PayEmp=$C204)*(PayDate&lt;=$AC204)*(ISERROR(SEARCH(PayEarnCode,AP$2)))*(PayEarnType="Monthly")*(PayEarnValues))/$AA204*12)+(SUMPRODUCT((PayEmp=$C204)*(PayDate&lt;=$AC204)*(ISERROR(SEARCH(PayEarnCode,AP$2)))*(PayEarnType="Quarterly")*(PayEarnValues))/MAX(1,ROUNDDOWN($AB204/3,0))*4)+(SUMPRODUCT((PayEmp=$C204)*(PayDate&lt;=$AC204)*(ISERROR(SEARCH(PayEarnCode,AP$2)))*(PayEarnType="Bi-Annual")*(PayEarnValues))/MAX(1,ROUNDDOWN($AB204/6,0))*2)+(SUMPRODUCT((PayEmp=$C204)*(PayDate&lt;=$AC204)*(ISERROR(SEARCH(PayEarnCode,AP$2)))*(PayEarnType="Annual")*(PayEarnValues)))),IF(ISNUMBER(OFFSET($N$3,0,MATCH(AP$5,PayDedList,0)-1,1,1)),OFFSET($N$3,0,MATCH(AP$5,PayDedList,0)-1,1,1),IgnoreMin)))*IF(COUNTIFS(EmpNo,$C204,OFFSET(Emp!$R$4,1,MATCH(AP$5,DedListItem,0)-1,EmpCount,1),"&lt;&gt;")&gt;0,VLOOKUP($C204,EmpAll,COLUMN(Emp!$R$4)+MATCH(AP$5,DedListItem,0)-1,0),OFFSET(Setup!$E$73,MATCH(AP$5,DedListItem,0),0,1,1))*AP$3))),IF(ISNUMBER(AP$4),AP$4,IgnoreMin)))))</f>
        <v>0</v>
      </c>
      <c r="AQ204" s="148" cm="1">
        <f t="array" aca="1" ref="AQ204" ca="1">-IF($F204="Terminated",0,IF($AA204=0,0,IF(ISNA(MATCH(AQ$5,PayDedList,0)),0,MIN(IF(COUNTIFS(OverEmp,$C204,OverDeduct,AQ$5,OverDate,"&lt;"&amp;DATE(YEAR($AC204),MONTH($AC204)+1,1),OverEnd,"&gt;="&amp;DATE(YEAR($AC204),MONTH($AC204),1))&gt;0,SUMPRODUCT((PayEmp=$C204)*(PayDate&lt;=$AC204)*(OFFSET($N$6,1,MATCH(AQ$5,PayDedList,0)-1,PayCount,1)))/$AA204*12*AQ$3,IF(OR(AQ$1="Fixed",AQ$1="Not Used"),SUMPRODUCT((PayEmp=$C204)*(PayDate&lt;=$AC204)*(OFFSET($N$6,1,MATCH(AQ$5,PayDedList,0)-1,PayCount,1)))/$AA204*12*AQ$3,IF(ISNA(MATCH(AQ$1,EarnListItem,0))=FALSE,SUMPRODUCT((PayEmp=$C204)*(PayDate&lt;=$AC204)*(OFFSET($N$6,1,MATCH(AQ$5,PayDedList,0)-1,PayCount,1)))/$AA204*12*AQ$3,(MIN(((SUMPRODUCT((PayEmp=$C204)*(PayDate&lt;=$AC204)*(ISERROR(SEARCH(PayEarnCode,AQ$2)))*(PayEarnType="Monthly")*(PayEarnValues))/$AA204*12)+(SUMPRODUCT((PayEmp=$C204)*(PayDate&lt;=$AC204)*(ISERROR(SEARCH(PayEarnCode,AQ$2)))*(PayEarnType="Quarterly")*(PayEarnValues))/MAX(1,ROUNDDOWN($AB204/3,0))*4)+(SUMPRODUCT((PayEmp=$C204)*(PayDate&lt;=$AC204)*(ISERROR(SEARCH(PayEarnCode,AQ$2)))*(PayEarnType="Bi-Annual")*(PayEarnValues))/MAX(1,ROUNDDOWN($AB204/6,0))*2)+(SUMPRODUCT((PayEmp=$C204)*(PayDate&lt;=$AC204)*(ISERROR(SEARCH(PayEarnCode,AQ$2)))*(PayEarnType="Annual")*(PayEarnValues)))),IF(ISNUMBER(OFFSET($N$3,0,MATCH(AQ$5,PayDedList,0)-1,1,1)),OFFSET($N$3,0,MATCH(AQ$5,PayDedList,0)-1,1,1),IgnoreMin)))*IF(COUNTIFS(EmpNo,$C204,OFFSET(Emp!$R$4,1,MATCH(AQ$5,DedListItem,0)-1,EmpCount,1),"&lt;&gt;")&gt;0,VLOOKUP($C204,EmpAll,COLUMN(Emp!$R$4)+MATCH(AQ$5,DedListItem,0)-1,0),OFFSET(Setup!$E$73,MATCH(AQ$5,DedListItem,0),0,1,1))*AQ$3))),IF(ISNUMBER(AQ$4),AQ$4,IgnoreMin)))))</f>
        <v>0</v>
      </c>
      <c r="AR204" s="148">
        <f t="shared" ca="1" si="103"/>
        <v>0</v>
      </c>
      <c r="AS204" s="148">
        <f t="shared" ca="1" si="109"/>
        <v>0</v>
      </c>
      <c r="AT204" s="148" cm="1">
        <f t="array" aca="1" ref="AT204" ca="1">-IF($F204="Terminated",0,IF($AA204=0,0,IF(ISNA(MATCH(AT$5,PayDedList,0)),0,MIN(IF(COUNTIFS(OverEmp,$C204,OverDeduct,AT$5,OverDate,"&lt;"&amp;DATE(YEAR($AC204),MONTH($AC204)+1,1),OverEnd,"&gt;="&amp;DATE(YEAR($AC204),MONTH($AC204),1))&gt;0,SUMPRODUCT((PayEmp=$C204)*(PayDate&lt;=$AC204)*(OFFSET($N$6,1,MATCH(AT$5,PayDedList,0)-1,PayCount,1)))/$AA204*12*AT$3,IF(OR(AT$1="Fixed",AT$1="Not Used"),SUMPRODUCT((PayEmp=$C204)*(PayDate&lt;=$AC204)*(OFFSET($N$6,1,MATCH(AT$5,PayDedList,0)-1,PayCount,1)))/$AA204*12*AT$3,IF(ISNA(MATCH(OFFSET($N$2,0,MATCH(AT$5,PayDedList,0)-1,1,1),EarnListItem,0))=FALSE,SUMPRODUCT((PayEmp=$C204)*(PayDate&lt;=$AC204)*(OFFSET($N$6,1,MATCH(AT$5,PayDedList,0)-1,PayCount,1)))/$AA204*12*AT$3,(MIN(SUMPRODUCT((PayEmp=$C204)*(PayDate&lt;=$AC204)*(ISERROR(SEARCH(PayEarnCode,AT$2)))*(PayEarnType="Monthly")*(PayEarnValues))/$AA204*12,IF(ISNUMBER(OFFSET($N$3,0,MATCH(AT$5,PayDedList,0)-1,1,1)),OFFSET($N$3,0,MATCH(AT$5,PayDedList,0)-1,1,1),IgnoreMin)))*IF(COUNTIFS(EmpNo,$C204,OFFSET(Emp!$R$4,1,MATCH(AT$5,DedListItem,0)-1,EmpCount,1),"&lt;&gt;")&gt;0,VLOOKUP($C204,EmpAll,COLUMN(Emp!$R$4)+MATCH(AT$5,DedListItem,0)-1,0),OFFSET(Setup!$E$73,MATCH(AT$5,DedListItem,0),0,1,1))*AT$3))),IF(ISNUMBER(AT$4),AT$4,IgnoreMin)))))</f>
        <v>0</v>
      </c>
      <c r="AU204" s="148" cm="1">
        <f t="array" aca="1" ref="AU204" ca="1">-IF($F204="Terminated",0,IF($AA204=0,0,IF(ISNA(MATCH(AU$5,PayDedList,0)),0,MIN(IF(COUNTIFS(OverEmp,$C204,OverDeduct,AU$5,OverDate,"&lt;"&amp;DATE(YEAR($AC204),MONTH($AC204)+1,1),OverEnd,"&gt;="&amp;DATE(YEAR($AC204),MONTH($AC204),1))&gt;0,SUMPRODUCT((PayEmp=$C204)*(PayDate&lt;=$AC204)*(OFFSET($N$6,1,MATCH(AU$5,PayDedList,0)-1,PayCount,1)))/$AA204*12*AU$3,IF(OR(AU$1="Fixed",AU$1="Not Used"),SUMPRODUCT((PayEmp=$C204)*(PayDate&lt;=$AC204)*(OFFSET($N$6,1,MATCH(AU$5,PayDedList,0)-1,PayCount,1)))/$AA204*12*AU$3,IF(ISNA(MATCH(OFFSET($N$2,0,MATCH(AU$5,PayDedList,0)-1,1,1),EarnListItem,0))=FALSE,SUMPRODUCT((PayEmp=$C204)*(PayDate&lt;=$AC204)*(OFFSET($N$6,1,MATCH(AU$5,PayDedList,0)-1,PayCount,1)))/$AA204*12*AU$3,(MIN(SUMPRODUCT((PayEmp=$C204)*(PayDate&lt;=$AC204)*(ISERROR(SEARCH(PayEarnCode,AU$2)))*(PayEarnType="Monthly")*(PayEarnValues))/$AA204*12,IF(ISNUMBER(OFFSET($N$3,0,MATCH(AU$5,PayDedList,0)-1,1,1)),OFFSET($N$3,0,MATCH(AU$5,PayDedList,0)-1,1,1),IgnoreMin)))*IF(COUNTIFS(EmpNo,$C204,OFFSET(Emp!$R$4,1,MATCH(AU$5,DedListItem,0)-1,EmpCount,1),"&lt;&gt;")&gt;0,VLOOKUP($C204,EmpAll,COLUMN(Emp!$R$4)+MATCH(AU$5,DedListItem,0)-1,0),OFFSET(Setup!$E$73,MATCH(AU$5,DedListItem,0),0,1,1))*AU$3))),IF(ISNUMBER(AU$4),AU$4,IgnoreMin)))))</f>
        <v>0</v>
      </c>
      <c r="AV204" s="148" cm="1">
        <f t="array" aca="1" ref="AV204" ca="1">-IF($F204="Terminated",0,IF($AA204=0,0,IF(ISNA(MATCH(AV$5,PayDedList,0)),0,MIN(IF(COUNTIFS(OverEmp,$C204,OverDeduct,AV$5,OverDate,"&lt;"&amp;DATE(YEAR($AC204),MONTH($AC204)+1,1),OverEnd,"&gt;="&amp;DATE(YEAR($AC204),MONTH($AC204),1))&gt;0,SUMPRODUCT((PayEmp=$C204)*(PayDate&lt;=$AC204)*(OFFSET($N$6,1,MATCH(AV$5,PayDedList,0)-1,PayCount,1)))/$AA204*12*AV$3,IF(OR(AV$1="Fixed",AV$1="Not Used"),SUMPRODUCT((PayEmp=$C204)*(PayDate&lt;=$AC204)*(OFFSET($N$6,1,MATCH(AV$5,PayDedList,0)-1,PayCount,1)))/$AA204*12*AV$3,IF(ISNA(MATCH(OFFSET($N$2,0,MATCH(AV$5,PayDedList,0)-1,1,1),EarnListItem,0))=FALSE,SUMPRODUCT((PayEmp=$C204)*(PayDate&lt;=$AC204)*(OFFSET($N$6,1,MATCH(AV$5,PayDedList,0)-1,PayCount,1)))/$AA204*12*AV$3,(MIN(SUMPRODUCT((PayEmp=$C204)*(PayDate&lt;=$AC204)*(ISERROR(SEARCH(PayEarnCode,AV$2)))*(PayEarnType="Monthly")*(PayEarnValues))/$AA204*12,IF(ISNUMBER(OFFSET($N$3,0,MATCH(AV$5,PayDedList,0)-1,1,1)),OFFSET($N$3,0,MATCH(AV$5,PayDedList,0)-1,1,1),IgnoreMin)))*IF(COUNTIFS(EmpNo,$C204,OFFSET(Emp!$R$4,1,MATCH(AV$5,DedListItem,0)-1,EmpCount,1),"&lt;&gt;")&gt;0,VLOOKUP($C204,EmpAll,COLUMN(Emp!$R$4)+MATCH(AV$5,DedListItem,0)-1,0),OFFSET(Setup!$E$73,MATCH(AV$5,DedListItem,0),0,1,1))*AV$3))),IF(ISNUMBER(AV$4),AV$4,IgnoreMin)))))</f>
        <v>0</v>
      </c>
      <c r="AW204" s="148" cm="1">
        <f t="array" aca="1" ref="AW204" ca="1">-IF($F204="Terminated",0,IF($AA204=0,0,IF(ISNA(MATCH(AW$5,PayDedList,0)),0,MIN(IF(COUNTIFS(OverEmp,$C204,OverDeduct,AW$5,OverDate,"&lt;"&amp;DATE(YEAR($AC204),MONTH($AC204)+1,1),OverEnd,"&gt;="&amp;DATE(YEAR($AC204),MONTH($AC204),1))&gt;0,SUMPRODUCT((PayEmp=$C204)*(PayDate&lt;=$AC204)*(OFFSET($N$6,1,MATCH(AW$5,PayDedList,0)-1,PayCount,1)))/$AA204*12*AW$3,IF(OR(AW$1="Fixed",AW$1="Not Used"),SUMPRODUCT((PayEmp=$C204)*(PayDate&lt;=$AC204)*(OFFSET($N$6,1,MATCH(AW$5,PayDedList,0)-1,PayCount,1)))/$AA204*12*AW$3,IF(ISNA(MATCH(OFFSET($N$2,0,MATCH(AW$5,PayDedList,0)-1,1,1),EarnListItem,0))=FALSE,SUMPRODUCT((PayEmp=$C204)*(PayDate&lt;=$AC204)*(OFFSET($N$6,1,MATCH(AW$5,PayDedList,0)-1,PayCount,1)))/$AA204*12*AW$3,(MIN(SUMPRODUCT((PayEmp=$C204)*(PayDate&lt;=$AC204)*(ISERROR(SEARCH(PayEarnCode,AW$2)))*(PayEarnType="Monthly")*(PayEarnValues))/$AA204*12,IF(ISNUMBER(OFFSET($N$3,0,MATCH(AW$5,PayDedList,0)-1,1,1)),OFFSET($N$3,0,MATCH(AW$5,PayDedList,0)-1,1,1),IgnoreMin)))*IF(COUNTIFS(EmpNo,$C204,OFFSET(Emp!$R$4,1,MATCH(AW$5,DedListItem,0)-1,EmpCount,1),"&lt;&gt;")&gt;0,VLOOKUP($C204,EmpAll,COLUMN(Emp!$R$4)+MATCH(AW$5,DedListItem,0)-1,0),OFFSET(Setup!$E$73,MATCH(AW$5,DedListItem,0),0,1,1))*AW$3))),IF(ISNUMBER(AW$4),AW$4,IgnoreMin)))))</f>
        <v>0</v>
      </c>
      <c r="AX204" s="148">
        <f t="shared" ca="1" si="104"/>
        <v>0</v>
      </c>
      <c r="AY204" s="148">
        <f t="shared" ca="1" si="105"/>
        <v>0</v>
      </c>
      <c r="AZ204" s="148">
        <f ca="1">IF(ISNUMBER($AL204),($AR204*$AL204)-$AI204-$AK204,MAX(0,IF($AL204="B",IF($AR204&lt;Setup!$C$32,($AR204*Setup!$D$32)-$AI204-$AK204,(($AR204-VLOOKUP($AR204,TaxAll2,1,1))*OFFSET(Setup!$D$32,MATCH($AR204,TaxBracket2,1),0,1,1))+OFFSET(Setup!$E$31,MATCH($AR204,TaxBracket2,1),0,1,1)-$AI204-$AK204),IF($AR204&lt;Setup!$C$21,($AR204*Setup!$D$21)-$AI204-$AK204,(($AR204-VLOOKUP($AR204,TaxAll1,1,1))*OFFSET(Setup!$D$21,MATCH($AR204,TaxBracket1,1),0,1,1))+OFFSET(Setup!$E$20,MATCH($AR204,TaxBracket1,1),0,1,1)-$AI204-$AK204))))</f>
        <v>0</v>
      </c>
      <c r="BA204" s="148">
        <f ca="1">IF(ISNUMBER($AL204),($AX204*$AL204)-$AI204-$AK204,MAX(0,IF($AL204="B",IF($AX204&lt;Setup!$C$32,($AX204*Setup!$D$32)-$AI204-$AK204,(($AX204-VLOOKUP($AX204,TaxAll2,1,1))*OFFSET(Setup!$D$32,MATCH($AX204,TaxBracket2,1),0,1,1))+OFFSET(Setup!$E$31,MATCH($AX204,TaxBracket2,1),0,1,1)-$AI204-$AK204),IF($AX204&lt;Setup!$C$21,($AX204*Setup!$D$21)-$AI204-$AK204,(($AX204-VLOOKUP($AX204,TaxAll1,1,1))*OFFSET(Setup!$D$21,MATCH($AX204,TaxBracket1,1),0,1,1))+OFFSET(Setup!$E$20,MATCH($AX204,TaxBracket1,1),0,1,1)-$AI204-$AK204))))</f>
        <v>0</v>
      </c>
      <c r="BB204" s="148">
        <f t="shared" ca="1" si="106"/>
        <v>0</v>
      </c>
      <c r="BC204" s="150">
        <f t="shared" ca="1" si="110"/>
        <v>0</v>
      </c>
      <c r="BD204" s="150">
        <f t="shared" ca="1" si="111"/>
        <v>0</v>
      </c>
      <c r="BE204" s="148">
        <f t="shared" ca="1" si="112"/>
        <v>0</v>
      </c>
    </row>
    <row r="205" spans="1:57" ht="16.149999999999999" customHeight="1" x14ac:dyDescent="0.25">
      <c r="A205" s="10" t="str" cm="1">
        <f t="array" ref="A205">IF(ROW($A205)-ROW($A$6)&gt;EmpCount*12,"-",TEXT($B205,"yyyy")&amp;TEXT($B205,"mm")&amp;"-"&amp;$C205)</f>
        <v>-</v>
      </c>
      <c r="B205" s="137" cm="1">
        <f t="array" aca="1" ref="B205" ca="1">IF(ROW($A205)-ROW($A$6)&gt;EmpCount*12,Setup!$D$12,DATE(YEAR(Setup!$F$12),MONTH(Setup!$F$12)+ROUNDDOWN((ROW($A205)-ROW($A$6)-1)/EmpCount,0),IF(Setup!$C$14&gt;DAY(DATE(YEAR(Setup!$F$12),MONTH(Setup!$F$12)+ROUNDDOWN((ROW($A205)-ROW($A$6)-1)/EmpCount,0)+1,0)),DAY(DATE(YEAR(Setup!$F$12),MONTH(Setup!$F$12)+ROUNDDOWN((ROW($A205)-ROW($A$6)-1)/EmpCount,0)+1,0)),Setup!$C$14)))</f>
        <v>45351</v>
      </c>
      <c r="C205" s="101" t="str" cm="1">
        <f t="array" aca="1" ref="C205" ca="1">IF(ROW($A205)-ROW($A$6)&gt;EmpCount*12,"-",OFFSET(Emp!$A$4,ROW($A205)-ROW($A$6)-IF(ROW($A205)-ROW($A$6)&gt;EmpCount,ROUNDDOWN((ROW($A205)-ROW($A$6)-1)/EmpCount,0)*EmpCount,0),0,1,1))</f>
        <v>-</v>
      </c>
      <c r="D205" s="10" t="str">
        <f ca="1">IF(ISNA(VLOOKUP($C205,EmpAll,COLUMN(Emp!$B$4),0)),"-",VLOOKUP($C205,EmpAll,COLUMN(Emp!$B$4),0))</f>
        <v>-</v>
      </c>
      <c r="E205" s="145" t="str">
        <f ca="1">IF(ISNA(VLOOKUP($C205,EmpAll,COLUMN(Emp!$C$4),0)),"-",VLOOKUP($C205,EmpAll,COLUMN(Emp!$C$4),0))</f>
        <v>-</v>
      </c>
      <c r="F205" s="101" t="str">
        <f ca="1">IF(ISNA(VLOOKUP($C205,EmpAll,COLUMN(Emp!$A$4),0)),"-",IF(AND(VLOOKUP($C205,EmpAll,COLUMN(Emp!$E$4),0)&lt;&gt;0,VLOOKUP($C205,EmpAll,COLUMN(Emp!$E$4),0)&gt;=DATE(YEAR($AC205),MONTH($AC205)+1,0)),"Inactive",IF(AND(VLOOKUP($C205,EmpAll,COLUMN(Emp!$F$4),0)&lt;&gt;0,VLOOKUP($C205,EmpAll,COLUMN(Emp!$F$4),0)&lt;=DATE(YEAR($AC205),MONTH($AC205),0)),"Terminated","Active")))</f>
        <v>-</v>
      </c>
      <c r="G205" s="133" cm="1">
        <f t="array" aca="1" ref="G205" ca="1">IF($F205&lt;&gt;"Active",0,IF(COUNTIFS(OverEmp,$C205,OverEarn,G$2,OverDate,"&lt;"&amp;DATE(YEAR($AC205),MONTH($AC205)+1,1),OverEnd,"&gt;="&amp;DATE(YEAR($AC205),MONTH($AC205),1))&gt;0,SUMIFS(OverValue,OverEmp,$C205,OverEarn,G$2,OverDate,"&lt;"&amp;DATE(YEAR($AC205),MONTH($AC205)+1,1),OverEnd,"&gt;="&amp;DATE(YEAR($AC205),MONTH($AC205),1)),IF(AND($AC205&gt;=Setup!$E$10,SUMIFS(EmpIncrease,EmpCode,$C205)&gt;0),SUMIFS(EmpIncrease,EmpCode,$C205),SUMIFS(EmpSalary,EmpCode,$C205))))</f>
        <v>0</v>
      </c>
      <c r="H205" s="133" cm="1">
        <f t="array" aca="1" ref="H205" ca="1">IF($F205&lt;&gt;"Active",0,IF(COUNTIFS(OverEmp,$C205,OverEarn,H$2,OverDate,"&lt;"&amp;DATE(YEAR($AC205),MONTH($AC205)+1,1),OverEnd,"&gt;="&amp;DATE(YEAR($AC205),MONTH($AC205),1))&gt;0,SUMIFS(OverValue,OverEmp,$C205,OverEarn,H$2,OverDate,"&lt;"&amp;DATE(YEAR($AC205),MONTH($AC205)+1,1),OverEnd,"&gt;="&amp;DATE(YEAR($AC205),MONTH($AC205),1)),0))</f>
        <v>0</v>
      </c>
      <c r="I205" s="133" cm="1">
        <f t="array" aca="1" ref="I205" ca="1">IF($F205&lt;&gt;"Active",0,IF(COUNTIFS(OverEmp,$C205,OverEarn,I$2,OverDate,"&lt;"&amp;DATE(YEAR($AC205),MONTH($AC205)+1,1),OverEnd,"&gt;="&amp;DATE(YEAR($AC205),MONTH($AC205),1))&gt;0,SUMIFS(OverValue,OverEmp,$C205,OverEarn,I$2,OverDate,"&lt;"&amp;DATE(YEAR($AC205),MONTH($AC205)+1,1),OverEnd,"&gt;="&amp;DATE(YEAR($AC205),MONTH($AC205),1)),IF(MONTH(B205)=Setup!$C$15,SUMIFS(EmpBonus,EmpCode,$C205),0)))</f>
        <v>0</v>
      </c>
      <c r="J205" s="133" cm="1">
        <f t="array" aca="1" ref="J205" ca="1">IF($F205&lt;&gt;"Active",0,IF(COUNTIFS(OverEmp,$C205,OverEarn,J$2,OverDate,"&lt;"&amp;DATE(YEAR($AC205),MONTH($AC205)+1,1),OverEnd,"&gt;="&amp;DATE(YEAR($AC205),MONTH($AC205),1))&gt;0,SUMIFS(OverValue,OverEmp,$C205,OverEarn,J$2,OverDate,"&lt;"&amp;DATE(YEAR($AC205),MONTH($AC205)+1,1),OverEnd,"&gt;="&amp;DATE(YEAR($AC205),MONTH($AC205),1)),0))</f>
        <v>0</v>
      </c>
      <c r="K205" s="133" cm="1">
        <f t="array" aca="1" ref="K205" ca="1">IF($F205&lt;&gt;"Active",0,IF(COUNTIFS(OverEmp,$C205,OverEarn,K$2,OverDate,"&lt;"&amp;DATE(YEAR($AC205),MONTH($AC205)+1,1),OverEnd,"&gt;="&amp;DATE(YEAR($AC205),MONTH($AC205),1))&gt;0,SUMIFS(OverValue,OverEmp,$C205,OverEarn,K$2,OverDate,"&lt;"&amp;DATE(YEAR($AC205),MONTH($AC205)+1,1),OverEnd,"&gt;="&amp;DATE(YEAR($AC205),MONTH($AC205),1)),0))</f>
        <v>0</v>
      </c>
      <c r="L205" s="185">
        <f t="shared" ca="1" si="95"/>
        <v>0</v>
      </c>
      <c r="M205" s="182" cm="1">
        <f t="array" aca="1" ref="M205" ca="1">IF(COUNTIFS(OverEmp,$C205,OverTax,M$5,OverDate,"&lt;"&amp;DATE(YEAR($AC205),MONTH($AC205)+1,1),OverEnd,"&gt;="&amp;DATE(YEAR($AC205),MONTH($AC205),1))&gt;0,SUMIFS(OverValue,OverEmp,$C205,OverTax,M$5,OverDate,"&lt;"&amp;DATE(YEAR($AC205),MONTH($AC205)+1,1),OverEnd,"&gt;="&amp;DATE(YEAR($AC205),MONTH($AC205),1)),(($BA205/12*$AA205)+(BB205*IF(1-$BC205=0,0,BD205/(1-$BC205))))-IF($F205="Terminated",0,SUMIFS(PayTaxDeduct,PayDate,"&lt;"&amp;$AC205,PayEmp,$C205)))</f>
        <v>0</v>
      </c>
      <c r="N205" s="133" cm="1">
        <f t="array" aca="1" ref="N205" ca="1">IF($F205="Terminated",0,IF($AA205=0,0,IF(ISNA(MATCH(N$5,DedListItem,0)),0,IF(COUNTIFS(OverEmp,$C205,OverDeduct,N$5,OverDate,"&lt;"&amp;DATE(YEAR($AC205),MONTH($AC205)+1,1),OverEnd,"&gt;="&amp;DATE(YEAR($AC205),MONTH($AC205),1))&gt;0,SUMIFS(OverValue,OverEmp,$C205,OverDeduct,N$5,OverDate,"&lt;"&amp;DATE(YEAR($AC205),MONTH($AC205)+1,1),OverEnd,"&gt;="&amp;DATE(YEAR($AC205),MONTH($AC205),1)),IF(OR(N$2="Fixed",N$2="Not Used"),(IF(COUNTIFS(EmpNo,$C205,OFFSET(Emp!$R$4,1,MATCH(N$5,DedListItem,0)-1,EmpCount,1),"&lt;&gt;")&gt;0,VLOOKUP($C205,EmpAll,COLUMN(Emp!$R$4)+MATCH(N$5,DedListItem,0)-1,0),OFFSET(Setup!$E$73,MATCH(N$5,DedListItem,0),0,1,1))*$AA205)-SUMIFS(OFFSET(N$6,1,0,PayCount,1),PayDate,"&lt;"&amp;$AC205,PayEmp,$C205),IF(ISNA(MATCH(N$2,EarnListItem,0))=FALSE,IF(OFFSET(Setup!$G$73,MATCH(N$5,DedListItem,0),0,1,1)="Taxable",SUMPRODUCT((PayEmp=$C205)*(PayDate&lt;=$AC205)*(PayEarnCode=N$2)*(PayEarnTax)*(PayEarnValues)),SUMPRODUCT((PayEmp=$C205)*(PayDate&lt;=$AC205)*(PayEarnCode=N$2)*(PayEarnValues)))*IF(COUNTIFS(EmpNo,$C205,OFFSET(Emp!$R$4,1,MATCH(N$5,DedListItem,0)-1,EmpCount,1),"&lt;&gt;")&gt;0,VLOOKUP($C205,EmpAll,COLUMN(Emp!$R$4)+MATCH(N$5,DedListItem,0)-1,0),OFFSET(Setup!$E$73,MATCH(N$5,DedListItem,0),0,1,1)),(MIN(IF(OFFSET(Setup!$G$73,MATCH(N$5,DedListItem,0),0,1,1)="Taxable",SUMPRODUCT((PayEmp=$C205)*(PayDate&lt;=$AC205)*(ISERROR(SEARCH(PayEarnCode,N$4)))*(PayEarnTax)*(PayEarnValues)),SUMPRODUCT((PayEmp=$C205)*(PayDate&lt;=$AC205)*(ISERROR(SEARCH(PayEarnCode,N$4)))*(PayEarnValues))),IF(ISNUMBER(N$3),N$3/12*$AA205,IgnoreMin)))*IF(COUNTIFS(EmpNo,$C205,OFFSET(Emp!$R$4,1,MATCH(N$5,DedListItem,0)-1,EmpCount,1),"&lt;&gt;")&gt;0,VLOOKUP($C205,EmpAll,COLUMN(Emp!$R$4)+MATCH(N$5,DedListItem,0)-1,0),OFFSET(Setup!$E$73,MATCH(N$5,DedListItem,0),0,1,1)))-SUMIFS(OFFSET(N$6,1,0,PayCount,1),PayDate,"&lt;"&amp;$AC205,PayEmp,$C205))))))</f>
        <v>0</v>
      </c>
      <c r="O205" s="133" cm="1">
        <f t="array" aca="1" ref="O205" ca="1">IF($F205="Terminated",0,IF($AA205=0,0,IF(ISNA(MATCH(O$5,DedListItem,0)),0,IF(COUNTIFS(OverEmp,$C205,OverDeduct,O$5,OverDate,"&lt;"&amp;DATE(YEAR($AC205),MONTH($AC205)+1,1),OverEnd,"&gt;="&amp;DATE(YEAR($AC205),MONTH($AC205),1))&gt;0,SUMIFS(OverValue,OverEmp,$C205,OverDeduct,O$5,OverDate,"&lt;"&amp;DATE(YEAR($AC205),MONTH($AC205)+1,1),OverEnd,"&gt;="&amp;DATE(YEAR($AC205),MONTH($AC205),1)),IF(OR(O$2="Fixed",O$2="Not Used"),(IF(COUNTIFS(EmpNo,$C205,OFFSET(Emp!$R$4,1,MATCH(O$5,DedListItem,0)-1,EmpCount,1),"&lt;&gt;")&gt;0,VLOOKUP($C205,EmpAll,COLUMN(Emp!$R$4)+MATCH(O$5,DedListItem,0)-1,0),OFFSET(Setup!$E$73,MATCH(O$5,DedListItem,0),0,1,1))*$AA205)-SUMIFS(OFFSET(O$6,1,0,PayCount,1),PayDate,"&lt;"&amp;$AC205,PayEmp,$C205),IF(ISNA(MATCH(O$2,EarnListItem,0))=FALSE,IF(OFFSET(Setup!$G$73,MATCH(O$5,DedListItem,0),0,1,1)="Taxable",SUMPRODUCT((PayEmp=$C205)*(PayDate&lt;=$AC205)*(PayEarnCode=O$2)*(PayEarnTax)*(PayEarnValues)),SUMPRODUCT((PayEmp=$C205)*(PayDate&lt;=$AC205)*(PayEarnCode=O$2)*(PayEarnValues)))*IF(COUNTIFS(EmpNo,$C205,OFFSET(Emp!$R$4,1,MATCH(O$5,DedListItem,0)-1,EmpCount,1),"&lt;&gt;")&gt;0,VLOOKUP($C205,EmpAll,COLUMN(Emp!$R$4)+MATCH(O$5,DedListItem,0)-1,0),OFFSET(Setup!$E$73,MATCH(O$5,DedListItem,0),0,1,1)),(MIN(IF(OFFSET(Setup!$G$73,MATCH(O$5,DedListItem,0),0,1,1)="Taxable",SUMPRODUCT((PayEmp=$C205)*(PayDate&lt;=$AC205)*(ISERROR(SEARCH(PayEarnCode,O$4)))*(PayEarnTax)*(PayEarnValues)),SUMPRODUCT((PayEmp=$C205)*(PayDate&lt;=$AC205)*(ISERROR(SEARCH(PayEarnCode,O$4)))*(PayEarnValues))),IF(ISNUMBER(O$3),O$3/12*$AA205,IgnoreMin)))*IF(COUNTIFS(EmpNo,$C205,OFFSET(Emp!$R$4,1,MATCH(O$5,DedListItem,0)-1,EmpCount,1),"&lt;&gt;")&gt;0,VLOOKUP($C205,EmpAll,COLUMN(Emp!$R$4)+MATCH(O$5,DedListItem,0)-1,0),OFFSET(Setup!$E$73,MATCH(O$5,DedListItem,0),0,1,1)))-SUMIFS(OFFSET(O$6,1,0,PayCount,1),PayDate,"&lt;"&amp;$AC205,PayEmp,$C205))))))</f>
        <v>0</v>
      </c>
      <c r="P205" s="133" cm="1">
        <f t="array" aca="1" ref="P205" ca="1">IF($F205="Terminated",0,IF($AA205=0,0,IF(ISNA(MATCH(P$5,DedListItem,0)),0,IF(COUNTIFS(OverEmp,$C205,OverDeduct,P$5,OverDate,"&lt;"&amp;DATE(YEAR($AC205),MONTH($AC205)+1,1),OverEnd,"&gt;="&amp;DATE(YEAR($AC205),MONTH($AC205),1))&gt;0,SUMIFS(OverValue,OverEmp,$C205,OverDeduct,P$5,OverDate,"&lt;"&amp;DATE(YEAR($AC205),MONTH($AC205)+1,1),OverEnd,"&gt;="&amp;DATE(YEAR($AC205),MONTH($AC205),1)),IF(OR(P$2="Fixed",P$2="Not Used"),(IF(COUNTIFS(EmpNo,$C205,OFFSET(Emp!$R$4,1,MATCH(P$5,DedListItem,0)-1,EmpCount,1),"&lt;&gt;")&gt;0,VLOOKUP($C205,EmpAll,COLUMN(Emp!$R$4)+MATCH(P$5,DedListItem,0)-1,0),OFFSET(Setup!$E$73,MATCH(P$5,DedListItem,0),0,1,1))*$AA205)-SUMIFS(OFFSET(P$6,1,0,PayCount,1),PayDate,"&lt;"&amp;$AC205,PayEmp,$C205),IF(ISNA(MATCH(P$2,EarnListItem,0))=FALSE,IF(OFFSET(Setup!$G$73,MATCH(P$5,DedListItem,0),0,1,1)="Taxable",SUMPRODUCT((PayEmp=$C205)*(PayDate&lt;=$AC205)*(PayEarnCode=P$2)*(PayEarnTax)*(PayEarnValues)),SUMPRODUCT((PayEmp=$C205)*(PayDate&lt;=$AC205)*(PayEarnCode=P$2)*(PayEarnValues)))*IF(COUNTIFS(EmpNo,$C205,OFFSET(Emp!$R$4,1,MATCH(P$5,DedListItem,0)-1,EmpCount,1),"&lt;&gt;")&gt;0,VLOOKUP($C205,EmpAll,COLUMN(Emp!$R$4)+MATCH(P$5,DedListItem,0)-1,0),OFFSET(Setup!$E$73,MATCH(P$5,DedListItem,0),0,1,1)),(MIN(IF(OFFSET(Setup!$G$73,MATCH(P$5,DedListItem,0),0,1,1)="Taxable",SUMPRODUCT((PayEmp=$C205)*(PayDate&lt;=$AC205)*(ISERROR(SEARCH(PayEarnCode,P$4)))*(PayEarnTax)*(PayEarnValues)),SUMPRODUCT((PayEmp=$C205)*(PayDate&lt;=$AC205)*(ISERROR(SEARCH(PayEarnCode,P$4)))*(PayEarnValues))),IF(ISNUMBER(P$3),P$3/12*$AA205,IgnoreMin)))*IF(COUNTIFS(EmpNo,$C205,OFFSET(Emp!$R$4,1,MATCH(P$5,DedListItem,0)-1,EmpCount,1),"&lt;&gt;")&gt;0,VLOOKUP($C205,EmpAll,COLUMN(Emp!$R$4)+MATCH(P$5,DedListItem,0)-1,0),OFFSET(Setup!$E$73,MATCH(P$5,DedListItem,0),0,1,1)))-SUMIFS(OFFSET(P$6,1,0,PayCount,1),PayDate,"&lt;"&amp;$AC205,PayEmp,$C205))))))</f>
        <v>0</v>
      </c>
      <c r="Q205" s="133" cm="1">
        <f t="array" aca="1" ref="Q205" ca="1">IF($F205="Terminated",0,IF($AA205=0,0,IF(ISNA(MATCH(Q$5,DedListItem,0)),0,IF(COUNTIFS(OverEmp,$C205,OverDeduct,Q$5,OverDate,"&lt;"&amp;DATE(YEAR($AC205),MONTH($AC205)+1,1),OverEnd,"&gt;="&amp;DATE(YEAR($AC205),MONTH($AC205),1))&gt;0,SUMIFS(OverValue,OverEmp,$C205,OverDeduct,Q$5,OverDate,"&lt;"&amp;DATE(YEAR($AC205),MONTH($AC205)+1,1),OverEnd,"&gt;="&amp;DATE(YEAR($AC205),MONTH($AC205),1)),IF(OR(Q$2="Fixed",Q$2="Not Used"),(IF(COUNTIFS(EmpNo,$C205,OFFSET(Emp!$R$4,1,MATCH(Q$5,DedListItem,0)-1,EmpCount,1),"&lt;&gt;")&gt;0,VLOOKUP($C205,EmpAll,COLUMN(Emp!$R$4)+MATCH(Q$5,DedListItem,0)-1,0),OFFSET(Setup!$E$73,MATCH(Q$5,DedListItem,0),0,1,1))*$AA205)-SUMIFS(OFFSET(Q$6,1,0,PayCount,1),PayDate,"&lt;"&amp;$AC205,PayEmp,$C205),IF(ISNA(MATCH(Q$2,EarnListItem,0))=FALSE,IF(OFFSET(Setup!$G$73,MATCH(Q$5,DedListItem,0),0,1,1)="Taxable",SUMPRODUCT((PayEmp=$C205)*(PayDate&lt;=$AC205)*(PayEarnCode=Q$2)*(PayEarnTax)*(PayEarnValues)),SUMPRODUCT((PayEmp=$C205)*(PayDate&lt;=$AC205)*(PayEarnCode=Q$2)*(PayEarnValues)))*IF(COUNTIFS(EmpNo,$C205,OFFSET(Emp!$R$4,1,MATCH(Q$5,DedListItem,0)-1,EmpCount,1),"&lt;&gt;")&gt;0,VLOOKUP($C205,EmpAll,COLUMN(Emp!$R$4)+MATCH(Q$5,DedListItem,0)-1,0),OFFSET(Setup!$E$73,MATCH(Q$5,DedListItem,0),0,1,1)),(MIN(IF(OFFSET(Setup!$G$73,MATCH(Q$5,DedListItem,0),0,1,1)="Taxable",SUMPRODUCT((PayEmp=$C205)*(PayDate&lt;=$AC205)*(ISERROR(SEARCH(PayEarnCode,Q$4)))*(PayEarnTax)*(PayEarnValues)),SUMPRODUCT((PayEmp=$C205)*(PayDate&lt;=$AC205)*(ISERROR(SEARCH(PayEarnCode,Q$4)))*(PayEarnValues))),IF(ISNUMBER(Q$3),Q$3/12*$AA205,IgnoreMin)))*IF(COUNTIFS(EmpNo,$C205,OFFSET(Emp!$R$4,1,MATCH(Q$5,DedListItem,0)-1,EmpCount,1),"&lt;&gt;")&gt;0,VLOOKUP($C205,EmpAll,COLUMN(Emp!$R$4)+MATCH(Q$5,DedListItem,0)-1,0),OFFSET(Setup!$E$73,MATCH(Q$5,DedListItem,0),0,1,1)))-SUMIFS(OFFSET(Q$6,1,0,PayCount,1),PayDate,"&lt;"&amp;$AC205,PayEmp,$C205))))))</f>
        <v>0</v>
      </c>
      <c r="R205" s="185">
        <f t="shared" ca="1" si="96"/>
        <v>0</v>
      </c>
      <c r="S205" s="139">
        <f t="shared" ca="1" si="97"/>
        <v>0</v>
      </c>
      <c r="T205" s="133" cm="1">
        <f t="array" aca="1" ref="T205" ca="1">IF($F205="Terminated",0,IF($AA205=0,0,IF(ISNA(MATCH(T$5,CompListItem,0)),0,IF(COUNTIFS(OverEmp,$C205,OverComp,T$5,OverDate,"&lt;"&amp;DATE(YEAR($AC205),MONTH($AC205)+1,1),OverEnd,"&gt;="&amp;DATE(YEAR($AC205),MONTH($AC205),1))&gt;0,SUMIFS(OverValue,OverEmp,$C205,OverComp,T$5,OverDate,"&lt;"&amp;DATE(YEAR($AC205),MONTH($AC205)+1,1),OverEnd,"&gt;="&amp;DATE(YEAR($AC205),MONTH($AC205),1)),IF(OR(T$2="Fixed",T$2="Not Used"),(OFFSET(Setup!$E$81,MATCH(T$5,CompListItem,0),0,1,1)*$AA205)-SUMIFS(OFFSET(T$6,1,0,PayCount,1),PayDate,"&lt;"&amp;$AC205,PayEmp,$C205),IF(ISNA(MATCH(T$2,DedListItem,0))=FALSE,(SUMPRODUCT((PayEmp=$C205)*(PayDate&lt;=$AC205)*(PayDedList=T$2)*(PayDedValues))*OFFSET(Setup!$E$81,MATCH(T$5,CompListItem,0),0,1,1))-SUMIFS(OFFSET(T$6,1,0,PayCount,1),PayDate,"&lt;"&amp;$AC205,PayEmp,$C205),(MIN(IF(OFFSET(Setup!$G$81,MATCH(T$5,CompListItem,0),0,1,1)="Taxable",SUMPRODUCT((PayEmp=$C205)*(PayDate&lt;=$AC205)*(ISERROR(SEARCH(PayEarnCode,T$4)))*(PayEarnTax)*(PayEarnValues)),SUMPRODUCT((PayEmp=$C205)*(PayDate&lt;=$AC205)*(ISERROR(SEARCH(PayEarnCode,T$4)))*(PayEarnValues))),IF(ISNUMBER(T$3),T$3/12*$AA205,IgnoreMin)))*OFFSET(Setup!$E$81,MATCH(T$5,CompListItem,0),0,1,1)-SUMIFS(OFFSET(T$6,1,0,PayCount,1),PayDate,"&lt;"&amp;$AC205,PayEmp,$C205)))))))</f>
        <v>0</v>
      </c>
      <c r="U205" s="133" cm="1">
        <f t="array" aca="1" ref="U205" ca="1">IF($F205="Terminated",0,IF($AA205=0,0,IF(ISNA(MATCH(U$5,CompListItem,0)),0,IF(COUNTIFS(OverEmp,$C205,OverComp,U$5,OverDate,"&lt;"&amp;DATE(YEAR($AC205),MONTH($AC205)+1,1),OverEnd,"&gt;="&amp;DATE(YEAR($AC205),MONTH($AC205),1))&gt;0,SUMIFS(OverValue,OverEmp,$C205,OverComp,U$5,OverDate,"&lt;"&amp;DATE(YEAR($AC205),MONTH($AC205)+1,1),OverEnd,"&gt;="&amp;DATE(YEAR($AC205),MONTH($AC205),1)),IF(OR(U$2="Fixed",U$2="Not Used"),(OFFSET(Setup!$E$81,MATCH(U$5,CompListItem,0),0,1,1)*$AA205)-SUMIFS(OFFSET(U$6,1,0,PayCount,1),PayDate,"&lt;"&amp;$AC205,PayEmp,$C205),IF(ISNA(MATCH(U$2,DedListItem,0))=FALSE,(SUMPRODUCT((PayEmp=$C205)*(PayDate&lt;=$AC205)*(PayDedList=U$2)*(PayDedValues))*OFFSET(Setup!$E$81,MATCH(U$5,CompListItem,0),0,1,1))-SUMIFS(OFFSET(U$6,1,0,PayCount,1),PayDate,"&lt;"&amp;$AC205,PayEmp,$C205),(MIN(IF(OFFSET(Setup!$G$81,MATCH(U$5,CompListItem,0),0,1,1)="Taxable",SUMPRODUCT((PayEmp=$C205)*(PayDate&lt;=$AC205)*(ISERROR(SEARCH(PayEarnCode,U$4)))*(PayEarnTax)*(PayEarnValues)),SUMPRODUCT((PayEmp=$C205)*(PayDate&lt;=$AC205)*(ISERROR(SEARCH(PayEarnCode,U$4)))*(PayEarnValues))),IF(ISNUMBER(U$3),U$3/12*$AA205,IgnoreMin)))*OFFSET(Setup!$E$81,MATCH(U$5,CompListItem,0),0,1,1)-SUMIFS(OFFSET(U$6,1,0,PayCount,1),PayDate,"&lt;"&amp;$AC205,PayEmp,$C205)))))))</f>
        <v>0</v>
      </c>
      <c r="V205" s="133" cm="1">
        <f t="array" aca="1" ref="V205" ca="1">IF($F205="Terminated",0,IF($AA205=0,0,IF(ISNA(MATCH(V$5,CompListItem,0)),0,IF(COUNTIFS(OverEmp,$C205,OverComp,V$5,OverDate,"&lt;"&amp;DATE(YEAR($AC205),MONTH($AC205)+1,1),OverEnd,"&gt;="&amp;DATE(YEAR($AC205),MONTH($AC205),1))&gt;0,SUMIFS(OverValue,OverEmp,$C205,OverComp,V$5,OverDate,"&lt;"&amp;DATE(YEAR($AC205),MONTH($AC205)+1,1),OverEnd,"&gt;="&amp;DATE(YEAR($AC205),MONTH($AC205),1)),IF(OR(V$2="Fixed",V$2="Not Used"),(OFFSET(Setup!$E$81,MATCH(V$5,CompListItem,0),0,1,1)*$AA205)-SUMIFS(OFFSET(V$6,1,0,PayCount,1),PayDate,"&lt;"&amp;$AC205,PayEmp,$C205),IF(ISNA(MATCH(V$2,DedListItem,0))=FALSE,(SUMPRODUCT((PayEmp=$C205)*(PayDate&lt;=$AC205)*(PayDedList=V$2)*(PayDedValues))*OFFSET(Setup!$E$81,MATCH(V$5,CompListItem,0),0,1,1))-SUMIFS(OFFSET(V$6,1,0,PayCount,1),PayDate,"&lt;"&amp;$AC205,PayEmp,$C205),(MIN(IF(OFFSET(Setup!$G$81,MATCH(V$5,CompListItem,0),0,1,1)="Taxable",SUMPRODUCT((PayEmp=$C205)*(PayDate&lt;=$AC205)*(ISERROR(SEARCH(PayEarnCode,V$4)))*(PayEarnTax)*(PayEarnValues)),SUMPRODUCT((PayEmp=$C205)*(PayDate&lt;=$AC205)*(ISERROR(SEARCH(PayEarnCode,V$4)))*(PayEarnValues))),IF(ISNUMBER(V$3),V$3/12*$AA205,IgnoreMin)))*OFFSET(Setup!$E$81,MATCH(V$5,CompListItem,0),0,1,1)-SUMIFS(OFFSET(V$6,1,0,PayCount,1),PayDate,"&lt;"&amp;$AC205,PayEmp,$C205)))))))</f>
        <v>0</v>
      </c>
      <c r="W205" s="133" cm="1">
        <f t="array" aca="1" ref="W205" ca="1">IF($F205="Terminated",0,IF($AA205=0,0,IF(ISNA(MATCH(W$5,CompListItem,0)),0,IF(COUNTIFS(OverEmp,$C205,OverComp,W$5,OverDate,"&lt;"&amp;DATE(YEAR($AC205),MONTH($AC205)+1,1),OverEnd,"&gt;="&amp;DATE(YEAR($AC205),MONTH($AC205),1))&gt;0,SUMIFS(OverValue,OverEmp,$C205,OverComp,W$5,OverDate,"&lt;"&amp;DATE(YEAR($AC205),MONTH($AC205)+1,1),OverEnd,"&gt;="&amp;DATE(YEAR($AC205),MONTH($AC205),1)),IF(OR(W$2="Fixed",W$2="Not Used"),(OFFSET(Setup!$E$81,MATCH(W$5,CompListItem,0),0,1,1)*$AA205)-SUMIFS(OFFSET(W$6,1,0,PayCount,1),PayDate,"&lt;"&amp;$AC205,PayEmp,$C205),IF(ISNA(MATCH(W$2,DedListItem,0))=FALSE,(SUMPRODUCT((PayEmp=$C205)*(PayDate&lt;=$AC205)*(PayDedList=W$2)*(PayDedValues))*OFFSET(Setup!$E$81,MATCH(W$5,CompListItem,0),0,1,1))-SUMIFS(OFFSET(W$6,1,0,PayCount,1),PayDate,"&lt;"&amp;$AC205,PayEmp,$C205),(MIN(IF(OFFSET(Setup!$G$81,MATCH(W$5,CompListItem,0),0,1,1)="Taxable",SUMPRODUCT((PayEmp=$C205)*(PayDate&lt;=$AC205)*(ISERROR(SEARCH(PayEarnCode,W$4)))*(PayEarnTax)*(PayEarnValues)),SUMPRODUCT((PayEmp=$C205)*(PayDate&lt;=$AC205)*(ISERROR(SEARCH(PayEarnCode,W$4)))*(PayEarnValues))),IF(ISNUMBER(W$3),W$3/12*$AA205,IgnoreMin)))*OFFSET(Setup!$E$81,MATCH(W$5,CompListItem,0),0,1,1)-SUMIFS(OFFSET(W$6,1,0,PayCount,1),PayDate,"&lt;"&amp;$AC205,PayEmp,$C205)))))))</f>
        <v>0</v>
      </c>
      <c r="X205" s="185">
        <f t="shared" ca="1" si="98"/>
        <v>0</v>
      </c>
      <c r="Y205" s="139">
        <f t="shared" ca="1" si="99"/>
        <v>0</v>
      </c>
      <c r="Z205" s="139">
        <f t="shared" ca="1" si="100"/>
        <v>0</v>
      </c>
      <c r="AA205" s="146">
        <f ca="1">IF(OR($B205&lt;=Setup!$E$12,$B205&gt;=Setup!$D$12+1),0,IF($F205&lt;&gt;"Active",0,IF($AE205="Yes",$AB205,((YEAR($AC205)*12)+MONTH($AC205))-((YEAR($AD205)*12)+MONTH($AD205)-1))))</f>
        <v>0</v>
      </c>
      <c r="AB205" s="146">
        <f ca="1">IF(OR($B205&lt;=Setup!$E$12,$B205&gt;=Setup!$D$12+1),0,((YEAR($AC205)*12)+MONTH($AC205))-((YEAR(Setup!$E$12)*12)+MONTH(Setup!$E$12)))</f>
        <v>12</v>
      </c>
      <c r="AC205" s="186">
        <f t="shared" ca="1" si="101"/>
        <v>45351</v>
      </c>
      <c r="AD205" s="144">
        <f ca="1">IF(ISNA(VLOOKUP($C205,EmpAll,COLUMN(Emp!$E$4),0)),$AC205,IF(VLOOKUP($C205,EmpAll,COLUMN(Emp!$E$4),0)&lt;=Setup!$E$12,DATE(YEAR(Setup!$E$12),MONTH(Setup!$E$12)+1,1),VLOOKUP($C205,EmpAll,COLUMN(Emp!$E$4),0)))</f>
        <v>45351</v>
      </c>
      <c r="AE205" s="144" t="str">
        <f ca="1">IF(ISNA(VLOOKUP($C205,EmpAll,COLUMN(Emp!$G$1),0)),"-",IF(VLOOKUP($C205,EmpAll,COLUMN(Emp!$G$1),0)=0,"-",VLOOKUP($C205,EmpAll,COLUMN(Emp!$G$1),0)))</f>
        <v>-</v>
      </c>
      <c r="AF205" s="145">
        <f>IF(A205=PaySlip!$G$3,1,0)</f>
        <v>0</v>
      </c>
      <c r="AG205" s="130" cm="1">
        <f t="array" aca="1" ref="AG205" ca="1">IF(COUNTIFS(OverEmp,$C205,OverMed,"MED",OverDate,"&lt;"&amp;DATE(YEAR($AC205),MONTH($AC205)+1,1),OverEnd,"&gt;="&amp;DATE(YEAR($AC205),MONTH($AC205),1))&gt;0,SUMIFS(OverValue,OverEmp,$C205,OverMed,"MED",OverDate,"&lt;"&amp;DATE(YEAR($AC205),MONTH($AC205)+1,1),OverEnd,"&gt;="&amp;DATE(YEAR($AC205),MONTH($AC205),1)),IF(ISNA(VLOOKUP($C205,EmpAll,COLUMN(Emp!$N$4),0)),0,VLOOKUP($C205,EmpAll,COLUMN(Emp!$N$4),0)))</f>
        <v>0</v>
      </c>
      <c r="AH205" s="146">
        <f ca="1">VLOOKUP($AG205,MedList,COLUMN(Setup!$C$49),1)</f>
        <v>0</v>
      </c>
      <c r="AI205" s="146">
        <f t="shared" ca="1" si="107"/>
        <v>0</v>
      </c>
      <c r="AJ205" s="101" t="str">
        <f ca="1">IF(ISNA(VLOOKUP($C205,EmpAll,COLUMN(Emp!$L$4),0)),"None!",VLOOKUP($C205,EmpAll,COLUMN(Emp!$L$4),0))</f>
        <v>None!</v>
      </c>
      <c r="AK205" s="147">
        <f t="shared" ca="1" si="102"/>
        <v>17235</v>
      </c>
      <c r="AL205" s="101" t="str">
        <f ca="1">IF(ISNA(VLOOKUP($C205,Employees[],COLUMN(Emp!$M$4),0))=TRUE,"Error!",IF(VLOOKUP($C205,Employees[],COLUMN(Emp!$M$4),0)=0,"Yes",VLOOKUP($C205,Employees[],COLUMN(Emp!$M$4),0)))</f>
        <v>Error!</v>
      </c>
      <c r="AM205" s="148">
        <f t="shared" ca="1" si="108"/>
        <v>0</v>
      </c>
      <c r="AN205" s="148" cm="1">
        <f t="array" aca="1" ref="AN205" ca="1">-IF($F205="Terminated",0,IF($AA205=0,0,IF(ISNA(MATCH(AN$5,PayDedList,0)),0,MIN(IF(COUNTIFS(OverEmp,$C205,OverDeduct,AN$5,OverDate,"&lt;"&amp;DATE(YEAR($AC205),MONTH($AC205)+1,1),OverEnd,"&gt;="&amp;DATE(YEAR($AC205),MONTH($AC205),1))&gt;0,SUMPRODUCT((PayEmp=$C205)*(PayDate&lt;=$AC205)*(OFFSET($N$6,1,MATCH(AN$5,PayDedList,0)-1,PayCount,1)))/$AA205*12*AN$3,IF(OR(AN$1="Fixed",AN$1="Not Used"),SUMPRODUCT((PayEmp=$C205)*(PayDate&lt;=$AC205)*(OFFSET($N$6,1,MATCH(AN$5,PayDedList,0)-1,PayCount,1)))/$AA205*12*AN$3,IF(ISNA(MATCH(AN$1,EarnListItem,0))=FALSE,SUMPRODUCT((PayEmp=$C205)*(PayDate&lt;=$AC205)*(OFFSET($N$6,1,MATCH(AN$5,PayDedList,0)-1,PayCount,1)))/$AA205*12*AN$3,(MIN(((SUMPRODUCT((PayEmp=$C205)*(PayDate&lt;=$AC205)*(ISERROR(SEARCH(PayEarnCode,AN$2)))*(PayEarnType="Monthly")*(PayEarnValues))/$AA205*12)+(SUMPRODUCT((PayEmp=$C205)*(PayDate&lt;=$AC205)*(ISERROR(SEARCH(PayEarnCode,AN$2)))*(PayEarnType="Quarterly")*(PayEarnValues))/MAX(1,ROUNDDOWN($AB205/3,0))*4)+(SUMPRODUCT((PayEmp=$C205)*(PayDate&lt;=$AC205)*(ISERROR(SEARCH(PayEarnCode,AN$2)))*(PayEarnType="Bi-Annual")*(PayEarnValues))/MAX(1,ROUNDDOWN($AB205/6,0))*2)+(SUMPRODUCT((PayEmp=$C205)*(PayDate&lt;=$AC205)*(ISERROR(SEARCH(PayEarnCode,AN$2)))*(PayEarnType="Annual")*(PayEarnValues)))),IF(ISNUMBER(OFFSET($N$3,0,MATCH(AN$5,PayDedList,0)-1,1,1)),OFFSET($N$3,0,MATCH(AN$5,PayDedList,0)-1,1,1),IgnoreMin)))*IF(COUNTIFS(EmpNo,$C205,OFFSET(Emp!$R$4,1,MATCH(AN$5,DedListItem,0)-1,EmpCount,1),"&lt;&gt;")&gt;0,VLOOKUP($C205,EmpAll,COLUMN(Emp!$R$4)+MATCH(AN$5,DedListItem,0)-1,0),OFFSET(Setup!$E$73,MATCH(AN$5,DedListItem,0),0,1,1))*AN$3))),IF(ISNUMBER(AN$4),AN$4,IgnoreMin)))))</f>
        <v>0</v>
      </c>
      <c r="AO205" s="148" cm="1">
        <f t="array" aca="1" ref="AO205" ca="1">-IF($F205="Terminated",0,IF($AA205=0,0,IF(ISNA(MATCH(AO$5,PayDedList,0)),0,MIN(IF(COUNTIFS(OverEmp,$C205,OverDeduct,AO$5,OverDate,"&lt;"&amp;DATE(YEAR($AC205),MONTH($AC205)+1,1),OverEnd,"&gt;="&amp;DATE(YEAR($AC205),MONTH($AC205),1))&gt;0,SUMPRODUCT((PayEmp=$C205)*(PayDate&lt;=$AC205)*(OFFSET($N$6,1,MATCH(AO$5,PayDedList,0)-1,PayCount,1)))/$AA205*12*AO$3,IF(OR(AO$1="Fixed",AO$1="Not Used"),SUMPRODUCT((PayEmp=$C205)*(PayDate&lt;=$AC205)*(OFFSET($N$6,1,MATCH(AO$5,PayDedList,0)-1,PayCount,1)))/$AA205*12*AO$3,IF(ISNA(MATCH(AO$1,EarnListItem,0))=FALSE,SUMPRODUCT((PayEmp=$C205)*(PayDate&lt;=$AC205)*(OFFSET($N$6,1,MATCH(AO$5,PayDedList,0)-1,PayCount,1)))/$AA205*12*AO$3,(MIN(((SUMPRODUCT((PayEmp=$C205)*(PayDate&lt;=$AC205)*(ISERROR(SEARCH(PayEarnCode,AO$2)))*(PayEarnType="Monthly")*(PayEarnValues))/$AA205*12)+(SUMPRODUCT((PayEmp=$C205)*(PayDate&lt;=$AC205)*(ISERROR(SEARCH(PayEarnCode,AO$2)))*(PayEarnType="Quarterly")*(PayEarnValues))/MAX(1,ROUNDDOWN($AB205/3,0))*4)+(SUMPRODUCT((PayEmp=$C205)*(PayDate&lt;=$AC205)*(ISERROR(SEARCH(PayEarnCode,AO$2)))*(PayEarnType="Bi-Annual")*(PayEarnValues))/MAX(1,ROUNDDOWN($AB205/6,0))*2)+(SUMPRODUCT((PayEmp=$C205)*(PayDate&lt;=$AC205)*(ISERROR(SEARCH(PayEarnCode,AO$2)))*(PayEarnType="Annual")*(PayEarnValues)))),IF(ISNUMBER(OFFSET($N$3,0,MATCH(AO$5,PayDedList,0)-1,1,1)),OFFSET($N$3,0,MATCH(AO$5,PayDedList,0)-1,1,1),IgnoreMin)))*IF(COUNTIFS(EmpNo,$C205,OFFSET(Emp!$R$4,1,MATCH(AO$5,DedListItem,0)-1,EmpCount,1),"&lt;&gt;")&gt;0,VLOOKUP($C205,EmpAll,COLUMN(Emp!$R$4)+MATCH(AO$5,DedListItem,0)-1,0),OFFSET(Setup!$E$73,MATCH(AO$5,DedListItem,0),0,1,1))*AO$3))),IF(ISNUMBER(AO$4),AO$4,IgnoreMin)))))</f>
        <v>0</v>
      </c>
      <c r="AP205" s="148" cm="1">
        <f t="array" aca="1" ref="AP205" ca="1">-IF($F205="Terminated",0,IF($AA205=0,0,IF(ISNA(MATCH(AP$5,PayDedList,0)),0,MIN(IF(COUNTIFS(OverEmp,$C205,OverDeduct,AP$5,OverDate,"&lt;"&amp;DATE(YEAR($AC205),MONTH($AC205)+1,1),OverEnd,"&gt;="&amp;DATE(YEAR($AC205),MONTH($AC205),1))&gt;0,SUMPRODUCT((PayEmp=$C205)*(PayDate&lt;=$AC205)*(OFFSET($N$6,1,MATCH(AP$5,PayDedList,0)-1,PayCount,1)))/$AA205*12*AP$3,IF(OR(AP$1="Fixed",AP$1="Not Used"),SUMPRODUCT((PayEmp=$C205)*(PayDate&lt;=$AC205)*(OFFSET($N$6,1,MATCH(AP$5,PayDedList,0)-1,PayCount,1)))/$AA205*12*AP$3,IF(ISNA(MATCH(AP$1,EarnListItem,0))=FALSE,SUMPRODUCT((PayEmp=$C205)*(PayDate&lt;=$AC205)*(OFFSET($N$6,1,MATCH(AP$5,PayDedList,0)-1,PayCount,1)))/$AA205*12*AP$3,(MIN(((SUMPRODUCT((PayEmp=$C205)*(PayDate&lt;=$AC205)*(ISERROR(SEARCH(PayEarnCode,AP$2)))*(PayEarnType="Monthly")*(PayEarnValues))/$AA205*12)+(SUMPRODUCT((PayEmp=$C205)*(PayDate&lt;=$AC205)*(ISERROR(SEARCH(PayEarnCode,AP$2)))*(PayEarnType="Quarterly")*(PayEarnValues))/MAX(1,ROUNDDOWN($AB205/3,0))*4)+(SUMPRODUCT((PayEmp=$C205)*(PayDate&lt;=$AC205)*(ISERROR(SEARCH(PayEarnCode,AP$2)))*(PayEarnType="Bi-Annual")*(PayEarnValues))/MAX(1,ROUNDDOWN($AB205/6,0))*2)+(SUMPRODUCT((PayEmp=$C205)*(PayDate&lt;=$AC205)*(ISERROR(SEARCH(PayEarnCode,AP$2)))*(PayEarnType="Annual")*(PayEarnValues)))),IF(ISNUMBER(OFFSET($N$3,0,MATCH(AP$5,PayDedList,0)-1,1,1)),OFFSET($N$3,0,MATCH(AP$5,PayDedList,0)-1,1,1),IgnoreMin)))*IF(COUNTIFS(EmpNo,$C205,OFFSET(Emp!$R$4,1,MATCH(AP$5,DedListItem,0)-1,EmpCount,1),"&lt;&gt;")&gt;0,VLOOKUP($C205,EmpAll,COLUMN(Emp!$R$4)+MATCH(AP$5,DedListItem,0)-1,0),OFFSET(Setup!$E$73,MATCH(AP$5,DedListItem,0),0,1,1))*AP$3))),IF(ISNUMBER(AP$4),AP$4,IgnoreMin)))))</f>
        <v>0</v>
      </c>
      <c r="AQ205" s="148" cm="1">
        <f t="array" aca="1" ref="AQ205" ca="1">-IF($F205="Terminated",0,IF($AA205=0,0,IF(ISNA(MATCH(AQ$5,PayDedList,0)),0,MIN(IF(COUNTIFS(OverEmp,$C205,OverDeduct,AQ$5,OverDate,"&lt;"&amp;DATE(YEAR($AC205),MONTH($AC205)+1,1),OverEnd,"&gt;="&amp;DATE(YEAR($AC205),MONTH($AC205),1))&gt;0,SUMPRODUCT((PayEmp=$C205)*(PayDate&lt;=$AC205)*(OFFSET($N$6,1,MATCH(AQ$5,PayDedList,0)-1,PayCount,1)))/$AA205*12*AQ$3,IF(OR(AQ$1="Fixed",AQ$1="Not Used"),SUMPRODUCT((PayEmp=$C205)*(PayDate&lt;=$AC205)*(OFFSET($N$6,1,MATCH(AQ$5,PayDedList,0)-1,PayCount,1)))/$AA205*12*AQ$3,IF(ISNA(MATCH(AQ$1,EarnListItem,0))=FALSE,SUMPRODUCT((PayEmp=$C205)*(PayDate&lt;=$AC205)*(OFFSET($N$6,1,MATCH(AQ$5,PayDedList,0)-1,PayCount,1)))/$AA205*12*AQ$3,(MIN(((SUMPRODUCT((PayEmp=$C205)*(PayDate&lt;=$AC205)*(ISERROR(SEARCH(PayEarnCode,AQ$2)))*(PayEarnType="Monthly")*(PayEarnValues))/$AA205*12)+(SUMPRODUCT((PayEmp=$C205)*(PayDate&lt;=$AC205)*(ISERROR(SEARCH(PayEarnCode,AQ$2)))*(PayEarnType="Quarterly")*(PayEarnValues))/MAX(1,ROUNDDOWN($AB205/3,0))*4)+(SUMPRODUCT((PayEmp=$C205)*(PayDate&lt;=$AC205)*(ISERROR(SEARCH(PayEarnCode,AQ$2)))*(PayEarnType="Bi-Annual")*(PayEarnValues))/MAX(1,ROUNDDOWN($AB205/6,0))*2)+(SUMPRODUCT((PayEmp=$C205)*(PayDate&lt;=$AC205)*(ISERROR(SEARCH(PayEarnCode,AQ$2)))*(PayEarnType="Annual")*(PayEarnValues)))),IF(ISNUMBER(OFFSET($N$3,0,MATCH(AQ$5,PayDedList,0)-1,1,1)),OFFSET($N$3,0,MATCH(AQ$5,PayDedList,0)-1,1,1),IgnoreMin)))*IF(COUNTIFS(EmpNo,$C205,OFFSET(Emp!$R$4,1,MATCH(AQ$5,DedListItem,0)-1,EmpCount,1),"&lt;&gt;")&gt;0,VLOOKUP($C205,EmpAll,COLUMN(Emp!$R$4)+MATCH(AQ$5,DedListItem,0)-1,0),OFFSET(Setup!$E$73,MATCH(AQ$5,DedListItem,0),0,1,1))*AQ$3))),IF(ISNUMBER(AQ$4),AQ$4,IgnoreMin)))))</f>
        <v>0</v>
      </c>
      <c r="AR205" s="148">
        <f t="shared" ca="1" si="103"/>
        <v>0</v>
      </c>
      <c r="AS205" s="148">
        <f t="shared" ca="1" si="109"/>
        <v>0</v>
      </c>
      <c r="AT205" s="148" cm="1">
        <f t="array" aca="1" ref="AT205" ca="1">-IF($F205="Terminated",0,IF($AA205=0,0,IF(ISNA(MATCH(AT$5,PayDedList,0)),0,MIN(IF(COUNTIFS(OverEmp,$C205,OverDeduct,AT$5,OverDate,"&lt;"&amp;DATE(YEAR($AC205),MONTH($AC205)+1,1),OverEnd,"&gt;="&amp;DATE(YEAR($AC205),MONTH($AC205),1))&gt;0,SUMPRODUCT((PayEmp=$C205)*(PayDate&lt;=$AC205)*(OFFSET($N$6,1,MATCH(AT$5,PayDedList,0)-1,PayCount,1)))/$AA205*12*AT$3,IF(OR(AT$1="Fixed",AT$1="Not Used"),SUMPRODUCT((PayEmp=$C205)*(PayDate&lt;=$AC205)*(OFFSET($N$6,1,MATCH(AT$5,PayDedList,0)-1,PayCount,1)))/$AA205*12*AT$3,IF(ISNA(MATCH(OFFSET($N$2,0,MATCH(AT$5,PayDedList,0)-1,1,1),EarnListItem,0))=FALSE,SUMPRODUCT((PayEmp=$C205)*(PayDate&lt;=$AC205)*(OFFSET($N$6,1,MATCH(AT$5,PayDedList,0)-1,PayCount,1)))/$AA205*12*AT$3,(MIN(SUMPRODUCT((PayEmp=$C205)*(PayDate&lt;=$AC205)*(ISERROR(SEARCH(PayEarnCode,AT$2)))*(PayEarnType="Monthly")*(PayEarnValues))/$AA205*12,IF(ISNUMBER(OFFSET($N$3,0,MATCH(AT$5,PayDedList,0)-1,1,1)),OFFSET($N$3,0,MATCH(AT$5,PayDedList,0)-1,1,1),IgnoreMin)))*IF(COUNTIFS(EmpNo,$C205,OFFSET(Emp!$R$4,1,MATCH(AT$5,DedListItem,0)-1,EmpCount,1),"&lt;&gt;")&gt;0,VLOOKUP($C205,EmpAll,COLUMN(Emp!$R$4)+MATCH(AT$5,DedListItem,0)-1,0),OFFSET(Setup!$E$73,MATCH(AT$5,DedListItem,0),0,1,1))*AT$3))),IF(ISNUMBER(AT$4),AT$4,IgnoreMin)))))</f>
        <v>0</v>
      </c>
      <c r="AU205" s="148" cm="1">
        <f t="array" aca="1" ref="AU205" ca="1">-IF($F205="Terminated",0,IF($AA205=0,0,IF(ISNA(MATCH(AU$5,PayDedList,0)),0,MIN(IF(COUNTIFS(OverEmp,$C205,OverDeduct,AU$5,OverDate,"&lt;"&amp;DATE(YEAR($AC205),MONTH($AC205)+1,1),OverEnd,"&gt;="&amp;DATE(YEAR($AC205),MONTH($AC205),1))&gt;0,SUMPRODUCT((PayEmp=$C205)*(PayDate&lt;=$AC205)*(OFFSET($N$6,1,MATCH(AU$5,PayDedList,0)-1,PayCount,1)))/$AA205*12*AU$3,IF(OR(AU$1="Fixed",AU$1="Not Used"),SUMPRODUCT((PayEmp=$C205)*(PayDate&lt;=$AC205)*(OFFSET($N$6,1,MATCH(AU$5,PayDedList,0)-1,PayCount,1)))/$AA205*12*AU$3,IF(ISNA(MATCH(OFFSET($N$2,0,MATCH(AU$5,PayDedList,0)-1,1,1),EarnListItem,0))=FALSE,SUMPRODUCT((PayEmp=$C205)*(PayDate&lt;=$AC205)*(OFFSET($N$6,1,MATCH(AU$5,PayDedList,0)-1,PayCount,1)))/$AA205*12*AU$3,(MIN(SUMPRODUCT((PayEmp=$C205)*(PayDate&lt;=$AC205)*(ISERROR(SEARCH(PayEarnCode,AU$2)))*(PayEarnType="Monthly")*(PayEarnValues))/$AA205*12,IF(ISNUMBER(OFFSET($N$3,0,MATCH(AU$5,PayDedList,0)-1,1,1)),OFFSET($N$3,0,MATCH(AU$5,PayDedList,0)-1,1,1),IgnoreMin)))*IF(COUNTIFS(EmpNo,$C205,OFFSET(Emp!$R$4,1,MATCH(AU$5,DedListItem,0)-1,EmpCount,1),"&lt;&gt;")&gt;0,VLOOKUP($C205,EmpAll,COLUMN(Emp!$R$4)+MATCH(AU$5,DedListItem,0)-1,0),OFFSET(Setup!$E$73,MATCH(AU$5,DedListItem,0),0,1,1))*AU$3))),IF(ISNUMBER(AU$4),AU$4,IgnoreMin)))))</f>
        <v>0</v>
      </c>
      <c r="AV205" s="148" cm="1">
        <f t="array" aca="1" ref="AV205" ca="1">-IF($F205="Terminated",0,IF($AA205=0,0,IF(ISNA(MATCH(AV$5,PayDedList,0)),0,MIN(IF(COUNTIFS(OverEmp,$C205,OverDeduct,AV$5,OverDate,"&lt;"&amp;DATE(YEAR($AC205),MONTH($AC205)+1,1),OverEnd,"&gt;="&amp;DATE(YEAR($AC205),MONTH($AC205),1))&gt;0,SUMPRODUCT((PayEmp=$C205)*(PayDate&lt;=$AC205)*(OFFSET($N$6,1,MATCH(AV$5,PayDedList,0)-1,PayCount,1)))/$AA205*12*AV$3,IF(OR(AV$1="Fixed",AV$1="Not Used"),SUMPRODUCT((PayEmp=$C205)*(PayDate&lt;=$AC205)*(OFFSET($N$6,1,MATCH(AV$5,PayDedList,0)-1,PayCount,1)))/$AA205*12*AV$3,IF(ISNA(MATCH(OFFSET($N$2,0,MATCH(AV$5,PayDedList,0)-1,1,1),EarnListItem,0))=FALSE,SUMPRODUCT((PayEmp=$C205)*(PayDate&lt;=$AC205)*(OFFSET($N$6,1,MATCH(AV$5,PayDedList,0)-1,PayCount,1)))/$AA205*12*AV$3,(MIN(SUMPRODUCT((PayEmp=$C205)*(PayDate&lt;=$AC205)*(ISERROR(SEARCH(PayEarnCode,AV$2)))*(PayEarnType="Monthly")*(PayEarnValues))/$AA205*12,IF(ISNUMBER(OFFSET($N$3,0,MATCH(AV$5,PayDedList,0)-1,1,1)),OFFSET($N$3,0,MATCH(AV$5,PayDedList,0)-1,1,1),IgnoreMin)))*IF(COUNTIFS(EmpNo,$C205,OFFSET(Emp!$R$4,1,MATCH(AV$5,DedListItem,0)-1,EmpCount,1),"&lt;&gt;")&gt;0,VLOOKUP($C205,EmpAll,COLUMN(Emp!$R$4)+MATCH(AV$5,DedListItem,0)-1,0),OFFSET(Setup!$E$73,MATCH(AV$5,DedListItem,0),0,1,1))*AV$3))),IF(ISNUMBER(AV$4),AV$4,IgnoreMin)))))</f>
        <v>0</v>
      </c>
      <c r="AW205" s="148" cm="1">
        <f t="array" aca="1" ref="AW205" ca="1">-IF($F205="Terminated",0,IF($AA205=0,0,IF(ISNA(MATCH(AW$5,PayDedList,0)),0,MIN(IF(COUNTIFS(OverEmp,$C205,OverDeduct,AW$5,OverDate,"&lt;"&amp;DATE(YEAR($AC205),MONTH($AC205)+1,1),OverEnd,"&gt;="&amp;DATE(YEAR($AC205),MONTH($AC205),1))&gt;0,SUMPRODUCT((PayEmp=$C205)*(PayDate&lt;=$AC205)*(OFFSET($N$6,1,MATCH(AW$5,PayDedList,0)-1,PayCount,1)))/$AA205*12*AW$3,IF(OR(AW$1="Fixed",AW$1="Not Used"),SUMPRODUCT((PayEmp=$C205)*(PayDate&lt;=$AC205)*(OFFSET($N$6,1,MATCH(AW$5,PayDedList,0)-1,PayCount,1)))/$AA205*12*AW$3,IF(ISNA(MATCH(OFFSET($N$2,0,MATCH(AW$5,PayDedList,0)-1,1,1),EarnListItem,0))=FALSE,SUMPRODUCT((PayEmp=$C205)*(PayDate&lt;=$AC205)*(OFFSET($N$6,1,MATCH(AW$5,PayDedList,0)-1,PayCount,1)))/$AA205*12*AW$3,(MIN(SUMPRODUCT((PayEmp=$C205)*(PayDate&lt;=$AC205)*(ISERROR(SEARCH(PayEarnCode,AW$2)))*(PayEarnType="Monthly")*(PayEarnValues))/$AA205*12,IF(ISNUMBER(OFFSET($N$3,0,MATCH(AW$5,PayDedList,0)-1,1,1)),OFFSET($N$3,0,MATCH(AW$5,PayDedList,0)-1,1,1),IgnoreMin)))*IF(COUNTIFS(EmpNo,$C205,OFFSET(Emp!$R$4,1,MATCH(AW$5,DedListItem,0)-1,EmpCount,1),"&lt;&gt;")&gt;0,VLOOKUP($C205,EmpAll,COLUMN(Emp!$R$4)+MATCH(AW$5,DedListItem,0)-1,0),OFFSET(Setup!$E$73,MATCH(AW$5,DedListItem,0),0,1,1))*AW$3))),IF(ISNUMBER(AW$4),AW$4,IgnoreMin)))))</f>
        <v>0</v>
      </c>
      <c r="AX205" s="148">
        <f t="shared" ca="1" si="104"/>
        <v>0</v>
      </c>
      <c r="AY205" s="148">
        <f t="shared" ca="1" si="105"/>
        <v>0</v>
      </c>
      <c r="AZ205" s="148">
        <f ca="1">IF(ISNUMBER($AL205),($AR205*$AL205)-$AI205-$AK205,MAX(0,IF($AL205="B",IF($AR205&lt;Setup!$C$32,($AR205*Setup!$D$32)-$AI205-$AK205,(($AR205-VLOOKUP($AR205,TaxAll2,1,1))*OFFSET(Setup!$D$32,MATCH($AR205,TaxBracket2,1),0,1,1))+OFFSET(Setup!$E$31,MATCH($AR205,TaxBracket2,1),0,1,1)-$AI205-$AK205),IF($AR205&lt;Setup!$C$21,($AR205*Setup!$D$21)-$AI205-$AK205,(($AR205-VLOOKUP($AR205,TaxAll1,1,1))*OFFSET(Setup!$D$21,MATCH($AR205,TaxBracket1,1),0,1,1))+OFFSET(Setup!$E$20,MATCH($AR205,TaxBracket1,1),0,1,1)-$AI205-$AK205))))</f>
        <v>0</v>
      </c>
      <c r="BA205" s="148">
        <f ca="1">IF(ISNUMBER($AL205),($AX205*$AL205)-$AI205-$AK205,MAX(0,IF($AL205="B",IF($AX205&lt;Setup!$C$32,($AX205*Setup!$D$32)-$AI205-$AK205,(($AX205-VLOOKUP($AX205,TaxAll2,1,1))*OFFSET(Setup!$D$32,MATCH($AX205,TaxBracket2,1),0,1,1))+OFFSET(Setup!$E$31,MATCH($AX205,TaxBracket2,1),0,1,1)-$AI205-$AK205),IF($AX205&lt;Setup!$C$21,($AX205*Setup!$D$21)-$AI205-$AK205,(($AX205-VLOOKUP($AX205,TaxAll1,1,1))*OFFSET(Setup!$D$21,MATCH($AX205,TaxBracket1,1),0,1,1))+OFFSET(Setup!$E$20,MATCH($AX205,TaxBracket1,1),0,1,1)-$AI205-$AK205))))</f>
        <v>0</v>
      </c>
      <c r="BB205" s="148">
        <f t="shared" ca="1" si="106"/>
        <v>0</v>
      </c>
      <c r="BC205" s="150">
        <f t="shared" ca="1" si="110"/>
        <v>0</v>
      </c>
      <c r="BD205" s="150">
        <f t="shared" ca="1" si="111"/>
        <v>0</v>
      </c>
      <c r="BE205" s="148">
        <f t="shared" ca="1" si="112"/>
        <v>0</v>
      </c>
    </row>
    <row r="206" spans="1:57" ht="16.149999999999999" customHeight="1" x14ac:dyDescent="0.25">
      <c r="A206" s="10" t="str" cm="1">
        <f t="array" ref="A206">IF(ROW($A206)-ROW($A$6)&gt;EmpCount*12,"-",TEXT($B206,"yyyy")&amp;TEXT($B206,"mm")&amp;"-"&amp;$C206)</f>
        <v>-</v>
      </c>
      <c r="B206" s="137" cm="1">
        <f t="array" aca="1" ref="B206" ca="1">IF(ROW($A206)-ROW($A$6)&gt;EmpCount*12,Setup!$D$12,DATE(YEAR(Setup!$F$12),MONTH(Setup!$F$12)+ROUNDDOWN((ROW($A206)-ROW($A$6)-1)/EmpCount,0),IF(Setup!$C$14&gt;DAY(DATE(YEAR(Setup!$F$12),MONTH(Setup!$F$12)+ROUNDDOWN((ROW($A206)-ROW($A$6)-1)/EmpCount,0)+1,0)),DAY(DATE(YEAR(Setup!$F$12),MONTH(Setup!$F$12)+ROUNDDOWN((ROW($A206)-ROW($A$6)-1)/EmpCount,0)+1,0)),Setup!$C$14)))</f>
        <v>45351</v>
      </c>
      <c r="C206" s="101" t="str" cm="1">
        <f t="array" aca="1" ref="C206" ca="1">IF(ROW($A206)-ROW($A$6)&gt;EmpCount*12,"-",OFFSET(Emp!$A$4,ROW($A206)-ROW($A$6)-IF(ROW($A206)-ROW($A$6)&gt;EmpCount,ROUNDDOWN((ROW($A206)-ROW($A$6)-1)/EmpCount,0)*EmpCount,0),0,1,1))</f>
        <v>-</v>
      </c>
      <c r="D206" s="10" t="str">
        <f ca="1">IF(ISNA(VLOOKUP($C206,EmpAll,COLUMN(Emp!$B$4),0)),"-",VLOOKUP($C206,EmpAll,COLUMN(Emp!$B$4),0))</f>
        <v>-</v>
      </c>
      <c r="E206" s="145" t="str">
        <f ca="1">IF(ISNA(VLOOKUP($C206,EmpAll,COLUMN(Emp!$C$4),0)),"-",VLOOKUP($C206,EmpAll,COLUMN(Emp!$C$4),0))</f>
        <v>-</v>
      </c>
      <c r="F206" s="101" t="str">
        <f ca="1">IF(ISNA(VLOOKUP($C206,EmpAll,COLUMN(Emp!$A$4),0)),"-",IF(AND(VLOOKUP($C206,EmpAll,COLUMN(Emp!$E$4),0)&lt;&gt;0,VLOOKUP($C206,EmpAll,COLUMN(Emp!$E$4),0)&gt;=DATE(YEAR($AC206),MONTH($AC206)+1,0)),"Inactive",IF(AND(VLOOKUP($C206,EmpAll,COLUMN(Emp!$F$4),0)&lt;&gt;0,VLOOKUP($C206,EmpAll,COLUMN(Emp!$F$4),0)&lt;=DATE(YEAR($AC206),MONTH($AC206),0)),"Terminated","Active")))</f>
        <v>-</v>
      </c>
      <c r="G206" s="133" cm="1">
        <f t="array" aca="1" ref="G206" ca="1">IF($F206&lt;&gt;"Active",0,IF(COUNTIFS(OverEmp,$C206,OverEarn,G$2,OverDate,"&lt;"&amp;DATE(YEAR($AC206),MONTH($AC206)+1,1),OverEnd,"&gt;="&amp;DATE(YEAR($AC206),MONTH($AC206),1))&gt;0,SUMIFS(OverValue,OverEmp,$C206,OverEarn,G$2,OverDate,"&lt;"&amp;DATE(YEAR($AC206),MONTH($AC206)+1,1),OverEnd,"&gt;="&amp;DATE(YEAR($AC206),MONTH($AC206),1)),IF(AND($AC206&gt;=Setup!$E$10,SUMIFS(EmpIncrease,EmpCode,$C206)&gt;0),SUMIFS(EmpIncrease,EmpCode,$C206),SUMIFS(EmpSalary,EmpCode,$C206))))</f>
        <v>0</v>
      </c>
      <c r="H206" s="133" cm="1">
        <f t="array" aca="1" ref="H206" ca="1">IF($F206&lt;&gt;"Active",0,IF(COUNTIFS(OverEmp,$C206,OverEarn,H$2,OverDate,"&lt;"&amp;DATE(YEAR($AC206),MONTH($AC206)+1,1),OverEnd,"&gt;="&amp;DATE(YEAR($AC206),MONTH($AC206),1))&gt;0,SUMIFS(OverValue,OverEmp,$C206,OverEarn,H$2,OverDate,"&lt;"&amp;DATE(YEAR($AC206),MONTH($AC206)+1,1),OverEnd,"&gt;="&amp;DATE(YEAR($AC206),MONTH($AC206),1)),0))</f>
        <v>0</v>
      </c>
      <c r="I206" s="133" cm="1">
        <f t="array" aca="1" ref="I206" ca="1">IF($F206&lt;&gt;"Active",0,IF(COUNTIFS(OverEmp,$C206,OverEarn,I$2,OverDate,"&lt;"&amp;DATE(YEAR($AC206),MONTH($AC206)+1,1),OverEnd,"&gt;="&amp;DATE(YEAR($AC206),MONTH($AC206),1))&gt;0,SUMIFS(OverValue,OverEmp,$C206,OverEarn,I$2,OverDate,"&lt;"&amp;DATE(YEAR($AC206),MONTH($AC206)+1,1),OverEnd,"&gt;="&amp;DATE(YEAR($AC206),MONTH($AC206),1)),IF(MONTH(B206)=Setup!$C$15,SUMIFS(EmpBonus,EmpCode,$C206),0)))</f>
        <v>0</v>
      </c>
      <c r="J206" s="133" cm="1">
        <f t="array" aca="1" ref="J206" ca="1">IF($F206&lt;&gt;"Active",0,IF(COUNTIFS(OverEmp,$C206,OverEarn,J$2,OverDate,"&lt;"&amp;DATE(YEAR($AC206),MONTH($AC206)+1,1),OverEnd,"&gt;="&amp;DATE(YEAR($AC206),MONTH($AC206),1))&gt;0,SUMIFS(OverValue,OverEmp,$C206,OverEarn,J$2,OverDate,"&lt;"&amp;DATE(YEAR($AC206),MONTH($AC206)+1,1),OverEnd,"&gt;="&amp;DATE(YEAR($AC206),MONTH($AC206),1)),0))</f>
        <v>0</v>
      </c>
      <c r="K206" s="133" cm="1">
        <f t="array" aca="1" ref="K206" ca="1">IF($F206&lt;&gt;"Active",0,IF(COUNTIFS(OverEmp,$C206,OverEarn,K$2,OverDate,"&lt;"&amp;DATE(YEAR($AC206),MONTH($AC206)+1,1),OverEnd,"&gt;="&amp;DATE(YEAR($AC206),MONTH($AC206),1))&gt;0,SUMIFS(OverValue,OverEmp,$C206,OverEarn,K$2,OverDate,"&lt;"&amp;DATE(YEAR($AC206),MONTH($AC206)+1,1),OverEnd,"&gt;="&amp;DATE(YEAR($AC206),MONTH($AC206),1)),0))</f>
        <v>0</v>
      </c>
      <c r="L206" s="185">
        <f t="shared" ca="1" si="95"/>
        <v>0</v>
      </c>
      <c r="M206" s="182" cm="1">
        <f t="array" aca="1" ref="M206" ca="1">IF(COUNTIFS(OverEmp,$C206,OverTax,M$5,OverDate,"&lt;"&amp;DATE(YEAR($AC206),MONTH($AC206)+1,1),OverEnd,"&gt;="&amp;DATE(YEAR($AC206),MONTH($AC206),1))&gt;0,SUMIFS(OverValue,OverEmp,$C206,OverTax,M$5,OverDate,"&lt;"&amp;DATE(YEAR($AC206),MONTH($AC206)+1,1),OverEnd,"&gt;="&amp;DATE(YEAR($AC206),MONTH($AC206),1)),(($BA206/12*$AA206)+(BB206*IF(1-$BC206=0,0,BD206/(1-$BC206))))-IF($F206="Terminated",0,SUMIFS(PayTaxDeduct,PayDate,"&lt;"&amp;$AC206,PayEmp,$C206)))</f>
        <v>0</v>
      </c>
      <c r="N206" s="133" cm="1">
        <f t="array" aca="1" ref="N206" ca="1">IF($F206="Terminated",0,IF($AA206=0,0,IF(ISNA(MATCH(N$5,DedListItem,0)),0,IF(COUNTIFS(OverEmp,$C206,OverDeduct,N$5,OverDate,"&lt;"&amp;DATE(YEAR($AC206),MONTH($AC206)+1,1),OverEnd,"&gt;="&amp;DATE(YEAR($AC206),MONTH($AC206),1))&gt;0,SUMIFS(OverValue,OverEmp,$C206,OverDeduct,N$5,OverDate,"&lt;"&amp;DATE(YEAR($AC206),MONTH($AC206)+1,1),OverEnd,"&gt;="&amp;DATE(YEAR($AC206),MONTH($AC206),1)),IF(OR(N$2="Fixed",N$2="Not Used"),(IF(COUNTIFS(EmpNo,$C206,OFFSET(Emp!$R$4,1,MATCH(N$5,DedListItem,0)-1,EmpCount,1),"&lt;&gt;")&gt;0,VLOOKUP($C206,EmpAll,COLUMN(Emp!$R$4)+MATCH(N$5,DedListItem,0)-1,0),OFFSET(Setup!$E$73,MATCH(N$5,DedListItem,0),0,1,1))*$AA206)-SUMIFS(OFFSET(N$6,1,0,PayCount,1),PayDate,"&lt;"&amp;$AC206,PayEmp,$C206),IF(ISNA(MATCH(N$2,EarnListItem,0))=FALSE,IF(OFFSET(Setup!$G$73,MATCH(N$5,DedListItem,0),0,1,1)="Taxable",SUMPRODUCT((PayEmp=$C206)*(PayDate&lt;=$AC206)*(PayEarnCode=N$2)*(PayEarnTax)*(PayEarnValues)),SUMPRODUCT((PayEmp=$C206)*(PayDate&lt;=$AC206)*(PayEarnCode=N$2)*(PayEarnValues)))*IF(COUNTIFS(EmpNo,$C206,OFFSET(Emp!$R$4,1,MATCH(N$5,DedListItem,0)-1,EmpCount,1),"&lt;&gt;")&gt;0,VLOOKUP($C206,EmpAll,COLUMN(Emp!$R$4)+MATCH(N$5,DedListItem,0)-1,0),OFFSET(Setup!$E$73,MATCH(N$5,DedListItem,0),0,1,1)),(MIN(IF(OFFSET(Setup!$G$73,MATCH(N$5,DedListItem,0),0,1,1)="Taxable",SUMPRODUCT((PayEmp=$C206)*(PayDate&lt;=$AC206)*(ISERROR(SEARCH(PayEarnCode,N$4)))*(PayEarnTax)*(PayEarnValues)),SUMPRODUCT((PayEmp=$C206)*(PayDate&lt;=$AC206)*(ISERROR(SEARCH(PayEarnCode,N$4)))*(PayEarnValues))),IF(ISNUMBER(N$3),N$3/12*$AA206,IgnoreMin)))*IF(COUNTIFS(EmpNo,$C206,OFFSET(Emp!$R$4,1,MATCH(N$5,DedListItem,0)-1,EmpCount,1),"&lt;&gt;")&gt;0,VLOOKUP($C206,EmpAll,COLUMN(Emp!$R$4)+MATCH(N$5,DedListItem,0)-1,0),OFFSET(Setup!$E$73,MATCH(N$5,DedListItem,0),0,1,1)))-SUMIFS(OFFSET(N$6,1,0,PayCount,1),PayDate,"&lt;"&amp;$AC206,PayEmp,$C206))))))</f>
        <v>0</v>
      </c>
      <c r="O206" s="133" cm="1">
        <f t="array" aca="1" ref="O206" ca="1">IF($F206="Terminated",0,IF($AA206=0,0,IF(ISNA(MATCH(O$5,DedListItem,0)),0,IF(COUNTIFS(OverEmp,$C206,OverDeduct,O$5,OverDate,"&lt;"&amp;DATE(YEAR($AC206),MONTH($AC206)+1,1),OverEnd,"&gt;="&amp;DATE(YEAR($AC206),MONTH($AC206),1))&gt;0,SUMIFS(OverValue,OverEmp,$C206,OverDeduct,O$5,OverDate,"&lt;"&amp;DATE(YEAR($AC206),MONTH($AC206)+1,1),OverEnd,"&gt;="&amp;DATE(YEAR($AC206),MONTH($AC206),1)),IF(OR(O$2="Fixed",O$2="Not Used"),(IF(COUNTIFS(EmpNo,$C206,OFFSET(Emp!$R$4,1,MATCH(O$5,DedListItem,0)-1,EmpCount,1),"&lt;&gt;")&gt;0,VLOOKUP($C206,EmpAll,COLUMN(Emp!$R$4)+MATCH(O$5,DedListItem,0)-1,0),OFFSET(Setup!$E$73,MATCH(O$5,DedListItem,0),0,1,1))*$AA206)-SUMIFS(OFFSET(O$6,1,0,PayCount,1),PayDate,"&lt;"&amp;$AC206,PayEmp,$C206),IF(ISNA(MATCH(O$2,EarnListItem,0))=FALSE,IF(OFFSET(Setup!$G$73,MATCH(O$5,DedListItem,0),0,1,1)="Taxable",SUMPRODUCT((PayEmp=$C206)*(PayDate&lt;=$AC206)*(PayEarnCode=O$2)*(PayEarnTax)*(PayEarnValues)),SUMPRODUCT((PayEmp=$C206)*(PayDate&lt;=$AC206)*(PayEarnCode=O$2)*(PayEarnValues)))*IF(COUNTIFS(EmpNo,$C206,OFFSET(Emp!$R$4,1,MATCH(O$5,DedListItem,0)-1,EmpCount,1),"&lt;&gt;")&gt;0,VLOOKUP($C206,EmpAll,COLUMN(Emp!$R$4)+MATCH(O$5,DedListItem,0)-1,0),OFFSET(Setup!$E$73,MATCH(O$5,DedListItem,0),0,1,1)),(MIN(IF(OFFSET(Setup!$G$73,MATCH(O$5,DedListItem,0),0,1,1)="Taxable",SUMPRODUCT((PayEmp=$C206)*(PayDate&lt;=$AC206)*(ISERROR(SEARCH(PayEarnCode,O$4)))*(PayEarnTax)*(PayEarnValues)),SUMPRODUCT((PayEmp=$C206)*(PayDate&lt;=$AC206)*(ISERROR(SEARCH(PayEarnCode,O$4)))*(PayEarnValues))),IF(ISNUMBER(O$3),O$3/12*$AA206,IgnoreMin)))*IF(COUNTIFS(EmpNo,$C206,OFFSET(Emp!$R$4,1,MATCH(O$5,DedListItem,0)-1,EmpCount,1),"&lt;&gt;")&gt;0,VLOOKUP($C206,EmpAll,COLUMN(Emp!$R$4)+MATCH(O$5,DedListItem,0)-1,0),OFFSET(Setup!$E$73,MATCH(O$5,DedListItem,0),0,1,1)))-SUMIFS(OFFSET(O$6,1,0,PayCount,1),PayDate,"&lt;"&amp;$AC206,PayEmp,$C206))))))</f>
        <v>0</v>
      </c>
      <c r="P206" s="133" cm="1">
        <f t="array" aca="1" ref="P206" ca="1">IF($F206="Terminated",0,IF($AA206=0,0,IF(ISNA(MATCH(P$5,DedListItem,0)),0,IF(COUNTIFS(OverEmp,$C206,OverDeduct,P$5,OverDate,"&lt;"&amp;DATE(YEAR($AC206),MONTH($AC206)+1,1),OverEnd,"&gt;="&amp;DATE(YEAR($AC206),MONTH($AC206),1))&gt;0,SUMIFS(OverValue,OverEmp,$C206,OverDeduct,P$5,OverDate,"&lt;"&amp;DATE(YEAR($AC206),MONTH($AC206)+1,1),OverEnd,"&gt;="&amp;DATE(YEAR($AC206),MONTH($AC206),1)),IF(OR(P$2="Fixed",P$2="Not Used"),(IF(COUNTIFS(EmpNo,$C206,OFFSET(Emp!$R$4,1,MATCH(P$5,DedListItem,0)-1,EmpCount,1),"&lt;&gt;")&gt;0,VLOOKUP($C206,EmpAll,COLUMN(Emp!$R$4)+MATCH(P$5,DedListItem,0)-1,0),OFFSET(Setup!$E$73,MATCH(P$5,DedListItem,0),0,1,1))*$AA206)-SUMIFS(OFFSET(P$6,1,0,PayCount,1),PayDate,"&lt;"&amp;$AC206,PayEmp,$C206),IF(ISNA(MATCH(P$2,EarnListItem,0))=FALSE,IF(OFFSET(Setup!$G$73,MATCH(P$5,DedListItem,0),0,1,1)="Taxable",SUMPRODUCT((PayEmp=$C206)*(PayDate&lt;=$AC206)*(PayEarnCode=P$2)*(PayEarnTax)*(PayEarnValues)),SUMPRODUCT((PayEmp=$C206)*(PayDate&lt;=$AC206)*(PayEarnCode=P$2)*(PayEarnValues)))*IF(COUNTIFS(EmpNo,$C206,OFFSET(Emp!$R$4,1,MATCH(P$5,DedListItem,0)-1,EmpCount,1),"&lt;&gt;")&gt;0,VLOOKUP($C206,EmpAll,COLUMN(Emp!$R$4)+MATCH(P$5,DedListItem,0)-1,0),OFFSET(Setup!$E$73,MATCH(P$5,DedListItem,0),0,1,1)),(MIN(IF(OFFSET(Setup!$G$73,MATCH(P$5,DedListItem,0),0,1,1)="Taxable",SUMPRODUCT((PayEmp=$C206)*(PayDate&lt;=$AC206)*(ISERROR(SEARCH(PayEarnCode,P$4)))*(PayEarnTax)*(PayEarnValues)),SUMPRODUCT((PayEmp=$C206)*(PayDate&lt;=$AC206)*(ISERROR(SEARCH(PayEarnCode,P$4)))*(PayEarnValues))),IF(ISNUMBER(P$3),P$3/12*$AA206,IgnoreMin)))*IF(COUNTIFS(EmpNo,$C206,OFFSET(Emp!$R$4,1,MATCH(P$5,DedListItem,0)-1,EmpCount,1),"&lt;&gt;")&gt;0,VLOOKUP($C206,EmpAll,COLUMN(Emp!$R$4)+MATCH(P$5,DedListItem,0)-1,0),OFFSET(Setup!$E$73,MATCH(P$5,DedListItem,0),0,1,1)))-SUMIFS(OFFSET(P$6,1,0,PayCount,1),PayDate,"&lt;"&amp;$AC206,PayEmp,$C206))))))</f>
        <v>0</v>
      </c>
      <c r="Q206" s="133" cm="1">
        <f t="array" aca="1" ref="Q206" ca="1">IF($F206="Terminated",0,IF($AA206=0,0,IF(ISNA(MATCH(Q$5,DedListItem,0)),0,IF(COUNTIFS(OverEmp,$C206,OverDeduct,Q$5,OverDate,"&lt;"&amp;DATE(YEAR($AC206),MONTH($AC206)+1,1),OverEnd,"&gt;="&amp;DATE(YEAR($AC206),MONTH($AC206),1))&gt;0,SUMIFS(OverValue,OverEmp,$C206,OverDeduct,Q$5,OverDate,"&lt;"&amp;DATE(YEAR($AC206),MONTH($AC206)+1,1),OverEnd,"&gt;="&amp;DATE(YEAR($AC206),MONTH($AC206),1)),IF(OR(Q$2="Fixed",Q$2="Not Used"),(IF(COUNTIFS(EmpNo,$C206,OFFSET(Emp!$R$4,1,MATCH(Q$5,DedListItem,0)-1,EmpCount,1),"&lt;&gt;")&gt;0,VLOOKUP($C206,EmpAll,COLUMN(Emp!$R$4)+MATCH(Q$5,DedListItem,0)-1,0),OFFSET(Setup!$E$73,MATCH(Q$5,DedListItem,0),0,1,1))*$AA206)-SUMIFS(OFFSET(Q$6,1,0,PayCount,1),PayDate,"&lt;"&amp;$AC206,PayEmp,$C206),IF(ISNA(MATCH(Q$2,EarnListItem,0))=FALSE,IF(OFFSET(Setup!$G$73,MATCH(Q$5,DedListItem,0),0,1,1)="Taxable",SUMPRODUCT((PayEmp=$C206)*(PayDate&lt;=$AC206)*(PayEarnCode=Q$2)*(PayEarnTax)*(PayEarnValues)),SUMPRODUCT((PayEmp=$C206)*(PayDate&lt;=$AC206)*(PayEarnCode=Q$2)*(PayEarnValues)))*IF(COUNTIFS(EmpNo,$C206,OFFSET(Emp!$R$4,1,MATCH(Q$5,DedListItem,0)-1,EmpCount,1),"&lt;&gt;")&gt;0,VLOOKUP($C206,EmpAll,COLUMN(Emp!$R$4)+MATCH(Q$5,DedListItem,0)-1,0),OFFSET(Setup!$E$73,MATCH(Q$5,DedListItem,0),0,1,1)),(MIN(IF(OFFSET(Setup!$G$73,MATCH(Q$5,DedListItem,0),0,1,1)="Taxable",SUMPRODUCT((PayEmp=$C206)*(PayDate&lt;=$AC206)*(ISERROR(SEARCH(PayEarnCode,Q$4)))*(PayEarnTax)*(PayEarnValues)),SUMPRODUCT((PayEmp=$C206)*(PayDate&lt;=$AC206)*(ISERROR(SEARCH(PayEarnCode,Q$4)))*(PayEarnValues))),IF(ISNUMBER(Q$3),Q$3/12*$AA206,IgnoreMin)))*IF(COUNTIFS(EmpNo,$C206,OFFSET(Emp!$R$4,1,MATCH(Q$5,DedListItem,0)-1,EmpCount,1),"&lt;&gt;")&gt;0,VLOOKUP($C206,EmpAll,COLUMN(Emp!$R$4)+MATCH(Q$5,DedListItem,0)-1,0),OFFSET(Setup!$E$73,MATCH(Q$5,DedListItem,0),0,1,1)))-SUMIFS(OFFSET(Q$6,1,0,PayCount,1),PayDate,"&lt;"&amp;$AC206,PayEmp,$C206))))))</f>
        <v>0</v>
      </c>
      <c r="R206" s="185">
        <f t="shared" ca="1" si="96"/>
        <v>0</v>
      </c>
      <c r="S206" s="139">
        <f t="shared" ca="1" si="97"/>
        <v>0</v>
      </c>
      <c r="T206" s="133" cm="1">
        <f t="array" aca="1" ref="T206" ca="1">IF($F206="Terminated",0,IF($AA206=0,0,IF(ISNA(MATCH(T$5,CompListItem,0)),0,IF(COUNTIFS(OverEmp,$C206,OverComp,T$5,OverDate,"&lt;"&amp;DATE(YEAR($AC206),MONTH($AC206)+1,1),OverEnd,"&gt;="&amp;DATE(YEAR($AC206),MONTH($AC206),1))&gt;0,SUMIFS(OverValue,OverEmp,$C206,OverComp,T$5,OverDate,"&lt;"&amp;DATE(YEAR($AC206),MONTH($AC206)+1,1),OverEnd,"&gt;="&amp;DATE(YEAR($AC206),MONTH($AC206),1)),IF(OR(T$2="Fixed",T$2="Not Used"),(OFFSET(Setup!$E$81,MATCH(T$5,CompListItem,0),0,1,1)*$AA206)-SUMIFS(OFFSET(T$6,1,0,PayCount,1),PayDate,"&lt;"&amp;$AC206,PayEmp,$C206),IF(ISNA(MATCH(T$2,DedListItem,0))=FALSE,(SUMPRODUCT((PayEmp=$C206)*(PayDate&lt;=$AC206)*(PayDedList=T$2)*(PayDedValues))*OFFSET(Setup!$E$81,MATCH(T$5,CompListItem,0),0,1,1))-SUMIFS(OFFSET(T$6,1,0,PayCount,1),PayDate,"&lt;"&amp;$AC206,PayEmp,$C206),(MIN(IF(OFFSET(Setup!$G$81,MATCH(T$5,CompListItem,0),0,1,1)="Taxable",SUMPRODUCT((PayEmp=$C206)*(PayDate&lt;=$AC206)*(ISERROR(SEARCH(PayEarnCode,T$4)))*(PayEarnTax)*(PayEarnValues)),SUMPRODUCT((PayEmp=$C206)*(PayDate&lt;=$AC206)*(ISERROR(SEARCH(PayEarnCode,T$4)))*(PayEarnValues))),IF(ISNUMBER(T$3),T$3/12*$AA206,IgnoreMin)))*OFFSET(Setup!$E$81,MATCH(T$5,CompListItem,0),0,1,1)-SUMIFS(OFFSET(T$6,1,0,PayCount,1),PayDate,"&lt;"&amp;$AC206,PayEmp,$C206)))))))</f>
        <v>0</v>
      </c>
      <c r="U206" s="133" cm="1">
        <f t="array" aca="1" ref="U206" ca="1">IF($F206="Terminated",0,IF($AA206=0,0,IF(ISNA(MATCH(U$5,CompListItem,0)),0,IF(COUNTIFS(OverEmp,$C206,OverComp,U$5,OverDate,"&lt;"&amp;DATE(YEAR($AC206),MONTH($AC206)+1,1),OverEnd,"&gt;="&amp;DATE(YEAR($AC206),MONTH($AC206),1))&gt;0,SUMIFS(OverValue,OverEmp,$C206,OverComp,U$5,OverDate,"&lt;"&amp;DATE(YEAR($AC206),MONTH($AC206)+1,1),OverEnd,"&gt;="&amp;DATE(YEAR($AC206),MONTH($AC206),1)),IF(OR(U$2="Fixed",U$2="Not Used"),(OFFSET(Setup!$E$81,MATCH(U$5,CompListItem,0),0,1,1)*$AA206)-SUMIFS(OFFSET(U$6,1,0,PayCount,1),PayDate,"&lt;"&amp;$AC206,PayEmp,$C206),IF(ISNA(MATCH(U$2,DedListItem,0))=FALSE,(SUMPRODUCT((PayEmp=$C206)*(PayDate&lt;=$AC206)*(PayDedList=U$2)*(PayDedValues))*OFFSET(Setup!$E$81,MATCH(U$5,CompListItem,0),0,1,1))-SUMIFS(OFFSET(U$6,1,0,PayCount,1),PayDate,"&lt;"&amp;$AC206,PayEmp,$C206),(MIN(IF(OFFSET(Setup!$G$81,MATCH(U$5,CompListItem,0),0,1,1)="Taxable",SUMPRODUCT((PayEmp=$C206)*(PayDate&lt;=$AC206)*(ISERROR(SEARCH(PayEarnCode,U$4)))*(PayEarnTax)*(PayEarnValues)),SUMPRODUCT((PayEmp=$C206)*(PayDate&lt;=$AC206)*(ISERROR(SEARCH(PayEarnCode,U$4)))*(PayEarnValues))),IF(ISNUMBER(U$3),U$3/12*$AA206,IgnoreMin)))*OFFSET(Setup!$E$81,MATCH(U$5,CompListItem,0),0,1,1)-SUMIFS(OFFSET(U$6,1,0,PayCount,1),PayDate,"&lt;"&amp;$AC206,PayEmp,$C206)))))))</f>
        <v>0</v>
      </c>
      <c r="V206" s="133" cm="1">
        <f t="array" aca="1" ref="V206" ca="1">IF($F206="Terminated",0,IF($AA206=0,0,IF(ISNA(MATCH(V$5,CompListItem,0)),0,IF(COUNTIFS(OverEmp,$C206,OverComp,V$5,OverDate,"&lt;"&amp;DATE(YEAR($AC206),MONTH($AC206)+1,1),OverEnd,"&gt;="&amp;DATE(YEAR($AC206),MONTH($AC206),1))&gt;0,SUMIFS(OverValue,OverEmp,$C206,OverComp,V$5,OverDate,"&lt;"&amp;DATE(YEAR($AC206),MONTH($AC206)+1,1),OverEnd,"&gt;="&amp;DATE(YEAR($AC206),MONTH($AC206),1)),IF(OR(V$2="Fixed",V$2="Not Used"),(OFFSET(Setup!$E$81,MATCH(V$5,CompListItem,0),0,1,1)*$AA206)-SUMIFS(OFFSET(V$6,1,0,PayCount,1),PayDate,"&lt;"&amp;$AC206,PayEmp,$C206),IF(ISNA(MATCH(V$2,DedListItem,0))=FALSE,(SUMPRODUCT((PayEmp=$C206)*(PayDate&lt;=$AC206)*(PayDedList=V$2)*(PayDedValues))*OFFSET(Setup!$E$81,MATCH(V$5,CompListItem,0),0,1,1))-SUMIFS(OFFSET(V$6,1,0,PayCount,1),PayDate,"&lt;"&amp;$AC206,PayEmp,$C206),(MIN(IF(OFFSET(Setup!$G$81,MATCH(V$5,CompListItem,0),0,1,1)="Taxable",SUMPRODUCT((PayEmp=$C206)*(PayDate&lt;=$AC206)*(ISERROR(SEARCH(PayEarnCode,V$4)))*(PayEarnTax)*(PayEarnValues)),SUMPRODUCT((PayEmp=$C206)*(PayDate&lt;=$AC206)*(ISERROR(SEARCH(PayEarnCode,V$4)))*(PayEarnValues))),IF(ISNUMBER(V$3),V$3/12*$AA206,IgnoreMin)))*OFFSET(Setup!$E$81,MATCH(V$5,CompListItem,0),0,1,1)-SUMIFS(OFFSET(V$6,1,0,PayCount,1),PayDate,"&lt;"&amp;$AC206,PayEmp,$C206)))))))</f>
        <v>0</v>
      </c>
      <c r="W206" s="133" cm="1">
        <f t="array" aca="1" ref="W206" ca="1">IF($F206="Terminated",0,IF($AA206=0,0,IF(ISNA(MATCH(W$5,CompListItem,0)),0,IF(COUNTIFS(OverEmp,$C206,OverComp,W$5,OverDate,"&lt;"&amp;DATE(YEAR($AC206),MONTH($AC206)+1,1),OverEnd,"&gt;="&amp;DATE(YEAR($AC206),MONTH($AC206),1))&gt;0,SUMIFS(OverValue,OverEmp,$C206,OverComp,W$5,OverDate,"&lt;"&amp;DATE(YEAR($AC206),MONTH($AC206)+1,1),OverEnd,"&gt;="&amp;DATE(YEAR($AC206),MONTH($AC206),1)),IF(OR(W$2="Fixed",W$2="Not Used"),(OFFSET(Setup!$E$81,MATCH(W$5,CompListItem,0),0,1,1)*$AA206)-SUMIFS(OFFSET(W$6,1,0,PayCount,1),PayDate,"&lt;"&amp;$AC206,PayEmp,$C206),IF(ISNA(MATCH(W$2,DedListItem,0))=FALSE,(SUMPRODUCT((PayEmp=$C206)*(PayDate&lt;=$AC206)*(PayDedList=W$2)*(PayDedValues))*OFFSET(Setup!$E$81,MATCH(W$5,CompListItem,0),0,1,1))-SUMIFS(OFFSET(W$6,1,0,PayCount,1),PayDate,"&lt;"&amp;$AC206,PayEmp,$C206),(MIN(IF(OFFSET(Setup!$G$81,MATCH(W$5,CompListItem,0),0,1,1)="Taxable",SUMPRODUCT((PayEmp=$C206)*(PayDate&lt;=$AC206)*(ISERROR(SEARCH(PayEarnCode,W$4)))*(PayEarnTax)*(PayEarnValues)),SUMPRODUCT((PayEmp=$C206)*(PayDate&lt;=$AC206)*(ISERROR(SEARCH(PayEarnCode,W$4)))*(PayEarnValues))),IF(ISNUMBER(W$3),W$3/12*$AA206,IgnoreMin)))*OFFSET(Setup!$E$81,MATCH(W$5,CompListItem,0),0,1,1)-SUMIFS(OFFSET(W$6,1,0,PayCount,1),PayDate,"&lt;"&amp;$AC206,PayEmp,$C206)))))))</f>
        <v>0</v>
      </c>
      <c r="X206" s="185">
        <f t="shared" ca="1" si="98"/>
        <v>0</v>
      </c>
      <c r="Y206" s="139">
        <f t="shared" ca="1" si="99"/>
        <v>0</v>
      </c>
      <c r="Z206" s="139">
        <f t="shared" ca="1" si="100"/>
        <v>0</v>
      </c>
      <c r="AA206" s="146">
        <f ca="1">IF(OR($B206&lt;=Setup!$E$12,$B206&gt;=Setup!$D$12+1),0,IF($F206&lt;&gt;"Active",0,IF($AE206="Yes",$AB206,((YEAR($AC206)*12)+MONTH($AC206))-((YEAR($AD206)*12)+MONTH($AD206)-1))))</f>
        <v>0</v>
      </c>
      <c r="AB206" s="146">
        <f ca="1">IF(OR($B206&lt;=Setup!$E$12,$B206&gt;=Setup!$D$12+1),0,((YEAR($AC206)*12)+MONTH($AC206))-((YEAR(Setup!$E$12)*12)+MONTH(Setup!$E$12)))</f>
        <v>12</v>
      </c>
      <c r="AC206" s="186">
        <f t="shared" ca="1" si="101"/>
        <v>45351</v>
      </c>
      <c r="AD206" s="144">
        <f ca="1">IF(ISNA(VLOOKUP($C206,EmpAll,COLUMN(Emp!$E$4),0)),$AC206,IF(VLOOKUP($C206,EmpAll,COLUMN(Emp!$E$4),0)&lt;=Setup!$E$12,DATE(YEAR(Setup!$E$12),MONTH(Setup!$E$12)+1,1),VLOOKUP($C206,EmpAll,COLUMN(Emp!$E$4),0)))</f>
        <v>45351</v>
      </c>
      <c r="AE206" s="144" t="str">
        <f ca="1">IF(ISNA(VLOOKUP($C206,EmpAll,COLUMN(Emp!$G$1),0)),"-",IF(VLOOKUP($C206,EmpAll,COLUMN(Emp!$G$1),0)=0,"-",VLOOKUP($C206,EmpAll,COLUMN(Emp!$G$1),0)))</f>
        <v>-</v>
      </c>
      <c r="AF206" s="145">
        <f>IF(A206=PaySlip!$G$3,1,0)</f>
        <v>0</v>
      </c>
      <c r="AG206" s="130" cm="1">
        <f t="array" aca="1" ref="AG206" ca="1">IF(COUNTIFS(OverEmp,$C206,OverMed,"MED",OverDate,"&lt;"&amp;DATE(YEAR($AC206),MONTH($AC206)+1,1),OverEnd,"&gt;="&amp;DATE(YEAR($AC206),MONTH($AC206),1))&gt;0,SUMIFS(OverValue,OverEmp,$C206,OverMed,"MED",OverDate,"&lt;"&amp;DATE(YEAR($AC206),MONTH($AC206)+1,1),OverEnd,"&gt;="&amp;DATE(YEAR($AC206),MONTH($AC206),1)),IF(ISNA(VLOOKUP($C206,EmpAll,COLUMN(Emp!$N$4),0)),0,VLOOKUP($C206,EmpAll,COLUMN(Emp!$N$4),0)))</f>
        <v>0</v>
      </c>
      <c r="AH206" s="146">
        <f ca="1">VLOOKUP($AG206,MedList,COLUMN(Setup!$C$49),1)</f>
        <v>0</v>
      </c>
      <c r="AI206" s="146">
        <f t="shared" ca="1" si="107"/>
        <v>0</v>
      </c>
      <c r="AJ206" s="101" t="str">
        <f ca="1">IF(ISNA(VLOOKUP($C206,EmpAll,COLUMN(Emp!$L$4),0)),"None!",VLOOKUP($C206,EmpAll,COLUMN(Emp!$L$4),0))</f>
        <v>None!</v>
      </c>
      <c r="AK206" s="147">
        <f t="shared" ca="1" si="102"/>
        <v>17235</v>
      </c>
      <c r="AL206" s="101" t="str">
        <f ca="1">IF(ISNA(VLOOKUP($C206,Employees[],COLUMN(Emp!$M$4),0))=TRUE,"Error!",IF(VLOOKUP($C206,Employees[],COLUMN(Emp!$M$4),0)=0,"Yes",VLOOKUP($C206,Employees[],COLUMN(Emp!$M$4),0)))</f>
        <v>Error!</v>
      </c>
      <c r="AM206" s="148">
        <f t="shared" ca="1" si="108"/>
        <v>0</v>
      </c>
      <c r="AN206" s="148" cm="1">
        <f t="array" aca="1" ref="AN206" ca="1">-IF($F206="Terminated",0,IF($AA206=0,0,IF(ISNA(MATCH(AN$5,PayDedList,0)),0,MIN(IF(COUNTIFS(OverEmp,$C206,OverDeduct,AN$5,OverDate,"&lt;"&amp;DATE(YEAR($AC206),MONTH($AC206)+1,1),OverEnd,"&gt;="&amp;DATE(YEAR($AC206),MONTH($AC206),1))&gt;0,SUMPRODUCT((PayEmp=$C206)*(PayDate&lt;=$AC206)*(OFFSET($N$6,1,MATCH(AN$5,PayDedList,0)-1,PayCount,1)))/$AA206*12*AN$3,IF(OR(AN$1="Fixed",AN$1="Not Used"),SUMPRODUCT((PayEmp=$C206)*(PayDate&lt;=$AC206)*(OFFSET($N$6,1,MATCH(AN$5,PayDedList,0)-1,PayCount,1)))/$AA206*12*AN$3,IF(ISNA(MATCH(AN$1,EarnListItem,0))=FALSE,SUMPRODUCT((PayEmp=$C206)*(PayDate&lt;=$AC206)*(OFFSET($N$6,1,MATCH(AN$5,PayDedList,0)-1,PayCount,1)))/$AA206*12*AN$3,(MIN(((SUMPRODUCT((PayEmp=$C206)*(PayDate&lt;=$AC206)*(ISERROR(SEARCH(PayEarnCode,AN$2)))*(PayEarnType="Monthly")*(PayEarnValues))/$AA206*12)+(SUMPRODUCT((PayEmp=$C206)*(PayDate&lt;=$AC206)*(ISERROR(SEARCH(PayEarnCode,AN$2)))*(PayEarnType="Quarterly")*(PayEarnValues))/MAX(1,ROUNDDOWN($AB206/3,0))*4)+(SUMPRODUCT((PayEmp=$C206)*(PayDate&lt;=$AC206)*(ISERROR(SEARCH(PayEarnCode,AN$2)))*(PayEarnType="Bi-Annual")*(PayEarnValues))/MAX(1,ROUNDDOWN($AB206/6,0))*2)+(SUMPRODUCT((PayEmp=$C206)*(PayDate&lt;=$AC206)*(ISERROR(SEARCH(PayEarnCode,AN$2)))*(PayEarnType="Annual")*(PayEarnValues)))),IF(ISNUMBER(OFFSET($N$3,0,MATCH(AN$5,PayDedList,0)-1,1,1)),OFFSET($N$3,0,MATCH(AN$5,PayDedList,0)-1,1,1),IgnoreMin)))*IF(COUNTIFS(EmpNo,$C206,OFFSET(Emp!$R$4,1,MATCH(AN$5,DedListItem,0)-1,EmpCount,1),"&lt;&gt;")&gt;0,VLOOKUP($C206,EmpAll,COLUMN(Emp!$R$4)+MATCH(AN$5,DedListItem,0)-1,0),OFFSET(Setup!$E$73,MATCH(AN$5,DedListItem,0),0,1,1))*AN$3))),IF(ISNUMBER(AN$4),AN$4,IgnoreMin)))))</f>
        <v>0</v>
      </c>
      <c r="AO206" s="148" cm="1">
        <f t="array" aca="1" ref="AO206" ca="1">-IF($F206="Terminated",0,IF($AA206=0,0,IF(ISNA(MATCH(AO$5,PayDedList,0)),0,MIN(IF(COUNTIFS(OverEmp,$C206,OverDeduct,AO$5,OverDate,"&lt;"&amp;DATE(YEAR($AC206),MONTH($AC206)+1,1),OverEnd,"&gt;="&amp;DATE(YEAR($AC206),MONTH($AC206),1))&gt;0,SUMPRODUCT((PayEmp=$C206)*(PayDate&lt;=$AC206)*(OFFSET($N$6,1,MATCH(AO$5,PayDedList,0)-1,PayCount,1)))/$AA206*12*AO$3,IF(OR(AO$1="Fixed",AO$1="Not Used"),SUMPRODUCT((PayEmp=$C206)*(PayDate&lt;=$AC206)*(OFFSET($N$6,1,MATCH(AO$5,PayDedList,0)-1,PayCount,1)))/$AA206*12*AO$3,IF(ISNA(MATCH(AO$1,EarnListItem,0))=FALSE,SUMPRODUCT((PayEmp=$C206)*(PayDate&lt;=$AC206)*(OFFSET($N$6,1,MATCH(AO$5,PayDedList,0)-1,PayCount,1)))/$AA206*12*AO$3,(MIN(((SUMPRODUCT((PayEmp=$C206)*(PayDate&lt;=$AC206)*(ISERROR(SEARCH(PayEarnCode,AO$2)))*(PayEarnType="Monthly")*(PayEarnValues))/$AA206*12)+(SUMPRODUCT((PayEmp=$C206)*(PayDate&lt;=$AC206)*(ISERROR(SEARCH(PayEarnCode,AO$2)))*(PayEarnType="Quarterly")*(PayEarnValues))/MAX(1,ROUNDDOWN($AB206/3,0))*4)+(SUMPRODUCT((PayEmp=$C206)*(PayDate&lt;=$AC206)*(ISERROR(SEARCH(PayEarnCode,AO$2)))*(PayEarnType="Bi-Annual")*(PayEarnValues))/MAX(1,ROUNDDOWN($AB206/6,0))*2)+(SUMPRODUCT((PayEmp=$C206)*(PayDate&lt;=$AC206)*(ISERROR(SEARCH(PayEarnCode,AO$2)))*(PayEarnType="Annual")*(PayEarnValues)))),IF(ISNUMBER(OFFSET($N$3,0,MATCH(AO$5,PayDedList,0)-1,1,1)),OFFSET($N$3,0,MATCH(AO$5,PayDedList,0)-1,1,1),IgnoreMin)))*IF(COUNTIFS(EmpNo,$C206,OFFSET(Emp!$R$4,1,MATCH(AO$5,DedListItem,0)-1,EmpCount,1),"&lt;&gt;")&gt;0,VLOOKUP($C206,EmpAll,COLUMN(Emp!$R$4)+MATCH(AO$5,DedListItem,0)-1,0),OFFSET(Setup!$E$73,MATCH(AO$5,DedListItem,0),0,1,1))*AO$3))),IF(ISNUMBER(AO$4),AO$4,IgnoreMin)))))</f>
        <v>0</v>
      </c>
      <c r="AP206" s="148" cm="1">
        <f t="array" aca="1" ref="AP206" ca="1">-IF($F206="Terminated",0,IF($AA206=0,0,IF(ISNA(MATCH(AP$5,PayDedList,0)),0,MIN(IF(COUNTIFS(OverEmp,$C206,OverDeduct,AP$5,OverDate,"&lt;"&amp;DATE(YEAR($AC206),MONTH($AC206)+1,1),OverEnd,"&gt;="&amp;DATE(YEAR($AC206),MONTH($AC206),1))&gt;0,SUMPRODUCT((PayEmp=$C206)*(PayDate&lt;=$AC206)*(OFFSET($N$6,1,MATCH(AP$5,PayDedList,0)-1,PayCount,1)))/$AA206*12*AP$3,IF(OR(AP$1="Fixed",AP$1="Not Used"),SUMPRODUCT((PayEmp=$C206)*(PayDate&lt;=$AC206)*(OFFSET($N$6,1,MATCH(AP$5,PayDedList,0)-1,PayCount,1)))/$AA206*12*AP$3,IF(ISNA(MATCH(AP$1,EarnListItem,0))=FALSE,SUMPRODUCT((PayEmp=$C206)*(PayDate&lt;=$AC206)*(OFFSET($N$6,1,MATCH(AP$5,PayDedList,0)-1,PayCount,1)))/$AA206*12*AP$3,(MIN(((SUMPRODUCT((PayEmp=$C206)*(PayDate&lt;=$AC206)*(ISERROR(SEARCH(PayEarnCode,AP$2)))*(PayEarnType="Monthly")*(PayEarnValues))/$AA206*12)+(SUMPRODUCT((PayEmp=$C206)*(PayDate&lt;=$AC206)*(ISERROR(SEARCH(PayEarnCode,AP$2)))*(PayEarnType="Quarterly")*(PayEarnValues))/MAX(1,ROUNDDOWN($AB206/3,0))*4)+(SUMPRODUCT((PayEmp=$C206)*(PayDate&lt;=$AC206)*(ISERROR(SEARCH(PayEarnCode,AP$2)))*(PayEarnType="Bi-Annual")*(PayEarnValues))/MAX(1,ROUNDDOWN($AB206/6,0))*2)+(SUMPRODUCT((PayEmp=$C206)*(PayDate&lt;=$AC206)*(ISERROR(SEARCH(PayEarnCode,AP$2)))*(PayEarnType="Annual")*(PayEarnValues)))),IF(ISNUMBER(OFFSET($N$3,0,MATCH(AP$5,PayDedList,0)-1,1,1)),OFFSET($N$3,0,MATCH(AP$5,PayDedList,0)-1,1,1),IgnoreMin)))*IF(COUNTIFS(EmpNo,$C206,OFFSET(Emp!$R$4,1,MATCH(AP$5,DedListItem,0)-1,EmpCount,1),"&lt;&gt;")&gt;0,VLOOKUP($C206,EmpAll,COLUMN(Emp!$R$4)+MATCH(AP$5,DedListItem,0)-1,0),OFFSET(Setup!$E$73,MATCH(AP$5,DedListItem,0),0,1,1))*AP$3))),IF(ISNUMBER(AP$4),AP$4,IgnoreMin)))))</f>
        <v>0</v>
      </c>
      <c r="AQ206" s="148" cm="1">
        <f t="array" aca="1" ref="AQ206" ca="1">-IF($F206="Terminated",0,IF($AA206=0,0,IF(ISNA(MATCH(AQ$5,PayDedList,0)),0,MIN(IF(COUNTIFS(OverEmp,$C206,OverDeduct,AQ$5,OverDate,"&lt;"&amp;DATE(YEAR($AC206),MONTH($AC206)+1,1),OverEnd,"&gt;="&amp;DATE(YEAR($AC206),MONTH($AC206),1))&gt;0,SUMPRODUCT((PayEmp=$C206)*(PayDate&lt;=$AC206)*(OFFSET($N$6,1,MATCH(AQ$5,PayDedList,0)-1,PayCount,1)))/$AA206*12*AQ$3,IF(OR(AQ$1="Fixed",AQ$1="Not Used"),SUMPRODUCT((PayEmp=$C206)*(PayDate&lt;=$AC206)*(OFFSET($N$6,1,MATCH(AQ$5,PayDedList,0)-1,PayCount,1)))/$AA206*12*AQ$3,IF(ISNA(MATCH(AQ$1,EarnListItem,0))=FALSE,SUMPRODUCT((PayEmp=$C206)*(PayDate&lt;=$AC206)*(OFFSET($N$6,1,MATCH(AQ$5,PayDedList,0)-1,PayCount,1)))/$AA206*12*AQ$3,(MIN(((SUMPRODUCT((PayEmp=$C206)*(PayDate&lt;=$AC206)*(ISERROR(SEARCH(PayEarnCode,AQ$2)))*(PayEarnType="Monthly")*(PayEarnValues))/$AA206*12)+(SUMPRODUCT((PayEmp=$C206)*(PayDate&lt;=$AC206)*(ISERROR(SEARCH(PayEarnCode,AQ$2)))*(PayEarnType="Quarterly")*(PayEarnValues))/MAX(1,ROUNDDOWN($AB206/3,0))*4)+(SUMPRODUCT((PayEmp=$C206)*(PayDate&lt;=$AC206)*(ISERROR(SEARCH(PayEarnCode,AQ$2)))*(PayEarnType="Bi-Annual")*(PayEarnValues))/MAX(1,ROUNDDOWN($AB206/6,0))*2)+(SUMPRODUCT((PayEmp=$C206)*(PayDate&lt;=$AC206)*(ISERROR(SEARCH(PayEarnCode,AQ$2)))*(PayEarnType="Annual")*(PayEarnValues)))),IF(ISNUMBER(OFFSET($N$3,0,MATCH(AQ$5,PayDedList,0)-1,1,1)),OFFSET($N$3,0,MATCH(AQ$5,PayDedList,0)-1,1,1),IgnoreMin)))*IF(COUNTIFS(EmpNo,$C206,OFFSET(Emp!$R$4,1,MATCH(AQ$5,DedListItem,0)-1,EmpCount,1),"&lt;&gt;")&gt;0,VLOOKUP($C206,EmpAll,COLUMN(Emp!$R$4)+MATCH(AQ$5,DedListItem,0)-1,0),OFFSET(Setup!$E$73,MATCH(AQ$5,DedListItem,0),0,1,1))*AQ$3))),IF(ISNUMBER(AQ$4),AQ$4,IgnoreMin)))))</f>
        <v>0</v>
      </c>
      <c r="AR206" s="148">
        <f t="shared" ca="1" si="103"/>
        <v>0</v>
      </c>
      <c r="AS206" s="148">
        <f t="shared" ca="1" si="109"/>
        <v>0</v>
      </c>
      <c r="AT206" s="148" cm="1">
        <f t="array" aca="1" ref="AT206" ca="1">-IF($F206="Terminated",0,IF($AA206=0,0,IF(ISNA(MATCH(AT$5,PayDedList,0)),0,MIN(IF(COUNTIFS(OverEmp,$C206,OverDeduct,AT$5,OverDate,"&lt;"&amp;DATE(YEAR($AC206),MONTH($AC206)+1,1),OverEnd,"&gt;="&amp;DATE(YEAR($AC206),MONTH($AC206),1))&gt;0,SUMPRODUCT((PayEmp=$C206)*(PayDate&lt;=$AC206)*(OFFSET($N$6,1,MATCH(AT$5,PayDedList,0)-1,PayCount,1)))/$AA206*12*AT$3,IF(OR(AT$1="Fixed",AT$1="Not Used"),SUMPRODUCT((PayEmp=$C206)*(PayDate&lt;=$AC206)*(OFFSET($N$6,1,MATCH(AT$5,PayDedList,0)-1,PayCount,1)))/$AA206*12*AT$3,IF(ISNA(MATCH(OFFSET($N$2,0,MATCH(AT$5,PayDedList,0)-1,1,1),EarnListItem,0))=FALSE,SUMPRODUCT((PayEmp=$C206)*(PayDate&lt;=$AC206)*(OFFSET($N$6,1,MATCH(AT$5,PayDedList,0)-1,PayCount,1)))/$AA206*12*AT$3,(MIN(SUMPRODUCT((PayEmp=$C206)*(PayDate&lt;=$AC206)*(ISERROR(SEARCH(PayEarnCode,AT$2)))*(PayEarnType="Monthly")*(PayEarnValues))/$AA206*12,IF(ISNUMBER(OFFSET($N$3,0,MATCH(AT$5,PayDedList,0)-1,1,1)),OFFSET($N$3,0,MATCH(AT$5,PayDedList,0)-1,1,1),IgnoreMin)))*IF(COUNTIFS(EmpNo,$C206,OFFSET(Emp!$R$4,1,MATCH(AT$5,DedListItem,0)-1,EmpCount,1),"&lt;&gt;")&gt;0,VLOOKUP($C206,EmpAll,COLUMN(Emp!$R$4)+MATCH(AT$5,DedListItem,0)-1,0),OFFSET(Setup!$E$73,MATCH(AT$5,DedListItem,0),0,1,1))*AT$3))),IF(ISNUMBER(AT$4),AT$4,IgnoreMin)))))</f>
        <v>0</v>
      </c>
      <c r="AU206" s="148" cm="1">
        <f t="array" aca="1" ref="AU206" ca="1">-IF($F206="Terminated",0,IF($AA206=0,0,IF(ISNA(MATCH(AU$5,PayDedList,0)),0,MIN(IF(COUNTIFS(OverEmp,$C206,OverDeduct,AU$5,OverDate,"&lt;"&amp;DATE(YEAR($AC206),MONTH($AC206)+1,1),OverEnd,"&gt;="&amp;DATE(YEAR($AC206),MONTH($AC206),1))&gt;0,SUMPRODUCT((PayEmp=$C206)*(PayDate&lt;=$AC206)*(OFFSET($N$6,1,MATCH(AU$5,PayDedList,0)-1,PayCount,1)))/$AA206*12*AU$3,IF(OR(AU$1="Fixed",AU$1="Not Used"),SUMPRODUCT((PayEmp=$C206)*(PayDate&lt;=$AC206)*(OFFSET($N$6,1,MATCH(AU$5,PayDedList,0)-1,PayCount,1)))/$AA206*12*AU$3,IF(ISNA(MATCH(OFFSET($N$2,0,MATCH(AU$5,PayDedList,0)-1,1,1),EarnListItem,0))=FALSE,SUMPRODUCT((PayEmp=$C206)*(PayDate&lt;=$AC206)*(OFFSET($N$6,1,MATCH(AU$5,PayDedList,0)-1,PayCount,1)))/$AA206*12*AU$3,(MIN(SUMPRODUCT((PayEmp=$C206)*(PayDate&lt;=$AC206)*(ISERROR(SEARCH(PayEarnCode,AU$2)))*(PayEarnType="Monthly")*(PayEarnValues))/$AA206*12,IF(ISNUMBER(OFFSET($N$3,0,MATCH(AU$5,PayDedList,0)-1,1,1)),OFFSET($N$3,0,MATCH(AU$5,PayDedList,0)-1,1,1),IgnoreMin)))*IF(COUNTIFS(EmpNo,$C206,OFFSET(Emp!$R$4,1,MATCH(AU$5,DedListItem,0)-1,EmpCount,1),"&lt;&gt;")&gt;0,VLOOKUP($C206,EmpAll,COLUMN(Emp!$R$4)+MATCH(AU$5,DedListItem,0)-1,0),OFFSET(Setup!$E$73,MATCH(AU$5,DedListItem,0),0,1,1))*AU$3))),IF(ISNUMBER(AU$4),AU$4,IgnoreMin)))))</f>
        <v>0</v>
      </c>
      <c r="AV206" s="148" cm="1">
        <f t="array" aca="1" ref="AV206" ca="1">-IF($F206="Terminated",0,IF($AA206=0,0,IF(ISNA(MATCH(AV$5,PayDedList,0)),0,MIN(IF(COUNTIFS(OverEmp,$C206,OverDeduct,AV$5,OverDate,"&lt;"&amp;DATE(YEAR($AC206),MONTH($AC206)+1,1),OverEnd,"&gt;="&amp;DATE(YEAR($AC206),MONTH($AC206),1))&gt;0,SUMPRODUCT((PayEmp=$C206)*(PayDate&lt;=$AC206)*(OFFSET($N$6,1,MATCH(AV$5,PayDedList,0)-1,PayCount,1)))/$AA206*12*AV$3,IF(OR(AV$1="Fixed",AV$1="Not Used"),SUMPRODUCT((PayEmp=$C206)*(PayDate&lt;=$AC206)*(OFFSET($N$6,1,MATCH(AV$5,PayDedList,0)-1,PayCount,1)))/$AA206*12*AV$3,IF(ISNA(MATCH(OFFSET($N$2,0,MATCH(AV$5,PayDedList,0)-1,1,1),EarnListItem,0))=FALSE,SUMPRODUCT((PayEmp=$C206)*(PayDate&lt;=$AC206)*(OFFSET($N$6,1,MATCH(AV$5,PayDedList,0)-1,PayCount,1)))/$AA206*12*AV$3,(MIN(SUMPRODUCT((PayEmp=$C206)*(PayDate&lt;=$AC206)*(ISERROR(SEARCH(PayEarnCode,AV$2)))*(PayEarnType="Monthly")*(PayEarnValues))/$AA206*12,IF(ISNUMBER(OFFSET($N$3,0,MATCH(AV$5,PayDedList,0)-1,1,1)),OFFSET($N$3,0,MATCH(AV$5,PayDedList,0)-1,1,1),IgnoreMin)))*IF(COUNTIFS(EmpNo,$C206,OFFSET(Emp!$R$4,1,MATCH(AV$5,DedListItem,0)-1,EmpCount,1),"&lt;&gt;")&gt;0,VLOOKUP($C206,EmpAll,COLUMN(Emp!$R$4)+MATCH(AV$5,DedListItem,0)-1,0),OFFSET(Setup!$E$73,MATCH(AV$5,DedListItem,0),0,1,1))*AV$3))),IF(ISNUMBER(AV$4),AV$4,IgnoreMin)))))</f>
        <v>0</v>
      </c>
      <c r="AW206" s="148" cm="1">
        <f t="array" aca="1" ref="AW206" ca="1">-IF($F206="Terminated",0,IF($AA206=0,0,IF(ISNA(MATCH(AW$5,PayDedList,0)),0,MIN(IF(COUNTIFS(OverEmp,$C206,OverDeduct,AW$5,OverDate,"&lt;"&amp;DATE(YEAR($AC206),MONTH($AC206)+1,1),OverEnd,"&gt;="&amp;DATE(YEAR($AC206),MONTH($AC206),1))&gt;0,SUMPRODUCT((PayEmp=$C206)*(PayDate&lt;=$AC206)*(OFFSET($N$6,1,MATCH(AW$5,PayDedList,0)-1,PayCount,1)))/$AA206*12*AW$3,IF(OR(AW$1="Fixed",AW$1="Not Used"),SUMPRODUCT((PayEmp=$C206)*(PayDate&lt;=$AC206)*(OFFSET($N$6,1,MATCH(AW$5,PayDedList,0)-1,PayCount,1)))/$AA206*12*AW$3,IF(ISNA(MATCH(OFFSET($N$2,0,MATCH(AW$5,PayDedList,0)-1,1,1),EarnListItem,0))=FALSE,SUMPRODUCT((PayEmp=$C206)*(PayDate&lt;=$AC206)*(OFFSET($N$6,1,MATCH(AW$5,PayDedList,0)-1,PayCount,1)))/$AA206*12*AW$3,(MIN(SUMPRODUCT((PayEmp=$C206)*(PayDate&lt;=$AC206)*(ISERROR(SEARCH(PayEarnCode,AW$2)))*(PayEarnType="Monthly")*(PayEarnValues))/$AA206*12,IF(ISNUMBER(OFFSET($N$3,0,MATCH(AW$5,PayDedList,0)-1,1,1)),OFFSET($N$3,0,MATCH(AW$5,PayDedList,0)-1,1,1),IgnoreMin)))*IF(COUNTIFS(EmpNo,$C206,OFFSET(Emp!$R$4,1,MATCH(AW$5,DedListItem,0)-1,EmpCount,1),"&lt;&gt;")&gt;0,VLOOKUP($C206,EmpAll,COLUMN(Emp!$R$4)+MATCH(AW$5,DedListItem,0)-1,0),OFFSET(Setup!$E$73,MATCH(AW$5,DedListItem,0),0,1,1))*AW$3))),IF(ISNUMBER(AW$4),AW$4,IgnoreMin)))))</f>
        <v>0</v>
      </c>
      <c r="AX206" s="148">
        <f t="shared" ca="1" si="104"/>
        <v>0</v>
      </c>
      <c r="AY206" s="148">
        <f t="shared" ca="1" si="105"/>
        <v>0</v>
      </c>
      <c r="AZ206" s="148">
        <f ca="1">IF(ISNUMBER($AL206),($AR206*$AL206)-$AI206-$AK206,MAX(0,IF($AL206="B",IF($AR206&lt;Setup!$C$32,($AR206*Setup!$D$32)-$AI206-$AK206,(($AR206-VLOOKUP($AR206,TaxAll2,1,1))*OFFSET(Setup!$D$32,MATCH($AR206,TaxBracket2,1),0,1,1))+OFFSET(Setup!$E$31,MATCH($AR206,TaxBracket2,1),0,1,1)-$AI206-$AK206),IF($AR206&lt;Setup!$C$21,($AR206*Setup!$D$21)-$AI206-$AK206,(($AR206-VLOOKUP($AR206,TaxAll1,1,1))*OFFSET(Setup!$D$21,MATCH($AR206,TaxBracket1,1),0,1,1))+OFFSET(Setup!$E$20,MATCH($AR206,TaxBracket1,1),0,1,1)-$AI206-$AK206))))</f>
        <v>0</v>
      </c>
      <c r="BA206" s="148">
        <f ca="1">IF(ISNUMBER($AL206),($AX206*$AL206)-$AI206-$AK206,MAX(0,IF($AL206="B",IF($AX206&lt;Setup!$C$32,($AX206*Setup!$D$32)-$AI206-$AK206,(($AX206-VLOOKUP($AX206,TaxAll2,1,1))*OFFSET(Setup!$D$32,MATCH($AX206,TaxBracket2,1),0,1,1))+OFFSET(Setup!$E$31,MATCH($AX206,TaxBracket2,1),0,1,1)-$AI206-$AK206),IF($AX206&lt;Setup!$C$21,($AX206*Setup!$D$21)-$AI206-$AK206,(($AX206-VLOOKUP($AX206,TaxAll1,1,1))*OFFSET(Setup!$D$21,MATCH($AX206,TaxBracket1,1),0,1,1))+OFFSET(Setup!$E$20,MATCH($AX206,TaxBracket1,1),0,1,1)-$AI206-$AK206))))</f>
        <v>0</v>
      </c>
      <c r="BB206" s="148">
        <f t="shared" ca="1" si="106"/>
        <v>0</v>
      </c>
      <c r="BC206" s="150">
        <f t="shared" ca="1" si="110"/>
        <v>0</v>
      </c>
      <c r="BD206" s="150">
        <f t="shared" ca="1" si="111"/>
        <v>0</v>
      </c>
      <c r="BE206" s="148">
        <f t="shared" ca="1" si="112"/>
        <v>0</v>
      </c>
    </row>
    <row r="207" spans="1:57" ht="16.149999999999999" customHeight="1" x14ac:dyDescent="0.25">
      <c r="A207" s="10" t="str" cm="1">
        <f t="array" ref="A207">IF(ROW($A207)-ROW($A$6)&gt;EmpCount*12,"-",TEXT($B207,"yyyy")&amp;TEXT($B207,"mm")&amp;"-"&amp;$C207)</f>
        <v>-</v>
      </c>
      <c r="B207" s="137" cm="1">
        <f t="array" aca="1" ref="B207" ca="1">IF(ROW($A207)-ROW($A$6)&gt;EmpCount*12,Setup!$D$12,DATE(YEAR(Setup!$F$12),MONTH(Setup!$F$12)+ROUNDDOWN((ROW($A207)-ROW($A$6)-1)/EmpCount,0),IF(Setup!$C$14&gt;DAY(DATE(YEAR(Setup!$F$12),MONTH(Setup!$F$12)+ROUNDDOWN((ROW($A207)-ROW($A$6)-1)/EmpCount,0)+1,0)),DAY(DATE(YEAR(Setup!$F$12),MONTH(Setup!$F$12)+ROUNDDOWN((ROW($A207)-ROW($A$6)-1)/EmpCount,0)+1,0)),Setup!$C$14)))</f>
        <v>45351</v>
      </c>
      <c r="C207" s="101" t="str" cm="1">
        <f t="array" aca="1" ref="C207" ca="1">IF(ROW($A207)-ROW($A$6)&gt;EmpCount*12,"-",OFFSET(Emp!$A$4,ROW($A207)-ROW($A$6)-IF(ROW($A207)-ROW($A$6)&gt;EmpCount,ROUNDDOWN((ROW($A207)-ROW($A$6)-1)/EmpCount,0)*EmpCount,0),0,1,1))</f>
        <v>-</v>
      </c>
      <c r="D207" s="10" t="str">
        <f ca="1">IF(ISNA(VLOOKUP($C207,EmpAll,COLUMN(Emp!$B$4),0)),"-",VLOOKUP($C207,EmpAll,COLUMN(Emp!$B$4),0))</f>
        <v>-</v>
      </c>
      <c r="E207" s="145" t="str">
        <f ca="1">IF(ISNA(VLOOKUP($C207,EmpAll,COLUMN(Emp!$C$4),0)),"-",VLOOKUP($C207,EmpAll,COLUMN(Emp!$C$4),0))</f>
        <v>-</v>
      </c>
      <c r="F207" s="101" t="str">
        <f ca="1">IF(ISNA(VLOOKUP($C207,EmpAll,COLUMN(Emp!$A$4),0)),"-",IF(AND(VLOOKUP($C207,EmpAll,COLUMN(Emp!$E$4),0)&lt;&gt;0,VLOOKUP($C207,EmpAll,COLUMN(Emp!$E$4),0)&gt;=DATE(YEAR($AC207),MONTH($AC207)+1,0)),"Inactive",IF(AND(VLOOKUP($C207,EmpAll,COLUMN(Emp!$F$4),0)&lt;&gt;0,VLOOKUP($C207,EmpAll,COLUMN(Emp!$F$4),0)&lt;=DATE(YEAR($AC207),MONTH($AC207),0)),"Terminated","Active")))</f>
        <v>-</v>
      </c>
      <c r="G207" s="133" cm="1">
        <f t="array" aca="1" ref="G207" ca="1">IF($F207&lt;&gt;"Active",0,IF(COUNTIFS(OverEmp,$C207,OverEarn,G$2,OverDate,"&lt;"&amp;DATE(YEAR($AC207),MONTH($AC207)+1,1),OverEnd,"&gt;="&amp;DATE(YEAR($AC207),MONTH($AC207),1))&gt;0,SUMIFS(OverValue,OverEmp,$C207,OverEarn,G$2,OverDate,"&lt;"&amp;DATE(YEAR($AC207),MONTH($AC207)+1,1),OverEnd,"&gt;="&amp;DATE(YEAR($AC207),MONTH($AC207),1)),IF(AND($AC207&gt;=Setup!$E$10,SUMIFS(EmpIncrease,EmpCode,$C207)&gt;0),SUMIFS(EmpIncrease,EmpCode,$C207),SUMIFS(EmpSalary,EmpCode,$C207))))</f>
        <v>0</v>
      </c>
      <c r="H207" s="133" cm="1">
        <f t="array" aca="1" ref="H207" ca="1">IF($F207&lt;&gt;"Active",0,IF(COUNTIFS(OverEmp,$C207,OverEarn,H$2,OverDate,"&lt;"&amp;DATE(YEAR($AC207),MONTH($AC207)+1,1),OverEnd,"&gt;="&amp;DATE(YEAR($AC207),MONTH($AC207),1))&gt;0,SUMIFS(OverValue,OverEmp,$C207,OverEarn,H$2,OverDate,"&lt;"&amp;DATE(YEAR($AC207),MONTH($AC207)+1,1),OverEnd,"&gt;="&amp;DATE(YEAR($AC207),MONTH($AC207),1)),0))</f>
        <v>0</v>
      </c>
      <c r="I207" s="133" cm="1">
        <f t="array" aca="1" ref="I207" ca="1">IF($F207&lt;&gt;"Active",0,IF(COUNTIFS(OverEmp,$C207,OverEarn,I$2,OverDate,"&lt;"&amp;DATE(YEAR($AC207),MONTH($AC207)+1,1),OverEnd,"&gt;="&amp;DATE(YEAR($AC207),MONTH($AC207),1))&gt;0,SUMIFS(OverValue,OverEmp,$C207,OverEarn,I$2,OverDate,"&lt;"&amp;DATE(YEAR($AC207),MONTH($AC207)+1,1),OverEnd,"&gt;="&amp;DATE(YEAR($AC207),MONTH($AC207),1)),IF(MONTH(B207)=Setup!$C$15,SUMIFS(EmpBonus,EmpCode,$C207),0)))</f>
        <v>0</v>
      </c>
      <c r="J207" s="133" cm="1">
        <f t="array" aca="1" ref="J207" ca="1">IF($F207&lt;&gt;"Active",0,IF(COUNTIFS(OverEmp,$C207,OverEarn,J$2,OverDate,"&lt;"&amp;DATE(YEAR($AC207),MONTH($AC207)+1,1),OverEnd,"&gt;="&amp;DATE(YEAR($AC207),MONTH($AC207),1))&gt;0,SUMIFS(OverValue,OverEmp,$C207,OverEarn,J$2,OverDate,"&lt;"&amp;DATE(YEAR($AC207),MONTH($AC207)+1,1),OverEnd,"&gt;="&amp;DATE(YEAR($AC207),MONTH($AC207),1)),0))</f>
        <v>0</v>
      </c>
      <c r="K207" s="133" cm="1">
        <f t="array" aca="1" ref="K207" ca="1">IF($F207&lt;&gt;"Active",0,IF(COUNTIFS(OverEmp,$C207,OverEarn,K$2,OverDate,"&lt;"&amp;DATE(YEAR($AC207),MONTH($AC207)+1,1),OverEnd,"&gt;="&amp;DATE(YEAR($AC207),MONTH($AC207),1))&gt;0,SUMIFS(OverValue,OverEmp,$C207,OverEarn,K$2,OverDate,"&lt;"&amp;DATE(YEAR($AC207),MONTH($AC207)+1,1),OverEnd,"&gt;="&amp;DATE(YEAR($AC207),MONTH($AC207),1)),0))</f>
        <v>0</v>
      </c>
      <c r="L207" s="185">
        <f t="shared" ca="1" si="95"/>
        <v>0</v>
      </c>
      <c r="M207" s="182" cm="1">
        <f t="array" aca="1" ref="M207" ca="1">IF(COUNTIFS(OverEmp,$C207,OverTax,M$5,OverDate,"&lt;"&amp;DATE(YEAR($AC207),MONTH($AC207)+1,1),OverEnd,"&gt;="&amp;DATE(YEAR($AC207),MONTH($AC207),1))&gt;0,SUMIFS(OverValue,OverEmp,$C207,OverTax,M$5,OverDate,"&lt;"&amp;DATE(YEAR($AC207),MONTH($AC207)+1,1),OverEnd,"&gt;="&amp;DATE(YEAR($AC207),MONTH($AC207),1)),(($BA207/12*$AA207)+(BB207*IF(1-$BC207=0,0,BD207/(1-$BC207))))-IF($F207="Terminated",0,SUMIFS(PayTaxDeduct,PayDate,"&lt;"&amp;$AC207,PayEmp,$C207)))</f>
        <v>0</v>
      </c>
      <c r="N207" s="133" cm="1">
        <f t="array" aca="1" ref="N207" ca="1">IF($F207="Terminated",0,IF($AA207=0,0,IF(ISNA(MATCH(N$5,DedListItem,0)),0,IF(COUNTIFS(OverEmp,$C207,OverDeduct,N$5,OverDate,"&lt;"&amp;DATE(YEAR($AC207),MONTH($AC207)+1,1),OverEnd,"&gt;="&amp;DATE(YEAR($AC207),MONTH($AC207),1))&gt;0,SUMIFS(OverValue,OverEmp,$C207,OverDeduct,N$5,OverDate,"&lt;"&amp;DATE(YEAR($AC207),MONTH($AC207)+1,1),OverEnd,"&gt;="&amp;DATE(YEAR($AC207),MONTH($AC207),1)),IF(OR(N$2="Fixed",N$2="Not Used"),(IF(COUNTIFS(EmpNo,$C207,OFFSET(Emp!$R$4,1,MATCH(N$5,DedListItem,0)-1,EmpCount,1),"&lt;&gt;")&gt;0,VLOOKUP($C207,EmpAll,COLUMN(Emp!$R$4)+MATCH(N$5,DedListItem,0)-1,0),OFFSET(Setup!$E$73,MATCH(N$5,DedListItem,0),0,1,1))*$AA207)-SUMIFS(OFFSET(N$6,1,0,PayCount,1),PayDate,"&lt;"&amp;$AC207,PayEmp,$C207),IF(ISNA(MATCH(N$2,EarnListItem,0))=FALSE,IF(OFFSET(Setup!$G$73,MATCH(N$5,DedListItem,0),0,1,1)="Taxable",SUMPRODUCT((PayEmp=$C207)*(PayDate&lt;=$AC207)*(PayEarnCode=N$2)*(PayEarnTax)*(PayEarnValues)),SUMPRODUCT((PayEmp=$C207)*(PayDate&lt;=$AC207)*(PayEarnCode=N$2)*(PayEarnValues)))*IF(COUNTIFS(EmpNo,$C207,OFFSET(Emp!$R$4,1,MATCH(N$5,DedListItem,0)-1,EmpCount,1),"&lt;&gt;")&gt;0,VLOOKUP($C207,EmpAll,COLUMN(Emp!$R$4)+MATCH(N$5,DedListItem,0)-1,0),OFFSET(Setup!$E$73,MATCH(N$5,DedListItem,0),0,1,1)),(MIN(IF(OFFSET(Setup!$G$73,MATCH(N$5,DedListItem,0),0,1,1)="Taxable",SUMPRODUCT((PayEmp=$C207)*(PayDate&lt;=$AC207)*(ISERROR(SEARCH(PayEarnCode,N$4)))*(PayEarnTax)*(PayEarnValues)),SUMPRODUCT((PayEmp=$C207)*(PayDate&lt;=$AC207)*(ISERROR(SEARCH(PayEarnCode,N$4)))*(PayEarnValues))),IF(ISNUMBER(N$3),N$3/12*$AA207,IgnoreMin)))*IF(COUNTIFS(EmpNo,$C207,OFFSET(Emp!$R$4,1,MATCH(N$5,DedListItem,0)-1,EmpCount,1),"&lt;&gt;")&gt;0,VLOOKUP($C207,EmpAll,COLUMN(Emp!$R$4)+MATCH(N$5,DedListItem,0)-1,0),OFFSET(Setup!$E$73,MATCH(N$5,DedListItem,0),0,1,1)))-SUMIFS(OFFSET(N$6,1,0,PayCount,1),PayDate,"&lt;"&amp;$AC207,PayEmp,$C207))))))</f>
        <v>0</v>
      </c>
      <c r="O207" s="133" cm="1">
        <f t="array" aca="1" ref="O207" ca="1">IF($F207="Terminated",0,IF($AA207=0,0,IF(ISNA(MATCH(O$5,DedListItem,0)),0,IF(COUNTIFS(OverEmp,$C207,OverDeduct,O$5,OverDate,"&lt;"&amp;DATE(YEAR($AC207),MONTH($AC207)+1,1),OverEnd,"&gt;="&amp;DATE(YEAR($AC207),MONTH($AC207),1))&gt;0,SUMIFS(OverValue,OverEmp,$C207,OverDeduct,O$5,OverDate,"&lt;"&amp;DATE(YEAR($AC207),MONTH($AC207)+1,1),OverEnd,"&gt;="&amp;DATE(YEAR($AC207),MONTH($AC207),1)),IF(OR(O$2="Fixed",O$2="Not Used"),(IF(COUNTIFS(EmpNo,$C207,OFFSET(Emp!$R$4,1,MATCH(O$5,DedListItem,0)-1,EmpCount,1),"&lt;&gt;")&gt;0,VLOOKUP($C207,EmpAll,COLUMN(Emp!$R$4)+MATCH(O$5,DedListItem,0)-1,0),OFFSET(Setup!$E$73,MATCH(O$5,DedListItem,0),0,1,1))*$AA207)-SUMIFS(OFFSET(O$6,1,0,PayCount,1),PayDate,"&lt;"&amp;$AC207,PayEmp,$C207),IF(ISNA(MATCH(O$2,EarnListItem,0))=FALSE,IF(OFFSET(Setup!$G$73,MATCH(O$5,DedListItem,0),0,1,1)="Taxable",SUMPRODUCT((PayEmp=$C207)*(PayDate&lt;=$AC207)*(PayEarnCode=O$2)*(PayEarnTax)*(PayEarnValues)),SUMPRODUCT((PayEmp=$C207)*(PayDate&lt;=$AC207)*(PayEarnCode=O$2)*(PayEarnValues)))*IF(COUNTIFS(EmpNo,$C207,OFFSET(Emp!$R$4,1,MATCH(O$5,DedListItem,0)-1,EmpCount,1),"&lt;&gt;")&gt;0,VLOOKUP($C207,EmpAll,COLUMN(Emp!$R$4)+MATCH(O$5,DedListItem,0)-1,0),OFFSET(Setup!$E$73,MATCH(O$5,DedListItem,0),0,1,1)),(MIN(IF(OFFSET(Setup!$G$73,MATCH(O$5,DedListItem,0),0,1,1)="Taxable",SUMPRODUCT((PayEmp=$C207)*(PayDate&lt;=$AC207)*(ISERROR(SEARCH(PayEarnCode,O$4)))*(PayEarnTax)*(PayEarnValues)),SUMPRODUCT((PayEmp=$C207)*(PayDate&lt;=$AC207)*(ISERROR(SEARCH(PayEarnCode,O$4)))*(PayEarnValues))),IF(ISNUMBER(O$3),O$3/12*$AA207,IgnoreMin)))*IF(COUNTIFS(EmpNo,$C207,OFFSET(Emp!$R$4,1,MATCH(O$5,DedListItem,0)-1,EmpCount,1),"&lt;&gt;")&gt;0,VLOOKUP($C207,EmpAll,COLUMN(Emp!$R$4)+MATCH(O$5,DedListItem,0)-1,0),OFFSET(Setup!$E$73,MATCH(O$5,DedListItem,0),0,1,1)))-SUMIFS(OFFSET(O$6,1,0,PayCount,1),PayDate,"&lt;"&amp;$AC207,PayEmp,$C207))))))</f>
        <v>0</v>
      </c>
      <c r="P207" s="133" cm="1">
        <f t="array" aca="1" ref="P207" ca="1">IF($F207="Terminated",0,IF($AA207=0,0,IF(ISNA(MATCH(P$5,DedListItem,0)),0,IF(COUNTIFS(OverEmp,$C207,OverDeduct,P$5,OverDate,"&lt;"&amp;DATE(YEAR($AC207),MONTH($AC207)+1,1),OverEnd,"&gt;="&amp;DATE(YEAR($AC207),MONTH($AC207),1))&gt;0,SUMIFS(OverValue,OverEmp,$C207,OverDeduct,P$5,OverDate,"&lt;"&amp;DATE(YEAR($AC207),MONTH($AC207)+1,1),OverEnd,"&gt;="&amp;DATE(YEAR($AC207),MONTH($AC207),1)),IF(OR(P$2="Fixed",P$2="Not Used"),(IF(COUNTIFS(EmpNo,$C207,OFFSET(Emp!$R$4,1,MATCH(P$5,DedListItem,0)-1,EmpCount,1),"&lt;&gt;")&gt;0,VLOOKUP($C207,EmpAll,COLUMN(Emp!$R$4)+MATCH(P$5,DedListItem,0)-1,0),OFFSET(Setup!$E$73,MATCH(P$5,DedListItem,0),0,1,1))*$AA207)-SUMIFS(OFFSET(P$6,1,0,PayCount,1),PayDate,"&lt;"&amp;$AC207,PayEmp,$C207),IF(ISNA(MATCH(P$2,EarnListItem,0))=FALSE,IF(OFFSET(Setup!$G$73,MATCH(P$5,DedListItem,0),0,1,1)="Taxable",SUMPRODUCT((PayEmp=$C207)*(PayDate&lt;=$AC207)*(PayEarnCode=P$2)*(PayEarnTax)*(PayEarnValues)),SUMPRODUCT((PayEmp=$C207)*(PayDate&lt;=$AC207)*(PayEarnCode=P$2)*(PayEarnValues)))*IF(COUNTIFS(EmpNo,$C207,OFFSET(Emp!$R$4,1,MATCH(P$5,DedListItem,0)-1,EmpCount,1),"&lt;&gt;")&gt;0,VLOOKUP($C207,EmpAll,COLUMN(Emp!$R$4)+MATCH(P$5,DedListItem,0)-1,0),OFFSET(Setup!$E$73,MATCH(P$5,DedListItem,0),0,1,1)),(MIN(IF(OFFSET(Setup!$G$73,MATCH(P$5,DedListItem,0),0,1,1)="Taxable",SUMPRODUCT((PayEmp=$C207)*(PayDate&lt;=$AC207)*(ISERROR(SEARCH(PayEarnCode,P$4)))*(PayEarnTax)*(PayEarnValues)),SUMPRODUCT((PayEmp=$C207)*(PayDate&lt;=$AC207)*(ISERROR(SEARCH(PayEarnCode,P$4)))*(PayEarnValues))),IF(ISNUMBER(P$3),P$3/12*$AA207,IgnoreMin)))*IF(COUNTIFS(EmpNo,$C207,OFFSET(Emp!$R$4,1,MATCH(P$5,DedListItem,0)-1,EmpCount,1),"&lt;&gt;")&gt;0,VLOOKUP($C207,EmpAll,COLUMN(Emp!$R$4)+MATCH(P$5,DedListItem,0)-1,0),OFFSET(Setup!$E$73,MATCH(P$5,DedListItem,0),0,1,1)))-SUMIFS(OFFSET(P$6,1,0,PayCount,1),PayDate,"&lt;"&amp;$AC207,PayEmp,$C207))))))</f>
        <v>0</v>
      </c>
      <c r="Q207" s="133" cm="1">
        <f t="array" aca="1" ref="Q207" ca="1">IF($F207="Terminated",0,IF($AA207=0,0,IF(ISNA(MATCH(Q$5,DedListItem,0)),0,IF(COUNTIFS(OverEmp,$C207,OverDeduct,Q$5,OverDate,"&lt;"&amp;DATE(YEAR($AC207),MONTH($AC207)+1,1),OverEnd,"&gt;="&amp;DATE(YEAR($AC207),MONTH($AC207),1))&gt;0,SUMIFS(OverValue,OverEmp,$C207,OverDeduct,Q$5,OverDate,"&lt;"&amp;DATE(YEAR($AC207),MONTH($AC207)+1,1),OverEnd,"&gt;="&amp;DATE(YEAR($AC207),MONTH($AC207),1)),IF(OR(Q$2="Fixed",Q$2="Not Used"),(IF(COUNTIFS(EmpNo,$C207,OFFSET(Emp!$R$4,1,MATCH(Q$5,DedListItem,0)-1,EmpCount,1),"&lt;&gt;")&gt;0,VLOOKUP($C207,EmpAll,COLUMN(Emp!$R$4)+MATCH(Q$5,DedListItem,0)-1,0),OFFSET(Setup!$E$73,MATCH(Q$5,DedListItem,0),0,1,1))*$AA207)-SUMIFS(OFFSET(Q$6,1,0,PayCount,1),PayDate,"&lt;"&amp;$AC207,PayEmp,$C207),IF(ISNA(MATCH(Q$2,EarnListItem,0))=FALSE,IF(OFFSET(Setup!$G$73,MATCH(Q$5,DedListItem,0),0,1,1)="Taxable",SUMPRODUCT((PayEmp=$C207)*(PayDate&lt;=$AC207)*(PayEarnCode=Q$2)*(PayEarnTax)*(PayEarnValues)),SUMPRODUCT((PayEmp=$C207)*(PayDate&lt;=$AC207)*(PayEarnCode=Q$2)*(PayEarnValues)))*IF(COUNTIFS(EmpNo,$C207,OFFSET(Emp!$R$4,1,MATCH(Q$5,DedListItem,0)-1,EmpCount,1),"&lt;&gt;")&gt;0,VLOOKUP($C207,EmpAll,COLUMN(Emp!$R$4)+MATCH(Q$5,DedListItem,0)-1,0),OFFSET(Setup!$E$73,MATCH(Q$5,DedListItem,0),0,1,1)),(MIN(IF(OFFSET(Setup!$G$73,MATCH(Q$5,DedListItem,0),0,1,1)="Taxable",SUMPRODUCT((PayEmp=$C207)*(PayDate&lt;=$AC207)*(ISERROR(SEARCH(PayEarnCode,Q$4)))*(PayEarnTax)*(PayEarnValues)),SUMPRODUCT((PayEmp=$C207)*(PayDate&lt;=$AC207)*(ISERROR(SEARCH(PayEarnCode,Q$4)))*(PayEarnValues))),IF(ISNUMBER(Q$3),Q$3/12*$AA207,IgnoreMin)))*IF(COUNTIFS(EmpNo,$C207,OFFSET(Emp!$R$4,1,MATCH(Q$5,DedListItem,0)-1,EmpCount,1),"&lt;&gt;")&gt;0,VLOOKUP($C207,EmpAll,COLUMN(Emp!$R$4)+MATCH(Q$5,DedListItem,0)-1,0),OFFSET(Setup!$E$73,MATCH(Q$5,DedListItem,0),0,1,1)))-SUMIFS(OFFSET(Q$6,1,0,PayCount,1),PayDate,"&lt;"&amp;$AC207,PayEmp,$C207))))))</f>
        <v>0</v>
      </c>
      <c r="R207" s="185">
        <f t="shared" ca="1" si="96"/>
        <v>0</v>
      </c>
      <c r="S207" s="139">
        <f t="shared" ca="1" si="97"/>
        <v>0</v>
      </c>
      <c r="T207" s="133" cm="1">
        <f t="array" aca="1" ref="T207" ca="1">IF($F207="Terminated",0,IF($AA207=0,0,IF(ISNA(MATCH(T$5,CompListItem,0)),0,IF(COUNTIFS(OverEmp,$C207,OverComp,T$5,OverDate,"&lt;"&amp;DATE(YEAR($AC207),MONTH($AC207)+1,1),OverEnd,"&gt;="&amp;DATE(YEAR($AC207),MONTH($AC207),1))&gt;0,SUMIFS(OverValue,OverEmp,$C207,OverComp,T$5,OverDate,"&lt;"&amp;DATE(YEAR($AC207),MONTH($AC207)+1,1),OverEnd,"&gt;="&amp;DATE(YEAR($AC207),MONTH($AC207),1)),IF(OR(T$2="Fixed",T$2="Not Used"),(OFFSET(Setup!$E$81,MATCH(T$5,CompListItem,0),0,1,1)*$AA207)-SUMIFS(OFFSET(T$6,1,0,PayCount,1),PayDate,"&lt;"&amp;$AC207,PayEmp,$C207),IF(ISNA(MATCH(T$2,DedListItem,0))=FALSE,(SUMPRODUCT((PayEmp=$C207)*(PayDate&lt;=$AC207)*(PayDedList=T$2)*(PayDedValues))*OFFSET(Setup!$E$81,MATCH(T$5,CompListItem,0),0,1,1))-SUMIFS(OFFSET(T$6,1,0,PayCount,1),PayDate,"&lt;"&amp;$AC207,PayEmp,$C207),(MIN(IF(OFFSET(Setup!$G$81,MATCH(T$5,CompListItem,0),0,1,1)="Taxable",SUMPRODUCT((PayEmp=$C207)*(PayDate&lt;=$AC207)*(ISERROR(SEARCH(PayEarnCode,T$4)))*(PayEarnTax)*(PayEarnValues)),SUMPRODUCT((PayEmp=$C207)*(PayDate&lt;=$AC207)*(ISERROR(SEARCH(PayEarnCode,T$4)))*(PayEarnValues))),IF(ISNUMBER(T$3),T$3/12*$AA207,IgnoreMin)))*OFFSET(Setup!$E$81,MATCH(T$5,CompListItem,0),0,1,1)-SUMIFS(OFFSET(T$6,1,0,PayCount,1),PayDate,"&lt;"&amp;$AC207,PayEmp,$C207)))))))</f>
        <v>0</v>
      </c>
      <c r="U207" s="133" cm="1">
        <f t="array" aca="1" ref="U207" ca="1">IF($F207="Terminated",0,IF($AA207=0,0,IF(ISNA(MATCH(U$5,CompListItem,0)),0,IF(COUNTIFS(OverEmp,$C207,OverComp,U$5,OverDate,"&lt;"&amp;DATE(YEAR($AC207),MONTH($AC207)+1,1),OverEnd,"&gt;="&amp;DATE(YEAR($AC207),MONTH($AC207),1))&gt;0,SUMIFS(OverValue,OverEmp,$C207,OverComp,U$5,OverDate,"&lt;"&amp;DATE(YEAR($AC207),MONTH($AC207)+1,1),OverEnd,"&gt;="&amp;DATE(YEAR($AC207),MONTH($AC207),1)),IF(OR(U$2="Fixed",U$2="Not Used"),(OFFSET(Setup!$E$81,MATCH(U$5,CompListItem,0),0,1,1)*$AA207)-SUMIFS(OFFSET(U$6,1,0,PayCount,1),PayDate,"&lt;"&amp;$AC207,PayEmp,$C207),IF(ISNA(MATCH(U$2,DedListItem,0))=FALSE,(SUMPRODUCT((PayEmp=$C207)*(PayDate&lt;=$AC207)*(PayDedList=U$2)*(PayDedValues))*OFFSET(Setup!$E$81,MATCH(U$5,CompListItem,0),0,1,1))-SUMIFS(OFFSET(U$6,1,0,PayCount,1),PayDate,"&lt;"&amp;$AC207,PayEmp,$C207),(MIN(IF(OFFSET(Setup!$G$81,MATCH(U$5,CompListItem,0),0,1,1)="Taxable",SUMPRODUCT((PayEmp=$C207)*(PayDate&lt;=$AC207)*(ISERROR(SEARCH(PayEarnCode,U$4)))*(PayEarnTax)*(PayEarnValues)),SUMPRODUCT((PayEmp=$C207)*(PayDate&lt;=$AC207)*(ISERROR(SEARCH(PayEarnCode,U$4)))*(PayEarnValues))),IF(ISNUMBER(U$3),U$3/12*$AA207,IgnoreMin)))*OFFSET(Setup!$E$81,MATCH(U$5,CompListItem,0),0,1,1)-SUMIFS(OFFSET(U$6,1,0,PayCount,1),PayDate,"&lt;"&amp;$AC207,PayEmp,$C207)))))))</f>
        <v>0</v>
      </c>
      <c r="V207" s="133" cm="1">
        <f t="array" aca="1" ref="V207" ca="1">IF($F207="Terminated",0,IF($AA207=0,0,IF(ISNA(MATCH(V$5,CompListItem,0)),0,IF(COUNTIFS(OverEmp,$C207,OverComp,V$5,OverDate,"&lt;"&amp;DATE(YEAR($AC207),MONTH($AC207)+1,1),OverEnd,"&gt;="&amp;DATE(YEAR($AC207),MONTH($AC207),1))&gt;0,SUMIFS(OverValue,OverEmp,$C207,OverComp,V$5,OverDate,"&lt;"&amp;DATE(YEAR($AC207),MONTH($AC207)+1,1),OverEnd,"&gt;="&amp;DATE(YEAR($AC207),MONTH($AC207),1)),IF(OR(V$2="Fixed",V$2="Not Used"),(OFFSET(Setup!$E$81,MATCH(V$5,CompListItem,0),0,1,1)*$AA207)-SUMIFS(OFFSET(V$6,1,0,PayCount,1),PayDate,"&lt;"&amp;$AC207,PayEmp,$C207),IF(ISNA(MATCH(V$2,DedListItem,0))=FALSE,(SUMPRODUCT((PayEmp=$C207)*(PayDate&lt;=$AC207)*(PayDedList=V$2)*(PayDedValues))*OFFSET(Setup!$E$81,MATCH(V$5,CompListItem,0),0,1,1))-SUMIFS(OFFSET(V$6,1,0,PayCount,1),PayDate,"&lt;"&amp;$AC207,PayEmp,$C207),(MIN(IF(OFFSET(Setup!$G$81,MATCH(V$5,CompListItem,0),0,1,1)="Taxable",SUMPRODUCT((PayEmp=$C207)*(PayDate&lt;=$AC207)*(ISERROR(SEARCH(PayEarnCode,V$4)))*(PayEarnTax)*(PayEarnValues)),SUMPRODUCT((PayEmp=$C207)*(PayDate&lt;=$AC207)*(ISERROR(SEARCH(PayEarnCode,V$4)))*(PayEarnValues))),IF(ISNUMBER(V$3),V$3/12*$AA207,IgnoreMin)))*OFFSET(Setup!$E$81,MATCH(V$5,CompListItem,0),0,1,1)-SUMIFS(OFFSET(V$6,1,0,PayCount,1),PayDate,"&lt;"&amp;$AC207,PayEmp,$C207)))))))</f>
        <v>0</v>
      </c>
      <c r="W207" s="133" cm="1">
        <f t="array" aca="1" ref="W207" ca="1">IF($F207="Terminated",0,IF($AA207=0,0,IF(ISNA(MATCH(W$5,CompListItem,0)),0,IF(COUNTIFS(OverEmp,$C207,OverComp,W$5,OverDate,"&lt;"&amp;DATE(YEAR($AC207),MONTH($AC207)+1,1),OverEnd,"&gt;="&amp;DATE(YEAR($AC207),MONTH($AC207),1))&gt;0,SUMIFS(OverValue,OverEmp,$C207,OverComp,W$5,OverDate,"&lt;"&amp;DATE(YEAR($AC207),MONTH($AC207)+1,1),OverEnd,"&gt;="&amp;DATE(YEAR($AC207),MONTH($AC207),1)),IF(OR(W$2="Fixed",W$2="Not Used"),(OFFSET(Setup!$E$81,MATCH(W$5,CompListItem,0),0,1,1)*$AA207)-SUMIFS(OFFSET(W$6,1,0,PayCount,1),PayDate,"&lt;"&amp;$AC207,PayEmp,$C207),IF(ISNA(MATCH(W$2,DedListItem,0))=FALSE,(SUMPRODUCT((PayEmp=$C207)*(PayDate&lt;=$AC207)*(PayDedList=W$2)*(PayDedValues))*OFFSET(Setup!$E$81,MATCH(W$5,CompListItem,0),0,1,1))-SUMIFS(OFFSET(W$6,1,0,PayCount,1),PayDate,"&lt;"&amp;$AC207,PayEmp,$C207),(MIN(IF(OFFSET(Setup!$G$81,MATCH(W$5,CompListItem,0),0,1,1)="Taxable",SUMPRODUCT((PayEmp=$C207)*(PayDate&lt;=$AC207)*(ISERROR(SEARCH(PayEarnCode,W$4)))*(PayEarnTax)*(PayEarnValues)),SUMPRODUCT((PayEmp=$C207)*(PayDate&lt;=$AC207)*(ISERROR(SEARCH(PayEarnCode,W$4)))*(PayEarnValues))),IF(ISNUMBER(W$3),W$3/12*$AA207,IgnoreMin)))*OFFSET(Setup!$E$81,MATCH(W$5,CompListItem,0),0,1,1)-SUMIFS(OFFSET(W$6,1,0,PayCount,1),PayDate,"&lt;"&amp;$AC207,PayEmp,$C207)))))))</f>
        <v>0</v>
      </c>
      <c r="X207" s="185">
        <f t="shared" ca="1" si="98"/>
        <v>0</v>
      </c>
      <c r="Y207" s="139">
        <f t="shared" ca="1" si="99"/>
        <v>0</v>
      </c>
      <c r="Z207" s="139">
        <f t="shared" ca="1" si="100"/>
        <v>0</v>
      </c>
      <c r="AA207" s="146">
        <f ca="1">IF(OR($B207&lt;=Setup!$E$12,$B207&gt;=Setup!$D$12+1),0,IF($F207&lt;&gt;"Active",0,IF($AE207="Yes",$AB207,((YEAR($AC207)*12)+MONTH($AC207))-((YEAR($AD207)*12)+MONTH($AD207)-1))))</f>
        <v>0</v>
      </c>
      <c r="AB207" s="146">
        <f ca="1">IF(OR($B207&lt;=Setup!$E$12,$B207&gt;=Setup!$D$12+1),0,((YEAR($AC207)*12)+MONTH($AC207))-((YEAR(Setup!$E$12)*12)+MONTH(Setup!$E$12)))</f>
        <v>12</v>
      </c>
      <c r="AC207" s="186">
        <f t="shared" ca="1" si="101"/>
        <v>45351</v>
      </c>
      <c r="AD207" s="144">
        <f ca="1">IF(ISNA(VLOOKUP($C207,EmpAll,COLUMN(Emp!$E$4),0)),$AC207,IF(VLOOKUP($C207,EmpAll,COLUMN(Emp!$E$4),0)&lt;=Setup!$E$12,DATE(YEAR(Setup!$E$12),MONTH(Setup!$E$12)+1,1),VLOOKUP($C207,EmpAll,COLUMN(Emp!$E$4),0)))</f>
        <v>45351</v>
      </c>
      <c r="AE207" s="144" t="str">
        <f ca="1">IF(ISNA(VLOOKUP($C207,EmpAll,COLUMN(Emp!$G$1),0)),"-",IF(VLOOKUP($C207,EmpAll,COLUMN(Emp!$G$1),0)=0,"-",VLOOKUP($C207,EmpAll,COLUMN(Emp!$G$1),0)))</f>
        <v>-</v>
      </c>
      <c r="AF207" s="145">
        <f>IF(A207=PaySlip!$G$3,1,0)</f>
        <v>0</v>
      </c>
      <c r="AG207" s="130" cm="1">
        <f t="array" aca="1" ref="AG207" ca="1">IF(COUNTIFS(OverEmp,$C207,OverMed,"MED",OverDate,"&lt;"&amp;DATE(YEAR($AC207),MONTH($AC207)+1,1),OverEnd,"&gt;="&amp;DATE(YEAR($AC207),MONTH($AC207),1))&gt;0,SUMIFS(OverValue,OverEmp,$C207,OverMed,"MED",OverDate,"&lt;"&amp;DATE(YEAR($AC207),MONTH($AC207)+1,1),OverEnd,"&gt;="&amp;DATE(YEAR($AC207),MONTH($AC207),1)),IF(ISNA(VLOOKUP($C207,EmpAll,COLUMN(Emp!$N$4),0)),0,VLOOKUP($C207,EmpAll,COLUMN(Emp!$N$4),0)))</f>
        <v>0</v>
      </c>
      <c r="AH207" s="146">
        <f ca="1">VLOOKUP($AG207,MedList,COLUMN(Setup!$C$49),1)</f>
        <v>0</v>
      </c>
      <c r="AI207" s="146">
        <f t="shared" ca="1" si="107"/>
        <v>0</v>
      </c>
      <c r="AJ207" s="101" t="str">
        <f ca="1">IF(ISNA(VLOOKUP($C207,EmpAll,COLUMN(Emp!$L$4),0)),"None!",VLOOKUP($C207,EmpAll,COLUMN(Emp!$L$4),0))</f>
        <v>None!</v>
      </c>
      <c r="AK207" s="147">
        <f t="shared" ca="1" si="102"/>
        <v>17235</v>
      </c>
      <c r="AL207" s="101" t="str">
        <f ca="1">IF(ISNA(VLOOKUP($C207,Employees[],COLUMN(Emp!$M$4),0))=TRUE,"Error!",IF(VLOOKUP($C207,Employees[],COLUMN(Emp!$M$4),0)=0,"Yes",VLOOKUP($C207,Employees[],COLUMN(Emp!$M$4),0)))</f>
        <v>Error!</v>
      </c>
      <c r="AM207" s="148">
        <f t="shared" ca="1" si="108"/>
        <v>0</v>
      </c>
      <c r="AN207" s="148" cm="1">
        <f t="array" aca="1" ref="AN207" ca="1">-IF($F207="Terminated",0,IF($AA207=0,0,IF(ISNA(MATCH(AN$5,PayDedList,0)),0,MIN(IF(COUNTIFS(OverEmp,$C207,OverDeduct,AN$5,OverDate,"&lt;"&amp;DATE(YEAR($AC207),MONTH($AC207)+1,1),OverEnd,"&gt;="&amp;DATE(YEAR($AC207),MONTH($AC207),1))&gt;0,SUMPRODUCT((PayEmp=$C207)*(PayDate&lt;=$AC207)*(OFFSET($N$6,1,MATCH(AN$5,PayDedList,0)-1,PayCount,1)))/$AA207*12*AN$3,IF(OR(AN$1="Fixed",AN$1="Not Used"),SUMPRODUCT((PayEmp=$C207)*(PayDate&lt;=$AC207)*(OFFSET($N$6,1,MATCH(AN$5,PayDedList,0)-1,PayCount,1)))/$AA207*12*AN$3,IF(ISNA(MATCH(AN$1,EarnListItem,0))=FALSE,SUMPRODUCT((PayEmp=$C207)*(PayDate&lt;=$AC207)*(OFFSET($N$6,1,MATCH(AN$5,PayDedList,0)-1,PayCount,1)))/$AA207*12*AN$3,(MIN(((SUMPRODUCT((PayEmp=$C207)*(PayDate&lt;=$AC207)*(ISERROR(SEARCH(PayEarnCode,AN$2)))*(PayEarnType="Monthly")*(PayEarnValues))/$AA207*12)+(SUMPRODUCT((PayEmp=$C207)*(PayDate&lt;=$AC207)*(ISERROR(SEARCH(PayEarnCode,AN$2)))*(PayEarnType="Quarterly")*(PayEarnValues))/MAX(1,ROUNDDOWN($AB207/3,0))*4)+(SUMPRODUCT((PayEmp=$C207)*(PayDate&lt;=$AC207)*(ISERROR(SEARCH(PayEarnCode,AN$2)))*(PayEarnType="Bi-Annual")*(PayEarnValues))/MAX(1,ROUNDDOWN($AB207/6,0))*2)+(SUMPRODUCT((PayEmp=$C207)*(PayDate&lt;=$AC207)*(ISERROR(SEARCH(PayEarnCode,AN$2)))*(PayEarnType="Annual")*(PayEarnValues)))),IF(ISNUMBER(OFFSET($N$3,0,MATCH(AN$5,PayDedList,0)-1,1,1)),OFFSET($N$3,0,MATCH(AN$5,PayDedList,0)-1,1,1),IgnoreMin)))*IF(COUNTIFS(EmpNo,$C207,OFFSET(Emp!$R$4,1,MATCH(AN$5,DedListItem,0)-1,EmpCount,1),"&lt;&gt;")&gt;0,VLOOKUP($C207,EmpAll,COLUMN(Emp!$R$4)+MATCH(AN$5,DedListItem,0)-1,0),OFFSET(Setup!$E$73,MATCH(AN$5,DedListItem,0),0,1,1))*AN$3))),IF(ISNUMBER(AN$4),AN$4,IgnoreMin)))))</f>
        <v>0</v>
      </c>
      <c r="AO207" s="148" cm="1">
        <f t="array" aca="1" ref="AO207" ca="1">-IF($F207="Terminated",0,IF($AA207=0,0,IF(ISNA(MATCH(AO$5,PayDedList,0)),0,MIN(IF(COUNTIFS(OverEmp,$C207,OverDeduct,AO$5,OverDate,"&lt;"&amp;DATE(YEAR($AC207),MONTH($AC207)+1,1),OverEnd,"&gt;="&amp;DATE(YEAR($AC207),MONTH($AC207),1))&gt;0,SUMPRODUCT((PayEmp=$C207)*(PayDate&lt;=$AC207)*(OFFSET($N$6,1,MATCH(AO$5,PayDedList,0)-1,PayCount,1)))/$AA207*12*AO$3,IF(OR(AO$1="Fixed",AO$1="Not Used"),SUMPRODUCT((PayEmp=$C207)*(PayDate&lt;=$AC207)*(OFFSET($N$6,1,MATCH(AO$5,PayDedList,0)-1,PayCount,1)))/$AA207*12*AO$3,IF(ISNA(MATCH(AO$1,EarnListItem,0))=FALSE,SUMPRODUCT((PayEmp=$C207)*(PayDate&lt;=$AC207)*(OFFSET($N$6,1,MATCH(AO$5,PayDedList,0)-1,PayCount,1)))/$AA207*12*AO$3,(MIN(((SUMPRODUCT((PayEmp=$C207)*(PayDate&lt;=$AC207)*(ISERROR(SEARCH(PayEarnCode,AO$2)))*(PayEarnType="Monthly")*(PayEarnValues))/$AA207*12)+(SUMPRODUCT((PayEmp=$C207)*(PayDate&lt;=$AC207)*(ISERROR(SEARCH(PayEarnCode,AO$2)))*(PayEarnType="Quarterly")*(PayEarnValues))/MAX(1,ROUNDDOWN($AB207/3,0))*4)+(SUMPRODUCT((PayEmp=$C207)*(PayDate&lt;=$AC207)*(ISERROR(SEARCH(PayEarnCode,AO$2)))*(PayEarnType="Bi-Annual")*(PayEarnValues))/MAX(1,ROUNDDOWN($AB207/6,0))*2)+(SUMPRODUCT((PayEmp=$C207)*(PayDate&lt;=$AC207)*(ISERROR(SEARCH(PayEarnCode,AO$2)))*(PayEarnType="Annual")*(PayEarnValues)))),IF(ISNUMBER(OFFSET($N$3,0,MATCH(AO$5,PayDedList,0)-1,1,1)),OFFSET($N$3,0,MATCH(AO$5,PayDedList,0)-1,1,1),IgnoreMin)))*IF(COUNTIFS(EmpNo,$C207,OFFSET(Emp!$R$4,1,MATCH(AO$5,DedListItem,0)-1,EmpCount,1),"&lt;&gt;")&gt;0,VLOOKUP($C207,EmpAll,COLUMN(Emp!$R$4)+MATCH(AO$5,DedListItem,0)-1,0),OFFSET(Setup!$E$73,MATCH(AO$5,DedListItem,0),0,1,1))*AO$3))),IF(ISNUMBER(AO$4),AO$4,IgnoreMin)))))</f>
        <v>0</v>
      </c>
      <c r="AP207" s="148" cm="1">
        <f t="array" aca="1" ref="AP207" ca="1">-IF($F207="Terminated",0,IF($AA207=0,0,IF(ISNA(MATCH(AP$5,PayDedList,0)),0,MIN(IF(COUNTIFS(OverEmp,$C207,OverDeduct,AP$5,OverDate,"&lt;"&amp;DATE(YEAR($AC207),MONTH($AC207)+1,1),OverEnd,"&gt;="&amp;DATE(YEAR($AC207),MONTH($AC207),1))&gt;0,SUMPRODUCT((PayEmp=$C207)*(PayDate&lt;=$AC207)*(OFFSET($N$6,1,MATCH(AP$5,PayDedList,0)-1,PayCount,1)))/$AA207*12*AP$3,IF(OR(AP$1="Fixed",AP$1="Not Used"),SUMPRODUCT((PayEmp=$C207)*(PayDate&lt;=$AC207)*(OFFSET($N$6,1,MATCH(AP$5,PayDedList,0)-1,PayCount,1)))/$AA207*12*AP$3,IF(ISNA(MATCH(AP$1,EarnListItem,0))=FALSE,SUMPRODUCT((PayEmp=$C207)*(PayDate&lt;=$AC207)*(OFFSET($N$6,1,MATCH(AP$5,PayDedList,0)-1,PayCount,1)))/$AA207*12*AP$3,(MIN(((SUMPRODUCT((PayEmp=$C207)*(PayDate&lt;=$AC207)*(ISERROR(SEARCH(PayEarnCode,AP$2)))*(PayEarnType="Monthly")*(PayEarnValues))/$AA207*12)+(SUMPRODUCT((PayEmp=$C207)*(PayDate&lt;=$AC207)*(ISERROR(SEARCH(PayEarnCode,AP$2)))*(PayEarnType="Quarterly")*(PayEarnValues))/MAX(1,ROUNDDOWN($AB207/3,0))*4)+(SUMPRODUCT((PayEmp=$C207)*(PayDate&lt;=$AC207)*(ISERROR(SEARCH(PayEarnCode,AP$2)))*(PayEarnType="Bi-Annual")*(PayEarnValues))/MAX(1,ROUNDDOWN($AB207/6,0))*2)+(SUMPRODUCT((PayEmp=$C207)*(PayDate&lt;=$AC207)*(ISERROR(SEARCH(PayEarnCode,AP$2)))*(PayEarnType="Annual")*(PayEarnValues)))),IF(ISNUMBER(OFFSET($N$3,0,MATCH(AP$5,PayDedList,0)-1,1,1)),OFFSET($N$3,0,MATCH(AP$5,PayDedList,0)-1,1,1),IgnoreMin)))*IF(COUNTIFS(EmpNo,$C207,OFFSET(Emp!$R$4,1,MATCH(AP$5,DedListItem,0)-1,EmpCount,1),"&lt;&gt;")&gt;0,VLOOKUP($C207,EmpAll,COLUMN(Emp!$R$4)+MATCH(AP$5,DedListItem,0)-1,0),OFFSET(Setup!$E$73,MATCH(AP$5,DedListItem,0),0,1,1))*AP$3))),IF(ISNUMBER(AP$4),AP$4,IgnoreMin)))))</f>
        <v>0</v>
      </c>
      <c r="AQ207" s="148" cm="1">
        <f t="array" aca="1" ref="AQ207" ca="1">-IF($F207="Terminated",0,IF($AA207=0,0,IF(ISNA(MATCH(AQ$5,PayDedList,0)),0,MIN(IF(COUNTIFS(OverEmp,$C207,OverDeduct,AQ$5,OverDate,"&lt;"&amp;DATE(YEAR($AC207),MONTH($AC207)+1,1),OverEnd,"&gt;="&amp;DATE(YEAR($AC207),MONTH($AC207),1))&gt;0,SUMPRODUCT((PayEmp=$C207)*(PayDate&lt;=$AC207)*(OFFSET($N$6,1,MATCH(AQ$5,PayDedList,0)-1,PayCount,1)))/$AA207*12*AQ$3,IF(OR(AQ$1="Fixed",AQ$1="Not Used"),SUMPRODUCT((PayEmp=$C207)*(PayDate&lt;=$AC207)*(OFFSET($N$6,1,MATCH(AQ$5,PayDedList,0)-1,PayCount,1)))/$AA207*12*AQ$3,IF(ISNA(MATCH(AQ$1,EarnListItem,0))=FALSE,SUMPRODUCT((PayEmp=$C207)*(PayDate&lt;=$AC207)*(OFFSET($N$6,1,MATCH(AQ$5,PayDedList,0)-1,PayCount,1)))/$AA207*12*AQ$3,(MIN(((SUMPRODUCT((PayEmp=$C207)*(PayDate&lt;=$AC207)*(ISERROR(SEARCH(PayEarnCode,AQ$2)))*(PayEarnType="Monthly")*(PayEarnValues))/$AA207*12)+(SUMPRODUCT((PayEmp=$C207)*(PayDate&lt;=$AC207)*(ISERROR(SEARCH(PayEarnCode,AQ$2)))*(PayEarnType="Quarterly")*(PayEarnValues))/MAX(1,ROUNDDOWN($AB207/3,0))*4)+(SUMPRODUCT((PayEmp=$C207)*(PayDate&lt;=$AC207)*(ISERROR(SEARCH(PayEarnCode,AQ$2)))*(PayEarnType="Bi-Annual")*(PayEarnValues))/MAX(1,ROUNDDOWN($AB207/6,0))*2)+(SUMPRODUCT((PayEmp=$C207)*(PayDate&lt;=$AC207)*(ISERROR(SEARCH(PayEarnCode,AQ$2)))*(PayEarnType="Annual")*(PayEarnValues)))),IF(ISNUMBER(OFFSET($N$3,0,MATCH(AQ$5,PayDedList,0)-1,1,1)),OFFSET($N$3,0,MATCH(AQ$5,PayDedList,0)-1,1,1),IgnoreMin)))*IF(COUNTIFS(EmpNo,$C207,OFFSET(Emp!$R$4,1,MATCH(AQ$5,DedListItem,0)-1,EmpCount,1),"&lt;&gt;")&gt;0,VLOOKUP($C207,EmpAll,COLUMN(Emp!$R$4)+MATCH(AQ$5,DedListItem,0)-1,0),OFFSET(Setup!$E$73,MATCH(AQ$5,DedListItem,0),0,1,1))*AQ$3))),IF(ISNUMBER(AQ$4),AQ$4,IgnoreMin)))))</f>
        <v>0</v>
      </c>
      <c r="AR207" s="148">
        <f t="shared" ca="1" si="103"/>
        <v>0</v>
      </c>
      <c r="AS207" s="148">
        <f t="shared" ca="1" si="109"/>
        <v>0</v>
      </c>
      <c r="AT207" s="148" cm="1">
        <f t="array" aca="1" ref="AT207" ca="1">-IF($F207="Terminated",0,IF($AA207=0,0,IF(ISNA(MATCH(AT$5,PayDedList,0)),0,MIN(IF(COUNTIFS(OverEmp,$C207,OverDeduct,AT$5,OverDate,"&lt;"&amp;DATE(YEAR($AC207),MONTH($AC207)+1,1),OverEnd,"&gt;="&amp;DATE(YEAR($AC207),MONTH($AC207),1))&gt;0,SUMPRODUCT((PayEmp=$C207)*(PayDate&lt;=$AC207)*(OFFSET($N$6,1,MATCH(AT$5,PayDedList,0)-1,PayCount,1)))/$AA207*12*AT$3,IF(OR(AT$1="Fixed",AT$1="Not Used"),SUMPRODUCT((PayEmp=$C207)*(PayDate&lt;=$AC207)*(OFFSET($N$6,1,MATCH(AT$5,PayDedList,0)-1,PayCount,1)))/$AA207*12*AT$3,IF(ISNA(MATCH(OFFSET($N$2,0,MATCH(AT$5,PayDedList,0)-1,1,1),EarnListItem,0))=FALSE,SUMPRODUCT((PayEmp=$C207)*(PayDate&lt;=$AC207)*(OFFSET($N$6,1,MATCH(AT$5,PayDedList,0)-1,PayCount,1)))/$AA207*12*AT$3,(MIN(SUMPRODUCT((PayEmp=$C207)*(PayDate&lt;=$AC207)*(ISERROR(SEARCH(PayEarnCode,AT$2)))*(PayEarnType="Monthly")*(PayEarnValues))/$AA207*12,IF(ISNUMBER(OFFSET($N$3,0,MATCH(AT$5,PayDedList,0)-1,1,1)),OFFSET($N$3,0,MATCH(AT$5,PayDedList,0)-1,1,1),IgnoreMin)))*IF(COUNTIFS(EmpNo,$C207,OFFSET(Emp!$R$4,1,MATCH(AT$5,DedListItem,0)-1,EmpCount,1),"&lt;&gt;")&gt;0,VLOOKUP($C207,EmpAll,COLUMN(Emp!$R$4)+MATCH(AT$5,DedListItem,0)-1,0),OFFSET(Setup!$E$73,MATCH(AT$5,DedListItem,0),0,1,1))*AT$3))),IF(ISNUMBER(AT$4),AT$4,IgnoreMin)))))</f>
        <v>0</v>
      </c>
      <c r="AU207" s="148" cm="1">
        <f t="array" aca="1" ref="AU207" ca="1">-IF($F207="Terminated",0,IF($AA207=0,0,IF(ISNA(MATCH(AU$5,PayDedList,0)),0,MIN(IF(COUNTIFS(OverEmp,$C207,OverDeduct,AU$5,OverDate,"&lt;"&amp;DATE(YEAR($AC207),MONTH($AC207)+1,1),OverEnd,"&gt;="&amp;DATE(YEAR($AC207),MONTH($AC207),1))&gt;0,SUMPRODUCT((PayEmp=$C207)*(PayDate&lt;=$AC207)*(OFFSET($N$6,1,MATCH(AU$5,PayDedList,0)-1,PayCount,1)))/$AA207*12*AU$3,IF(OR(AU$1="Fixed",AU$1="Not Used"),SUMPRODUCT((PayEmp=$C207)*(PayDate&lt;=$AC207)*(OFFSET($N$6,1,MATCH(AU$5,PayDedList,0)-1,PayCount,1)))/$AA207*12*AU$3,IF(ISNA(MATCH(OFFSET($N$2,0,MATCH(AU$5,PayDedList,0)-1,1,1),EarnListItem,0))=FALSE,SUMPRODUCT((PayEmp=$C207)*(PayDate&lt;=$AC207)*(OFFSET($N$6,1,MATCH(AU$5,PayDedList,0)-1,PayCount,1)))/$AA207*12*AU$3,(MIN(SUMPRODUCT((PayEmp=$C207)*(PayDate&lt;=$AC207)*(ISERROR(SEARCH(PayEarnCode,AU$2)))*(PayEarnType="Monthly")*(PayEarnValues))/$AA207*12,IF(ISNUMBER(OFFSET($N$3,0,MATCH(AU$5,PayDedList,0)-1,1,1)),OFFSET($N$3,0,MATCH(AU$5,PayDedList,0)-1,1,1),IgnoreMin)))*IF(COUNTIFS(EmpNo,$C207,OFFSET(Emp!$R$4,1,MATCH(AU$5,DedListItem,0)-1,EmpCount,1),"&lt;&gt;")&gt;0,VLOOKUP($C207,EmpAll,COLUMN(Emp!$R$4)+MATCH(AU$5,DedListItem,0)-1,0),OFFSET(Setup!$E$73,MATCH(AU$5,DedListItem,0),0,1,1))*AU$3))),IF(ISNUMBER(AU$4),AU$4,IgnoreMin)))))</f>
        <v>0</v>
      </c>
      <c r="AV207" s="148" cm="1">
        <f t="array" aca="1" ref="AV207" ca="1">-IF($F207="Terminated",0,IF($AA207=0,0,IF(ISNA(MATCH(AV$5,PayDedList,0)),0,MIN(IF(COUNTIFS(OverEmp,$C207,OverDeduct,AV$5,OverDate,"&lt;"&amp;DATE(YEAR($AC207),MONTH($AC207)+1,1),OverEnd,"&gt;="&amp;DATE(YEAR($AC207),MONTH($AC207),1))&gt;0,SUMPRODUCT((PayEmp=$C207)*(PayDate&lt;=$AC207)*(OFFSET($N$6,1,MATCH(AV$5,PayDedList,0)-1,PayCount,1)))/$AA207*12*AV$3,IF(OR(AV$1="Fixed",AV$1="Not Used"),SUMPRODUCT((PayEmp=$C207)*(PayDate&lt;=$AC207)*(OFFSET($N$6,1,MATCH(AV$5,PayDedList,0)-1,PayCount,1)))/$AA207*12*AV$3,IF(ISNA(MATCH(OFFSET($N$2,0,MATCH(AV$5,PayDedList,0)-1,1,1),EarnListItem,0))=FALSE,SUMPRODUCT((PayEmp=$C207)*(PayDate&lt;=$AC207)*(OFFSET($N$6,1,MATCH(AV$5,PayDedList,0)-1,PayCount,1)))/$AA207*12*AV$3,(MIN(SUMPRODUCT((PayEmp=$C207)*(PayDate&lt;=$AC207)*(ISERROR(SEARCH(PayEarnCode,AV$2)))*(PayEarnType="Monthly")*(PayEarnValues))/$AA207*12,IF(ISNUMBER(OFFSET($N$3,0,MATCH(AV$5,PayDedList,0)-1,1,1)),OFFSET($N$3,0,MATCH(AV$5,PayDedList,0)-1,1,1),IgnoreMin)))*IF(COUNTIFS(EmpNo,$C207,OFFSET(Emp!$R$4,1,MATCH(AV$5,DedListItem,0)-1,EmpCount,1),"&lt;&gt;")&gt;0,VLOOKUP($C207,EmpAll,COLUMN(Emp!$R$4)+MATCH(AV$5,DedListItem,0)-1,0),OFFSET(Setup!$E$73,MATCH(AV$5,DedListItem,0),0,1,1))*AV$3))),IF(ISNUMBER(AV$4),AV$4,IgnoreMin)))))</f>
        <v>0</v>
      </c>
      <c r="AW207" s="148" cm="1">
        <f t="array" aca="1" ref="AW207" ca="1">-IF($F207="Terminated",0,IF($AA207=0,0,IF(ISNA(MATCH(AW$5,PayDedList,0)),0,MIN(IF(COUNTIFS(OverEmp,$C207,OverDeduct,AW$5,OverDate,"&lt;"&amp;DATE(YEAR($AC207),MONTH($AC207)+1,1),OverEnd,"&gt;="&amp;DATE(YEAR($AC207),MONTH($AC207),1))&gt;0,SUMPRODUCT((PayEmp=$C207)*(PayDate&lt;=$AC207)*(OFFSET($N$6,1,MATCH(AW$5,PayDedList,0)-1,PayCount,1)))/$AA207*12*AW$3,IF(OR(AW$1="Fixed",AW$1="Not Used"),SUMPRODUCT((PayEmp=$C207)*(PayDate&lt;=$AC207)*(OFFSET($N$6,1,MATCH(AW$5,PayDedList,0)-1,PayCount,1)))/$AA207*12*AW$3,IF(ISNA(MATCH(OFFSET($N$2,0,MATCH(AW$5,PayDedList,0)-1,1,1),EarnListItem,0))=FALSE,SUMPRODUCT((PayEmp=$C207)*(PayDate&lt;=$AC207)*(OFFSET($N$6,1,MATCH(AW$5,PayDedList,0)-1,PayCount,1)))/$AA207*12*AW$3,(MIN(SUMPRODUCT((PayEmp=$C207)*(PayDate&lt;=$AC207)*(ISERROR(SEARCH(PayEarnCode,AW$2)))*(PayEarnType="Monthly")*(PayEarnValues))/$AA207*12,IF(ISNUMBER(OFFSET($N$3,0,MATCH(AW$5,PayDedList,0)-1,1,1)),OFFSET($N$3,0,MATCH(AW$5,PayDedList,0)-1,1,1),IgnoreMin)))*IF(COUNTIFS(EmpNo,$C207,OFFSET(Emp!$R$4,1,MATCH(AW$5,DedListItem,0)-1,EmpCount,1),"&lt;&gt;")&gt;0,VLOOKUP($C207,EmpAll,COLUMN(Emp!$R$4)+MATCH(AW$5,DedListItem,0)-1,0),OFFSET(Setup!$E$73,MATCH(AW$5,DedListItem,0),0,1,1))*AW$3))),IF(ISNUMBER(AW$4),AW$4,IgnoreMin)))))</f>
        <v>0</v>
      </c>
      <c r="AX207" s="148">
        <f t="shared" ca="1" si="104"/>
        <v>0</v>
      </c>
      <c r="AY207" s="148">
        <f t="shared" ca="1" si="105"/>
        <v>0</v>
      </c>
      <c r="AZ207" s="148">
        <f ca="1">IF(ISNUMBER($AL207),($AR207*$AL207)-$AI207-$AK207,MAX(0,IF($AL207="B",IF($AR207&lt;Setup!$C$32,($AR207*Setup!$D$32)-$AI207-$AK207,(($AR207-VLOOKUP($AR207,TaxAll2,1,1))*OFFSET(Setup!$D$32,MATCH($AR207,TaxBracket2,1),0,1,1))+OFFSET(Setup!$E$31,MATCH($AR207,TaxBracket2,1),0,1,1)-$AI207-$AK207),IF($AR207&lt;Setup!$C$21,($AR207*Setup!$D$21)-$AI207-$AK207,(($AR207-VLOOKUP($AR207,TaxAll1,1,1))*OFFSET(Setup!$D$21,MATCH($AR207,TaxBracket1,1),0,1,1))+OFFSET(Setup!$E$20,MATCH($AR207,TaxBracket1,1),0,1,1)-$AI207-$AK207))))</f>
        <v>0</v>
      </c>
      <c r="BA207" s="148">
        <f ca="1">IF(ISNUMBER($AL207),($AX207*$AL207)-$AI207-$AK207,MAX(0,IF($AL207="B",IF($AX207&lt;Setup!$C$32,($AX207*Setup!$D$32)-$AI207-$AK207,(($AX207-VLOOKUP($AX207,TaxAll2,1,1))*OFFSET(Setup!$D$32,MATCH($AX207,TaxBracket2,1),0,1,1))+OFFSET(Setup!$E$31,MATCH($AX207,TaxBracket2,1),0,1,1)-$AI207-$AK207),IF($AX207&lt;Setup!$C$21,($AX207*Setup!$D$21)-$AI207-$AK207,(($AX207-VLOOKUP($AX207,TaxAll1,1,1))*OFFSET(Setup!$D$21,MATCH($AX207,TaxBracket1,1),0,1,1))+OFFSET(Setup!$E$20,MATCH($AX207,TaxBracket1,1),0,1,1)-$AI207-$AK207))))</f>
        <v>0</v>
      </c>
      <c r="BB207" s="148">
        <f t="shared" ca="1" si="106"/>
        <v>0</v>
      </c>
      <c r="BC207" s="150">
        <f t="shared" ca="1" si="110"/>
        <v>0</v>
      </c>
      <c r="BD207" s="150">
        <f t="shared" ca="1" si="111"/>
        <v>0</v>
      </c>
      <c r="BE207" s="148">
        <f t="shared" ca="1" si="112"/>
        <v>0</v>
      </c>
    </row>
    <row r="208" spans="1:57" ht="16.149999999999999" customHeight="1" x14ac:dyDescent="0.25">
      <c r="A208" s="10" t="str" cm="1">
        <f t="array" ref="A208">IF(ROW($A208)-ROW($A$6)&gt;EmpCount*12,"-",TEXT($B208,"yyyy")&amp;TEXT($B208,"mm")&amp;"-"&amp;$C208)</f>
        <v>-</v>
      </c>
      <c r="B208" s="137" cm="1">
        <f t="array" aca="1" ref="B208" ca="1">IF(ROW($A208)-ROW($A$6)&gt;EmpCount*12,Setup!$D$12,DATE(YEAR(Setup!$F$12),MONTH(Setup!$F$12)+ROUNDDOWN((ROW($A208)-ROW($A$6)-1)/EmpCount,0),IF(Setup!$C$14&gt;DAY(DATE(YEAR(Setup!$F$12),MONTH(Setup!$F$12)+ROUNDDOWN((ROW($A208)-ROW($A$6)-1)/EmpCount,0)+1,0)),DAY(DATE(YEAR(Setup!$F$12),MONTH(Setup!$F$12)+ROUNDDOWN((ROW($A208)-ROW($A$6)-1)/EmpCount,0)+1,0)),Setup!$C$14)))</f>
        <v>45351</v>
      </c>
      <c r="C208" s="101" t="str" cm="1">
        <f t="array" aca="1" ref="C208" ca="1">IF(ROW($A208)-ROW($A$6)&gt;EmpCount*12,"-",OFFSET(Emp!$A$4,ROW($A208)-ROW($A$6)-IF(ROW($A208)-ROW($A$6)&gt;EmpCount,ROUNDDOWN((ROW($A208)-ROW($A$6)-1)/EmpCount,0)*EmpCount,0),0,1,1))</f>
        <v>-</v>
      </c>
      <c r="D208" s="10" t="str">
        <f ca="1">IF(ISNA(VLOOKUP($C208,EmpAll,COLUMN(Emp!$B$4),0)),"-",VLOOKUP($C208,EmpAll,COLUMN(Emp!$B$4),0))</f>
        <v>-</v>
      </c>
      <c r="E208" s="145" t="str">
        <f ca="1">IF(ISNA(VLOOKUP($C208,EmpAll,COLUMN(Emp!$C$4),0)),"-",VLOOKUP($C208,EmpAll,COLUMN(Emp!$C$4),0))</f>
        <v>-</v>
      </c>
      <c r="F208" s="101" t="str">
        <f ca="1">IF(ISNA(VLOOKUP($C208,EmpAll,COLUMN(Emp!$A$4),0)),"-",IF(AND(VLOOKUP($C208,EmpAll,COLUMN(Emp!$E$4),0)&lt;&gt;0,VLOOKUP($C208,EmpAll,COLUMN(Emp!$E$4),0)&gt;=DATE(YEAR($AC208),MONTH($AC208)+1,0)),"Inactive",IF(AND(VLOOKUP($C208,EmpAll,COLUMN(Emp!$F$4),0)&lt;&gt;0,VLOOKUP($C208,EmpAll,COLUMN(Emp!$F$4),0)&lt;=DATE(YEAR($AC208),MONTH($AC208),0)),"Terminated","Active")))</f>
        <v>-</v>
      </c>
      <c r="G208" s="133" cm="1">
        <f t="array" aca="1" ref="G208" ca="1">IF($F208&lt;&gt;"Active",0,IF(COUNTIFS(OverEmp,$C208,OverEarn,G$2,OverDate,"&lt;"&amp;DATE(YEAR($AC208),MONTH($AC208)+1,1),OverEnd,"&gt;="&amp;DATE(YEAR($AC208),MONTH($AC208),1))&gt;0,SUMIFS(OverValue,OverEmp,$C208,OverEarn,G$2,OverDate,"&lt;"&amp;DATE(YEAR($AC208),MONTH($AC208)+1,1),OverEnd,"&gt;="&amp;DATE(YEAR($AC208),MONTH($AC208),1)),IF(AND($AC208&gt;=Setup!$E$10,SUMIFS(EmpIncrease,EmpCode,$C208)&gt;0),SUMIFS(EmpIncrease,EmpCode,$C208),SUMIFS(EmpSalary,EmpCode,$C208))))</f>
        <v>0</v>
      </c>
      <c r="H208" s="133" cm="1">
        <f t="array" aca="1" ref="H208" ca="1">IF($F208&lt;&gt;"Active",0,IF(COUNTIFS(OverEmp,$C208,OverEarn,H$2,OverDate,"&lt;"&amp;DATE(YEAR($AC208),MONTH($AC208)+1,1),OverEnd,"&gt;="&amp;DATE(YEAR($AC208),MONTH($AC208),1))&gt;0,SUMIFS(OverValue,OverEmp,$C208,OverEarn,H$2,OverDate,"&lt;"&amp;DATE(YEAR($AC208),MONTH($AC208)+1,1),OverEnd,"&gt;="&amp;DATE(YEAR($AC208),MONTH($AC208),1)),0))</f>
        <v>0</v>
      </c>
      <c r="I208" s="133" cm="1">
        <f t="array" aca="1" ref="I208" ca="1">IF($F208&lt;&gt;"Active",0,IF(COUNTIFS(OverEmp,$C208,OverEarn,I$2,OverDate,"&lt;"&amp;DATE(YEAR($AC208),MONTH($AC208)+1,1),OverEnd,"&gt;="&amp;DATE(YEAR($AC208),MONTH($AC208),1))&gt;0,SUMIFS(OverValue,OverEmp,$C208,OverEarn,I$2,OverDate,"&lt;"&amp;DATE(YEAR($AC208),MONTH($AC208)+1,1),OverEnd,"&gt;="&amp;DATE(YEAR($AC208),MONTH($AC208),1)),IF(MONTH(B208)=Setup!$C$15,SUMIFS(EmpBonus,EmpCode,$C208),0)))</f>
        <v>0</v>
      </c>
      <c r="J208" s="133" cm="1">
        <f t="array" aca="1" ref="J208" ca="1">IF($F208&lt;&gt;"Active",0,IF(COUNTIFS(OverEmp,$C208,OverEarn,J$2,OverDate,"&lt;"&amp;DATE(YEAR($AC208),MONTH($AC208)+1,1),OverEnd,"&gt;="&amp;DATE(YEAR($AC208),MONTH($AC208),1))&gt;0,SUMIFS(OverValue,OverEmp,$C208,OverEarn,J$2,OverDate,"&lt;"&amp;DATE(YEAR($AC208),MONTH($AC208)+1,1),OverEnd,"&gt;="&amp;DATE(YEAR($AC208),MONTH($AC208),1)),0))</f>
        <v>0</v>
      </c>
      <c r="K208" s="133" cm="1">
        <f t="array" aca="1" ref="K208" ca="1">IF($F208&lt;&gt;"Active",0,IF(COUNTIFS(OverEmp,$C208,OverEarn,K$2,OverDate,"&lt;"&amp;DATE(YEAR($AC208),MONTH($AC208)+1,1),OverEnd,"&gt;="&amp;DATE(YEAR($AC208),MONTH($AC208),1))&gt;0,SUMIFS(OverValue,OverEmp,$C208,OverEarn,K$2,OverDate,"&lt;"&amp;DATE(YEAR($AC208),MONTH($AC208)+1,1),OverEnd,"&gt;="&amp;DATE(YEAR($AC208),MONTH($AC208),1)),0))</f>
        <v>0</v>
      </c>
      <c r="L208" s="185">
        <f t="shared" ref="L208:L216" ca="1" si="113">IF($AA208=0,0,SUM(OFFSET($G208,0,0,1,COLUMN($L$6)-COLUMN($G$6))))</f>
        <v>0</v>
      </c>
      <c r="M208" s="182" cm="1">
        <f t="array" aca="1" ref="M208" ca="1">IF(COUNTIFS(OverEmp,$C208,OverTax,M$5,OverDate,"&lt;"&amp;DATE(YEAR($AC208),MONTH($AC208)+1,1),OverEnd,"&gt;="&amp;DATE(YEAR($AC208),MONTH($AC208),1))&gt;0,SUMIFS(OverValue,OverEmp,$C208,OverTax,M$5,OverDate,"&lt;"&amp;DATE(YEAR($AC208),MONTH($AC208)+1,1),OverEnd,"&gt;="&amp;DATE(YEAR($AC208),MONTH($AC208),1)),(($BA208/12*$AA208)+(BB208*IF(1-$BC208=0,0,BD208/(1-$BC208))))-IF($F208="Terminated",0,SUMIFS(PayTaxDeduct,PayDate,"&lt;"&amp;$AC208,PayEmp,$C208)))</f>
        <v>0</v>
      </c>
      <c r="N208" s="133" cm="1">
        <f t="array" aca="1" ref="N208" ca="1">IF($F208="Terminated",0,IF($AA208=0,0,IF(ISNA(MATCH(N$5,DedListItem,0)),0,IF(COUNTIFS(OverEmp,$C208,OverDeduct,N$5,OverDate,"&lt;"&amp;DATE(YEAR($AC208),MONTH($AC208)+1,1),OverEnd,"&gt;="&amp;DATE(YEAR($AC208),MONTH($AC208),1))&gt;0,SUMIFS(OverValue,OverEmp,$C208,OverDeduct,N$5,OverDate,"&lt;"&amp;DATE(YEAR($AC208),MONTH($AC208)+1,1),OverEnd,"&gt;="&amp;DATE(YEAR($AC208),MONTH($AC208),1)),IF(OR(N$2="Fixed",N$2="Not Used"),(IF(COUNTIFS(EmpNo,$C208,OFFSET(Emp!$R$4,1,MATCH(N$5,DedListItem,0)-1,EmpCount,1),"&lt;&gt;")&gt;0,VLOOKUP($C208,EmpAll,COLUMN(Emp!$R$4)+MATCH(N$5,DedListItem,0)-1,0),OFFSET(Setup!$E$73,MATCH(N$5,DedListItem,0),0,1,1))*$AA208)-SUMIFS(OFFSET(N$6,1,0,PayCount,1),PayDate,"&lt;"&amp;$AC208,PayEmp,$C208),IF(ISNA(MATCH(N$2,EarnListItem,0))=FALSE,IF(OFFSET(Setup!$G$73,MATCH(N$5,DedListItem,0),0,1,1)="Taxable",SUMPRODUCT((PayEmp=$C208)*(PayDate&lt;=$AC208)*(PayEarnCode=N$2)*(PayEarnTax)*(PayEarnValues)),SUMPRODUCT((PayEmp=$C208)*(PayDate&lt;=$AC208)*(PayEarnCode=N$2)*(PayEarnValues)))*IF(COUNTIFS(EmpNo,$C208,OFFSET(Emp!$R$4,1,MATCH(N$5,DedListItem,0)-1,EmpCount,1),"&lt;&gt;")&gt;0,VLOOKUP($C208,EmpAll,COLUMN(Emp!$R$4)+MATCH(N$5,DedListItem,0)-1,0),OFFSET(Setup!$E$73,MATCH(N$5,DedListItem,0),0,1,1)),(MIN(IF(OFFSET(Setup!$G$73,MATCH(N$5,DedListItem,0),0,1,1)="Taxable",SUMPRODUCT((PayEmp=$C208)*(PayDate&lt;=$AC208)*(ISERROR(SEARCH(PayEarnCode,N$4)))*(PayEarnTax)*(PayEarnValues)),SUMPRODUCT((PayEmp=$C208)*(PayDate&lt;=$AC208)*(ISERROR(SEARCH(PayEarnCode,N$4)))*(PayEarnValues))),IF(ISNUMBER(N$3),N$3/12*$AA208,IgnoreMin)))*IF(COUNTIFS(EmpNo,$C208,OFFSET(Emp!$R$4,1,MATCH(N$5,DedListItem,0)-1,EmpCount,1),"&lt;&gt;")&gt;0,VLOOKUP($C208,EmpAll,COLUMN(Emp!$R$4)+MATCH(N$5,DedListItem,0)-1,0),OFFSET(Setup!$E$73,MATCH(N$5,DedListItem,0),0,1,1)))-SUMIFS(OFFSET(N$6,1,0,PayCount,1),PayDate,"&lt;"&amp;$AC208,PayEmp,$C208))))))</f>
        <v>0</v>
      </c>
      <c r="O208" s="133" cm="1">
        <f t="array" aca="1" ref="O208" ca="1">IF($F208="Terminated",0,IF($AA208=0,0,IF(ISNA(MATCH(O$5,DedListItem,0)),0,IF(COUNTIFS(OverEmp,$C208,OverDeduct,O$5,OverDate,"&lt;"&amp;DATE(YEAR($AC208),MONTH($AC208)+1,1),OverEnd,"&gt;="&amp;DATE(YEAR($AC208),MONTH($AC208),1))&gt;0,SUMIFS(OverValue,OverEmp,$C208,OverDeduct,O$5,OverDate,"&lt;"&amp;DATE(YEAR($AC208),MONTH($AC208)+1,1),OverEnd,"&gt;="&amp;DATE(YEAR($AC208),MONTH($AC208),1)),IF(OR(O$2="Fixed",O$2="Not Used"),(IF(COUNTIFS(EmpNo,$C208,OFFSET(Emp!$R$4,1,MATCH(O$5,DedListItem,0)-1,EmpCount,1),"&lt;&gt;")&gt;0,VLOOKUP($C208,EmpAll,COLUMN(Emp!$R$4)+MATCH(O$5,DedListItem,0)-1,0),OFFSET(Setup!$E$73,MATCH(O$5,DedListItem,0),0,1,1))*$AA208)-SUMIFS(OFFSET(O$6,1,0,PayCount,1),PayDate,"&lt;"&amp;$AC208,PayEmp,$C208),IF(ISNA(MATCH(O$2,EarnListItem,0))=FALSE,IF(OFFSET(Setup!$G$73,MATCH(O$5,DedListItem,0),0,1,1)="Taxable",SUMPRODUCT((PayEmp=$C208)*(PayDate&lt;=$AC208)*(PayEarnCode=O$2)*(PayEarnTax)*(PayEarnValues)),SUMPRODUCT((PayEmp=$C208)*(PayDate&lt;=$AC208)*(PayEarnCode=O$2)*(PayEarnValues)))*IF(COUNTIFS(EmpNo,$C208,OFFSET(Emp!$R$4,1,MATCH(O$5,DedListItem,0)-1,EmpCount,1),"&lt;&gt;")&gt;0,VLOOKUP($C208,EmpAll,COLUMN(Emp!$R$4)+MATCH(O$5,DedListItem,0)-1,0),OFFSET(Setup!$E$73,MATCH(O$5,DedListItem,0),0,1,1)),(MIN(IF(OFFSET(Setup!$G$73,MATCH(O$5,DedListItem,0),0,1,1)="Taxable",SUMPRODUCT((PayEmp=$C208)*(PayDate&lt;=$AC208)*(ISERROR(SEARCH(PayEarnCode,O$4)))*(PayEarnTax)*(PayEarnValues)),SUMPRODUCT((PayEmp=$C208)*(PayDate&lt;=$AC208)*(ISERROR(SEARCH(PayEarnCode,O$4)))*(PayEarnValues))),IF(ISNUMBER(O$3),O$3/12*$AA208,IgnoreMin)))*IF(COUNTIFS(EmpNo,$C208,OFFSET(Emp!$R$4,1,MATCH(O$5,DedListItem,0)-1,EmpCount,1),"&lt;&gt;")&gt;0,VLOOKUP($C208,EmpAll,COLUMN(Emp!$R$4)+MATCH(O$5,DedListItem,0)-1,0),OFFSET(Setup!$E$73,MATCH(O$5,DedListItem,0),0,1,1)))-SUMIFS(OFFSET(O$6,1,0,PayCount,1),PayDate,"&lt;"&amp;$AC208,PayEmp,$C208))))))</f>
        <v>0</v>
      </c>
      <c r="P208" s="133" cm="1">
        <f t="array" aca="1" ref="P208" ca="1">IF($F208="Terminated",0,IF($AA208=0,0,IF(ISNA(MATCH(P$5,DedListItem,0)),0,IF(COUNTIFS(OverEmp,$C208,OverDeduct,P$5,OverDate,"&lt;"&amp;DATE(YEAR($AC208),MONTH($AC208)+1,1),OverEnd,"&gt;="&amp;DATE(YEAR($AC208),MONTH($AC208),1))&gt;0,SUMIFS(OverValue,OverEmp,$C208,OverDeduct,P$5,OverDate,"&lt;"&amp;DATE(YEAR($AC208),MONTH($AC208)+1,1),OverEnd,"&gt;="&amp;DATE(YEAR($AC208),MONTH($AC208),1)),IF(OR(P$2="Fixed",P$2="Not Used"),(IF(COUNTIFS(EmpNo,$C208,OFFSET(Emp!$R$4,1,MATCH(P$5,DedListItem,0)-1,EmpCount,1),"&lt;&gt;")&gt;0,VLOOKUP($C208,EmpAll,COLUMN(Emp!$R$4)+MATCH(P$5,DedListItem,0)-1,0),OFFSET(Setup!$E$73,MATCH(P$5,DedListItem,0),0,1,1))*$AA208)-SUMIFS(OFFSET(P$6,1,0,PayCount,1),PayDate,"&lt;"&amp;$AC208,PayEmp,$C208),IF(ISNA(MATCH(P$2,EarnListItem,0))=FALSE,IF(OFFSET(Setup!$G$73,MATCH(P$5,DedListItem,0),0,1,1)="Taxable",SUMPRODUCT((PayEmp=$C208)*(PayDate&lt;=$AC208)*(PayEarnCode=P$2)*(PayEarnTax)*(PayEarnValues)),SUMPRODUCT((PayEmp=$C208)*(PayDate&lt;=$AC208)*(PayEarnCode=P$2)*(PayEarnValues)))*IF(COUNTIFS(EmpNo,$C208,OFFSET(Emp!$R$4,1,MATCH(P$5,DedListItem,0)-1,EmpCount,1),"&lt;&gt;")&gt;0,VLOOKUP($C208,EmpAll,COLUMN(Emp!$R$4)+MATCH(P$5,DedListItem,0)-1,0),OFFSET(Setup!$E$73,MATCH(P$5,DedListItem,0),0,1,1)),(MIN(IF(OFFSET(Setup!$G$73,MATCH(P$5,DedListItem,0),0,1,1)="Taxable",SUMPRODUCT((PayEmp=$C208)*(PayDate&lt;=$AC208)*(ISERROR(SEARCH(PayEarnCode,P$4)))*(PayEarnTax)*(PayEarnValues)),SUMPRODUCT((PayEmp=$C208)*(PayDate&lt;=$AC208)*(ISERROR(SEARCH(PayEarnCode,P$4)))*(PayEarnValues))),IF(ISNUMBER(P$3),P$3/12*$AA208,IgnoreMin)))*IF(COUNTIFS(EmpNo,$C208,OFFSET(Emp!$R$4,1,MATCH(P$5,DedListItem,0)-1,EmpCount,1),"&lt;&gt;")&gt;0,VLOOKUP($C208,EmpAll,COLUMN(Emp!$R$4)+MATCH(P$5,DedListItem,0)-1,0),OFFSET(Setup!$E$73,MATCH(P$5,DedListItem,0),0,1,1)))-SUMIFS(OFFSET(P$6,1,0,PayCount,1),PayDate,"&lt;"&amp;$AC208,PayEmp,$C208))))))</f>
        <v>0</v>
      </c>
      <c r="Q208" s="133" cm="1">
        <f t="array" aca="1" ref="Q208" ca="1">IF($F208="Terminated",0,IF($AA208=0,0,IF(ISNA(MATCH(Q$5,DedListItem,0)),0,IF(COUNTIFS(OverEmp,$C208,OverDeduct,Q$5,OverDate,"&lt;"&amp;DATE(YEAR($AC208),MONTH($AC208)+1,1),OverEnd,"&gt;="&amp;DATE(YEAR($AC208),MONTH($AC208),1))&gt;0,SUMIFS(OverValue,OverEmp,$C208,OverDeduct,Q$5,OverDate,"&lt;"&amp;DATE(YEAR($AC208),MONTH($AC208)+1,1),OverEnd,"&gt;="&amp;DATE(YEAR($AC208),MONTH($AC208),1)),IF(OR(Q$2="Fixed",Q$2="Not Used"),(IF(COUNTIFS(EmpNo,$C208,OFFSET(Emp!$R$4,1,MATCH(Q$5,DedListItem,0)-1,EmpCount,1),"&lt;&gt;")&gt;0,VLOOKUP($C208,EmpAll,COLUMN(Emp!$R$4)+MATCH(Q$5,DedListItem,0)-1,0),OFFSET(Setup!$E$73,MATCH(Q$5,DedListItem,0),0,1,1))*$AA208)-SUMIFS(OFFSET(Q$6,1,0,PayCount,1),PayDate,"&lt;"&amp;$AC208,PayEmp,$C208),IF(ISNA(MATCH(Q$2,EarnListItem,0))=FALSE,IF(OFFSET(Setup!$G$73,MATCH(Q$5,DedListItem,0),0,1,1)="Taxable",SUMPRODUCT((PayEmp=$C208)*(PayDate&lt;=$AC208)*(PayEarnCode=Q$2)*(PayEarnTax)*(PayEarnValues)),SUMPRODUCT((PayEmp=$C208)*(PayDate&lt;=$AC208)*(PayEarnCode=Q$2)*(PayEarnValues)))*IF(COUNTIFS(EmpNo,$C208,OFFSET(Emp!$R$4,1,MATCH(Q$5,DedListItem,0)-1,EmpCount,1),"&lt;&gt;")&gt;0,VLOOKUP($C208,EmpAll,COLUMN(Emp!$R$4)+MATCH(Q$5,DedListItem,0)-1,0),OFFSET(Setup!$E$73,MATCH(Q$5,DedListItem,0),0,1,1)),(MIN(IF(OFFSET(Setup!$G$73,MATCH(Q$5,DedListItem,0),0,1,1)="Taxable",SUMPRODUCT((PayEmp=$C208)*(PayDate&lt;=$AC208)*(ISERROR(SEARCH(PayEarnCode,Q$4)))*(PayEarnTax)*(PayEarnValues)),SUMPRODUCT((PayEmp=$C208)*(PayDate&lt;=$AC208)*(ISERROR(SEARCH(PayEarnCode,Q$4)))*(PayEarnValues))),IF(ISNUMBER(Q$3),Q$3/12*$AA208,IgnoreMin)))*IF(COUNTIFS(EmpNo,$C208,OFFSET(Emp!$R$4,1,MATCH(Q$5,DedListItem,0)-1,EmpCount,1),"&lt;&gt;")&gt;0,VLOOKUP($C208,EmpAll,COLUMN(Emp!$R$4)+MATCH(Q$5,DedListItem,0)-1,0),OFFSET(Setup!$E$73,MATCH(Q$5,DedListItem,0),0,1,1)))-SUMIFS(OFFSET(Q$6,1,0,PayCount,1),PayDate,"&lt;"&amp;$AC208,PayEmp,$C208))))))</f>
        <v>0</v>
      </c>
      <c r="R208" s="185">
        <f t="shared" ref="R208:R216" ca="1" si="114">SUM(OFFSET(M208,0,0,1,COLUMN($R$6)-COLUMN($M$6)))</f>
        <v>0</v>
      </c>
      <c r="S208" s="139">
        <f t="shared" ref="S208:S216" ca="1" si="115">ROUND(SUM(L208,-R208),2)</f>
        <v>0</v>
      </c>
      <c r="T208" s="133" cm="1">
        <f t="array" aca="1" ref="T208" ca="1">IF($F208="Terminated",0,IF($AA208=0,0,IF(ISNA(MATCH(T$5,CompListItem,0)),0,IF(COUNTIFS(OverEmp,$C208,OverComp,T$5,OverDate,"&lt;"&amp;DATE(YEAR($AC208),MONTH($AC208)+1,1),OverEnd,"&gt;="&amp;DATE(YEAR($AC208),MONTH($AC208),1))&gt;0,SUMIFS(OverValue,OverEmp,$C208,OverComp,T$5,OverDate,"&lt;"&amp;DATE(YEAR($AC208),MONTH($AC208)+1,1),OverEnd,"&gt;="&amp;DATE(YEAR($AC208),MONTH($AC208),1)),IF(OR(T$2="Fixed",T$2="Not Used"),(OFFSET(Setup!$E$81,MATCH(T$5,CompListItem,0),0,1,1)*$AA208)-SUMIFS(OFFSET(T$6,1,0,PayCount,1),PayDate,"&lt;"&amp;$AC208,PayEmp,$C208),IF(ISNA(MATCH(T$2,DedListItem,0))=FALSE,(SUMPRODUCT((PayEmp=$C208)*(PayDate&lt;=$AC208)*(PayDedList=T$2)*(PayDedValues))*OFFSET(Setup!$E$81,MATCH(T$5,CompListItem,0),0,1,1))-SUMIFS(OFFSET(T$6,1,0,PayCount,1),PayDate,"&lt;"&amp;$AC208,PayEmp,$C208),(MIN(IF(OFFSET(Setup!$G$81,MATCH(T$5,CompListItem,0),0,1,1)="Taxable",SUMPRODUCT((PayEmp=$C208)*(PayDate&lt;=$AC208)*(ISERROR(SEARCH(PayEarnCode,T$4)))*(PayEarnTax)*(PayEarnValues)),SUMPRODUCT((PayEmp=$C208)*(PayDate&lt;=$AC208)*(ISERROR(SEARCH(PayEarnCode,T$4)))*(PayEarnValues))),IF(ISNUMBER(T$3),T$3/12*$AA208,IgnoreMin)))*OFFSET(Setup!$E$81,MATCH(T$5,CompListItem,0),0,1,1)-SUMIFS(OFFSET(T$6,1,0,PayCount,1),PayDate,"&lt;"&amp;$AC208,PayEmp,$C208)))))))</f>
        <v>0</v>
      </c>
      <c r="U208" s="133" cm="1">
        <f t="array" aca="1" ref="U208" ca="1">IF($F208="Terminated",0,IF($AA208=0,0,IF(ISNA(MATCH(U$5,CompListItem,0)),0,IF(COUNTIFS(OverEmp,$C208,OverComp,U$5,OverDate,"&lt;"&amp;DATE(YEAR($AC208),MONTH($AC208)+1,1),OverEnd,"&gt;="&amp;DATE(YEAR($AC208),MONTH($AC208),1))&gt;0,SUMIFS(OverValue,OverEmp,$C208,OverComp,U$5,OverDate,"&lt;"&amp;DATE(YEAR($AC208),MONTH($AC208)+1,1),OverEnd,"&gt;="&amp;DATE(YEAR($AC208),MONTH($AC208),1)),IF(OR(U$2="Fixed",U$2="Not Used"),(OFFSET(Setup!$E$81,MATCH(U$5,CompListItem,0),0,1,1)*$AA208)-SUMIFS(OFFSET(U$6,1,0,PayCount,1),PayDate,"&lt;"&amp;$AC208,PayEmp,$C208),IF(ISNA(MATCH(U$2,DedListItem,0))=FALSE,(SUMPRODUCT((PayEmp=$C208)*(PayDate&lt;=$AC208)*(PayDedList=U$2)*(PayDedValues))*OFFSET(Setup!$E$81,MATCH(U$5,CompListItem,0),0,1,1))-SUMIFS(OFFSET(U$6,1,0,PayCount,1),PayDate,"&lt;"&amp;$AC208,PayEmp,$C208),(MIN(IF(OFFSET(Setup!$G$81,MATCH(U$5,CompListItem,0),0,1,1)="Taxable",SUMPRODUCT((PayEmp=$C208)*(PayDate&lt;=$AC208)*(ISERROR(SEARCH(PayEarnCode,U$4)))*(PayEarnTax)*(PayEarnValues)),SUMPRODUCT((PayEmp=$C208)*(PayDate&lt;=$AC208)*(ISERROR(SEARCH(PayEarnCode,U$4)))*(PayEarnValues))),IF(ISNUMBER(U$3),U$3/12*$AA208,IgnoreMin)))*OFFSET(Setup!$E$81,MATCH(U$5,CompListItem,0),0,1,1)-SUMIFS(OFFSET(U$6,1,0,PayCount,1),PayDate,"&lt;"&amp;$AC208,PayEmp,$C208)))))))</f>
        <v>0</v>
      </c>
      <c r="V208" s="133" cm="1">
        <f t="array" aca="1" ref="V208" ca="1">IF($F208="Terminated",0,IF($AA208=0,0,IF(ISNA(MATCH(V$5,CompListItem,0)),0,IF(COUNTIFS(OverEmp,$C208,OverComp,V$5,OverDate,"&lt;"&amp;DATE(YEAR($AC208),MONTH($AC208)+1,1),OverEnd,"&gt;="&amp;DATE(YEAR($AC208),MONTH($AC208),1))&gt;0,SUMIFS(OverValue,OverEmp,$C208,OverComp,V$5,OverDate,"&lt;"&amp;DATE(YEAR($AC208),MONTH($AC208)+1,1),OverEnd,"&gt;="&amp;DATE(YEAR($AC208),MONTH($AC208),1)),IF(OR(V$2="Fixed",V$2="Not Used"),(OFFSET(Setup!$E$81,MATCH(V$5,CompListItem,0),0,1,1)*$AA208)-SUMIFS(OFFSET(V$6,1,0,PayCount,1),PayDate,"&lt;"&amp;$AC208,PayEmp,$C208),IF(ISNA(MATCH(V$2,DedListItem,0))=FALSE,(SUMPRODUCT((PayEmp=$C208)*(PayDate&lt;=$AC208)*(PayDedList=V$2)*(PayDedValues))*OFFSET(Setup!$E$81,MATCH(V$5,CompListItem,0),0,1,1))-SUMIFS(OFFSET(V$6,1,0,PayCount,1),PayDate,"&lt;"&amp;$AC208,PayEmp,$C208),(MIN(IF(OFFSET(Setup!$G$81,MATCH(V$5,CompListItem,0),0,1,1)="Taxable",SUMPRODUCT((PayEmp=$C208)*(PayDate&lt;=$AC208)*(ISERROR(SEARCH(PayEarnCode,V$4)))*(PayEarnTax)*(PayEarnValues)),SUMPRODUCT((PayEmp=$C208)*(PayDate&lt;=$AC208)*(ISERROR(SEARCH(PayEarnCode,V$4)))*(PayEarnValues))),IF(ISNUMBER(V$3),V$3/12*$AA208,IgnoreMin)))*OFFSET(Setup!$E$81,MATCH(V$5,CompListItem,0),0,1,1)-SUMIFS(OFFSET(V$6,1,0,PayCount,1),PayDate,"&lt;"&amp;$AC208,PayEmp,$C208)))))))</f>
        <v>0</v>
      </c>
      <c r="W208" s="133" cm="1">
        <f t="array" aca="1" ref="W208" ca="1">IF($F208="Terminated",0,IF($AA208=0,0,IF(ISNA(MATCH(W$5,CompListItem,0)),0,IF(COUNTIFS(OverEmp,$C208,OverComp,W$5,OverDate,"&lt;"&amp;DATE(YEAR($AC208),MONTH($AC208)+1,1),OverEnd,"&gt;="&amp;DATE(YEAR($AC208),MONTH($AC208),1))&gt;0,SUMIFS(OverValue,OverEmp,$C208,OverComp,W$5,OverDate,"&lt;"&amp;DATE(YEAR($AC208),MONTH($AC208)+1,1),OverEnd,"&gt;="&amp;DATE(YEAR($AC208),MONTH($AC208),1)),IF(OR(W$2="Fixed",W$2="Not Used"),(OFFSET(Setup!$E$81,MATCH(W$5,CompListItem,0),0,1,1)*$AA208)-SUMIFS(OFFSET(W$6,1,0,PayCount,1),PayDate,"&lt;"&amp;$AC208,PayEmp,$C208),IF(ISNA(MATCH(W$2,DedListItem,0))=FALSE,(SUMPRODUCT((PayEmp=$C208)*(PayDate&lt;=$AC208)*(PayDedList=W$2)*(PayDedValues))*OFFSET(Setup!$E$81,MATCH(W$5,CompListItem,0),0,1,1))-SUMIFS(OFFSET(W$6,1,0,PayCount,1),PayDate,"&lt;"&amp;$AC208,PayEmp,$C208),(MIN(IF(OFFSET(Setup!$G$81,MATCH(W$5,CompListItem,0),0,1,1)="Taxable",SUMPRODUCT((PayEmp=$C208)*(PayDate&lt;=$AC208)*(ISERROR(SEARCH(PayEarnCode,W$4)))*(PayEarnTax)*(PayEarnValues)),SUMPRODUCT((PayEmp=$C208)*(PayDate&lt;=$AC208)*(ISERROR(SEARCH(PayEarnCode,W$4)))*(PayEarnValues))),IF(ISNUMBER(W$3),W$3/12*$AA208,IgnoreMin)))*OFFSET(Setup!$E$81,MATCH(W$5,CompListItem,0),0,1,1)-SUMIFS(OFFSET(W$6,1,0,PayCount,1),PayDate,"&lt;"&amp;$AC208,PayEmp,$C208)))))))</f>
        <v>0</v>
      </c>
      <c r="X208" s="185">
        <f t="shared" ref="X208:X216" ca="1" si="116">SUM(OFFSET($T208,0,0,1,COLUMN($X$6)-COLUMN($T$7)))</f>
        <v>0</v>
      </c>
      <c r="Y208" s="139">
        <f t="shared" ref="Y208:Y216" ca="1" si="117">L208+X208</f>
        <v>0</v>
      </c>
      <c r="Z208" s="139">
        <f t="shared" ref="Z208:Z216" ca="1" si="118">ROUND(SUM(R208,X208),2)</f>
        <v>0</v>
      </c>
      <c r="AA208" s="146">
        <f ca="1">IF(OR($B208&lt;=Setup!$E$12,$B208&gt;=Setup!$D$12+1),0,IF($F208&lt;&gt;"Active",0,IF($AE208="Yes",$AB208,((YEAR($AC208)*12)+MONTH($AC208))-((YEAR($AD208)*12)+MONTH($AD208)-1))))</f>
        <v>0</v>
      </c>
      <c r="AB208" s="146">
        <f ca="1">IF(OR($B208&lt;=Setup!$E$12,$B208&gt;=Setup!$D$12+1),0,((YEAR($AC208)*12)+MONTH($AC208))-((YEAR(Setup!$E$12)*12)+MONTH(Setup!$E$12)))</f>
        <v>12</v>
      </c>
      <c r="AC208" s="186">
        <f t="shared" ref="AC208:AC216" ca="1" si="119">DATE(YEAR($B208),MONTH($B208),DAY($B208))</f>
        <v>45351</v>
      </c>
      <c r="AD208" s="144">
        <f ca="1">IF(ISNA(VLOOKUP($C208,EmpAll,COLUMN(Emp!$E$4),0)),$AC208,IF(VLOOKUP($C208,EmpAll,COLUMN(Emp!$E$4),0)&lt;=Setup!$E$12,DATE(YEAR(Setup!$E$12),MONTH(Setup!$E$12)+1,1),VLOOKUP($C208,EmpAll,COLUMN(Emp!$E$4),0)))</f>
        <v>45351</v>
      </c>
      <c r="AE208" s="144" t="str">
        <f ca="1">IF(ISNA(VLOOKUP($C208,EmpAll,COLUMN(Emp!$G$1),0)),"-",IF(VLOOKUP($C208,EmpAll,COLUMN(Emp!$G$1),0)=0,"-",VLOOKUP($C208,EmpAll,COLUMN(Emp!$G$1),0)))</f>
        <v>-</v>
      </c>
      <c r="AF208" s="145">
        <f>IF(A208=PaySlip!$G$3,1,0)</f>
        <v>0</v>
      </c>
      <c r="AG208" s="130" cm="1">
        <f t="array" aca="1" ref="AG208" ca="1">IF(COUNTIFS(OverEmp,$C208,OverMed,"MED",OverDate,"&lt;"&amp;DATE(YEAR($AC208),MONTH($AC208)+1,1),OverEnd,"&gt;="&amp;DATE(YEAR($AC208),MONTH($AC208),1))&gt;0,SUMIFS(OverValue,OverEmp,$C208,OverMed,"MED",OverDate,"&lt;"&amp;DATE(YEAR($AC208),MONTH($AC208)+1,1),OverEnd,"&gt;="&amp;DATE(YEAR($AC208),MONTH($AC208),1)),IF(ISNA(VLOOKUP($C208,EmpAll,COLUMN(Emp!$N$4),0)),0,VLOOKUP($C208,EmpAll,COLUMN(Emp!$N$4),0)))</f>
        <v>0</v>
      </c>
      <c r="AH208" s="146">
        <f ca="1">VLOOKUP($AG208,MedList,COLUMN(Setup!$C$49),1)</f>
        <v>0</v>
      </c>
      <c r="AI208" s="146">
        <f t="shared" ca="1" si="107"/>
        <v>0</v>
      </c>
      <c r="AJ208" s="101" t="str">
        <f ca="1">IF(ISNA(VLOOKUP($C208,EmpAll,COLUMN(Emp!$L$4),0)),"None!",VLOOKUP($C208,EmpAll,COLUMN(Emp!$L$4),0))</f>
        <v>None!</v>
      </c>
      <c r="AK208" s="147">
        <f t="shared" ca="1" si="102"/>
        <v>17235</v>
      </c>
      <c r="AL208" s="101" t="str">
        <f ca="1">IF(ISNA(VLOOKUP($C208,Employees[],COLUMN(Emp!$M$4),0))=TRUE,"Error!",IF(VLOOKUP($C208,Employees[],COLUMN(Emp!$M$4),0)=0,"Yes",VLOOKUP($C208,Employees[],COLUMN(Emp!$M$4),0)))</f>
        <v>Error!</v>
      </c>
      <c r="AM208" s="148">
        <f t="shared" ca="1" si="108"/>
        <v>0</v>
      </c>
      <c r="AN208" s="148" cm="1">
        <f t="array" aca="1" ref="AN208" ca="1">-IF($F208="Terminated",0,IF($AA208=0,0,IF(ISNA(MATCH(AN$5,PayDedList,0)),0,MIN(IF(COUNTIFS(OverEmp,$C208,OverDeduct,AN$5,OverDate,"&lt;"&amp;DATE(YEAR($AC208),MONTH($AC208)+1,1),OverEnd,"&gt;="&amp;DATE(YEAR($AC208),MONTH($AC208),1))&gt;0,SUMPRODUCT((PayEmp=$C208)*(PayDate&lt;=$AC208)*(OFFSET($N$6,1,MATCH(AN$5,PayDedList,0)-1,PayCount,1)))/$AA208*12*AN$3,IF(OR(AN$1="Fixed",AN$1="Not Used"),SUMPRODUCT((PayEmp=$C208)*(PayDate&lt;=$AC208)*(OFFSET($N$6,1,MATCH(AN$5,PayDedList,0)-1,PayCount,1)))/$AA208*12*AN$3,IF(ISNA(MATCH(AN$1,EarnListItem,0))=FALSE,SUMPRODUCT((PayEmp=$C208)*(PayDate&lt;=$AC208)*(OFFSET($N$6,1,MATCH(AN$5,PayDedList,0)-1,PayCount,1)))/$AA208*12*AN$3,(MIN(((SUMPRODUCT((PayEmp=$C208)*(PayDate&lt;=$AC208)*(ISERROR(SEARCH(PayEarnCode,AN$2)))*(PayEarnType="Monthly")*(PayEarnValues))/$AA208*12)+(SUMPRODUCT((PayEmp=$C208)*(PayDate&lt;=$AC208)*(ISERROR(SEARCH(PayEarnCode,AN$2)))*(PayEarnType="Quarterly")*(PayEarnValues))/MAX(1,ROUNDDOWN($AB208/3,0))*4)+(SUMPRODUCT((PayEmp=$C208)*(PayDate&lt;=$AC208)*(ISERROR(SEARCH(PayEarnCode,AN$2)))*(PayEarnType="Bi-Annual")*(PayEarnValues))/MAX(1,ROUNDDOWN($AB208/6,0))*2)+(SUMPRODUCT((PayEmp=$C208)*(PayDate&lt;=$AC208)*(ISERROR(SEARCH(PayEarnCode,AN$2)))*(PayEarnType="Annual")*(PayEarnValues)))),IF(ISNUMBER(OFFSET($N$3,0,MATCH(AN$5,PayDedList,0)-1,1,1)),OFFSET($N$3,0,MATCH(AN$5,PayDedList,0)-1,1,1),IgnoreMin)))*IF(COUNTIFS(EmpNo,$C208,OFFSET(Emp!$R$4,1,MATCH(AN$5,DedListItem,0)-1,EmpCount,1),"&lt;&gt;")&gt;0,VLOOKUP($C208,EmpAll,COLUMN(Emp!$R$4)+MATCH(AN$5,DedListItem,0)-1,0),OFFSET(Setup!$E$73,MATCH(AN$5,DedListItem,0),0,1,1))*AN$3))),IF(ISNUMBER(AN$4),AN$4,IgnoreMin)))))</f>
        <v>0</v>
      </c>
      <c r="AO208" s="148" cm="1">
        <f t="array" aca="1" ref="AO208" ca="1">-IF($F208="Terminated",0,IF($AA208=0,0,IF(ISNA(MATCH(AO$5,PayDedList,0)),0,MIN(IF(COUNTIFS(OverEmp,$C208,OverDeduct,AO$5,OverDate,"&lt;"&amp;DATE(YEAR($AC208),MONTH($AC208)+1,1),OverEnd,"&gt;="&amp;DATE(YEAR($AC208),MONTH($AC208),1))&gt;0,SUMPRODUCT((PayEmp=$C208)*(PayDate&lt;=$AC208)*(OFFSET($N$6,1,MATCH(AO$5,PayDedList,0)-1,PayCount,1)))/$AA208*12*AO$3,IF(OR(AO$1="Fixed",AO$1="Not Used"),SUMPRODUCT((PayEmp=$C208)*(PayDate&lt;=$AC208)*(OFFSET($N$6,1,MATCH(AO$5,PayDedList,0)-1,PayCount,1)))/$AA208*12*AO$3,IF(ISNA(MATCH(AO$1,EarnListItem,0))=FALSE,SUMPRODUCT((PayEmp=$C208)*(PayDate&lt;=$AC208)*(OFFSET($N$6,1,MATCH(AO$5,PayDedList,0)-1,PayCount,1)))/$AA208*12*AO$3,(MIN(((SUMPRODUCT((PayEmp=$C208)*(PayDate&lt;=$AC208)*(ISERROR(SEARCH(PayEarnCode,AO$2)))*(PayEarnType="Monthly")*(PayEarnValues))/$AA208*12)+(SUMPRODUCT((PayEmp=$C208)*(PayDate&lt;=$AC208)*(ISERROR(SEARCH(PayEarnCode,AO$2)))*(PayEarnType="Quarterly")*(PayEarnValues))/MAX(1,ROUNDDOWN($AB208/3,0))*4)+(SUMPRODUCT((PayEmp=$C208)*(PayDate&lt;=$AC208)*(ISERROR(SEARCH(PayEarnCode,AO$2)))*(PayEarnType="Bi-Annual")*(PayEarnValues))/MAX(1,ROUNDDOWN($AB208/6,0))*2)+(SUMPRODUCT((PayEmp=$C208)*(PayDate&lt;=$AC208)*(ISERROR(SEARCH(PayEarnCode,AO$2)))*(PayEarnType="Annual")*(PayEarnValues)))),IF(ISNUMBER(OFFSET($N$3,0,MATCH(AO$5,PayDedList,0)-1,1,1)),OFFSET($N$3,0,MATCH(AO$5,PayDedList,0)-1,1,1),IgnoreMin)))*IF(COUNTIFS(EmpNo,$C208,OFFSET(Emp!$R$4,1,MATCH(AO$5,DedListItem,0)-1,EmpCount,1),"&lt;&gt;")&gt;0,VLOOKUP($C208,EmpAll,COLUMN(Emp!$R$4)+MATCH(AO$5,DedListItem,0)-1,0),OFFSET(Setup!$E$73,MATCH(AO$5,DedListItem,0),0,1,1))*AO$3))),IF(ISNUMBER(AO$4),AO$4,IgnoreMin)))))</f>
        <v>0</v>
      </c>
      <c r="AP208" s="148" cm="1">
        <f t="array" aca="1" ref="AP208" ca="1">-IF($F208="Terminated",0,IF($AA208=0,0,IF(ISNA(MATCH(AP$5,PayDedList,0)),0,MIN(IF(COUNTIFS(OverEmp,$C208,OverDeduct,AP$5,OverDate,"&lt;"&amp;DATE(YEAR($AC208),MONTH($AC208)+1,1),OverEnd,"&gt;="&amp;DATE(YEAR($AC208),MONTH($AC208),1))&gt;0,SUMPRODUCT((PayEmp=$C208)*(PayDate&lt;=$AC208)*(OFFSET($N$6,1,MATCH(AP$5,PayDedList,0)-1,PayCount,1)))/$AA208*12*AP$3,IF(OR(AP$1="Fixed",AP$1="Not Used"),SUMPRODUCT((PayEmp=$C208)*(PayDate&lt;=$AC208)*(OFFSET($N$6,1,MATCH(AP$5,PayDedList,0)-1,PayCount,1)))/$AA208*12*AP$3,IF(ISNA(MATCH(AP$1,EarnListItem,0))=FALSE,SUMPRODUCT((PayEmp=$C208)*(PayDate&lt;=$AC208)*(OFFSET($N$6,1,MATCH(AP$5,PayDedList,0)-1,PayCount,1)))/$AA208*12*AP$3,(MIN(((SUMPRODUCT((PayEmp=$C208)*(PayDate&lt;=$AC208)*(ISERROR(SEARCH(PayEarnCode,AP$2)))*(PayEarnType="Monthly")*(PayEarnValues))/$AA208*12)+(SUMPRODUCT((PayEmp=$C208)*(PayDate&lt;=$AC208)*(ISERROR(SEARCH(PayEarnCode,AP$2)))*(PayEarnType="Quarterly")*(PayEarnValues))/MAX(1,ROUNDDOWN($AB208/3,0))*4)+(SUMPRODUCT((PayEmp=$C208)*(PayDate&lt;=$AC208)*(ISERROR(SEARCH(PayEarnCode,AP$2)))*(PayEarnType="Bi-Annual")*(PayEarnValues))/MAX(1,ROUNDDOWN($AB208/6,0))*2)+(SUMPRODUCT((PayEmp=$C208)*(PayDate&lt;=$AC208)*(ISERROR(SEARCH(PayEarnCode,AP$2)))*(PayEarnType="Annual")*(PayEarnValues)))),IF(ISNUMBER(OFFSET($N$3,0,MATCH(AP$5,PayDedList,0)-1,1,1)),OFFSET($N$3,0,MATCH(AP$5,PayDedList,0)-1,1,1),IgnoreMin)))*IF(COUNTIFS(EmpNo,$C208,OFFSET(Emp!$R$4,1,MATCH(AP$5,DedListItem,0)-1,EmpCount,1),"&lt;&gt;")&gt;0,VLOOKUP($C208,EmpAll,COLUMN(Emp!$R$4)+MATCH(AP$5,DedListItem,0)-1,0),OFFSET(Setup!$E$73,MATCH(AP$5,DedListItem,0),0,1,1))*AP$3))),IF(ISNUMBER(AP$4),AP$4,IgnoreMin)))))</f>
        <v>0</v>
      </c>
      <c r="AQ208" s="148" cm="1">
        <f t="array" aca="1" ref="AQ208" ca="1">-IF($F208="Terminated",0,IF($AA208=0,0,IF(ISNA(MATCH(AQ$5,PayDedList,0)),0,MIN(IF(COUNTIFS(OverEmp,$C208,OverDeduct,AQ$5,OverDate,"&lt;"&amp;DATE(YEAR($AC208),MONTH($AC208)+1,1),OverEnd,"&gt;="&amp;DATE(YEAR($AC208),MONTH($AC208),1))&gt;0,SUMPRODUCT((PayEmp=$C208)*(PayDate&lt;=$AC208)*(OFFSET($N$6,1,MATCH(AQ$5,PayDedList,0)-1,PayCount,1)))/$AA208*12*AQ$3,IF(OR(AQ$1="Fixed",AQ$1="Not Used"),SUMPRODUCT((PayEmp=$C208)*(PayDate&lt;=$AC208)*(OFFSET($N$6,1,MATCH(AQ$5,PayDedList,0)-1,PayCount,1)))/$AA208*12*AQ$3,IF(ISNA(MATCH(AQ$1,EarnListItem,0))=FALSE,SUMPRODUCT((PayEmp=$C208)*(PayDate&lt;=$AC208)*(OFFSET($N$6,1,MATCH(AQ$5,PayDedList,0)-1,PayCount,1)))/$AA208*12*AQ$3,(MIN(((SUMPRODUCT((PayEmp=$C208)*(PayDate&lt;=$AC208)*(ISERROR(SEARCH(PayEarnCode,AQ$2)))*(PayEarnType="Monthly")*(PayEarnValues))/$AA208*12)+(SUMPRODUCT((PayEmp=$C208)*(PayDate&lt;=$AC208)*(ISERROR(SEARCH(PayEarnCode,AQ$2)))*(PayEarnType="Quarterly")*(PayEarnValues))/MAX(1,ROUNDDOWN($AB208/3,0))*4)+(SUMPRODUCT((PayEmp=$C208)*(PayDate&lt;=$AC208)*(ISERROR(SEARCH(PayEarnCode,AQ$2)))*(PayEarnType="Bi-Annual")*(PayEarnValues))/MAX(1,ROUNDDOWN($AB208/6,0))*2)+(SUMPRODUCT((PayEmp=$C208)*(PayDate&lt;=$AC208)*(ISERROR(SEARCH(PayEarnCode,AQ$2)))*(PayEarnType="Annual")*(PayEarnValues)))),IF(ISNUMBER(OFFSET($N$3,0,MATCH(AQ$5,PayDedList,0)-1,1,1)),OFFSET($N$3,0,MATCH(AQ$5,PayDedList,0)-1,1,1),IgnoreMin)))*IF(COUNTIFS(EmpNo,$C208,OFFSET(Emp!$R$4,1,MATCH(AQ$5,DedListItem,0)-1,EmpCount,1),"&lt;&gt;")&gt;0,VLOOKUP($C208,EmpAll,COLUMN(Emp!$R$4)+MATCH(AQ$5,DedListItem,0)-1,0),OFFSET(Setup!$E$73,MATCH(AQ$5,DedListItem,0),0,1,1))*AQ$3))),IF(ISNUMBER(AQ$4),AQ$4,IgnoreMin)))))</f>
        <v>0</v>
      </c>
      <c r="AR208" s="148">
        <f t="shared" ref="AR208:AR216" ca="1" si="120">$AM208+SUM(OFFSET($AM208,0,1,1,COLUMN($AR$2)-COLUMN($AM$2)-1))</f>
        <v>0</v>
      </c>
      <c r="AS208" s="148">
        <f t="shared" ca="1" si="109"/>
        <v>0</v>
      </c>
      <c r="AT208" s="148" cm="1">
        <f t="array" aca="1" ref="AT208" ca="1">-IF($F208="Terminated",0,IF($AA208=0,0,IF(ISNA(MATCH(AT$5,PayDedList,0)),0,MIN(IF(COUNTIFS(OverEmp,$C208,OverDeduct,AT$5,OverDate,"&lt;"&amp;DATE(YEAR($AC208),MONTH($AC208)+1,1),OverEnd,"&gt;="&amp;DATE(YEAR($AC208),MONTH($AC208),1))&gt;0,SUMPRODUCT((PayEmp=$C208)*(PayDate&lt;=$AC208)*(OFFSET($N$6,1,MATCH(AT$5,PayDedList,0)-1,PayCount,1)))/$AA208*12*AT$3,IF(OR(AT$1="Fixed",AT$1="Not Used"),SUMPRODUCT((PayEmp=$C208)*(PayDate&lt;=$AC208)*(OFFSET($N$6,1,MATCH(AT$5,PayDedList,0)-1,PayCount,1)))/$AA208*12*AT$3,IF(ISNA(MATCH(OFFSET($N$2,0,MATCH(AT$5,PayDedList,0)-1,1,1),EarnListItem,0))=FALSE,SUMPRODUCT((PayEmp=$C208)*(PayDate&lt;=$AC208)*(OFFSET($N$6,1,MATCH(AT$5,PayDedList,0)-1,PayCount,1)))/$AA208*12*AT$3,(MIN(SUMPRODUCT((PayEmp=$C208)*(PayDate&lt;=$AC208)*(ISERROR(SEARCH(PayEarnCode,AT$2)))*(PayEarnType="Monthly")*(PayEarnValues))/$AA208*12,IF(ISNUMBER(OFFSET($N$3,0,MATCH(AT$5,PayDedList,0)-1,1,1)),OFFSET($N$3,0,MATCH(AT$5,PayDedList,0)-1,1,1),IgnoreMin)))*IF(COUNTIFS(EmpNo,$C208,OFFSET(Emp!$R$4,1,MATCH(AT$5,DedListItem,0)-1,EmpCount,1),"&lt;&gt;")&gt;0,VLOOKUP($C208,EmpAll,COLUMN(Emp!$R$4)+MATCH(AT$5,DedListItem,0)-1,0),OFFSET(Setup!$E$73,MATCH(AT$5,DedListItem,0),0,1,1))*AT$3))),IF(ISNUMBER(AT$4),AT$4,IgnoreMin)))))</f>
        <v>0</v>
      </c>
      <c r="AU208" s="148" cm="1">
        <f t="array" aca="1" ref="AU208" ca="1">-IF($F208="Terminated",0,IF($AA208=0,0,IF(ISNA(MATCH(AU$5,PayDedList,0)),0,MIN(IF(COUNTIFS(OverEmp,$C208,OverDeduct,AU$5,OverDate,"&lt;"&amp;DATE(YEAR($AC208),MONTH($AC208)+1,1),OverEnd,"&gt;="&amp;DATE(YEAR($AC208),MONTH($AC208),1))&gt;0,SUMPRODUCT((PayEmp=$C208)*(PayDate&lt;=$AC208)*(OFFSET($N$6,1,MATCH(AU$5,PayDedList,0)-1,PayCount,1)))/$AA208*12*AU$3,IF(OR(AU$1="Fixed",AU$1="Not Used"),SUMPRODUCT((PayEmp=$C208)*(PayDate&lt;=$AC208)*(OFFSET($N$6,1,MATCH(AU$5,PayDedList,0)-1,PayCount,1)))/$AA208*12*AU$3,IF(ISNA(MATCH(OFFSET($N$2,0,MATCH(AU$5,PayDedList,0)-1,1,1),EarnListItem,0))=FALSE,SUMPRODUCT((PayEmp=$C208)*(PayDate&lt;=$AC208)*(OFFSET($N$6,1,MATCH(AU$5,PayDedList,0)-1,PayCount,1)))/$AA208*12*AU$3,(MIN(SUMPRODUCT((PayEmp=$C208)*(PayDate&lt;=$AC208)*(ISERROR(SEARCH(PayEarnCode,AU$2)))*(PayEarnType="Monthly")*(PayEarnValues))/$AA208*12,IF(ISNUMBER(OFFSET($N$3,0,MATCH(AU$5,PayDedList,0)-1,1,1)),OFFSET($N$3,0,MATCH(AU$5,PayDedList,0)-1,1,1),IgnoreMin)))*IF(COUNTIFS(EmpNo,$C208,OFFSET(Emp!$R$4,1,MATCH(AU$5,DedListItem,0)-1,EmpCount,1),"&lt;&gt;")&gt;0,VLOOKUP($C208,EmpAll,COLUMN(Emp!$R$4)+MATCH(AU$5,DedListItem,0)-1,0),OFFSET(Setup!$E$73,MATCH(AU$5,DedListItem,0),0,1,1))*AU$3))),IF(ISNUMBER(AU$4),AU$4,IgnoreMin)))))</f>
        <v>0</v>
      </c>
      <c r="AV208" s="148" cm="1">
        <f t="array" aca="1" ref="AV208" ca="1">-IF($F208="Terminated",0,IF($AA208=0,0,IF(ISNA(MATCH(AV$5,PayDedList,0)),0,MIN(IF(COUNTIFS(OverEmp,$C208,OverDeduct,AV$5,OverDate,"&lt;"&amp;DATE(YEAR($AC208),MONTH($AC208)+1,1),OverEnd,"&gt;="&amp;DATE(YEAR($AC208),MONTH($AC208),1))&gt;0,SUMPRODUCT((PayEmp=$C208)*(PayDate&lt;=$AC208)*(OFFSET($N$6,1,MATCH(AV$5,PayDedList,0)-1,PayCount,1)))/$AA208*12*AV$3,IF(OR(AV$1="Fixed",AV$1="Not Used"),SUMPRODUCT((PayEmp=$C208)*(PayDate&lt;=$AC208)*(OFFSET($N$6,1,MATCH(AV$5,PayDedList,0)-1,PayCount,1)))/$AA208*12*AV$3,IF(ISNA(MATCH(OFFSET($N$2,0,MATCH(AV$5,PayDedList,0)-1,1,1),EarnListItem,0))=FALSE,SUMPRODUCT((PayEmp=$C208)*(PayDate&lt;=$AC208)*(OFFSET($N$6,1,MATCH(AV$5,PayDedList,0)-1,PayCount,1)))/$AA208*12*AV$3,(MIN(SUMPRODUCT((PayEmp=$C208)*(PayDate&lt;=$AC208)*(ISERROR(SEARCH(PayEarnCode,AV$2)))*(PayEarnType="Monthly")*(PayEarnValues))/$AA208*12,IF(ISNUMBER(OFFSET($N$3,0,MATCH(AV$5,PayDedList,0)-1,1,1)),OFFSET($N$3,0,MATCH(AV$5,PayDedList,0)-1,1,1),IgnoreMin)))*IF(COUNTIFS(EmpNo,$C208,OFFSET(Emp!$R$4,1,MATCH(AV$5,DedListItem,0)-1,EmpCount,1),"&lt;&gt;")&gt;0,VLOOKUP($C208,EmpAll,COLUMN(Emp!$R$4)+MATCH(AV$5,DedListItem,0)-1,0),OFFSET(Setup!$E$73,MATCH(AV$5,DedListItem,0),0,1,1))*AV$3))),IF(ISNUMBER(AV$4),AV$4,IgnoreMin)))))</f>
        <v>0</v>
      </c>
      <c r="AW208" s="148" cm="1">
        <f t="array" aca="1" ref="AW208" ca="1">-IF($F208="Terminated",0,IF($AA208=0,0,IF(ISNA(MATCH(AW$5,PayDedList,0)),0,MIN(IF(COUNTIFS(OverEmp,$C208,OverDeduct,AW$5,OverDate,"&lt;"&amp;DATE(YEAR($AC208),MONTH($AC208)+1,1),OverEnd,"&gt;="&amp;DATE(YEAR($AC208),MONTH($AC208),1))&gt;0,SUMPRODUCT((PayEmp=$C208)*(PayDate&lt;=$AC208)*(OFFSET($N$6,1,MATCH(AW$5,PayDedList,0)-1,PayCount,1)))/$AA208*12*AW$3,IF(OR(AW$1="Fixed",AW$1="Not Used"),SUMPRODUCT((PayEmp=$C208)*(PayDate&lt;=$AC208)*(OFFSET($N$6,1,MATCH(AW$5,PayDedList,0)-1,PayCount,1)))/$AA208*12*AW$3,IF(ISNA(MATCH(OFFSET($N$2,0,MATCH(AW$5,PayDedList,0)-1,1,1),EarnListItem,0))=FALSE,SUMPRODUCT((PayEmp=$C208)*(PayDate&lt;=$AC208)*(OFFSET($N$6,1,MATCH(AW$5,PayDedList,0)-1,PayCount,1)))/$AA208*12*AW$3,(MIN(SUMPRODUCT((PayEmp=$C208)*(PayDate&lt;=$AC208)*(ISERROR(SEARCH(PayEarnCode,AW$2)))*(PayEarnType="Monthly")*(PayEarnValues))/$AA208*12,IF(ISNUMBER(OFFSET($N$3,0,MATCH(AW$5,PayDedList,0)-1,1,1)),OFFSET($N$3,0,MATCH(AW$5,PayDedList,0)-1,1,1),IgnoreMin)))*IF(COUNTIFS(EmpNo,$C208,OFFSET(Emp!$R$4,1,MATCH(AW$5,DedListItem,0)-1,EmpCount,1),"&lt;&gt;")&gt;0,VLOOKUP($C208,EmpAll,COLUMN(Emp!$R$4)+MATCH(AW$5,DedListItem,0)-1,0),OFFSET(Setup!$E$73,MATCH(AW$5,DedListItem,0),0,1,1))*AW$3))),IF(ISNUMBER(AW$4),AW$4,IgnoreMin)))))</f>
        <v>0</v>
      </c>
      <c r="AX208" s="148">
        <f t="shared" ref="AX208:AX216" ca="1" si="121">$AS208+SUM(OFFSET($AT208,0,0,1,COLUMN($AX$2)-COLUMN($AT$2)))</f>
        <v>0</v>
      </c>
      <c r="AY208" s="148">
        <f t="shared" ref="AY208:AY216" ca="1" si="122">AR208-AX208</f>
        <v>0</v>
      </c>
      <c r="AZ208" s="148">
        <f ca="1">IF(ISNUMBER($AL208),($AR208*$AL208)-$AI208-$AK208,MAX(0,IF($AL208="B",IF($AR208&lt;Setup!$C$32,($AR208*Setup!$D$32)-$AI208-$AK208,(($AR208-VLOOKUP($AR208,TaxAll2,1,1))*OFFSET(Setup!$D$32,MATCH($AR208,TaxBracket2,1),0,1,1))+OFFSET(Setup!$E$31,MATCH($AR208,TaxBracket2,1),0,1,1)-$AI208-$AK208),IF($AR208&lt;Setup!$C$21,($AR208*Setup!$D$21)-$AI208-$AK208,(($AR208-VLOOKUP($AR208,TaxAll1,1,1))*OFFSET(Setup!$D$21,MATCH($AR208,TaxBracket1,1),0,1,1))+OFFSET(Setup!$E$20,MATCH($AR208,TaxBracket1,1),0,1,1)-$AI208-$AK208))))</f>
        <v>0</v>
      </c>
      <c r="BA208" s="148">
        <f ca="1">IF(ISNUMBER($AL208),($AX208*$AL208)-$AI208-$AK208,MAX(0,IF($AL208="B",IF($AX208&lt;Setup!$C$32,($AX208*Setup!$D$32)-$AI208-$AK208,(($AX208-VLOOKUP($AX208,TaxAll2,1,1))*OFFSET(Setup!$D$32,MATCH($AX208,TaxBracket2,1),0,1,1))+OFFSET(Setup!$E$31,MATCH($AX208,TaxBracket2,1),0,1,1)-$AI208-$AK208),IF($AX208&lt;Setup!$C$21,($AX208*Setup!$D$21)-$AI208-$AK208,(($AX208-VLOOKUP($AX208,TaxAll1,1,1))*OFFSET(Setup!$D$21,MATCH($AX208,TaxBracket1,1),0,1,1))+OFFSET(Setup!$E$20,MATCH($AX208,TaxBracket1,1),0,1,1)-$AI208-$AK208))))</f>
        <v>0</v>
      </c>
      <c r="BB208" s="148">
        <f t="shared" ref="BB208:BB216" ca="1" si="123">AZ208-BA208</f>
        <v>0</v>
      </c>
      <c r="BC208" s="150">
        <f t="shared" ca="1" si="110"/>
        <v>0</v>
      </c>
      <c r="BD208" s="150">
        <f t="shared" ca="1" si="111"/>
        <v>0</v>
      </c>
      <c r="BE208" s="148">
        <f t="shared" ca="1" si="112"/>
        <v>0</v>
      </c>
    </row>
    <row r="209" spans="1:57" ht="16.149999999999999" customHeight="1" x14ac:dyDescent="0.25">
      <c r="A209" s="10" t="str" cm="1">
        <f t="array" ref="A209">IF(ROW($A209)-ROW($A$6)&gt;EmpCount*12,"-",TEXT($B209,"yyyy")&amp;TEXT($B209,"mm")&amp;"-"&amp;$C209)</f>
        <v>-</v>
      </c>
      <c r="B209" s="137" cm="1">
        <f t="array" aca="1" ref="B209" ca="1">IF(ROW($A209)-ROW($A$6)&gt;EmpCount*12,Setup!$D$12,DATE(YEAR(Setup!$F$12),MONTH(Setup!$F$12)+ROUNDDOWN((ROW($A209)-ROW($A$6)-1)/EmpCount,0),IF(Setup!$C$14&gt;DAY(DATE(YEAR(Setup!$F$12),MONTH(Setup!$F$12)+ROUNDDOWN((ROW($A209)-ROW($A$6)-1)/EmpCount,0)+1,0)),DAY(DATE(YEAR(Setup!$F$12),MONTH(Setup!$F$12)+ROUNDDOWN((ROW($A209)-ROW($A$6)-1)/EmpCount,0)+1,0)),Setup!$C$14)))</f>
        <v>45351</v>
      </c>
      <c r="C209" s="101" t="str" cm="1">
        <f t="array" aca="1" ref="C209" ca="1">IF(ROW($A209)-ROW($A$6)&gt;EmpCount*12,"-",OFFSET(Emp!$A$4,ROW($A209)-ROW($A$6)-IF(ROW($A209)-ROW($A$6)&gt;EmpCount,ROUNDDOWN((ROW($A209)-ROW($A$6)-1)/EmpCount,0)*EmpCount,0),0,1,1))</f>
        <v>-</v>
      </c>
      <c r="D209" s="10" t="str">
        <f ca="1">IF(ISNA(VLOOKUP($C209,EmpAll,COLUMN(Emp!$B$4),0)),"-",VLOOKUP($C209,EmpAll,COLUMN(Emp!$B$4),0))</f>
        <v>-</v>
      </c>
      <c r="E209" s="145" t="str">
        <f ca="1">IF(ISNA(VLOOKUP($C209,EmpAll,COLUMN(Emp!$C$4),0)),"-",VLOOKUP($C209,EmpAll,COLUMN(Emp!$C$4),0))</f>
        <v>-</v>
      </c>
      <c r="F209" s="101" t="str">
        <f ca="1">IF(ISNA(VLOOKUP($C209,EmpAll,COLUMN(Emp!$A$4),0)),"-",IF(AND(VLOOKUP($C209,EmpAll,COLUMN(Emp!$E$4),0)&lt;&gt;0,VLOOKUP($C209,EmpAll,COLUMN(Emp!$E$4),0)&gt;=DATE(YEAR($AC209),MONTH($AC209)+1,0)),"Inactive",IF(AND(VLOOKUP($C209,EmpAll,COLUMN(Emp!$F$4),0)&lt;&gt;0,VLOOKUP($C209,EmpAll,COLUMN(Emp!$F$4),0)&lt;=DATE(YEAR($AC209),MONTH($AC209),0)),"Terminated","Active")))</f>
        <v>-</v>
      </c>
      <c r="G209" s="133" cm="1">
        <f t="array" aca="1" ref="G209" ca="1">IF($F209&lt;&gt;"Active",0,IF(COUNTIFS(OverEmp,$C209,OverEarn,G$2,OverDate,"&lt;"&amp;DATE(YEAR($AC209),MONTH($AC209)+1,1),OverEnd,"&gt;="&amp;DATE(YEAR($AC209),MONTH($AC209),1))&gt;0,SUMIFS(OverValue,OverEmp,$C209,OverEarn,G$2,OverDate,"&lt;"&amp;DATE(YEAR($AC209),MONTH($AC209)+1,1),OverEnd,"&gt;="&amp;DATE(YEAR($AC209),MONTH($AC209),1)),IF(AND($AC209&gt;=Setup!$E$10,SUMIFS(EmpIncrease,EmpCode,$C209)&gt;0),SUMIFS(EmpIncrease,EmpCode,$C209),SUMIFS(EmpSalary,EmpCode,$C209))))</f>
        <v>0</v>
      </c>
      <c r="H209" s="133" cm="1">
        <f t="array" aca="1" ref="H209" ca="1">IF($F209&lt;&gt;"Active",0,IF(COUNTIFS(OverEmp,$C209,OverEarn,H$2,OverDate,"&lt;"&amp;DATE(YEAR($AC209),MONTH($AC209)+1,1),OverEnd,"&gt;="&amp;DATE(YEAR($AC209),MONTH($AC209),1))&gt;0,SUMIFS(OverValue,OverEmp,$C209,OverEarn,H$2,OverDate,"&lt;"&amp;DATE(YEAR($AC209),MONTH($AC209)+1,1),OverEnd,"&gt;="&amp;DATE(YEAR($AC209),MONTH($AC209),1)),0))</f>
        <v>0</v>
      </c>
      <c r="I209" s="133" cm="1">
        <f t="array" aca="1" ref="I209" ca="1">IF($F209&lt;&gt;"Active",0,IF(COUNTIFS(OverEmp,$C209,OverEarn,I$2,OverDate,"&lt;"&amp;DATE(YEAR($AC209),MONTH($AC209)+1,1),OverEnd,"&gt;="&amp;DATE(YEAR($AC209),MONTH($AC209),1))&gt;0,SUMIFS(OverValue,OverEmp,$C209,OverEarn,I$2,OverDate,"&lt;"&amp;DATE(YEAR($AC209),MONTH($AC209)+1,1),OverEnd,"&gt;="&amp;DATE(YEAR($AC209),MONTH($AC209),1)),IF(MONTH(B209)=Setup!$C$15,SUMIFS(EmpBonus,EmpCode,$C209),0)))</f>
        <v>0</v>
      </c>
      <c r="J209" s="133" cm="1">
        <f t="array" aca="1" ref="J209" ca="1">IF($F209&lt;&gt;"Active",0,IF(COUNTIFS(OverEmp,$C209,OverEarn,J$2,OverDate,"&lt;"&amp;DATE(YEAR($AC209),MONTH($AC209)+1,1),OverEnd,"&gt;="&amp;DATE(YEAR($AC209),MONTH($AC209),1))&gt;0,SUMIFS(OverValue,OverEmp,$C209,OverEarn,J$2,OverDate,"&lt;"&amp;DATE(YEAR($AC209),MONTH($AC209)+1,1),OverEnd,"&gt;="&amp;DATE(YEAR($AC209),MONTH($AC209),1)),0))</f>
        <v>0</v>
      </c>
      <c r="K209" s="133" cm="1">
        <f t="array" aca="1" ref="K209" ca="1">IF($F209&lt;&gt;"Active",0,IF(COUNTIFS(OverEmp,$C209,OverEarn,K$2,OverDate,"&lt;"&amp;DATE(YEAR($AC209),MONTH($AC209)+1,1),OverEnd,"&gt;="&amp;DATE(YEAR($AC209),MONTH($AC209),1))&gt;0,SUMIFS(OverValue,OverEmp,$C209,OverEarn,K$2,OverDate,"&lt;"&amp;DATE(YEAR($AC209),MONTH($AC209)+1,1),OverEnd,"&gt;="&amp;DATE(YEAR($AC209),MONTH($AC209),1)),0))</f>
        <v>0</v>
      </c>
      <c r="L209" s="185">
        <f t="shared" ca="1" si="113"/>
        <v>0</v>
      </c>
      <c r="M209" s="182" cm="1">
        <f t="array" aca="1" ref="M209" ca="1">IF(COUNTIFS(OverEmp,$C209,OverTax,M$5,OverDate,"&lt;"&amp;DATE(YEAR($AC209),MONTH($AC209)+1,1),OverEnd,"&gt;="&amp;DATE(YEAR($AC209),MONTH($AC209),1))&gt;0,SUMIFS(OverValue,OverEmp,$C209,OverTax,M$5,OverDate,"&lt;"&amp;DATE(YEAR($AC209),MONTH($AC209)+1,1),OverEnd,"&gt;="&amp;DATE(YEAR($AC209),MONTH($AC209),1)),(($BA209/12*$AA209)+(BB209*IF(1-$BC209=0,0,BD209/(1-$BC209))))-IF($F209="Terminated",0,SUMIFS(PayTaxDeduct,PayDate,"&lt;"&amp;$AC209,PayEmp,$C209)))</f>
        <v>0</v>
      </c>
      <c r="N209" s="133" cm="1">
        <f t="array" aca="1" ref="N209" ca="1">IF($F209="Terminated",0,IF($AA209=0,0,IF(ISNA(MATCH(N$5,DedListItem,0)),0,IF(COUNTIFS(OverEmp,$C209,OverDeduct,N$5,OverDate,"&lt;"&amp;DATE(YEAR($AC209),MONTH($AC209)+1,1),OverEnd,"&gt;="&amp;DATE(YEAR($AC209),MONTH($AC209),1))&gt;0,SUMIFS(OverValue,OverEmp,$C209,OverDeduct,N$5,OverDate,"&lt;"&amp;DATE(YEAR($AC209),MONTH($AC209)+1,1),OverEnd,"&gt;="&amp;DATE(YEAR($AC209),MONTH($AC209),1)),IF(OR(N$2="Fixed",N$2="Not Used"),(IF(COUNTIFS(EmpNo,$C209,OFFSET(Emp!$R$4,1,MATCH(N$5,DedListItem,0)-1,EmpCount,1),"&lt;&gt;")&gt;0,VLOOKUP($C209,EmpAll,COLUMN(Emp!$R$4)+MATCH(N$5,DedListItem,0)-1,0),OFFSET(Setup!$E$73,MATCH(N$5,DedListItem,0),0,1,1))*$AA209)-SUMIFS(OFFSET(N$6,1,0,PayCount,1),PayDate,"&lt;"&amp;$AC209,PayEmp,$C209),IF(ISNA(MATCH(N$2,EarnListItem,0))=FALSE,IF(OFFSET(Setup!$G$73,MATCH(N$5,DedListItem,0),0,1,1)="Taxable",SUMPRODUCT((PayEmp=$C209)*(PayDate&lt;=$AC209)*(PayEarnCode=N$2)*(PayEarnTax)*(PayEarnValues)),SUMPRODUCT((PayEmp=$C209)*(PayDate&lt;=$AC209)*(PayEarnCode=N$2)*(PayEarnValues)))*IF(COUNTIFS(EmpNo,$C209,OFFSET(Emp!$R$4,1,MATCH(N$5,DedListItem,0)-1,EmpCount,1),"&lt;&gt;")&gt;0,VLOOKUP($C209,EmpAll,COLUMN(Emp!$R$4)+MATCH(N$5,DedListItem,0)-1,0),OFFSET(Setup!$E$73,MATCH(N$5,DedListItem,0),0,1,1)),(MIN(IF(OFFSET(Setup!$G$73,MATCH(N$5,DedListItem,0),0,1,1)="Taxable",SUMPRODUCT((PayEmp=$C209)*(PayDate&lt;=$AC209)*(ISERROR(SEARCH(PayEarnCode,N$4)))*(PayEarnTax)*(PayEarnValues)),SUMPRODUCT((PayEmp=$C209)*(PayDate&lt;=$AC209)*(ISERROR(SEARCH(PayEarnCode,N$4)))*(PayEarnValues))),IF(ISNUMBER(N$3),N$3/12*$AA209,IgnoreMin)))*IF(COUNTIFS(EmpNo,$C209,OFFSET(Emp!$R$4,1,MATCH(N$5,DedListItem,0)-1,EmpCount,1),"&lt;&gt;")&gt;0,VLOOKUP($C209,EmpAll,COLUMN(Emp!$R$4)+MATCH(N$5,DedListItem,0)-1,0),OFFSET(Setup!$E$73,MATCH(N$5,DedListItem,0),0,1,1)))-SUMIFS(OFFSET(N$6,1,0,PayCount,1),PayDate,"&lt;"&amp;$AC209,PayEmp,$C209))))))</f>
        <v>0</v>
      </c>
      <c r="O209" s="133" cm="1">
        <f t="array" aca="1" ref="O209" ca="1">IF($F209="Terminated",0,IF($AA209=0,0,IF(ISNA(MATCH(O$5,DedListItem,0)),0,IF(COUNTIFS(OverEmp,$C209,OverDeduct,O$5,OverDate,"&lt;"&amp;DATE(YEAR($AC209),MONTH($AC209)+1,1),OverEnd,"&gt;="&amp;DATE(YEAR($AC209),MONTH($AC209),1))&gt;0,SUMIFS(OverValue,OverEmp,$C209,OverDeduct,O$5,OverDate,"&lt;"&amp;DATE(YEAR($AC209),MONTH($AC209)+1,1),OverEnd,"&gt;="&amp;DATE(YEAR($AC209),MONTH($AC209),1)),IF(OR(O$2="Fixed",O$2="Not Used"),(IF(COUNTIFS(EmpNo,$C209,OFFSET(Emp!$R$4,1,MATCH(O$5,DedListItem,0)-1,EmpCount,1),"&lt;&gt;")&gt;0,VLOOKUP($C209,EmpAll,COLUMN(Emp!$R$4)+MATCH(O$5,DedListItem,0)-1,0),OFFSET(Setup!$E$73,MATCH(O$5,DedListItem,0),0,1,1))*$AA209)-SUMIFS(OFFSET(O$6,1,0,PayCount,1),PayDate,"&lt;"&amp;$AC209,PayEmp,$C209),IF(ISNA(MATCH(O$2,EarnListItem,0))=FALSE,IF(OFFSET(Setup!$G$73,MATCH(O$5,DedListItem,0),0,1,1)="Taxable",SUMPRODUCT((PayEmp=$C209)*(PayDate&lt;=$AC209)*(PayEarnCode=O$2)*(PayEarnTax)*(PayEarnValues)),SUMPRODUCT((PayEmp=$C209)*(PayDate&lt;=$AC209)*(PayEarnCode=O$2)*(PayEarnValues)))*IF(COUNTIFS(EmpNo,$C209,OFFSET(Emp!$R$4,1,MATCH(O$5,DedListItem,0)-1,EmpCount,1),"&lt;&gt;")&gt;0,VLOOKUP($C209,EmpAll,COLUMN(Emp!$R$4)+MATCH(O$5,DedListItem,0)-1,0),OFFSET(Setup!$E$73,MATCH(O$5,DedListItem,0),0,1,1)),(MIN(IF(OFFSET(Setup!$G$73,MATCH(O$5,DedListItem,0),0,1,1)="Taxable",SUMPRODUCT((PayEmp=$C209)*(PayDate&lt;=$AC209)*(ISERROR(SEARCH(PayEarnCode,O$4)))*(PayEarnTax)*(PayEarnValues)),SUMPRODUCT((PayEmp=$C209)*(PayDate&lt;=$AC209)*(ISERROR(SEARCH(PayEarnCode,O$4)))*(PayEarnValues))),IF(ISNUMBER(O$3),O$3/12*$AA209,IgnoreMin)))*IF(COUNTIFS(EmpNo,$C209,OFFSET(Emp!$R$4,1,MATCH(O$5,DedListItem,0)-1,EmpCount,1),"&lt;&gt;")&gt;0,VLOOKUP($C209,EmpAll,COLUMN(Emp!$R$4)+MATCH(O$5,DedListItem,0)-1,0),OFFSET(Setup!$E$73,MATCH(O$5,DedListItem,0),0,1,1)))-SUMIFS(OFFSET(O$6,1,0,PayCount,1),PayDate,"&lt;"&amp;$AC209,PayEmp,$C209))))))</f>
        <v>0</v>
      </c>
      <c r="P209" s="133" cm="1">
        <f t="array" aca="1" ref="P209" ca="1">IF($F209="Terminated",0,IF($AA209=0,0,IF(ISNA(MATCH(P$5,DedListItem,0)),0,IF(COUNTIFS(OverEmp,$C209,OverDeduct,P$5,OverDate,"&lt;"&amp;DATE(YEAR($AC209),MONTH($AC209)+1,1),OverEnd,"&gt;="&amp;DATE(YEAR($AC209),MONTH($AC209),1))&gt;0,SUMIFS(OverValue,OverEmp,$C209,OverDeduct,P$5,OverDate,"&lt;"&amp;DATE(YEAR($AC209),MONTH($AC209)+1,1),OverEnd,"&gt;="&amp;DATE(YEAR($AC209),MONTH($AC209),1)),IF(OR(P$2="Fixed",P$2="Not Used"),(IF(COUNTIFS(EmpNo,$C209,OFFSET(Emp!$R$4,1,MATCH(P$5,DedListItem,0)-1,EmpCount,1),"&lt;&gt;")&gt;0,VLOOKUP($C209,EmpAll,COLUMN(Emp!$R$4)+MATCH(P$5,DedListItem,0)-1,0),OFFSET(Setup!$E$73,MATCH(P$5,DedListItem,0),0,1,1))*$AA209)-SUMIFS(OFFSET(P$6,1,0,PayCount,1),PayDate,"&lt;"&amp;$AC209,PayEmp,$C209),IF(ISNA(MATCH(P$2,EarnListItem,0))=FALSE,IF(OFFSET(Setup!$G$73,MATCH(P$5,DedListItem,0),0,1,1)="Taxable",SUMPRODUCT((PayEmp=$C209)*(PayDate&lt;=$AC209)*(PayEarnCode=P$2)*(PayEarnTax)*(PayEarnValues)),SUMPRODUCT((PayEmp=$C209)*(PayDate&lt;=$AC209)*(PayEarnCode=P$2)*(PayEarnValues)))*IF(COUNTIFS(EmpNo,$C209,OFFSET(Emp!$R$4,1,MATCH(P$5,DedListItem,0)-1,EmpCount,1),"&lt;&gt;")&gt;0,VLOOKUP($C209,EmpAll,COLUMN(Emp!$R$4)+MATCH(P$5,DedListItem,0)-1,0),OFFSET(Setup!$E$73,MATCH(P$5,DedListItem,0),0,1,1)),(MIN(IF(OFFSET(Setup!$G$73,MATCH(P$5,DedListItem,0),0,1,1)="Taxable",SUMPRODUCT((PayEmp=$C209)*(PayDate&lt;=$AC209)*(ISERROR(SEARCH(PayEarnCode,P$4)))*(PayEarnTax)*(PayEarnValues)),SUMPRODUCT((PayEmp=$C209)*(PayDate&lt;=$AC209)*(ISERROR(SEARCH(PayEarnCode,P$4)))*(PayEarnValues))),IF(ISNUMBER(P$3),P$3/12*$AA209,IgnoreMin)))*IF(COUNTIFS(EmpNo,$C209,OFFSET(Emp!$R$4,1,MATCH(P$5,DedListItem,0)-1,EmpCount,1),"&lt;&gt;")&gt;0,VLOOKUP($C209,EmpAll,COLUMN(Emp!$R$4)+MATCH(P$5,DedListItem,0)-1,0),OFFSET(Setup!$E$73,MATCH(P$5,DedListItem,0),0,1,1)))-SUMIFS(OFFSET(P$6,1,0,PayCount,1),PayDate,"&lt;"&amp;$AC209,PayEmp,$C209))))))</f>
        <v>0</v>
      </c>
      <c r="Q209" s="133" cm="1">
        <f t="array" aca="1" ref="Q209" ca="1">IF($F209="Terminated",0,IF($AA209=0,0,IF(ISNA(MATCH(Q$5,DedListItem,0)),0,IF(COUNTIFS(OverEmp,$C209,OverDeduct,Q$5,OverDate,"&lt;"&amp;DATE(YEAR($AC209),MONTH($AC209)+1,1),OverEnd,"&gt;="&amp;DATE(YEAR($AC209),MONTH($AC209),1))&gt;0,SUMIFS(OverValue,OverEmp,$C209,OverDeduct,Q$5,OverDate,"&lt;"&amp;DATE(YEAR($AC209),MONTH($AC209)+1,1),OverEnd,"&gt;="&amp;DATE(YEAR($AC209),MONTH($AC209),1)),IF(OR(Q$2="Fixed",Q$2="Not Used"),(IF(COUNTIFS(EmpNo,$C209,OFFSET(Emp!$R$4,1,MATCH(Q$5,DedListItem,0)-1,EmpCount,1),"&lt;&gt;")&gt;0,VLOOKUP($C209,EmpAll,COLUMN(Emp!$R$4)+MATCH(Q$5,DedListItem,0)-1,0),OFFSET(Setup!$E$73,MATCH(Q$5,DedListItem,0),0,1,1))*$AA209)-SUMIFS(OFFSET(Q$6,1,0,PayCount,1),PayDate,"&lt;"&amp;$AC209,PayEmp,$C209),IF(ISNA(MATCH(Q$2,EarnListItem,0))=FALSE,IF(OFFSET(Setup!$G$73,MATCH(Q$5,DedListItem,0),0,1,1)="Taxable",SUMPRODUCT((PayEmp=$C209)*(PayDate&lt;=$AC209)*(PayEarnCode=Q$2)*(PayEarnTax)*(PayEarnValues)),SUMPRODUCT((PayEmp=$C209)*(PayDate&lt;=$AC209)*(PayEarnCode=Q$2)*(PayEarnValues)))*IF(COUNTIFS(EmpNo,$C209,OFFSET(Emp!$R$4,1,MATCH(Q$5,DedListItem,0)-1,EmpCount,1),"&lt;&gt;")&gt;0,VLOOKUP($C209,EmpAll,COLUMN(Emp!$R$4)+MATCH(Q$5,DedListItem,0)-1,0),OFFSET(Setup!$E$73,MATCH(Q$5,DedListItem,0),0,1,1)),(MIN(IF(OFFSET(Setup!$G$73,MATCH(Q$5,DedListItem,0),0,1,1)="Taxable",SUMPRODUCT((PayEmp=$C209)*(PayDate&lt;=$AC209)*(ISERROR(SEARCH(PayEarnCode,Q$4)))*(PayEarnTax)*(PayEarnValues)),SUMPRODUCT((PayEmp=$C209)*(PayDate&lt;=$AC209)*(ISERROR(SEARCH(PayEarnCode,Q$4)))*(PayEarnValues))),IF(ISNUMBER(Q$3),Q$3/12*$AA209,IgnoreMin)))*IF(COUNTIFS(EmpNo,$C209,OFFSET(Emp!$R$4,1,MATCH(Q$5,DedListItem,0)-1,EmpCount,1),"&lt;&gt;")&gt;0,VLOOKUP($C209,EmpAll,COLUMN(Emp!$R$4)+MATCH(Q$5,DedListItem,0)-1,0),OFFSET(Setup!$E$73,MATCH(Q$5,DedListItem,0),0,1,1)))-SUMIFS(OFFSET(Q$6,1,0,PayCount,1),PayDate,"&lt;"&amp;$AC209,PayEmp,$C209))))))</f>
        <v>0</v>
      </c>
      <c r="R209" s="185">
        <f t="shared" ca="1" si="114"/>
        <v>0</v>
      </c>
      <c r="S209" s="139">
        <f t="shared" ca="1" si="115"/>
        <v>0</v>
      </c>
      <c r="T209" s="133" cm="1">
        <f t="array" aca="1" ref="T209" ca="1">IF($F209="Terminated",0,IF($AA209=0,0,IF(ISNA(MATCH(T$5,CompListItem,0)),0,IF(COUNTIFS(OverEmp,$C209,OverComp,T$5,OverDate,"&lt;"&amp;DATE(YEAR($AC209),MONTH($AC209)+1,1),OverEnd,"&gt;="&amp;DATE(YEAR($AC209),MONTH($AC209),1))&gt;0,SUMIFS(OverValue,OverEmp,$C209,OverComp,T$5,OverDate,"&lt;"&amp;DATE(YEAR($AC209),MONTH($AC209)+1,1),OverEnd,"&gt;="&amp;DATE(YEAR($AC209),MONTH($AC209),1)),IF(OR(T$2="Fixed",T$2="Not Used"),(OFFSET(Setup!$E$81,MATCH(T$5,CompListItem,0),0,1,1)*$AA209)-SUMIFS(OFFSET(T$6,1,0,PayCount,1),PayDate,"&lt;"&amp;$AC209,PayEmp,$C209),IF(ISNA(MATCH(T$2,DedListItem,0))=FALSE,(SUMPRODUCT((PayEmp=$C209)*(PayDate&lt;=$AC209)*(PayDedList=T$2)*(PayDedValues))*OFFSET(Setup!$E$81,MATCH(T$5,CompListItem,0),0,1,1))-SUMIFS(OFFSET(T$6,1,0,PayCount,1),PayDate,"&lt;"&amp;$AC209,PayEmp,$C209),(MIN(IF(OFFSET(Setup!$G$81,MATCH(T$5,CompListItem,0),0,1,1)="Taxable",SUMPRODUCT((PayEmp=$C209)*(PayDate&lt;=$AC209)*(ISERROR(SEARCH(PayEarnCode,T$4)))*(PayEarnTax)*(PayEarnValues)),SUMPRODUCT((PayEmp=$C209)*(PayDate&lt;=$AC209)*(ISERROR(SEARCH(PayEarnCode,T$4)))*(PayEarnValues))),IF(ISNUMBER(T$3),T$3/12*$AA209,IgnoreMin)))*OFFSET(Setup!$E$81,MATCH(T$5,CompListItem,0),0,1,1)-SUMIFS(OFFSET(T$6,1,0,PayCount,1),PayDate,"&lt;"&amp;$AC209,PayEmp,$C209)))))))</f>
        <v>0</v>
      </c>
      <c r="U209" s="133" cm="1">
        <f t="array" aca="1" ref="U209" ca="1">IF($F209="Terminated",0,IF($AA209=0,0,IF(ISNA(MATCH(U$5,CompListItem,0)),0,IF(COUNTIFS(OverEmp,$C209,OverComp,U$5,OverDate,"&lt;"&amp;DATE(YEAR($AC209),MONTH($AC209)+1,1),OverEnd,"&gt;="&amp;DATE(YEAR($AC209),MONTH($AC209),1))&gt;0,SUMIFS(OverValue,OverEmp,$C209,OverComp,U$5,OverDate,"&lt;"&amp;DATE(YEAR($AC209),MONTH($AC209)+1,1),OverEnd,"&gt;="&amp;DATE(YEAR($AC209),MONTH($AC209),1)),IF(OR(U$2="Fixed",U$2="Not Used"),(OFFSET(Setup!$E$81,MATCH(U$5,CompListItem,0),0,1,1)*$AA209)-SUMIFS(OFFSET(U$6,1,0,PayCount,1),PayDate,"&lt;"&amp;$AC209,PayEmp,$C209),IF(ISNA(MATCH(U$2,DedListItem,0))=FALSE,(SUMPRODUCT((PayEmp=$C209)*(PayDate&lt;=$AC209)*(PayDedList=U$2)*(PayDedValues))*OFFSET(Setup!$E$81,MATCH(U$5,CompListItem,0),0,1,1))-SUMIFS(OFFSET(U$6,1,0,PayCount,1),PayDate,"&lt;"&amp;$AC209,PayEmp,$C209),(MIN(IF(OFFSET(Setup!$G$81,MATCH(U$5,CompListItem,0),0,1,1)="Taxable",SUMPRODUCT((PayEmp=$C209)*(PayDate&lt;=$AC209)*(ISERROR(SEARCH(PayEarnCode,U$4)))*(PayEarnTax)*(PayEarnValues)),SUMPRODUCT((PayEmp=$C209)*(PayDate&lt;=$AC209)*(ISERROR(SEARCH(PayEarnCode,U$4)))*(PayEarnValues))),IF(ISNUMBER(U$3),U$3/12*$AA209,IgnoreMin)))*OFFSET(Setup!$E$81,MATCH(U$5,CompListItem,0),0,1,1)-SUMIFS(OFFSET(U$6,1,0,PayCount,1),PayDate,"&lt;"&amp;$AC209,PayEmp,$C209)))))))</f>
        <v>0</v>
      </c>
      <c r="V209" s="133" cm="1">
        <f t="array" aca="1" ref="V209" ca="1">IF($F209="Terminated",0,IF($AA209=0,0,IF(ISNA(MATCH(V$5,CompListItem,0)),0,IF(COUNTIFS(OverEmp,$C209,OverComp,V$5,OverDate,"&lt;"&amp;DATE(YEAR($AC209),MONTH($AC209)+1,1),OverEnd,"&gt;="&amp;DATE(YEAR($AC209),MONTH($AC209),1))&gt;0,SUMIFS(OverValue,OverEmp,$C209,OverComp,V$5,OverDate,"&lt;"&amp;DATE(YEAR($AC209),MONTH($AC209)+1,1),OverEnd,"&gt;="&amp;DATE(YEAR($AC209),MONTH($AC209),1)),IF(OR(V$2="Fixed",V$2="Not Used"),(OFFSET(Setup!$E$81,MATCH(V$5,CompListItem,0),0,1,1)*$AA209)-SUMIFS(OFFSET(V$6,1,0,PayCount,1),PayDate,"&lt;"&amp;$AC209,PayEmp,$C209),IF(ISNA(MATCH(V$2,DedListItem,0))=FALSE,(SUMPRODUCT((PayEmp=$C209)*(PayDate&lt;=$AC209)*(PayDedList=V$2)*(PayDedValues))*OFFSET(Setup!$E$81,MATCH(V$5,CompListItem,0),0,1,1))-SUMIFS(OFFSET(V$6,1,0,PayCount,1),PayDate,"&lt;"&amp;$AC209,PayEmp,$C209),(MIN(IF(OFFSET(Setup!$G$81,MATCH(V$5,CompListItem,0),0,1,1)="Taxable",SUMPRODUCT((PayEmp=$C209)*(PayDate&lt;=$AC209)*(ISERROR(SEARCH(PayEarnCode,V$4)))*(PayEarnTax)*(PayEarnValues)),SUMPRODUCT((PayEmp=$C209)*(PayDate&lt;=$AC209)*(ISERROR(SEARCH(PayEarnCode,V$4)))*(PayEarnValues))),IF(ISNUMBER(V$3),V$3/12*$AA209,IgnoreMin)))*OFFSET(Setup!$E$81,MATCH(V$5,CompListItem,0),0,1,1)-SUMIFS(OFFSET(V$6,1,0,PayCount,1),PayDate,"&lt;"&amp;$AC209,PayEmp,$C209)))))))</f>
        <v>0</v>
      </c>
      <c r="W209" s="133" cm="1">
        <f t="array" aca="1" ref="W209" ca="1">IF($F209="Terminated",0,IF($AA209=0,0,IF(ISNA(MATCH(W$5,CompListItem,0)),0,IF(COUNTIFS(OverEmp,$C209,OverComp,W$5,OverDate,"&lt;"&amp;DATE(YEAR($AC209),MONTH($AC209)+1,1),OverEnd,"&gt;="&amp;DATE(YEAR($AC209),MONTH($AC209),1))&gt;0,SUMIFS(OverValue,OverEmp,$C209,OverComp,W$5,OverDate,"&lt;"&amp;DATE(YEAR($AC209),MONTH($AC209)+1,1),OverEnd,"&gt;="&amp;DATE(YEAR($AC209),MONTH($AC209),1)),IF(OR(W$2="Fixed",W$2="Not Used"),(OFFSET(Setup!$E$81,MATCH(W$5,CompListItem,0),0,1,1)*$AA209)-SUMIFS(OFFSET(W$6,1,0,PayCount,1),PayDate,"&lt;"&amp;$AC209,PayEmp,$C209),IF(ISNA(MATCH(W$2,DedListItem,0))=FALSE,(SUMPRODUCT((PayEmp=$C209)*(PayDate&lt;=$AC209)*(PayDedList=W$2)*(PayDedValues))*OFFSET(Setup!$E$81,MATCH(W$5,CompListItem,0),0,1,1))-SUMIFS(OFFSET(W$6,1,0,PayCount,1),PayDate,"&lt;"&amp;$AC209,PayEmp,$C209),(MIN(IF(OFFSET(Setup!$G$81,MATCH(W$5,CompListItem,0),0,1,1)="Taxable",SUMPRODUCT((PayEmp=$C209)*(PayDate&lt;=$AC209)*(ISERROR(SEARCH(PayEarnCode,W$4)))*(PayEarnTax)*(PayEarnValues)),SUMPRODUCT((PayEmp=$C209)*(PayDate&lt;=$AC209)*(ISERROR(SEARCH(PayEarnCode,W$4)))*(PayEarnValues))),IF(ISNUMBER(W$3),W$3/12*$AA209,IgnoreMin)))*OFFSET(Setup!$E$81,MATCH(W$5,CompListItem,0),0,1,1)-SUMIFS(OFFSET(W$6,1,0,PayCount,1),PayDate,"&lt;"&amp;$AC209,PayEmp,$C209)))))))</f>
        <v>0</v>
      </c>
      <c r="X209" s="185">
        <f t="shared" ca="1" si="116"/>
        <v>0</v>
      </c>
      <c r="Y209" s="139">
        <f t="shared" ca="1" si="117"/>
        <v>0</v>
      </c>
      <c r="Z209" s="139">
        <f t="shared" ca="1" si="118"/>
        <v>0</v>
      </c>
      <c r="AA209" s="146">
        <f ca="1">IF(OR($B209&lt;=Setup!$E$12,$B209&gt;=Setup!$D$12+1),0,IF($F209&lt;&gt;"Active",0,IF($AE209="Yes",$AB209,((YEAR($AC209)*12)+MONTH($AC209))-((YEAR($AD209)*12)+MONTH($AD209)-1))))</f>
        <v>0</v>
      </c>
      <c r="AB209" s="146">
        <f ca="1">IF(OR($B209&lt;=Setup!$E$12,$B209&gt;=Setup!$D$12+1),0,((YEAR($AC209)*12)+MONTH($AC209))-((YEAR(Setup!$E$12)*12)+MONTH(Setup!$E$12)))</f>
        <v>12</v>
      </c>
      <c r="AC209" s="186">
        <f t="shared" ca="1" si="119"/>
        <v>45351</v>
      </c>
      <c r="AD209" s="144">
        <f ca="1">IF(ISNA(VLOOKUP($C209,EmpAll,COLUMN(Emp!$E$4),0)),$AC209,IF(VLOOKUP($C209,EmpAll,COLUMN(Emp!$E$4),0)&lt;=Setup!$E$12,DATE(YEAR(Setup!$E$12),MONTH(Setup!$E$12)+1,1),VLOOKUP($C209,EmpAll,COLUMN(Emp!$E$4),0)))</f>
        <v>45351</v>
      </c>
      <c r="AE209" s="144" t="str">
        <f ca="1">IF(ISNA(VLOOKUP($C209,EmpAll,COLUMN(Emp!$G$1),0)),"-",IF(VLOOKUP($C209,EmpAll,COLUMN(Emp!$G$1),0)=0,"-",VLOOKUP($C209,EmpAll,COLUMN(Emp!$G$1),0)))</f>
        <v>-</v>
      </c>
      <c r="AF209" s="145">
        <f>IF(A209=PaySlip!$G$3,1,0)</f>
        <v>0</v>
      </c>
      <c r="AG209" s="130" cm="1">
        <f t="array" aca="1" ref="AG209" ca="1">IF(COUNTIFS(OverEmp,$C209,OverMed,"MED",OverDate,"&lt;"&amp;DATE(YEAR($AC209),MONTH($AC209)+1,1),OverEnd,"&gt;="&amp;DATE(YEAR($AC209),MONTH($AC209),1))&gt;0,SUMIFS(OverValue,OverEmp,$C209,OverMed,"MED",OverDate,"&lt;"&amp;DATE(YEAR($AC209),MONTH($AC209)+1,1),OverEnd,"&gt;="&amp;DATE(YEAR($AC209),MONTH($AC209),1)),IF(ISNA(VLOOKUP($C209,EmpAll,COLUMN(Emp!$N$4),0)),0,VLOOKUP($C209,EmpAll,COLUMN(Emp!$N$4),0)))</f>
        <v>0</v>
      </c>
      <c r="AH209" s="146">
        <f ca="1">VLOOKUP($AG209,MedList,COLUMN(Setup!$C$49),1)</f>
        <v>0</v>
      </c>
      <c r="AI209" s="146">
        <f t="shared" ca="1" si="107"/>
        <v>0</v>
      </c>
      <c r="AJ209" s="101" t="str">
        <f ca="1">IF(ISNA(VLOOKUP($C209,EmpAll,COLUMN(Emp!$L$4),0)),"None!",VLOOKUP($C209,EmpAll,COLUMN(Emp!$L$4),0))</f>
        <v>None!</v>
      </c>
      <c r="AK209" s="147">
        <f t="shared" ca="1" si="102"/>
        <v>17235</v>
      </c>
      <c r="AL209" s="101" t="str">
        <f ca="1">IF(ISNA(VLOOKUP($C209,Employees[],COLUMN(Emp!$M$4),0))=TRUE,"Error!",IF(VLOOKUP($C209,Employees[],COLUMN(Emp!$M$4),0)=0,"Yes",VLOOKUP($C209,Employees[],COLUMN(Emp!$M$4),0)))</f>
        <v>Error!</v>
      </c>
      <c r="AM209" s="148">
        <f t="shared" ca="1" si="108"/>
        <v>0</v>
      </c>
      <c r="AN209" s="148" cm="1">
        <f t="array" aca="1" ref="AN209" ca="1">-IF($F209="Terminated",0,IF($AA209=0,0,IF(ISNA(MATCH(AN$5,PayDedList,0)),0,MIN(IF(COUNTIFS(OverEmp,$C209,OverDeduct,AN$5,OverDate,"&lt;"&amp;DATE(YEAR($AC209),MONTH($AC209)+1,1),OverEnd,"&gt;="&amp;DATE(YEAR($AC209),MONTH($AC209),1))&gt;0,SUMPRODUCT((PayEmp=$C209)*(PayDate&lt;=$AC209)*(OFFSET($N$6,1,MATCH(AN$5,PayDedList,0)-1,PayCount,1)))/$AA209*12*AN$3,IF(OR(AN$1="Fixed",AN$1="Not Used"),SUMPRODUCT((PayEmp=$C209)*(PayDate&lt;=$AC209)*(OFFSET($N$6,1,MATCH(AN$5,PayDedList,0)-1,PayCount,1)))/$AA209*12*AN$3,IF(ISNA(MATCH(AN$1,EarnListItem,0))=FALSE,SUMPRODUCT((PayEmp=$C209)*(PayDate&lt;=$AC209)*(OFFSET($N$6,1,MATCH(AN$5,PayDedList,0)-1,PayCount,1)))/$AA209*12*AN$3,(MIN(((SUMPRODUCT((PayEmp=$C209)*(PayDate&lt;=$AC209)*(ISERROR(SEARCH(PayEarnCode,AN$2)))*(PayEarnType="Monthly")*(PayEarnValues))/$AA209*12)+(SUMPRODUCT((PayEmp=$C209)*(PayDate&lt;=$AC209)*(ISERROR(SEARCH(PayEarnCode,AN$2)))*(PayEarnType="Quarterly")*(PayEarnValues))/MAX(1,ROUNDDOWN($AB209/3,0))*4)+(SUMPRODUCT((PayEmp=$C209)*(PayDate&lt;=$AC209)*(ISERROR(SEARCH(PayEarnCode,AN$2)))*(PayEarnType="Bi-Annual")*(PayEarnValues))/MAX(1,ROUNDDOWN($AB209/6,0))*2)+(SUMPRODUCT((PayEmp=$C209)*(PayDate&lt;=$AC209)*(ISERROR(SEARCH(PayEarnCode,AN$2)))*(PayEarnType="Annual")*(PayEarnValues)))),IF(ISNUMBER(OFFSET($N$3,0,MATCH(AN$5,PayDedList,0)-1,1,1)),OFFSET($N$3,0,MATCH(AN$5,PayDedList,0)-1,1,1),IgnoreMin)))*IF(COUNTIFS(EmpNo,$C209,OFFSET(Emp!$R$4,1,MATCH(AN$5,DedListItem,0)-1,EmpCount,1),"&lt;&gt;")&gt;0,VLOOKUP($C209,EmpAll,COLUMN(Emp!$R$4)+MATCH(AN$5,DedListItem,0)-1,0),OFFSET(Setup!$E$73,MATCH(AN$5,DedListItem,0),0,1,1))*AN$3))),IF(ISNUMBER(AN$4),AN$4,IgnoreMin)))))</f>
        <v>0</v>
      </c>
      <c r="AO209" s="148" cm="1">
        <f t="array" aca="1" ref="AO209" ca="1">-IF($F209="Terminated",0,IF($AA209=0,0,IF(ISNA(MATCH(AO$5,PayDedList,0)),0,MIN(IF(COUNTIFS(OverEmp,$C209,OverDeduct,AO$5,OverDate,"&lt;"&amp;DATE(YEAR($AC209),MONTH($AC209)+1,1),OverEnd,"&gt;="&amp;DATE(YEAR($AC209),MONTH($AC209),1))&gt;0,SUMPRODUCT((PayEmp=$C209)*(PayDate&lt;=$AC209)*(OFFSET($N$6,1,MATCH(AO$5,PayDedList,0)-1,PayCount,1)))/$AA209*12*AO$3,IF(OR(AO$1="Fixed",AO$1="Not Used"),SUMPRODUCT((PayEmp=$C209)*(PayDate&lt;=$AC209)*(OFFSET($N$6,1,MATCH(AO$5,PayDedList,0)-1,PayCount,1)))/$AA209*12*AO$3,IF(ISNA(MATCH(AO$1,EarnListItem,0))=FALSE,SUMPRODUCT((PayEmp=$C209)*(PayDate&lt;=$AC209)*(OFFSET($N$6,1,MATCH(AO$5,PayDedList,0)-1,PayCount,1)))/$AA209*12*AO$3,(MIN(((SUMPRODUCT((PayEmp=$C209)*(PayDate&lt;=$AC209)*(ISERROR(SEARCH(PayEarnCode,AO$2)))*(PayEarnType="Monthly")*(PayEarnValues))/$AA209*12)+(SUMPRODUCT((PayEmp=$C209)*(PayDate&lt;=$AC209)*(ISERROR(SEARCH(PayEarnCode,AO$2)))*(PayEarnType="Quarterly")*(PayEarnValues))/MAX(1,ROUNDDOWN($AB209/3,0))*4)+(SUMPRODUCT((PayEmp=$C209)*(PayDate&lt;=$AC209)*(ISERROR(SEARCH(PayEarnCode,AO$2)))*(PayEarnType="Bi-Annual")*(PayEarnValues))/MAX(1,ROUNDDOWN($AB209/6,0))*2)+(SUMPRODUCT((PayEmp=$C209)*(PayDate&lt;=$AC209)*(ISERROR(SEARCH(PayEarnCode,AO$2)))*(PayEarnType="Annual")*(PayEarnValues)))),IF(ISNUMBER(OFFSET($N$3,0,MATCH(AO$5,PayDedList,0)-1,1,1)),OFFSET($N$3,0,MATCH(AO$5,PayDedList,0)-1,1,1),IgnoreMin)))*IF(COUNTIFS(EmpNo,$C209,OFFSET(Emp!$R$4,1,MATCH(AO$5,DedListItem,0)-1,EmpCount,1),"&lt;&gt;")&gt;0,VLOOKUP($C209,EmpAll,COLUMN(Emp!$R$4)+MATCH(AO$5,DedListItem,0)-1,0),OFFSET(Setup!$E$73,MATCH(AO$5,DedListItem,0),0,1,1))*AO$3))),IF(ISNUMBER(AO$4),AO$4,IgnoreMin)))))</f>
        <v>0</v>
      </c>
      <c r="AP209" s="148" cm="1">
        <f t="array" aca="1" ref="AP209" ca="1">-IF($F209="Terminated",0,IF($AA209=0,0,IF(ISNA(MATCH(AP$5,PayDedList,0)),0,MIN(IF(COUNTIFS(OverEmp,$C209,OverDeduct,AP$5,OverDate,"&lt;"&amp;DATE(YEAR($AC209),MONTH($AC209)+1,1),OverEnd,"&gt;="&amp;DATE(YEAR($AC209),MONTH($AC209),1))&gt;0,SUMPRODUCT((PayEmp=$C209)*(PayDate&lt;=$AC209)*(OFFSET($N$6,1,MATCH(AP$5,PayDedList,0)-1,PayCount,1)))/$AA209*12*AP$3,IF(OR(AP$1="Fixed",AP$1="Not Used"),SUMPRODUCT((PayEmp=$C209)*(PayDate&lt;=$AC209)*(OFFSET($N$6,1,MATCH(AP$5,PayDedList,0)-1,PayCount,1)))/$AA209*12*AP$3,IF(ISNA(MATCH(AP$1,EarnListItem,0))=FALSE,SUMPRODUCT((PayEmp=$C209)*(PayDate&lt;=$AC209)*(OFFSET($N$6,1,MATCH(AP$5,PayDedList,0)-1,PayCount,1)))/$AA209*12*AP$3,(MIN(((SUMPRODUCT((PayEmp=$C209)*(PayDate&lt;=$AC209)*(ISERROR(SEARCH(PayEarnCode,AP$2)))*(PayEarnType="Monthly")*(PayEarnValues))/$AA209*12)+(SUMPRODUCT((PayEmp=$C209)*(PayDate&lt;=$AC209)*(ISERROR(SEARCH(PayEarnCode,AP$2)))*(PayEarnType="Quarterly")*(PayEarnValues))/MAX(1,ROUNDDOWN($AB209/3,0))*4)+(SUMPRODUCT((PayEmp=$C209)*(PayDate&lt;=$AC209)*(ISERROR(SEARCH(PayEarnCode,AP$2)))*(PayEarnType="Bi-Annual")*(PayEarnValues))/MAX(1,ROUNDDOWN($AB209/6,0))*2)+(SUMPRODUCT((PayEmp=$C209)*(PayDate&lt;=$AC209)*(ISERROR(SEARCH(PayEarnCode,AP$2)))*(PayEarnType="Annual")*(PayEarnValues)))),IF(ISNUMBER(OFFSET($N$3,0,MATCH(AP$5,PayDedList,0)-1,1,1)),OFFSET($N$3,0,MATCH(AP$5,PayDedList,0)-1,1,1),IgnoreMin)))*IF(COUNTIFS(EmpNo,$C209,OFFSET(Emp!$R$4,1,MATCH(AP$5,DedListItem,0)-1,EmpCount,1),"&lt;&gt;")&gt;0,VLOOKUP($C209,EmpAll,COLUMN(Emp!$R$4)+MATCH(AP$5,DedListItem,0)-1,0),OFFSET(Setup!$E$73,MATCH(AP$5,DedListItem,0),0,1,1))*AP$3))),IF(ISNUMBER(AP$4),AP$4,IgnoreMin)))))</f>
        <v>0</v>
      </c>
      <c r="AQ209" s="148" cm="1">
        <f t="array" aca="1" ref="AQ209" ca="1">-IF($F209="Terminated",0,IF($AA209=0,0,IF(ISNA(MATCH(AQ$5,PayDedList,0)),0,MIN(IF(COUNTIFS(OverEmp,$C209,OverDeduct,AQ$5,OverDate,"&lt;"&amp;DATE(YEAR($AC209),MONTH($AC209)+1,1),OverEnd,"&gt;="&amp;DATE(YEAR($AC209),MONTH($AC209),1))&gt;0,SUMPRODUCT((PayEmp=$C209)*(PayDate&lt;=$AC209)*(OFFSET($N$6,1,MATCH(AQ$5,PayDedList,0)-1,PayCount,1)))/$AA209*12*AQ$3,IF(OR(AQ$1="Fixed",AQ$1="Not Used"),SUMPRODUCT((PayEmp=$C209)*(PayDate&lt;=$AC209)*(OFFSET($N$6,1,MATCH(AQ$5,PayDedList,0)-1,PayCount,1)))/$AA209*12*AQ$3,IF(ISNA(MATCH(AQ$1,EarnListItem,0))=FALSE,SUMPRODUCT((PayEmp=$C209)*(PayDate&lt;=$AC209)*(OFFSET($N$6,1,MATCH(AQ$5,PayDedList,0)-1,PayCount,1)))/$AA209*12*AQ$3,(MIN(((SUMPRODUCT((PayEmp=$C209)*(PayDate&lt;=$AC209)*(ISERROR(SEARCH(PayEarnCode,AQ$2)))*(PayEarnType="Monthly")*(PayEarnValues))/$AA209*12)+(SUMPRODUCT((PayEmp=$C209)*(PayDate&lt;=$AC209)*(ISERROR(SEARCH(PayEarnCode,AQ$2)))*(PayEarnType="Quarterly")*(PayEarnValues))/MAX(1,ROUNDDOWN($AB209/3,0))*4)+(SUMPRODUCT((PayEmp=$C209)*(PayDate&lt;=$AC209)*(ISERROR(SEARCH(PayEarnCode,AQ$2)))*(PayEarnType="Bi-Annual")*(PayEarnValues))/MAX(1,ROUNDDOWN($AB209/6,0))*2)+(SUMPRODUCT((PayEmp=$C209)*(PayDate&lt;=$AC209)*(ISERROR(SEARCH(PayEarnCode,AQ$2)))*(PayEarnType="Annual")*(PayEarnValues)))),IF(ISNUMBER(OFFSET($N$3,0,MATCH(AQ$5,PayDedList,0)-1,1,1)),OFFSET($N$3,0,MATCH(AQ$5,PayDedList,0)-1,1,1),IgnoreMin)))*IF(COUNTIFS(EmpNo,$C209,OFFSET(Emp!$R$4,1,MATCH(AQ$5,DedListItem,0)-1,EmpCount,1),"&lt;&gt;")&gt;0,VLOOKUP($C209,EmpAll,COLUMN(Emp!$R$4)+MATCH(AQ$5,DedListItem,0)-1,0),OFFSET(Setup!$E$73,MATCH(AQ$5,DedListItem,0),0,1,1))*AQ$3))),IF(ISNUMBER(AQ$4),AQ$4,IgnoreMin)))))</f>
        <v>0</v>
      </c>
      <c r="AR209" s="148">
        <f t="shared" ca="1" si="120"/>
        <v>0</v>
      </c>
      <c r="AS209" s="148">
        <f t="shared" ca="1" si="109"/>
        <v>0</v>
      </c>
      <c r="AT209" s="148" cm="1">
        <f t="array" aca="1" ref="AT209" ca="1">-IF($F209="Terminated",0,IF($AA209=0,0,IF(ISNA(MATCH(AT$5,PayDedList,0)),0,MIN(IF(COUNTIFS(OverEmp,$C209,OverDeduct,AT$5,OverDate,"&lt;"&amp;DATE(YEAR($AC209),MONTH($AC209)+1,1),OverEnd,"&gt;="&amp;DATE(YEAR($AC209),MONTH($AC209),1))&gt;0,SUMPRODUCT((PayEmp=$C209)*(PayDate&lt;=$AC209)*(OFFSET($N$6,1,MATCH(AT$5,PayDedList,0)-1,PayCount,1)))/$AA209*12*AT$3,IF(OR(AT$1="Fixed",AT$1="Not Used"),SUMPRODUCT((PayEmp=$C209)*(PayDate&lt;=$AC209)*(OFFSET($N$6,1,MATCH(AT$5,PayDedList,0)-1,PayCount,1)))/$AA209*12*AT$3,IF(ISNA(MATCH(OFFSET($N$2,0,MATCH(AT$5,PayDedList,0)-1,1,1),EarnListItem,0))=FALSE,SUMPRODUCT((PayEmp=$C209)*(PayDate&lt;=$AC209)*(OFFSET($N$6,1,MATCH(AT$5,PayDedList,0)-1,PayCount,1)))/$AA209*12*AT$3,(MIN(SUMPRODUCT((PayEmp=$C209)*(PayDate&lt;=$AC209)*(ISERROR(SEARCH(PayEarnCode,AT$2)))*(PayEarnType="Monthly")*(PayEarnValues))/$AA209*12,IF(ISNUMBER(OFFSET($N$3,0,MATCH(AT$5,PayDedList,0)-1,1,1)),OFFSET($N$3,0,MATCH(AT$5,PayDedList,0)-1,1,1),IgnoreMin)))*IF(COUNTIFS(EmpNo,$C209,OFFSET(Emp!$R$4,1,MATCH(AT$5,DedListItem,0)-1,EmpCount,1),"&lt;&gt;")&gt;0,VLOOKUP($C209,EmpAll,COLUMN(Emp!$R$4)+MATCH(AT$5,DedListItem,0)-1,0),OFFSET(Setup!$E$73,MATCH(AT$5,DedListItem,0),0,1,1))*AT$3))),IF(ISNUMBER(AT$4),AT$4,IgnoreMin)))))</f>
        <v>0</v>
      </c>
      <c r="AU209" s="148" cm="1">
        <f t="array" aca="1" ref="AU209" ca="1">-IF($F209="Terminated",0,IF($AA209=0,0,IF(ISNA(MATCH(AU$5,PayDedList,0)),0,MIN(IF(COUNTIFS(OverEmp,$C209,OverDeduct,AU$5,OverDate,"&lt;"&amp;DATE(YEAR($AC209),MONTH($AC209)+1,1),OverEnd,"&gt;="&amp;DATE(YEAR($AC209),MONTH($AC209),1))&gt;0,SUMPRODUCT((PayEmp=$C209)*(PayDate&lt;=$AC209)*(OFFSET($N$6,1,MATCH(AU$5,PayDedList,0)-1,PayCount,1)))/$AA209*12*AU$3,IF(OR(AU$1="Fixed",AU$1="Not Used"),SUMPRODUCT((PayEmp=$C209)*(PayDate&lt;=$AC209)*(OFFSET($N$6,1,MATCH(AU$5,PayDedList,0)-1,PayCount,1)))/$AA209*12*AU$3,IF(ISNA(MATCH(OFFSET($N$2,0,MATCH(AU$5,PayDedList,0)-1,1,1),EarnListItem,0))=FALSE,SUMPRODUCT((PayEmp=$C209)*(PayDate&lt;=$AC209)*(OFFSET($N$6,1,MATCH(AU$5,PayDedList,0)-1,PayCount,1)))/$AA209*12*AU$3,(MIN(SUMPRODUCT((PayEmp=$C209)*(PayDate&lt;=$AC209)*(ISERROR(SEARCH(PayEarnCode,AU$2)))*(PayEarnType="Monthly")*(PayEarnValues))/$AA209*12,IF(ISNUMBER(OFFSET($N$3,0,MATCH(AU$5,PayDedList,0)-1,1,1)),OFFSET($N$3,0,MATCH(AU$5,PayDedList,0)-1,1,1),IgnoreMin)))*IF(COUNTIFS(EmpNo,$C209,OFFSET(Emp!$R$4,1,MATCH(AU$5,DedListItem,0)-1,EmpCount,1),"&lt;&gt;")&gt;0,VLOOKUP($C209,EmpAll,COLUMN(Emp!$R$4)+MATCH(AU$5,DedListItem,0)-1,0),OFFSET(Setup!$E$73,MATCH(AU$5,DedListItem,0),0,1,1))*AU$3))),IF(ISNUMBER(AU$4),AU$4,IgnoreMin)))))</f>
        <v>0</v>
      </c>
      <c r="AV209" s="148" cm="1">
        <f t="array" aca="1" ref="AV209" ca="1">-IF($F209="Terminated",0,IF($AA209=0,0,IF(ISNA(MATCH(AV$5,PayDedList,0)),0,MIN(IF(COUNTIFS(OverEmp,$C209,OverDeduct,AV$5,OverDate,"&lt;"&amp;DATE(YEAR($AC209),MONTH($AC209)+1,1),OverEnd,"&gt;="&amp;DATE(YEAR($AC209),MONTH($AC209),1))&gt;0,SUMPRODUCT((PayEmp=$C209)*(PayDate&lt;=$AC209)*(OFFSET($N$6,1,MATCH(AV$5,PayDedList,0)-1,PayCount,1)))/$AA209*12*AV$3,IF(OR(AV$1="Fixed",AV$1="Not Used"),SUMPRODUCT((PayEmp=$C209)*(PayDate&lt;=$AC209)*(OFFSET($N$6,1,MATCH(AV$5,PayDedList,0)-1,PayCount,1)))/$AA209*12*AV$3,IF(ISNA(MATCH(OFFSET($N$2,0,MATCH(AV$5,PayDedList,0)-1,1,1),EarnListItem,0))=FALSE,SUMPRODUCT((PayEmp=$C209)*(PayDate&lt;=$AC209)*(OFFSET($N$6,1,MATCH(AV$5,PayDedList,0)-1,PayCount,1)))/$AA209*12*AV$3,(MIN(SUMPRODUCT((PayEmp=$C209)*(PayDate&lt;=$AC209)*(ISERROR(SEARCH(PayEarnCode,AV$2)))*(PayEarnType="Monthly")*(PayEarnValues))/$AA209*12,IF(ISNUMBER(OFFSET($N$3,0,MATCH(AV$5,PayDedList,0)-1,1,1)),OFFSET($N$3,0,MATCH(AV$5,PayDedList,0)-1,1,1),IgnoreMin)))*IF(COUNTIFS(EmpNo,$C209,OFFSET(Emp!$R$4,1,MATCH(AV$5,DedListItem,0)-1,EmpCount,1),"&lt;&gt;")&gt;0,VLOOKUP($C209,EmpAll,COLUMN(Emp!$R$4)+MATCH(AV$5,DedListItem,0)-1,0),OFFSET(Setup!$E$73,MATCH(AV$5,DedListItem,0),0,1,1))*AV$3))),IF(ISNUMBER(AV$4),AV$4,IgnoreMin)))))</f>
        <v>0</v>
      </c>
      <c r="AW209" s="148" cm="1">
        <f t="array" aca="1" ref="AW209" ca="1">-IF($F209="Terminated",0,IF($AA209=0,0,IF(ISNA(MATCH(AW$5,PayDedList,0)),0,MIN(IF(COUNTIFS(OverEmp,$C209,OverDeduct,AW$5,OverDate,"&lt;"&amp;DATE(YEAR($AC209),MONTH($AC209)+1,1),OverEnd,"&gt;="&amp;DATE(YEAR($AC209),MONTH($AC209),1))&gt;0,SUMPRODUCT((PayEmp=$C209)*(PayDate&lt;=$AC209)*(OFFSET($N$6,1,MATCH(AW$5,PayDedList,0)-1,PayCount,1)))/$AA209*12*AW$3,IF(OR(AW$1="Fixed",AW$1="Not Used"),SUMPRODUCT((PayEmp=$C209)*(PayDate&lt;=$AC209)*(OFFSET($N$6,1,MATCH(AW$5,PayDedList,0)-1,PayCount,1)))/$AA209*12*AW$3,IF(ISNA(MATCH(OFFSET($N$2,0,MATCH(AW$5,PayDedList,0)-1,1,1),EarnListItem,0))=FALSE,SUMPRODUCT((PayEmp=$C209)*(PayDate&lt;=$AC209)*(OFFSET($N$6,1,MATCH(AW$5,PayDedList,0)-1,PayCount,1)))/$AA209*12*AW$3,(MIN(SUMPRODUCT((PayEmp=$C209)*(PayDate&lt;=$AC209)*(ISERROR(SEARCH(PayEarnCode,AW$2)))*(PayEarnType="Monthly")*(PayEarnValues))/$AA209*12,IF(ISNUMBER(OFFSET($N$3,0,MATCH(AW$5,PayDedList,0)-1,1,1)),OFFSET($N$3,0,MATCH(AW$5,PayDedList,0)-1,1,1),IgnoreMin)))*IF(COUNTIFS(EmpNo,$C209,OFFSET(Emp!$R$4,1,MATCH(AW$5,DedListItem,0)-1,EmpCount,1),"&lt;&gt;")&gt;0,VLOOKUP($C209,EmpAll,COLUMN(Emp!$R$4)+MATCH(AW$5,DedListItem,0)-1,0),OFFSET(Setup!$E$73,MATCH(AW$5,DedListItem,0),0,1,1))*AW$3))),IF(ISNUMBER(AW$4),AW$4,IgnoreMin)))))</f>
        <v>0</v>
      </c>
      <c r="AX209" s="148">
        <f t="shared" ca="1" si="121"/>
        <v>0</v>
      </c>
      <c r="AY209" s="148">
        <f t="shared" ca="1" si="122"/>
        <v>0</v>
      </c>
      <c r="AZ209" s="148">
        <f ca="1">IF(ISNUMBER($AL209),($AR209*$AL209)-$AI209-$AK209,MAX(0,IF($AL209="B",IF($AR209&lt;Setup!$C$32,($AR209*Setup!$D$32)-$AI209-$AK209,(($AR209-VLOOKUP($AR209,TaxAll2,1,1))*OFFSET(Setup!$D$32,MATCH($AR209,TaxBracket2,1),0,1,1))+OFFSET(Setup!$E$31,MATCH($AR209,TaxBracket2,1),0,1,1)-$AI209-$AK209),IF($AR209&lt;Setup!$C$21,($AR209*Setup!$D$21)-$AI209-$AK209,(($AR209-VLOOKUP($AR209,TaxAll1,1,1))*OFFSET(Setup!$D$21,MATCH($AR209,TaxBracket1,1),0,1,1))+OFFSET(Setup!$E$20,MATCH($AR209,TaxBracket1,1),0,1,1)-$AI209-$AK209))))</f>
        <v>0</v>
      </c>
      <c r="BA209" s="148">
        <f ca="1">IF(ISNUMBER($AL209),($AX209*$AL209)-$AI209-$AK209,MAX(0,IF($AL209="B",IF($AX209&lt;Setup!$C$32,($AX209*Setup!$D$32)-$AI209-$AK209,(($AX209-VLOOKUP($AX209,TaxAll2,1,1))*OFFSET(Setup!$D$32,MATCH($AX209,TaxBracket2,1),0,1,1))+OFFSET(Setup!$E$31,MATCH($AX209,TaxBracket2,1),0,1,1)-$AI209-$AK209),IF($AX209&lt;Setup!$C$21,($AX209*Setup!$D$21)-$AI209-$AK209,(($AX209-VLOOKUP($AX209,TaxAll1,1,1))*OFFSET(Setup!$D$21,MATCH($AX209,TaxBracket1,1),0,1,1))+OFFSET(Setup!$E$20,MATCH($AX209,TaxBracket1,1),0,1,1)-$AI209-$AK209))))</f>
        <v>0</v>
      </c>
      <c r="BB209" s="148">
        <f t="shared" ca="1" si="123"/>
        <v>0</v>
      </c>
      <c r="BC209" s="150">
        <f t="shared" ca="1" si="110"/>
        <v>0</v>
      </c>
      <c r="BD209" s="150">
        <f t="shared" ca="1" si="111"/>
        <v>0</v>
      </c>
      <c r="BE209" s="148">
        <f t="shared" ca="1" si="112"/>
        <v>0</v>
      </c>
    </row>
    <row r="210" spans="1:57" ht="16.149999999999999" customHeight="1" x14ac:dyDescent="0.25">
      <c r="A210" s="10" t="str" cm="1">
        <f t="array" ref="A210">IF(ROW($A210)-ROW($A$6)&gt;EmpCount*12,"-",TEXT($B210,"yyyy")&amp;TEXT($B210,"mm")&amp;"-"&amp;$C210)</f>
        <v>-</v>
      </c>
      <c r="B210" s="137" cm="1">
        <f t="array" aca="1" ref="B210" ca="1">IF(ROW($A210)-ROW($A$6)&gt;EmpCount*12,Setup!$D$12,DATE(YEAR(Setup!$F$12),MONTH(Setup!$F$12)+ROUNDDOWN((ROW($A210)-ROW($A$6)-1)/EmpCount,0),IF(Setup!$C$14&gt;DAY(DATE(YEAR(Setup!$F$12),MONTH(Setup!$F$12)+ROUNDDOWN((ROW($A210)-ROW($A$6)-1)/EmpCount,0)+1,0)),DAY(DATE(YEAR(Setup!$F$12),MONTH(Setup!$F$12)+ROUNDDOWN((ROW($A210)-ROW($A$6)-1)/EmpCount,0)+1,0)),Setup!$C$14)))</f>
        <v>45351</v>
      </c>
      <c r="C210" s="101" t="str" cm="1">
        <f t="array" aca="1" ref="C210" ca="1">IF(ROW($A210)-ROW($A$6)&gt;EmpCount*12,"-",OFFSET(Emp!$A$4,ROW($A210)-ROW($A$6)-IF(ROW($A210)-ROW($A$6)&gt;EmpCount,ROUNDDOWN((ROW($A210)-ROW($A$6)-1)/EmpCount,0)*EmpCount,0),0,1,1))</f>
        <v>-</v>
      </c>
      <c r="D210" s="10" t="str">
        <f ca="1">IF(ISNA(VLOOKUP($C210,EmpAll,COLUMN(Emp!$B$4),0)),"-",VLOOKUP($C210,EmpAll,COLUMN(Emp!$B$4),0))</f>
        <v>-</v>
      </c>
      <c r="E210" s="145" t="str">
        <f ca="1">IF(ISNA(VLOOKUP($C210,EmpAll,COLUMN(Emp!$C$4),0)),"-",VLOOKUP($C210,EmpAll,COLUMN(Emp!$C$4),0))</f>
        <v>-</v>
      </c>
      <c r="F210" s="101" t="str">
        <f ca="1">IF(ISNA(VLOOKUP($C210,EmpAll,COLUMN(Emp!$A$4),0)),"-",IF(AND(VLOOKUP($C210,EmpAll,COLUMN(Emp!$E$4),0)&lt;&gt;0,VLOOKUP($C210,EmpAll,COLUMN(Emp!$E$4),0)&gt;=DATE(YEAR($AC210),MONTH($AC210)+1,0)),"Inactive",IF(AND(VLOOKUP($C210,EmpAll,COLUMN(Emp!$F$4),0)&lt;&gt;0,VLOOKUP($C210,EmpAll,COLUMN(Emp!$F$4),0)&lt;=DATE(YEAR($AC210),MONTH($AC210),0)),"Terminated","Active")))</f>
        <v>-</v>
      </c>
      <c r="G210" s="133" cm="1">
        <f t="array" aca="1" ref="G210" ca="1">IF($F210&lt;&gt;"Active",0,IF(COUNTIFS(OverEmp,$C210,OverEarn,G$2,OverDate,"&lt;"&amp;DATE(YEAR($AC210),MONTH($AC210)+1,1),OverEnd,"&gt;="&amp;DATE(YEAR($AC210),MONTH($AC210),1))&gt;0,SUMIFS(OverValue,OverEmp,$C210,OverEarn,G$2,OverDate,"&lt;"&amp;DATE(YEAR($AC210),MONTH($AC210)+1,1),OverEnd,"&gt;="&amp;DATE(YEAR($AC210),MONTH($AC210),1)),IF(AND($AC210&gt;=Setup!$E$10,SUMIFS(EmpIncrease,EmpCode,$C210)&gt;0),SUMIFS(EmpIncrease,EmpCode,$C210),SUMIFS(EmpSalary,EmpCode,$C210))))</f>
        <v>0</v>
      </c>
      <c r="H210" s="133" cm="1">
        <f t="array" aca="1" ref="H210" ca="1">IF($F210&lt;&gt;"Active",0,IF(COUNTIFS(OverEmp,$C210,OverEarn,H$2,OverDate,"&lt;"&amp;DATE(YEAR($AC210),MONTH($AC210)+1,1),OverEnd,"&gt;="&amp;DATE(YEAR($AC210),MONTH($AC210),1))&gt;0,SUMIFS(OverValue,OverEmp,$C210,OverEarn,H$2,OverDate,"&lt;"&amp;DATE(YEAR($AC210),MONTH($AC210)+1,1),OverEnd,"&gt;="&amp;DATE(YEAR($AC210),MONTH($AC210),1)),0))</f>
        <v>0</v>
      </c>
      <c r="I210" s="133" cm="1">
        <f t="array" aca="1" ref="I210" ca="1">IF($F210&lt;&gt;"Active",0,IF(COUNTIFS(OverEmp,$C210,OverEarn,I$2,OverDate,"&lt;"&amp;DATE(YEAR($AC210),MONTH($AC210)+1,1),OverEnd,"&gt;="&amp;DATE(YEAR($AC210),MONTH($AC210),1))&gt;0,SUMIFS(OverValue,OverEmp,$C210,OverEarn,I$2,OverDate,"&lt;"&amp;DATE(YEAR($AC210),MONTH($AC210)+1,1),OverEnd,"&gt;="&amp;DATE(YEAR($AC210),MONTH($AC210),1)),IF(MONTH(B210)=Setup!$C$15,SUMIFS(EmpBonus,EmpCode,$C210),0)))</f>
        <v>0</v>
      </c>
      <c r="J210" s="133" cm="1">
        <f t="array" aca="1" ref="J210" ca="1">IF($F210&lt;&gt;"Active",0,IF(COUNTIFS(OverEmp,$C210,OverEarn,J$2,OverDate,"&lt;"&amp;DATE(YEAR($AC210),MONTH($AC210)+1,1),OverEnd,"&gt;="&amp;DATE(YEAR($AC210),MONTH($AC210),1))&gt;0,SUMIFS(OverValue,OverEmp,$C210,OverEarn,J$2,OverDate,"&lt;"&amp;DATE(YEAR($AC210),MONTH($AC210)+1,1),OverEnd,"&gt;="&amp;DATE(YEAR($AC210),MONTH($AC210),1)),0))</f>
        <v>0</v>
      </c>
      <c r="K210" s="133" cm="1">
        <f t="array" aca="1" ref="K210" ca="1">IF($F210&lt;&gt;"Active",0,IF(COUNTIFS(OverEmp,$C210,OverEarn,K$2,OverDate,"&lt;"&amp;DATE(YEAR($AC210),MONTH($AC210)+1,1),OverEnd,"&gt;="&amp;DATE(YEAR($AC210),MONTH($AC210),1))&gt;0,SUMIFS(OverValue,OverEmp,$C210,OverEarn,K$2,OverDate,"&lt;"&amp;DATE(YEAR($AC210),MONTH($AC210)+1,1),OverEnd,"&gt;="&amp;DATE(YEAR($AC210),MONTH($AC210),1)),0))</f>
        <v>0</v>
      </c>
      <c r="L210" s="185">
        <f t="shared" ca="1" si="113"/>
        <v>0</v>
      </c>
      <c r="M210" s="182" cm="1">
        <f t="array" aca="1" ref="M210" ca="1">IF(COUNTIFS(OverEmp,$C210,OverTax,M$5,OverDate,"&lt;"&amp;DATE(YEAR($AC210),MONTH($AC210)+1,1),OverEnd,"&gt;="&amp;DATE(YEAR($AC210),MONTH($AC210),1))&gt;0,SUMIFS(OverValue,OverEmp,$C210,OverTax,M$5,OverDate,"&lt;"&amp;DATE(YEAR($AC210),MONTH($AC210)+1,1),OverEnd,"&gt;="&amp;DATE(YEAR($AC210),MONTH($AC210),1)),(($BA210/12*$AA210)+(BB210*IF(1-$BC210=0,0,BD210/(1-$BC210))))-IF($F210="Terminated",0,SUMIFS(PayTaxDeduct,PayDate,"&lt;"&amp;$AC210,PayEmp,$C210)))</f>
        <v>0</v>
      </c>
      <c r="N210" s="133" cm="1">
        <f t="array" aca="1" ref="N210" ca="1">IF($F210="Terminated",0,IF($AA210=0,0,IF(ISNA(MATCH(N$5,DedListItem,0)),0,IF(COUNTIFS(OverEmp,$C210,OverDeduct,N$5,OverDate,"&lt;"&amp;DATE(YEAR($AC210),MONTH($AC210)+1,1),OverEnd,"&gt;="&amp;DATE(YEAR($AC210),MONTH($AC210),1))&gt;0,SUMIFS(OverValue,OverEmp,$C210,OverDeduct,N$5,OverDate,"&lt;"&amp;DATE(YEAR($AC210),MONTH($AC210)+1,1),OverEnd,"&gt;="&amp;DATE(YEAR($AC210),MONTH($AC210),1)),IF(OR(N$2="Fixed",N$2="Not Used"),(IF(COUNTIFS(EmpNo,$C210,OFFSET(Emp!$R$4,1,MATCH(N$5,DedListItem,0)-1,EmpCount,1),"&lt;&gt;")&gt;0,VLOOKUP($C210,EmpAll,COLUMN(Emp!$R$4)+MATCH(N$5,DedListItem,0)-1,0),OFFSET(Setup!$E$73,MATCH(N$5,DedListItem,0),0,1,1))*$AA210)-SUMIFS(OFFSET(N$6,1,0,PayCount,1),PayDate,"&lt;"&amp;$AC210,PayEmp,$C210),IF(ISNA(MATCH(N$2,EarnListItem,0))=FALSE,IF(OFFSET(Setup!$G$73,MATCH(N$5,DedListItem,0),0,1,1)="Taxable",SUMPRODUCT((PayEmp=$C210)*(PayDate&lt;=$AC210)*(PayEarnCode=N$2)*(PayEarnTax)*(PayEarnValues)),SUMPRODUCT((PayEmp=$C210)*(PayDate&lt;=$AC210)*(PayEarnCode=N$2)*(PayEarnValues)))*IF(COUNTIFS(EmpNo,$C210,OFFSET(Emp!$R$4,1,MATCH(N$5,DedListItem,0)-1,EmpCount,1),"&lt;&gt;")&gt;0,VLOOKUP($C210,EmpAll,COLUMN(Emp!$R$4)+MATCH(N$5,DedListItem,0)-1,0),OFFSET(Setup!$E$73,MATCH(N$5,DedListItem,0),0,1,1)),(MIN(IF(OFFSET(Setup!$G$73,MATCH(N$5,DedListItem,0),0,1,1)="Taxable",SUMPRODUCT((PayEmp=$C210)*(PayDate&lt;=$AC210)*(ISERROR(SEARCH(PayEarnCode,N$4)))*(PayEarnTax)*(PayEarnValues)),SUMPRODUCT((PayEmp=$C210)*(PayDate&lt;=$AC210)*(ISERROR(SEARCH(PayEarnCode,N$4)))*(PayEarnValues))),IF(ISNUMBER(N$3),N$3/12*$AA210,IgnoreMin)))*IF(COUNTIFS(EmpNo,$C210,OFFSET(Emp!$R$4,1,MATCH(N$5,DedListItem,0)-1,EmpCount,1),"&lt;&gt;")&gt;0,VLOOKUP($C210,EmpAll,COLUMN(Emp!$R$4)+MATCH(N$5,DedListItem,0)-1,0),OFFSET(Setup!$E$73,MATCH(N$5,DedListItem,0),0,1,1)))-SUMIFS(OFFSET(N$6,1,0,PayCount,1),PayDate,"&lt;"&amp;$AC210,PayEmp,$C210))))))</f>
        <v>0</v>
      </c>
      <c r="O210" s="133" cm="1">
        <f t="array" aca="1" ref="O210" ca="1">IF($F210="Terminated",0,IF($AA210=0,0,IF(ISNA(MATCH(O$5,DedListItem,0)),0,IF(COUNTIFS(OverEmp,$C210,OverDeduct,O$5,OverDate,"&lt;"&amp;DATE(YEAR($AC210),MONTH($AC210)+1,1),OverEnd,"&gt;="&amp;DATE(YEAR($AC210),MONTH($AC210),1))&gt;0,SUMIFS(OverValue,OverEmp,$C210,OverDeduct,O$5,OverDate,"&lt;"&amp;DATE(YEAR($AC210),MONTH($AC210)+1,1),OverEnd,"&gt;="&amp;DATE(YEAR($AC210),MONTH($AC210),1)),IF(OR(O$2="Fixed",O$2="Not Used"),(IF(COUNTIFS(EmpNo,$C210,OFFSET(Emp!$R$4,1,MATCH(O$5,DedListItem,0)-1,EmpCount,1),"&lt;&gt;")&gt;0,VLOOKUP($C210,EmpAll,COLUMN(Emp!$R$4)+MATCH(O$5,DedListItem,0)-1,0),OFFSET(Setup!$E$73,MATCH(O$5,DedListItem,0),0,1,1))*$AA210)-SUMIFS(OFFSET(O$6,1,0,PayCount,1),PayDate,"&lt;"&amp;$AC210,PayEmp,$C210),IF(ISNA(MATCH(O$2,EarnListItem,0))=FALSE,IF(OFFSET(Setup!$G$73,MATCH(O$5,DedListItem,0),0,1,1)="Taxable",SUMPRODUCT((PayEmp=$C210)*(PayDate&lt;=$AC210)*(PayEarnCode=O$2)*(PayEarnTax)*(PayEarnValues)),SUMPRODUCT((PayEmp=$C210)*(PayDate&lt;=$AC210)*(PayEarnCode=O$2)*(PayEarnValues)))*IF(COUNTIFS(EmpNo,$C210,OFFSET(Emp!$R$4,1,MATCH(O$5,DedListItem,0)-1,EmpCount,1),"&lt;&gt;")&gt;0,VLOOKUP($C210,EmpAll,COLUMN(Emp!$R$4)+MATCH(O$5,DedListItem,0)-1,0),OFFSET(Setup!$E$73,MATCH(O$5,DedListItem,0),0,1,1)),(MIN(IF(OFFSET(Setup!$G$73,MATCH(O$5,DedListItem,0),0,1,1)="Taxable",SUMPRODUCT((PayEmp=$C210)*(PayDate&lt;=$AC210)*(ISERROR(SEARCH(PayEarnCode,O$4)))*(PayEarnTax)*(PayEarnValues)),SUMPRODUCT((PayEmp=$C210)*(PayDate&lt;=$AC210)*(ISERROR(SEARCH(PayEarnCode,O$4)))*(PayEarnValues))),IF(ISNUMBER(O$3),O$3/12*$AA210,IgnoreMin)))*IF(COUNTIFS(EmpNo,$C210,OFFSET(Emp!$R$4,1,MATCH(O$5,DedListItem,0)-1,EmpCount,1),"&lt;&gt;")&gt;0,VLOOKUP($C210,EmpAll,COLUMN(Emp!$R$4)+MATCH(O$5,DedListItem,0)-1,0),OFFSET(Setup!$E$73,MATCH(O$5,DedListItem,0),0,1,1)))-SUMIFS(OFFSET(O$6,1,0,PayCount,1),PayDate,"&lt;"&amp;$AC210,PayEmp,$C210))))))</f>
        <v>0</v>
      </c>
      <c r="P210" s="133" cm="1">
        <f t="array" aca="1" ref="P210" ca="1">IF($F210="Terminated",0,IF($AA210=0,0,IF(ISNA(MATCH(P$5,DedListItem,0)),0,IF(COUNTIFS(OverEmp,$C210,OverDeduct,P$5,OverDate,"&lt;"&amp;DATE(YEAR($AC210),MONTH($AC210)+1,1),OverEnd,"&gt;="&amp;DATE(YEAR($AC210),MONTH($AC210),1))&gt;0,SUMIFS(OverValue,OverEmp,$C210,OverDeduct,P$5,OverDate,"&lt;"&amp;DATE(YEAR($AC210),MONTH($AC210)+1,1),OverEnd,"&gt;="&amp;DATE(YEAR($AC210),MONTH($AC210),1)),IF(OR(P$2="Fixed",P$2="Not Used"),(IF(COUNTIFS(EmpNo,$C210,OFFSET(Emp!$R$4,1,MATCH(P$5,DedListItem,0)-1,EmpCount,1),"&lt;&gt;")&gt;0,VLOOKUP($C210,EmpAll,COLUMN(Emp!$R$4)+MATCH(P$5,DedListItem,0)-1,0),OFFSET(Setup!$E$73,MATCH(P$5,DedListItem,0),0,1,1))*$AA210)-SUMIFS(OFFSET(P$6,1,0,PayCount,1),PayDate,"&lt;"&amp;$AC210,PayEmp,$C210),IF(ISNA(MATCH(P$2,EarnListItem,0))=FALSE,IF(OFFSET(Setup!$G$73,MATCH(P$5,DedListItem,0),0,1,1)="Taxable",SUMPRODUCT((PayEmp=$C210)*(PayDate&lt;=$AC210)*(PayEarnCode=P$2)*(PayEarnTax)*(PayEarnValues)),SUMPRODUCT((PayEmp=$C210)*(PayDate&lt;=$AC210)*(PayEarnCode=P$2)*(PayEarnValues)))*IF(COUNTIFS(EmpNo,$C210,OFFSET(Emp!$R$4,1,MATCH(P$5,DedListItem,0)-1,EmpCount,1),"&lt;&gt;")&gt;0,VLOOKUP($C210,EmpAll,COLUMN(Emp!$R$4)+MATCH(P$5,DedListItem,0)-1,0),OFFSET(Setup!$E$73,MATCH(P$5,DedListItem,0),0,1,1)),(MIN(IF(OFFSET(Setup!$G$73,MATCH(P$5,DedListItem,0),0,1,1)="Taxable",SUMPRODUCT((PayEmp=$C210)*(PayDate&lt;=$AC210)*(ISERROR(SEARCH(PayEarnCode,P$4)))*(PayEarnTax)*(PayEarnValues)),SUMPRODUCT((PayEmp=$C210)*(PayDate&lt;=$AC210)*(ISERROR(SEARCH(PayEarnCode,P$4)))*(PayEarnValues))),IF(ISNUMBER(P$3),P$3/12*$AA210,IgnoreMin)))*IF(COUNTIFS(EmpNo,$C210,OFFSET(Emp!$R$4,1,MATCH(P$5,DedListItem,0)-1,EmpCount,1),"&lt;&gt;")&gt;0,VLOOKUP($C210,EmpAll,COLUMN(Emp!$R$4)+MATCH(P$5,DedListItem,0)-1,0),OFFSET(Setup!$E$73,MATCH(P$5,DedListItem,0),0,1,1)))-SUMIFS(OFFSET(P$6,1,0,PayCount,1),PayDate,"&lt;"&amp;$AC210,PayEmp,$C210))))))</f>
        <v>0</v>
      </c>
      <c r="Q210" s="133" cm="1">
        <f t="array" aca="1" ref="Q210" ca="1">IF($F210="Terminated",0,IF($AA210=0,0,IF(ISNA(MATCH(Q$5,DedListItem,0)),0,IF(COUNTIFS(OverEmp,$C210,OverDeduct,Q$5,OverDate,"&lt;"&amp;DATE(YEAR($AC210),MONTH($AC210)+1,1),OverEnd,"&gt;="&amp;DATE(YEAR($AC210),MONTH($AC210),1))&gt;0,SUMIFS(OverValue,OverEmp,$C210,OverDeduct,Q$5,OverDate,"&lt;"&amp;DATE(YEAR($AC210),MONTH($AC210)+1,1),OverEnd,"&gt;="&amp;DATE(YEAR($AC210),MONTH($AC210),1)),IF(OR(Q$2="Fixed",Q$2="Not Used"),(IF(COUNTIFS(EmpNo,$C210,OFFSET(Emp!$R$4,1,MATCH(Q$5,DedListItem,0)-1,EmpCount,1),"&lt;&gt;")&gt;0,VLOOKUP($C210,EmpAll,COLUMN(Emp!$R$4)+MATCH(Q$5,DedListItem,0)-1,0),OFFSET(Setup!$E$73,MATCH(Q$5,DedListItem,0),0,1,1))*$AA210)-SUMIFS(OFFSET(Q$6,1,0,PayCount,1),PayDate,"&lt;"&amp;$AC210,PayEmp,$C210),IF(ISNA(MATCH(Q$2,EarnListItem,0))=FALSE,IF(OFFSET(Setup!$G$73,MATCH(Q$5,DedListItem,0),0,1,1)="Taxable",SUMPRODUCT((PayEmp=$C210)*(PayDate&lt;=$AC210)*(PayEarnCode=Q$2)*(PayEarnTax)*(PayEarnValues)),SUMPRODUCT((PayEmp=$C210)*(PayDate&lt;=$AC210)*(PayEarnCode=Q$2)*(PayEarnValues)))*IF(COUNTIFS(EmpNo,$C210,OFFSET(Emp!$R$4,1,MATCH(Q$5,DedListItem,0)-1,EmpCount,1),"&lt;&gt;")&gt;0,VLOOKUP($C210,EmpAll,COLUMN(Emp!$R$4)+MATCH(Q$5,DedListItem,0)-1,0),OFFSET(Setup!$E$73,MATCH(Q$5,DedListItem,0),0,1,1)),(MIN(IF(OFFSET(Setup!$G$73,MATCH(Q$5,DedListItem,0),0,1,1)="Taxable",SUMPRODUCT((PayEmp=$C210)*(PayDate&lt;=$AC210)*(ISERROR(SEARCH(PayEarnCode,Q$4)))*(PayEarnTax)*(PayEarnValues)),SUMPRODUCT((PayEmp=$C210)*(PayDate&lt;=$AC210)*(ISERROR(SEARCH(PayEarnCode,Q$4)))*(PayEarnValues))),IF(ISNUMBER(Q$3),Q$3/12*$AA210,IgnoreMin)))*IF(COUNTIFS(EmpNo,$C210,OFFSET(Emp!$R$4,1,MATCH(Q$5,DedListItem,0)-1,EmpCount,1),"&lt;&gt;")&gt;0,VLOOKUP($C210,EmpAll,COLUMN(Emp!$R$4)+MATCH(Q$5,DedListItem,0)-1,0),OFFSET(Setup!$E$73,MATCH(Q$5,DedListItem,0),0,1,1)))-SUMIFS(OFFSET(Q$6,1,0,PayCount,1),PayDate,"&lt;"&amp;$AC210,PayEmp,$C210))))))</f>
        <v>0</v>
      </c>
      <c r="R210" s="185">
        <f t="shared" ca="1" si="114"/>
        <v>0</v>
      </c>
      <c r="S210" s="139">
        <f t="shared" ca="1" si="115"/>
        <v>0</v>
      </c>
      <c r="T210" s="133" cm="1">
        <f t="array" aca="1" ref="T210" ca="1">IF($F210="Terminated",0,IF($AA210=0,0,IF(ISNA(MATCH(T$5,CompListItem,0)),0,IF(COUNTIFS(OverEmp,$C210,OverComp,T$5,OverDate,"&lt;"&amp;DATE(YEAR($AC210),MONTH($AC210)+1,1),OverEnd,"&gt;="&amp;DATE(YEAR($AC210),MONTH($AC210),1))&gt;0,SUMIFS(OverValue,OverEmp,$C210,OverComp,T$5,OverDate,"&lt;"&amp;DATE(YEAR($AC210),MONTH($AC210)+1,1),OverEnd,"&gt;="&amp;DATE(YEAR($AC210),MONTH($AC210),1)),IF(OR(T$2="Fixed",T$2="Not Used"),(OFFSET(Setup!$E$81,MATCH(T$5,CompListItem,0),0,1,1)*$AA210)-SUMIFS(OFFSET(T$6,1,0,PayCount,1),PayDate,"&lt;"&amp;$AC210,PayEmp,$C210),IF(ISNA(MATCH(T$2,DedListItem,0))=FALSE,(SUMPRODUCT((PayEmp=$C210)*(PayDate&lt;=$AC210)*(PayDedList=T$2)*(PayDedValues))*OFFSET(Setup!$E$81,MATCH(T$5,CompListItem,0),0,1,1))-SUMIFS(OFFSET(T$6,1,0,PayCount,1),PayDate,"&lt;"&amp;$AC210,PayEmp,$C210),(MIN(IF(OFFSET(Setup!$G$81,MATCH(T$5,CompListItem,0),0,1,1)="Taxable",SUMPRODUCT((PayEmp=$C210)*(PayDate&lt;=$AC210)*(ISERROR(SEARCH(PayEarnCode,T$4)))*(PayEarnTax)*(PayEarnValues)),SUMPRODUCT((PayEmp=$C210)*(PayDate&lt;=$AC210)*(ISERROR(SEARCH(PayEarnCode,T$4)))*(PayEarnValues))),IF(ISNUMBER(T$3),T$3/12*$AA210,IgnoreMin)))*OFFSET(Setup!$E$81,MATCH(T$5,CompListItem,0),0,1,1)-SUMIFS(OFFSET(T$6,1,0,PayCount,1),PayDate,"&lt;"&amp;$AC210,PayEmp,$C210)))))))</f>
        <v>0</v>
      </c>
      <c r="U210" s="133" cm="1">
        <f t="array" aca="1" ref="U210" ca="1">IF($F210="Terminated",0,IF($AA210=0,0,IF(ISNA(MATCH(U$5,CompListItem,0)),0,IF(COUNTIFS(OverEmp,$C210,OverComp,U$5,OverDate,"&lt;"&amp;DATE(YEAR($AC210),MONTH($AC210)+1,1),OverEnd,"&gt;="&amp;DATE(YEAR($AC210),MONTH($AC210),1))&gt;0,SUMIFS(OverValue,OverEmp,$C210,OverComp,U$5,OverDate,"&lt;"&amp;DATE(YEAR($AC210),MONTH($AC210)+1,1),OverEnd,"&gt;="&amp;DATE(YEAR($AC210),MONTH($AC210),1)),IF(OR(U$2="Fixed",U$2="Not Used"),(OFFSET(Setup!$E$81,MATCH(U$5,CompListItem,0),0,1,1)*$AA210)-SUMIFS(OFFSET(U$6,1,0,PayCount,1),PayDate,"&lt;"&amp;$AC210,PayEmp,$C210),IF(ISNA(MATCH(U$2,DedListItem,0))=FALSE,(SUMPRODUCT((PayEmp=$C210)*(PayDate&lt;=$AC210)*(PayDedList=U$2)*(PayDedValues))*OFFSET(Setup!$E$81,MATCH(U$5,CompListItem,0),0,1,1))-SUMIFS(OFFSET(U$6,1,0,PayCount,1),PayDate,"&lt;"&amp;$AC210,PayEmp,$C210),(MIN(IF(OFFSET(Setup!$G$81,MATCH(U$5,CompListItem,0),0,1,1)="Taxable",SUMPRODUCT((PayEmp=$C210)*(PayDate&lt;=$AC210)*(ISERROR(SEARCH(PayEarnCode,U$4)))*(PayEarnTax)*(PayEarnValues)),SUMPRODUCT((PayEmp=$C210)*(PayDate&lt;=$AC210)*(ISERROR(SEARCH(PayEarnCode,U$4)))*(PayEarnValues))),IF(ISNUMBER(U$3),U$3/12*$AA210,IgnoreMin)))*OFFSET(Setup!$E$81,MATCH(U$5,CompListItem,0),0,1,1)-SUMIFS(OFFSET(U$6,1,0,PayCount,1),PayDate,"&lt;"&amp;$AC210,PayEmp,$C210)))))))</f>
        <v>0</v>
      </c>
      <c r="V210" s="133" cm="1">
        <f t="array" aca="1" ref="V210" ca="1">IF($F210="Terminated",0,IF($AA210=0,0,IF(ISNA(MATCH(V$5,CompListItem,0)),0,IF(COUNTIFS(OverEmp,$C210,OverComp,V$5,OverDate,"&lt;"&amp;DATE(YEAR($AC210),MONTH($AC210)+1,1),OverEnd,"&gt;="&amp;DATE(YEAR($AC210),MONTH($AC210),1))&gt;0,SUMIFS(OverValue,OverEmp,$C210,OverComp,V$5,OverDate,"&lt;"&amp;DATE(YEAR($AC210),MONTH($AC210)+1,1),OverEnd,"&gt;="&amp;DATE(YEAR($AC210),MONTH($AC210),1)),IF(OR(V$2="Fixed",V$2="Not Used"),(OFFSET(Setup!$E$81,MATCH(V$5,CompListItem,0),0,1,1)*$AA210)-SUMIFS(OFFSET(V$6,1,0,PayCount,1),PayDate,"&lt;"&amp;$AC210,PayEmp,$C210),IF(ISNA(MATCH(V$2,DedListItem,0))=FALSE,(SUMPRODUCT((PayEmp=$C210)*(PayDate&lt;=$AC210)*(PayDedList=V$2)*(PayDedValues))*OFFSET(Setup!$E$81,MATCH(V$5,CompListItem,0),0,1,1))-SUMIFS(OFFSET(V$6,1,0,PayCount,1),PayDate,"&lt;"&amp;$AC210,PayEmp,$C210),(MIN(IF(OFFSET(Setup!$G$81,MATCH(V$5,CompListItem,0),0,1,1)="Taxable",SUMPRODUCT((PayEmp=$C210)*(PayDate&lt;=$AC210)*(ISERROR(SEARCH(PayEarnCode,V$4)))*(PayEarnTax)*(PayEarnValues)),SUMPRODUCT((PayEmp=$C210)*(PayDate&lt;=$AC210)*(ISERROR(SEARCH(PayEarnCode,V$4)))*(PayEarnValues))),IF(ISNUMBER(V$3),V$3/12*$AA210,IgnoreMin)))*OFFSET(Setup!$E$81,MATCH(V$5,CompListItem,0),0,1,1)-SUMIFS(OFFSET(V$6,1,0,PayCount,1),PayDate,"&lt;"&amp;$AC210,PayEmp,$C210)))))))</f>
        <v>0</v>
      </c>
      <c r="W210" s="133" cm="1">
        <f t="array" aca="1" ref="W210" ca="1">IF($F210="Terminated",0,IF($AA210=0,0,IF(ISNA(MATCH(W$5,CompListItem,0)),0,IF(COUNTIFS(OverEmp,$C210,OverComp,W$5,OverDate,"&lt;"&amp;DATE(YEAR($AC210),MONTH($AC210)+1,1),OverEnd,"&gt;="&amp;DATE(YEAR($AC210),MONTH($AC210),1))&gt;0,SUMIFS(OverValue,OverEmp,$C210,OverComp,W$5,OverDate,"&lt;"&amp;DATE(YEAR($AC210),MONTH($AC210)+1,1),OverEnd,"&gt;="&amp;DATE(YEAR($AC210),MONTH($AC210),1)),IF(OR(W$2="Fixed",W$2="Not Used"),(OFFSET(Setup!$E$81,MATCH(W$5,CompListItem,0),0,1,1)*$AA210)-SUMIFS(OFFSET(W$6,1,0,PayCount,1),PayDate,"&lt;"&amp;$AC210,PayEmp,$C210),IF(ISNA(MATCH(W$2,DedListItem,0))=FALSE,(SUMPRODUCT((PayEmp=$C210)*(PayDate&lt;=$AC210)*(PayDedList=W$2)*(PayDedValues))*OFFSET(Setup!$E$81,MATCH(W$5,CompListItem,0),0,1,1))-SUMIFS(OFFSET(W$6,1,0,PayCount,1),PayDate,"&lt;"&amp;$AC210,PayEmp,$C210),(MIN(IF(OFFSET(Setup!$G$81,MATCH(W$5,CompListItem,0),0,1,1)="Taxable",SUMPRODUCT((PayEmp=$C210)*(PayDate&lt;=$AC210)*(ISERROR(SEARCH(PayEarnCode,W$4)))*(PayEarnTax)*(PayEarnValues)),SUMPRODUCT((PayEmp=$C210)*(PayDate&lt;=$AC210)*(ISERROR(SEARCH(PayEarnCode,W$4)))*(PayEarnValues))),IF(ISNUMBER(W$3),W$3/12*$AA210,IgnoreMin)))*OFFSET(Setup!$E$81,MATCH(W$5,CompListItem,0),0,1,1)-SUMIFS(OFFSET(W$6,1,0,PayCount,1),PayDate,"&lt;"&amp;$AC210,PayEmp,$C210)))))))</f>
        <v>0</v>
      </c>
      <c r="X210" s="185">
        <f t="shared" ca="1" si="116"/>
        <v>0</v>
      </c>
      <c r="Y210" s="139">
        <f t="shared" ca="1" si="117"/>
        <v>0</v>
      </c>
      <c r="Z210" s="139">
        <f t="shared" ca="1" si="118"/>
        <v>0</v>
      </c>
      <c r="AA210" s="146">
        <f ca="1">IF(OR($B210&lt;=Setup!$E$12,$B210&gt;=Setup!$D$12+1),0,IF($F210&lt;&gt;"Active",0,IF($AE210="Yes",$AB210,((YEAR($AC210)*12)+MONTH($AC210))-((YEAR($AD210)*12)+MONTH($AD210)-1))))</f>
        <v>0</v>
      </c>
      <c r="AB210" s="146">
        <f ca="1">IF(OR($B210&lt;=Setup!$E$12,$B210&gt;=Setup!$D$12+1),0,((YEAR($AC210)*12)+MONTH($AC210))-((YEAR(Setup!$E$12)*12)+MONTH(Setup!$E$12)))</f>
        <v>12</v>
      </c>
      <c r="AC210" s="186">
        <f t="shared" ca="1" si="119"/>
        <v>45351</v>
      </c>
      <c r="AD210" s="144">
        <f ca="1">IF(ISNA(VLOOKUP($C210,EmpAll,COLUMN(Emp!$E$4),0)),$AC210,IF(VLOOKUP($C210,EmpAll,COLUMN(Emp!$E$4),0)&lt;=Setup!$E$12,DATE(YEAR(Setup!$E$12),MONTH(Setup!$E$12)+1,1),VLOOKUP($C210,EmpAll,COLUMN(Emp!$E$4),0)))</f>
        <v>45351</v>
      </c>
      <c r="AE210" s="144" t="str">
        <f ca="1">IF(ISNA(VLOOKUP($C210,EmpAll,COLUMN(Emp!$G$1),0)),"-",IF(VLOOKUP($C210,EmpAll,COLUMN(Emp!$G$1),0)=0,"-",VLOOKUP($C210,EmpAll,COLUMN(Emp!$G$1),0)))</f>
        <v>-</v>
      </c>
      <c r="AF210" s="145">
        <f>IF(A210=PaySlip!$G$3,1,0)</f>
        <v>0</v>
      </c>
      <c r="AG210" s="130" cm="1">
        <f t="array" aca="1" ref="AG210" ca="1">IF(COUNTIFS(OverEmp,$C210,OverMed,"MED",OverDate,"&lt;"&amp;DATE(YEAR($AC210),MONTH($AC210)+1,1),OverEnd,"&gt;="&amp;DATE(YEAR($AC210),MONTH($AC210),1))&gt;0,SUMIFS(OverValue,OverEmp,$C210,OverMed,"MED",OverDate,"&lt;"&amp;DATE(YEAR($AC210),MONTH($AC210)+1,1),OverEnd,"&gt;="&amp;DATE(YEAR($AC210),MONTH($AC210),1)),IF(ISNA(VLOOKUP($C210,EmpAll,COLUMN(Emp!$N$4),0)),0,VLOOKUP($C210,EmpAll,COLUMN(Emp!$N$4),0)))</f>
        <v>0</v>
      </c>
      <c r="AH210" s="146">
        <f ca="1">VLOOKUP($AG210,MedList,COLUMN(Setup!$C$49),1)</f>
        <v>0</v>
      </c>
      <c r="AI210" s="146">
        <f t="shared" ca="1" si="107"/>
        <v>0</v>
      </c>
      <c r="AJ210" s="101" t="str">
        <f ca="1">IF(ISNA(VLOOKUP($C210,EmpAll,COLUMN(Emp!$L$4),0)),"None!",VLOOKUP($C210,EmpAll,COLUMN(Emp!$L$4),0))</f>
        <v>None!</v>
      </c>
      <c r="AK210" s="147">
        <f t="shared" ca="1" si="102"/>
        <v>17235</v>
      </c>
      <c r="AL210" s="101" t="str">
        <f ca="1">IF(ISNA(VLOOKUP($C210,Employees[],COLUMN(Emp!$M$4),0))=TRUE,"Error!",IF(VLOOKUP($C210,Employees[],COLUMN(Emp!$M$4),0)=0,"Yes",VLOOKUP($C210,Employees[],COLUMN(Emp!$M$4),0)))</f>
        <v>Error!</v>
      </c>
      <c r="AM210" s="148">
        <f t="shared" ca="1" si="108"/>
        <v>0</v>
      </c>
      <c r="AN210" s="148" cm="1">
        <f t="array" aca="1" ref="AN210" ca="1">-IF($F210="Terminated",0,IF($AA210=0,0,IF(ISNA(MATCH(AN$5,PayDedList,0)),0,MIN(IF(COUNTIFS(OverEmp,$C210,OverDeduct,AN$5,OverDate,"&lt;"&amp;DATE(YEAR($AC210),MONTH($AC210)+1,1),OverEnd,"&gt;="&amp;DATE(YEAR($AC210),MONTH($AC210),1))&gt;0,SUMPRODUCT((PayEmp=$C210)*(PayDate&lt;=$AC210)*(OFFSET($N$6,1,MATCH(AN$5,PayDedList,0)-1,PayCount,1)))/$AA210*12*AN$3,IF(OR(AN$1="Fixed",AN$1="Not Used"),SUMPRODUCT((PayEmp=$C210)*(PayDate&lt;=$AC210)*(OFFSET($N$6,1,MATCH(AN$5,PayDedList,0)-1,PayCount,1)))/$AA210*12*AN$3,IF(ISNA(MATCH(AN$1,EarnListItem,0))=FALSE,SUMPRODUCT((PayEmp=$C210)*(PayDate&lt;=$AC210)*(OFFSET($N$6,1,MATCH(AN$5,PayDedList,0)-1,PayCount,1)))/$AA210*12*AN$3,(MIN(((SUMPRODUCT((PayEmp=$C210)*(PayDate&lt;=$AC210)*(ISERROR(SEARCH(PayEarnCode,AN$2)))*(PayEarnType="Monthly")*(PayEarnValues))/$AA210*12)+(SUMPRODUCT((PayEmp=$C210)*(PayDate&lt;=$AC210)*(ISERROR(SEARCH(PayEarnCode,AN$2)))*(PayEarnType="Quarterly")*(PayEarnValues))/MAX(1,ROUNDDOWN($AB210/3,0))*4)+(SUMPRODUCT((PayEmp=$C210)*(PayDate&lt;=$AC210)*(ISERROR(SEARCH(PayEarnCode,AN$2)))*(PayEarnType="Bi-Annual")*(PayEarnValues))/MAX(1,ROUNDDOWN($AB210/6,0))*2)+(SUMPRODUCT((PayEmp=$C210)*(PayDate&lt;=$AC210)*(ISERROR(SEARCH(PayEarnCode,AN$2)))*(PayEarnType="Annual")*(PayEarnValues)))),IF(ISNUMBER(OFFSET($N$3,0,MATCH(AN$5,PayDedList,0)-1,1,1)),OFFSET($N$3,0,MATCH(AN$5,PayDedList,0)-1,1,1),IgnoreMin)))*IF(COUNTIFS(EmpNo,$C210,OFFSET(Emp!$R$4,1,MATCH(AN$5,DedListItem,0)-1,EmpCount,1),"&lt;&gt;")&gt;0,VLOOKUP($C210,EmpAll,COLUMN(Emp!$R$4)+MATCH(AN$5,DedListItem,0)-1,0),OFFSET(Setup!$E$73,MATCH(AN$5,DedListItem,0),0,1,1))*AN$3))),IF(ISNUMBER(AN$4),AN$4,IgnoreMin)))))</f>
        <v>0</v>
      </c>
      <c r="AO210" s="148" cm="1">
        <f t="array" aca="1" ref="AO210" ca="1">-IF($F210="Terminated",0,IF($AA210=0,0,IF(ISNA(MATCH(AO$5,PayDedList,0)),0,MIN(IF(COUNTIFS(OverEmp,$C210,OverDeduct,AO$5,OverDate,"&lt;"&amp;DATE(YEAR($AC210),MONTH($AC210)+1,1),OverEnd,"&gt;="&amp;DATE(YEAR($AC210),MONTH($AC210),1))&gt;0,SUMPRODUCT((PayEmp=$C210)*(PayDate&lt;=$AC210)*(OFFSET($N$6,1,MATCH(AO$5,PayDedList,0)-1,PayCount,1)))/$AA210*12*AO$3,IF(OR(AO$1="Fixed",AO$1="Not Used"),SUMPRODUCT((PayEmp=$C210)*(PayDate&lt;=$AC210)*(OFFSET($N$6,1,MATCH(AO$5,PayDedList,0)-1,PayCount,1)))/$AA210*12*AO$3,IF(ISNA(MATCH(AO$1,EarnListItem,0))=FALSE,SUMPRODUCT((PayEmp=$C210)*(PayDate&lt;=$AC210)*(OFFSET($N$6,1,MATCH(AO$5,PayDedList,0)-1,PayCount,1)))/$AA210*12*AO$3,(MIN(((SUMPRODUCT((PayEmp=$C210)*(PayDate&lt;=$AC210)*(ISERROR(SEARCH(PayEarnCode,AO$2)))*(PayEarnType="Monthly")*(PayEarnValues))/$AA210*12)+(SUMPRODUCT((PayEmp=$C210)*(PayDate&lt;=$AC210)*(ISERROR(SEARCH(PayEarnCode,AO$2)))*(PayEarnType="Quarterly")*(PayEarnValues))/MAX(1,ROUNDDOWN($AB210/3,0))*4)+(SUMPRODUCT((PayEmp=$C210)*(PayDate&lt;=$AC210)*(ISERROR(SEARCH(PayEarnCode,AO$2)))*(PayEarnType="Bi-Annual")*(PayEarnValues))/MAX(1,ROUNDDOWN($AB210/6,0))*2)+(SUMPRODUCT((PayEmp=$C210)*(PayDate&lt;=$AC210)*(ISERROR(SEARCH(PayEarnCode,AO$2)))*(PayEarnType="Annual")*(PayEarnValues)))),IF(ISNUMBER(OFFSET($N$3,0,MATCH(AO$5,PayDedList,0)-1,1,1)),OFFSET($N$3,0,MATCH(AO$5,PayDedList,0)-1,1,1),IgnoreMin)))*IF(COUNTIFS(EmpNo,$C210,OFFSET(Emp!$R$4,1,MATCH(AO$5,DedListItem,0)-1,EmpCount,1),"&lt;&gt;")&gt;0,VLOOKUP($C210,EmpAll,COLUMN(Emp!$R$4)+MATCH(AO$5,DedListItem,0)-1,0),OFFSET(Setup!$E$73,MATCH(AO$5,DedListItem,0),0,1,1))*AO$3))),IF(ISNUMBER(AO$4),AO$4,IgnoreMin)))))</f>
        <v>0</v>
      </c>
      <c r="AP210" s="148" cm="1">
        <f t="array" aca="1" ref="AP210" ca="1">-IF($F210="Terminated",0,IF($AA210=0,0,IF(ISNA(MATCH(AP$5,PayDedList,0)),0,MIN(IF(COUNTIFS(OverEmp,$C210,OverDeduct,AP$5,OverDate,"&lt;"&amp;DATE(YEAR($AC210),MONTH($AC210)+1,1),OverEnd,"&gt;="&amp;DATE(YEAR($AC210),MONTH($AC210),1))&gt;0,SUMPRODUCT((PayEmp=$C210)*(PayDate&lt;=$AC210)*(OFFSET($N$6,1,MATCH(AP$5,PayDedList,0)-1,PayCount,1)))/$AA210*12*AP$3,IF(OR(AP$1="Fixed",AP$1="Not Used"),SUMPRODUCT((PayEmp=$C210)*(PayDate&lt;=$AC210)*(OFFSET($N$6,1,MATCH(AP$5,PayDedList,0)-1,PayCount,1)))/$AA210*12*AP$3,IF(ISNA(MATCH(AP$1,EarnListItem,0))=FALSE,SUMPRODUCT((PayEmp=$C210)*(PayDate&lt;=$AC210)*(OFFSET($N$6,1,MATCH(AP$5,PayDedList,0)-1,PayCount,1)))/$AA210*12*AP$3,(MIN(((SUMPRODUCT((PayEmp=$C210)*(PayDate&lt;=$AC210)*(ISERROR(SEARCH(PayEarnCode,AP$2)))*(PayEarnType="Monthly")*(PayEarnValues))/$AA210*12)+(SUMPRODUCT((PayEmp=$C210)*(PayDate&lt;=$AC210)*(ISERROR(SEARCH(PayEarnCode,AP$2)))*(PayEarnType="Quarterly")*(PayEarnValues))/MAX(1,ROUNDDOWN($AB210/3,0))*4)+(SUMPRODUCT((PayEmp=$C210)*(PayDate&lt;=$AC210)*(ISERROR(SEARCH(PayEarnCode,AP$2)))*(PayEarnType="Bi-Annual")*(PayEarnValues))/MAX(1,ROUNDDOWN($AB210/6,0))*2)+(SUMPRODUCT((PayEmp=$C210)*(PayDate&lt;=$AC210)*(ISERROR(SEARCH(PayEarnCode,AP$2)))*(PayEarnType="Annual")*(PayEarnValues)))),IF(ISNUMBER(OFFSET($N$3,0,MATCH(AP$5,PayDedList,0)-1,1,1)),OFFSET($N$3,0,MATCH(AP$5,PayDedList,0)-1,1,1),IgnoreMin)))*IF(COUNTIFS(EmpNo,$C210,OFFSET(Emp!$R$4,1,MATCH(AP$5,DedListItem,0)-1,EmpCount,1),"&lt;&gt;")&gt;0,VLOOKUP($C210,EmpAll,COLUMN(Emp!$R$4)+MATCH(AP$5,DedListItem,0)-1,0),OFFSET(Setup!$E$73,MATCH(AP$5,DedListItem,0),0,1,1))*AP$3))),IF(ISNUMBER(AP$4),AP$4,IgnoreMin)))))</f>
        <v>0</v>
      </c>
      <c r="AQ210" s="148" cm="1">
        <f t="array" aca="1" ref="AQ210" ca="1">-IF($F210="Terminated",0,IF($AA210=0,0,IF(ISNA(MATCH(AQ$5,PayDedList,0)),0,MIN(IF(COUNTIFS(OverEmp,$C210,OverDeduct,AQ$5,OverDate,"&lt;"&amp;DATE(YEAR($AC210),MONTH($AC210)+1,1),OverEnd,"&gt;="&amp;DATE(YEAR($AC210),MONTH($AC210),1))&gt;0,SUMPRODUCT((PayEmp=$C210)*(PayDate&lt;=$AC210)*(OFFSET($N$6,1,MATCH(AQ$5,PayDedList,0)-1,PayCount,1)))/$AA210*12*AQ$3,IF(OR(AQ$1="Fixed",AQ$1="Not Used"),SUMPRODUCT((PayEmp=$C210)*(PayDate&lt;=$AC210)*(OFFSET($N$6,1,MATCH(AQ$5,PayDedList,0)-1,PayCount,1)))/$AA210*12*AQ$3,IF(ISNA(MATCH(AQ$1,EarnListItem,0))=FALSE,SUMPRODUCT((PayEmp=$C210)*(PayDate&lt;=$AC210)*(OFFSET($N$6,1,MATCH(AQ$5,PayDedList,0)-1,PayCount,1)))/$AA210*12*AQ$3,(MIN(((SUMPRODUCT((PayEmp=$C210)*(PayDate&lt;=$AC210)*(ISERROR(SEARCH(PayEarnCode,AQ$2)))*(PayEarnType="Monthly")*(PayEarnValues))/$AA210*12)+(SUMPRODUCT((PayEmp=$C210)*(PayDate&lt;=$AC210)*(ISERROR(SEARCH(PayEarnCode,AQ$2)))*(PayEarnType="Quarterly")*(PayEarnValues))/MAX(1,ROUNDDOWN($AB210/3,0))*4)+(SUMPRODUCT((PayEmp=$C210)*(PayDate&lt;=$AC210)*(ISERROR(SEARCH(PayEarnCode,AQ$2)))*(PayEarnType="Bi-Annual")*(PayEarnValues))/MAX(1,ROUNDDOWN($AB210/6,0))*2)+(SUMPRODUCT((PayEmp=$C210)*(PayDate&lt;=$AC210)*(ISERROR(SEARCH(PayEarnCode,AQ$2)))*(PayEarnType="Annual")*(PayEarnValues)))),IF(ISNUMBER(OFFSET($N$3,0,MATCH(AQ$5,PayDedList,0)-1,1,1)),OFFSET($N$3,0,MATCH(AQ$5,PayDedList,0)-1,1,1),IgnoreMin)))*IF(COUNTIFS(EmpNo,$C210,OFFSET(Emp!$R$4,1,MATCH(AQ$5,DedListItem,0)-1,EmpCount,1),"&lt;&gt;")&gt;0,VLOOKUP($C210,EmpAll,COLUMN(Emp!$R$4)+MATCH(AQ$5,DedListItem,0)-1,0),OFFSET(Setup!$E$73,MATCH(AQ$5,DedListItem,0),0,1,1))*AQ$3))),IF(ISNUMBER(AQ$4),AQ$4,IgnoreMin)))))</f>
        <v>0</v>
      </c>
      <c r="AR210" s="148">
        <f t="shared" ca="1" si="120"/>
        <v>0</v>
      </c>
      <c r="AS210" s="148">
        <f t="shared" ca="1" si="109"/>
        <v>0</v>
      </c>
      <c r="AT210" s="148" cm="1">
        <f t="array" aca="1" ref="AT210" ca="1">-IF($F210="Terminated",0,IF($AA210=0,0,IF(ISNA(MATCH(AT$5,PayDedList,0)),0,MIN(IF(COUNTIFS(OverEmp,$C210,OverDeduct,AT$5,OverDate,"&lt;"&amp;DATE(YEAR($AC210),MONTH($AC210)+1,1),OverEnd,"&gt;="&amp;DATE(YEAR($AC210),MONTH($AC210),1))&gt;0,SUMPRODUCT((PayEmp=$C210)*(PayDate&lt;=$AC210)*(OFFSET($N$6,1,MATCH(AT$5,PayDedList,0)-1,PayCount,1)))/$AA210*12*AT$3,IF(OR(AT$1="Fixed",AT$1="Not Used"),SUMPRODUCT((PayEmp=$C210)*(PayDate&lt;=$AC210)*(OFFSET($N$6,1,MATCH(AT$5,PayDedList,0)-1,PayCount,1)))/$AA210*12*AT$3,IF(ISNA(MATCH(OFFSET($N$2,0,MATCH(AT$5,PayDedList,0)-1,1,1),EarnListItem,0))=FALSE,SUMPRODUCT((PayEmp=$C210)*(PayDate&lt;=$AC210)*(OFFSET($N$6,1,MATCH(AT$5,PayDedList,0)-1,PayCount,1)))/$AA210*12*AT$3,(MIN(SUMPRODUCT((PayEmp=$C210)*(PayDate&lt;=$AC210)*(ISERROR(SEARCH(PayEarnCode,AT$2)))*(PayEarnType="Monthly")*(PayEarnValues))/$AA210*12,IF(ISNUMBER(OFFSET($N$3,0,MATCH(AT$5,PayDedList,0)-1,1,1)),OFFSET($N$3,0,MATCH(AT$5,PayDedList,0)-1,1,1),IgnoreMin)))*IF(COUNTIFS(EmpNo,$C210,OFFSET(Emp!$R$4,1,MATCH(AT$5,DedListItem,0)-1,EmpCount,1),"&lt;&gt;")&gt;0,VLOOKUP($C210,EmpAll,COLUMN(Emp!$R$4)+MATCH(AT$5,DedListItem,0)-1,0),OFFSET(Setup!$E$73,MATCH(AT$5,DedListItem,0),0,1,1))*AT$3))),IF(ISNUMBER(AT$4),AT$4,IgnoreMin)))))</f>
        <v>0</v>
      </c>
      <c r="AU210" s="148" cm="1">
        <f t="array" aca="1" ref="AU210" ca="1">-IF($F210="Terminated",0,IF($AA210=0,0,IF(ISNA(MATCH(AU$5,PayDedList,0)),0,MIN(IF(COUNTIFS(OverEmp,$C210,OverDeduct,AU$5,OverDate,"&lt;"&amp;DATE(YEAR($AC210),MONTH($AC210)+1,1),OverEnd,"&gt;="&amp;DATE(YEAR($AC210),MONTH($AC210),1))&gt;0,SUMPRODUCT((PayEmp=$C210)*(PayDate&lt;=$AC210)*(OFFSET($N$6,1,MATCH(AU$5,PayDedList,0)-1,PayCount,1)))/$AA210*12*AU$3,IF(OR(AU$1="Fixed",AU$1="Not Used"),SUMPRODUCT((PayEmp=$C210)*(PayDate&lt;=$AC210)*(OFFSET($N$6,1,MATCH(AU$5,PayDedList,0)-1,PayCount,1)))/$AA210*12*AU$3,IF(ISNA(MATCH(OFFSET($N$2,0,MATCH(AU$5,PayDedList,0)-1,1,1),EarnListItem,0))=FALSE,SUMPRODUCT((PayEmp=$C210)*(PayDate&lt;=$AC210)*(OFFSET($N$6,1,MATCH(AU$5,PayDedList,0)-1,PayCount,1)))/$AA210*12*AU$3,(MIN(SUMPRODUCT((PayEmp=$C210)*(PayDate&lt;=$AC210)*(ISERROR(SEARCH(PayEarnCode,AU$2)))*(PayEarnType="Monthly")*(PayEarnValues))/$AA210*12,IF(ISNUMBER(OFFSET($N$3,0,MATCH(AU$5,PayDedList,0)-1,1,1)),OFFSET($N$3,0,MATCH(AU$5,PayDedList,0)-1,1,1),IgnoreMin)))*IF(COUNTIFS(EmpNo,$C210,OFFSET(Emp!$R$4,1,MATCH(AU$5,DedListItem,0)-1,EmpCount,1),"&lt;&gt;")&gt;0,VLOOKUP($C210,EmpAll,COLUMN(Emp!$R$4)+MATCH(AU$5,DedListItem,0)-1,0),OFFSET(Setup!$E$73,MATCH(AU$5,DedListItem,0),0,1,1))*AU$3))),IF(ISNUMBER(AU$4),AU$4,IgnoreMin)))))</f>
        <v>0</v>
      </c>
      <c r="AV210" s="148" cm="1">
        <f t="array" aca="1" ref="AV210" ca="1">-IF($F210="Terminated",0,IF($AA210=0,0,IF(ISNA(MATCH(AV$5,PayDedList,0)),0,MIN(IF(COUNTIFS(OverEmp,$C210,OverDeduct,AV$5,OverDate,"&lt;"&amp;DATE(YEAR($AC210),MONTH($AC210)+1,1),OverEnd,"&gt;="&amp;DATE(YEAR($AC210),MONTH($AC210),1))&gt;0,SUMPRODUCT((PayEmp=$C210)*(PayDate&lt;=$AC210)*(OFFSET($N$6,1,MATCH(AV$5,PayDedList,0)-1,PayCount,1)))/$AA210*12*AV$3,IF(OR(AV$1="Fixed",AV$1="Not Used"),SUMPRODUCT((PayEmp=$C210)*(PayDate&lt;=$AC210)*(OFFSET($N$6,1,MATCH(AV$5,PayDedList,0)-1,PayCount,1)))/$AA210*12*AV$3,IF(ISNA(MATCH(OFFSET($N$2,0,MATCH(AV$5,PayDedList,0)-1,1,1),EarnListItem,0))=FALSE,SUMPRODUCT((PayEmp=$C210)*(PayDate&lt;=$AC210)*(OFFSET($N$6,1,MATCH(AV$5,PayDedList,0)-1,PayCount,1)))/$AA210*12*AV$3,(MIN(SUMPRODUCT((PayEmp=$C210)*(PayDate&lt;=$AC210)*(ISERROR(SEARCH(PayEarnCode,AV$2)))*(PayEarnType="Monthly")*(PayEarnValues))/$AA210*12,IF(ISNUMBER(OFFSET($N$3,0,MATCH(AV$5,PayDedList,0)-1,1,1)),OFFSET($N$3,0,MATCH(AV$5,PayDedList,0)-1,1,1),IgnoreMin)))*IF(COUNTIFS(EmpNo,$C210,OFFSET(Emp!$R$4,1,MATCH(AV$5,DedListItem,0)-1,EmpCount,1),"&lt;&gt;")&gt;0,VLOOKUP($C210,EmpAll,COLUMN(Emp!$R$4)+MATCH(AV$5,DedListItem,0)-1,0),OFFSET(Setup!$E$73,MATCH(AV$5,DedListItem,0),0,1,1))*AV$3))),IF(ISNUMBER(AV$4),AV$4,IgnoreMin)))))</f>
        <v>0</v>
      </c>
      <c r="AW210" s="148" cm="1">
        <f t="array" aca="1" ref="AW210" ca="1">-IF($F210="Terminated",0,IF($AA210=0,0,IF(ISNA(MATCH(AW$5,PayDedList,0)),0,MIN(IF(COUNTIFS(OverEmp,$C210,OverDeduct,AW$5,OverDate,"&lt;"&amp;DATE(YEAR($AC210),MONTH($AC210)+1,1),OverEnd,"&gt;="&amp;DATE(YEAR($AC210),MONTH($AC210),1))&gt;0,SUMPRODUCT((PayEmp=$C210)*(PayDate&lt;=$AC210)*(OFFSET($N$6,1,MATCH(AW$5,PayDedList,0)-1,PayCount,1)))/$AA210*12*AW$3,IF(OR(AW$1="Fixed",AW$1="Not Used"),SUMPRODUCT((PayEmp=$C210)*(PayDate&lt;=$AC210)*(OFFSET($N$6,1,MATCH(AW$5,PayDedList,0)-1,PayCount,1)))/$AA210*12*AW$3,IF(ISNA(MATCH(OFFSET($N$2,0,MATCH(AW$5,PayDedList,0)-1,1,1),EarnListItem,0))=FALSE,SUMPRODUCT((PayEmp=$C210)*(PayDate&lt;=$AC210)*(OFFSET($N$6,1,MATCH(AW$5,PayDedList,0)-1,PayCount,1)))/$AA210*12*AW$3,(MIN(SUMPRODUCT((PayEmp=$C210)*(PayDate&lt;=$AC210)*(ISERROR(SEARCH(PayEarnCode,AW$2)))*(PayEarnType="Monthly")*(PayEarnValues))/$AA210*12,IF(ISNUMBER(OFFSET($N$3,0,MATCH(AW$5,PayDedList,0)-1,1,1)),OFFSET($N$3,0,MATCH(AW$5,PayDedList,0)-1,1,1),IgnoreMin)))*IF(COUNTIFS(EmpNo,$C210,OFFSET(Emp!$R$4,1,MATCH(AW$5,DedListItem,0)-1,EmpCount,1),"&lt;&gt;")&gt;0,VLOOKUP($C210,EmpAll,COLUMN(Emp!$R$4)+MATCH(AW$5,DedListItem,0)-1,0),OFFSET(Setup!$E$73,MATCH(AW$5,DedListItem,0),0,1,1))*AW$3))),IF(ISNUMBER(AW$4),AW$4,IgnoreMin)))))</f>
        <v>0</v>
      </c>
      <c r="AX210" s="148">
        <f t="shared" ca="1" si="121"/>
        <v>0</v>
      </c>
      <c r="AY210" s="148">
        <f t="shared" ca="1" si="122"/>
        <v>0</v>
      </c>
      <c r="AZ210" s="148">
        <f ca="1">IF(ISNUMBER($AL210),($AR210*$AL210)-$AI210-$AK210,MAX(0,IF($AL210="B",IF($AR210&lt;Setup!$C$32,($AR210*Setup!$D$32)-$AI210-$AK210,(($AR210-VLOOKUP($AR210,TaxAll2,1,1))*OFFSET(Setup!$D$32,MATCH($AR210,TaxBracket2,1),0,1,1))+OFFSET(Setup!$E$31,MATCH($AR210,TaxBracket2,1),0,1,1)-$AI210-$AK210),IF($AR210&lt;Setup!$C$21,($AR210*Setup!$D$21)-$AI210-$AK210,(($AR210-VLOOKUP($AR210,TaxAll1,1,1))*OFFSET(Setup!$D$21,MATCH($AR210,TaxBracket1,1),0,1,1))+OFFSET(Setup!$E$20,MATCH($AR210,TaxBracket1,1),0,1,1)-$AI210-$AK210))))</f>
        <v>0</v>
      </c>
      <c r="BA210" s="148">
        <f ca="1">IF(ISNUMBER($AL210),($AX210*$AL210)-$AI210-$AK210,MAX(0,IF($AL210="B",IF($AX210&lt;Setup!$C$32,($AX210*Setup!$D$32)-$AI210-$AK210,(($AX210-VLOOKUP($AX210,TaxAll2,1,1))*OFFSET(Setup!$D$32,MATCH($AX210,TaxBracket2,1),0,1,1))+OFFSET(Setup!$E$31,MATCH($AX210,TaxBracket2,1),0,1,1)-$AI210-$AK210),IF($AX210&lt;Setup!$C$21,($AX210*Setup!$D$21)-$AI210-$AK210,(($AX210-VLOOKUP($AX210,TaxAll1,1,1))*OFFSET(Setup!$D$21,MATCH($AX210,TaxBracket1,1),0,1,1))+OFFSET(Setup!$E$20,MATCH($AX210,TaxBracket1,1),0,1,1)-$AI210-$AK210))))</f>
        <v>0</v>
      </c>
      <c r="BB210" s="148">
        <f t="shared" ca="1" si="123"/>
        <v>0</v>
      </c>
      <c r="BC210" s="150">
        <f t="shared" ca="1" si="110"/>
        <v>0</v>
      </c>
      <c r="BD210" s="150">
        <f t="shared" ca="1" si="111"/>
        <v>0</v>
      </c>
      <c r="BE210" s="148">
        <f t="shared" ca="1" si="112"/>
        <v>0</v>
      </c>
    </row>
    <row r="211" spans="1:57" ht="16.149999999999999" customHeight="1" x14ac:dyDescent="0.25">
      <c r="A211" s="10" t="str" cm="1">
        <f t="array" ref="A211">IF(ROW($A211)-ROW($A$6)&gt;EmpCount*12,"-",TEXT($B211,"yyyy")&amp;TEXT($B211,"mm")&amp;"-"&amp;$C211)</f>
        <v>-</v>
      </c>
      <c r="B211" s="137" cm="1">
        <f t="array" aca="1" ref="B211" ca="1">IF(ROW($A211)-ROW($A$6)&gt;EmpCount*12,Setup!$D$12,DATE(YEAR(Setup!$F$12),MONTH(Setup!$F$12)+ROUNDDOWN((ROW($A211)-ROW($A$6)-1)/EmpCount,0),IF(Setup!$C$14&gt;DAY(DATE(YEAR(Setup!$F$12),MONTH(Setup!$F$12)+ROUNDDOWN((ROW($A211)-ROW($A$6)-1)/EmpCount,0)+1,0)),DAY(DATE(YEAR(Setup!$F$12),MONTH(Setup!$F$12)+ROUNDDOWN((ROW($A211)-ROW($A$6)-1)/EmpCount,0)+1,0)),Setup!$C$14)))</f>
        <v>45351</v>
      </c>
      <c r="C211" s="101" t="str" cm="1">
        <f t="array" aca="1" ref="C211" ca="1">IF(ROW($A211)-ROW($A$6)&gt;EmpCount*12,"-",OFFSET(Emp!$A$4,ROW($A211)-ROW($A$6)-IF(ROW($A211)-ROW($A$6)&gt;EmpCount,ROUNDDOWN((ROW($A211)-ROW($A$6)-1)/EmpCount,0)*EmpCount,0),0,1,1))</f>
        <v>-</v>
      </c>
      <c r="D211" s="10" t="str">
        <f ca="1">IF(ISNA(VLOOKUP($C211,EmpAll,COLUMN(Emp!$B$4),0)),"-",VLOOKUP($C211,EmpAll,COLUMN(Emp!$B$4),0))</f>
        <v>-</v>
      </c>
      <c r="E211" s="145" t="str">
        <f ca="1">IF(ISNA(VLOOKUP($C211,EmpAll,COLUMN(Emp!$C$4),0)),"-",VLOOKUP($C211,EmpAll,COLUMN(Emp!$C$4),0))</f>
        <v>-</v>
      </c>
      <c r="F211" s="101" t="str">
        <f ca="1">IF(ISNA(VLOOKUP($C211,EmpAll,COLUMN(Emp!$A$4),0)),"-",IF(AND(VLOOKUP($C211,EmpAll,COLUMN(Emp!$E$4),0)&lt;&gt;0,VLOOKUP($C211,EmpAll,COLUMN(Emp!$E$4),0)&gt;=DATE(YEAR($AC211),MONTH($AC211)+1,0)),"Inactive",IF(AND(VLOOKUP($C211,EmpAll,COLUMN(Emp!$F$4),0)&lt;&gt;0,VLOOKUP($C211,EmpAll,COLUMN(Emp!$F$4),0)&lt;=DATE(YEAR($AC211),MONTH($AC211),0)),"Terminated","Active")))</f>
        <v>-</v>
      </c>
      <c r="G211" s="133" cm="1">
        <f t="array" aca="1" ref="G211" ca="1">IF($F211&lt;&gt;"Active",0,IF(COUNTIFS(OverEmp,$C211,OverEarn,G$2,OverDate,"&lt;"&amp;DATE(YEAR($AC211),MONTH($AC211)+1,1),OverEnd,"&gt;="&amp;DATE(YEAR($AC211),MONTH($AC211),1))&gt;0,SUMIFS(OverValue,OverEmp,$C211,OverEarn,G$2,OverDate,"&lt;"&amp;DATE(YEAR($AC211),MONTH($AC211)+1,1),OverEnd,"&gt;="&amp;DATE(YEAR($AC211),MONTH($AC211),1)),IF(AND($AC211&gt;=Setup!$E$10,SUMIFS(EmpIncrease,EmpCode,$C211)&gt;0),SUMIFS(EmpIncrease,EmpCode,$C211),SUMIFS(EmpSalary,EmpCode,$C211))))</f>
        <v>0</v>
      </c>
      <c r="H211" s="133" cm="1">
        <f t="array" aca="1" ref="H211" ca="1">IF($F211&lt;&gt;"Active",0,IF(COUNTIFS(OverEmp,$C211,OverEarn,H$2,OverDate,"&lt;"&amp;DATE(YEAR($AC211),MONTH($AC211)+1,1),OverEnd,"&gt;="&amp;DATE(YEAR($AC211),MONTH($AC211),1))&gt;0,SUMIFS(OverValue,OverEmp,$C211,OverEarn,H$2,OverDate,"&lt;"&amp;DATE(YEAR($AC211),MONTH($AC211)+1,1),OverEnd,"&gt;="&amp;DATE(YEAR($AC211),MONTH($AC211),1)),0))</f>
        <v>0</v>
      </c>
      <c r="I211" s="133" cm="1">
        <f t="array" aca="1" ref="I211" ca="1">IF($F211&lt;&gt;"Active",0,IF(COUNTIFS(OverEmp,$C211,OverEarn,I$2,OverDate,"&lt;"&amp;DATE(YEAR($AC211),MONTH($AC211)+1,1),OverEnd,"&gt;="&amp;DATE(YEAR($AC211),MONTH($AC211),1))&gt;0,SUMIFS(OverValue,OverEmp,$C211,OverEarn,I$2,OverDate,"&lt;"&amp;DATE(YEAR($AC211),MONTH($AC211)+1,1),OverEnd,"&gt;="&amp;DATE(YEAR($AC211),MONTH($AC211),1)),IF(MONTH(B211)=Setup!$C$15,SUMIFS(EmpBonus,EmpCode,$C211),0)))</f>
        <v>0</v>
      </c>
      <c r="J211" s="133" cm="1">
        <f t="array" aca="1" ref="J211" ca="1">IF($F211&lt;&gt;"Active",0,IF(COUNTIFS(OverEmp,$C211,OverEarn,J$2,OverDate,"&lt;"&amp;DATE(YEAR($AC211),MONTH($AC211)+1,1),OverEnd,"&gt;="&amp;DATE(YEAR($AC211),MONTH($AC211),1))&gt;0,SUMIFS(OverValue,OverEmp,$C211,OverEarn,J$2,OverDate,"&lt;"&amp;DATE(YEAR($AC211),MONTH($AC211)+1,1),OverEnd,"&gt;="&amp;DATE(YEAR($AC211),MONTH($AC211),1)),0))</f>
        <v>0</v>
      </c>
      <c r="K211" s="133" cm="1">
        <f t="array" aca="1" ref="K211" ca="1">IF($F211&lt;&gt;"Active",0,IF(COUNTIFS(OverEmp,$C211,OverEarn,K$2,OverDate,"&lt;"&amp;DATE(YEAR($AC211),MONTH($AC211)+1,1),OverEnd,"&gt;="&amp;DATE(YEAR($AC211),MONTH($AC211),1))&gt;0,SUMIFS(OverValue,OverEmp,$C211,OverEarn,K$2,OverDate,"&lt;"&amp;DATE(YEAR($AC211),MONTH($AC211)+1,1),OverEnd,"&gt;="&amp;DATE(YEAR($AC211),MONTH($AC211),1)),0))</f>
        <v>0</v>
      </c>
      <c r="L211" s="185">
        <f t="shared" ca="1" si="113"/>
        <v>0</v>
      </c>
      <c r="M211" s="182" cm="1">
        <f t="array" aca="1" ref="M211" ca="1">IF(COUNTIFS(OverEmp,$C211,OverTax,M$5,OverDate,"&lt;"&amp;DATE(YEAR($AC211),MONTH($AC211)+1,1),OverEnd,"&gt;="&amp;DATE(YEAR($AC211),MONTH($AC211),1))&gt;0,SUMIFS(OverValue,OverEmp,$C211,OverTax,M$5,OverDate,"&lt;"&amp;DATE(YEAR($AC211),MONTH($AC211)+1,1),OverEnd,"&gt;="&amp;DATE(YEAR($AC211),MONTH($AC211),1)),(($BA211/12*$AA211)+(BB211*IF(1-$BC211=0,0,BD211/(1-$BC211))))-IF($F211="Terminated",0,SUMIFS(PayTaxDeduct,PayDate,"&lt;"&amp;$AC211,PayEmp,$C211)))</f>
        <v>0</v>
      </c>
      <c r="N211" s="133" cm="1">
        <f t="array" aca="1" ref="N211" ca="1">IF($F211="Terminated",0,IF($AA211=0,0,IF(ISNA(MATCH(N$5,DedListItem,0)),0,IF(COUNTIFS(OverEmp,$C211,OverDeduct,N$5,OverDate,"&lt;"&amp;DATE(YEAR($AC211),MONTH($AC211)+1,1),OverEnd,"&gt;="&amp;DATE(YEAR($AC211),MONTH($AC211),1))&gt;0,SUMIFS(OverValue,OverEmp,$C211,OverDeduct,N$5,OverDate,"&lt;"&amp;DATE(YEAR($AC211),MONTH($AC211)+1,1),OverEnd,"&gt;="&amp;DATE(YEAR($AC211),MONTH($AC211),1)),IF(OR(N$2="Fixed",N$2="Not Used"),(IF(COUNTIFS(EmpNo,$C211,OFFSET(Emp!$R$4,1,MATCH(N$5,DedListItem,0)-1,EmpCount,1),"&lt;&gt;")&gt;0,VLOOKUP($C211,EmpAll,COLUMN(Emp!$R$4)+MATCH(N$5,DedListItem,0)-1,0),OFFSET(Setup!$E$73,MATCH(N$5,DedListItem,0),0,1,1))*$AA211)-SUMIFS(OFFSET(N$6,1,0,PayCount,1),PayDate,"&lt;"&amp;$AC211,PayEmp,$C211),IF(ISNA(MATCH(N$2,EarnListItem,0))=FALSE,IF(OFFSET(Setup!$G$73,MATCH(N$5,DedListItem,0),0,1,1)="Taxable",SUMPRODUCT((PayEmp=$C211)*(PayDate&lt;=$AC211)*(PayEarnCode=N$2)*(PayEarnTax)*(PayEarnValues)),SUMPRODUCT((PayEmp=$C211)*(PayDate&lt;=$AC211)*(PayEarnCode=N$2)*(PayEarnValues)))*IF(COUNTIFS(EmpNo,$C211,OFFSET(Emp!$R$4,1,MATCH(N$5,DedListItem,0)-1,EmpCount,1),"&lt;&gt;")&gt;0,VLOOKUP($C211,EmpAll,COLUMN(Emp!$R$4)+MATCH(N$5,DedListItem,0)-1,0),OFFSET(Setup!$E$73,MATCH(N$5,DedListItem,0),0,1,1)),(MIN(IF(OFFSET(Setup!$G$73,MATCH(N$5,DedListItem,0),0,1,1)="Taxable",SUMPRODUCT((PayEmp=$C211)*(PayDate&lt;=$AC211)*(ISERROR(SEARCH(PayEarnCode,N$4)))*(PayEarnTax)*(PayEarnValues)),SUMPRODUCT((PayEmp=$C211)*(PayDate&lt;=$AC211)*(ISERROR(SEARCH(PayEarnCode,N$4)))*(PayEarnValues))),IF(ISNUMBER(N$3),N$3/12*$AA211,IgnoreMin)))*IF(COUNTIFS(EmpNo,$C211,OFFSET(Emp!$R$4,1,MATCH(N$5,DedListItem,0)-1,EmpCount,1),"&lt;&gt;")&gt;0,VLOOKUP($C211,EmpAll,COLUMN(Emp!$R$4)+MATCH(N$5,DedListItem,0)-1,0),OFFSET(Setup!$E$73,MATCH(N$5,DedListItem,0),0,1,1)))-SUMIFS(OFFSET(N$6,1,0,PayCount,1),PayDate,"&lt;"&amp;$AC211,PayEmp,$C211))))))</f>
        <v>0</v>
      </c>
      <c r="O211" s="133" cm="1">
        <f t="array" aca="1" ref="O211" ca="1">IF($F211="Terminated",0,IF($AA211=0,0,IF(ISNA(MATCH(O$5,DedListItem,0)),0,IF(COUNTIFS(OverEmp,$C211,OverDeduct,O$5,OverDate,"&lt;"&amp;DATE(YEAR($AC211),MONTH($AC211)+1,1),OverEnd,"&gt;="&amp;DATE(YEAR($AC211),MONTH($AC211),1))&gt;0,SUMIFS(OverValue,OverEmp,$C211,OverDeduct,O$5,OverDate,"&lt;"&amp;DATE(YEAR($AC211),MONTH($AC211)+1,1),OverEnd,"&gt;="&amp;DATE(YEAR($AC211),MONTH($AC211),1)),IF(OR(O$2="Fixed",O$2="Not Used"),(IF(COUNTIFS(EmpNo,$C211,OFFSET(Emp!$R$4,1,MATCH(O$5,DedListItem,0)-1,EmpCount,1),"&lt;&gt;")&gt;0,VLOOKUP($C211,EmpAll,COLUMN(Emp!$R$4)+MATCH(O$5,DedListItem,0)-1,0),OFFSET(Setup!$E$73,MATCH(O$5,DedListItem,0),0,1,1))*$AA211)-SUMIFS(OFFSET(O$6,1,0,PayCount,1),PayDate,"&lt;"&amp;$AC211,PayEmp,$C211),IF(ISNA(MATCH(O$2,EarnListItem,0))=FALSE,IF(OFFSET(Setup!$G$73,MATCH(O$5,DedListItem,0),0,1,1)="Taxable",SUMPRODUCT((PayEmp=$C211)*(PayDate&lt;=$AC211)*(PayEarnCode=O$2)*(PayEarnTax)*(PayEarnValues)),SUMPRODUCT((PayEmp=$C211)*(PayDate&lt;=$AC211)*(PayEarnCode=O$2)*(PayEarnValues)))*IF(COUNTIFS(EmpNo,$C211,OFFSET(Emp!$R$4,1,MATCH(O$5,DedListItem,0)-1,EmpCount,1),"&lt;&gt;")&gt;0,VLOOKUP($C211,EmpAll,COLUMN(Emp!$R$4)+MATCH(O$5,DedListItem,0)-1,0),OFFSET(Setup!$E$73,MATCH(O$5,DedListItem,0),0,1,1)),(MIN(IF(OFFSET(Setup!$G$73,MATCH(O$5,DedListItem,0),0,1,1)="Taxable",SUMPRODUCT((PayEmp=$C211)*(PayDate&lt;=$AC211)*(ISERROR(SEARCH(PayEarnCode,O$4)))*(PayEarnTax)*(PayEarnValues)),SUMPRODUCT((PayEmp=$C211)*(PayDate&lt;=$AC211)*(ISERROR(SEARCH(PayEarnCode,O$4)))*(PayEarnValues))),IF(ISNUMBER(O$3),O$3/12*$AA211,IgnoreMin)))*IF(COUNTIFS(EmpNo,$C211,OFFSET(Emp!$R$4,1,MATCH(O$5,DedListItem,0)-1,EmpCount,1),"&lt;&gt;")&gt;0,VLOOKUP($C211,EmpAll,COLUMN(Emp!$R$4)+MATCH(O$5,DedListItem,0)-1,0),OFFSET(Setup!$E$73,MATCH(O$5,DedListItem,0),0,1,1)))-SUMIFS(OFFSET(O$6,1,0,PayCount,1),PayDate,"&lt;"&amp;$AC211,PayEmp,$C211))))))</f>
        <v>0</v>
      </c>
      <c r="P211" s="133" cm="1">
        <f t="array" aca="1" ref="P211" ca="1">IF($F211="Terminated",0,IF($AA211=0,0,IF(ISNA(MATCH(P$5,DedListItem,0)),0,IF(COUNTIFS(OverEmp,$C211,OverDeduct,P$5,OverDate,"&lt;"&amp;DATE(YEAR($AC211),MONTH($AC211)+1,1),OverEnd,"&gt;="&amp;DATE(YEAR($AC211),MONTH($AC211),1))&gt;0,SUMIFS(OverValue,OverEmp,$C211,OverDeduct,P$5,OverDate,"&lt;"&amp;DATE(YEAR($AC211),MONTH($AC211)+1,1),OverEnd,"&gt;="&amp;DATE(YEAR($AC211),MONTH($AC211),1)),IF(OR(P$2="Fixed",P$2="Not Used"),(IF(COUNTIFS(EmpNo,$C211,OFFSET(Emp!$R$4,1,MATCH(P$5,DedListItem,0)-1,EmpCount,1),"&lt;&gt;")&gt;0,VLOOKUP($C211,EmpAll,COLUMN(Emp!$R$4)+MATCH(P$5,DedListItem,0)-1,0),OFFSET(Setup!$E$73,MATCH(P$5,DedListItem,0),0,1,1))*$AA211)-SUMIFS(OFFSET(P$6,1,0,PayCount,1),PayDate,"&lt;"&amp;$AC211,PayEmp,$C211),IF(ISNA(MATCH(P$2,EarnListItem,0))=FALSE,IF(OFFSET(Setup!$G$73,MATCH(P$5,DedListItem,0),0,1,1)="Taxable",SUMPRODUCT((PayEmp=$C211)*(PayDate&lt;=$AC211)*(PayEarnCode=P$2)*(PayEarnTax)*(PayEarnValues)),SUMPRODUCT((PayEmp=$C211)*(PayDate&lt;=$AC211)*(PayEarnCode=P$2)*(PayEarnValues)))*IF(COUNTIFS(EmpNo,$C211,OFFSET(Emp!$R$4,1,MATCH(P$5,DedListItem,0)-1,EmpCount,1),"&lt;&gt;")&gt;0,VLOOKUP($C211,EmpAll,COLUMN(Emp!$R$4)+MATCH(P$5,DedListItem,0)-1,0),OFFSET(Setup!$E$73,MATCH(P$5,DedListItem,0),0,1,1)),(MIN(IF(OFFSET(Setup!$G$73,MATCH(P$5,DedListItem,0),0,1,1)="Taxable",SUMPRODUCT((PayEmp=$C211)*(PayDate&lt;=$AC211)*(ISERROR(SEARCH(PayEarnCode,P$4)))*(PayEarnTax)*(PayEarnValues)),SUMPRODUCT((PayEmp=$C211)*(PayDate&lt;=$AC211)*(ISERROR(SEARCH(PayEarnCode,P$4)))*(PayEarnValues))),IF(ISNUMBER(P$3),P$3/12*$AA211,IgnoreMin)))*IF(COUNTIFS(EmpNo,$C211,OFFSET(Emp!$R$4,1,MATCH(P$5,DedListItem,0)-1,EmpCount,1),"&lt;&gt;")&gt;0,VLOOKUP($C211,EmpAll,COLUMN(Emp!$R$4)+MATCH(P$5,DedListItem,0)-1,0),OFFSET(Setup!$E$73,MATCH(P$5,DedListItem,0),0,1,1)))-SUMIFS(OFFSET(P$6,1,0,PayCount,1),PayDate,"&lt;"&amp;$AC211,PayEmp,$C211))))))</f>
        <v>0</v>
      </c>
      <c r="Q211" s="133" cm="1">
        <f t="array" aca="1" ref="Q211" ca="1">IF($F211="Terminated",0,IF($AA211=0,0,IF(ISNA(MATCH(Q$5,DedListItem,0)),0,IF(COUNTIFS(OverEmp,$C211,OverDeduct,Q$5,OverDate,"&lt;"&amp;DATE(YEAR($AC211),MONTH($AC211)+1,1),OverEnd,"&gt;="&amp;DATE(YEAR($AC211),MONTH($AC211),1))&gt;0,SUMIFS(OverValue,OverEmp,$C211,OverDeduct,Q$5,OverDate,"&lt;"&amp;DATE(YEAR($AC211),MONTH($AC211)+1,1),OverEnd,"&gt;="&amp;DATE(YEAR($AC211),MONTH($AC211),1)),IF(OR(Q$2="Fixed",Q$2="Not Used"),(IF(COUNTIFS(EmpNo,$C211,OFFSET(Emp!$R$4,1,MATCH(Q$5,DedListItem,0)-1,EmpCount,1),"&lt;&gt;")&gt;0,VLOOKUP($C211,EmpAll,COLUMN(Emp!$R$4)+MATCH(Q$5,DedListItem,0)-1,0),OFFSET(Setup!$E$73,MATCH(Q$5,DedListItem,0),0,1,1))*$AA211)-SUMIFS(OFFSET(Q$6,1,0,PayCount,1),PayDate,"&lt;"&amp;$AC211,PayEmp,$C211),IF(ISNA(MATCH(Q$2,EarnListItem,0))=FALSE,IF(OFFSET(Setup!$G$73,MATCH(Q$5,DedListItem,0),0,1,1)="Taxable",SUMPRODUCT((PayEmp=$C211)*(PayDate&lt;=$AC211)*(PayEarnCode=Q$2)*(PayEarnTax)*(PayEarnValues)),SUMPRODUCT((PayEmp=$C211)*(PayDate&lt;=$AC211)*(PayEarnCode=Q$2)*(PayEarnValues)))*IF(COUNTIFS(EmpNo,$C211,OFFSET(Emp!$R$4,1,MATCH(Q$5,DedListItem,0)-1,EmpCount,1),"&lt;&gt;")&gt;0,VLOOKUP($C211,EmpAll,COLUMN(Emp!$R$4)+MATCH(Q$5,DedListItem,0)-1,0),OFFSET(Setup!$E$73,MATCH(Q$5,DedListItem,0),0,1,1)),(MIN(IF(OFFSET(Setup!$G$73,MATCH(Q$5,DedListItem,0),0,1,1)="Taxable",SUMPRODUCT((PayEmp=$C211)*(PayDate&lt;=$AC211)*(ISERROR(SEARCH(PayEarnCode,Q$4)))*(PayEarnTax)*(PayEarnValues)),SUMPRODUCT((PayEmp=$C211)*(PayDate&lt;=$AC211)*(ISERROR(SEARCH(PayEarnCode,Q$4)))*(PayEarnValues))),IF(ISNUMBER(Q$3),Q$3/12*$AA211,IgnoreMin)))*IF(COUNTIFS(EmpNo,$C211,OFFSET(Emp!$R$4,1,MATCH(Q$5,DedListItem,0)-1,EmpCount,1),"&lt;&gt;")&gt;0,VLOOKUP($C211,EmpAll,COLUMN(Emp!$R$4)+MATCH(Q$5,DedListItem,0)-1,0),OFFSET(Setup!$E$73,MATCH(Q$5,DedListItem,0),0,1,1)))-SUMIFS(OFFSET(Q$6,1,0,PayCount,1),PayDate,"&lt;"&amp;$AC211,PayEmp,$C211))))))</f>
        <v>0</v>
      </c>
      <c r="R211" s="185">
        <f t="shared" ca="1" si="114"/>
        <v>0</v>
      </c>
      <c r="S211" s="139">
        <f t="shared" ca="1" si="115"/>
        <v>0</v>
      </c>
      <c r="T211" s="133" cm="1">
        <f t="array" aca="1" ref="T211" ca="1">IF($F211="Terminated",0,IF($AA211=0,0,IF(ISNA(MATCH(T$5,CompListItem,0)),0,IF(COUNTIFS(OverEmp,$C211,OverComp,T$5,OverDate,"&lt;"&amp;DATE(YEAR($AC211),MONTH($AC211)+1,1),OverEnd,"&gt;="&amp;DATE(YEAR($AC211),MONTH($AC211),1))&gt;0,SUMIFS(OverValue,OverEmp,$C211,OverComp,T$5,OverDate,"&lt;"&amp;DATE(YEAR($AC211),MONTH($AC211)+1,1),OverEnd,"&gt;="&amp;DATE(YEAR($AC211),MONTH($AC211),1)),IF(OR(T$2="Fixed",T$2="Not Used"),(OFFSET(Setup!$E$81,MATCH(T$5,CompListItem,0),0,1,1)*$AA211)-SUMIFS(OFFSET(T$6,1,0,PayCount,1),PayDate,"&lt;"&amp;$AC211,PayEmp,$C211),IF(ISNA(MATCH(T$2,DedListItem,0))=FALSE,(SUMPRODUCT((PayEmp=$C211)*(PayDate&lt;=$AC211)*(PayDedList=T$2)*(PayDedValues))*OFFSET(Setup!$E$81,MATCH(T$5,CompListItem,0),0,1,1))-SUMIFS(OFFSET(T$6,1,0,PayCount,1),PayDate,"&lt;"&amp;$AC211,PayEmp,$C211),(MIN(IF(OFFSET(Setup!$G$81,MATCH(T$5,CompListItem,0),0,1,1)="Taxable",SUMPRODUCT((PayEmp=$C211)*(PayDate&lt;=$AC211)*(ISERROR(SEARCH(PayEarnCode,T$4)))*(PayEarnTax)*(PayEarnValues)),SUMPRODUCT((PayEmp=$C211)*(PayDate&lt;=$AC211)*(ISERROR(SEARCH(PayEarnCode,T$4)))*(PayEarnValues))),IF(ISNUMBER(T$3),T$3/12*$AA211,IgnoreMin)))*OFFSET(Setup!$E$81,MATCH(T$5,CompListItem,0),0,1,1)-SUMIFS(OFFSET(T$6,1,0,PayCount,1),PayDate,"&lt;"&amp;$AC211,PayEmp,$C211)))))))</f>
        <v>0</v>
      </c>
      <c r="U211" s="133" cm="1">
        <f t="array" aca="1" ref="U211" ca="1">IF($F211="Terminated",0,IF($AA211=0,0,IF(ISNA(MATCH(U$5,CompListItem,0)),0,IF(COUNTIFS(OverEmp,$C211,OverComp,U$5,OverDate,"&lt;"&amp;DATE(YEAR($AC211),MONTH($AC211)+1,1),OverEnd,"&gt;="&amp;DATE(YEAR($AC211),MONTH($AC211),1))&gt;0,SUMIFS(OverValue,OverEmp,$C211,OverComp,U$5,OverDate,"&lt;"&amp;DATE(YEAR($AC211),MONTH($AC211)+1,1),OverEnd,"&gt;="&amp;DATE(YEAR($AC211),MONTH($AC211),1)),IF(OR(U$2="Fixed",U$2="Not Used"),(OFFSET(Setup!$E$81,MATCH(U$5,CompListItem,0),0,1,1)*$AA211)-SUMIFS(OFFSET(U$6,1,0,PayCount,1),PayDate,"&lt;"&amp;$AC211,PayEmp,$C211),IF(ISNA(MATCH(U$2,DedListItem,0))=FALSE,(SUMPRODUCT((PayEmp=$C211)*(PayDate&lt;=$AC211)*(PayDedList=U$2)*(PayDedValues))*OFFSET(Setup!$E$81,MATCH(U$5,CompListItem,0),0,1,1))-SUMIFS(OFFSET(U$6,1,0,PayCount,1),PayDate,"&lt;"&amp;$AC211,PayEmp,$C211),(MIN(IF(OFFSET(Setup!$G$81,MATCH(U$5,CompListItem,0),0,1,1)="Taxable",SUMPRODUCT((PayEmp=$C211)*(PayDate&lt;=$AC211)*(ISERROR(SEARCH(PayEarnCode,U$4)))*(PayEarnTax)*(PayEarnValues)),SUMPRODUCT((PayEmp=$C211)*(PayDate&lt;=$AC211)*(ISERROR(SEARCH(PayEarnCode,U$4)))*(PayEarnValues))),IF(ISNUMBER(U$3),U$3/12*$AA211,IgnoreMin)))*OFFSET(Setup!$E$81,MATCH(U$5,CompListItem,0),0,1,1)-SUMIFS(OFFSET(U$6,1,0,PayCount,1),PayDate,"&lt;"&amp;$AC211,PayEmp,$C211)))))))</f>
        <v>0</v>
      </c>
      <c r="V211" s="133" cm="1">
        <f t="array" aca="1" ref="V211" ca="1">IF($F211="Terminated",0,IF($AA211=0,0,IF(ISNA(MATCH(V$5,CompListItem,0)),0,IF(COUNTIFS(OverEmp,$C211,OverComp,V$5,OverDate,"&lt;"&amp;DATE(YEAR($AC211),MONTH($AC211)+1,1),OverEnd,"&gt;="&amp;DATE(YEAR($AC211),MONTH($AC211),1))&gt;0,SUMIFS(OverValue,OverEmp,$C211,OverComp,V$5,OverDate,"&lt;"&amp;DATE(YEAR($AC211),MONTH($AC211)+1,1),OverEnd,"&gt;="&amp;DATE(YEAR($AC211),MONTH($AC211),1)),IF(OR(V$2="Fixed",V$2="Not Used"),(OFFSET(Setup!$E$81,MATCH(V$5,CompListItem,0),0,1,1)*$AA211)-SUMIFS(OFFSET(V$6,1,0,PayCount,1),PayDate,"&lt;"&amp;$AC211,PayEmp,$C211),IF(ISNA(MATCH(V$2,DedListItem,0))=FALSE,(SUMPRODUCT((PayEmp=$C211)*(PayDate&lt;=$AC211)*(PayDedList=V$2)*(PayDedValues))*OFFSET(Setup!$E$81,MATCH(V$5,CompListItem,0),0,1,1))-SUMIFS(OFFSET(V$6,1,0,PayCount,1),PayDate,"&lt;"&amp;$AC211,PayEmp,$C211),(MIN(IF(OFFSET(Setup!$G$81,MATCH(V$5,CompListItem,0),0,1,1)="Taxable",SUMPRODUCT((PayEmp=$C211)*(PayDate&lt;=$AC211)*(ISERROR(SEARCH(PayEarnCode,V$4)))*(PayEarnTax)*(PayEarnValues)),SUMPRODUCT((PayEmp=$C211)*(PayDate&lt;=$AC211)*(ISERROR(SEARCH(PayEarnCode,V$4)))*(PayEarnValues))),IF(ISNUMBER(V$3),V$3/12*$AA211,IgnoreMin)))*OFFSET(Setup!$E$81,MATCH(V$5,CompListItem,0),0,1,1)-SUMIFS(OFFSET(V$6,1,0,PayCount,1),PayDate,"&lt;"&amp;$AC211,PayEmp,$C211)))))))</f>
        <v>0</v>
      </c>
      <c r="W211" s="133" cm="1">
        <f t="array" aca="1" ref="W211" ca="1">IF($F211="Terminated",0,IF($AA211=0,0,IF(ISNA(MATCH(W$5,CompListItem,0)),0,IF(COUNTIFS(OverEmp,$C211,OverComp,W$5,OverDate,"&lt;"&amp;DATE(YEAR($AC211),MONTH($AC211)+1,1),OverEnd,"&gt;="&amp;DATE(YEAR($AC211),MONTH($AC211),1))&gt;0,SUMIFS(OverValue,OverEmp,$C211,OverComp,W$5,OverDate,"&lt;"&amp;DATE(YEAR($AC211),MONTH($AC211)+1,1),OverEnd,"&gt;="&amp;DATE(YEAR($AC211),MONTH($AC211),1)),IF(OR(W$2="Fixed",W$2="Not Used"),(OFFSET(Setup!$E$81,MATCH(W$5,CompListItem,0),0,1,1)*$AA211)-SUMIFS(OFFSET(W$6,1,0,PayCount,1),PayDate,"&lt;"&amp;$AC211,PayEmp,$C211),IF(ISNA(MATCH(W$2,DedListItem,0))=FALSE,(SUMPRODUCT((PayEmp=$C211)*(PayDate&lt;=$AC211)*(PayDedList=W$2)*(PayDedValues))*OFFSET(Setup!$E$81,MATCH(W$5,CompListItem,0),0,1,1))-SUMIFS(OFFSET(W$6,1,0,PayCount,1),PayDate,"&lt;"&amp;$AC211,PayEmp,$C211),(MIN(IF(OFFSET(Setup!$G$81,MATCH(W$5,CompListItem,0),0,1,1)="Taxable",SUMPRODUCT((PayEmp=$C211)*(PayDate&lt;=$AC211)*(ISERROR(SEARCH(PayEarnCode,W$4)))*(PayEarnTax)*(PayEarnValues)),SUMPRODUCT((PayEmp=$C211)*(PayDate&lt;=$AC211)*(ISERROR(SEARCH(PayEarnCode,W$4)))*(PayEarnValues))),IF(ISNUMBER(W$3),W$3/12*$AA211,IgnoreMin)))*OFFSET(Setup!$E$81,MATCH(W$5,CompListItem,0),0,1,1)-SUMIFS(OFFSET(W$6,1,0,PayCount,1),PayDate,"&lt;"&amp;$AC211,PayEmp,$C211)))))))</f>
        <v>0</v>
      </c>
      <c r="X211" s="185">
        <f t="shared" ca="1" si="116"/>
        <v>0</v>
      </c>
      <c r="Y211" s="139">
        <f t="shared" ca="1" si="117"/>
        <v>0</v>
      </c>
      <c r="Z211" s="139">
        <f t="shared" ca="1" si="118"/>
        <v>0</v>
      </c>
      <c r="AA211" s="146">
        <f ca="1">IF(OR($B211&lt;=Setup!$E$12,$B211&gt;=Setup!$D$12+1),0,IF($F211&lt;&gt;"Active",0,IF($AE211="Yes",$AB211,((YEAR($AC211)*12)+MONTH($AC211))-((YEAR($AD211)*12)+MONTH($AD211)-1))))</f>
        <v>0</v>
      </c>
      <c r="AB211" s="146">
        <f ca="1">IF(OR($B211&lt;=Setup!$E$12,$B211&gt;=Setup!$D$12+1),0,((YEAR($AC211)*12)+MONTH($AC211))-((YEAR(Setup!$E$12)*12)+MONTH(Setup!$E$12)))</f>
        <v>12</v>
      </c>
      <c r="AC211" s="186">
        <f t="shared" ca="1" si="119"/>
        <v>45351</v>
      </c>
      <c r="AD211" s="144">
        <f ca="1">IF(ISNA(VLOOKUP($C211,EmpAll,COLUMN(Emp!$E$4),0)),$AC211,IF(VLOOKUP($C211,EmpAll,COLUMN(Emp!$E$4),0)&lt;=Setup!$E$12,DATE(YEAR(Setup!$E$12),MONTH(Setup!$E$12)+1,1),VLOOKUP($C211,EmpAll,COLUMN(Emp!$E$4),0)))</f>
        <v>45351</v>
      </c>
      <c r="AE211" s="144" t="str">
        <f ca="1">IF(ISNA(VLOOKUP($C211,EmpAll,COLUMN(Emp!$G$1),0)),"-",IF(VLOOKUP($C211,EmpAll,COLUMN(Emp!$G$1),0)=0,"-",VLOOKUP($C211,EmpAll,COLUMN(Emp!$G$1),0)))</f>
        <v>-</v>
      </c>
      <c r="AF211" s="145">
        <f>IF(A211=PaySlip!$G$3,1,0)</f>
        <v>0</v>
      </c>
      <c r="AG211" s="130" cm="1">
        <f t="array" aca="1" ref="AG211" ca="1">IF(COUNTIFS(OverEmp,$C211,OverMed,"MED",OverDate,"&lt;"&amp;DATE(YEAR($AC211),MONTH($AC211)+1,1),OverEnd,"&gt;="&amp;DATE(YEAR($AC211),MONTH($AC211),1))&gt;0,SUMIFS(OverValue,OverEmp,$C211,OverMed,"MED",OverDate,"&lt;"&amp;DATE(YEAR($AC211),MONTH($AC211)+1,1),OverEnd,"&gt;="&amp;DATE(YEAR($AC211),MONTH($AC211),1)),IF(ISNA(VLOOKUP($C211,EmpAll,COLUMN(Emp!$N$4),0)),0,VLOOKUP($C211,EmpAll,COLUMN(Emp!$N$4),0)))</f>
        <v>0</v>
      </c>
      <c r="AH211" s="146">
        <f ca="1">VLOOKUP($AG211,MedList,COLUMN(Setup!$C$49),1)</f>
        <v>0</v>
      </c>
      <c r="AI211" s="146">
        <f t="shared" ca="1" si="107"/>
        <v>0</v>
      </c>
      <c r="AJ211" s="101" t="str">
        <f ca="1">IF(ISNA(VLOOKUP($C211,EmpAll,COLUMN(Emp!$L$4),0)),"None!",VLOOKUP($C211,EmpAll,COLUMN(Emp!$L$4),0))</f>
        <v>None!</v>
      </c>
      <c r="AK211" s="147">
        <f t="shared" ca="1" si="102"/>
        <v>17235</v>
      </c>
      <c r="AL211" s="101" t="str">
        <f ca="1">IF(ISNA(VLOOKUP($C211,Employees[],COLUMN(Emp!$M$4),0))=TRUE,"Error!",IF(VLOOKUP($C211,Employees[],COLUMN(Emp!$M$4),0)=0,"Yes",VLOOKUP($C211,Employees[],COLUMN(Emp!$M$4),0)))</f>
        <v>Error!</v>
      </c>
      <c r="AM211" s="148">
        <f t="shared" ca="1" si="108"/>
        <v>0</v>
      </c>
      <c r="AN211" s="148" cm="1">
        <f t="array" aca="1" ref="AN211" ca="1">-IF($F211="Terminated",0,IF($AA211=0,0,IF(ISNA(MATCH(AN$5,PayDedList,0)),0,MIN(IF(COUNTIFS(OverEmp,$C211,OverDeduct,AN$5,OverDate,"&lt;"&amp;DATE(YEAR($AC211),MONTH($AC211)+1,1),OverEnd,"&gt;="&amp;DATE(YEAR($AC211),MONTH($AC211),1))&gt;0,SUMPRODUCT((PayEmp=$C211)*(PayDate&lt;=$AC211)*(OFFSET($N$6,1,MATCH(AN$5,PayDedList,0)-1,PayCount,1)))/$AA211*12*AN$3,IF(OR(AN$1="Fixed",AN$1="Not Used"),SUMPRODUCT((PayEmp=$C211)*(PayDate&lt;=$AC211)*(OFFSET($N$6,1,MATCH(AN$5,PayDedList,0)-1,PayCount,1)))/$AA211*12*AN$3,IF(ISNA(MATCH(AN$1,EarnListItem,0))=FALSE,SUMPRODUCT((PayEmp=$C211)*(PayDate&lt;=$AC211)*(OFFSET($N$6,1,MATCH(AN$5,PayDedList,0)-1,PayCount,1)))/$AA211*12*AN$3,(MIN(((SUMPRODUCT((PayEmp=$C211)*(PayDate&lt;=$AC211)*(ISERROR(SEARCH(PayEarnCode,AN$2)))*(PayEarnType="Monthly")*(PayEarnValues))/$AA211*12)+(SUMPRODUCT((PayEmp=$C211)*(PayDate&lt;=$AC211)*(ISERROR(SEARCH(PayEarnCode,AN$2)))*(PayEarnType="Quarterly")*(PayEarnValues))/MAX(1,ROUNDDOWN($AB211/3,0))*4)+(SUMPRODUCT((PayEmp=$C211)*(PayDate&lt;=$AC211)*(ISERROR(SEARCH(PayEarnCode,AN$2)))*(PayEarnType="Bi-Annual")*(PayEarnValues))/MAX(1,ROUNDDOWN($AB211/6,0))*2)+(SUMPRODUCT((PayEmp=$C211)*(PayDate&lt;=$AC211)*(ISERROR(SEARCH(PayEarnCode,AN$2)))*(PayEarnType="Annual")*(PayEarnValues)))),IF(ISNUMBER(OFFSET($N$3,0,MATCH(AN$5,PayDedList,0)-1,1,1)),OFFSET($N$3,0,MATCH(AN$5,PayDedList,0)-1,1,1),IgnoreMin)))*IF(COUNTIFS(EmpNo,$C211,OFFSET(Emp!$R$4,1,MATCH(AN$5,DedListItem,0)-1,EmpCount,1),"&lt;&gt;")&gt;0,VLOOKUP($C211,EmpAll,COLUMN(Emp!$R$4)+MATCH(AN$5,DedListItem,0)-1,0),OFFSET(Setup!$E$73,MATCH(AN$5,DedListItem,0),0,1,1))*AN$3))),IF(ISNUMBER(AN$4),AN$4,IgnoreMin)))))</f>
        <v>0</v>
      </c>
      <c r="AO211" s="148" cm="1">
        <f t="array" aca="1" ref="AO211" ca="1">-IF($F211="Terminated",0,IF($AA211=0,0,IF(ISNA(MATCH(AO$5,PayDedList,0)),0,MIN(IF(COUNTIFS(OverEmp,$C211,OverDeduct,AO$5,OverDate,"&lt;"&amp;DATE(YEAR($AC211),MONTH($AC211)+1,1),OverEnd,"&gt;="&amp;DATE(YEAR($AC211),MONTH($AC211),1))&gt;0,SUMPRODUCT((PayEmp=$C211)*(PayDate&lt;=$AC211)*(OFFSET($N$6,1,MATCH(AO$5,PayDedList,0)-1,PayCount,1)))/$AA211*12*AO$3,IF(OR(AO$1="Fixed",AO$1="Not Used"),SUMPRODUCT((PayEmp=$C211)*(PayDate&lt;=$AC211)*(OFFSET($N$6,1,MATCH(AO$5,PayDedList,0)-1,PayCount,1)))/$AA211*12*AO$3,IF(ISNA(MATCH(AO$1,EarnListItem,0))=FALSE,SUMPRODUCT((PayEmp=$C211)*(PayDate&lt;=$AC211)*(OFFSET($N$6,1,MATCH(AO$5,PayDedList,0)-1,PayCount,1)))/$AA211*12*AO$3,(MIN(((SUMPRODUCT((PayEmp=$C211)*(PayDate&lt;=$AC211)*(ISERROR(SEARCH(PayEarnCode,AO$2)))*(PayEarnType="Monthly")*(PayEarnValues))/$AA211*12)+(SUMPRODUCT((PayEmp=$C211)*(PayDate&lt;=$AC211)*(ISERROR(SEARCH(PayEarnCode,AO$2)))*(PayEarnType="Quarterly")*(PayEarnValues))/MAX(1,ROUNDDOWN($AB211/3,0))*4)+(SUMPRODUCT((PayEmp=$C211)*(PayDate&lt;=$AC211)*(ISERROR(SEARCH(PayEarnCode,AO$2)))*(PayEarnType="Bi-Annual")*(PayEarnValues))/MAX(1,ROUNDDOWN($AB211/6,0))*2)+(SUMPRODUCT((PayEmp=$C211)*(PayDate&lt;=$AC211)*(ISERROR(SEARCH(PayEarnCode,AO$2)))*(PayEarnType="Annual")*(PayEarnValues)))),IF(ISNUMBER(OFFSET($N$3,0,MATCH(AO$5,PayDedList,0)-1,1,1)),OFFSET($N$3,0,MATCH(AO$5,PayDedList,0)-1,1,1),IgnoreMin)))*IF(COUNTIFS(EmpNo,$C211,OFFSET(Emp!$R$4,1,MATCH(AO$5,DedListItem,0)-1,EmpCount,1),"&lt;&gt;")&gt;0,VLOOKUP($C211,EmpAll,COLUMN(Emp!$R$4)+MATCH(AO$5,DedListItem,0)-1,0),OFFSET(Setup!$E$73,MATCH(AO$5,DedListItem,0),0,1,1))*AO$3))),IF(ISNUMBER(AO$4),AO$4,IgnoreMin)))))</f>
        <v>0</v>
      </c>
      <c r="AP211" s="148" cm="1">
        <f t="array" aca="1" ref="AP211" ca="1">-IF($F211="Terminated",0,IF($AA211=0,0,IF(ISNA(MATCH(AP$5,PayDedList,0)),0,MIN(IF(COUNTIFS(OverEmp,$C211,OverDeduct,AP$5,OverDate,"&lt;"&amp;DATE(YEAR($AC211),MONTH($AC211)+1,1),OverEnd,"&gt;="&amp;DATE(YEAR($AC211),MONTH($AC211),1))&gt;0,SUMPRODUCT((PayEmp=$C211)*(PayDate&lt;=$AC211)*(OFFSET($N$6,1,MATCH(AP$5,PayDedList,0)-1,PayCount,1)))/$AA211*12*AP$3,IF(OR(AP$1="Fixed",AP$1="Not Used"),SUMPRODUCT((PayEmp=$C211)*(PayDate&lt;=$AC211)*(OFFSET($N$6,1,MATCH(AP$5,PayDedList,0)-1,PayCount,1)))/$AA211*12*AP$3,IF(ISNA(MATCH(AP$1,EarnListItem,0))=FALSE,SUMPRODUCT((PayEmp=$C211)*(PayDate&lt;=$AC211)*(OFFSET($N$6,1,MATCH(AP$5,PayDedList,0)-1,PayCount,1)))/$AA211*12*AP$3,(MIN(((SUMPRODUCT((PayEmp=$C211)*(PayDate&lt;=$AC211)*(ISERROR(SEARCH(PayEarnCode,AP$2)))*(PayEarnType="Monthly")*(PayEarnValues))/$AA211*12)+(SUMPRODUCT((PayEmp=$C211)*(PayDate&lt;=$AC211)*(ISERROR(SEARCH(PayEarnCode,AP$2)))*(PayEarnType="Quarterly")*(PayEarnValues))/MAX(1,ROUNDDOWN($AB211/3,0))*4)+(SUMPRODUCT((PayEmp=$C211)*(PayDate&lt;=$AC211)*(ISERROR(SEARCH(PayEarnCode,AP$2)))*(PayEarnType="Bi-Annual")*(PayEarnValues))/MAX(1,ROUNDDOWN($AB211/6,0))*2)+(SUMPRODUCT((PayEmp=$C211)*(PayDate&lt;=$AC211)*(ISERROR(SEARCH(PayEarnCode,AP$2)))*(PayEarnType="Annual")*(PayEarnValues)))),IF(ISNUMBER(OFFSET($N$3,0,MATCH(AP$5,PayDedList,0)-1,1,1)),OFFSET($N$3,0,MATCH(AP$5,PayDedList,0)-1,1,1),IgnoreMin)))*IF(COUNTIFS(EmpNo,$C211,OFFSET(Emp!$R$4,1,MATCH(AP$5,DedListItem,0)-1,EmpCount,1),"&lt;&gt;")&gt;0,VLOOKUP($C211,EmpAll,COLUMN(Emp!$R$4)+MATCH(AP$5,DedListItem,0)-1,0),OFFSET(Setup!$E$73,MATCH(AP$5,DedListItem,0),0,1,1))*AP$3))),IF(ISNUMBER(AP$4),AP$4,IgnoreMin)))))</f>
        <v>0</v>
      </c>
      <c r="AQ211" s="148" cm="1">
        <f t="array" aca="1" ref="AQ211" ca="1">-IF($F211="Terminated",0,IF($AA211=0,0,IF(ISNA(MATCH(AQ$5,PayDedList,0)),0,MIN(IF(COUNTIFS(OverEmp,$C211,OverDeduct,AQ$5,OverDate,"&lt;"&amp;DATE(YEAR($AC211),MONTH($AC211)+1,1),OverEnd,"&gt;="&amp;DATE(YEAR($AC211),MONTH($AC211),1))&gt;0,SUMPRODUCT((PayEmp=$C211)*(PayDate&lt;=$AC211)*(OFFSET($N$6,1,MATCH(AQ$5,PayDedList,0)-1,PayCount,1)))/$AA211*12*AQ$3,IF(OR(AQ$1="Fixed",AQ$1="Not Used"),SUMPRODUCT((PayEmp=$C211)*(PayDate&lt;=$AC211)*(OFFSET($N$6,1,MATCH(AQ$5,PayDedList,0)-1,PayCount,1)))/$AA211*12*AQ$3,IF(ISNA(MATCH(AQ$1,EarnListItem,0))=FALSE,SUMPRODUCT((PayEmp=$C211)*(PayDate&lt;=$AC211)*(OFFSET($N$6,1,MATCH(AQ$5,PayDedList,0)-1,PayCount,1)))/$AA211*12*AQ$3,(MIN(((SUMPRODUCT((PayEmp=$C211)*(PayDate&lt;=$AC211)*(ISERROR(SEARCH(PayEarnCode,AQ$2)))*(PayEarnType="Monthly")*(PayEarnValues))/$AA211*12)+(SUMPRODUCT((PayEmp=$C211)*(PayDate&lt;=$AC211)*(ISERROR(SEARCH(PayEarnCode,AQ$2)))*(PayEarnType="Quarterly")*(PayEarnValues))/MAX(1,ROUNDDOWN($AB211/3,0))*4)+(SUMPRODUCT((PayEmp=$C211)*(PayDate&lt;=$AC211)*(ISERROR(SEARCH(PayEarnCode,AQ$2)))*(PayEarnType="Bi-Annual")*(PayEarnValues))/MAX(1,ROUNDDOWN($AB211/6,0))*2)+(SUMPRODUCT((PayEmp=$C211)*(PayDate&lt;=$AC211)*(ISERROR(SEARCH(PayEarnCode,AQ$2)))*(PayEarnType="Annual")*(PayEarnValues)))),IF(ISNUMBER(OFFSET($N$3,0,MATCH(AQ$5,PayDedList,0)-1,1,1)),OFFSET($N$3,0,MATCH(AQ$5,PayDedList,0)-1,1,1),IgnoreMin)))*IF(COUNTIFS(EmpNo,$C211,OFFSET(Emp!$R$4,1,MATCH(AQ$5,DedListItem,0)-1,EmpCount,1),"&lt;&gt;")&gt;0,VLOOKUP($C211,EmpAll,COLUMN(Emp!$R$4)+MATCH(AQ$5,DedListItem,0)-1,0),OFFSET(Setup!$E$73,MATCH(AQ$5,DedListItem,0),0,1,1))*AQ$3))),IF(ISNUMBER(AQ$4),AQ$4,IgnoreMin)))))</f>
        <v>0</v>
      </c>
      <c r="AR211" s="148">
        <f t="shared" ca="1" si="120"/>
        <v>0</v>
      </c>
      <c r="AS211" s="148">
        <f t="shared" ca="1" si="109"/>
        <v>0</v>
      </c>
      <c r="AT211" s="148" cm="1">
        <f t="array" aca="1" ref="AT211" ca="1">-IF($F211="Terminated",0,IF($AA211=0,0,IF(ISNA(MATCH(AT$5,PayDedList,0)),0,MIN(IF(COUNTIFS(OverEmp,$C211,OverDeduct,AT$5,OverDate,"&lt;"&amp;DATE(YEAR($AC211),MONTH($AC211)+1,1),OverEnd,"&gt;="&amp;DATE(YEAR($AC211),MONTH($AC211),1))&gt;0,SUMPRODUCT((PayEmp=$C211)*(PayDate&lt;=$AC211)*(OFFSET($N$6,1,MATCH(AT$5,PayDedList,0)-1,PayCount,1)))/$AA211*12*AT$3,IF(OR(AT$1="Fixed",AT$1="Not Used"),SUMPRODUCT((PayEmp=$C211)*(PayDate&lt;=$AC211)*(OFFSET($N$6,1,MATCH(AT$5,PayDedList,0)-1,PayCount,1)))/$AA211*12*AT$3,IF(ISNA(MATCH(OFFSET($N$2,0,MATCH(AT$5,PayDedList,0)-1,1,1),EarnListItem,0))=FALSE,SUMPRODUCT((PayEmp=$C211)*(PayDate&lt;=$AC211)*(OFFSET($N$6,1,MATCH(AT$5,PayDedList,0)-1,PayCount,1)))/$AA211*12*AT$3,(MIN(SUMPRODUCT((PayEmp=$C211)*(PayDate&lt;=$AC211)*(ISERROR(SEARCH(PayEarnCode,AT$2)))*(PayEarnType="Monthly")*(PayEarnValues))/$AA211*12,IF(ISNUMBER(OFFSET($N$3,0,MATCH(AT$5,PayDedList,0)-1,1,1)),OFFSET($N$3,0,MATCH(AT$5,PayDedList,0)-1,1,1),IgnoreMin)))*IF(COUNTIFS(EmpNo,$C211,OFFSET(Emp!$R$4,1,MATCH(AT$5,DedListItem,0)-1,EmpCount,1),"&lt;&gt;")&gt;0,VLOOKUP($C211,EmpAll,COLUMN(Emp!$R$4)+MATCH(AT$5,DedListItem,0)-1,0),OFFSET(Setup!$E$73,MATCH(AT$5,DedListItem,0),0,1,1))*AT$3))),IF(ISNUMBER(AT$4),AT$4,IgnoreMin)))))</f>
        <v>0</v>
      </c>
      <c r="AU211" s="148" cm="1">
        <f t="array" aca="1" ref="AU211" ca="1">-IF($F211="Terminated",0,IF($AA211=0,0,IF(ISNA(MATCH(AU$5,PayDedList,0)),0,MIN(IF(COUNTIFS(OverEmp,$C211,OverDeduct,AU$5,OverDate,"&lt;"&amp;DATE(YEAR($AC211),MONTH($AC211)+1,1),OverEnd,"&gt;="&amp;DATE(YEAR($AC211),MONTH($AC211),1))&gt;0,SUMPRODUCT((PayEmp=$C211)*(PayDate&lt;=$AC211)*(OFFSET($N$6,1,MATCH(AU$5,PayDedList,0)-1,PayCount,1)))/$AA211*12*AU$3,IF(OR(AU$1="Fixed",AU$1="Not Used"),SUMPRODUCT((PayEmp=$C211)*(PayDate&lt;=$AC211)*(OFFSET($N$6,1,MATCH(AU$5,PayDedList,0)-1,PayCount,1)))/$AA211*12*AU$3,IF(ISNA(MATCH(OFFSET($N$2,0,MATCH(AU$5,PayDedList,0)-1,1,1),EarnListItem,0))=FALSE,SUMPRODUCT((PayEmp=$C211)*(PayDate&lt;=$AC211)*(OFFSET($N$6,1,MATCH(AU$5,PayDedList,0)-1,PayCount,1)))/$AA211*12*AU$3,(MIN(SUMPRODUCT((PayEmp=$C211)*(PayDate&lt;=$AC211)*(ISERROR(SEARCH(PayEarnCode,AU$2)))*(PayEarnType="Monthly")*(PayEarnValues))/$AA211*12,IF(ISNUMBER(OFFSET($N$3,0,MATCH(AU$5,PayDedList,0)-1,1,1)),OFFSET($N$3,0,MATCH(AU$5,PayDedList,0)-1,1,1),IgnoreMin)))*IF(COUNTIFS(EmpNo,$C211,OFFSET(Emp!$R$4,1,MATCH(AU$5,DedListItem,0)-1,EmpCount,1),"&lt;&gt;")&gt;0,VLOOKUP($C211,EmpAll,COLUMN(Emp!$R$4)+MATCH(AU$5,DedListItem,0)-1,0),OFFSET(Setup!$E$73,MATCH(AU$5,DedListItem,0),0,1,1))*AU$3))),IF(ISNUMBER(AU$4),AU$4,IgnoreMin)))))</f>
        <v>0</v>
      </c>
      <c r="AV211" s="148" cm="1">
        <f t="array" aca="1" ref="AV211" ca="1">-IF($F211="Terminated",0,IF($AA211=0,0,IF(ISNA(MATCH(AV$5,PayDedList,0)),0,MIN(IF(COUNTIFS(OverEmp,$C211,OverDeduct,AV$5,OverDate,"&lt;"&amp;DATE(YEAR($AC211),MONTH($AC211)+1,1),OverEnd,"&gt;="&amp;DATE(YEAR($AC211),MONTH($AC211),1))&gt;0,SUMPRODUCT((PayEmp=$C211)*(PayDate&lt;=$AC211)*(OFFSET($N$6,1,MATCH(AV$5,PayDedList,0)-1,PayCount,1)))/$AA211*12*AV$3,IF(OR(AV$1="Fixed",AV$1="Not Used"),SUMPRODUCT((PayEmp=$C211)*(PayDate&lt;=$AC211)*(OFFSET($N$6,1,MATCH(AV$5,PayDedList,0)-1,PayCount,1)))/$AA211*12*AV$3,IF(ISNA(MATCH(OFFSET($N$2,0,MATCH(AV$5,PayDedList,0)-1,1,1),EarnListItem,0))=FALSE,SUMPRODUCT((PayEmp=$C211)*(PayDate&lt;=$AC211)*(OFFSET($N$6,1,MATCH(AV$5,PayDedList,0)-1,PayCount,1)))/$AA211*12*AV$3,(MIN(SUMPRODUCT((PayEmp=$C211)*(PayDate&lt;=$AC211)*(ISERROR(SEARCH(PayEarnCode,AV$2)))*(PayEarnType="Monthly")*(PayEarnValues))/$AA211*12,IF(ISNUMBER(OFFSET($N$3,0,MATCH(AV$5,PayDedList,0)-1,1,1)),OFFSET($N$3,0,MATCH(AV$5,PayDedList,0)-1,1,1),IgnoreMin)))*IF(COUNTIFS(EmpNo,$C211,OFFSET(Emp!$R$4,1,MATCH(AV$5,DedListItem,0)-1,EmpCount,1),"&lt;&gt;")&gt;0,VLOOKUP($C211,EmpAll,COLUMN(Emp!$R$4)+MATCH(AV$5,DedListItem,0)-1,0),OFFSET(Setup!$E$73,MATCH(AV$5,DedListItem,0),0,1,1))*AV$3))),IF(ISNUMBER(AV$4),AV$4,IgnoreMin)))))</f>
        <v>0</v>
      </c>
      <c r="AW211" s="148" cm="1">
        <f t="array" aca="1" ref="AW211" ca="1">-IF($F211="Terminated",0,IF($AA211=0,0,IF(ISNA(MATCH(AW$5,PayDedList,0)),0,MIN(IF(COUNTIFS(OverEmp,$C211,OverDeduct,AW$5,OverDate,"&lt;"&amp;DATE(YEAR($AC211),MONTH($AC211)+1,1),OverEnd,"&gt;="&amp;DATE(YEAR($AC211),MONTH($AC211),1))&gt;0,SUMPRODUCT((PayEmp=$C211)*(PayDate&lt;=$AC211)*(OFFSET($N$6,1,MATCH(AW$5,PayDedList,0)-1,PayCount,1)))/$AA211*12*AW$3,IF(OR(AW$1="Fixed",AW$1="Not Used"),SUMPRODUCT((PayEmp=$C211)*(PayDate&lt;=$AC211)*(OFFSET($N$6,1,MATCH(AW$5,PayDedList,0)-1,PayCount,1)))/$AA211*12*AW$3,IF(ISNA(MATCH(OFFSET($N$2,0,MATCH(AW$5,PayDedList,0)-1,1,1),EarnListItem,0))=FALSE,SUMPRODUCT((PayEmp=$C211)*(PayDate&lt;=$AC211)*(OFFSET($N$6,1,MATCH(AW$5,PayDedList,0)-1,PayCount,1)))/$AA211*12*AW$3,(MIN(SUMPRODUCT((PayEmp=$C211)*(PayDate&lt;=$AC211)*(ISERROR(SEARCH(PayEarnCode,AW$2)))*(PayEarnType="Monthly")*(PayEarnValues))/$AA211*12,IF(ISNUMBER(OFFSET($N$3,0,MATCH(AW$5,PayDedList,0)-1,1,1)),OFFSET($N$3,0,MATCH(AW$5,PayDedList,0)-1,1,1),IgnoreMin)))*IF(COUNTIFS(EmpNo,$C211,OFFSET(Emp!$R$4,1,MATCH(AW$5,DedListItem,0)-1,EmpCount,1),"&lt;&gt;")&gt;0,VLOOKUP($C211,EmpAll,COLUMN(Emp!$R$4)+MATCH(AW$5,DedListItem,0)-1,0),OFFSET(Setup!$E$73,MATCH(AW$5,DedListItem,0),0,1,1))*AW$3))),IF(ISNUMBER(AW$4),AW$4,IgnoreMin)))))</f>
        <v>0</v>
      </c>
      <c r="AX211" s="148">
        <f t="shared" ca="1" si="121"/>
        <v>0</v>
      </c>
      <c r="AY211" s="148">
        <f t="shared" ca="1" si="122"/>
        <v>0</v>
      </c>
      <c r="AZ211" s="148">
        <f ca="1">IF(ISNUMBER($AL211),($AR211*$AL211)-$AI211-$AK211,MAX(0,IF($AL211="B",IF($AR211&lt;Setup!$C$32,($AR211*Setup!$D$32)-$AI211-$AK211,(($AR211-VLOOKUP($AR211,TaxAll2,1,1))*OFFSET(Setup!$D$32,MATCH($AR211,TaxBracket2,1),0,1,1))+OFFSET(Setup!$E$31,MATCH($AR211,TaxBracket2,1),0,1,1)-$AI211-$AK211),IF($AR211&lt;Setup!$C$21,($AR211*Setup!$D$21)-$AI211-$AK211,(($AR211-VLOOKUP($AR211,TaxAll1,1,1))*OFFSET(Setup!$D$21,MATCH($AR211,TaxBracket1,1),0,1,1))+OFFSET(Setup!$E$20,MATCH($AR211,TaxBracket1,1),0,1,1)-$AI211-$AK211))))</f>
        <v>0</v>
      </c>
      <c r="BA211" s="148">
        <f ca="1">IF(ISNUMBER($AL211),($AX211*$AL211)-$AI211-$AK211,MAX(0,IF($AL211="B",IF($AX211&lt;Setup!$C$32,($AX211*Setup!$D$32)-$AI211-$AK211,(($AX211-VLOOKUP($AX211,TaxAll2,1,1))*OFFSET(Setup!$D$32,MATCH($AX211,TaxBracket2,1),0,1,1))+OFFSET(Setup!$E$31,MATCH($AX211,TaxBracket2,1),0,1,1)-$AI211-$AK211),IF($AX211&lt;Setup!$C$21,($AX211*Setup!$D$21)-$AI211-$AK211,(($AX211-VLOOKUP($AX211,TaxAll1,1,1))*OFFSET(Setup!$D$21,MATCH($AX211,TaxBracket1,1),0,1,1))+OFFSET(Setup!$E$20,MATCH($AX211,TaxBracket1,1),0,1,1)-$AI211-$AK211))))</f>
        <v>0</v>
      </c>
      <c r="BB211" s="148">
        <f t="shared" ca="1" si="123"/>
        <v>0</v>
      </c>
      <c r="BC211" s="150">
        <f t="shared" ca="1" si="110"/>
        <v>0</v>
      </c>
      <c r="BD211" s="150">
        <f t="shared" ca="1" si="111"/>
        <v>0</v>
      </c>
      <c r="BE211" s="148">
        <f t="shared" ca="1" si="112"/>
        <v>0</v>
      </c>
    </row>
    <row r="212" spans="1:57" ht="16.149999999999999" customHeight="1" x14ac:dyDescent="0.25">
      <c r="A212" s="10" t="str" cm="1">
        <f t="array" ref="A212">IF(ROW($A212)-ROW($A$6)&gt;EmpCount*12,"-",TEXT($B212,"yyyy")&amp;TEXT($B212,"mm")&amp;"-"&amp;$C212)</f>
        <v>-</v>
      </c>
      <c r="B212" s="137" cm="1">
        <f t="array" aca="1" ref="B212" ca="1">IF(ROW($A212)-ROW($A$6)&gt;EmpCount*12,Setup!$D$12,DATE(YEAR(Setup!$F$12),MONTH(Setup!$F$12)+ROUNDDOWN((ROW($A212)-ROW($A$6)-1)/EmpCount,0),IF(Setup!$C$14&gt;DAY(DATE(YEAR(Setup!$F$12),MONTH(Setup!$F$12)+ROUNDDOWN((ROW($A212)-ROW($A$6)-1)/EmpCount,0)+1,0)),DAY(DATE(YEAR(Setup!$F$12),MONTH(Setup!$F$12)+ROUNDDOWN((ROW($A212)-ROW($A$6)-1)/EmpCount,0)+1,0)),Setup!$C$14)))</f>
        <v>45351</v>
      </c>
      <c r="C212" s="101" t="str" cm="1">
        <f t="array" aca="1" ref="C212" ca="1">IF(ROW($A212)-ROW($A$6)&gt;EmpCount*12,"-",OFFSET(Emp!$A$4,ROW($A212)-ROW($A$6)-IF(ROW($A212)-ROW($A$6)&gt;EmpCount,ROUNDDOWN((ROW($A212)-ROW($A$6)-1)/EmpCount,0)*EmpCount,0),0,1,1))</f>
        <v>-</v>
      </c>
      <c r="D212" s="10" t="str">
        <f ca="1">IF(ISNA(VLOOKUP($C212,EmpAll,COLUMN(Emp!$B$4),0)),"-",VLOOKUP($C212,EmpAll,COLUMN(Emp!$B$4),0))</f>
        <v>-</v>
      </c>
      <c r="E212" s="145" t="str">
        <f ca="1">IF(ISNA(VLOOKUP($C212,EmpAll,COLUMN(Emp!$C$4),0)),"-",VLOOKUP($C212,EmpAll,COLUMN(Emp!$C$4),0))</f>
        <v>-</v>
      </c>
      <c r="F212" s="101" t="str">
        <f ca="1">IF(ISNA(VLOOKUP($C212,EmpAll,COLUMN(Emp!$A$4),0)),"-",IF(AND(VLOOKUP($C212,EmpAll,COLUMN(Emp!$E$4),0)&lt;&gt;0,VLOOKUP($C212,EmpAll,COLUMN(Emp!$E$4),0)&gt;=DATE(YEAR($AC212),MONTH($AC212)+1,0)),"Inactive",IF(AND(VLOOKUP($C212,EmpAll,COLUMN(Emp!$F$4),0)&lt;&gt;0,VLOOKUP($C212,EmpAll,COLUMN(Emp!$F$4),0)&lt;=DATE(YEAR($AC212),MONTH($AC212),0)),"Terminated","Active")))</f>
        <v>-</v>
      </c>
      <c r="G212" s="133" cm="1">
        <f t="array" aca="1" ref="G212" ca="1">IF($F212&lt;&gt;"Active",0,IF(COUNTIFS(OverEmp,$C212,OverEarn,G$2,OverDate,"&lt;"&amp;DATE(YEAR($AC212),MONTH($AC212)+1,1),OverEnd,"&gt;="&amp;DATE(YEAR($AC212),MONTH($AC212),1))&gt;0,SUMIFS(OverValue,OverEmp,$C212,OverEarn,G$2,OverDate,"&lt;"&amp;DATE(YEAR($AC212),MONTH($AC212)+1,1),OverEnd,"&gt;="&amp;DATE(YEAR($AC212),MONTH($AC212),1)),IF(AND($AC212&gt;=Setup!$E$10,SUMIFS(EmpIncrease,EmpCode,$C212)&gt;0),SUMIFS(EmpIncrease,EmpCode,$C212),SUMIFS(EmpSalary,EmpCode,$C212))))</f>
        <v>0</v>
      </c>
      <c r="H212" s="133" cm="1">
        <f t="array" aca="1" ref="H212" ca="1">IF($F212&lt;&gt;"Active",0,IF(COUNTIFS(OverEmp,$C212,OverEarn,H$2,OverDate,"&lt;"&amp;DATE(YEAR($AC212),MONTH($AC212)+1,1),OverEnd,"&gt;="&amp;DATE(YEAR($AC212),MONTH($AC212),1))&gt;0,SUMIFS(OverValue,OverEmp,$C212,OverEarn,H$2,OverDate,"&lt;"&amp;DATE(YEAR($AC212),MONTH($AC212)+1,1),OverEnd,"&gt;="&amp;DATE(YEAR($AC212),MONTH($AC212),1)),0))</f>
        <v>0</v>
      </c>
      <c r="I212" s="133" cm="1">
        <f t="array" aca="1" ref="I212" ca="1">IF($F212&lt;&gt;"Active",0,IF(COUNTIFS(OverEmp,$C212,OverEarn,I$2,OverDate,"&lt;"&amp;DATE(YEAR($AC212),MONTH($AC212)+1,1),OverEnd,"&gt;="&amp;DATE(YEAR($AC212),MONTH($AC212),1))&gt;0,SUMIFS(OverValue,OverEmp,$C212,OverEarn,I$2,OverDate,"&lt;"&amp;DATE(YEAR($AC212),MONTH($AC212)+1,1),OverEnd,"&gt;="&amp;DATE(YEAR($AC212),MONTH($AC212),1)),IF(MONTH(B212)=Setup!$C$15,SUMIFS(EmpBonus,EmpCode,$C212),0)))</f>
        <v>0</v>
      </c>
      <c r="J212" s="133" cm="1">
        <f t="array" aca="1" ref="J212" ca="1">IF($F212&lt;&gt;"Active",0,IF(COUNTIFS(OverEmp,$C212,OverEarn,J$2,OverDate,"&lt;"&amp;DATE(YEAR($AC212),MONTH($AC212)+1,1),OverEnd,"&gt;="&amp;DATE(YEAR($AC212),MONTH($AC212),1))&gt;0,SUMIFS(OverValue,OverEmp,$C212,OverEarn,J$2,OverDate,"&lt;"&amp;DATE(YEAR($AC212),MONTH($AC212)+1,1),OverEnd,"&gt;="&amp;DATE(YEAR($AC212),MONTH($AC212),1)),0))</f>
        <v>0</v>
      </c>
      <c r="K212" s="133" cm="1">
        <f t="array" aca="1" ref="K212" ca="1">IF($F212&lt;&gt;"Active",0,IF(COUNTIFS(OverEmp,$C212,OverEarn,K$2,OverDate,"&lt;"&amp;DATE(YEAR($AC212),MONTH($AC212)+1,1),OverEnd,"&gt;="&amp;DATE(YEAR($AC212),MONTH($AC212),1))&gt;0,SUMIFS(OverValue,OverEmp,$C212,OverEarn,K$2,OverDate,"&lt;"&amp;DATE(YEAR($AC212),MONTH($AC212)+1,1),OverEnd,"&gt;="&amp;DATE(YEAR($AC212),MONTH($AC212),1)),0))</f>
        <v>0</v>
      </c>
      <c r="L212" s="185">
        <f t="shared" ca="1" si="113"/>
        <v>0</v>
      </c>
      <c r="M212" s="182" cm="1">
        <f t="array" aca="1" ref="M212" ca="1">IF(COUNTIFS(OverEmp,$C212,OverTax,M$5,OverDate,"&lt;"&amp;DATE(YEAR($AC212),MONTH($AC212)+1,1),OverEnd,"&gt;="&amp;DATE(YEAR($AC212),MONTH($AC212),1))&gt;0,SUMIFS(OverValue,OverEmp,$C212,OverTax,M$5,OverDate,"&lt;"&amp;DATE(YEAR($AC212),MONTH($AC212)+1,1),OverEnd,"&gt;="&amp;DATE(YEAR($AC212),MONTH($AC212),1)),(($BA212/12*$AA212)+(BB212*IF(1-$BC212=0,0,BD212/(1-$BC212))))-IF($F212="Terminated",0,SUMIFS(PayTaxDeduct,PayDate,"&lt;"&amp;$AC212,PayEmp,$C212)))</f>
        <v>0</v>
      </c>
      <c r="N212" s="133" cm="1">
        <f t="array" aca="1" ref="N212" ca="1">IF($F212="Terminated",0,IF($AA212=0,0,IF(ISNA(MATCH(N$5,DedListItem,0)),0,IF(COUNTIFS(OverEmp,$C212,OverDeduct,N$5,OverDate,"&lt;"&amp;DATE(YEAR($AC212),MONTH($AC212)+1,1),OverEnd,"&gt;="&amp;DATE(YEAR($AC212),MONTH($AC212),1))&gt;0,SUMIFS(OverValue,OverEmp,$C212,OverDeduct,N$5,OverDate,"&lt;"&amp;DATE(YEAR($AC212),MONTH($AC212)+1,1),OverEnd,"&gt;="&amp;DATE(YEAR($AC212),MONTH($AC212),1)),IF(OR(N$2="Fixed",N$2="Not Used"),(IF(COUNTIFS(EmpNo,$C212,OFFSET(Emp!$R$4,1,MATCH(N$5,DedListItem,0)-1,EmpCount,1),"&lt;&gt;")&gt;0,VLOOKUP($C212,EmpAll,COLUMN(Emp!$R$4)+MATCH(N$5,DedListItem,0)-1,0),OFFSET(Setup!$E$73,MATCH(N$5,DedListItem,0),0,1,1))*$AA212)-SUMIFS(OFFSET(N$6,1,0,PayCount,1),PayDate,"&lt;"&amp;$AC212,PayEmp,$C212),IF(ISNA(MATCH(N$2,EarnListItem,0))=FALSE,IF(OFFSET(Setup!$G$73,MATCH(N$5,DedListItem,0),0,1,1)="Taxable",SUMPRODUCT((PayEmp=$C212)*(PayDate&lt;=$AC212)*(PayEarnCode=N$2)*(PayEarnTax)*(PayEarnValues)),SUMPRODUCT((PayEmp=$C212)*(PayDate&lt;=$AC212)*(PayEarnCode=N$2)*(PayEarnValues)))*IF(COUNTIFS(EmpNo,$C212,OFFSET(Emp!$R$4,1,MATCH(N$5,DedListItem,0)-1,EmpCount,1),"&lt;&gt;")&gt;0,VLOOKUP($C212,EmpAll,COLUMN(Emp!$R$4)+MATCH(N$5,DedListItem,0)-1,0),OFFSET(Setup!$E$73,MATCH(N$5,DedListItem,0),0,1,1)),(MIN(IF(OFFSET(Setup!$G$73,MATCH(N$5,DedListItem,0),0,1,1)="Taxable",SUMPRODUCT((PayEmp=$C212)*(PayDate&lt;=$AC212)*(ISERROR(SEARCH(PayEarnCode,N$4)))*(PayEarnTax)*(PayEarnValues)),SUMPRODUCT((PayEmp=$C212)*(PayDate&lt;=$AC212)*(ISERROR(SEARCH(PayEarnCode,N$4)))*(PayEarnValues))),IF(ISNUMBER(N$3),N$3/12*$AA212,IgnoreMin)))*IF(COUNTIFS(EmpNo,$C212,OFFSET(Emp!$R$4,1,MATCH(N$5,DedListItem,0)-1,EmpCount,1),"&lt;&gt;")&gt;0,VLOOKUP($C212,EmpAll,COLUMN(Emp!$R$4)+MATCH(N$5,DedListItem,0)-1,0),OFFSET(Setup!$E$73,MATCH(N$5,DedListItem,0),0,1,1)))-SUMIFS(OFFSET(N$6,1,0,PayCount,1),PayDate,"&lt;"&amp;$AC212,PayEmp,$C212))))))</f>
        <v>0</v>
      </c>
      <c r="O212" s="133" cm="1">
        <f t="array" aca="1" ref="O212" ca="1">IF($F212="Terminated",0,IF($AA212=0,0,IF(ISNA(MATCH(O$5,DedListItem,0)),0,IF(COUNTIFS(OverEmp,$C212,OverDeduct,O$5,OverDate,"&lt;"&amp;DATE(YEAR($AC212),MONTH($AC212)+1,1),OverEnd,"&gt;="&amp;DATE(YEAR($AC212),MONTH($AC212),1))&gt;0,SUMIFS(OverValue,OverEmp,$C212,OverDeduct,O$5,OverDate,"&lt;"&amp;DATE(YEAR($AC212),MONTH($AC212)+1,1),OverEnd,"&gt;="&amp;DATE(YEAR($AC212),MONTH($AC212),1)),IF(OR(O$2="Fixed",O$2="Not Used"),(IF(COUNTIFS(EmpNo,$C212,OFFSET(Emp!$R$4,1,MATCH(O$5,DedListItem,0)-1,EmpCount,1),"&lt;&gt;")&gt;0,VLOOKUP($C212,EmpAll,COLUMN(Emp!$R$4)+MATCH(O$5,DedListItem,0)-1,0),OFFSET(Setup!$E$73,MATCH(O$5,DedListItem,0),0,1,1))*$AA212)-SUMIFS(OFFSET(O$6,1,0,PayCount,1),PayDate,"&lt;"&amp;$AC212,PayEmp,$C212),IF(ISNA(MATCH(O$2,EarnListItem,0))=FALSE,IF(OFFSET(Setup!$G$73,MATCH(O$5,DedListItem,0),0,1,1)="Taxable",SUMPRODUCT((PayEmp=$C212)*(PayDate&lt;=$AC212)*(PayEarnCode=O$2)*(PayEarnTax)*(PayEarnValues)),SUMPRODUCT((PayEmp=$C212)*(PayDate&lt;=$AC212)*(PayEarnCode=O$2)*(PayEarnValues)))*IF(COUNTIFS(EmpNo,$C212,OFFSET(Emp!$R$4,1,MATCH(O$5,DedListItem,0)-1,EmpCount,1),"&lt;&gt;")&gt;0,VLOOKUP($C212,EmpAll,COLUMN(Emp!$R$4)+MATCH(O$5,DedListItem,0)-1,0),OFFSET(Setup!$E$73,MATCH(O$5,DedListItem,0),0,1,1)),(MIN(IF(OFFSET(Setup!$G$73,MATCH(O$5,DedListItem,0),0,1,1)="Taxable",SUMPRODUCT((PayEmp=$C212)*(PayDate&lt;=$AC212)*(ISERROR(SEARCH(PayEarnCode,O$4)))*(PayEarnTax)*(PayEarnValues)),SUMPRODUCT((PayEmp=$C212)*(PayDate&lt;=$AC212)*(ISERROR(SEARCH(PayEarnCode,O$4)))*(PayEarnValues))),IF(ISNUMBER(O$3),O$3/12*$AA212,IgnoreMin)))*IF(COUNTIFS(EmpNo,$C212,OFFSET(Emp!$R$4,1,MATCH(O$5,DedListItem,0)-1,EmpCount,1),"&lt;&gt;")&gt;0,VLOOKUP($C212,EmpAll,COLUMN(Emp!$R$4)+MATCH(O$5,DedListItem,0)-1,0),OFFSET(Setup!$E$73,MATCH(O$5,DedListItem,0),0,1,1)))-SUMIFS(OFFSET(O$6,1,0,PayCount,1),PayDate,"&lt;"&amp;$AC212,PayEmp,$C212))))))</f>
        <v>0</v>
      </c>
      <c r="P212" s="133" cm="1">
        <f t="array" aca="1" ref="P212" ca="1">IF($F212="Terminated",0,IF($AA212=0,0,IF(ISNA(MATCH(P$5,DedListItem,0)),0,IF(COUNTIFS(OverEmp,$C212,OverDeduct,P$5,OverDate,"&lt;"&amp;DATE(YEAR($AC212),MONTH($AC212)+1,1),OverEnd,"&gt;="&amp;DATE(YEAR($AC212),MONTH($AC212),1))&gt;0,SUMIFS(OverValue,OverEmp,$C212,OverDeduct,P$5,OverDate,"&lt;"&amp;DATE(YEAR($AC212),MONTH($AC212)+1,1),OverEnd,"&gt;="&amp;DATE(YEAR($AC212),MONTH($AC212),1)),IF(OR(P$2="Fixed",P$2="Not Used"),(IF(COUNTIFS(EmpNo,$C212,OFFSET(Emp!$R$4,1,MATCH(P$5,DedListItem,0)-1,EmpCount,1),"&lt;&gt;")&gt;0,VLOOKUP($C212,EmpAll,COLUMN(Emp!$R$4)+MATCH(P$5,DedListItem,0)-1,0),OFFSET(Setup!$E$73,MATCH(P$5,DedListItem,0),0,1,1))*$AA212)-SUMIFS(OFFSET(P$6,1,0,PayCount,1),PayDate,"&lt;"&amp;$AC212,PayEmp,$C212),IF(ISNA(MATCH(P$2,EarnListItem,0))=FALSE,IF(OFFSET(Setup!$G$73,MATCH(P$5,DedListItem,0),0,1,1)="Taxable",SUMPRODUCT((PayEmp=$C212)*(PayDate&lt;=$AC212)*(PayEarnCode=P$2)*(PayEarnTax)*(PayEarnValues)),SUMPRODUCT((PayEmp=$C212)*(PayDate&lt;=$AC212)*(PayEarnCode=P$2)*(PayEarnValues)))*IF(COUNTIFS(EmpNo,$C212,OFFSET(Emp!$R$4,1,MATCH(P$5,DedListItem,0)-1,EmpCount,1),"&lt;&gt;")&gt;0,VLOOKUP($C212,EmpAll,COLUMN(Emp!$R$4)+MATCH(P$5,DedListItem,0)-1,0),OFFSET(Setup!$E$73,MATCH(P$5,DedListItem,0),0,1,1)),(MIN(IF(OFFSET(Setup!$G$73,MATCH(P$5,DedListItem,0),0,1,1)="Taxable",SUMPRODUCT((PayEmp=$C212)*(PayDate&lt;=$AC212)*(ISERROR(SEARCH(PayEarnCode,P$4)))*(PayEarnTax)*(PayEarnValues)),SUMPRODUCT((PayEmp=$C212)*(PayDate&lt;=$AC212)*(ISERROR(SEARCH(PayEarnCode,P$4)))*(PayEarnValues))),IF(ISNUMBER(P$3),P$3/12*$AA212,IgnoreMin)))*IF(COUNTIFS(EmpNo,$C212,OFFSET(Emp!$R$4,1,MATCH(P$5,DedListItem,0)-1,EmpCount,1),"&lt;&gt;")&gt;0,VLOOKUP($C212,EmpAll,COLUMN(Emp!$R$4)+MATCH(P$5,DedListItem,0)-1,0),OFFSET(Setup!$E$73,MATCH(P$5,DedListItem,0),0,1,1)))-SUMIFS(OFFSET(P$6,1,0,PayCount,1),PayDate,"&lt;"&amp;$AC212,PayEmp,$C212))))))</f>
        <v>0</v>
      </c>
      <c r="Q212" s="133" cm="1">
        <f t="array" aca="1" ref="Q212" ca="1">IF($F212="Terminated",0,IF($AA212=0,0,IF(ISNA(MATCH(Q$5,DedListItem,0)),0,IF(COUNTIFS(OverEmp,$C212,OverDeduct,Q$5,OverDate,"&lt;"&amp;DATE(YEAR($AC212),MONTH($AC212)+1,1),OverEnd,"&gt;="&amp;DATE(YEAR($AC212),MONTH($AC212),1))&gt;0,SUMIFS(OverValue,OverEmp,$C212,OverDeduct,Q$5,OverDate,"&lt;"&amp;DATE(YEAR($AC212),MONTH($AC212)+1,1),OverEnd,"&gt;="&amp;DATE(YEAR($AC212),MONTH($AC212),1)),IF(OR(Q$2="Fixed",Q$2="Not Used"),(IF(COUNTIFS(EmpNo,$C212,OFFSET(Emp!$R$4,1,MATCH(Q$5,DedListItem,0)-1,EmpCount,1),"&lt;&gt;")&gt;0,VLOOKUP($C212,EmpAll,COLUMN(Emp!$R$4)+MATCH(Q$5,DedListItem,0)-1,0),OFFSET(Setup!$E$73,MATCH(Q$5,DedListItem,0),0,1,1))*$AA212)-SUMIFS(OFFSET(Q$6,1,0,PayCount,1),PayDate,"&lt;"&amp;$AC212,PayEmp,$C212),IF(ISNA(MATCH(Q$2,EarnListItem,0))=FALSE,IF(OFFSET(Setup!$G$73,MATCH(Q$5,DedListItem,0),0,1,1)="Taxable",SUMPRODUCT((PayEmp=$C212)*(PayDate&lt;=$AC212)*(PayEarnCode=Q$2)*(PayEarnTax)*(PayEarnValues)),SUMPRODUCT((PayEmp=$C212)*(PayDate&lt;=$AC212)*(PayEarnCode=Q$2)*(PayEarnValues)))*IF(COUNTIFS(EmpNo,$C212,OFFSET(Emp!$R$4,1,MATCH(Q$5,DedListItem,0)-1,EmpCount,1),"&lt;&gt;")&gt;0,VLOOKUP($C212,EmpAll,COLUMN(Emp!$R$4)+MATCH(Q$5,DedListItem,0)-1,0),OFFSET(Setup!$E$73,MATCH(Q$5,DedListItem,0),0,1,1)),(MIN(IF(OFFSET(Setup!$G$73,MATCH(Q$5,DedListItem,0),0,1,1)="Taxable",SUMPRODUCT((PayEmp=$C212)*(PayDate&lt;=$AC212)*(ISERROR(SEARCH(PayEarnCode,Q$4)))*(PayEarnTax)*(PayEarnValues)),SUMPRODUCT((PayEmp=$C212)*(PayDate&lt;=$AC212)*(ISERROR(SEARCH(PayEarnCode,Q$4)))*(PayEarnValues))),IF(ISNUMBER(Q$3),Q$3/12*$AA212,IgnoreMin)))*IF(COUNTIFS(EmpNo,$C212,OFFSET(Emp!$R$4,1,MATCH(Q$5,DedListItem,0)-1,EmpCount,1),"&lt;&gt;")&gt;0,VLOOKUP($C212,EmpAll,COLUMN(Emp!$R$4)+MATCH(Q$5,DedListItem,0)-1,0),OFFSET(Setup!$E$73,MATCH(Q$5,DedListItem,0),0,1,1)))-SUMIFS(OFFSET(Q$6,1,0,PayCount,1),PayDate,"&lt;"&amp;$AC212,PayEmp,$C212))))))</f>
        <v>0</v>
      </c>
      <c r="R212" s="185">
        <f t="shared" ca="1" si="114"/>
        <v>0</v>
      </c>
      <c r="S212" s="139">
        <f t="shared" ca="1" si="115"/>
        <v>0</v>
      </c>
      <c r="T212" s="133" cm="1">
        <f t="array" aca="1" ref="T212" ca="1">IF($F212="Terminated",0,IF($AA212=0,0,IF(ISNA(MATCH(T$5,CompListItem,0)),0,IF(COUNTIFS(OverEmp,$C212,OverComp,T$5,OverDate,"&lt;"&amp;DATE(YEAR($AC212),MONTH($AC212)+1,1),OverEnd,"&gt;="&amp;DATE(YEAR($AC212),MONTH($AC212),1))&gt;0,SUMIFS(OverValue,OverEmp,$C212,OverComp,T$5,OverDate,"&lt;"&amp;DATE(YEAR($AC212),MONTH($AC212)+1,1),OverEnd,"&gt;="&amp;DATE(YEAR($AC212),MONTH($AC212),1)),IF(OR(T$2="Fixed",T$2="Not Used"),(OFFSET(Setup!$E$81,MATCH(T$5,CompListItem,0),0,1,1)*$AA212)-SUMIFS(OFFSET(T$6,1,0,PayCount,1),PayDate,"&lt;"&amp;$AC212,PayEmp,$C212),IF(ISNA(MATCH(T$2,DedListItem,0))=FALSE,(SUMPRODUCT((PayEmp=$C212)*(PayDate&lt;=$AC212)*(PayDedList=T$2)*(PayDedValues))*OFFSET(Setup!$E$81,MATCH(T$5,CompListItem,0),0,1,1))-SUMIFS(OFFSET(T$6,1,0,PayCount,1),PayDate,"&lt;"&amp;$AC212,PayEmp,$C212),(MIN(IF(OFFSET(Setup!$G$81,MATCH(T$5,CompListItem,0),0,1,1)="Taxable",SUMPRODUCT((PayEmp=$C212)*(PayDate&lt;=$AC212)*(ISERROR(SEARCH(PayEarnCode,T$4)))*(PayEarnTax)*(PayEarnValues)),SUMPRODUCT((PayEmp=$C212)*(PayDate&lt;=$AC212)*(ISERROR(SEARCH(PayEarnCode,T$4)))*(PayEarnValues))),IF(ISNUMBER(T$3),T$3/12*$AA212,IgnoreMin)))*OFFSET(Setup!$E$81,MATCH(T$5,CompListItem,0),0,1,1)-SUMIFS(OFFSET(T$6,1,0,PayCount,1),PayDate,"&lt;"&amp;$AC212,PayEmp,$C212)))))))</f>
        <v>0</v>
      </c>
      <c r="U212" s="133" cm="1">
        <f t="array" aca="1" ref="U212" ca="1">IF($F212="Terminated",0,IF($AA212=0,0,IF(ISNA(MATCH(U$5,CompListItem,0)),0,IF(COUNTIFS(OverEmp,$C212,OverComp,U$5,OverDate,"&lt;"&amp;DATE(YEAR($AC212),MONTH($AC212)+1,1),OverEnd,"&gt;="&amp;DATE(YEAR($AC212),MONTH($AC212),1))&gt;0,SUMIFS(OverValue,OverEmp,$C212,OverComp,U$5,OverDate,"&lt;"&amp;DATE(YEAR($AC212),MONTH($AC212)+1,1),OverEnd,"&gt;="&amp;DATE(YEAR($AC212),MONTH($AC212),1)),IF(OR(U$2="Fixed",U$2="Not Used"),(OFFSET(Setup!$E$81,MATCH(U$5,CompListItem,0),0,1,1)*$AA212)-SUMIFS(OFFSET(U$6,1,0,PayCount,1),PayDate,"&lt;"&amp;$AC212,PayEmp,$C212),IF(ISNA(MATCH(U$2,DedListItem,0))=FALSE,(SUMPRODUCT((PayEmp=$C212)*(PayDate&lt;=$AC212)*(PayDedList=U$2)*(PayDedValues))*OFFSET(Setup!$E$81,MATCH(U$5,CompListItem,0),0,1,1))-SUMIFS(OFFSET(U$6,1,0,PayCount,1),PayDate,"&lt;"&amp;$AC212,PayEmp,$C212),(MIN(IF(OFFSET(Setup!$G$81,MATCH(U$5,CompListItem,0),0,1,1)="Taxable",SUMPRODUCT((PayEmp=$C212)*(PayDate&lt;=$AC212)*(ISERROR(SEARCH(PayEarnCode,U$4)))*(PayEarnTax)*(PayEarnValues)),SUMPRODUCT((PayEmp=$C212)*(PayDate&lt;=$AC212)*(ISERROR(SEARCH(PayEarnCode,U$4)))*(PayEarnValues))),IF(ISNUMBER(U$3),U$3/12*$AA212,IgnoreMin)))*OFFSET(Setup!$E$81,MATCH(U$5,CompListItem,0),0,1,1)-SUMIFS(OFFSET(U$6,1,0,PayCount,1),PayDate,"&lt;"&amp;$AC212,PayEmp,$C212)))))))</f>
        <v>0</v>
      </c>
      <c r="V212" s="133" cm="1">
        <f t="array" aca="1" ref="V212" ca="1">IF($F212="Terminated",0,IF($AA212=0,0,IF(ISNA(MATCH(V$5,CompListItem,0)),0,IF(COUNTIFS(OverEmp,$C212,OverComp,V$5,OverDate,"&lt;"&amp;DATE(YEAR($AC212),MONTH($AC212)+1,1),OverEnd,"&gt;="&amp;DATE(YEAR($AC212),MONTH($AC212),1))&gt;0,SUMIFS(OverValue,OverEmp,$C212,OverComp,V$5,OverDate,"&lt;"&amp;DATE(YEAR($AC212),MONTH($AC212)+1,1),OverEnd,"&gt;="&amp;DATE(YEAR($AC212),MONTH($AC212),1)),IF(OR(V$2="Fixed",V$2="Not Used"),(OFFSET(Setup!$E$81,MATCH(V$5,CompListItem,0),0,1,1)*$AA212)-SUMIFS(OFFSET(V$6,1,0,PayCount,1),PayDate,"&lt;"&amp;$AC212,PayEmp,$C212),IF(ISNA(MATCH(V$2,DedListItem,0))=FALSE,(SUMPRODUCT((PayEmp=$C212)*(PayDate&lt;=$AC212)*(PayDedList=V$2)*(PayDedValues))*OFFSET(Setup!$E$81,MATCH(V$5,CompListItem,0),0,1,1))-SUMIFS(OFFSET(V$6,1,0,PayCount,1),PayDate,"&lt;"&amp;$AC212,PayEmp,$C212),(MIN(IF(OFFSET(Setup!$G$81,MATCH(V$5,CompListItem,0),0,1,1)="Taxable",SUMPRODUCT((PayEmp=$C212)*(PayDate&lt;=$AC212)*(ISERROR(SEARCH(PayEarnCode,V$4)))*(PayEarnTax)*(PayEarnValues)),SUMPRODUCT((PayEmp=$C212)*(PayDate&lt;=$AC212)*(ISERROR(SEARCH(PayEarnCode,V$4)))*(PayEarnValues))),IF(ISNUMBER(V$3),V$3/12*$AA212,IgnoreMin)))*OFFSET(Setup!$E$81,MATCH(V$5,CompListItem,0),0,1,1)-SUMIFS(OFFSET(V$6,1,0,PayCount,1),PayDate,"&lt;"&amp;$AC212,PayEmp,$C212)))))))</f>
        <v>0</v>
      </c>
      <c r="W212" s="133" cm="1">
        <f t="array" aca="1" ref="W212" ca="1">IF($F212="Terminated",0,IF($AA212=0,0,IF(ISNA(MATCH(W$5,CompListItem,0)),0,IF(COUNTIFS(OverEmp,$C212,OverComp,W$5,OverDate,"&lt;"&amp;DATE(YEAR($AC212),MONTH($AC212)+1,1),OverEnd,"&gt;="&amp;DATE(YEAR($AC212),MONTH($AC212),1))&gt;0,SUMIFS(OverValue,OverEmp,$C212,OverComp,W$5,OverDate,"&lt;"&amp;DATE(YEAR($AC212),MONTH($AC212)+1,1),OverEnd,"&gt;="&amp;DATE(YEAR($AC212),MONTH($AC212),1)),IF(OR(W$2="Fixed",W$2="Not Used"),(OFFSET(Setup!$E$81,MATCH(W$5,CompListItem,0),0,1,1)*$AA212)-SUMIFS(OFFSET(W$6,1,0,PayCount,1),PayDate,"&lt;"&amp;$AC212,PayEmp,$C212),IF(ISNA(MATCH(W$2,DedListItem,0))=FALSE,(SUMPRODUCT((PayEmp=$C212)*(PayDate&lt;=$AC212)*(PayDedList=W$2)*(PayDedValues))*OFFSET(Setup!$E$81,MATCH(W$5,CompListItem,0),0,1,1))-SUMIFS(OFFSET(W$6,1,0,PayCount,1),PayDate,"&lt;"&amp;$AC212,PayEmp,$C212),(MIN(IF(OFFSET(Setup!$G$81,MATCH(W$5,CompListItem,0),0,1,1)="Taxable",SUMPRODUCT((PayEmp=$C212)*(PayDate&lt;=$AC212)*(ISERROR(SEARCH(PayEarnCode,W$4)))*(PayEarnTax)*(PayEarnValues)),SUMPRODUCT((PayEmp=$C212)*(PayDate&lt;=$AC212)*(ISERROR(SEARCH(PayEarnCode,W$4)))*(PayEarnValues))),IF(ISNUMBER(W$3),W$3/12*$AA212,IgnoreMin)))*OFFSET(Setup!$E$81,MATCH(W$5,CompListItem,0),0,1,1)-SUMIFS(OFFSET(W$6,1,0,PayCount,1),PayDate,"&lt;"&amp;$AC212,PayEmp,$C212)))))))</f>
        <v>0</v>
      </c>
      <c r="X212" s="185">
        <f t="shared" ca="1" si="116"/>
        <v>0</v>
      </c>
      <c r="Y212" s="139">
        <f t="shared" ca="1" si="117"/>
        <v>0</v>
      </c>
      <c r="Z212" s="139">
        <f t="shared" ca="1" si="118"/>
        <v>0</v>
      </c>
      <c r="AA212" s="146">
        <f ca="1">IF(OR($B212&lt;=Setup!$E$12,$B212&gt;=Setup!$D$12+1),0,IF($F212&lt;&gt;"Active",0,IF($AE212="Yes",$AB212,((YEAR($AC212)*12)+MONTH($AC212))-((YEAR($AD212)*12)+MONTH($AD212)-1))))</f>
        <v>0</v>
      </c>
      <c r="AB212" s="146">
        <f ca="1">IF(OR($B212&lt;=Setup!$E$12,$B212&gt;=Setup!$D$12+1),0,((YEAR($AC212)*12)+MONTH($AC212))-((YEAR(Setup!$E$12)*12)+MONTH(Setup!$E$12)))</f>
        <v>12</v>
      </c>
      <c r="AC212" s="186">
        <f t="shared" ca="1" si="119"/>
        <v>45351</v>
      </c>
      <c r="AD212" s="144">
        <f ca="1">IF(ISNA(VLOOKUP($C212,EmpAll,COLUMN(Emp!$E$4),0)),$AC212,IF(VLOOKUP($C212,EmpAll,COLUMN(Emp!$E$4),0)&lt;=Setup!$E$12,DATE(YEAR(Setup!$E$12),MONTH(Setup!$E$12)+1,1),VLOOKUP($C212,EmpAll,COLUMN(Emp!$E$4),0)))</f>
        <v>45351</v>
      </c>
      <c r="AE212" s="144" t="str">
        <f ca="1">IF(ISNA(VLOOKUP($C212,EmpAll,COLUMN(Emp!$G$1),0)),"-",IF(VLOOKUP($C212,EmpAll,COLUMN(Emp!$G$1),0)=0,"-",VLOOKUP($C212,EmpAll,COLUMN(Emp!$G$1),0)))</f>
        <v>-</v>
      </c>
      <c r="AF212" s="145">
        <f>IF(A212=PaySlip!$G$3,1,0)</f>
        <v>0</v>
      </c>
      <c r="AG212" s="130" cm="1">
        <f t="array" aca="1" ref="AG212" ca="1">IF(COUNTIFS(OverEmp,$C212,OverMed,"MED",OverDate,"&lt;"&amp;DATE(YEAR($AC212),MONTH($AC212)+1,1),OverEnd,"&gt;="&amp;DATE(YEAR($AC212),MONTH($AC212),1))&gt;0,SUMIFS(OverValue,OverEmp,$C212,OverMed,"MED",OverDate,"&lt;"&amp;DATE(YEAR($AC212),MONTH($AC212)+1,1),OverEnd,"&gt;="&amp;DATE(YEAR($AC212),MONTH($AC212),1)),IF(ISNA(VLOOKUP($C212,EmpAll,COLUMN(Emp!$N$4),0)),0,VLOOKUP($C212,EmpAll,COLUMN(Emp!$N$4),0)))</f>
        <v>0</v>
      </c>
      <c r="AH212" s="146">
        <f ca="1">VLOOKUP($AG212,MedList,COLUMN(Setup!$C$49),1)</f>
        <v>0</v>
      </c>
      <c r="AI212" s="146">
        <f t="shared" ca="1" si="107"/>
        <v>0</v>
      </c>
      <c r="AJ212" s="101" t="str">
        <f ca="1">IF(ISNA(VLOOKUP($C212,EmpAll,COLUMN(Emp!$L$4),0)),"None!",VLOOKUP($C212,EmpAll,COLUMN(Emp!$L$4),0))</f>
        <v>None!</v>
      </c>
      <c r="AK212" s="147">
        <f t="shared" ca="1" si="102"/>
        <v>17235</v>
      </c>
      <c r="AL212" s="101" t="str">
        <f ca="1">IF(ISNA(VLOOKUP($C212,Employees[],COLUMN(Emp!$M$4),0))=TRUE,"Error!",IF(VLOOKUP($C212,Employees[],COLUMN(Emp!$M$4),0)=0,"Yes",VLOOKUP($C212,Employees[],COLUMN(Emp!$M$4),0)))</f>
        <v>Error!</v>
      </c>
      <c r="AM212" s="148">
        <f t="shared" ca="1" si="108"/>
        <v>0</v>
      </c>
      <c r="AN212" s="148" cm="1">
        <f t="array" aca="1" ref="AN212" ca="1">-IF($F212="Terminated",0,IF($AA212=0,0,IF(ISNA(MATCH(AN$5,PayDedList,0)),0,MIN(IF(COUNTIFS(OverEmp,$C212,OverDeduct,AN$5,OverDate,"&lt;"&amp;DATE(YEAR($AC212),MONTH($AC212)+1,1),OverEnd,"&gt;="&amp;DATE(YEAR($AC212),MONTH($AC212),1))&gt;0,SUMPRODUCT((PayEmp=$C212)*(PayDate&lt;=$AC212)*(OFFSET($N$6,1,MATCH(AN$5,PayDedList,0)-1,PayCount,1)))/$AA212*12*AN$3,IF(OR(AN$1="Fixed",AN$1="Not Used"),SUMPRODUCT((PayEmp=$C212)*(PayDate&lt;=$AC212)*(OFFSET($N$6,1,MATCH(AN$5,PayDedList,0)-1,PayCount,1)))/$AA212*12*AN$3,IF(ISNA(MATCH(AN$1,EarnListItem,0))=FALSE,SUMPRODUCT((PayEmp=$C212)*(PayDate&lt;=$AC212)*(OFFSET($N$6,1,MATCH(AN$5,PayDedList,0)-1,PayCount,1)))/$AA212*12*AN$3,(MIN(((SUMPRODUCT((PayEmp=$C212)*(PayDate&lt;=$AC212)*(ISERROR(SEARCH(PayEarnCode,AN$2)))*(PayEarnType="Monthly")*(PayEarnValues))/$AA212*12)+(SUMPRODUCT((PayEmp=$C212)*(PayDate&lt;=$AC212)*(ISERROR(SEARCH(PayEarnCode,AN$2)))*(PayEarnType="Quarterly")*(PayEarnValues))/MAX(1,ROUNDDOWN($AB212/3,0))*4)+(SUMPRODUCT((PayEmp=$C212)*(PayDate&lt;=$AC212)*(ISERROR(SEARCH(PayEarnCode,AN$2)))*(PayEarnType="Bi-Annual")*(PayEarnValues))/MAX(1,ROUNDDOWN($AB212/6,0))*2)+(SUMPRODUCT((PayEmp=$C212)*(PayDate&lt;=$AC212)*(ISERROR(SEARCH(PayEarnCode,AN$2)))*(PayEarnType="Annual")*(PayEarnValues)))),IF(ISNUMBER(OFFSET($N$3,0,MATCH(AN$5,PayDedList,0)-1,1,1)),OFFSET($N$3,0,MATCH(AN$5,PayDedList,0)-1,1,1),IgnoreMin)))*IF(COUNTIFS(EmpNo,$C212,OFFSET(Emp!$R$4,1,MATCH(AN$5,DedListItem,0)-1,EmpCount,1),"&lt;&gt;")&gt;0,VLOOKUP($C212,EmpAll,COLUMN(Emp!$R$4)+MATCH(AN$5,DedListItem,0)-1,0),OFFSET(Setup!$E$73,MATCH(AN$5,DedListItem,0),0,1,1))*AN$3))),IF(ISNUMBER(AN$4),AN$4,IgnoreMin)))))</f>
        <v>0</v>
      </c>
      <c r="AO212" s="148" cm="1">
        <f t="array" aca="1" ref="AO212" ca="1">-IF($F212="Terminated",0,IF($AA212=0,0,IF(ISNA(MATCH(AO$5,PayDedList,0)),0,MIN(IF(COUNTIFS(OverEmp,$C212,OverDeduct,AO$5,OverDate,"&lt;"&amp;DATE(YEAR($AC212),MONTH($AC212)+1,1),OverEnd,"&gt;="&amp;DATE(YEAR($AC212),MONTH($AC212),1))&gt;0,SUMPRODUCT((PayEmp=$C212)*(PayDate&lt;=$AC212)*(OFFSET($N$6,1,MATCH(AO$5,PayDedList,0)-1,PayCount,1)))/$AA212*12*AO$3,IF(OR(AO$1="Fixed",AO$1="Not Used"),SUMPRODUCT((PayEmp=$C212)*(PayDate&lt;=$AC212)*(OFFSET($N$6,1,MATCH(AO$5,PayDedList,0)-1,PayCount,1)))/$AA212*12*AO$3,IF(ISNA(MATCH(AO$1,EarnListItem,0))=FALSE,SUMPRODUCT((PayEmp=$C212)*(PayDate&lt;=$AC212)*(OFFSET($N$6,1,MATCH(AO$5,PayDedList,0)-1,PayCount,1)))/$AA212*12*AO$3,(MIN(((SUMPRODUCT((PayEmp=$C212)*(PayDate&lt;=$AC212)*(ISERROR(SEARCH(PayEarnCode,AO$2)))*(PayEarnType="Monthly")*(PayEarnValues))/$AA212*12)+(SUMPRODUCT((PayEmp=$C212)*(PayDate&lt;=$AC212)*(ISERROR(SEARCH(PayEarnCode,AO$2)))*(PayEarnType="Quarterly")*(PayEarnValues))/MAX(1,ROUNDDOWN($AB212/3,0))*4)+(SUMPRODUCT((PayEmp=$C212)*(PayDate&lt;=$AC212)*(ISERROR(SEARCH(PayEarnCode,AO$2)))*(PayEarnType="Bi-Annual")*(PayEarnValues))/MAX(1,ROUNDDOWN($AB212/6,0))*2)+(SUMPRODUCT((PayEmp=$C212)*(PayDate&lt;=$AC212)*(ISERROR(SEARCH(PayEarnCode,AO$2)))*(PayEarnType="Annual")*(PayEarnValues)))),IF(ISNUMBER(OFFSET($N$3,0,MATCH(AO$5,PayDedList,0)-1,1,1)),OFFSET($N$3,0,MATCH(AO$5,PayDedList,0)-1,1,1),IgnoreMin)))*IF(COUNTIFS(EmpNo,$C212,OFFSET(Emp!$R$4,1,MATCH(AO$5,DedListItem,0)-1,EmpCount,1),"&lt;&gt;")&gt;0,VLOOKUP($C212,EmpAll,COLUMN(Emp!$R$4)+MATCH(AO$5,DedListItem,0)-1,0),OFFSET(Setup!$E$73,MATCH(AO$5,DedListItem,0),0,1,1))*AO$3))),IF(ISNUMBER(AO$4),AO$4,IgnoreMin)))))</f>
        <v>0</v>
      </c>
      <c r="AP212" s="148" cm="1">
        <f t="array" aca="1" ref="AP212" ca="1">-IF($F212="Terminated",0,IF($AA212=0,0,IF(ISNA(MATCH(AP$5,PayDedList,0)),0,MIN(IF(COUNTIFS(OverEmp,$C212,OverDeduct,AP$5,OverDate,"&lt;"&amp;DATE(YEAR($AC212),MONTH($AC212)+1,1),OverEnd,"&gt;="&amp;DATE(YEAR($AC212),MONTH($AC212),1))&gt;0,SUMPRODUCT((PayEmp=$C212)*(PayDate&lt;=$AC212)*(OFFSET($N$6,1,MATCH(AP$5,PayDedList,0)-1,PayCount,1)))/$AA212*12*AP$3,IF(OR(AP$1="Fixed",AP$1="Not Used"),SUMPRODUCT((PayEmp=$C212)*(PayDate&lt;=$AC212)*(OFFSET($N$6,1,MATCH(AP$5,PayDedList,0)-1,PayCount,1)))/$AA212*12*AP$3,IF(ISNA(MATCH(AP$1,EarnListItem,0))=FALSE,SUMPRODUCT((PayEmp=$C212)*(PayDate&lt;=$AC212)*(OFFSET($N$6,1,MATCH(AP$5,PayDedList,0)-1,PayCount,1)))/$AA212*12*AP$3,(MIN(((SUMPRODUCT((PayEmp=$C212)*(PayDate&lt;=$AC212)*(ISERROR(SEARCH(PayEarnCode,AP$2)))*(PayEarnType="Monthly")*(PayEarnValues))/$AA212*12)+(SUMPRODUCT((PayEmp=$C212)*(PayDate&lt;=$AC212)*(ISERROR(SEARCH(PayEarnCode,AP$2)))*(PayEarnType="Quarterly")*(PayEarnValues))/MAX(1,ROUNDDOWN($AB212/3,0))*4)+(SUMPRODUCT((PayEmp=$C212)*(PayDate&lt;=$AC212)*(ISERROR(SEARCH(PayEarnCode,AP$2)))*(PayEarnType="Bi-Annual")*(PayEarnValues))/MAX(1,ROUNDDOWN($AB212/6,0))*2)+(SUMPRODUCT((PayEmp=$C212)*(PayDate&lt;=$AC212)*(ISERROR(SEARCH(PayEarnCode,AP$2)))*(PayEarnType="Annual")*(PayEarnValues)))),IF(ISNUMBER(OFFSET($N$3,0,MATCH(AP$5,PayDedList,0)-1,1,1)),OFFSET($N$3,0,MATCH(AP$5,PayDedList,0)-1,1,1),IgnoreMin)))*IF(COUNTIFS(EmpNo,$C212,OFFSET(Emp!$R$4,1,MATCH(AP$5,DedListItem,0)-1,EmpCount,1),"&lt;&gt;")&gt;0,VLOOKUP($C212,EmpAll,COLUMN(Emp!$R$4)+MATCH(AP$5,DedListItem,0)-1,0),OFFSET(Setup!$E$73,MATCH(AP$5,DedListItem,0),0,1,1))*AP$3))),IF(ISNUMBER(AP$4),AP$4,IgnoreMin)))))</f>
        <v>0</v>
      </c>
      <c r="AQ212" s="148" cm="1">
        <f t="array" aca="1" ref="AQ212" ca="1">-IF($F212="Terminated",0,IF($AA212=0,0,IF(ISNA(MATCH(AQ$5,PayDedList,0)),0,MIN(IF(COUNTIFS(OverEmp,$C212,OverDeduct,AQ$5,OverDate,"&lt;"&amp;DATE(YEAR($AC212),MONTH($AC212)+1,1),OverEnd,"&gt;="&amp;DATE(YEAR($AC212),MONTH($AC212),1))&gt;0,SUMPRODUCT((PayEmp=$C212)*(PayDate&lt;=$AC212)*(OFFSET($N$6,1,MATCH(AQ$5,PayDedList,0)-1,PayCount,1)))/$AA212*12*AQ$3,IF(OR(AQ$1="Fixed",AQ$1="Not Used"),SUMPRODUCT((PayEmp=$C212)*(PayDate&lt;=$AC212)*(OFFSET($N$6,1,MATCH(AQ$5,PayDedList,0)-1,PayCount,1)))/$AA212*12*AQ$3,IF(ISNA(MATCH(AQ$1,EarnListItem,0))=FALSE,SUMPRODUCT((PayEmp=$C212)*(PayDate&lt;=$AC212)*(OFFSET($N$6,1,MATCH(AQ$5,PayDedList,0)-1,PayCount,1)))/$AA212*12*AQ$3,(MIN(((SUMPRODUCT((PayEmp=$C212)*(PayDate&lt;=$AC212)*(ISERROR(SEARCH(PayEarnCode,AQ$2)))*(PayEarnType="Monthly")*(PayEarnValues))/$AA212*12)+(SUMPRODUCT((PayEmp=$C212)*(PayDate&lt;=$AC212)*(ISERROR(SEARCH(PayEarnCode,AQ$2)))*(PayEarnType="Quarterly")*(PayEarnValues))/MAX(1,ROUNDDOWN($AB212/3,0))*4)+(SUMPRODUCT((PayEmp=$C212)*(PayDate&lt;=$AC212)*(ISERROR(SEARCH(PayEarnCode,AQ$2)))*(PayEarnType="Bi-Annual")*(PayEarnValues))/MAX(1,ROUNDDOWN($AB212/6,0))*2)+(SUMPRODUCT((PayEmp=$C212)*(PayDate&lt;=$AC212)*(ISERROR(SEARCH(PayEarnCode,AQ$2)))*(PayEarnType="Annual")*(PayEarnValues)))),IF(ISNUMBER(OFFSET($N$3,0,MATCH(AQ$5,PayDedList,0)-1,1,1)),OFFSET($N$3,0,MATCH(AQ$5,PayDedList,0)-1,1,1),IgnoreMin)))*IF(COUNTIFS(EmpNo,$C212,OFFSET(Emp!$R$4,1,MATCH(AQ$5,DedListItem,0)-1,EmpCount,1),"&lt;&gt;")&gt;0,VLOOKUP($C212,EmpAll,COLUMN(Emp!$R$4)+MATCH(AQ$5,DedListItem,0)-1,0),OFFSET(Setup!$E$73,MATCH(AQ$5,DedListItem,0),0,1,1))*AQ$3))),IF(ISNUMBER(AQ$4),AQ$4,IgnoreMin)))))</f>
        <v>0</v>
      </c>
      <c r="AR212" s="148">
        <f t="shared" ca="1" si="120"/>
        <v>0</v>
      </c>
      <c r="AS212" s="148">
        <f t="shared" ca="1" si="109"/>
        <v>0</v>
      </c>
      <c r="AT212" s="148" cm="1">
        <f t="array" aca="1" ref="AT212" ca="1">-IF($F212="Terminated",0,IF($AA212=0,0,IF(ISNA(MATCH(AT$5,PayDedList,0)),0,MIN(IF(COUNTIFS(OverEmp,$C212,OverDeduct,AT$5,OverDate,"&lt;"&amp;DATE(YEAR($AC212),MONTH($AC212)+1,1),OverEnd,"&gt;="&amp;DATE(YEAR($AC212),MONTH($AC212),1))&gt;0,SUMPRODUCT((PayEmp=$C212)*(PayDate&lt;=$AC212)*(OFFSET($N$6,1,MATCH(AT$5,PayDedList,0)-1,PayCount,1)))/$AA212*12*AT$3,IF(OR(AT$1="Fixed",AT$1="Not Used"),SUMPRODUCT((PayEmp=$C212)*(PayDate&lt;=$AC212)*(OFFSET($N$6,1,MATCH(AT$5,PayDedList,0)-1,PayCount,1)))/$AA212*12*AT$3,IF(ISNA(MATCH(OFFSET($N$2,0,MATCH(AT$5,PayDedList,0)-1,1,1),EarnListItem,0))=FALSE,SUMPRODUCT((PayEmp=$C212)*(PayDate&lt;=$AC212)*(OFFSET($N$6,1,MATCH(AT$5,PayDedList,0)-1,PayCount,1)))/$AA212*12*AT$3,(MIN(SUMPRODUCT((PayEmp=$C212)*(PayDate&lt;=$AC212)*(ISERROR(SEARCH(PayEarnCode,AT$2)))*(PayEarnType="Monthly")*(PayEarnValues))/$AA212*12,IF(ISNUMBER(OFFSET($N$3,0,MATCH(AT$5,PayDedList,0)-1,1,1)),OFFSET($N$3,0,MATCH(AT$5,PayDedList,0)-1,1,1),IgnoreMin)))*IF(COUNTIFS(EmpNo,$C212,OFFSET(Emp!$R$4,1,MATCH(AT$5,DedListItem,0)-1,EmpCount,1),"&lt;&gt;")&gt;0,VLOOKUP($C212,EmpAll,COLUMN(Emp!$R$4)+MATCH(AT$5,DedListItem,0)-1,0),OFFSET(Setup!$E$73,MATCH(AT$5,DedListItem,0),0,1,1))*AT$3))),IF(ISNUMBER(AT$4),AT$4,IgnoreMin)))))</f>
        <v>0</v>
      </c>
      <c r="AU212" s="148" cm="1">
        <f t="array" aca="1" ref="AU212" ca="1">-IF($F212="Terminated",0,IF($AA212=0,0,IF(ISNA(MATCH(AU$5,PayDedList,0)),0,MIN(IF(COUNTIFS(OverEmp,$C212,OverDeduct,AU$5,OverDate,"&lt;"&amp;DATE(YEAR($AC212),MONTH($AC212)+1,1),OverEnd,"&gt;="&amp;DATE(YEAR($AC212),MONTH($AC212),1))&gt;0,SUMPRODUCT((PayEmp=$C212)*(PayDate&lt;=$AC212)*(OFFSET($N$6,1,MATCH(AU$5,PayDedList,0)-1,PayCount,1)))/$AA212*12*AU$3,IF(OR(AU$1="Fixed",AU$1="Not Used"),SUMPRODUCT((PayEmp=$C212)*(PayDate&lt;=$AC212)*(OFFSET($N$6,1,MATCH(AU$5,PayDedList,0)-1,PayCount,1)))/$AA212*12*AU$3,IF(ISNA(MATCH(OFFSET($N$2,0,MATCH(AU$5,PayDedList,0)-1,1,1),EarnListItem,0))=FALSE,SUMPRODUCT((PayEmp=$C212)*(PayDate&lt;=$AC212)*(OFFSET($N$6,1,MATCH(AU$5,PayDedList,0)-1,PayCount,1)))/$AA212*12*AU$3,(MIN(SUMPRODUCT((PayEmp=$C212)*(PayDate&lt;=$AC212)*(ISERROR(SEARCH(PayEarnCode,AU$2)))*(PayEarnType="Monthly")*(PayEarnValues))/$AA212*12,IF(ISNUMBER(OFFSET($N$3,0,MATCH(AU$5,PayDedList,0)-1,1,1)),OFFSET($N$3,0,MATCH(AU$5,PayDedList,0)-1,1,1),IgnoreMin)))*IF(COUNTIFS(EmpNo,$C212,OFFSET(Emp!$R$4,1,MATCH(AU$5,DedListItem,0)-1,EmpCount,1),"&lt;&gt;")&gt;0,VLOOKUP($C212,EmpAll,COLUMN(Emp!$R$4)+MATCH(AU$5,DedListItem,0)-1,0),OFFSET(Setup!$E$73,MATCH(AU$5,DedListItem,0),0,1,1))*AU$3))),IF(ISNUMBER(AU$4),AU$4,IgnoreMin)))))</f>
        <v>0</v>
      </c>
      <c r="AV212" s="148" cm="1">
        <f t="array" aca="1" ref="AV212" ca="1">-IF($F212="Terminated",0,IF($AA212=0,0,IF(ISNA(MATCH(AV$5,PayDedList,0)),0,MIN(IF(COUNTIFS(OverEmp,$C212,OverDeduct,AV$5,OverDate,"&lt;"&amp;DATE(YEAR($AC212),MONTH($AC212)+1,1),OverEnd,"&gt;="&amp;DATE(YEAR($AC212),MONTH($AC212),1))&gt;0,SUMPRODUCT((PayEmp=$C212)*(PayDate&lt;=$AC212)*(OFFSET($N$6,1,MATCH(AV$5,PayDedList,0)-1,PayCount,1)))/$AA212*12*AV$3,IF(OR(AV$1="Fixed",AV$1="Not Used"),SUMPRODUCT((PayEmp=$C212)*(PayDate&lt;=$AC212)*(OFFSET($N$6,1,MATCH(AV$5,PayDedList,0)-1,PayCount,1)))/$AA212*12*AV$3,IF(ISNA(MATCH(OFFSET($N$2,0,MATCH(AV$5,PayDedList,0)-1,1,1),EarnListItem,0))=FALSE,SUMPRODUCT((PayEmp=$C212)*(PayDate&lt;=$AC212)*(OFFSET($N$6,1,MATCH(AV$5,PayDedList,0)-1,PayCount,1)))/$AA212*12*AV$3,(MIN(SUMPRODUCT((PayEmp=$C212)*(PayDate&lt;=$AC212)*(ISERROR(SEARCH(PayEarnCode,AV$2)))*(PayEarnType="Monthly")*(PayEarnValues))/$AA212*12,IF(ISNUMBER(OFFSET($N$3,0,MATCH(AV$5,PayDedList,0)-1,1,1)),OFFSET($N$3,0,MATCH(AV$5,PayDedList,0)-1,1,1),IgnoreMin)))*IF(COUNTIFS(EmpNo,$C212,OFFSET(Emp!$R$4,1,MATCH(AV$5,DedListItem,0)-1,EmpCount,1),"&lt;&gt;")&gt;0,VLOOKUP($C212,EmpAll,COLUMN(Emp!$R$4)+MATCH(AV$5,DedListItem,0)-1,0),OFFSET(Setup!$E$73,MATCH(AV$5,DedListItem,0),0,1,1))*AV$3))),IF(ISNUMBER(AV$4),AV$4,IgnoreMin)))))</f>
        <v>0</v>
      </c>
      <c r="AW212" s="148" cm="1">
        <f t="array" aca="1" ref="AW212" ca="1">-IF($F212="Terminated",0,IF($AA212=0,0,IF(ISNA(MATCH(AW$5,PayDedList,0)),0,MIN(IF(COUNTIFS(OverEmp,$C212,OverDeduct,AW$5,OverDate,"&lt;"&amp;DATE(YEAR($AC212),MONTH($AC212)+1,1),OverEnd,"&gt;="&amp;DATE(YEAR($AC212),MONTH($AC212),1))&gt;0,SUMPRODUCT((PayEmp=$C212)*(PayDate&lt;=$AC212)*(OFFSET($N$6,1,MATCH(AW$5,PayDedList,0)-1,PayCount,1)))/$AA212*12*AW$3,IF(OR(AW$1="Fixed",AW$1="Not Used"),SUMPRODUCT((PayEmp=$C212)*(PayDate&lt;=$AC212)*(OFFSET($N$6,1,MATCH(AW$5,PayDedList,0)-1,PayCount,1)))/$AA212*12*AW$3,IF(ISNA(MATCH(OFFSET($N$2,0,MATCH(AW$5,PayDedList,0)-1,1,1),EarnListItem,0))=FALSE,SUMPRODUCT((PayEmp=$C212)*(PayDate&lt;=$AC212)*(OFFSET($N$6,1,MATCH(AW$5,PayDedList,0)-1,PayCount,1)))/$AA212*12*AW$3,(MIN(SUMPRODUCT((PayEmp=$C212)*(PayDate&lt;=$AC212)*(ISERROR(SEARCH(PayEarnCode,AW$2)))*(PayEarnType="Monthly")*(PayEarnValues))/$AA212*12,IF(ISNUMBER(OFFSET($N$3,0,MATCH(AW$5,PayDedList,0)-1,1,1)),OFFSET($N$3,0,MATCH(AW$5,PayDedList,0)-1,1,1),IgnoreMin)))*IF(COUNTIFS(EmpNo,$C212,OFFSET(Emp!$R$4,1,MATCH(AW$5,DedListItem,0)-1,EmpCount,1),"&lt;&gt;")&gt;0,VLOOKUP($C212,EmpAll,COLUMN(Emp!$R$4)+MATCH(AW$5,DedListItem,0)-1,0),OFFSET(Setup!$E$73,MATCH(AW$5,DedListItem,0),0,1,1))*AW$3))),IF(ISNUMBER(AW$4),AW$4,IgnoreMin)))))</f>
        <v>0</v>
      </c>
      <c r="AX212" s="148">
        <f t="shared" ca="1" si="121"/>
        <v>0</v>
      </c>
      <c r="AY212" s="148">
        <f t="shared" ca="1" si="122"/>
        <v>0</v>
      </c>
      <c r="AZ212" s="148">
        <f ca="1">IF(ISNUMBER($AL212),($AR212*$AL212)-$AI212-$AK212,MAX(0,IF($AL212="B",IF($AR212&lt;Setup!$C$32,($AR212*Setup!$D$32)-$AI212-$AK212,(($AR212-VLOOKUP($AR212,TaxAll2,1,1))*OFFSET(Setup!$D$32,MATCH($AR212,TaxBracket2,1),0,1,1))+OFFSET(Setup!$E$31,MATCH($AR212,TaxBracket2,1),0,1,1)-$AI212-$AK212),IF($AR212&lt;Setup!$C$21,($AR212*Setup!$D$21)-$AI212-$AK212,(($AR212-VLOOKUP($AR212,TaxAll1,1,1))*OFFSET(Setup!$D$21,MATCH($AR212,TaxBracket1,1),0,1,1))+OFFSET(Setup!$E$20,MATCH($AR212,TaxBracket1,1),0,1,1)-$AI212-$AK212))))</f>
        <v>0</v>
      </c>
      <c r="BA212" s="148">
        <f ca="1">IF(ISNUMBER($AL212),($AX212*$AL212)-$AI212-$AK212,MAX(0,IF($AL212="B",IF($AX212&lt;Setup!$C$32,($AX212*Setup!$D$32)-$AI212-$AK212,(($AX212-VLOOKUP($AX212,TaxAll2,1,1))*OFFSET(Setup!$D$32,MATCH($AX212,TaxBracket2,1),0,1,1))+OFFSET(Setup!$E$31,MATCH($AX212,TaxBracket2,1),0,1,1)-$AI212-$AK212),IF($AX212&lt;Setup!$C$21,($AX212*Setup!$D$21)-$AI212-$AK212,(($AX212-VLOOKUP($AX212,TaxAll1,1,1))*OFFSET(Setup!$D$21,MATCH($AX212,TaxBracket1,1),0,1,1))+OFFSET(Setup!$E$20,MATCH($AX212,TaxBracket1,1),0,1,1)-$AI212-$AK212))))</f>
        <v>0</v>
      </c>
      <c r="BB212" s="148">
        <f t="shared" ca="1" si="123"/>
        <v>0</v>
      </c>
      <c r="BC212" s="150">
        <f t="shared" ca="1" si="110"/>
        <v>0</v>
      </c>
      <c r="BD212" s="150">
        <f t="shared" ca="1" si="111"/>
        <v>0</v>
      </c>
      <c r="BE212" s="148">
        <f t="shared" ca="1" si="112"/>
        <v>0</v>
      </c>
    </row>
    <row r="213" spans="1:57" ht="16.149999999999999" customHeight="1" x14ac:dyDescent="0.25">
      <c r="A213" s="10" t="str" cm="1">
        <f t="array" ref="A213">IF(ROW($A213)-ROW($A$6)&gt;EmpCount*12,"-",TEXT($B213,"yyyy")&amp;TEXT($B213,"mm")&amp;"-"&amp;$C213)</f>
        <v>-</v>
      </c>
      <c r="B213" s="137" cm="1">
        <f t="array" aca="1" ref="B213" ca="1">IF(ROW($A213)-ROW($A$6)&gt;EmpCount*12,Setup!$D$12,DATE(YEAR(Setup!$F$12),MONTH(Setup!$F$12)+ROUNDDOWN((ROW($A213)-ROW($A$6)-1)/EmpCount,0),IF(Setup!$C$14&gt;DAY(DATE(YEAR(Setup!$F$12),MONTH(Setup!$F$12)+ROUNDDOWN((ROW($A213)-ROW($A$6)-1)/EmpCount,0)+1,0)),DAY(DATE(YEAR(Setup!$F$12),MONTH(Setup!$F$12)+ROUNDDOWN((ROW($A213)-ROW($A$6)-1)/EmpCount,0)+1,0)),Setup!$C$14)))</f>
        <v>45351</v>
      </c>
      <c r="C213" s="101" t="str" cm="1">
        <f t="array" aca="1" ref="C213" ca="1">IF(ROW($A213)-ROW($A$6)&gt;EmpCount*12,"-",OFFSET(Emp!$A$4,ROW($A213)-ROW($A$6)-IF(ROW($A213)-ROW($A$6)&gt;EmpCount,ROUNDDOWN((ROW($A213)-ROW($A$6)-1)/EmpCount,0)*EmpCount,0),0,1,1))</f>
        <v>-</v>
      </c>
      <c r="D213" s="10" t="str">
        <f ca="1">IF(ISNA(VLOOKUP($C213,EmpAll,COLUMN(Emp!$B$4),0)),"-",VLOOKUP($C213,EmpAll,COLUMN(Emp!$B$4),0))</f>
        <v>-</v>
      </c>
      <c r="E213" s="145" t="str">
        <f ca="1">IF(ISNA(VLOOKUP($C213,EmpAll,COLUMN(Emp!$C$4),0)),"-",VLOOKUP($C213,EmpAll,COLUMN(Emp!$C$4),0))</f>
        <v>-</v>
      </c>
      <c r="F213" s="101" t="str">
        <f ca="1">IF(ISNA(VLOOKUP($C213,EmpAll,COLUMN(Emp!$A$4),0)),"-",IF(AND(VLOOKUP($C213,EmpAll,COLUMN(Emp!$E$4),0)&lt;&gt;0,VLOOKUP($C213,EmpAll,COLUMN(Emp!$E$4),0)&gt;=DATE(YEAR($AC213),MONTH($AC213)+1,0)),"Inactive",IF(AND(VLOOKUP($C213,EmpAll,COLUMN(Emp!$F$4),0)&lt;&gt;0,VLOOKUP($C213,EmpAll,COLUMN(Emp!$F$4),0)&lt;=DATE(YEAR($AC213),MONTH($AC213),0)),"Terminated","Active")))</f>
        <v>-</v>
      </c>
      <c r="G213" s="133" cm="1">
        <f t="array" aca="1" ref="G213" ca="1">IF($F213&lt;&gt;"Active",0,IF(COUNTIFS(OverEmp,$C213,OverEarn,G$2,OverDate,"&lt;"&amp;DATE(YEAR($AC213),MONTH($AC213)+1,1),OverEnd,"&gt;="&amp;DATE(YEAR($AC213),MONTH($AC213),1))&gt;0,SUMIFS(OverValue,OverEmp,$C213,OverEarn,G$2,OverDate,"&lt;"&amp;DATE(YEAR($AC213),MONTH($AC213)+1,1),OverEnd,"&gt;="&amp;DATE(YEAR($AC213),MONTH($AC213),1)),IF(AND($AC213&gt;=Setup!$E$10,SUMIFS(EmpIncrease,EmpCode,$C213)&gt;0),SUMIFS(EmpIncrease,EmpCode,$C213),SUMIFS(EmpSalary,EmpCode,$C213))))</f>
        <v>0</v>
      </c>
      <c r="H213" s="133" cm="1">
        <f t="array" aca="1" ref="H213" ca="1">IF($F213&lt;&gt;"Active",0,IF(COUNTIFS(OverEmp,$C213,OverEarn,H$2,OverDate,"&lt;"&amp;DATE(YEAR($AC213),MONTH($AC213)+1,1),OverEnd,"&gt;="&amp;DATE(YEAR($AC213),MONTH($AC213),1))&gt;0,SUMIFS(OverValue,OverEmp,$C213,OverEarn,H$2,OverDate,"&lt;"&amp;DATE(YEAR($AC213),MONTH($AC213)+1,1),OverEnd,"&gt;="&amp;DATE(YEAR($AC213),MONTH($AC213),1)),0))</f>
        <v>0</v>
      </c>
      <c r="I213" s="133" cm="1">
        <f t="array" aca="1" ref="I213" ca="1">IF($F213&lt;&gt;"Active",0,IF(COUNTIFS(OverEmp,$C213,OverEarn,I$2,OverDate,"&lt;"&amp;DATE(YEAR($AC213),MONTH($AC213)+1,1),OverEnd,"&gt;="&amp;DATE(YEAR($AC213),MONTH($AC213),1))&gt;0,SUMIFS(OverValue,OverEmp,$C213,OverEarn,I$2,OverDate,"&lt;"&amp;DATE(YEAR($AC213),MONTH($AC213)+1,1),OverEnd,"&gt;="&amp;DATE(YEAR($AC213),MONTH($AC213),1)),IF(MONTH(B213)=Setup!$C$15,SUMIFS(EmpBonus,EmpCode,$C213),0)))</f>
        <v>0</v>
      </c>
      <c r="J213" s="133" cm="1">
        <f t="array" aca="1" ref="J213" ca="1">IF($F213&lt;&gt;"Active",0,IF(COUNTIFS(OverEmp,$C213,OverEarn,J$2,OverDate,"&lt;"&amp;DATE(YEAR($AC213),MONTH($AC213)+1,1),OverEnd,"&gt;="&amp;DATE(YEAR($AC213),MONTH($AC213),1))&gt;0,SUMIFS(OverValue,OverEmp,$C213,OverEarn,J$2,OverDate,"&lt;"&amp;DATE(YEAR($AC213),MONTH($AC213)+1,1),OverEnd,"&gt;="&amp;DATE(YEAR($AC213),MONTH($AC213),1)),0))</f>
        <v>0</v>
      </c>
      <c r="K213" s="133" cm="1">
        <f t="array" aca="1" ref="K213" ca="1">IF($F213&lt;&gt;"Active",0,IF(COUNTIFS(OverEmp,$C213,OverEarn,K$2,OverDate,"&lt;"&amp;DATE(YEAR($AC213),MONTH($AC213)+1,1),OverEnd,"&gt;="&amp;DATE(YEAR($AC213),MONTH($AC213),1))&gt;0,SUMIFS(OverValue,OverEmp,$C213,OverEarn,K$2,OverDate,"&lt;"&amp;DATE(YEAR($AC213),MONTH($AC213)+1,1),OverEnd,"&gt;="&amp;DATE(YEAR($AC213),MONTH($AC213),1)),0))</f>
        <v>0</v>
      </c>
      <c r="L213" s="185">
        <f t="shared" ca="1" si="113"/>
        <v>0</v>
      </c>
      <c r="M213" s="182" cm="1">
        <f t="array" aca="1" ref="M213" ca="1">IF(COUNTIFS(OverEmp,$C213,OverTax,M$5,OverDate,"&lt;"&amp;DATE(YEAR($AC213),MONTH($AC213)+1,1),OverEnd,"&gt;="&amp;DATE(YEAR($AC213),MONTH($AC213),1))&gt;0,SUMIFS(OverValue,OverEmp,$C213,OverTax,M$5,OverDate,"&lt;"&amp;DATE(YEAR($AC213),MONTH($AC213)+1,1),OverEnd,"&gt;="&amp;DATE(YEAR($AC213),MONTH($AC213),1)),(($BA213/12*$AA213)+(BB213*IF(1-$BC213=0,0,BD213/(1-$BC213))))-IF($F213="Terminated",0,SUMIFS(PayTaxDeduct,PayDate,"&lt;"&amp;$AC213,PayEmp,$C213)))</f>
        <v>0</v>
      </c>
      <c r="N213" s="133" cm="1">
        <f t="array" aca="1" ref="N213" ca="1">IF($F213="Terminated",0,IF($AA213=0,0,IF(ISNA(MATCH(N$5,DedListItem,0)),0,IF(COUNTIFS(OverEmp,$C213,OverDeduct,N$5,OverDate,"&lt;"&amp;DATE(YEAR($AC213),MONTH($AC213)+1,1),OverEnd,"&gt;="&amp;DATE(YEAR($AC213),MONTH($AC213),1))&gt;0,SUMIFS(OverValue,OverEmp,$C213,OverDeduct,N$5,OverDate,"&lt;"&amp;DATE(YEAR($AC213),MONTH($AC213)+1,1),OverEnd,"&gt;="&amp;DATE(YEAR($AC213),MONTH($AC213),1)),IF(OR(N$2="Fixed",N$2="Not Used"),(IF(COUNTIFS(EmpNo,$C213,OFFSET(Emp!$R$4,1,MATCH(N$5,DedListItem,0)-1,EmpCount,1),"&lt;&gt;")&gt;0,VLOOKUP($C213,EmpAll,COLUMN(Emp!$R$4)+MATCH(N$5,DedListItem,0)-1,0),OFFSET(Setup!$E$73,MATCH(N$5,DedListItem,0),0,1,1))*$AA213)-SUMIFS(OFFSET(N$6,1,0,PayCount,1),PayDate,"&lt;"&amp;$AC213,PayEmp,$C213),IF(ISNA(MATCH(N$2,EarnListItem,0))=FALSE,IF(OFFSET(Setup!$G$73,MATCH(N$5,DedListItem,0),0,1,1)="Taxable",SUMPRODUCT((PayEmp=$C213)*(PayDate&lt;=$AC213)*(PayEarnCode=N$2)*(PayEarnTax)*(PayEarnValues)),SUMPRODUCT((PayEmp=$C213)*(PayDate&lt;=$AC213)*(PayEarnCode=N$2)*(PayEarnValues)))*IF(COUNTIFS(EmpNo,$C213,OFFSET(Emp!$R$4,1,MATCH(N$5,DedListItem,0)-1,EmpCount,1),"&lt;&gt;")&gt;0,VLOOKUP($C213,EmpAll,COLUMN(Emp!$R$4)+MATCH(N$5,DedListItem,0)-1,0),OFFSET(Setup!$E$73,MATCH(N$5,DedListItem,0),0,1,1)),(MIN(IF(OFFSET(Setup!$G$73,MATCH(N$5,DedListItem,0),0,1,1)="Taxable",SUMPRODUCT((PayEmp=$C213)*(PayDate&lt;=$AC213)*(ISERROR(SEARCH(PayEarnCode,N$4)))*(PayEarnTax)*(PayEarnValues)),SUMPRODUCT((PayEmp=$C213)*(PayDate&lt;=$AC213)*(ISERROR(SEARCH(PayEarnCode,N$4)))*(PayEarnValues))),IF(ISNUMBER(N$3),N$3/12*$AA213,IgnoreMin)))*IF(COUNTIFS(EmpNo,$C213,OFFSET(Emp!$R$4,1,MATCH(N$5,DedListItem,0)-1,EmpCount,1),"&lt;&gt;")&gt;0,VLOOKUP($C213,EmpAll,COLUMN(Emp!$R$4)+MATCH(N$5,DedListItem,0)-1,0),OFFSET(Setup!$E$73,MATCH(N$5,DedListItem,0),0,1,1)))-SUMIFS(OFFSET(N$6,1,0,PayCount,1),PayDate,"&lt;"&amp;$AC213,PayEmp,$C213))))))</f>
        <v>0</v>
      </c>
      <c r="O213" s="133" cm="1">
        <f t="array" aca="1" ref="O213" ca="1">IF($F213="Terminated",0,IF($AA213=0,0,IF(ISNA(MATCH(O$5,DedListItem,0)),0,IF(COUNTIFS(OverEmp,$C213,OverDeduct,O$5,OverDate,"&lt;"&amp;DATE(YEAR($AC213),MONTH($AC213)+1,1),OverEnd,"&gt;="&amp;DATE(YEAR($AC213),MONTH($AC213),1))&gt;0,SUMIFS(OverValue,OverEmp,$C213,OverDeduct,O$5,OverDate,"&lt;"&amp;DATE(YEAR($AC213),MONTH($AC213)+1,1),OverEnd,"&gt;="&amp;DATE(YEAR($AC213),MONTH($AC213),1)),IF(OR(O$2="Fixed",O$2="Not Used"),(IF(COUNTIFS(EmpNo,$C213,OFFSET(Emp!$R$4,1,MATCH(O$5,DedListItem,0)-1,EmpCount,1),"&lt;&gt;")&gt;0,VLOOKUP($C213,EmpAll,COLUMN(Emp!$R$4)+MATCH(O$5,DedListItem,0)-1,0),OFFSET(Setup!$E$73,MATCH(O$5,DedListItem,0),0,1,1))*$AA213)-SUMIFS(OFFSET(O$6,1,0,PayCount,1),PayDate,"&lt;"&amp;$AC213,PayEmp,$C213),IF(ISNA(MATCH(O$2,EarnListItem,0))=FALSE,IF(OFFSET(Setup!$G$73,MATCH(O$5,DedListItem,0),0,1,1)="Taxable",SUMPRODUCT((PayEmp=$C213)*(PayDate&lt;=$AC213)*(PayEarnCode=O$2)*(PayEarnTax)*(PayEarnValues)),SUMPRODUCT((PayEmp=$C213)*(PayDate&lt;=$AC213)*(PayEarnCode=O$2)*(PayEarnValues)))*IF(COUNTIFS(EmpNo,$C213,OFFSET(Emp!$R$4,1,MATCH(O$5,DedListItem,0)-1,EmpCount,1),"&lt;&gt;")&gt;0,VLOOKUP($C213,EmpAll,COLUMN(Emp!$R$4)+MATCH(O$5,DedListItem,0)-1,0),OFFSET(Setup!$E$73,MATCH(O$5,DedListItem,0),0,1,1)),(MIN(IF(OFFSET(Setup!$G$73,MATCH(O$5,DedListItem,0),0,1,1)="Taxable",SUMPRODUCT((PayEmp=$C213)*(PayDate&lt;=$AC213)*(ISERROR(SEARCH(PayEarnCode,O$4)))*(PayEarnTax)*(PayEarnValues)),SUMPRODUCT((PayEmp=$C213)*(PayDate&lt;=$AC213)*(ISERROR(SEARCH(PayEarnCode,O$4)))*(PayEarnValues))),IF(ISNUMBER(O$3),O$3/12*$AA213,IgnoreMin)))*IF(COUNTIFS(EmpNo,$C213,OFFSET(Emp!$R$4,1,MATCH(O$5,DedListItem,0)-1,EmpCount,1),"&lt;&gt;")&gt;0,VLOOKUP($C213,EmpAll,COLUMN(Emp!$R$4)+MATCH(O$5,DedListItem,0)-1,0),OFFSET(Setup!$E$73,MATCH(O$5,DedListItem,0),0,1,1)))-SUMIFS(OFFSET(O$6,1,0,PayCount,1),PayDate,"&lt;"&amp;$AC213,PayEmp,$C213))))))</f>
        <v>0</v>
      </c>
      <c r="P213" s="133" cm="1">
        <f t="array" aca="1" ref="P213" ca="1">IF($F213="Terminated",0,IF($AA213=0,0,IF(ISNA(MATCH(P$5,DedListItem,0)),0,IF(COUNTIFS(OverEmp,$C213,OverDeduct,P$5,OverDate,"&lt;"&amp;DATE(YEAR($AC213),MONTH($AC213)+1,1),OverEnd,"&gt;="&amp;DATE(YEAR($AC213),MONTH($AC213),1))&gt;0,SUMIFS(OverValue,OverEmp,$C213,OverDeduct,P$5,OverDate,"&lt;"&amp;DATE(YEAR($AC213),MONTH($AC213)+1,1),OverEnd,"&gt;="&amp;DATE(YEAR($AC213),MONTH($AC213),1)),IF(OR(P$2="Fixed",P$2="Not Used"),(IF(COUNTIFS(EmpNo,$C213,OFFSET(Emp!$R$4,1,MATCH(P$5,DedListItem,0)-1,EmpCount,1),"&lt;&gt;")&gt;0,VLOOKUP($C213,EmpAll,COLUMN(Emp!$R$4)+MATCH(P$5,DedListItem,0)-1,0),OFFSET(Setup!$E$73,MATCH(P$5,DedListItem,0),0,1,1))*$AA213)-SUMIFS(OFFSET(P$6,1,0,PayCount,1),PayDate,"&lt;"&amp;$AC213,PayEmp,$C213),IF(ISNA(MATCH(P$2,EarnListItem,0))=FALSE,IF(OFFSET(Setup!$G$73,MATCH(P$5,DedListItem,0),0,1,1)="Taxable",SUMPRODUCT((PayEmp=$C213)*(PayDate&lt;=$AC213)*(PayEarnCode=P$2)*(PayEarnTax)*(PayEarnValues)),SUMPRODUCT((PayEmp=$C213)*(PayDate&lt;=$AC213)*(PayEarnCode=P$2)*(PayEarnValues)))*IF(COUNTIFS(EmpNo,$C213,OFFSET(Emp!$R$4,1,MATCH(P$5,DedListItem,0)-1,EmpCount,1),"&lt;&gt;")&gt;0,VLOOKUP($C213,EmpAll,COLUMN(Emp!$R$4)+MATCH(P$5,DedListItem,0)-1,0),OFFSET(Setup!$E$73,MATCH(P$5,DedListItem,0),0,1,1)),(MIN(IF(OFFSET(Setup!$G$73,MATCH(P$5,DedListItem,0),0,1,1)="Taxable",SUMPRODUCT((PayEmp=$C213)*(PayDate&lt;=$AC213)*(ISERROR(SEARCH(PayEarnCode,P$4)))*(PayEarnTax)*(PayEarnValues)),SUMPRODUCT((PayEmp=$C213)*(PayDate&lt;=$AC213)*(ISERROR(SEARCH(PayEarnCode,P$4)))*(PayEarnValues))),IF(ISNUMBER(P$3),P$3/12*$AA213,IgnoreMin)))*IF(COUNTIFS(EmpNo,$C213,OFFSET(Emp!$R$4,1,MATCH(P$5,DedListItem,0)-1,EmpCount,1),"&lt;&gt;")&gt;0,VLOOKUP($C213,EmpAll,COLUMN(Emp!$R$4)+MATCH(P$5,DedListItem,0)-1,0),OFFSET(Setup!$E$73,MATCH(P$5,DedListItem,0),0,1,1)))-SUMIFS(OFFSET(P$6,1,0,PayCount,1),PayDate,"&lt;"&amp;$AC213,PayEmp,$C213))))))</f>
        <v>0</v>
      </c>
      <c r="Q213" s="133" cm="1">
        <f t="array" aca="1" ref="Q213" ca="1">IF($F213="Terminated",0,IF($AA213=0,0,IF(ISNA(MATCH(Q$5,DedListItem,0)),0,IF(COUNTIFS(OverEmp,$C213,OverDeduct,Q$5,OverDate,"&lt;"&amp;DATE(YEAR($AC213),MONTH($AC213)+1,1),OverEnd,"&gt;="&amp;DATE(YEAR($AC213),MONTH($AC213),1))&gt;0,SUMIFS(OverValue,OverEmp,$C213,OverDeduct,Q$5,OverDate,"&lt;"&amp;DATE(YEAR($AC213),MONTH($AC213)+1,1),OverEnd,"&gt;="&amp;DATE(YEAR($AC213),MONTH($AC213),1)),IF(OR(Q$2="Fixed",Q$2="Not Used"),(IF(COUNTIFS(EmpNo,$C213,OFFSET(Emp!$R$4,1,MATCH(Q$5,DedListItem,0)-1,EmpCount,1),"&lt;&gt;")&gt;0,VLOOKUP($C213,EmpAll,COLUMN(Emp!$R$4)+MATCH(Q$5,DedListItem,0)-1,0),OFFSET(Setup!$E$73,MATCH(Q$5,DedListItem,0),0,1,1))*$AA213)-SUMIFS(OFFSET(Q$6,1,0,PayCount,1),PayDate,"&lt;"&amp;$AC213,PayEmp,$C213),IF(ISNA(MATCH(Q$2,EarnListItem,0))=FALSE,IF(OFFSET(Setup!$G$73,MATCH(Q$5,DedListItem,0),0,1,1)="Taxable",SUMPRODUCT((PayEmp=$C213)*(PayDate&lt;=$AC213)*(PayEarnCode=Q$2)*(PayEarnTax)*(PayEarnValues)),SUMPRODUCT((PayEmp=$C213)*(PayDate&lt;=$AC213)*(PayEarnCode=Q$2)*(PayEarnValues)))*IF(COUNTIFS(EmpNo,$C213,OFFSET(Emp!$R$4,1,MATCH(Q$5,DedListItem,0)-1,EmpCount,1),"&lt;&gt;")&gt;0,VLOOKUP($C213,EmpAll,COLUMN(Emp!$R$4)+MATCH(Q$5,DedListItem,0)-1,0),OFFSET(Setup!$E$73,MATCH(Q$5,DedListItem,0),0,1,1)),(MIN(IF(OFFSET(Setup!$G$73,MATCH(Q$5,DedListItem,0),0,1,1)="Taxable",SUMPRODUCT((PayEmp=$C213)*(PayDate&lt;=$AC213)*(ISERROR(SEARCH(PayEarnCode,Q$4)))*(PayEarnTax)*(PayEarnValues)),SUMPRODUCT((PayEmp=$C213)*(PayDate&lt;=$AC213)*(ISERROR(SEARCH(PayEarnCode,Q$4)))*(PayEarnValues))),IF(ISNUMBER(Q$3),Q$3/12*$AA213,IgnoreMin)))*IF(COUNTIFS(EmpNo,$C213,OFFSET(Emp!$R$4,1,MATCH(Q$5,DedListItem,0)-1,EmpCount,1),"&lt;&gt;")&gt;0,VLOOKUP($C213,EmpAll,COLUMN(Emp!$R$4)+MATCH(Q$5,DedListItem,0)-1,0),OFFSET(Setup!$E$73,MATCH(Q$5,DedListItem,0),0,1,1)))-SUMIFS(OFFSET(Q$6,1,0,PayCount,1),PayDate,"&lt;"&amp;$AC213,PayEmp,$C213))))))</f>
        <v>0</v>
      </c>
      <c r="R213" s="185">
        <f t="shared" ca="1" si="114"/>
        <v>0</v>
      </c>
      <c r="S213" s="139">
        <f t="shared" ca="1" si="115"/>
        <v>0</v>
      </c>
      <c r="T213" s="133" cm="1">
        <f t="array" aca="1" ref="T213" ca="1">IF($F213="Terminated",0,IF($AA213=0,0,IF(ISNA(MATCH(T$5,CompListItem,0)),0,IF(COUNTIFS(OverEmp,$C213,OverComp,T$5,OverDate,"&lt;"&amp;DATE(YEAR($AC213),MONTH($AC213)+1,1),OverEnd,"&gt;="&amp;DATE(YEAR($AC213),MONTH($AC213),1))&gt;0,SUMIFS(OverValue,OverEmp,$C213,OverComp,T$5,OverDate,"&lt;"&amp;DATE(YEAR($AC213),MONTH($AC213)+1,1),OverEnd,"&gt;="&amp;DATE(YEAR($AC213),MONTH($AC213),1)),IF(OR(T$2="Fixed",T$2="Not Used"),(OFFSET(Setup!$E$81,MATCH(T$5,CompListItem,0),0,1,1)*$AA213)-SUMIFS(OFFSET(T$6,1,0,PayCount,1),PayDate,"&lt;"&amp;$AC213,PayEmp,$C213),IF(ISNA(MATCH(T$2,DedListItem,0))=FALSE,(SUMPRODUCT((PayEmp=$C213)*(PayDate&lt;=$AC213)*(PayDedList=T$2)*(PayDedValues))*OFFSET(Setup!$E$81,MATCH(T$5,CompListItem,0),0,1,1))-SUMIFS(OFFSET(T$6,1,0,PayCount,1),PayDate,"&lt;"&amp;$AC213,PayEmp,$C213),(MIN(IF(OFFSET(Setup!$G$81,MATCH(T$5,CompListItem,0),0,1,1)="Taxable",SUMPRODUCT((PayEmp=$C213)*(PayDate&lt;=$AC213)*(ISERROR(SEARCH(PayEarnCode,T$4)))*(PayEarnTax)*(PayEarnValues)),SUMPRODUCT((PayEmp=$C213)*(PayDate&lt;=$AC213)*(ISERROR(SEARCH(PayEarnCode,T$4)))*(PayEarnValues))),IF(ISNUMBER(T$3),T$3/12*$AA213,IgnoreMin)))*OFFSET(Setup!$E$81,MATCH(T$5,CompListItem,0),0,1,1)-SUMIFS(OFFSET(T$6,1,0,PayCount,1),PayDate,"&lt;"&amp;$AC213,PayEmp,$C213)))))))</f>
        <v>0</v>
      </c>
      <c r="U213" s="133" cm="1">
        <f t="array" aca="1" ref="U213" ca="1">IF($F213="Terminated",0,IF($AA213=0,0,IF(ISNA(MATCH(U$5,CompListItem,0)),0,IF(COUNTIFS(OverEmp,$C213,OverComp,U$5,OverDate,"&lt;"&amp;DATE(YEAR($AC213),MONTH($AC213)+1,1),OverEnd,"&gt;="&amp;DATE(YEAR($AC213),MONTH($AC213),1))&gt;0,SUMIFS(OverValue,OverEmp,$C213,OverComp,U$5,OverDate,"&lt;"&amp;DATE(YEAR($AC213),MONTH($AC213)+1,1),OverEnd,"&gt;="&amp;DATE(YEAR($AC213),MONTH($AC213),1)),IF(OR(U$2="Fixed",U$2="Not Used"),(OFFSET(Setup!$E$81,MATCH(U$5,CompListItem,0),0,1,1)*$AA213)-SUMIFS(OFFSET(U$6,1,0,PayCount,1),PayDate,"&lt;"&amp;$AC213,PayEmp,$C213),IF(ISNA(MATCH(U$2,DedListItem,0))=FALSE,(SUMPRODUCT((PayEmp=$C213)*(PayDate&lt;=$AC213)*(PayDedList=U$2)*(PayDedValues))*OFFSET(Setup!$E$81,MATCH(U$5,CompListItem,0),0,1,1))-SUMIFS(OFFSET(U$6,1,0,PayCount,1),PayDate,"&lt;"&amp;$AC213,PayEmp,$C213),(MIN(IF(OFFSET(Setup!$G$81,MATCH(U$5,CompListItem,0),0,1,1)="Taxable",SUMPRODUCT((PayEmp=$C213)*(PayDate&lt;=$AC213)*(ISERROR(SEARCH(PayEarnCode,U$4)))*(PayEarnTax)*(PayEarnValues)),SUMPRODUCT((PayEmp=$C213)*(PayDate&lt;=$AC213)*(ISERROR(SEARCH(PayEarnCode,U$4)))*(PayEarnValues))),IF(ISNUMBER(U$3),U$3/12*$AA213,IgnoreMin)))*OFFSET(Setup!$E$81,MATCH(U$5,CompListItem,0),0,1,1)-SUMIFS(OFFSET(U$6,1,0,PayCount,1),PayDate,"&lt;"&amp;$AC213,PayEmp,$C213)))))))</f>
        <v>0</v>
      </c>
      <c r="V213" s="133" cm="1">
        <f t="array" aca="1" ref="V213" ca="1">IF($F213="Terminated",0,IF($AA213=0,0,IF(ISNA(MATCH(V$5,CompListItem,0)),0,IF(COUNTIFS(OverEmp,$C213,OverComp,V$5,OverDate,"&lt;"&amp;DATE(YEAR($AC213),MONTH($AC213)+1,1),OverEnd,"&gt;="&amp;DATE(YEAR($AC213),MONTH($AC213),1))&gt;0,SUMIFS(OverValue,OverEmp,$C213,OverComp,V$5,OverDate,"&lt;"&amp;DATE(YEAR($AC213),MONTH($AC213)+1,1),OverEnd,"&gt;="&amp;DATE(YEAR($AC213),MONTH($AC213),1)),IF(OR(V$2="Fixed",V$2="Not Used"),(OFFSET(Setup!$E$81,MATCH(V$5,CompListItem,0),0,1,1)*$AA213)-SUMIFS(OFFSET(V$6,1,0,PayCount,1),PayDate,"&lt;"&amp;$AC213,PayEmp,$C213),IF(ISNA(MATCH(V$2,DedListItem,0))=FALSE,(SUMPRODUCT((PayEmp=$C213)*(PayDate&lt;=$AC213)*(PayDedList=V$2)*(PayDedValues))*OFFSET(Setup!$E$81,MATCH(V$5,CompListItem,0),0,1,1))-SUMIFS(OFFSET(V$6,1,0,PayCount,1),PayDate,"&lt;"&amp;$AC213,PayEmp,$C213),(MIN(IF(OFFSET(Setup!$G$81,MATCH(V$5,CompListItem,0),0,1,1)="Taxable",SUMPRODUCT((PayEmp=$C213)*(PayDate&lt;=$AC213)*(ISERROR(SEARCH(PayEarnCode,V$4)))*(PayEarnTax)*(PayEarnValues)),SUMPRODUCT((PayEmp=$C213)*(PayDate&lt;=$AC213)*(ISERROR(SEARCH(PayEarnCode,V$4)))*(PayEarnValues))),IF(ISNUMBER(V$3),V$3/12*$AA213,IgnoreMin)))*OFFSET(Setup!$E$81,MATCH(V$5,CompListItem,0),0,1,1)-SUMIFS(OFFSET(V$6,1,0,PayCount,1),PayDate,"&lt;"&amp;$AC213,PayEmp,$C213)))))))</f>
        <v>0</v>
      </c>
      <c r="W213" s="133" cm="1">
        <f t="array" aca="1" ref="W213" ca="1">IF($F213="Terminated",0,IF($AA213=0,0,IF(ISNA(MATCH(W$5,CompListItem,0)),0,IF(COUNTIFS(OverEmp,$C213,OverComp,W$5,OverDate,"&lt;"&amp;DATE(YEAR($AC213),MONTH($AC213)+1,1),OverEnd,"&gt;="&amp;DATE(YEAR($AC213),MONTH($AC213),1))&gt;0,SUMIFS(OverValue,OverEmp,$C213,OverComp,W$5,OverDate,"&lt;"&amp;DATE(YEAR($AC213),MONTH($AC213)+1,1),OverEnd,"&gt;="&amp;DATE(YEAR($AC213),MONTH($AC213),1)),IF(OR(W$2="Fixed",W$2="Not Used"),(OFFSET(Setup!$E$81,MATCH(W$5,CompListItem,0),0,1,1)*$AA213)-SUMIFS(OFFSET(W$6,1,0,PayCount,1),PayDate,"&lt;"&amp;$AC213,PayEmp,$C213),IF(ISNA(MATCH(W$2,DedListItem,0))=FALSE,(SUMPRODUCT((PayEmp=$C213)*(PayDate&lt;=$AC213)*(PayDedList=W$2)*(PayDedValues))*OFFSET(Setup!$E$81,MATCH(W$5,CompListItem,0),0,1,1))-SUMIFS(OFFSET(W$6,1,0,PayCount,1),PayDate,"&lt;"&amp;$AC213,PayEmp,$C213),(MIN(IF(OFFSET(Setup!$G$81,MATCH(W$5,CompListItem,0),0,1,1)="Taxable",SUMPRODUCT((PayEmp=$C213)*(PayDate&lt;=$AC213)*(ISERROR(SEARCH(PayEarnCode,W$4)))*(PayEarnTax)*(PayEarnValues)),SUMPRODUCT((PayEmp=$C213)*(PayDate&lt;=$AC213)*(ISERROR(SEARCH(PayEarnCode,W$4)))*(PayEarnValues))),IF(ISNUMBER(W$3),W$3/12*$AA213,IgnoreMin)))*OFFSET(Setup!$E$81,MATCH(W$5,CompListItem,0),0,1,1)-SUMIFS(OFFSET(W$6,1,0,PayCount,1),PayDate,"&lt;"&amp;$AC213,PayEmp,$C213)))))))</f>
        <v>0</v>
      </c>
      <c r="X213" s="185">
        <f t="shared" ca="1" si="116"/>
        <v>0</v>
      </c>
      <c r="Y213" s="139">
        <f t="shared" ca="1" si="117"/>
        <v>0</v>
      </c>
      <c r="Z213" s="139">
        <f t="shared" ca="1" si="118"/>
        <v>0</v>
      </c>
      <c r="AA213" s="146">
        <f ca="1">IF(OR($B213&lt;=Setup!$E$12,$B213&gt;=Setup!$D$12+1),0,IF($F213&lt;&gt;"Active",0,IF($AE213="Yes",$AB213,((YEAR($AC213)*12)+MONTH($AC213))-((YEAR($AD213)*12)+MONTH($AD213)-1))))</f>
        <v>0</v>
      </c>
      <c r="AB213" s="146">
        <f ca="1">IF(OR($B213&lt;=Setup!$E$12,$B213&gt;=Setup!$D$12+1),0,((YEAR($AC213)*12)+MONTH($AC213))-((YEAR(Setup!$E$12)*12)+MONTH(Setup!$E$12)))</f>
        <v>12</v>
      </c>
      <c r="AC213" s="186">
        <f t="shared" ca="1" si="119"/>
        <v>45351</v>
      </c>
      <c r="AD213" s="144">
        <f ca="1">IF(ISNA(VLOOKUP($C213,EmpAll,COLUMN(Emp!$E$4),0)),$AC213,IF(VLOOKUP($C213,EmpAll,COLUMN(Emp!$E$4),0)&lt;=Setup!$E$12,DATE(YEAR(Setup!$E$12),MONTH(Setup!$E$12)+1,1),VLOOKUP($C213,EmpAll,COLUMN(Emp!$E$4),0)))</f>
        <v>45351</v>
      </c>
      <c r="AE213" s="144" t="str">
        <f ca="1">IF(ISNA(VLOOKUP($C213,EmpAll,COLUMN(Emp!$G$1),0)),"-",IF(VLOOKUP($C213,EmpAll,COLUMN(Emp!$G$1),0)=0,"-",VLOOKUP($C213,EmpAll,COLUMN(Emp!$G$1),0)))</f>
        <v>-</v>
      </c>
      <c r="AF213" s="145">
        <f>IF(A213=PaySlip!$G$3,1,0)</f>
        <v>0</v>
      </c>
      <c r="AG213" s="130" cm="1">
        <f t="array" aca="1" ref="AG213" ca="1">IF(COUNTIFS(OverEmp,$C213,OverMed,"MED",OverDate,"&lt;"&amp;DATE(YEAR($AC213),MONTH($AC213)+1,1),OverEnd,"&gt;="&amp;DATE(YEAR($AC213),MONTH($AC213),1))&gt;0,SUMIFS(OverValue,OverEmp,$C213,OverMed,"MED",OverDate,"&lt;"&amp;DATE(YEAR($AC213),MONTH($AC213)+1,1),OverEnd,"&gt;="&amp;DATE(YEAR($AC213),MONTH($AC213),1)),IF(ISNA(VLOOKUP($C213,EmpAll,COLUMN(Emp!$N$4),0)),0,VLOOKUP($C213,EmpAll,COLUMN(Emp!$N$4),0)))</f>
        <v>0</v>
      </c>
      <c r="AH213" s="146">
        <f ca="1">VLOOKUP($AG213,MedList,COLUMN(Setup!$C$49),1)</f>
        <v>0</v>
      </c>
      <c r="AI213" s="146">
        <f t="shared" ca="1" si="107"/>
        <v>0</v>
      </c>
      <c r="AJ213" s="101" t="str">
        <f ca="1">IF(ISNA(VLOOKUP($C213,EmpAll,COLUMN(Emp!$L$4),0)),"None!",VLOOKUP($C213,EmpAll,COLUMN(Emp!$L$4),0))</f>
        <v>None!</v>
      </c>
      <c r="AK213" s="147">
        <f t="shared" ca="1" si="102"/>
        <v>17235</v>
      </c>
      <c r="AL213" s="101" t="str">
        <f ca="1">IF(ISNA(VLOOKUP($C213,Employees[],COLUMN(Emp!$M$4),0))=TRUE,"Error!",IF(VLOOKUP($C213,Employees[],COLUMN(Emp!$M$4),0)=0,"Yes",VLOOKUP($C213,Employees[],COLUMN(Emp!$M$4),0)))</f>
        <v>Error!</v>
      </c>
      <c r="AM213" s="148">
        <f t="shared" ca="1" si="108"/>
        <v>0</v>
      </c>
      <c r="AN213" s="148" cm="1">
        <f t="array" aca="1" ref="AN213" ca="1">-IF($F213="Terminated",0,IF($AA213=0,0,IF(ISNA(MATCH(AN$5,PayDedList,0)),0,MIN(IF(COUNTIFS(OverEmp,$C213,OverDeduct,AN$5,OverDate,"&lt;"&amp;DATE(YEAR($AC213),MONTH($AC213)+1,1),OverEnd,"&gt;="&amp;DATE(YEAR($AC213),MONTH($AC213),1))&gt;0,SUMPRODUCT((PayEmp=$C213)*(PayDate&lt;=$AC213)*(OFFSET($N$6,1,MATCH(AN$5,PayDedList,0)-1,PayCount,1)))/$AA213*12*AN$3,IF(OR(AN$1="Fixed",AN$1="Not Used"),SUMPRODUCT((PayEmp=$C213)*(PayDate&lt;=$AC213)*(OFFSET($N$6,1,MATCH(AN$5,PayDedList,0)-1,PayCount,1)))/$AA213*12*AN$3,IF(ISNA(MATCH(AN$1,EarnListItem,0))=FALSE,SUMPRODUCT((PayEmp=$C213)*(PayDate&lt;=$AC213)*(OFFSET($N$6,1,MATCH(AN$5,PayDedList,0)-1,PayCount,1)))/$AA213*12*AN$3,(MIN(((SUMPRODUCT((PayEmp=$C213)*(PayDate&lt;=$AC213)*(ISERROR(SEARCH(PayEarnCode,AN$2)))*(PayEarnType="Monthly")*(PayEarnValues))/$AA213*12)+(SUMPRODUCT((PayEmp=$C213)*(PayDate&lt;=$AC213)*(ISERROR(SEARCH(PayEarnCode,AN$2)))*(PayEarnType="Quarterly")*(PayEarnValues))/MAX(1,ROUNDDOWN($AB213/3,0))*4)+(SUMPRODUCT((PayEmp=$C213)*(PayDate&lt;=$AC213)*(ISERROR(SEARCH(PayEarnCode,AN$2)))*(PayEarnType="Bi-Annual")*(PayEarnValues))/MAX(1,ROUNDDOWN($AB213/6,0))*2)+(SUMPRODUCT((PayEmp=$C213)*(PayDate&lt;=$AC213)*(ISERROR(SEARCH(PayEarnCode,AN$2)))*(PayEarnType="Annual")*(PayEarnValues)))),IF(ISNUMBER(OFFSET($N$3,0,MATCH(AN$5,PayDedList,0)-1,1,1)),OFFSET($N$3,0,MATCH(AN$5,PayDedList,0)-1,1,1),IgnoreMin)))*IF(COUNTIFS(EmpNo,$C213,OFFSET(Emp!$R$4,1,MATCH(AN$5,DedListItem,0)-1,EmpCount,1),"&lt;&gt;")&gt;0,VLOOKUP($C213,EmpAll,COLUMN(Emp!$R$4)+MATCH(AN$5,DedListItem,0)-1,0),OFFSET(Setup!$E$73,MATCH(AN$5,DedListItem,0),0,1,1))*AN$3))),IF(ISNUMBER(AN$4),AN$4,IgnoreMin)))))</f>
        <v>0</v>
      </c>
      <c r="AO213" s="148" cm="1">
        <f t="array" aca="1" ref="AO213" ca="1">-IF($F213="Terminated",0,IF($AA213=0,0,IF(ISNA(MATCH(AO$5,PayDedList,0)),0,MIN(IF(COUNTIFS(OverEmp,$C213,OverDeduct,AO$5,OverDate,"&lt;"&amp;DATE(YEAR($AC213),MONTH($AC213)+1,1),OverEnd,"&gt;="&amp;DATE(YEAR($AC213),MONTH($AC213),1))&gt;0,SUMPRODUCT((PayEmp=$C213)*(PayDate&lt;=$AC213)*(OFFSET($N$6,1,MATCH(AO$5,PayDedList,0)-1,PayCount,1)))/$AA213*12*AO$3,IF(OR(AO$1="Fixed",AO$1="Not Used"),SUMPRODUCT((PayEmp=$C213)*(PayDate&lt;=$AC213)*(OFFSET($N$6,1,MATCH(AO$5,PayDedList,0)-1,PayCount,1)))/$AA213*12*AO$3,IF(ISNA(MATCH(AO$1,EarnListItem,0))=FALSE,SUMPRODUCT((PayEmp=$C213)*(PayDate&lt;=$AC213)*(OFFSET($N$6,1,MATCH(AO$5,PayDedList,0)-1,PayCount,1)))/$AA213*12*AO$3,(MIN(((SUMPRODUCT((PayEmp=$C213)*(PayDate&lt;=$AC213)*(ISERROR(SEARCH(PayEarnCode,AO$2)))*(PayEarnType="Monthly")*(PayEarnValues))/$AA213*12)+(SUMPRODUCT((PayEmp=$C213)*(PayDate&lt;=$AC213)*(ISERROR(SEARCH(PayEarnCode,AO$2)))*(PayEarnType="Quarterly")*(PayEarnValues))/MAX(1,ROUNDDOWN($AB213/3,0))*4)+(SUMPRODUCT((PayEmp=$C213)*(PayDate&lt;=$AC213)*(ISERROR(SEARCH(PayEarnCode,AO$2)))*(PayEarnType="Bi-Annual")*(PayEarnValues))/MAX(1,ROUNDDOWN($AB213/6,0))*2)+(SUMPRODUCT((PayEmp=$C213)*(PayDate&lt;=$AC213)*(ISERROR(SEARCH(PayEarnCode,AO$2)))*(PayEarnType="Annual")*(PayEarnValues)))),IF(ISNUMBER(OFFSET($N$3,0,MATCH(AO$5,PayDedList,0)-1,1,1)),OFFSET($N$3,0,MATCH(AO$5,PayDedList,0)-1,1,1),IgnoreMin)))*IF(COUNTIFS(EmpNo,$C213,OFFSET(Emp!$R$4,1,MATCH(AO$5,DedListItem,0)-1,EmpCount,1),"&lt;&gt;")&gt;0,VLOOKUP($C213,EmpAll,COLUMN(Emp!$R$4)+MATCH(AO$5,DedListItem,0)-1,0),OFFSET(Setup!$E$73,MATCH(AO$5,DedListItem,0),0,1,1))*AO$3))),IF(ISNUMBER(AO$4),AO$4,IgnoreMin)))))</f>
        <v>0</v>
      </c>
      <c r="AP213" s="148" cm="1">
        <f t="array" aca="1" ref="AP213" ca="1">-IF($F213="Terminated",0,IF($AA213=0,0,IF(ISNA(MATCH(AP$5,PayDedList,0)),0,MIN(IF(COUNTIFS(OverEmp,$C213,OverDeduct,AP$5,OverDate,"&lt;"&amp;DATE(YEAR($AC213),MONTH($AC213)+1,1),OverEnd,"&gt;="&amp;DATE(YEAR($AC213),MONTH($AC213),1))&gt;0,SUMPRODUCT((PayEmp=$C213)*(PayDate&lt;=$AC213)*(OFFSET($N$6,1,MATCH(AP$5,PayDedList,0)-1,PayCount,1)))/$AA213*12*AP$3,IF(OR(AP$1="Fixed",AP$1="Not Used"),SUMPRODUCT((PayEmp=$C213)*(PayDate&lt;=$AC213)*(OFFSET($N$6,1,MATCH(AP$5,PayDedList,0)-1,PayCount,1)))/$AA213*12*AP$3,IF(ISNA(MATCH(AP$1,EarnListItem,0))=FALSE,SUMPRODUCT((PayEmp=$C213)*(PayDate&lt;=$AC213)*(OFFSET($N$6,1,MATCH(AP$5,PayDedList,0)-1,PayCount,1)))/$AA213*12*AP$3,(MIN(((SUMPRODUCT((PayEmp=$C213)*(PayDate&lt;=$AC213)*(ISERROR(SEARCH(PayEarnCode,AP$2)))*(PayEarnType="Monthly")*(PayEarnValues))/$AA213*12)+(SUMPRODUCT((PayEmp=$C213)*(PayDate&lt;=$AC213)*(ISERROR(SEARCH(PayEarnCode,AP$2)))*(PayEarnType="Quarterly")*(PayEarnValues))/MAX(1,ROUNDDOWN($AB213/3,0))*4)+(SUMPRODUCT((PayEmp=$C213)*(PayDate&lt;=$AC213)*(ISERROR(SEARCH(PayEarnCode,AP$2)))*(PayEarnType="Bi-Annual")*(PayEarnValues))/MAX(1,ROUNDDOWN($AB213/6,0))*2)+(SUMPRODUCT((PayEmp=$C213)*(PayDate&lt;=$AC213)*(ISERROR(SEARCH(PayEarnCode,AP$2)))*(PayEarnType="Annual")*(PayEarnValues)))),IF(ISNUMBER(OFFSET($N$3,0,MATCH(AP$5,PayDedList,0)-1,1,1)),OFFSET($N$3,0,MATCH(AP$5,PayDedList,0)-1,1,1),IgnoreMin)))*IF(COUNTIFS(EmpNo,$C213,OFFSET(Emp!$R$4,1,MATCH(AP$5,DedListItem,0)-1,EmpCount,1),"&lt;&gt;")&gt;0,VLOOKUP($C213,EmpAll,COLUMN(Emp!$R$4)+MATCH(AP$5,DedListItem,0)-1,0),OFFSET(Setup!$E$73,MATCH(AP$5,DedListItem,0),0,1,1))*AP$3))),IF(ISNUMBER(AP$4),AP$4,IgnoreMin)))))</f>
        <v>0</v>
      </c>
      <c r="AQ213" s="148" cm="1">
        <f t="array" aca="1" ref="AQ213" ca="1">-IF($F213="Terminated",0,IF($AA213=0,0,IF(ISNA(MATCH(AQ$5,PayDedList,0)),0,MIN(IF(COUNTIFS(OverEmp,$C213,OverDeduct,AQ$5,OverDate,"&lt;"&amp;DATE(YEAR($AC213),MONTH($AC213)+1,1),OverEnd,"&gt;="&amp;DATE(YEAR($AC213),MONTH($AC213),1))&gt;0,SUMPRODUCT((PayEmp=$C213)*(PayDate&lt;=$AC213)*(OFFSET($N$6,1,MATCH(AQ$5,PayDedList,0)-1,PayCount,1)))/$AA213*12*AQ$3,IF(OR(AQ$1="Fixed",AQ$1="Not Used"),SUMPRODUCT((PayEmp=$C213)*(PayDate&lt;=$AC213)*(OFFSET($N$6,1,MATCH(AQ$5,PayDedList,0)-1,PayCount,1)))/$AA213*12*AQ$3,IF(ISNA(MATCH(AQ$1,EarnListItem,0))=FALSE,SUMPRODUCT((PayEmp=$C213)*(PayDate&lt;=$AC213)*(OFFSET($N$6,1,MATCH(AQ$5,PayDedList,0)-1,PayCount,1)))/$AA213*12*AQ$3,(MIN(((SUMPRODUCT((PayEmp=$C213)*(PayDate&lt;=$AC213)*(ISERROR(SEARCH(PayEarnCode,AQ$2)))*(PayEarnType="Monthly")*(PayEarnValues))/$AA213*12)+(SUMPRODUCT((PayEmp=$C213)*(PayDate&lt;=$AC213)*(ISERROR(SEARCH(PayEarnCode,AQ$2)))*(PayEarnType="Quarterly")*(PayEarnValues))/MAX(1,ROUNDDOWN($AB213/3,0))*4)+(SUMPRODUCT((PayEmp=$C213)*(PayDate&lt;=$AC213)*(ISERROR(SEARCH(PayEarnCode,AQ$2)))*(PayEarnType="Bi-Annual")*(PayEarnValues))/MAX(1,ROUNDDOWN($AB213/6,0))*2)+(SUMPRODUCT((PayEmp=$C213)*(PayDate&lt;=$AC213)*(ISERROR(SEARCH(PayEarnCode,AQ$2)))*(PayEarnType="Annual")*(PayEarnValues)))),IF(ISNUMBER(OFFSET($N$3,0,MATCH(AQ$5,PayDedList,0)-1,1,1)),OFFSET($N$3,0,MATCH(AQ$5,PayDedList,0)-1,1,1),IgnoreMin)))*IF(COUNTIFS(EmpNo,$C213,OFFSET(Emp!$R$4,1,MATCH(AQ$5,DedListItem,0)-1,EmpCount,1),"&lt;&gt;")&gt;0,VLOOKUP($C213,EmpAll,COLUMN(Emp!$R$4)+MATCH(AQ$5,DedListItem,0)-1,0),OFFSET(Setup!$E$73,MATCH(AQ$5,DedListItem,0),0,1,1))*AQ$3))),IF(ISNUMBER(AQ$4),AQ$4,IgnoreMin)))))</f>
        <v>0</v>
      </c>
      <c r="AR213" s="148">
        <f t="shared" ca="1" si="120"/>
        <v>0</v>
      </c>
      <c r="AS213" s="148">
        <f t="shared" ca="1" si="109"/>
        <v>0</v>
      </c>
      <c r="AT213" s="148" cm="1">
        <f t="array" aca="1" ref="AT213" ca="1">-IF($F213="Terminated",0,IF($AA213=0,0,IF(ISNA(MATCH(AT$5,PayDedList,0)),0,MIN(IF(COUNTIFS(OverEmp,$C213,OverDeduct,AT$5,OverDate,"&lt;"&amp;DATE(YEAR($AC213),MONTH($AC213)+1,1),OverEnd,"&gt;="&amp;DATE(YEAR($AC213),MONTH($AC213),1))&gt;0,SUMPRODUCT((PayEmp=$C213)*(PayDate&lt;=$AC213)*(OFFSET($N$6,1,MATCH(AT$5,PayDedList,0)-1,PayCount,1)))/$AA213*12*AT$3,IF(OR(AT$1="Fixed",AT$1="Not Used"),SUMPRODUCT((PayEmp=$C213)*(PayDate&lt;=$AC213)*(OFFSET($N$6,1,MATCH(AT$5,PayDedList,0)-1,PayCount,1)))/$AA213*12*AT$3,IF(ISNA(MATCH(OFFSET($N$2,0,MATCH(AT$5,PayDedList,0)-1,1,1),EarnListItem,0))=FALSE,SUMPRODUCT((PayEmp=$C213)*(PayDate&lt;=$AC213)*(OFFSET($N$6,1,MATCH(AT$5,PayDedList,0)-1,PayCount,1)))/$AA213*12*AT$3,(MIN(SUMPRODUCT((PayEmp=$C213)*(PayDate&lt;=$AC213)*(ISERROR(SEARCH(PayEarnCode,AT$2)))*(PayEarnType="Monthly")*(PayEarnValues))/$AA213*12,IF(ISNUMBER(OFFSET($N$3,0,MATCH(AT$5,PayDedList,0)-1,1,1)),OFFSET($N$3,0,MATCH(AT$5,PayDedList,0)-1,1,1),IgnoreMin)))*IF(COUNTIFS(EmpNo,$C213,OFFSET(Emp!$R$4,1,MATCH(AT$5,DedListItem,0)-1,EmpCount,1),"&lt;&gt;")&gt;0,VLOOKUP($C213,EmpAll,COLUMN(Emp!$R$4)+MATCH(AT$5,DedListItem,0)-1,0),OFFSET(Setup!$E$73,MATCH(AT$5,DedListItem,0),0,1,1))*AT$3))),IF(ISNUMBER(AT$4),AT$4,IgnoreMin)))))</f>
        <v>0</v>
      </c>
      <c r="AU213" s="148" cm="1">
        <f t="array" aca="1" ref="AU213" ca="1">-IF($F213="Terminated",0,IF($AA213=0,0,IF(ISNA(MATCH(AU$5,PayDedList,0)),0,MIN(IF(COUNTIFS(OverEmp,$C213,OverDeduct,AU$5,OverDate,"&lt;"&amp;DATE(YEAR($AC213),MONTH($AC213)+1,1),OverEnd,"&gt;="&amp;DATE(YEAR($AC213),MONTH($AC213),1))&gt;0,SUMPRODUCT((PayEmp=$C213)*(PayDate&lt;=$AC213)*(OFFSET($N$6,1,MATCH(AU$5,PayDedList,0)-1,PayCount,1)))/$AA213*12*AU$3,IF(OR(AU$1="Fixed",AU$1="Not Used"),SUMPRODUCT((PayEmp=$C213)*(PayDate&lt;=$AC213)*(OFFSET($N$6,1,MATCH(AU$5,PayDedList,0)-1,PayCount,1)))/$AA213*12*AU$3,IF(ISNA(MATCH(OFFSET($N$2,0,MATCH(AU$5,PayDedList,0)-1,1,1),EarnListItem,0))=FALSE,SUMPRODUCT((PayEmp=$C213)*(PayDate&lt;=$AC213)*(OFFSET($N$6,1,MATCH(AU$5,PayDedList,0)-1,PayCount,1)))/$AA213*12*AU$3,(MIN(SUMPRODUCT((PayEmp=$C213)*(PayDate&lt;=$AC213)*(ISERROR(SEARCH(PayEarnCode,AU$2)))*(PayEarnType="Monthly")*(PayEarnValues))/$AA213*12,IF(ISNUMBER(OFFSET($N$3,0,MATCH(AU$5,PayDedList,0)-1,1,1)),OFFSET($N$3,0,MATCH(AU$5,PayDedList,0)-1,1,1),IgnoreMin)))*IF(COUNTIFS(EmpNo,$C213,OFFSET(Emp!$R$4,1,MATCH(AU$5,DedListItem,0)-1,EmpCount,1),"&lt;&gt;")&gt;0,VLOOKUP($C213,EmpAll,COLUMN(Emp!$R$4)+MATCH(AU$5,DedListItem,0)-1,0),OFFSET(Setup!$E$73,MATCH(AU$5,DedListItem,0),0,1,1))*AU$3))),IF(ISNUMBER(AU$4),AU$4,IgnoreMin)))))</f>
        <v>0</v>
      </c>
      <c r="AV213" s="148" cm="1">
        <f t="array" aca="1" ref="AV213" ca="1">-IF($F213="Terminated",0,IF($AA213=0,0,IF(ISNA(MATCH(AV$5,PayDedList,0)),0,MIN(IF(COUNTIFS(OverEmp,$C213,OverDeduct,AV$5,OverDate,"&lt;"&amp;DATE(YEAR($AC213),MONTH($AC213)+1,1),OverEnd,"&gt;="&amp;DATE(YEAR($AC213),MONTH($AC213),1))&gt;0,SUMPRODUCT((PayEmp=$C213)*(PayDate&lt;=$AC213)*(OFFSET($N$6,1,MATCH(AV$5,PayDedList,0)-1,PayCount,1)))/$AA213*12*AV$3,IF(OR(AV$1="Fixed",AV$1="Not Used"),SUMPRODUCT((PayEmp=$C213)*(PayDate&lt;=$AC213)*(OFFSET($N$6,1,MATCH(AV$5,PayDedList,0)-1,PayCount,1)))/$AA213*12*AV$3,IF(ISNA(MATCH(OFFSET($N$2,0,MATCH(AV$5,PayDedList,0)-1,1,1),EarnListItem,0))=FALSE,SUMPRODUCT((PayEmp=$C213)*(PayDate&lt;=$AC213)*(OFFSET($N$6,1,MATCH(AV$5,PayDedList,0)-1,PayCount,1)))/$AA213*12*AV$3,(MIN(SUMPRODUCT((PayEmp=$C213)*(PayDate&lt;=$AC213)*(ISERROR(SEARCH(PayEarnCode,AV$2)))*(PayEarnType="Monthly")*(PayEarnValues))/$AA213*12,IF(ISNUMBER(OFFSET($N$3,0,MATCH(AV$5,PayDedList,0)-1,1,1)),OFFSET($N$3,0,MATCH(AV$5,PayDedList,0)-1,1,1),IgnoreMin)))*IF(COUNTIFS(EmpNo,$C213,OFFSET(Emp!$R$4,1,MATCH(AV$5,DedListItem,0)-1,EmpCount,1),"&lt;&gt;")&gt;0,VLOOKUP($C213,EmpAll,COLUMN(Emp!$R$4)+MATCH(AV$5,DedListItem,0)-1,0),OFFSET(Setup!$E$73,MATCH(AV$5,DedListItem,0),0,1,1))*AV$3))),IF(ISNUMBER(AV$4),AV$4,IgnoreMin)))))</f>
        <v>0</v>
      </c>
      <c r="AW213" s="148" cm="1">
        <f t="array" aca="1" ref="AW213" ca="1">-IF($F213="Terminated",0,IF($AA213=0,0,IF(ISNA(MATCH(AW$5,PayDedList,0)),0,MIN(IF(COUNTIFS(OverEmp,$C213,OverDeduct,AW$5,OverDate,"&lt;"&amp;DATE(YEAR($AC213),MONTH($AC213)+1,1),OverEnd,"&gt;="&amp;DATE(YEAR($AC213),MONTH($AC213),1))&gt;0,SUMPRODUCT((PayEmp=$C213)*(PayDate&lt;=$AC213)*(OFFSET($N$6,1,MATCH(AW$5,PayDedList,0)-1,PayCount,1)))/$AA213*12*AW$3,IF(OR(AW$1="Fixed",AW$1="Not Used"),SUMPRODUCT((PayEmp=$C213)*(PayDate&lt;=$AC213)*(OFFSET($N$6,1,MATCH(AW$5,PayDedList,0)-1,PayCount,1)))/$AA213*12*AW$3,IF(ISNA(MATCH(OFFSET($N$2,0,MATCH(AW$5,PayDedList,0)-1,1,1),EarnListItem,0))=FALSE,SUMPRODUCT((PayEmp=$C213)*(PayDate&lt;=$AC213)*(OFFSET($N$6,1,MATCH(AW$5,PayDedList,0)-1,PayCount,1)))/$AA213*12*AW$3,(MIN(SUMPRODUCT((PayEmp=$C213)*(PayDate&lt;=$AC213)*(ISERROR(SEARCH(PayEarnCode,AW$2)))*(PayEarnType="Monthly")*(PayEarnValues))/$AA213*12,IF(ISNUMBER(OFFSET($N$3,0,MATCH(AW$5,PayDedList,0)-1,1,1)),OFFSET($N$3,0,MATCH(AW$5,PayDedList,0)-1,1,1),IgnoreMin)))*IF(COUNTIFS(EmpNo,$C213,OFFSET(Emp!$R$4,1,MATCH(AW$5,DedListItem,0)-1,EmpCount,1),"&lt;&gt;")&gt;0,VLOOKUP($C213,EmpAll,COLUMN(Emp!$R$4)+MATCH(AW$5,DedListItem,0)-1,0),OFFSET(Setup!$E$73,MATCH(AW$5,DedListItem,0),0,1,1))*AW$3))),IF(ISNUMBER(AW$4),AW$4,IgnoreMin)))))</f>
        <v>0</v>
      </c>
      <c r="AX213" s="148">
        <f t="shared" ca="1" si="121"/>
        <v>0</v>
      </c>
      <c r="AY213" s="148">
        <f t="shared" ca="1" si="122"/>
        <v>0</v>
      </c>
      <c r="AZ213" s="148">
        <f ca="1">IF(ISNUMBER($AL213),($AR213*$AL213)-$AI213-$AK213,MAX(0,IF($AL213="B",IF($AR213&lt;Setup!$C$32,($AR213*Setup!$D$32)-$AI213-$AK213,(($AR213-VLOOKUP($AR213,TaxAll2,1,1))*OFFSET(Setup!$D$32,MATCH($AR213,TaxBracket2,1),0,1,1))+OFFSET(Setup!$E$31,MATCH($AR213,TaxBracket2,1),0,1,1)-$AI213-$AK213),IF($AR213&lt;Setup!$C$21,($AR213*Setup!$D$21)-$AI213-$AK213,(($AR213-VLOOKUP($AR213,TaxAll1,1,1))*OFFSET(Setup!$D$21,MATCH($AR213,TaxBracket1,1),0,1,1))+OFFSET(Setup!$E$20,MATCH($AR213,TaxBracket1,1),0,1,1)-$AI213-$AK213))))</f>
        <v>0</v>
      </c>
      <c r="BA213" s="148">
        <f ca="1">IF(ISNUMBER($AL213),($AX213*$AL213)-$AI213-$AK213,MAX(0,IF($AL213="B",IF($AX213&lt;Setup!$C$32,($AX213*Setup!$D$32)-$AI213-$AK213,(($AX213-VLOOKUP($AX213,TaxAll2,1,1))*OFFSET(Setup!$D$32,MATCH($AX213,TaxBracket2,1),0,1,1))+OFFSET(Setup!$E$31,MATCH($AX213,TaxBracket2,1),0,1,1)-$AI213-$AK213),IF($AX213&lt;Setup!$C$21,($AX213*Setup!$D$21)-$AI213-$AK213,(($AX213-VLOOKUP($AX213,TaxAll1,1,1))*OFFSET(Setup!$D$21,MATCH($AX213,TaxBracket1,1),0,1,1))+OFFSET(Setup!$E$20,MATCH($AX213,TaxBracket1,1),0,1,1)-$AI213-$AK213))))</f>
        <v>0</v>
      </c>
      <c r="BB213" s="148">
        <f t="shared" ca="1" si="123"/>
        <v>0</v>
      </c>
      <c r="BC213" s="150">
        <f t="shared" ca="1" si="110"/>
        <v>0</v>
      </c>
      <c r="BD213" s="150">
        <f t="shared" ca="1" si="111"/>
        <v>0</v>
      </c>
      <c r="BE213" s="148">
        <f t="shared" ca="1" si="112"/>
        <v>0</v>
      </c>
    </row>
    <row r="214" spans="1:57" ht="16.149999999999999" customHeight="1" x14ac:dyDescent="0.25">
      <c r="A214" s="10" t="str" cm="1">
        <f t="array" ref="A214">IF(ROW($A214)-ROW($A$6)&gt;EmpCount*12,"-",TEXT($B214,"yyyy")&amp;TEXT($B214,"mm")&amp;"-"&amp;$C214)</f>
        <v>-</v>
      </c>
      <c r="B214" s="137" cm="1">
        <f t="array" aca="1" ref="B214" ca="1">IF(ROW($A214)-ROW($A$6)&gt;EmpCount*12,Setup!$D$12,DATE(YEAR(Setup!$F$12),MONTH(Setup!$F$12)+ROUNDDOWN((ROW($A214)-ROW($A$6)-1)/EmpCount,0),IF(Setup!$C$14&gt;DAY(DATE(YEAR(Setup!$F$12),MONTH(Setup!$F$12)+ROUNDDOWN((ROW($A214)-ROW($A$6)-1)/EmpCount,0)+1,0)),DAY(DATE(YEAR(Setup!$F$12),MONTH(Setup!$F$12)+ROUNDDOWN((ROW($A214)-ROW($A$6)-1)/EmpCount,0)+1,0)),Setup!$C$14)))</f>
        <v>45351</v>
      </c>
      <c r="C214" s="101" t="str" cm="1">
        <f t="array" aca="1" ref="C214" ca="1">IF(ROW($A214)-ROW($A$6)&gt;EmpCount*12,"-",OFFSET(Emp!$A$4,ROW($A214)-ROW($A$6)-IF(ROW($A214)-ROW($A$6)&gt;EmpCount,ROUNDDOWN((ROW($A214)-ROW($A$6)-1)/EmpCount,0)*EmpCount,0),0,1,1))</f>
        <v>-</v>
      </c>
      <c r="D214" s="10" t="str">
        <f ca="1">IF(ISNA(VLOOKUP($C214,EmpAll,COLUMN(Emp!$B$4),0)),"-",VLOOKUP($C214,EmpAll,COLUMN(Emp!$B$4),0))</f>
        <v>-</v>
      </c>
      <c r="E214" s="145" t="str">
        <f ca="1">IF(ISNA(VLOOKUP($C214,EmpAll,COLUMN(Emp!$C$4),0)),"-",VLOOKUP($C214,EmpAll,COLUMN(Emp!$C$4),0))</f>
        <v>-</v>
      </c>
      <c r="F214" s="101" t="str">
        <f ca="1">IF(ISNA(VLOOKUP($C214,EmpAll,COLUMN(Emp!$A$4),0)),"-",IF(AND(VLOOKUP($C214,EmpAll,COLUMN(Emp!$E$4),0)&lt;&gt;0,VLOOKUP($C214,EmpAll,COLUMN(Emp!$E$4),0)&gt;=DATE(YEAR($AC214),MONTH($AC214)+1,0)),"Inactive",IF(AND(VLOOKUP($C214,EmpAll,COLUMN(Emp!$F$4),0)&lt;&gt;0,VLOOKUP($C214,EmpAll,COLUMN(Emp!$F$4),0)&lt;=DATE(YEAR($AC214),MONTH($AC214),0)),"Terminated","Active")))</f>
        <v>-</v>
      </c>
      <c r="G214" s="133" cm="1">
        <f t="array" aca="1" ref="G214" ca="1">IF($F214&lt;&gt;"Active",0,IF(COUNTIFS(OverEmp,$C214,OverEarn,G$2,OverDate,"&lt;"&amp;DATE(YEAR($AC214),MONTH($AC214)+1,1),OverEnd,"&gt;="&amp;DATE(YEAR($AC214),MONTH($AC214),1))&gt;0,SUMIFS(OverValue,OverEmp,$C214,OverEarn,G$2,OverDate,"&lt;"&amp;DATE(YEAR($AC214),MONTH($AC214)+1,1),OverEnd,"&gt;="&amp;DATE(YEAR($AC214),MONTH($AC214),1)),IF(AND($AC214&gt;=Setup!$E$10,SUMIFS(EmpIncrease,EmpCode,$C214)&gt;0),SUMIFS(EmpIncrease,EmpCode,$C214),SUMIFS(EmpSalary,EmpCode,$C214))))</f>
        <v>0</v>
      </c>
      <c r="H214" s="133" cm="1">
        <f t="array" aca="1" ref="H214" ca="1">IF($F214&lt;&gt;"Active",0,IF(COUNTIFS(OverEmp,$C214,OverEarn,H$2,OverDate,"&lt;"&amp;DATE(YEAR($AC214),MONTH($AC214)+1,1),OverEnd,"&gt;="&amp;DATE(YEAR($AC214),MONTH($AC214),1))&gt;0,SUMIFS(OverValue,OverEmp,$C214,OverEarn,H$2,OverDate,"&lt;"&amp;DATE(YEAR($AC214),MONTH($AC214)+1,1),OverEnd,"&gt;="&amp;DATE(YEAR($AC214),MONTH($AC214),1)),0))</f>
        <v>0</v>
      </c>
      <c r="I214" s="133" cm="1">
        <f t="array" aca="1" ref="I214" ca="1">IF($F214&lt;&gt;"Active",0,IF(COUNTIFS(OverEmp,$C214,OverEarn,I$2,OverDate,"&lt;"&amp;DATE(YEAR($AC214),MONTH($AC214)+1,1),OverEnd,"&gt;="&amp;DATE(YEAR($AC214),MONTH($AC214),1))&gt;0,SUMIFS(OverValue,OverEmp,$C214,OverEarn,I$2,OverDate,"&lt;"&amp;DATE(YEAR($AC214),MONTH($AC214)+1,1),OverEnd,"&gt;="&amp;DATE(YEAR($AC214),MONTH($AC214),1)),IF(MONTH(B214)=Setup!$C$15,SUMIFS(EmpBonus,EmpCode,$C214),0)))</f>
        <v>0</v>
      </c>
      <c r="J214" s="133" cm="1">
        <f t="array" aca="1" ref="J214" ca="1">IF($F214&lt;&gt;"Active",0,IF(COUNTIFS(OverEmp,$C214,OverEarn,J$2,OverDate,"&lt;"&amp;DATE(YEAR($AC214),MONTH($AC214)+1,1),OverEnd,"&gt;="&amp;DATE(YEAR($AC214),MONTH($AC214),1))&gt;0,SUMIFS(OverValue,OverEmp,$C214,OverEarn,J$2,OverDate,"&lt;"&amp;DATE(YEAR($AC214),MONTH($AC214)+1,1),OverEnd,"&gt;="&amp;DATE(YEAR($AC214),MONTH($AC214),1)),0))</f>
        <v>0</v>
      </c>
      <c r="K214" s="133" cm="1">
        <f t="array" aca="1" ref="K214" ca="1">IF($F214&lt;&gt;"Active",0,IF(COUNTIFS(OverEmp,$C214,OverEarn,K$2,OverDate,"&lt;"&amp;DATE(YEAR($AC214),MONTH($AC214)+1,1),OverEnd,"&gt;="&amp;DATE(YEAR($AC214),MONTH($AC214),1))&gt;0,SUMIFS(OverValue,OverEmp,$C214,OverEarn,K$2,OverDate,"&lt;"&amp;DATE(YEAR($AC214),MONTH($AC214)+1,1),OverEnd,"&gt;="&amp;DATE(YEAR($AC214),MONTH($AC214),1)),0))</f>
        <v>0</v>
      </c>
      <c r="L214" s="185">
        <f t="shared" ca="1" si="113"/>
        <v>0</v>
      </c>
      <c r="M214" s="182" cm="1">
        <f t="array" aca="1" ref="M214" ca="1">IF(COUNTIFS(OverEmp,$C214,OverTax,M$5,OverDate,"&lt;"&amp;DATE(YEAR($AC214),MONTH($AC214)+1,1),OverEnd,"&gt;="&amp;DATE(YEAR($AC214),MONTH($AC214),1))&gt;0,SUMIFS(OverValue,OverEmp,$C214,OverTax,M$5,OverDate,"&lt;"&amp;DATE(YEAR($AC214),MONTH($AC214)+1,1),OverEnd,"&gt;="&amp;DATE(YEAR($AC214),MONTH($AC214),1)),(($BA214/12*$AA214)+(BB214*IF(1-$BC214=0,0,BD214/(1-$BC214))))-IF($F214="Terminated",0,SUMIFS(PayTaxDeduct,PayDate,"&lt;"&amp;$AC214,PayEmp,$C214)))</f>
        <v>0</v>
      </c>
      <c r="N214" s="133" cm="1">
        <f t="array" aca="1" ref="N214" ca="1">IF($F214="Terminated",0,IF($AA214=0,0,IF(ISNA(MATCH(N$5,DedListItem,0)),0,IF(COUNTIFS(OverEmp,$C214,OverDeduct,N$5,OverDate,"&lt;"&amp;DATE(YEAR($AC214),MONTH($AC214)+1,1),OverEnd,"&gt;="&amp;DATE(YEAR($AC214),MONTH($AC214),1))&gt;0,SUMIFS(OverValue,OverEmp,$C214,OverDeduct,N$5,OverDate,"&lt;"&amp;DATE(YEAR($AC214),MONTH($AC214)+1,1),OverEnd,"&gt;="&amp;DATE(YEAR($AC214),MONTH($AC214),1)),IF(OR(N$2="Fixed",N$2="Not Used"),(IF(COUNTIFS(EmpNo,$C214,OFFSET(Emp!$R$4,1,MATCH(N$5,DedListItem,0)-1,EmpCount,1),"&lt;&gt;")&gt;0,VLOOKUP($C214,EmpAll,COLUMN(Emp!$R$4)+MATCH(N$5,DedListItem,0)-1,0),OFFSET(Setup!$E$73,MATCH(N$5,DedListItem,0),0,1,1))*$AA214)-SUMIFS(OFFSET(N$6,1,0,PayCount,1),PayDate,"&lt;"&amp;$AC214,PayEmp,$C214),IF(ISNA(MATCH(N$2,EarnListItem,0))=FALSE,IF(OFFSET(Setup!$G$73,MATCH(N$5,DedListItem,0),0,1,1)="Taxable",SUMPRODUCT((PayEmp=$C214)*(PayDate&lt;=$AC214)*(PayEarnCode=N$2)*(PayEarnTax)*(PayEarnValues)),SUMPRODUCT((PayEmp=$C214)*(PayDate&lt;=$AC214)*(PayEarnCode=N$2)*(PayEarnValues)))*IF(COUNTIFS(EmpNo,$C214,OFFSET(Emp!$R$4,1,MATCH(N$5,DedListItem,0)-1,EmpCount,1),"&lt;&gt;")&gt;0,VLOOKUP($C214,EmpAll,COLUMN(Emp!$R$4)+MATCH(N$5,DedListItem,0)-1,0),OFFSET(Setup!$E$73,MATCH(N$5,DedListItem,0),0,1,1)),(MIN(IF(OFFSET(Setup!$G$73,MATCH(N$5,DedListItem,0),0,1,1)="Taxable",SUMPRODUCT((PayEmp=$C214)*(PayDate&lt;=$AC214)*(ISERROR(SEARCH(PayEarnCode,N$4)))*(PayEarnTax)*(PayEarnValues)),SUMPRODUCT((PayEmp=$C214)*(PayDate&lt;=$AC214)*(ISERROR(SEARCH(PayEarnCode,N$4)))*(PayEarnValues))),IF(ISNUMBER(N$3),N$3/12*$AA214,IgnoreMin)))*IF(COUNTIFS(EmpNo,$C214,OFFSET(Emp!$R$4,1,MATCH(N$5,DedListItem,0)-1,EmpCount,1),"&lt;&gt;")&gt;0,VLOOKUP($C214,EmpAll,COLUMN(Emp!$R$4)+MATCH(N$5,DedListItem,0)-1,0),OFFSET(Setup!$E$73,MATCH(N$5,DedListItem,0),0,1,1)))-SUMIFS(OFFSET(N$6,1,0,PayCount,1),PayDate,"&lt;"&amp;$AC214,PayEmp,$C214))))))</f>
        <v>0</v>
      </c>
      <c r="O214" s="133" cm="1">
        <f t="array" aca="1" ref="O214" ca="1">IF($F214="Terminated",0,IF($AA214=0,0,IF(ISNA(MATCH(O$5,DedListItem,0)),0,IF(COUNTIFS(OverEmp,$C214,OverDeduct,O$5,OverDate,"&lt;"&amp;DATE(YEAR($AC214),MONTH($AC214)+1,1),OverEnd,"&gt;="&amp;DATE(YEAR($AC214),MONTH($AC214),1))&gt;0,SUMIFS(OverValue,OverEmp,$C214,OverDeduct,O$5,OverDate,"&lt;"&amp;DATE(YEAR($AC214),MONTH($AC214)+1,1),OverEnd,"&gt;="&amp;DATE(YEAR($AC214),MONTH($AC214),1)),IF(OR(O$2="Fixed",O$2="Not Used"),(IF(COUNTIFS(EmpNo,$C214,OFFSET(Emp!$R$4,1,MATCH(O$5,DedListItem,0)-1,EmpCount,1),"&lt;&gt;")&gt;0,VLOOKUP($C214,EmpAll,COLUMN(Emp!$R$4)+MATCH(O$5,DedListItem,0)-1,0),OFFSET(Setup!$E$73,MATCH(O$5,DedListItem,0),0,1,1))*$AA214)-SUMIFS(OFFSET(O$6,1,0,PayCount,1),PayDate,"&lt;"&amp;$AC214,PayEmp,$C214),IF(ISNA(MATCH(O$2,EarnListItem,0))=FALSE,IF(OFFSET(Setup!$G$73,MATCH(O$5,DedListItem,0),0,1,1)="Taxable",SUMPRODUCT((PayEmp=$C214)*(PayDate&lt;=$AC214)*(PayEarnCode=O$2)*(PayEarnTax)*(PayEarnValues)),SUMPRODUCT((PayEmp=$C214)*(PayDate&lt;=$AC214)*(PayEarnCode=O$2)*(PayEarnValues)))*IF(COUNTIFS(EmpNo,$C214,OFFSET(Emp!$R$4,1,MATCH(O$5,DedListItem,0)-1,EmpCount,1),"&lt;&gt;")&gt;0,VLOOKUP($C214,EmpAll,COLUMN(Emp!$R$4)+MATCH(O$5,DedListItem,0)-1,0),OFFSET(Setup!$E$73,MATCH(O$5,DedListItem,0),0,1,1)),(MIN(IF(OFFSET(Setup!$G$73,MATCH(O$5,DedListItem,0),0,1,1)="Taxable",SUMPRODUCT((PayEmp=$C214)*(PayDate&lt;=$AC214)*(ISERROR(SEARCH(PayEarnCode,O$4)))*(PayEarnTax)*(PayEarnValues)),SUMPRODUCT((PayEmp=$C214)*(PayDate&lt;=$AC214)*(ISERROR(SEARCH(PayEarnCode,O$4)))*(PayEarnValues))),IF(ISNUMBER(O$3),O$3/12*$AA214,IgnoreMin)))*IF(COUNTIFS(EmpNo,$C214,OFFSET(Emp!$R$4,1,MATCH(O$5,DedListItem,0)-1,EmpCount,1),"&lt;&gt;")&gt;0,VLOOKUP($C214,EmpAll,COLUMN(Emp!$R$4)+MATCH(O$5,DedListItem,0)-1,0),OFFSET(Setup!$E$73,MATCH(O$5,DedListItem,0),0,1,1)))-SUMIFS(OFFSET(O$6,1,0,PayCount,1),PayDate,"&lt;"&amp;$AC214,PayEmp,$C214))))))</f>
        <v>0</v>
      </c>
      <c r="P214" s="133" cm="1">
        <f t="array" aca="1" ref="P214" ca="1">IF($F214="Terminated",0,IF($AA214=0,0,IF(ISNA(MATCH(P$5,DedListItem,0)),0,IF(COUNTIFS(OverEmp,$C214,OverDeduct,P$5,OverDate,"&lt;"&amp;DATE(YEAR($AC214),MONTH($AC214)+1,1),OverEnd,"&gt;="&amp;DATE(YEAR($AC214),MONTH($AC214),1))&gt;0,SUMIFS(OverValue,OverEmp,$C214,OverDeduct,P$5,OverDate,"&lt;"&amp;DATE(YEAR($AC214),MONTH($AC214)+1,1),OverEnd,"&gt;="&amp;DATE(YEAR($AC214),MONTH($AC214),1)),IF(OR(P$2="Fixed",P$2="Not Used"),(IF(COUNTIFS(EmpNo,$C214,OFFSET(Emp!$R$4,1,MATCH(P$5,DedListItem,0)-1,EmpCount,1),"&lt;&gt;")&gt;0,VLOOKUP($C214,EmpAll,COLUMN(Emp!$R$4)+MATCH(P$5,DedListItem,0)-1,0),OFFSET(Setup!$E$73,MATCH(P$5,DedListItem,0),0,1,1))*$AA214)-SUMIFS(OFFSET(P$6,1,0,PayCount,1),PayDate,"&lt;"&amp;$AC214,PayEmp,$C214),IF(ISNA(MATCH(P$2,EarnListItem,0))=FALSE,IF(OFFSET(Setup!$G$73,MATCH(P$5,DedListItem,0),0,1,1)="Taxable",SUMPRODUCT((PayEmp=$C214)*(PayDate&lt;=$AC214)*(PayEarnCode=P$2)*(PayEarnTax)*(PayEarnValues)),SUMPRODUCT((PayEmp=$C214)*(PayDate&lt;=$AC214)*(PayEarnCode=P$2)*(PayEarnValues)))*IF(COUNTIFS(EmpNo,$C214,OFFSET(Emp!$R$4,1,MATCH(P$5,DedListItem,0)-1,EmpCount,1),"&lt;&gt;")&gt;0,VLOOKUP($C214,EmpAll,COLUMN(Emp!$R$4)+MATCH(P$5,DedListItem,0)-1,0),OFFSET(Setup!$E$73,MATCH(P$5,DedListItem,0),0,1,1)),(MIN(IF(OFFSET(Setup!$G$73,MATCH(P$5,DedListItem,0),0,1,1)="Taxable",SUMPRODUCT((PayEmp=$C214)*(PayDate&lt;=$AC214)*(ISERROR(SEARCH(PayEarnCode,P$4)))*(PayEarnTax)*(PayEarnValues)),SUMPRODUCT((PayEmp=$C214)*(PayDate&lt;=$AC214)*(ISERROR(SEARCH(PayEarnCode,P$4)))*(PayEarnValues))),IF(ISNUMBER(P$3),P$3/12*$AA214,IgnoreMin)))*IF(COUNTIFS(EmpNo,$C214,OFFSET(Emp!$R$4,1,MATCH(P$5,DedListItem,0)-1,EmpCount,1),"&lt;&gt;")&gt;0,VLOOKUP($C214,EmpAll,COLUMN(Emp!$R$4)+MATCH(P$5,DedListItem,0)-1,0),OFFSET(Setup!$E$73,MATCH(P$5,DedListItem,0),0,1,1)))-SUMIFS(OFFSET(P$6,1,0,PayCount,1),PayDate,"&lt;"&amp;$AC214,PayEmp,$C214))))))</f>
        <v>0</v>
      </c>
      <c r="Q214" s="133" cm="1">
        <f t="array" aca="1" ref="Q214" ca="1">IF($F214="Terminated",0,IF($AA214=0,0,IF(ISNA(MATCH(Q$5,DedListItem,0)),0,IF(COUNTIFS(OverEmp,$C214,OverDeduct,Q$5,OverDate,"&lt;"&amp;DATE(YEAR($AC214),MONTH($AC214)+1,1),OverEnd,"&gt;="&amp;DATE(YEAR($AC214),MONTH($AC214),1))&gt;0,SUMIFS(OverValue,OverEmp,$C214,OverDeduct,Q$5,OverDate,"&lt;"&amp;DATE(YEAR($AC214),MONTH($AC214)+1,1),OverEnd,"&gt;="&amp;DATE(YEAR($AC214),MONTH($AC214),1)),IF(OR(Q$2="Fixed",Q$2="Not Used"),(IF(COUNTIFS(EmpNo,$C214,OFFSET(Emp!$R$4,1,MATCH(Q$5,DedListItem,0)-1,EmpCount,1),"&lt;&gt;")&gt;0,VLOOKUP($C214,EmpAll,COLUMN(Emp!$R$4)+MATCH(Q$5,DedListItem,0)-1,0),OFFSET(Setup!$E$73,MATCH(Q$5,DedListItem,0),0,1,1))*$AA214)-SUMIFS(OFFSET(Q$6,1,0,PayCount,1),PayDate,"&lt;"&amp;$AC214,PayEmp,$C214),IF(ISNA(MATCH(Q$2,EarnListItem,0))=FALSE,IF(OFFSET(Setup!$G$73,MATCH(Q$5,DedListItem,0),0,1,1)="Taxable",SUMPRODUCT((PayEmp=$C214)*(PayDate&lt;=$AC214)*(PayEarnCode=Q$2)*(PayEarnTax)*(PayEarnValues)),SUMPRODUCT((PayEmp=$C214)*(PayDate&lt;=$AC214)*(PayEarnCode=Q$2)*(PayEarnValues)))*IF(COUNTIFS(EmpNo,$C214,OFFSET(Emp!$R$4,1,MATCH(Q$5,DedListItem,0)-1,EmpCount,1),"&lt;&gt;")&gt;0,VLOOKUP($C214,EmpAll,COLUMN(Emp!$R$4)+MATCH(Q$5,DedListItem,0)-1,0),OFFSET(Setup!$E$73,MATCH(Q$5,DedListItem,0),0,1,1)),(MIN(IF(OFFSET(Setup!$G$73,MATCH(Q$5,DedListItem,0),0,1,1)="Taxable",SUMPRODUCT((PayEmp=$C214)*(PayDate&lt;=$AC214)*(ISERROR(SEARCH(PayEarnCode,Q$4)))*(PayEarnTax)*(PayEarnValues)),SUMPRODUCT((PayEmp=$C214)*(PayDate&lt;=$AC214)*(ISERROR(SEARCH(PayEarnCode,Q$4)))*(PayEarnValues))),IF(ISNUMBER(Q$3),Q$3/12*$AA214,IgnoreMin)))*IF(COUNTIFS(EmpNo,$C214,OFFSET(Emp!$R$4,1,MATCH(Q$5,DedListItem,0)-1,EmpCount,1),"&lt;&gt;")&gt;0,VLOOKUP($C214,EmpAll,COLUMN(Emp!$R$4)+MATCH(Q$5,DedListItem,0)-1,0),OFFSET(Setup!$E$73,MATCH(Q$5,DedListItem,0),0,1,1)))-SUMIFS(OFFSET(Q$6,1,0,PayCount,1),PayDate,"&lt;"&amp;$AC214,PayEmp,$C214))))))</f>
        <v>0</v>
      </c>
      <c r="R214" s="185">
        <f t="shared" ca="1" si="114"/>
        <v>0</v>
      </c>
      <c r="S214" s="139">
        <f t="shared" ca="1" si="115"/>
        <v>0</v>
      </c>
      <c r="T214" s="133" cm="1">
        <f t="array" aca="1" ref="T214" ca="1">IF($F214="Terminated",0,IF($AA214=0,0,IF(ISNA(MATCH(T$5,CompListItem,0)),0,IF(COUNTIFS(OverEmp,$C214,OverComp,T$5,OverDate,"&lt;"&amp;DATE(YEAR($AC214),MONTH($AC214)+1,1),OverEnd,"&gt;="&amp;DATE(YEAR($AC214),MONTH($AC214),1))&gt;0,SUMIFS(OverValue,OverEmp,$C214,OverComp,T$5,OverDate,"&lt;"&amp;DATE(YEAR($AC214),MONTH($AC214)+1,1),OverEnd,"&gt;="&amp;DATE(YEAR($AC214),MONTH($AC214),1)),IF(OR(T$2="Fixed",T$2="Not Used"),(OFFSET(Setup!$E$81,MATCH(T$5,CompListItem,0),0,1,1)*$AA214)-SUMIFS(OFFSET(T$6,1,0,PayCount,1),PayDate,"&lt;"&amp;$AC214,PayEmp,$C214),IF(ISNA(MATCH(T$2,DedListItem,0))=FALSE,(SUMPRODUCT((PayEmp=$C214)*(PayDate&lt;=$AC214)*(PayDedList=T$2)*(PayDedValues))*OFFSET(Setup!$E$81,MATCH(T$5,CompListItem,0),0,1,1))-SUMIFS(OFFSET(T$6,1,0,PayCount,1),PayDate,"&lt;"&amp;$AC214,PayEmp,$C214),(MIN(IF(OFFSET(Setup!$G$81,MATCH(T$5,CompListItem,0),0,1,1)="Taxable",SUMPRODUCT((PayEmp=$C214)*(PayDate&lt;=$AC214)*(ISERROR(SEARCH(PayEarnCode,T$4)))*(PayEarnTax)*(PayEarnValues)),SUMPRODUCT((PayEmp=$C214)*(PayDate&lt;=$AC214)*(ISERROR(SEARCH(PayEarnCode,T$4)))*(PayEarnValues))),IF(ISNUMBER(T$3),T$3/12*$AA214,IgnoreMin)))*OFFSET(Setup!$E$81,MATCH(T$5,CompListItem,0),0,1,1)-SUMIFS(OFFSET(T$6,1,0,PayCount,1),PayDate,"&lt;"&amp;$AC214,PayEmp,$C214)))))))</f>
        <v>0</v>
      </c>
      <c r="U214" s="133" cm="1">
        <f t="array" aca="1" ref="U214" ca="1">IF($F214="Terminated",0,IF($AA214=0,0,IF(ISNA(MATCH(U$5,CompListItem,0)),0,IF(COUNTIFS(OverEmp,$C214,OverComp,U$5,OverDate,"&lt;"&amp;DATE(YEAR($AC214),MONTH($AC214)+1,1),OverEnd,"&gt;="&amp;DATE(YEAR($AC214),MONTH($AC214),1))&gt;0,SUMIFS(OverValue,OverEmp,$C214,OverComp,U$5,OverDate,"&lt;"&amp;DATE(YEAR($AC214),MONTH($AC214)+1,1),OverEnd,"&gt;="&amp;DATE(YEAR($AC214),MONTH($AC214),1)),IF(OR(U$2="Fixed",U$2="Not Used"),(OFFSET(Setup!$E$81,MATCH(U$5,CompListItem,0),0,1,1)*$AA214)-SUMIFS(OFFSET(U$6,1,0,PayCount,1),PayDate,"&lt;"&amp;$AC214,PayEmp,$C214),IF(ISNA(MATCH(U$2,DedListItem,0))=FALSE,(SUMPRODUCT((PayEmp=$C214)*(PayDate&lt;=$AC214)*(PayDedList=U$2)*(PayDedValues))*OFFSET(Setup!$E$81,MATCH(U$5,CompListItem,0),0,1,1))-SUMIFS(OFFSET(U$6,1,0,PayCount,1),PayDate,"&lt;"&amp;$AC214,PayEmp,$C214),(MIN(IF(OFFSET(Setup!$G$81,MATCH(U$5,CompListItem,0),0,1,1)="Taxable",SUMPRODUCT((PayEmp=$C214)*(PayDate&lt;=$AC214)*(ISERROR(SEARCH(PayEarnCode,U$4)))*(PayEarnTax)*(PayEarnValues)),SUMPRODUCT((PayEmp=$C214)*(PayDate&lt;=$AC214)*(ISERROR(SEARCH(PayEarnCode,U$4)))*(PayEarnValues))),IF(ISNUMBER(U$3),U$3/12*$AA214,IgnoreMin)))*OFFSET(Setup!$E$81,MATCH(U$5,CompListItem,0),0,1,1)-SUMIFS(OFFSET(U$6,1,0,PayCount,1),PayDate,"&lt;"&amp;$AC214,PayEmp,$C214)))))))</f>
        <v>0</v>
      </c>
      <c r="V214" s="133" cm="1">
        <f t="array" aca="1" ref="V214" ca="1">IF($F214="Terminated",0,IF($AA214=0,0,IF(ISNA(MATCH(V$5,CompListItem,0)),0,IF(COUNTIFS(OverEmp,$C214,OverComp,V$5,OverDate,"&lt;"&amp;DATE(YEAR($AC214),MONTH($AC214)+1,1),OverEnd,"&gt;="&amp;DATE(YEAR($AC214),MONTH($AC214),1))&gt;0,SUMIFS(OverValue,OverEmp,$C214,OverComp,V$5,OverDate,"&lt;"&amp;DATE(YEAR($AC214),MONTH($AC214)+1,1),OverEnd,"&gt;="&amp;DATE(YEAR($AC214),MONTH($AC214),1)),IF(OR(V$2="Fixed",V$2="Not Used"),(OFFSET(Setup!$E$81,MATCH(V$5,CompListItem,0),0,1,1)*$AA214)-SUMIFS(OFFSET(V$6,1,0,PayCount,1),PayDate,"&lt;"&amp;$AC214,PayEmp,$C214),IF(ISNA(MATCH(V$2,DedListItem,0))=FALSE,(SUMPRODUCT((PayEmp=$C214)*(PayDate&lt;=$AC214)*(PayDedList=V$2)*(PayDedValues))*OFFSET(Setup!$E$81,MATCH(V$5,CompListItem,0),0,1,1))-SUMIFS(OFFSET(V$6,1,0,PayCount,1),PayDate,"&lt;"&amp;$AC214,PayEmp,$C214),(MIN(IF(OFFSET(Setup!$G$81,MATCH(V$5,CompListItem,0),0,1,1)="Taxable",SUMPRODUCT((PayEmp=$C214)*(PayDate&lt;=$AC214)*(ISERROR(SEARCH(PayEarnCode,V$4)))*(PayEarnTax)*(PayEarnValues)),SUMPRODUCT((PayEmp=$C214)*(PayDate&lt;=$AC214)*(ISERROR(SEARCH(PayEarnCode,V$4)))*(PayEarnValues))),IF(ISNUMBER(V$3),V$3/12*$AA214,IgnoreMin)))*OFFSET(Setup!$E$81,MATCH(V$5,CompListItem,0),0,1,1)-SUMIFS(OFFSET(V$6,1,0,PayCount,1),PayDate,"&lt;"&amp;$AC214,PayEmp,$C214)))))))</f>
        <v>0</v>
      </c>
      <c r="W214" s="133" cm="1">
        <f t="array" aca="1" ref="W214" ca="1">IF($F214="Terminated",0,IF($AA214=0,0,IF(ISNA(MATCH(W$5,CompListItem,0)),0,IF(COUNTIFS(OverEmp,$C214,OverComp,W$5,OverDate,"&lt;"&amp;DATE(YEAR($AC214),MONTH($AC214)+1,1),OverEnd,"&gt;="&amp;DATE(YEAR($AC214),MONTH($AC214),1))&gt;0,SUMIFS(OverValue,OverEmp,$C214,OverComp,W$5,OverDate,"&lt;"&amp;DATE(YEAR($AC214),MONTH($AC214)+1,1),OverEnd,"&gt;="&amp;DATE(YEAR($AC214),MONTH($AC214),1)),IF(OR(W$2="Fixed",W$2="Not Used"),(OFFSET(Setup!$E$81,MATCH(W$5,CompListItem,0),0,1,1)*$AA214)-SUMIFS(OFFSET(W$6,1,0,PayCount,1),PayDate,"&lt;"&amp;$AC214,PayEmp,$C214),IF(ISNA(MATCH(W$2,DedListItem,0))=FALSE,(SUMPRODUCT((PayEmp=$C214)*(PayDate&lt;=$AC214)*(PayDedList=W$2)*(PayDedValues))*OFFSET(Setup!$E$81,MATCH(W$5,CompListItem,0),0,1,1))-SUMIFS(OFFSET(W$6,1,0,PayCount,1),PayDate,"&lt;"&amp;$AC214,PayEmp,$C214),(MIN(IF(OFFSET(Setup!$G$81,MATCH(W$5,CompListItem,0),0,1,1)="Taxable",SUMPRODUCT((PayEmp=$C214)*(PayDate&lt;=$AC214)*(ISERROR(SEARCH(PayEarnCode,W$4)))*(PayEarnTax)*(PayEarnValues)),SUMPRODUCT((PayEmp=$C214)*(PayDate&lt;=$AC214)*(ISERROR(SEARCH(PayEarnCode,W$4)))*(PayEarnValues))),IF(ISNUMBER(W$3),W$3/12*$AA214,IgnoreMin)))*OFFSET(Setup!$E$81,MATCH(W$5,CompListItem,0),0,1,1)-SUMIFS(OFFSET(W$6,1,0,PayCount,1),PayDate,"&lt;"&amp;$AC214,PayEmp,$C214)))))))</f>
        <v>0</v>
      </c>
      <c r="X214" s="185">
        <f t="shared" ca="1" si="116"/>
        <v>0</v>
      </c>
      <c r="Y214" s="139">
        <f t="shared" ca="1" si="117"/>
        <v>0</v>
      </c>
      <c r="Z214" s="139">
        <f t="shared" ca="1" si="118"/>
        <v>0</v>
      </c>
      <c r="AA214" s="146">
        <f ca="1">IF(OR($B214&lt;=Setup!$E$12,$B214&gt;=Setup!$D$12+1),0,IF($F214&lt;&gt;"Active",0,IF($AE214="Yes",$AB214,((YEAR($AC214)*12)+MONTH($AC214))-((YEAR($AD214)*12)+MONTH($AD214)-1))))</f>
        <v>0</v>
      </c>
      <c r="AB214" s="146">
        <f ca="1">IF(OR($B214&lt;=Setup!$E$12,$B214&gt;=Setup!$D$12+1),0,((YEAR($AC214)*12)+MONTH($AC214))-((YEAR(Setup!$E$12)*12)+MONTH(Setup!$E$12)))</f>
        <v>12</v>
      </c>
      <c r="AC214" s="186">
        <f t="shared" ca="1" si="119"/>
        <v>45351</v>
      </c>
      <c r="AD214" s="144">
        <f ca="1">IF(ISNA(VLOOKUP($C214,EmpAll,COLUMN(Emp!$E$4),0)),$AC214,IF(VLOOKUP($C214,EmpAll,COLUMN(Emp!$E$4),0)&lt;=Setup!$E$12,DATE(YEAR(Setup!$E$12),MONTH(Setup!$E$12)+1,1),VLOOKUP($C214,EmpAll,COLUMN(Emp!$E$4),0)))</f>
        <v>45351</v>
      </c>
      <c r="AE214" s="144" t="str">
        <f ca="1">IF(ISNA(VLOOKUP($C214,EmpAll,COLUMN(Emp!$G$1),0)),"-",IF(VLOOKUP($C214,EmpAll,COLUMN(Emp!$G$1),0)=0,"-",VLOOKUP($C214,EmpAll,COLUMN(Emp!$G$1),0)))</f>
        <v>-</v>
      </c>
      <c r="AF214" s="145">
        <f>IF(A214=PaySlip!$G$3,1,0)</f>
        <v>0</v>
      </c>
      <c r="AG214" s="130" cm="1">
        <f t="array" aca="1" ref="AG214" ca="1">IF(COUNTIFS(OverEmp,$C214,OverMed,"MED",OverDate,"&lt;"&amp;DATE(YEAR($AC214),MONTH($AC214)+1,1),OverEnd,"&gt;="&amp;DATE(YEAR($AC214),MONTH($AC214),1))&gt;0,SUMIFS(OverValue,OverEmp,$C214,OverMed,"MED",OverDate,"&lt;"&amp;DATE(YEAR($AC214),MONTH($AC214)+1,1),OverEnd,"&gt;="&amp;DATE(YEAR($AC214),MONTH($AC214),1)),IF(ISNA(VLOOKUP($C214,EmpAll,COLUMN(Emp!$N$4),0)),0,VLOOKUP($C214,EmpAll,COLUMN(Emp!$N$4),0)))</f>
        <v>0</v>
      </c>
      <c r="AH214" s="146">
        <f ca="1">VLOOKUP($AG214,MedList,COLUMN(Setup!$C$49),1)</f>
        <v>0</v>
      </c>
      <c r="AI214" s="146">
        <f t="shared" ca="1" si="107"/>
        <v>0</v>
      </c>
      <c r="AJ214" s="101" t="str">
        <f ca="1">IF(ISNA(VLOOKUP($C214,EmpAll,COLUMN(Emp!$L$4),0)),"None!",VLOOKUP($C214,EmpAll,COLUMN(Emp!$L$4),0))</f>
        <v>None!</v>
      </c>
      <c r="AK214" s="147">
        <f t="shared" ca="1" si="102"/>
        <v>17235</v>
      </c>
      <c r="AL214" s="101" t="str">
        <f ca="1">IF(ISNA(VLOOKUP($C214,Employees[],COLUMN(Emp!$M$4),0))=TRUE,"Error!",IF(VLOOKUP($C214,Employees[],COLUMN(Emp!$M$4),0)=0,"Yes",VLOOKUP($C214,Employees[],COLUMN(Emp!$M$4),0)))</f>
        <v>Error!</v>
      </c>
      <c r="AM214" s="148">
        <f t="shared" ca="1" si="108"/>
        <v>0</v>
      </c>
      <c r="AN214" s="148" cm="1">
        <f t="array" aca="1" ref="AN214" ca="1">-IF($F214="Terminated",0,IF($AA214=0,0,IF(ISNA(MATCH(AN$5,PayDedList,0)),0,MIN(IF(COUNTIFS(OverEmp,$C214,OverDeduct,AN$5,OverDate,"&lt;"&amp;DATE(YEAR($AC214),MONTH($AC214)+1,1),OverEnd,"&gt;="&amp;DATE(YEAR($AC214),MONTH($AC214),1))&gt;0,SUMPRODUCT((PayEmp=$C214)*(PayDate&lt;=$AC214)*(OFFSET($N$6,1,MATCH(AN$5,PayDedList,0)-1,PayCount,1)))/$AA214*12*AN$3,IF(OR(AN$1="Fixed",AN$1="Not Used"),SUMPRODUCT((PayEmp=$C214)*(PayDate&lt;=$AC214)*(OFFSET($N$6,1,MATCH(AN$5,PayDedList,0)-1,PayCount,1)))/$AA214*12*AN$3,IF(ISNA(MATCH(AN$1,EarnListItem,0))=FALSE,SUMPRODUCT((PayEmp=$C214)*(PayDate&lt;=$AC214)*(OFFSET($N$6,1,MATCH(AN$5,PayDedList,0)-1,PayCount,1)))/$AA214*12*AN$3,(MIN(((SUMPRODUCT((PayEmp=$C214)*(PayDate&lt;=$AC214)*(ISERROR(SEARCH(PayEarnCode,AN$2)))*(PayEarnType="Monthly")*(PayEarnValues))/$AA214*12)+(SUMPRODUCT((PayEmp=$C214)*(PayDate&lt;=$AC214)*(ISERROR(SEARCH(PayEarnCode,AN$2)))*(PayEarnType="Quarterly")*(PayEarnValues))/MAX(1,ROUNDDOWN($AB214/3,0))*4)+(SUMPRODUCT((PayEmp=$C214)*(PayDate&lt;=$AC214)*(ISERROR(SEARCH(PayEarnCode,AN$2)))*(PayEarnType="Bi-Annual")*(PayEarnValues))/MAX(1,ROUNDDOWN($AB214/6,0))*2)+(SUMPRODUCT((PayEmp=$C214)*(PayDate&lt;=$AC214)*(ISERROR(SEARCH(PayEarnCode,AN$2)))*(PayEarnType="Annual")*(PayEarnValues)))),IF(ISNUMBER(OFFSET($N$3,0,MATCH(AN$5,PayDedList,0)-1,1,1)),OFFSET($N$3,0,MATCH(AN$5,PayDedList,0)-1,1,1),IgnoreMin)))*IF(COUNTIFS(EmpNo,$C214,OFFSET(Emp!$R$4,1,MATCH(AN$5,DedListItem,0)-1,EmpCount,1),"&lt;&gt;")&gt;0,VLOOKUP($C214,EmpAll,COLUMN(Emp!$R$4)+MATCH(AN$5,DedListItem,0)-1,0),OFFSET(Setup!$E$73,MATCH(AN$5,DedListItem,0),0,1,1))*AN$3))),IF(ISNUMBER(AN$4),AN$4,IgnoreMin)))))</f>
        <v>0</v>
      </c>
      <c r="AO214" s="148" cm="1">
        <f t="array" aca="1" ref="AO214" ca="1">-IF($F214="Terminated",0,IF($AA214=0,0,IF(ISNA(MATCH(AO$5,PayDedList,0)),0,MIN(IF(COUNTIFS(OverEmp,$C214,OverDeduct,AO$5,OverDate,"&lt;"&amp;DATE(YEAR($AC214),MONTH($AC214)+1,1),OverEnd,"&gt;="&amp;DATE(YEAR($AC214),MONTH($AC214),1))&gt;0,SUMPRODUCT((PayEmp=$C214)*(PayDate&lt;=$AC214)*(OFFSET($N$6,1,MATCH(AO$5,PayDedList,0)-1,PayCount,1)))/$AA214*12*AO$3,IF(OR(AO$1="Fixed",AO$1="Not Used"),SUMPRODUCT((PayEmp=$C214)*(PayDate&lt;=$AC214)*(OFFSET($N$6,1,MATCH(AO$5,PayDedList,0)-1,PayCount,1)))/$AA214*12*AO$3,IF(ISNA(MATCH(AO$1,EarnListItem,0))=FALSE,SUMPRODUCT((PayEmp=$C214)*(PayDate&lt;=$AC214)*(OFFSET($N$6,1,MATCH(AO$5,PayDedList,0)-1,PayCount,1)))/$AA214*12*AO$3,(MIN(((SUMPRODUCT((PayEmp=$C214)*(PayDate&lt;=$AC214)*(ISERROR(SEARCH(PayEarnCode,AO$2)))*(PayEarnType="Monthly")*(PayEarnValues))/$AA214*12)+(SUMPRODUCT((PayEmp=$C214)*(PayDate&lt;=$AC214)*(ISERROR(SEARCH(PayEarnCode,AO$2)))*(PayEarnType="Quarterly")*(PayEarnValues))/MAX(1,ROUNDDOWN($AB214/3,0))*4)+(SUMPRODUCT((PayEmp=$C214)*(PayDate&lt;=$AC214)*(ISERROR(SEARCH(PayEarnCode,AO$2)))*(PayEarnType="Bi-Annual")*(PayEarnValues))/MAX(1,ROUNDDOWN($AB214/6,0))*2)+(SUMPRODUCT((PayEmp=$C214)*(PayDate&lt;=$AC214)*(ISERROR(SEARCH(PayEarnCode,AO$2)))*(PayEarnType="Annual")*(PayEarnValues)))),IF(ISNUMBER(OFFSET($N$3,0,MATCH(AO$5,PayDedList,0)-1,1,1)),OFFSET($N$3,0,MATCH(AO$5,PayDedList,0)-1,1,1),IgnoreMin)))*IF(COUNTIFS(EmpNo,$C214,OFFSET(Emp!$R$4,1,MATCH(AO$5,DedListItem,0)-1,EmpCount,1),"&lt;&gt;")&gt;0,VLOOKUP($C214,EmpAll,COLUMN(Emp!$R$4)+MATCH(AO$5,DedListItem,0)-1,0),OFFSET(Setup!$E$73,MATCH(AO$5,DedListItem,0),0,1,1))*AO$3))),IF(ISNUMBER(AO$4),AO$4,IgnoreMin)))))</f>
        <v>0</v>
      </c>
      <c r="AP214" s="148" cm="1">
        <f t="array" aca="1" ref="AP214" ca="1">-IF($F214="Terminated",0,IF($AA214=0,0,IF(ISNA(MATCH(AP$5,PayDedList,0)),0,MIN(IF(COUNTIFS(OverEmp,$C214,OverDeduct,AP$5,OverDate,"&lt;"&amp;DATE(YEAR($AC214),MONTH($AC214)+1,1),OverEnd,"&gt;="&amp;DATE(YEAR($AC214),MONTH($AC214),1))&gt;0,SUMPRODUCT((PayEmp=$C214)*(PayDate&lt;=$AC214)*(OFFSET($N$6,1,MATCH(AP$5,PayDedList,0)-1,PayCount,1)))/$AA214*12*AP$3,IF(OR(AP$1="Fixed",AP$1="Not Used"),SUMPRODUCT((PayEmp=$C214)*(PayDate&lt;=$AC214)*(OFFSET($N$6,1,MATCH(AP$5,PayDedList,0)-1,PayCount,1)))/$AA214*12*AP$3,IF(ISNA(MATCH(AP$1,EarnListItem,0))=FALSE,SUMPRODUCT((PayEmp=$C214)*(PayDate&lt;=$AC214)*(OFFSET($N$6,1,MATCH(AP$5,PayDedList,0)-1,PayCount,1)))/$AA214*12*AP$3,(MIN(((SUMPRODUCT((PayEmp=$C214)*(PayDate&lt;=$AC214)*(ISERROR(SEARCH(PayEarnCode,AP$2)))*(PayEarnType="Monthly")*(PayEarnValues))/$AA214*12)+(SUMPRODUCT((PayEmp=$C214)*(PayDate&lt;=$AC214)*(ISERROR(SEARCH(PayEarnCode,AP$2)))*(PayEarnType="Quarterly")*(PayEarnValues))/MAX(1,ROUNDDOWN($AB214/3,0))*4)+(SUMPRODUCT((PayEmp=$C214)*(PayDate&lt;=$AC214)*(ISERROR(SEARCH(PayEarnCode,AP$2)))*(PayEarnType="Bi-Annual")*(PayEarnValues))/MAX(1,ROUNDDOWN($AB214/6,0))*2)+(SUMPRODUCT((PayEmp=$C214)*(PayDate&lt;=$AC214)*(ISERROR(SEARCH(PayEarnCode,AP$2)))*(PayEarnType="Annual")*(PayEarnValues)))),IF(ISNUMBER(OFFSET($N$3,0,MATCH(AP$5,PayDedList,0)-1,1,1)),OFFSET($N$3,0,MATCH(AP$5,PayDedList,0)-1,1,1),IgnoreMin)))*IF(COUNTIFS(EmpNo,$C214,OFFSET(Emp!$R$4,1,MATCH(AP$5,DedListItem,0)-1,EmpCount,1),"&lt;&gt;")&gt;0,VLOOKUP($C214,EmpAll,COLUMN(Emp!$R$4)+MATCH(AP$5,DedListItem,0)-1,0),OFFSET(Setup!$E$73,MATCH(AP$5,DedListItem,0),0,1,1))*AP$3))),IF(ISNUMBER(AP$4),AP$4,IgnoreMin)))))</f>
        <v>0</v>
      </c>
      <c r="AQ214" s="148" cm="1">
        <f t="array" aca="1" ref="AQ214" ca="1">-IF($F214="Terminated",0,IF($AA214=0,0,IF(ISNA(MATCH(AQ$5,PayDedList,0)),0,MIN(IF(COUNTIFS(OverEmp,$C214,OverDeduct,AQ$5,OverDate,"&lt;"&amp;DATE(YEAR($AC214),MONTH($AC214)+1,1),OverEnd,"&gt;="&amp;DATE(YEAR($AC214),MONTH($AC214),1))&gt;0,SUMPRODUCT((PayEmp=$C214)*(PayDate&lt;=$AC214)*(OFFSET($N$6,1,MATCH(AQ$5,PayDedList,0)-1,PayCount,1)))/$AA214*12*AQ$3,IF(OR(AQ$1="Fixed",AQ$1="Not Used"),SUMPRODUCT((PayEmp=$C214)*(PayDate&lt;=$AC214)*(OFFSET($N$6,1,MATCH(AQ$5,PayDedList,0)-1,PayCount,1)))/$AA214*12*AQ$3,IF(ISNA(MATCH(AQ$1,EarnListItem,0))=FALSE,SUMPRODUCT((PayEmp=$C214)*(PayDate&lt;=$AC214)*(OFFSET($N$6,1,MATCH(AQ$5,PayDedList,0)-1,PayCount,1)))/$AA214*12*AQ$3,(MIN(((SUMPRODUCT((PayEmp=$C214)*(PayDate&lt;=$AC214)*(ISERROR(SEARCH(PayEarnCode,AQ$2)))*(PayEarnType="Monthly")*(PayEarnValues))/$AA214*12)+(SUMPRODUCT((PayEmp=$C214)*(PayDate&lt;=$AC214)*(ISERROR(SEARCH(PayEarnCode,AQ$2)))*(PayEarnType="Quarterly")*(PayEarnValues))/MAX(1,ROUNDDOWN($AB214/3,0))*4)+(SUMPRODUCT((PayEmp=$C214)*(PayDate&lt;=$AC214)*(ISERROR(SEARCH(PayEarnCode,AQ$2)))*(PayEarnType="Bi-Annual")*(PayEarnValues))/MAX(1,ROUNDDOWN($AB214/6,0))*2)+(SUMPRODUCT((PayEmp=$C214)*(PayDate&lt;=$AC214)*(ISERROR(SEARCH(PayEarnCode,AQ$2)))*(PayEarnType="Annual")*(PayEarnValues)))),IF(ISNUMBER(OFFSET($N$3,0,MATCH(AQ$5,PayDedList,0)-1,1,1)),OFFSET($N$3,0,MATCH(AQ$5,PayDedList,0)-1,1,1),IgnoreMin)))*IF(COUNTIFS(EmpNo,$C214,OFFSET(Emp!$R$4,1,MATCH(AQ$5,DedListItem,0)-1,EmpCount,1),"&lt;&gt;")&gt;0,VLOOKUP($C214,EmpAll,COLUMN(Emp!$R$4)+MATCH(AQ$5,DedListItem,0)-1,0),OFFSET(Setup!$E$73,MATCH(AQ$5,DedListItem,0),0,1,1))*AQ$3))),IF(ISNUMBER(AQ$4),AQ$4,IgnoreMin)))))</f>
        <v>0</v>
      </c>
      <c r="AR214" s="148">
        <f t="shared" ca="1" si="120"/>
        <v>0</v>
      </c>
      <c r="AS214" s="148">
        <f t="shared" ca="1" si="109"/>
        <v>0</v>
      </c>
      <c r="AT214" s="148" cm="1">
        <f t="array" aca="1" ref="AT214" ca="1">-IF($F214="Terminated",0,IF($AA214=0,0,IF(ISNA(MATCH(AT$5,PayDedList,0)),0,MIN(IF(COUNTIFS(OverEmp,$C214,OverDeduct,AT$5,OverDate,"&lt;"&amp;DATE(YEAR($AC214),MONTH($AC214)+1,1),OverEnd,"&gt;="&amp;DATE(YEAR($AC214),MONTH($AC214),1))&gt;0,SUMPRODUCT((PayEmp=$C214)*(PayDate&lt;=$AC214)*(OFFSET($N$6,1,MATCH(AT$5,PayDedList,0)-1,PayCount,1)))/$AA214*12*AT$3,IF(OR(AT$1="Fixed",AT$1="Not Used"),SUMPRODUCT((PayEmp=$C214)*(PayDate&lt;=$AC214)*(OFFSET($N$6,1,MATCH(AT$5,PayDedList,0)-1,PayCount,1)))/$AA214*12*AT$3,IF(ISNA(MATCH(OFFSET($N$2,0,MATCH(AT$5,PayDedList,0)-1,1,1),EarnListItem,0))=FALSE,SUMPRODUCT((PayEmp=$C214)*(PayDate&lt;=$AC214)*(OFFSET($N$6,1,MATCH(AT$5,PayDedList,0)-1,PayCount,1)))/$AA214*12*AT$3,(MIN(SUMPRODUCT((PayEmp=$C214)*(PayDate&lt;=$AC214)*(ISERROR(SEARCH(PayEarnCode,AT$2)))*(PayEarnType="Monthly")*(PayEarnValues))/$AA214*12,IF(ISNUMBER(OFFSET($N$3,0,MATCH(AT$5,PayDedList,0)-1,1,1)),OFFSET($N$3,0,MATCH(AT$5,PayDedList,0)-1,1,1),IgnoreMin)))*IF(COUNTIFS(EmpNo,$C214,OFFSET(Emp!$R$4,1,MATCH(AT$5,DedListItem,0)-1,EmpCount,1),"&lt;&gt;")&gt;0,VLOOKUP($C214,EmpAll,COLUMN(Emp!$R$4)+MATCH(AT$5,DedListItem,0)-1,0),OFFSET(Setup!$E$73,MATCH(AT$5,DedListItem,0),0,1,1))*AT$3))),IF(ISNUMBER(AT$4),AT$4,IgnoreMin)))))</f>
        <v>0</v>
      </c>
      <c r="AU214" s="148" cm="1">
        <f t="array" aca="1" ref="AU214" ca="1">-IF($F214="Terminated",0,IF($AA214=0,0,IF(ISNA(MATCH(AU$5,PayDedList,0)),0,MIN(IF(COUNTIFS(OverEmp,$C214,OverDeduct,AU$5,OverDate,"&lt;"&amp;DATE(YEAR($AC214),MONTH($AC214)+1,1),OverEnd,"&gt;="&amp;DATE(YEAR($AC214),MONTH($AC214),1))&gt;0,SUMPRODUCT((PayEmp=$C214)*(PayDate&lt;=$AC214)*(OFFSET($N$6,1,MATCH(AU$5,PayDedList,0)-1,PayCount,1)))/$AA214*12*AU$3,IF(OR(AU$1="Fixed",AU$1="Not Used"),SUMPRODUCT((PayEmp=$C214)*(PayDate&lt;=$AC214)*(OFFSET($N$6,1,MATCH(AU$5,PayDedList,0)-1,PayCount,1)))/$AA214*12*AU$3,IF(ISNA(MATCH(OFFSET($N$2,0,MATCH(AU$5,PayDedList,0)-1,1,1),EarnListItem,0))=FALSE,SUMPRODUCT((PayEmp=$C214)*(PayDate&lt;=$AC214)*(OFFSET($N$6,1,MATCH(AU$5,PayDedList,0)-1,PayCount,1)))/$AA214*12*AU$3,(MIN(SUMPRODUCT((PayEmp=$C214)*(PayDate&lt;=$AC214)*(ISERROR(SEARCH(PayEarnCode,AU$2)))*(PayEarnType="Monthly")*(PayEarnValues))/$AA214*12,IF(ISNUMBER(OFFSET($N$3,0,MATCH(AU$5,PayDedList,0)-1,1,1)),OFFSET($N$3,0,MATCH(AU$5,PayDedList,0)-1,1,1),IgnoreMin)))*IF(COUNTIFS(EmpNo,$C214,OFFSET(Emp!$R$4,1,MATCH(AU$5,DedListItem,0)-1,EmpCount,1),"&lt;&gt;")&gt;0,VLOOKUP($C214,EmpAll,COLUMN(Emp!$R$4)+MATCH(AU$5,DedListItem,0)-1,0),OFFSET(Setup!$E$73,MATCH(AU$5,DedListItem,0),0,1,1))*AU$3))),IF(ISNUMBER(AU$4),AU$4,IgnoreMin)))))</f>
        <v>0</v>
      </c>
      <c r="AV214" s="148" cm="1">
        <f t="array" aca="1" ref="AV214" ca="1">-IF($F214="Terminated",0,IF($AA214=0,0,IF(ISNA(MATCH(AV$5,PayDedList,0)),0,MIN(IF(COUNTIFS(OverEmp,$C214,OverDeduct,AV$5,OverDate,"&lt;"&amp;DATE(YEAR($AC214),MONTH($AC214)+1,1),OverEnd,"&gt;="&amp;DATE(YEAR($AC214),MONTH($AC214),1))&gt;0,SUMPRODUCT((PayEmp=$C214)*(PayDate&lt;=$AC214)*(OFFSET($N$6,1,MATCH(AV$5,PayDedList,0)-1,PayCount,1)))/$AA214*12*AV$3,IF(OR(AV$1="Fixed",AV$1="Not Used"),SUMPRODUCT((PayEmp=$C214)*(PayDate&lt;=$AC214)*(OFFSET($N$6,1,MATCH(AV$5,PayDedList,0)-1,PayCount,1)))/$AA214*12*AV$3,IF(ISNA(MATCH(OFFSET($N$2,0,MATCH(AV$5,PayDedList,0)-1,1,1),EarnListItem,0))=FALSE,SUMPRODUCT((PayEmp=$C214)*(PayDate&lt;=$AC214)*(OFFSET($N$6,1,MATCH(AV$5,PayDedList,0)-1,PayCount,1)))/$AA214*12*AV$3,(MIN(SUMPRODUCT((PayEmp=$C214)*(PayDate&lt;=$AC214)*(ISERROR(SEARCH(PayEarnCode,AV$2)))*(PayEarnType="Monthly")*(PayEarnValues))/$AA214*12,IF(ISNUMBER(OFFSET($N$3,0,MATCH(AV$5,PayDedList,0)-1,1,1)),OFFSET($N$3,0,MATCH(AV$5,PayDedList,0)-1,1,1),IgnoreMin)))*IF(COUNTIFS(EmpNo,$C214,OFFSET(Emp!$R$4,1,MATCH(AV$5,DedListItem,0)-1,EmpCount,1),"&lt;&gt;")&gt;0,VLOOKUP($C214,EmpAll,COLUMN(Emp!$R$4)+MATCH(AV$5,DedListItem,0)-1,0),OFFSET(Setup!$E$73,MATCH(AV$5,DedListItem,0),0,1,1))*AV$3))),IF(ISNUMBER(AV$4),AV$4,IgnoreMin)))))</f>
        <v>0</v>
      </c>
      <c r="AW214" s="148" cm="1">
        <f t="array" aca="1" ref="AW214" ca="1">-IF($F214="Terminated",0,IF($AA214=0,0,IF(ISNA(MATCH(AW$5,PayDedList,0)),0,MIN(IF(COUNTIFS(OverEmp,$C214,OverDeduct,AW$5,OverDate,"&lt;"&amp;DATE(YEAR($AC214),MONTH($AC214)+1,1),OverEnd,"&gt;="&amp;DATE(YEAR($AC214),MONTH($AC214),1))&gt;0,SUMPRODUCT((PayEmp=$C214)*(PayDate&lt;=$AC214)*(OFFSET($N$6,1,MATCH(AW$5,PayDedList,0)-1,PayCount,1)))/$AA214*12*AW$3,IF(OR(AW$1="Fixed",AW$1="Not Used"),SUMPRODUCT((PayEmp=$C214)*(PayDate&lt;=$AC214)*(OFFSET($N$6,1,MATCH(AW$5,PayDedList,0)-1,PayCount,1)))/$AA214*12*AW$3,IF(ISNA(MATCH(OFFSET($N$2,0,MATCH(AW$5,PayDedList,0)-1,1,1),EarnListItem,0))=FALSE,SUMPRODUCT((PayEmp=$C214)*(PayDate&lt;=$AC214)*(OFFSET($N$6,1,MATCH(AW$5,PayDedList,0)-1,PayCount,1)))/$AA214*12*AW$3,(MIN(SUMPRODUCT((PayEmp=$C214)*(PayDate&lt;=$AC214)*(ISERROR(SEARCH(PayEarnCode,AW$2)))*(PayEarnType="Monthly")*(PayEarnValues))/$AA214*12,IF(ISNUMBER(OFFSET($N$3,0,MATCH(AW$5,PayDedList,0)-1,1,1)),OFFSET($N$3,0,MATCH(AW$5,PayDedList,0)-1,1,1),IgnoreMin)))*IF(COUNTIFS(EmpNo,$C214,OFFSET(Emp!$R$4,1,MATCH(AW$5,DedListItem,0)-1,EmpCount,1),"&lt;&gt;")&gt;0,VLOOKUP($C214,EmpAll,COLUMN(Emp!$R$4)+MATCH(AW$5,DedListItem,0)-1,0),OFFSET(Setup!$E$73,MATCH(AW$5,DedListItem,0),0,1,1))*AW$3))),IF(ISNUMBER(AW$4),AW$4,IgnoreMin)))))</f>
        <v>0</v>
      </c>
      <c r="AX214" s="148">
        <f t="shared" ca="1" si="121"/>
        <v>0</v>
      </c>
      <c r="AY214" s="148">
        <f t="shared" ca="1" si="122"/>
        <v>0</v>
      </c>
      <c r="AZ214" s="148">
        <f ca="1">IF(ISNUMBER($AL214),($AR214*$AL214)-$AI214-$AK214,MAX(0,IF($AL214="B",IF($AR214&lt;Setup!$C$32,($AR214*Setup!$D$32)-$AI214-$AK214,(($AR214-VLOOKUP($AR214,TaxAll2,1,1))*OFFSET(Setup!$D$32,MATCH($AR214,TaxBracket2,1),0,1,1))+OFFSET(Setup!$E$31,MATCH($AR214,TaxBracket2,1),0,1,1)-$AI214-$AK214),IF($AR214&lt;Setup!$C$21,($AR214*Setup!$D$21)-$AI214-$AK214,(($AR214-VLOOKUP($AR214,TaxAll1,1,1))*OFFSET(Setup!$D$21,MATCH($AR214,TaxBracket1,1),0,1,1))+OFFSET(Setup!$E$20,MATCH($AR214,TaxBracket1,1),0,1,1)-$AI214-$AK214))))</f>
        <v>0</v>
      </c>
      <c r="BA214" s="148">
        <f ca="1">IF(ISNUMBER($AL214),($AX214*$AL214)-$AI214-$AK214,MAX(0,IF($AL214="B",IF($AX214&lt;Setup!$C$32,($AX214*Setup!$D$32)-$AI214-$AK214,(($AX214-VLOOKUP($AX214,TaxAll2,1,1))*OFFSET(Setup!$D$32,MATCH($AX214,TaxBracket2,1),0,1,1))+OFFSET(Setup!$E$31,MATCH($AX214,TaxBracket2,1),0,1,1)-$AI214-$AK214),IF($AX214&lt;Setup!$C$21,($AX214*Setup!$D$21)-$AI214-$AK214,(($AX214-VLOOKUP($AX214,TaxAll1,1,1))*OFFSET(Setup!$D$21,MATCH($AX214,TaxBracket1,1),0,1,1))+OFFSET(Setup!$E$20,MATCH($AX214,TaxBracket1,1),0,1,1)-$AI214-$AK214))))</f>
        <v>0</v>
      </c>
      <c r="BB214" s="148">
        <f t="shared" ca="1" si="123"/>
        <v>0</v>
      </c>
      <c r="BC214" s="150">
        <f t="shared" ca="1" si="110"/>
        <v>0</v>
      </c>
      <c r="BD214" s="150">
        <f t="shared" ca="1" si="111"/>
        <v>0</v>
      </c>
      <c r="BE214" s="148">
        <f t="shared" ca="1" si="112"/>
        <v>0</v>
      </c>
    </row>
    <row r="215" spans="1:57" ht="16.149999999999999" customHeight="1" x14ac:dyDescent="0.25">
      <c r="A215" s="10" t="str" cm="1">
        <f t="array" ref="A215">IF(ROW($A215)-ROW($A$6)&gt;EmpCount*12,"-",TEXT($B215,"yyyy")&amp;TEXT($B215,"mm")&amp;"-"&amp;$C215)</f>
        <v>-</v>
      </c>
      <c r="B215" s="137" cm="1">
        <f t="array" aca="1" ref="B215" ca="1">IF(ROW($A215)-ROW($A$6)&gt;EmpCount*12,Setup!$D$12,DATE(YEAR(Setup!$F$12),MONTH(Setup!$F$12)+ROUNDDOWN((ROW($A215)-ROW($A$6)-1)/EmpCount,0),IF(Setup!$C$14&gt;DAY(DATE(YEAR(Setup!$F$12),MONTH(Setup!$F$12)+ROUNDDOWN((ROW($A215)-ROW($A$6)-1)/EmpCount,0)+1,0)),DAY(DATE(YEAR(Setup!$F$12),MONTH(Setup!$F$12)+ROUNDDOWN((ROW($A215)-ROW($A$6)-1)/EmpCount,0)+1,0)),Setup!$C$14)))</f>
        <v>45351</v>
      </c>
      <c r="C215" s="101" t="str" cm="1">
        <f t="array" aca="1" ref="C215" ca="1">IF(ROW($A215)-ROW($A$6)&gt;EmpCount*12,"-",OFFSET(Emp!$A$4,ROW($A215)-ROW($A$6)-IF(ROW($A215)-ROW($A$6)&gt;EmpCount,ROUNDDOWN((ROW($A215)-ROW($A$6)-1)/EmpCount,0)*EmpCount,0),0,1,1))</f>
        <v>-</v>
      </c>
      <c r="D215" s="10" t="str">
        <f ca="1">IF(ISNA(VLOOKUP($C215,EmpAll,COLUMN(Emp!$B$4),0)),"-",VLOOKUP($C215,EmpAll,COLUMN(Emp!$B$4),0))</f>
        <v>-</v>
      </c>
      <c r="E215" s="145" t="str">
        <f ca="1">IF(ISNA(VLOOKUP($C215,EmpAll,COLUMN(Emp!$C$4),0)),"-",VLOOKUP($C215,EmpAll,COLUMN(Emp!$C$4),0))</f>
        <v>-</v>
      </c>
      <c r="F215" s="101" t="str">
        <f ca="1">IF(ISNA(VLOOKUP($C215,EmpAll,COLUMN(Emp!$A$4),0)),"-",IF(AND(VLOOKUP($C215,EmpAll,COLUMN(Emp!$E$4),0)&lt;&gt;0,VLOOKUP($C215,EmpAll,COLUMN(Emp!$E$4),0)&gt;=DATE(YEAR($AC215),MONTH($AC215)+1,0)),"Inactive",IF(AND(VLOOKUP($C215,EmpAll,COLUMN(Emp!$F$4),0)&lt;&gt;0,VLOOKUP($C215,EmpAll,COLUMN(Emp!$F$4),0)&lt;=DATE(YEAR($AC215),MONTH($AC215),0)),"Terminated","Active")))</f>
        <v>-</v>
      </c>
      <c r="G215" s="133" cm="1">
        <f t="array" aca="1" ref="G215" ca="1">IF($F215&lt;&gt;"Active",0,IF(COUNTIFS(OverEmp,$C215,OverEarn,G$2,OverDate,"&lt;"&amp;DATE(YEAR($AC215),MONTH($AC215)+1,1),OverEnd,"&gt;="&amp;DATE(YEAR($AC215),MONTH($AC215),1))&gt;0,SUMIFS(OverValue,OverEmp,$C215,OverEarn,G$2,OverDate,"&lt;"&amp;DATE(YEAR($AC215),MONTH($AC215)+1,1),OverEnd,"&gt;="&amp;DATE(YEAR($AC215),MONTH($AC215),1)),IF(AND($AC215&gt;=Setup!$E$10,SUMIFS(EmpIncrease,EmpCode,$C215)&gt;0),SUMIFS(EmpIncrease,EmpCode,$C215),SUMIFS(EmpSalary,EmpCode,$C215))))</f>
        <v>0</v>
      </c>
      <c r="H215" s="133" cm="1">
        <f t="array" aca="1" ref="H215" ca="1">IF($F215&lt;&gt;"Active",0,IF(COUNTIFS(OverEmp,$C215,OverEarn,H$2,OverDate,"&lt;"&amp;DATE(YEAR($AC215),MONTH($AC215)+1,1),OverEnd,"&gt;="&amp;DATE(YEAR($AC215),MONTH($AC215),1))&gt;0,SUMIFS(OverValue,OverEmp,$C215,OverEarn,H$2,OverDate,"&lt;"&amp;DATE(YEAR($AC215),MONTH($AC215)+1,1),OverEnd,"&gt;="&amp;DATE(YEAR($AC215),MONTH($AC215),1)),0))</f>
        <v>0</v>
      </c>
      <c r="I215" s="133" cm="1">
        <f t="array" aca="1" ref="I215" ca="1">IF($F215&lt;&gt;"Active",0,IF(COUNTIFS(OverEmp,$C215,OverEarn,I$2,OverDate,"&lt;"&amp;DATE(YEAR($AC215),MONTH($AC215)+1,1),OverEnd,"&gt;="&amp;DATE(YEAR($AC215),MONTH($AC215),1))&gt;0,SUMIFS(OverValue,OverEmp,$C215,OverEarn,I$2,OverDate,"&lt;"&amp;DATE(YEAR($AC215),MONTH($AC215)+1,1),OverEnd,"&gt;="&amp;DATE(YEAR($AC215),MONTH($AC215),1)),IF(MONTH(B215)=Setup!$C$15,SUMIFS(EmpBonus,EmpCode,$C215),0)))</f>
        <v>0</v>
      </c>
      <c r="J215" s="133" cm="1">
        <f t="array" aca="1" ref="J215" ca="1">IF($F215&lt;&gt;"Active",0,IF(COUNTIFS(OverEmp,$C215,OverEarn,J$2,OverDate,"&lt;"&amp;DATE(YEAR($AC215),MONTH($AC215)+1,1),OverEnd,"&gt;="&amp;DATE(YEAR($AC215),MONTH($AC215),1))&gt;0,SUMIFS(OverValue,OverEmp,$C215,OverEarn,J$2,OverDate,"&lt;"&amp;DATE(YEAR($AC215),MONTH($AC215)+1,1),OverEnd,"&gt;="&amp;DATE(YEAR($AC215),MONTH($AC215),1)),0))</f>
        <v>0</v>
      </c>
      <c r="K215" s="133" cm="1">
        <f t="array" aca="1" ref="K215" ca="1">IF($F215&lt;&gt;"Active",0,IF(COUNTIFS(OverEmp,$C215,OverEarn,K$2,OverDate,"&lt;"&amp;DATE(YEAR($AC215),MONTH($AC215)+1,1),OverEnd,"&gt;="&amp;DATE(YEAR($AC215),MONTH($AC215),1))&gt;0,SUMIFS(OverValue,OverEmp,$C215,OverEarn,K$2,OverDate,"&lt;"&amp;DATE(YEAR($AC215),MONTH($AC215)+1,1),OverEnd,"&gt;="&amp;DATE(YEAR($AC215),MONTH($AC215),1)),0))</f>
        <v>0</v>
      </c>
      <c r="L215" s="185">
        <f t="shared" ca="1" si="113"/>
        <v>0</v>
      </c>
      <c r="M215" s="182" cm="1">
        <f t="array" aca="1" ref="M215" ca="1">IF(COUNTIFS(OverEmp,$C215,OverTax,M$5,OverDate,"&lt;"&amp;DATE(YEAR($AC215),MONTH($AC215)+1,1),OverEnd,"&gt;="&amp;DATE(YEAR($AC215),MONTH($AC215),1))&gt;0,SUMIFS(OverValue,OverEmp,$C215,OverTax,M$5,OverDate,"&lt;"&amp;DATE(YEAR($AC215),MONTH($AC215)+1,1),OverEnd,"&gt;="&amp;DATE(YEAR($AC215),MONTH($AC215),1)),(($BA215/12*$AA215)+(BB215*IF(1-$BC215=0,0,BD215/(1-$BC215))))-IF($F215="Terminated",0,SUMIFS(PayTaxDeduct,PayDate,"&lt;"&amp;$AC215,PayEmp,$C215)))</f>
        <v>0</v>
      </c>
      <c r="N215" s="133" cm="1">
        <f t="array" aca="1" ref="N215" ca="1">IF($F215="Terminated",0,IF($AA215=0,0,IF(ISNA(MATCH(N$5,DedListItem,0)),0,IF(COUNTIFS(OverEmp,$C215,OverDeduct,N$5,OverDate,"&lt;"&amp;DATE(YEAR($AC215),MONTH($AC215)+1,1),OverEnd,"&gt;="&amp;DATE(YEAR($AC215),MONTH($AC215),1))&gt;0,SUMIFS(OverValue,OverEmp,$C215,OverDeduct,N$5,OverDate,"&lt;"&amp;DATE(YEAR($AC215),MONTH($AC215)+1,1),OverEnd,"&gt;="&amp;DATE(YEAR($AC215),MONTH($AC215),1)),IF(OR(N$2="Fixed",N$2="Not Used"),(IF(COUNTIFS(EmpNo,$C215,OFFSET(Emp!$R$4,1,MATCH(N$5,DedListItem,0)-1,EmpCount,1),"&lt;&gt;")&gt;0,VLOOKUP($C215,EmpAll,COLUMN(Emp!$R$4)+MATCH(N$5,DedListItem,0)-1,0),OFFSET(Setup!$E$73,MATCH(N$5,DedListItem,0),0,1,1))*$AA215)-SUMIFS(OFFSET(N$6,1,0,PayCount,1),PayDate,"&lt;"&amp;$AC215,PayEmp,$C215),IF(ISNA(MATCH(N$2,EarnListItem,0))=FALSE,IF(OFFSET(Setup!$G$73,MATCH(N$5,DedListItem,0),0,1,1)="Taxable",SUMPRODUCT((PayEmp=$C215)*(PayDate&lt;=$AC215)*(PayEarnCode=N$2)*(PayEarnTax)*(PayEarnValues)),SUMPRODUCT((PayEmp=$C215)*(PayDate&lt;=$AC215)*(PayEarnCode=N$2)*(PayEarnValues)))*IF(COUNTIFS(EmpNo,$C215,OFFSET(Emp!$R$4,1,MATCH(N$5,DedListItem,0)-1,EmpCount,1),"&lt;&gt;")&gt;0,VLOOKUP($C215,EmpAll,COLUMN(Emp!$R$4)+MATCH(N$5,DedListItem,0)-1,0),OFFSET(Setup!$E$73,MATCH(N$5,DedListItem,0),0,1,1)),(MIN(IF(OFFSET(Setup!$G$73,MATCH(N$5,DedListItem,0),0,1,1)="Taxable",SUMPRODUCT((PayEmp=$C215)*(PayDate&lt;=$AC215)*(ISERROR(SEARCH(PayEarnCode,N$4)))*(PayEarnTax)*(PayEarnValues)),SUMPRODUCT((PayEmp=$C215)*(PayDate&lt;=$AC215)*(ISERROR(SEARCH(PayEarnCode,N$4)))*(PayEarnValues))),IF(ISNUMBER(N$3),N$3/12*$AA215,IgnoreMin)))*IF(COUNTIFS(EmpNo,$C215,OFFSET(Emp!$R$4,1,MATCH(N$5,DedListItem,0)-1,EmpCount,1),"&lt;&gt;")&gt;0,VLOOKUP($C215,EmpAll,COLUMN(Emp!$R$4)+MATCH(N$5,DedListItem,0)-1,0),OFFSET(Setup!$E$73,MATCH(N$5,DedListItem,0),0,1,1)))-SUMIFS(OFFSET(N$6,1,0,PayCount,1),PayDate,"&lt;"&amp;$AC215,PayEmp,$C215))))))</f>
        <v>0</v>
      </c>
      <c r="O215" s="133" cm="1">
        <f t="array" aca="1" ref="O215" ca="1">IF($F215="Terminated",0,IF($AA215=0,0,IF(ISNA(MATCH(O$5,DedListItem,0)),0,IF(COUNTIFS(OverEmp,$C215,OverDeduct,O$5,OverDate,"&lt;"&amp;DATE(YEAR($AC215),MONTH($AC215)+1,1),OverEnd,"&gt;="&amp;DATE(YEAR($AC215),MONTH($AC215),1))&gt;0,SUMIFS(OverValue,OverEmp,$C215,OverDeduct,O$5,OverDate,"&lt;"&amp;DATE(YEAR($AC215),MONTH($AC215)+1,1),OverEnd,"&gt;="&amp;DATE(YEAR($AC215),MONTH($AC215),1)),IF(OR(O$2="Fixed",O$2="Not Used"),(IF(COUNTIFS(EmpNo,$C215,OFFSET(Emp!$R$4,1,MATCH(O$5,DedListItem,0)-1,EmpCount,1),"&lt;&gt;")&gt;0,VLOOKUP($C215,EmpAll,COLUMN(Emp!$R$4)+MATCH(O$5,DedListItem,0)-1,0),OFFSET(Setup!$E$73,MATCH(O$5,DedListItem,0),0,1,1))*$AA215)-SUMIFS(OFFSET(O$6,1,0,PayCount,1),PayDate,"&lt;"&amp;$AC215,PayEmp,$C215),IF(ISNA(MATCH(O$2,EarnListItem,0))=FALSE,IF(OFFSET(Setup!$G$73,MATCH(O$5,DedListItem,0),0,1,1)="Taxable",SUMPRODUCT((PayEmp=$C215)*(PayDate&lt;=$AC215)*(PayEarnCode=O$2)*(PayEarnTax)*(PayEarnValues)),SUMPRODUCT((PayEmp=$C215)*(PayDate&lt;=$AC215)*(PayEarnCode=O$2)*(PayEarnValues)))*IF(COUNTIFS(EmpNo,$C215,OFFSET(Emp!$R$4,1,MATCH(O$5,DedListItem,0)-1,EmpCount,1),"&lt;&gt;")&gt;0,VLOOKUP($C215,EmpAll,COLUMN(Emp!$R$4)+MATCH(O$5,DedListItem,0)-1,0),OFFSET(Setup!$E$73,MATCH(O$5,DedListItem,0),0,1,1)),(MIN(IF(OFFSET(Setup!$G$73,MATCH(O$5,DedListItem,0),0,1,1)="Taxable",SUMPRODUCT((PayEmp=$C215)*(PayDate&lt;=$AC215)*(ISERROR(SEARCH(PayEarnCode,O$4)))*(PayEarnTax)*(PayEarnValues)),SUMPRODUCT((PayEmp=$C215)*(PayDate&lt;=$AC215)*(ISERROR(SEARCH(PayEarnCode,O$4)))*(PayEarnValues))),IF(ISNUMBER(O$3),O$3/12*$AA215,IgnoreMin)))*IF(COUNTIFS(EmpNo,$C215,OFFSET(Emp!$R$4,1,MATCH(O$5,DedListItem,0)-1,EmpCount,1),"&lt;&gt;")&gt;0,VLOOKUP($C215,EmpAll,COLUMN(Emp!$R$4)+MATCH(O$5,DedListItem,0)-1,0),OFFSET(Setup!$E$73,MATCH(O$5,DedListItem,0),0,1,1)))-SUMIFS(OFFSET(O$6,1,0,PayCount,1),PayDate,"&lt;"&amp;$AC215,PayEmp,$C215))))))</f>
        <v>0</v>
      </c>
      <c r="P215" s="133" cm="1">
        <f t="array" aca="1" ref="P215" ca="1">IF($F215="Terminated",0,IF($AA215=0,0,IF(ISNA(MATCH(P$5,DedListItem,0)),0,IF(COUNTIFS(OverEmp,$C215,OverDeduct,P$5,OverDate,"&lt;"&amp;DATE(YEAR($AC215),MONTH($AC215)+1,1),OverEnd,"&gt;="&amp;DATE(YEAR($AC215),MONTH($AC215),1))&gt;0,SUMIFS(OverValue,OverEmp,$C215,OverDeduct,P$5,OverDate,"&lt;"&amp;DATE(YEAR($AC215),MONTH($AC215)+1,1),OverEnd,"&gt;="&amp;DATE(YEAR($AC215),MONTH($AC215),1)),IF(OR(P$2="Fixed",P$2="Not Used"),(IF(COUNTIFS(EmpNo,$C215,OFFSET(Emp!$R$4,1,MATCH(P$5,DedListItem,0)-1,EmpCount,1),"&lt;&gt;")&gt;0,VLOOKUP($C215,EmpAll,COLUMN(Emp!$R$4)+MATCH(P$5,DedListItem,0)-1,0),OFFSET(Setup!$E$73,MATCH(P$5,DedListItem,0),0,1,1))*$AA215)-SUMIFS(OFFSET(P$6,1,0,PayCount,1),PayDate,"&lt;"&amp;$AC215,PayEmp,$C215),IF(ISNA(MATCH(P$2,EarnListItem,0))=FALSE,IF(OFFSET(Setup!$G$73,MATCH(P$5,DedListItem,0),0,1,1)="Taxable",SUMPRODUCT((PayEmp=$C215)*(PayDate&lt;=$AC215)*(PayEarnCode=P$2)*(PayEarnTax)*(PayEarnValues)),SUMPRODUCT((PayEmp=$C215)*(PayDate&lt;=$AC215)*(PayEarnCode=P$2)*(PayEarnValues)))*IF(COUNTIFS(EmpNo,$C215,OFFSET(Emp!$R$4,1,MATCH(P$5,DedListItem,0)-1,EmpCount,1),"&lt;&gt;")&gt;0,VLOOKUP($C215,EmpAll,COLUMN(Emp!$R$4)+MATCH(P$5,DedListItem,0)-1,0),OFFSET(Setup!$E$73,MATCH(P$5,DedListItem,0),0,1,1)),(MIN(IF(OFFSET(Setup!$G$73,MATCH(P$5,DedListItem,0),0,1,1)="Taxable",SUMPRODUCT((PayEmp=$C215)*(PayDate&lt;=$AC215)*(ISERROR(SEARCH(PayEarnCode,P$4)))*(PayEarnTax)*(PayEarnValues)),SUMPRODUCT((PayEmp=$C215)*(PayDate&lt;=$AC215)*(ISERROR(SEARCH(PayEarnCode,P$4)))*(PayEarnValues))),IF(ISNUMBER(P$3),P$3/12*$AA215,IgnoreMin)))*IF(COUNTIFS(EmpNo,$C215,OFFSET(Emp!$R$4,1,MATCH(P$5,DedListItem,0)-1,EmpCount,1),"&lt;&gt;")&gt;0,VLOOKUP($C215,EmpAll,COLUMN(Emp!$R$4)+MATCH(P$5,DedListItem,0)-1,0),OFFSET(Setup!$E$73,MATCH(P$5,DedListItem,0),0,1,1)))-SUMIFS(OFFSET(P$6,1,0,PayCount,1),PayDate,"&lt;"&amp;$AC215,PayEmp,$C215))))))</f>
        <v>0</v>
      </c>
      <c r="Q215" s="133" cm="1">
        <f t="array" aca="1" ref="Q215" ca="1">IF($F215="Terminated",0,IF($AA215=0,0,IF(ISNA(MATCH(Q$5,DedListItem,0)),0,IF(COUNTIFS(OverEmp,$C215,OverDeduct,Q$5,OverDate,"&lt;"&amp;DATE(YEAR($AC215),MONTH($AC215)+1,1),OverEnd,"&gt;="&amp;DATE(YEAR($AC215),MONTH($AC215),1))&gt;0,SUMIFS(OverValue,OverEmp,$C215,OverDeduct,Q$5,OverDate,"&lt;"&amp;DATE(YEAR($AC215),MONTH($AC215)+1,1),OverEnd,"&gt;="&amp;DATE(YEAR($AC215),MONTH($AC215),1)),IF(OR(Q$2="Fixed",Q$2="Not Used"),(IF(COUNTIFS(EmpNo,$C215,OFFSET(Emp!$R$4,1,MATCH(Q$5,DedListItem,0)-1,EmpCount,1),"&lt;&gt;")&gt;0,VLOOKUP($C215,EmpAll,COLUMN(Emp!$R$4)+MATCH(Q$5,DedListItem,0)-1,0),OFFSET(Setup!$E$73,MATCH(Q$5,DedListItem,0),0,1,1))*$AA215)-SUMIFS(OFFSET(Q$6,1,0,PayCount,1),PayDate,"&lt;"&amp;$AC215,PayEmp,$C215),IF(ISNA(MATCH(Q$2,EarnListItem,0))=FALSE,IF(OFFSET(Setup!$G$73,MATCH(Q$5,DedListItem,0),0,1,1)="Taxable",SUMPRODUCT((PayEmp=$C215)*(PayDate&lt;=$AC215)*(PayEarnCode=Q$2)*(PayEarnTax)*(PayEarnValues)),SUMPRODUCT((PayEmp=$C215)*(PayDate&lt;=$AC215)*(PayEarnCode=Q$2)*(PayEarnValues)))*IF(COUNTIFS(EmpNo,$C215,OFFSET(Emp!$R$4,1,MATCH(Q$5,DedListItem,0)-1,EmpCount,1),"&lt;&gt;")&gt;0,VLOOKUP($C215,EmpAll,COLUMN(Emp!$R$4)+MATCH(Q$5,DedListItem,0)-1,0),OFFSET(Setup!$E$73,MATCH(Q$5,DedListItem,0),0,1,1)),(MIN(IF(OFFSET(Setup!$G$73,MATCH(Q$5,DedListItem,0),0,1,1)="Taxable",SUMPRODUCT((PayEmp=$C215)*(PayDate&lt;=$AC215)*(ISERROR(SEARCH(PayEarnCode,Q$4)))*(PayEarnTax)*(PayEarnValues)),SUMPRODUCT((PayEmp=$C215)*(PayDate&lt;=$AC215)*(ISERROR(SEARCH(PayEarnCode,Q$4)))*(PayEarnValues))),IF(ISNUMBER(Q$3),Q$3/12*$AA215,IgnoreMin)))*IF(COUNTIFS(EmpNo,$C215,OFFSET(Emp!$R$4,1,MATCH(Q$5,DedListItem,0)-1,EmpCount,1),"&lt;&gt;")&gt;0,VLOOKUP($C215,EmpAll,COLUMN(Emp!$R$4)+MATCH(Q$5,DedListItem,0)-1,0),OFFSET(Setup!$E$73,MATCH(Q$5,DedListItem,0),0,1,1)))-SUMIFS(OFFSET(Q$6,1,0,PayCount,1),PayDate,"&lt;"&amp;$AC215,PayEmp,$C215))))))</f>
        <v>0</v>
      </c>
      <c r="R215" s="185">
        <f t="shared" ca="1" si="114"/>
        <v>0</v>
      </c>
      <c r="S215" s="139">
        <f t="shared" ca="1" si="115"/>
        <v>0</v>
      </c>
      <c r="T215" s="133" cm="1">
        <f t="array" aca="1" ref="T215" ca="1">IF($F215="Terminated",0,IF($AA215=0,0,IF(ISNA(MATCH(T$5,CompListItem,0)),0,IF(COUNTIFS(OverEmp,$C215,OverComp,T$5,OverDate,"&lt;"&amp;DATE(YEAR($AC215),MONTH($AC215)+1,1),OverEnd,"&gt;="&amp;DATE(YEAR($AC215),MONTH($AC215),1))&gt;0,SUMIFS(OverValue,OverEmp,$C215,OverComp,T$5,OverDate,"&lt;"&amp;DATE(YEAR($AC215),MONTH($AC215)+1,1),OverEnd,"&gt;="&amp;DATE(YEAR($AC215),MONTH($AC215),1)),IF(OR(T$2="Fixed",T$2="Not Used"),(OFFSET(Setup!$E$81,MATCH(T$5,CompListItem,0),0,1,1)*$AA215)-SUMIFS(OFFSET(T$6,1,0,PayCount,1),PayDate,"&lt;"&amp;$AC215,PayEmp,$C215),IF(ISNA(MATCH(T$2,DedListItem,0))=FALSE,(SUMPRODUCT((PayEmp=$C215)*(PayDate&lt;=$AC215)*(PayDedList=T$2)*(PayDedValues))*OFFSET(Setup!$E$81,MATCH(T$5,CompListItem,0),0,1,1))-SUMIFS(OFFSET(T$6,1,0,PayCount,1),PayDate,"&lt;"&amp;$AC215,PayEmp,$C215),(MIN(IF(OFFSET(Setup!$G$81,MATCH(T$5,CompListItem,0),0,1,1)="Taxable",SUMPRODUCT((PayEmp=$C215)*(PayDate&lt;=$AC215)*(ISERROR(SEARCH(PayEarnCode,T$4)))*(PayEarnTax)*(PayEarnValues)),SUMPRODUCT((PayEmp=$C215)*(PayDate&lt;=$AC215)*(ISERROR(SEARCH(PayEarnCode,T$4)))*(PayEarnValues))),IF(ISNUMBER(T$3),T$3/12*$AA215,IgnoreMin)))*OFFSET(Setup!$E$81,MATCH(T$5,CompListItem,0),0,1,1)-SUMIFS(OFFSET(T$6,1,0,PayCount,1),PayDate,"&lt;"&amp;$AC215,PayEmp,$C215)))))))</f>
        <v>0</v>
      </c>
      <c r="U215" s="133" cm="1">
        <f t="array" aca="1" ref="U215" ca="1">IF($F215="Terminated",0,IF($AA215=0,0,IF(ISNA(MATCH(U$5,CompListItem,0)),0,IF(COUNTIFS(OverEmp,$C215,OverComp,U$5,OverDate,"&lt;"&amp;DATE(YEAR($AC215),MONTH($AC215)+1,1),OverEnd,"&gt;="&amp;DATE(YEAR($AC215),MONTH($AC215),1))&gt;0,SUMIFS(OverValue,OverEmp,$C215,OverComp,U$5,OverDate,"&lt;"&amp;DATE(YEAR($AC215),MONTH($AC215)+1,1),OverEnd,"&gt;="&amp;DATE(YEAR($AC215),MONTH($AC215),1)),IF(OR(U$2="Fixed",U$2="Not Used"),(OFFSET(Setup!$E$81,MATCH(U$5,CompListItem,0),0,1,1)*$AA215)-SUMIFS(OFFSET(U$6,1,0,PayCount,1),PayDate,"&lt;"&amp;$AC215,PayEmp,$C215),IF(ISNA(MATCH(U$2,DedListItem,0))=FALSE,(SUMPRODUCT((PayEmp=$C215)*(PayDate&lt;=$AC215)*(PayDedList=U$2)*(PayDedValues))*OFFSET(Setup!$E$81,MATCH(U$5,CompListItem,0),0,1,1))-SUMIFS(OFFSET(U$6,1,0,PayCount,1),PayDate,"&lt;"&amp;$AC215,PayEmp,$C215),(MIN(IF(OFFSET(Setup!$G$81,MATCH(U$5,CompListItem,0),0,1,1)="Taxable",SUMPRODUCT((PayEmp=$C215)*(PayDate&lt;=$AC215)*(ISERROR(SEARCH(PayEarnCode,U$4)))*(PayEarnTax)*(PayEarnValues)),SUMPRODUCT((PayEmp=$C215)*(PayDate&lt;=$AC215)*(ISERROR(SEARCH(PayEarnCode,U$4)))*(PayEarnValues))),IF(ISNUMBER(U$3),U$3/12*$AA215,IgnoreMin)))*OFFSET(Setup!$E$81,MATCH(U$5,CompListItem,0),0,1,1)-SUMIFS(OFFSET(U$6,1,0,PayCount,1),PayDate,"&lt;"&amp;$AC215,PayEmp,$C215)))))))</f>
        <v>0</v>
      </c>
      <c r="V215" s="133" cm="1">
        <f t="array" aca="1" ref="V215" ca="1">IF($F215="Terminated",0,IF($AA215=0,0,IF(ISNA(MATCH(V$5,CompListItem,0)),0,IF(COUNTIFS(OverEmp,$C215,OverComp,V$5,OverDate,"&lt;"&amp;DATE(YEAR($AC215),MONTH($AC215)+1,1),OverEnd,"&gt;="&amp;DATE(YEAR($AC215),MONTH($AC215),1))&gt;0,SUMIFS(OverValue,OverEmp,$C215,OverComp,V$5,OverDate,"&lt;"&amp;DATE(YEAR($AC215),MONTH($AC215)+1,1),OverEnd,"&gt;="&amp;DATE(YEAR($AC215),MONTH($AC215),1)),IF(OR(V$2="Fixed",V$2="Not Used"),(OFFSET(Setup!$E$81,MATCH(V$5,CompListItem,0),0,1,1)*$AA215)-SUMIFS(OFFSET(V$6,1,0,PayCount,1),PayDate,"&lt;"&amp;$AC215,PayEmp,$C215),IF(ISNA(MATCH(V$2,DedListItem,0))=FALSE,(SUMPRODUCT((PayEmp=$C215)*(PayDate&lt;=$AC215)*(PayDedList=V$2)*(PayDedValues))*OFFSET(Setup!$E$81,MATCH(V$5,CompListItem,0),0,1,1))-SUMIFS(OFFSET(V$6,1,0,PayCount,1),PayDate,"&lt;"&amp;$AC215,PayEmp,$C215),(MIN(IF(OFFSET(Setup!$G$81,MATCH(V$5,CompListItem,0),0,1,1)="Taxable",SUMPRODUCT((PayEmp=$C215)*(PayDate&lt;=$AC215)*(ISERROR(SEARCH(PayEarnCode,V$4)))*(PayEarnTax)*(PayEarnValues)),SUMPRODUCT((PayEmp=$C215)*(PayDate&lt;=$AC215)*(ISERROR(SEARCH(PayEarnCode,V$4)))*(PayEarnValues))),IF(ISNUMBER(V$3),V$3/12*$AA215,IgnoreMin)))*OFFSET(Setup!$E$81,MATCH(V$5,CompListItem,0),0,1,1)-SUMIFS(OFFSET(V$6,1,0,PayCount,1),PayDate,"&lt;"&amp;$AC215,PayEmp,$C215)))))))</f>
        <v>0</v>
      </c>
      <c r="W215" s="133" cm="1">
        <f t="array" aca="1" ref="W215" ca="1">IF($F215="Terminated",0,IF($AA215=0,0,IF(ISNA(MATCH(W$5,CompListItem,0)),0,IF(COUNTIFS(OverEmp,$C215,OverComp,W$5,OverDate,"&lt;"&amp;DATE(YEAR($AC215),MONTH($AC215)+1,1),OverEnd,"&gt;="&amp;DATE(YEAR($AC215),MONTH($AC215),1))&gt;0,SUMIFS(OverValue,OverEmp,$C215,OverComp,W$5,OverDate,"&lt;"&amp;DATE(YEAR($AC215),MONTH($AC215)+1,1),OverEnd,"&gt;="&amp;DATE(YEAR($AC215),MONTH($AC215),1)),IF(OR(W$2="Fixed",W$2="Not Used"),(OFFSET(Setup!$E$81,MATCH(W$5,CompListItem,0),0,1,1)*$AA215)-SUMIFS(OFFSET(W$6,1,0,PayCount,1),PayDate,"&lt;"&amp;$AC215,PayEmp,$C215),IF(ISNA(MATCH(W$2,DedListItem,0))=FALSE,(SUMPRODUCT((PayEmp=$C215)*(PayDate&lt;=$AC215)*(PayDedList=W$2)*(PayDedValues))*OFFSET(Setup!$E$81,MATCH(W$5,CompListItem,0),0,1,1))-SUMIFS(OFFSET(W$6,1,0,PayCount,1),PayDate,"&lt;"&amp;$AC215,PayEmp,$C215),(MIN(IF(OFFSET(Setup!$G$81,MATCH(W$5,CompListItem,0),0,1,1)="Taxable",SUMPRODUCT((PayEmp=$C215)*(PayDate&lt;=$AC215)*(ISERROR(SEARCH(PayEarnCode,W$4)))*(PayEarnTax)*(PayEarnValues)),SUMPRODUCT((PayEmp=$C215)*(PayDate&lt;=$AC215)*(ISERROR(SEARCH(PayEarnCode,W$4)))*(PayEarnValues))),IF(ISNUMBER(W$3),W$3/12*$AA215,IgnoreMin)))*OFFSET(Setup!$E$81,MATCH(W$5,CompListItem,0),0,1,1)-SUMIFS(OFFSET(W$6,1,0,PayCount,1),PayDate,"&lt;"&amp;$AC215,PayEmp,$C215)))))))</f>
        <v>0</v>
      </c>
      <c r="X215" s="185">
        <f t="shared" ca="1" si="116"/>
        <v>0</v>
      </c>
      <c r="Y215" s="139">
        <f t="shared" ca="1" si="117"/>
        <v>0</v>
      </c>
      <c r="Z215" s="139">
        <f t="shared" ca="1" si="118"/>
        <v>0</v>
      </c>
      <c r="AA215" s="146">
        <f ca="1">IF(OR($B215&lt;=Setup!$E$12,$B215&gt;=Setup!$D$12+1),0,IF($F215&lt;&gt;"Active",0,IF($AE215="Yes",$AB215,((YEAR($AC215)*12)+MONTH($AC215))-((YEAR($AD215)*12)+MONTH($AD215)-1))))</f>
        <v>0</v>
      </c>
      <c r="AB215" s="146">
        <f ca="1">IF(OR($B215&lt;=Setup!$E$12,$B215&gt;=Setup!$D$12+1),0,((YEAR($AC215)*12)+MONTH($AC215))-((YEAR(Setup!$E$12)*12)+MONTH(Setup!$E$12)))</f>
        <v>12</v>
      </c>
      <c r="AC215" s="186">
        <f t="shared" ca="1" si="119"/>
        <v>45351</v>
      </c>
      <c r="AD215" s="144">
        <f ca="1">IF(ISNA(VLOOKUP($C215,EmpAll,COLUMN(Emp!$E$4),0)),$AC215,IF(VLOOKUP($C215,EmpAll,COLUMN(Emp!$E$4),0)&lt;=Setup!$E$12,DATE(YEAR(Setup!$E$12),MONTH(Setup!$E$12)+1,1),VLOOKUP($C215,EmpAll,COLUMN(Emp!$E$4),0)))</f>
        <v>45351</v>
      </c>
      <c r="AE215" s="144" t="str">
        <f ca="1">IF(ISNA(VLOOKUP($C215,EmpAll,COLUMN(Emp!$G$1),0)),"-",IF(VLOOKUP($C215,EmpAll,COLUMN(Emp!$G$1),0)=0,"-",VLOOKUP($C215,EmpAll,COLUMN(Emp!$G$1),0)))</f>
        <v>-</v>
      </c>
      <c r="AF215" s="145">
        <f>IF(A215=PaySlip!$G$3,1,0)</f>
        <v>0</v>
      </c>
      <c r="AG215" s="130" cm="1">
        <f t="array" aca="1" ref="AG215" ca="1">IF(COUNTIFS(OverEmp,$C215,OverMed,"MED",OverDate,"&lt;"&amp;DATE(YEAR($AC215),MONTH($AC215)+1,1),OverEnd,"&gt;="&amp;DATE(YEAR($AC215),MONTH($AC215),1))&gt;0,SUMIFS(OverValue,OverEmp,$C215,OverMed,"MED",OverDate,"&lt;"&amp;DATE(YEAR($AC215),MONTH($AC215)+1,1),OverEnd,"&gt;="&amp;DATE(YEAR($AC215),MONTH($AC215),1)),IF(ISNA(VLOOKUP($C215,EmpAll,COLUMN(Emp!$N$4),0)),0,VLOOKUP($C215,EmpAll,COLUMN(Emp!$N$4),0)))</f>
        <v>0</v>
      </c>
      <c r="AH215" s="146">
        <f ca="1">VLOOKUP($AG215,MedList,COLUMN(Setup!$C$49),1)</f>
        <v>0</v>
      </c>
      <c r="AI215" s="146">
        <f t="shared" ca="1" si="107"/>
        <v>0</v>
      </c>
      <c r="AJ215" s="101" t="str">
        <f ca="1">IF(ISNA(VLOOKUP($C215,EmpAll,COLUMN(Emp!$L$4),0)),"None!",VLOOKUP($C215,EmpAll,COLUMN(Emp!$L$4),0))</f>
        <v>None!</v>
      </c>
      <c r="AK215" s="147">
        <f t="shared" ca="1" si="102"/>
        <v>17235</v>
      </c>
      <c r="AL215" s="101" t="str">
        <f ca="1">IF(ISNA(VLOOKUP($C215,Employees[],COLUMN(Emp!$M$4),0))=TRUE,"Error!",IF(VLOOKUP($C215,Employees[],COLUMN(Emp!$M$4),0)=0,"Yes",VLOOKUP($C215,Employees[],COLUMN(Emp!$M$4),0)))</f>
        <v>Error!</v>
      </c>
      <c r="AM215" s="148">
        <f t="shared" ca="1" si="108"/>
        <v>0</v>
      </c>
      <c r="AN215" s="148" cm="1">
        <f t="array" aca="1" ref="AN215" ca="1">-IF($F215="Terminated",0,IF($AA215=0,0,IF(ISNA(MATCH(AN$5,PayDedList,0)),0,MIN(IF(COUNTIFS(OverEmp,$C215,OverDeduct,AN$5,OverDate,"&lt;"&amp;DATE(YEAR($AC215),MONTH($AC215)+1,1),OverEnd,"&gt;="&amp;DATE(YEAR($AC215),MONTH($AC215),1))&gt;0,SUMPRODUCT((PayEmp=$C215)*(PayDate&lt;=$AC215)*(OFFSET($N$6,1,MATCH(AN$5,PayDedList,0)-1,PayCount,1)))/$AA215*12*AN$3,IF(OR(AN$1="Fixed",AN$1="Not Used"),SUMPRODUCT((PayEmp=$C215)*(PayDate&lt;=$AC215)*(OFFSET($N$6,1,MATCH(AN$5,PayDedList,0)-1,PayCount,1)))/$AA215*12*AN$3,IF(ISNA(MATCH(AN$1,EarnListItem,0))=FALSE,SUMPRODUCT((PayEmp=$C215)*(PayDate&lt;=$AC215)*(OFFSET($N$6,1,MATCH(AN$5,PayDedList,0)-1,PayCount,1)))/$AA215*12*AN$3,(MIN(((SUMPRODUCT((PayEmp=$C215)*(PayDate&lt;=$AC215)*(ISERROR(SEARCH(PayEarnCode,AN$2)))*(PayEarnType="Monthly")*(PayEarnValues))/$AA215*12)+(SUMPRODUCT((PayEmp=$C215)*(PayDate&lt;=$AC215)*(ISERROR(SEARCH(PayEarnCode,AN$2)))*(PayEarnType="Quarterly")*(PayEarnValues))/MAX(1,ROUNDDOWN($AB215/3,0))*4)+(SUMPRODUCT((PayEmp=$C215)*(PayDate&lt;=$AC215)*(ISERROR(SEARCH(PayEarnCode,AN$2)))*(PayEarnType="Bi-Annual")*(PayEarnValues))/MAX(1,ROUNDDOWN($AB215/6,0))*2)+(SUMPRODUCT((PayEmp=$C215)*(PayDate&lt;=$AC215)*(ISERROR(SEARCH(PayEarnCode,AN$2)))*(PayEarnType="Annual")*(PayEarnValues)))),IF(ISNUMBER(OFFSET($N$3,0,MATCH(AN$5,PayDedList,0)-1,1,1)),OFFSET($N$3,0,MATCH(AN$5,PayDedList,0)-1,1,1),IgnoreMin)))*IF(COUNTIFS(EmpNo,$C215,OFFSET(Emp!$R$4,1,MATCH(AN$5,DedListItem,0)-1,EmpCount,1),"&lt;&gt;")&gt;0,VLOOKUP($C215,EmpAll,COLUMN(Emp!$R$4)+MATCH(AN$5,DedListItem,0)-1,0),OFFSET(Setup!$E$73,MATCH(AN$5,DedListItem,0),0,1,1))*AN$3))),IF(ISNUMBER(AN$4),AN$4,IgnoreMin)))))</f>
        <v>0</v>
      </c>
      <c r="AO215" s="148" cm="1">
        <f t="array" aca="1" ref="AO215" ca="1">-IF($F215="Terminated",0,IF($AA215=0,0,IF(ISNA(MATCH(AO$5,PayDedList,0)),0,MIN(IF(COUNTIFS(OverEmp,$C215,OverDeduct,AO$5,OverDate,"&lt;"&amp;DATE(YEAR($AC215),MONTH($AC215)+1,1),OverEnd,"&gt;="&amp;DATE(YEAR($AC215),MONTH($AC215),1))&gt;0,SUMPRODUCT((PayEmp=$C215)*(PayDate&lt;=$AC215)*(OFFSET($N$6,1,MATCH(AO$5,PayDedList,0)-1,PayCount,1)))/$AA215*12*AO$3,IF(OR(AO$1="Fixed",AO$1="Not Used"),SUMPRODUCT((PayEmp=$C215)*(PayDate&lt;=$AC215)*(OFFSET($N$6,1,MATCH(AO$5,PayDedList,0)-1,PayCount,1)))/$AA215*12*AO$3,IF(ISNA(MATCH(AO$1,EarnListItem,0))=FALSE,SUMPRODUCT((PayEmp=$C215)*(PayDate&lt;=$AC215)*(OFFSET($N$6,1,MATCH(AO$5,PayDedList,0)-1,PayCount,1)))/$AA215*12*AO$3,(MIN(((SUMPRODUCT((PayEmp=$C215)*(PayDate&lt;=$AC215)*(ISERROR(SEARCH(PayEarnCode,AO$2)))*(PayEarnType="Monthly")*(PayEarnValues))/$AA215*12)+(SUMPRODUCT((PayEmp=$C215)*(PayDate&lt;=$AC215)*(ISERROR(SEARCH(PayEarnCode,AO$2)))*(PayEarnType="Quarterly")*(PayEarnValues))/MAX(1,ROUNDDOWN($AB215/3,0))*4)+(SUMPRODUCT((PayEmp=$C215)*(PayDate&lt;=$AC215)*(ISERROR(SEARCH(PayEarnCode,AO$2)))*(PayEarnType="Bi-Annual")*(PayEarnValues))/MAX(1,ROUNDDOWN($AB215/6,0))*2)+(SUMPRODUCT((PayEmp=$C215)*(PayDate&lt;=$AC215)*(ISERROR(SEARCH(PayEarnCode,AO$2)))*(PayEarnType="Annual")*(PayEarnValues)))),IF(ISNUMBER(OFFSET($N$3,0,MATCH(AO$5,PayDedList,0)-1,1,1)),OFFSET($N$3,0,MATCH(AO$5,PayDedList,0)-1,1,1),IgnoreMin)))*IF(COUNTIFS(EmpNo,$C215,OFFSET(Emp!$R$4,1,MATCH(AO$5,DedListItem,0)-1,EmpCount,1),"&lt;&gt;")&gt;0,VLOOKUP($C215,EmpAll,COLUMN(Emp!$R$4)+MATCH(AO$5,DedListItem,0)-1,0),OFFSET(Setup!$E$73,MATCH(AO$5,DedListItem,0),0,1,1))*AO$3))),IF(ISNUMBER(AO$4),AO$4,IgnoreMin)))))</f>
        <v>0</v>
      </c>
      <c r="AP215" s="148" cm="1">
        <f t="array" aca="1" ref="AP215" ca="1">-IF($F215="Terminated",0,IF($AA215=0,0,IF(ISNA(MATCH(AP$5,PayDedList,0)),0,MIN(IF(COUNTIFS(OverEmp,$C215,OverDeduct,AP$5,OverDate,"&lt;"&amp;DATE(YEAR($AC215),MONTH($AC215)+1,1),OverEnd,"&gt;="&amp;DATE(YEAR($AC215),MONTH($AC215),1))&gt;0,SUMPRODUCT((PayEmp=$C215)*(PayDate&lt;=$AC215)*(OFFSET($N$6,1,MATCH(AP$5,PayDedList,0)-1,PayCount,1)))/$AA215*12*AP$3,IF(OR(AP$1="Fixed",AP$1="Not Used"),SUMPRODUCT((PayEmp=$C215)*(PayDate&lt;=$AC215)*(OFFSET($N$6,1,MATCH(AP$5,PayDedList,0)-1,PayCount,1)))/$AA215*12*AP$3,IF(ISNA(MATCH(AP$1,EarnListItem,0))=FALSE,SUMPRODUCT((PayEmp=$C215)*(PayDate&lt;=$AC215)*(OFFSET($N$6,1,MATCH(AP$5,PayDedList,0)-1,PayCount,1)))/$AA215*12*AP$3,(MIN(((SUMPRODUCT((PayEmp=$C215)*(PayDate&lt;=$AC215)*(ISERROR(SEARCH(PayEarnCode,AP$2)))*(PayEarnType="Monthly")*(PayEarnValues))/$AA215*12)+(SUMPRODUCT((PayEmp=$C215)*(PayDate&lt;=$AC215)*(ISERROR(SEARCH(PayEarnCode,AP$2)))*(PayEarnType="Quarterly")*(PayEarnValues))/MAX(1,ROUNDDOWN($AB215/3,0))*4)+(SUMPRODUCT((PayEmp=$C215)*(PayDate&lt;=$AC215)*(ISERROR(SEARCH(PayEarnCode,AP$2)))*(PayEarnType="Bi-Annual")*(PayEarnValues))/MAX(1,ROUNDDOWN($AB215/6,0))*2)+(SUMPRODUCT((PayEmp=$C215)*(PayDate&lt;=$AC215)*(ISERROR(SEARCH(PayEarnCode,AP$2)))*(PayEarnType="Annual")*(PayEarnValues)))),IF(ISNUMBER(OFFSET($N$3,0,MATCH(AP$5,PayDedList,0)-1,1,1)),OFFSET($N$3,0,MATCH(AP$5,PayDedList,0)-1,1,1),IgnoreMin)))*IF(COUNTIFS(EmpNo,$C215,OFFSET(Emp!$R$4,1,MATCH(AP$5,DedListItem,0)-1,EmpCount,1),"&lt;&gt;")&gt;0,VLOOKUP($C215,EmpAll,COLUMN(Emp!$R$4)+MATCH(AP$5,DedListItem,0)-1,0),OFFSET(Setup!$E$73,MATCH(AP$5,DedListItem,0),0,1,1))*AP$3))),IF(ISNUMBER(AP$4),AP$4,IgnoreMin)))))</f>
        <v>0</v>
      </c>
      <c r="AQ215" s="148" cm="1">
        <f t="array" aca="1" ref="AQ215" ca="1">-IF($F215="Terminated",0,IF($AA215=0,0,IF(ISNA(MATCH(AQ$5,PayDedList,0)),0,MIN(IF(COUNTIFS(OverEmp,$C215,OverDeduct,AQ$5,OverDate,"&lt;"&amp;DATE(YEAR($AC215),MONTH($AC215)+1,1),OverEnd,"&gt;="&amp;DATE(YEAR($AC215),MONTH($AC215),1))&gt;0,SUMPRODUCT((PayEmp=$C215)*(PayDate&lt;=$AC215)*(OFFSET($N$6,1,MATCH(AQ$5,PayDedList,0)-1,PayCount,1)))/$AA215*12*AQ$3,IF(OR(AQ$1="Fixed",AQ$1="Not Used"),SUMPRODUCT((PayEmp=$C215)*(PayDate&lt;=$AC215)*(OFFSET($N$6,1,MATCH(AQ$5,PayDedList,0)-1,PayCount,1)))/$AA215*12*AQ$3,IF(ISNA(MATCH(AQ$1,EarnListItem,0))=FALSE,SUMPRODUCT((PayEmp=$C215)*(PayDate&lt;=$AC215)*(OFFSET($N$6,1,MATCH(AQ$5,PayDedList,0)-1,PayCount,1)))/$AA215*12*AQ$3,(MIN(((SUMPRODUCT((PayEmp=$C215)*(PayDate&lt;=$AC215)*(ISERROR(SEARCH(PayEarnCode,AQ$2)))*(PayEarnType="Monthly")*(PayEarnValues))/$AA215*12)+(SUMPRODUCT((PayEmp=$C215)*(PayDate&lt;=$AC215)*(ISERROR(SEARCH(PayEarnCode,AQ$2)))*(PayEarnType="Quarterly")*(PayEarnValues))/MAX(1,ROUNDDOWN($AB215/3,0))*4)+(SUMPRODUCT((PayEmp=$C215)*(PayDate&lt;=$AC215)*(ISERROR(SEARCH(PayEarnCode,AQ$2)))*(PayEarnType="Bi-Annual")*(PayEarnValues))/MAX(1,ROUNDDOWN($AB215/6,0))*2)+(SUMPRODUCT((PayEmp=$C215)*(PayDate&lt;=$AC215)*(ISERROR(SEARCH(PayEarnCode,AQ$2)))*(PayEarnType="Annual")*(PayEarnValues)))),IF(ISNUMBER(OFFSET($N$3,0,MATCH(AQ$5,PayDedList,0)-1,1,1)),OFFSET($N$3,0,MATCH(AQ$5,PayDedList,0)-1,1,1),IgnoreMin)))*IF(COUNTIFS(EmpNo,$C215,OFFSET(Emp!$R$4,1,MATCH(AQ$5,DedListItem,0)-1,EmpCount,1),"&lt;&gt;")&gt;0,VLOOKUP($C215,EmpAll,COLUMN(Emp!$R$4)+MATCH(AQ$5,DedListItem,0)-1,0),OFFSET(Setup!$E$73,MATCH(AQ$5,DedListItem,0),0,1,1))*AQ$3))),IF(ISNUMBER(AQ$4),AQ$4,IgnoreMin)))))</f>
        <v>0</v>
      </c>
      <c r="AR215" s="148">
        <f t="shared" ca="1" si="120"/>
        <v>0</v>
      </c>
      <c r="AS215" s="148">
        <f t="shared" ca="1" si="109"/>
        <v>0</v>
      </c>
      <c r="AT215" s="148" cm="1">
        <f t="array" aca="1" ref="AT215" ca="1">-IF($F215="Terminated",0,IF($AA215=0,0,IF(ISNA(MATCH(AT$5,PayDedList,0)),0,MIN(IF(COUNTIFS(OverEmp,$C215,OverDeduct,AT$5,OverDate,"&lt;"&amp;DATE(YEAR($AC215),MONTH($AC215)+1,1),OverEnd,"&gt;="&amp;DATE(YEAR($AC215),MONTH($AC215),1))&gt;0,SUMPRODUCT((PayEmp=$C215)*(PayDate&lt;=$AC215)*(OFFSET($N$6,1,MATCH(AT$5,PayDedList,0)-1,PayCount,1)))/$AA215*12*AT$3,IF(OR(AT$1="Fixed",AT$1="Not Used"),SUMPRODUCT((PayEmp=$C215)*(PayDate&lt;=$AC215)*(OFFSET($N$6,1,MATCH(AT$5,PayDedList,0)-1,PayCount,1)))/$AA215*12*AT$3,IF(ISNA(MATCH(OFFSET($N$2,0,MATCH(AT$5,PayDedList,0)-1,1,1),EarnListItem,0))=FALSE,SUMPRODUCT((PayEmp=$C215)*(PayDate&lt;=$AC215)*(OFFSET($N$6,1,MATCH(AT$5,PayDedList,0)-1,PayCount,1)))/$AA215*12*AT$3,(MIN(SUMPRODUCT((PayEmp=$C215)*(PayDate&lt;=$AC215)*(ISERROR(SEARCH(PayEarnCode,AT$2)))*(PayEarnType="Monthly")*(PayEarnValues))/$AA215*12,IF(ISNUMBER(OFFSET($N$3,0,MATCH(AT$5,PayDedList,0)-1,1,1)),OFFSET($N$3,0,MATCH(AT$5,PayDedList,0)-1,1,1),IgnoreMin)))*IF(COUNTIFS(EmpNo,$C215,OFFSET(Emp!$R$4,1,MATCH(AT$5,DedListItem,0)-1,EmpCount,1),"&lt;&gt;")&gt;0,VLOOKUP($C215,EmpAll,COLUMN(Emp!$R$4)+MATCH(AT$5,DedListItem,0)-1,0),OFFSET(Setup!$E$73,MATCH(AT$5,DedListItem,0),0,1,1))*AT$3))),IF(ISNUMBER(AT$4),AT$4,IgnoreMin)))))</f>
        <v>0</v>
      </c>
      <c r="AU215" s="148" cm="1">
        <f t="array" aca="1" ref="AU215" ca="1">-IF($F215="Terminated",0,IF($AA215=0,0,IF(ISNA(MATCH(AU$5,PayDedList,0)),0,MIN(IF(COUNTIFS(OverEmp,$C215,OverDeduct,AU$5,OverDate,"&lt;"&amp;DATE(YEAR($AC215),MONTH($AC215)+1,1),OverEnd,"&gt;="&amp;DATE(YEAR($AC215),MONTH($AC215),1))&gt;0,SUMPRODUCT((PayEmp=$C215)*(PayDate&lt;=$AC215)*(OFFSET($N$6,1,MATCH(AU$5,PayDedList,0)-1,PayCount,1)))/$AA215*12*AU$3,IF(OR(AU$1="Fixed",AU$1="Not Used"),SUMPRODUCT((PayEmp=$C215)*(PayDate&lt;=$AC215)*(OFFSET($N$6,1,MATCH(AU$5,PayDedList,0)-1,PayCount,1)))/$AA215*12*AU$3,IF(ISNA(MATCH(OFFSET($N$2,0,MATCH(AU$5,PayDedList,0)-1,1,1),EarnListItem,0))=FALSE,SUMPRODUCT((PayEmp=$C215)*(PayDate&lt;=$AC215)*(OFFSET($N$6,1,MATCH(AU$5,PayDedList,0)-1,PayCount,1)))/$AA215*12*AU$3,(MIN(SUMPRODUCT((PayEmp=$C215)*(PayDate&lt;=$AC215)*(ISERROR(SEARCH(PayEarnCode,AU$2)))*(PayEarnType="Monthly")*(PayEarnValues))/$AA215*12,IF(ISNUMBER(OFFSET($N$3,0,MATCH(AU$5,PayDedList,0)-1,1,1)),OFFSET($N$3,0,MATCH(AU$5,PayDedList,0)-1,1,1),IgnoreMin)))*IF(COUNTIFS(EmpNo,$C215,OFFSET(Emp!$R$4,1,MATCH(AU$5,DedListItem,0)-1,EmpCount,1),"&lt;&gt;")&gt;0,VLOOKUP($C215,EmpAll,COLUMN(Emp!$R$4)+MATCH(AU$5,DedListItem,0)-1,0),OFFSET(Setup!$E$73,MATCH(AU$5,DedListItem,0),0,1,1))*AU$3))),IF(ISNUMBER(AU$4),AU$4,IgnoreMin)))))</f>
        <v>0</v>
      </c>
      <c r="AV215" s="148" cm="1">
        <f t="array" aca="1" ref="AV215" ca="1">-IF($F215="Terminated",0,IF($AA215=0,0,IF(ISNA(MATCH(AV$5,PayDedList,0)),0,MIN(IF(COUNTIFS(OverEmp,$C215,OverDeduct,AV$5,OverDate,"&lt;"&amp;DATE(YEAR($AC215),MONTH($AC215)+1,1),OverEnd,"&gt;="&amp;DATE(YEAR($AC215),MONTH($AC215),1))&gt;0,SUMPRODUCT((PayEmp=$C215)*(PayDate&lt;=$AC215)*(OFFSET($N$6,1,MATCH(AV$5,PayDedList,0)-1,PayCount,1)))/$AA215*12*AV$3,IF(OR(AV$1="Fixed",AV$1="Not Used"),SUMPRODUCT((PayEmp=$C215)*(PayDate&lt;=$AC215)*(OFFSET($N$6,1,MATCH(AV$5,PayDedList,0)-1,PayCount,1)))/$AA215*12*AV$3,IF(ISNA(MATCH(OFFSET($N$2,0,MATCH(AV$5,PayDedList,0)-1,1,1),EarnListItem,0))=FALSE,SUMPRODUCT((PayEmp=$C215)*(PayDate&lt;=$AC215)*(OFFSET($N$6,1,MATCH(AV$5,PayDedList,0)-1,PayCount,1)))/$AA215*12*AV$3,(MIN(SUMPRODUCT((PayEmp=$C215)*(PayDate&lt;=$AC215)*(ISERROR(SEARCH(PayEarnCode,AV$2)))*(PayEarnType="Monthly")*(PayEarnValues))/$AA215*12,IF(ISNUMBER(OFFSET($N$3,0,MATCH(AV$5,PayDedList,0)-1,1,1)),OFFSET($N$3,0,MATCH(AV$5,PayDedList,0)-1,1,1),IgnoreMin)))*IF(COUNTIFS(EmpNo,$C215,OFFSET(Emp!$R$4,1,MATCH(AV$5,DedListItem,0)-1,EmpCount,1),"&lt;&gt;")&gt;0,VLOOKUP($C215,EmpAll,COLUMN(Emp!$R$4)+MATCH(AV$5,DedListItem,0)-1,0),OFFSET(Setup!$E$73,MATCH(AV$5,DedListItem,0),0,1,1))*AV$3))),IF(ISNUMBER(AV$4),AV$4,IgnoreMin)))))</f>
        <v>0</v>
      </c>
      <c r="AW215" s="148" cm="1">
        <f t="array" aca="1" ref="AW215" ca="1">-IF($F215="Terminated",0,IF($AA215=0,0,IF(ISNA(MATCH(AW$5,PayDedList,0)),0,MIN(IF(COUNTIFS(OverEmp,$C215,OverDeduct,AW$5,OverDate,"&lt;"&amp;DATE(YEAR($AC215),MONTH($AC215)+1,1),OverEnd,"&gt;="&amp;DATE(YEAR($AC215),MONTH($AC215),1))&gt;0,SUMPRODUCT((PayEmp=$C215)*(PayDate&lt;=$AC215)*(OFFSET($N$6,1,MATCH(AW$5,PayDedList,0)-1,PayCount,1)))/$AA215*12*AW$3,IF(OR(AW$1="Fixed",AW$1="Not Used"),SUMPRODUCT((PayEmp=$C215)*(PayDate&lt;=$AC215)*(OFFSET($N$6,1,MATCH(AW$5,PayDedList,0)-1,PayCount,1)))/$AA215*12*AW$3,IF(ISNA(MATCH(OFFSET($N$2,0,MATCH(AW$5,PayDedList,0)-1,1,1),EarnListItem,0))=FALSE,SUMPRODUCT((PayEmp=$C215)*(PayDate&lt;=$AC215)*(OFFSET($N$6,1,MATCH(AW$5,PayDedList,0)-1,PayCount,1)))/$AA215*12*AW$3,(MIN(SUMPRODUCT((PayEmp=$C215)*(PayDate&lt;=$AC215)*(ISERROR(SEARCH(PayEarnCode,AW$2)))*(PayEarnType="Monthly")*(PayEarnValues))/$AA215*12,IF(ISNUMBER(OFFSET($N$3,0,MATCH(AW$5,PayDedList,0)-1,1,1)),OFFSET($N$3,0,MATCH(AW$5,PayDedList,0)-1,1,1),IgnoreMin)))*IF(COUNTIFS(EmpNo,$C215,OFFSET(Emp!$R$4,1,MATCH(AW$5,DedListItem,0)-1,EmpCount,1),"&lt;&gt;")&gt;0,VLOOKUP($C215,EmpAll,COLUMN(Emp!$R$4)+MATCH(AW$5,DedListItem,0)-1,0),OFFSET(Setup!$E$73,MATCH(AW$5,DedListItem,0),0,1,1))*AW$3))),IF(ISNUMBER(AW$4),AW$4,IgnoreMin)))))</f>
        <v>0</v>
      </c>
      <c r="AX215" s="148">
        <f t="shared" ca="1" si="121"/>
        <v>0</v>
      </c>
      <c r="AY215" s="148">
        <f t="shared" ca="1" si="122"/>
        <v>0</v>
      </c>
      <c r="AZ215" s="148">
        <f ca="1">IF(ISNUMBER($AL215),($AR215*$AL215)-$AI215-$AK215,MAX(0,IF($AL215="B",IF($AR215&lt;Setup!$C$32,($AR215*Setup!$D$32)-$AI215-$AK215,(($AR215-VLOOKUP($AR215,TaxAll2,1,1))*OFFSET(Setup!$D$32,MATCH($AR215,TaxBracket2,1),0,1,1))+OFFSET(Setup!$E$31,MATCH($AR215,TaxBracket2,1),0,1,1)-$AI215-$AK215),IF($AR215&lt;Setup!$C$21,($AR215*Setup!$D$21)-$AI215-$AK215,(($AR215-VLOOKUP($AR215,TaxAll1,1,1))*OFFSET(Setup!$D$21,MATCH($AR215,TaxBracket1,1),0,1,1))+OFFSET(Setup!$E$20,MATCH($AR215,TaxBracket1,1),0,1,1)-$AI215-$AK215))))</f>
        <v>0</v>
      </c>
      <c r="BA215" s="148">
        <f ca="1">IF(ISNUMBER($AL215),($AX215*$AL215)-$AI215-$AK215,MAX(0,IF($AL215="B",IF($AX215&lt;Setup!$C$32,($AX215*Setup!$D$32)-$AI215-$AK215,(($AX215-VLOOKUP($AX215,TaxAll2,1,1))*OFFSET(Setup!$D$32,MATCH($AX215,TaxBracket2,1),0,1,1))+OFFSET(Setup!$E$31,MATCH($AX215,TaxBracket2,1),0,1,1)-$AI215-$AK215),IF($AX215&lt;Setup!$C$21,($AX215*Setup!$D$21)-$AI215-$AK215,(($AX215-VLOOKUP($AX215,TaxAll1,1,1))*OFFSET(Setup!$D$21,MATCH($AX215,TaxBracket1,1),0,1,1))+OFFSET(Setup!$E$20,MATCH($AX215,TaxBracket1,1),0,1,1)-$AI215-$AK215))))</f>
        <v>0</v>
      </c>
      <c r="BB215" s="148">
        <f t="shared" ca="1" si="123"/>
        <v>0</v>
      </c>
      <c r="BC215" s="150">
        <f t="shared" ca="1" si="110"/>
        <v>0</v>
      </c>
      <c r="BD215" s="150">
        <f t="shared" ca="1" si="111"/>
        <v>0</v>
      </c>
      <c r="BE215" s="148">
        <f t="shared" ca="1" si="112"/>
        <v>0</v>
      </c>
    </row>
    <row r="216" spans="1:57" ht="16.149999999999999" customHeight="1" x14ac:dyDescent="0.25">
      <c r="A216" s="10" t="str" cm="1">
        <f t="array" ref="A216">IF(ROW($A216)-ROW($A$6)&gt;EmpCount*12,"-",TEXT($B216,"yyyy")&amp;TEXT($B216,"mm")&amp;"-"&amp;$C216)</f>
        <v>-</v>
      </c>
      <c r="B216" s="137" cm="1">
        <f t="array" aca="1" ref="B216" ca="1">IF(ROW($A216)-ROW($A$6)&gt;EmpCount*12,Setup!$D$12,DATE(YEAR(Setup!$F$12),MONTH(Setup!$F$12)+ROUNDDOWN((ROW($A216)-ROW($A$6)-1)/EmpCount,0),IF(Setup!$C$14&gt;DAY(DATE(YEAR(Setup!$F$12),MONTH(Setup!$F$12)+ROUNDDOWN((ROW($A216)-ROW($A$6)-1)/EmpCount,0)+1,0)),DAY(DATE(YEAR(Setup!$F$12),MONTH(Setup!$F$12)+ROUNDDOWN((ROW($A216)-ROW($A$6)-1)/EmpCount,0)+1,0)),Setup!$C$14)))</f>
        <v>45351</v>
      </c>
      <c r="C216" s="101" t="str" cm="1">
        <f t="array" aca="1" ref="C216" ca="1">IF(ROW($A216)-ROW($A$6)&gt;EmpCount*12,"-",OFFSET(Emp!$A$4,ROW($A216)-ROW($A$6)-IF(ROW($A216)-ROW($A$6)&gt;EmpCount,ROUNDDOWN((ROW($A216)-ROW($A$6)-1)/EmpCount,0)*EmpCount,0),0,1,1))</f>
        <v>-</v>
      </c>
      <c r="D216" s="10" t="str">
        <f ca="1">IF(ISNA(VLOOKUP($C216,EmpAll,COLUMN(Emp!$B$4),0)),"-",VLOOKUP($C216,EmpAll,COLUMN(Emp!$B$4),0))</f>
        <v>-</v>
      </c>
      <c r="E216" s="145" t="str">
        <f ca="1">IF(ISNA(VLOOKUP($C216,EmpAll,COLUMN(Emp!$C$4),0)),"-",VLOOKUP($C216,EmpAll,COLUMN(Emp!$C$4),0))</f>
        <v>-</v>
      </c>
      <c r="F216" s="101" t="str">
        <f ca="1">IF(ISNA(VLOOKUP($C216,EmpAll,COLUMN(Emp!$A$4),0)),"-",IF(AND(VLOOKUP($C216,EmpAll,COLUMN(Emp!$E$4),0)&lt;&gt;0,VLOOKUP($C216,EmpAll,COLUMN(Emp!$E$4),0)&gt;=DATE(YEAR($AC216),MONTH($AC216)+1,0)),"Inactive",IF(AND(VLOOKUP($C216,EmpAll,COLUMN(Emp!$F$4),0)&lt;&gt;0,VLOOKUP($C216,EmpAll,COLUMN(Emp!$F$4),0)&lt;=DATE(YEAR($AC216),MONTH($AC216),0)),"Terminated","Active")))</f>
        <v>-</v>
      </c>
      <c r="G216" s="133" cm="1">
        <f t="array" aca="1" ref="G216" ca="1">IF($F216&lt;&gt;"Active",0,IF(COUNTIFS(OverEmp,$C216,OverEarn,G$2,OverDate,"&lt;"&amp;DATE(YEAR($AC216),MONTH($AC216)+1,1),OverEnd,"&gt;="&amp;DATE(YEAR($AC216),MONTH($AC216),1))&gt;0,SUMIFS(OverValue,OverEmp,$C216,OverEarn,G$2,OverDate,"&lt;"&amp;DATE(YEAR($AC216),MONTH($AC216)+1,1),OverEnd,"&gt;="&amp;DATE(YEAR($AC216),MONTH($AC216),1)),IF(AND($AC216&gt;=Setup!$E$10,SUMIFS(EmpIncrease,EmpCode,$C216)&gt;0),SUMIFS(EmpIncrease,EmpCode,$C216),SUMIFS(EmpSalary,EmpCode,$C216))))</f>
        <v>0</v>
      </c>
      <c r="H216" s="133" cm="1">
        <f t="array" aca="1" ref="H216" ca="1">IF($F216&lt;&gt;"Active",0,IF(COUNTIFS(OverEmp,$C216,OverEarn,H$2,OverDate,"&lt;"&amp;DATE(YEAR($AC216),MONTH($AC216)+1,1),OverEnd,"&gt;="&amp;DATE(YEAR($AC216),MONTH($AC216),1))&gt;0,SUMIFS(OverValue,OverEmp,$C216,OverEarn,H$2,OverDate,"&lt;"&amp;DATE(YEAR($AC216),MONTH($AC216)+1,1),OverEnd,"&gt;="&amp;DATE(YEAR($AC216),MONTH($AC216),1)),0))</f>
        <v>0</v>
      </c>
      <c r="I216" s="133" cm="1">
        <f t="array" aca="1" ref="I216" ca="1">IF($F216&lt;&gt;"Active",0,IF(COUNTIFS(OverEmp,$C216,OverEarn,I$2,OverDate,"&lt;"&amp;DATE(YEAR($AC216),MONTH($AC216)+1,1),OverEnd,"&gt;="&amp;DATE(YEAR($AC216),MONTH($AC216),1))&gt;0,SUMIFS(OverValue,OverEmp,$C216,OverEarn,I$2,OverDate,"&lt;"&amp;DATE(YEAR($AC216),MONTH($AC216)+1,1),OverEnd,"&gt;="&amp;DATE(YEAR($AC216),MONTH($AC216),1)),IF(MONTH(B216)=Setup!$C$15,SUMIFS(EmpBonus,EmpCode,$C216),0)))</f>
        <v>0</v>
      </c>
      <c r="J216" s="133" cm="1">
        <f t="array" aca="1" ref="J216" ca="1">IF($F216&lt;&gt;"Active",0,IF(COUNTIFS(OverEmp,$C216,OverEarn,J$2,OverDate,"&lt;"&amp;DATE(YEAR($AC216),MONTH($AC216)+1,1),OverEnd,"&gt;="&amp;DATE(YEAR($AC216),MONTH($AC216),1))&gt;0,SUMIFS(OverValue,OverEmp,$C216,OverEarn,J$2,OverDate,"&lt;"&amp;DATE(YEAR($AC216),MONTH($AC216)+1,1),OverEnd,"&gt;="&amp;DATE(YEAR($AC216),MONTH($AC216),1)),0))</f>
        <v>0</v>
      </c>
      <c r="K216" s="133" cm="1">
        <f t="array" aca="1" ref="K216" ca="1">IF($F216&lt;&gt;"Active",0,IF(COUNTIFS(OverEmp,$C216,OverEarn,K$2,OverDate,"&lt;"&amp;DATE(YEAR($AC216),MONTH($AC216)+1,1),OverEnd,"&gt;="&amp;DATE(YEAR($AC216),MONTH($AC216),1))&gt;0,SUMIFS(OverValue,OverEmp,$C216,OverEarn,K$2,OverDate,"&lt;"&amp;DATE(YEAR($AC216),MONTH($AC216)+1,1),OverEnd,"&gt;="&amp;DATE(YEAR($AC216),MONTH($AC216),1)),0))</f>
        <v>0</v>
      </c>
      <c r="L216" s="185">
        <f t="shared" ca="1" si="113"/>
        <v>0</v>
      </c>
      <c r="M216" s="182" cm="1">
        <f t="array" aca="1" ref="M216" ca="1">IF(COUNTIFS(OverEmp,$C216,OverTax,M$5,OverDate,"&lt;"&amp;DATE(YEAR($AC216),MONTH($AC216)+1,1),OverEnd,"&gt;="&amp;DATE(YEAR($AC216),MONTH($AC216),1))&gt;0,SUMIFS(OverValue,OverEmp,$C216,OverTax,M$5,OverDate,"&lt;"&amp;DATE(YEAR($AC216),MONTH($AC216)+1,1),OverEnd,"&gt;="&amp;DATE(YEAR($AC216),MONTH($AC216),1)),(($BA216/12*$AA216)+(BB216*IF(1-$BC216=0,0,BD216/(1-$BC216))))-IF($F216="Terminated",0,SUMIFS(PayTaxDeduct,PayDate,"&lt;"&amp;$AC216,PayEmp,$C216)))</f>
        <v>0</v>
      </c>
      <c r="N216" s="133" cm="1">
        <f t="array" aca="1" ref="N216" ca="1">IF($F216="Terminated",0,IF($AA216=0,0,IF(ISNA(MATCH(N$5,DedListItem,0)),0,IF(COUNTIFS(OverEmp,$C216,OverDeduct,N$5,OverDate,"&lt;"&amp;DATE(YEAR($AC216),MONTH($AC216)+1,1),OverEnd,"&gt;="&amp;DATE(YEAR($AC216),MONTH($AC216),1))&gt;0,SUMIFS(OverValue,OverEmp,$C216,OverDeduct,N$5,OverDate,"&lt;"&amp;DATE(YEAR($AC216),MONTH($AC216)+1,1),OverEnd,"&gt;="&amp;DATE(YEAR($AC216),MONTH($AC216),1)),IF(OR(N$2="Fixed",N$2="Not Used"),(IF(COUNTIFS(EmpNo,$C216,OFFSET(Emp!$R$4,1,MATCH(N$5,DedListItem,0)-1,EmpCount,1),"&lt;&gt;")&gt;0,VLOOKUP($C216,EmpAll,COLUMN(Emp!$R$4)+MATCH(N$5,DedListItem,0)-1,0),OFFSET(Setup!$E$73,MATCH(N$5,DedListItem,0),0,1,1))*$AA216)-SUMIFS(OFFSET(N$6,1,0,PayCount,1),PayDate,"&lt;"&amp;$AC216,PayEmp,$C216),IF(ISNA(MATCH(N$2,EarnListItem,0))=FALSE,IF(OFFSET(Setup!$G$73,MATCH(N$5,DedListItem,0),0,1,1)="Taxable",SUMPRODUCT((PayEmp=$C216)*(PayDate&lt;=$AC216)*(PayEarnCode=N$2)*(PayEarnTax)*(PayEarnValues)),SUMPRODUCT((PayEmp=$C216)*(PayDate&lt;=$AC216)*(PayEarnCode=N$2)*(PayEarnValues)))*IF(COUNTIFS(EmpNo,$C216,OFFSET(Emp!$R$4,1,MATCH(N$5,DedListItem,0)-1,EmpCount,1),"&lt;&gt;")&gt;0,VLOOKUP($C216,EmpAll,COLUMN(Emp!$R$4)+MATCH(N$5,DedListItem,0)-1,0),OFFSET(Setup!$E$73,MATCH(N$5,DedListItem,0),0,1,1)),(MIN(IF(OFFSET(Setup!$G$73,MATCH(N$5,DedListItem,0),0,1,1)="Taxable",SUMPRODUCT((PayEmp=$C216)*(PayDate&lt;=$AC216)*(ISERROR(SEARCH(PayEarnCode,N$4)))*(PayEarnTax)*(PayEarnValues)),SUMPRODUCT((PayEmp=$C216)*(PayDate&lt;=$AC216)*(ISERROR(SEARCH(PayEarnCode,N$4)))*(PayEarnValues))),IF(ISNUMBER(N$3),N$3/12*$AA216,IgnoreMin)))*IF(COUNTIFS(EmpNo,$C216,OFFSET(Emp!$R$4,1,MATCH(N$5,DedListItem,0)-1,EmpCount,1),"&lt;&gt;")&gt;0,VLOOKUP($C216,EmpAll,COLUMN(Emp!$R$4)+MATCH(N$5,DedListItem,0)-1,0),OFFSET(Setup!$E$73,MATCH(N$5,DedListItem,0),0,1,1)))-SUMIFS(OFFSET(N$6,1,0,PayCount,1),PayDate,"&lt;"&amp;$AC216,PayEmp,$C216))))))</f>
        <v>0</v>
      </c>
      <c r="O216" s="133" cm="1">
        <f t="array" aca="1" ref="O216" ca="1">IF($F216="Terminated",0,IF($AA216=0,0,IF(ISNA(MATCH(O$5,DedListItem,0)),0,IF(COUNTIFS(OverEmp,$C216,OverDeduct,O$5,OverDate,"&lt;"&amp;DATE(YEAR($AC216),MONTH($AC216)+1,1),OverEnd,"&gt;="&amp;DATE(YEAR($AC216),MONTH($AC216),1))&gt;0,SUMIFS(OverValue,OverEmp,$C216,OverDeduct,O$5,OverDate,"&lt;"&amp;DATE(YEAR($AC216),MONTH($AC216)+1,1),OverEnd,"&gt;="&amp;DATE(YEAR($AC216),MONTH($AC216),1)),IF(OR(O$2="Fixed",O$2="Not Used"),(IF(COUNTIFS(EmpNo,$C216,OFFSET(Emp!$R$4,1,MATCH(O$5,DedListItem,0)-1,EmpCount,1),"&lt;&gt;")&gt;0,VLOOKUP($C216,EmpAll,COLUMN(Emp!$R$4)+MATCH(O$5,DedListItem,0)-1,0),OFFSET(Setup!$E$73,MATCH(O$5,DedListItem,0),0,1,1))*$AA216)-SUMIFS(OFFSET(O$6,1,0,PayCount,1),PayDate,"&lt;"&amp;$AC216,PayEmp,$C216),IF(ISNA(MATCH(O$2,EarnListItem,0))=FALSE,IF(OFFSET(Setup!$G$73,MATCH(O$5,DedListItem,0),0,1,1)="Taxable",SUMPRODUCT((PayEmp=$C216)*(PayDate&lt;=$AC216)*(PayEarnCode=O$2)*(PayEarnTax)*(PayEarnValues)),SUMPRODUCT((PayEmp=$C216)*(PayDate&lt;=$AC216)*(PayEarnCode=O$2)*(PayEarnValues)))*IF(COUNTIFS(EmpNo,$C216,OFFSET(Emp!$R$4,1,MATCH(O$5,DedListItem,0)-1,EmpCount,1),"&lt;&gt;")&gt;0,VLOOKUP($C216,EmpAll,COLUMN(Emp!$R$4)+MATCH(O$5,DedListItem,0)-1,0),OFFSET(Setup!$E$73,MATCH(O$5,DedListItem,0),0,1,1)),(MIN(IF(OFFSET(Setup!$G$73,MATCH(O$5,DedListItem,0),0,1,1)="Taxable",SUMPRODUCT((PayEmp=$C216)*(PayDate&lt;=$AC216)*(ISERROR(SEARCH(PayEarnCode,O$4)))*(PayEarnTax)*(PayEarnValues)),SUMPRODUCT((PayEmp=$C216)*(PayDate&lt;=$AC216)*(ISERROR(SEARCH(PayEarnCode,O$4)))*(PayEarnValues))),IF(ISNUMBER(O$3),O$3/12*$AA216,IgnoreMin)))*IF(COUNTIFS(EmpNo,$C216,OFFSET(Emp!$R$4,1,MATCH(O$5,DedListItem,0)-1,EmpCount,1),"&lt;&gt;")&gt;0,VLOOKUP($C216,EmpAll,COLUMN(Emp!$R$4)+MATCH(O$5,DedListItem,0)-1,0),OFFSET(Setup!$E$73,MATCH(O$5,DedListItem,0),0,1,1)))-SUMIFS(OFFSET(O$6,1,0,PayCount,1),PayDate,"&lt;"&amp;$AC216,PayEmp,$C216))))))</f>
        <v>0</v>
      </c>
      <c r="P216" s="133" cm="1">
        <f t="array" aca="1" ref="P216" ca="1">IF($F216="Terminated",0,IF($AA216=0,0,IF(ISNA(MATCH(P$5,DedListItem,0)),0,IF(COUNTIFS(OverEmp,$C216,OverDeduct,P$5,OverDate,"&lt;"&amp;DATE(YEAR($AC216),MONTH($AC216)+1,1),OverEnd,"&gt;="&amp;DATE(YEAR($AC216),MONTH($AC216),1))&gt;0,SUMIFS(OverValue,OverEmp,$C216,OverDeduct,P$5,OverDate,"&lt;"&amp;DATE(YEAR($AC216),MONTH($AC216)+1,1),OverEnd,"&gt;="&amp;DATE(YEAR($AC216),MONTH($AC216),1)),IF(OR(P$2="Fixed",P$2="Not Used"),(IF(COUNTIFS(EmpNo,$C216,OFFSET(Emp!$R$4,1,MATCH(P$5,DedListItem,0)-1,EmpCount,1),"&lt;&gt;")&gt;0,VLOOKUP($C216,EmpAll,COLUMN(Emp!$R$4)+MATCH(P$5,DedListItem,0)-1,0),OFFSET(Setup!$E$73,MATCH(P$5,DedListItem,0),0,1,1))*$AA216)-SUMIFS(OFFSET(P$6,1,0,PayCount,1),PayDate,"&lt;"&amp;$AC216,PayEmp,$C216),IF(ISNA(MATCH(P$2,EarnListItem,0))=FALSE,IF(OFFSET(Setup!$G$73,MATCH(P$5,DedListItem,0),0,1,1)="Taxable",SUMPRODUCT((PayEmp=$C216)*(PayDate&lt;=$AC216)*(PayEarnCode=P$2)*(PayEarnTax)*(PayEarnValues)),SUMPRODUCT((PayEmp=$C216)*(PayDate&lt;=$AC216)*(PayEarnCode=P$2)*(PayEarnValues)))*IF(COUNTIFS(EmpNo,$C216,OFFSET(Emp!$R$4,1,MATCH(P$5,DedListItem,0)-1,EmpCount,1),"&lt;&gt;")&gt;0,VLOOKUP($C216,EmpAll,COLUMN(Emp!$R$4)+MATCH(P$5,DedListItem,0)-1,0),OFFSET(Setup!$E$73,MATCH(P$5,DedListItem,0),0,1,1)),(MIN(IF(OFFSET(Setup!$G$73,MATCH(P$5,DedListItem,0),0,1,1)="Taxable",SUMPRODUCT((PayEmp=$C216)*(PayDate&lt;=$AC216)*(ISERROR(SEARCH(PayEarnCode,P$4)))*(PayEarnTax)*(PayEarnValues)),SUMPRODUCT((PayEmp=$C216)*(PayDate&lt;=$AC216)*(ISERROR(SEARCH(PayEarnCode,P$4)))*(PayEarnValues))),IF(ISNUMBER(P$3),P$3/12*$AA216,IgnoreMin)))*IF(COUNTIFS(EmpNo,$C216,OFFSET(Emp!$R$4,1,MATCH(P$5,DedListItem,0)-1,EmpCount,1),"&lt;&gt;")&gt;0,VLOOKUP($C216,EmpAll,COLUMN(Emp!$R$4)+MATCH(P$5,DedListItem,0)-1,0),OFFSET(Setup!$E$73,MATCH(P$5,DedListItem,0),0,1,1)))-SUMIFS(OFFSET(P$6,1,0,PayCount,1),PayDate,"&lt;"&amp;$AC216,PayEmp,$C216))))))</f>
        <v>0</v>
      </c>
      <c r="Q216" s="133" cm="1">
        <f t="array" aca="1" ref="Q216" ca="1">IF($F216="Terminated",0,IF($AA216=0,0,IF(ISNA(MATCH(Q$5,DedListItem,0)),0,IF(COUNTIFS(OverEmp,$C216,OverDeduct,Q$5,OverDate,"&lt;"&amp;DATE(YEAR($AC216),MONTH($AC216)+1,1),OverEnd,"&gt;="&amp;DATE(YEAR($AC216),MONTH($AC216),1))&gt;0,SUMIFS(OverValue,OverEmp,$C216,OverDeduct,Q$5,OverDate,"&lt;"&amp;DATE(YEAR($AC216),MONTH($AC216)+1,1),OverEnd,"&gt;="&amp;DATE(YEAR($AC216),MONTH($AC216),1)),IF(OR(Q$2="Fixed",Q$2="Not Used"),(IF(COUNTIFS(EmpNo,$C216,OFFSET(Emp!$R$4,1,MATCH(Q$5,DedListItem,0)-1,EmpCount,1),"&lt;&gt;")&gt;0,VLOOKUP($C216,EmpAll,COLUMN(Emp!$R$4)+MATCH(Q$5,DedListItem,0)-1,0),OFFSET(Setup!$E$73,MATCH(Q$5,DedListItem,0),0,1,1))*$AA216)-SUMIFS(OFFSET(Q$6,1,0,PayCount,1),PayDate,"&lt;"&amp;$AC216,PayEmp,$C216),IF(ISNA(MATCH(Q$2,EarnListItem,0))=FALSE,IF(OFFSET(Setup!$G$73,MATCH(Q$5,DedListItem,0),0,1,1)="Taxable",SUMPRODUCT((PayEmp=$C216)*(PayDate&lt;=$AC216)*(PayEarnCode=Q$2)*(PayEarnTax)*(PayEarnValues)),SUMPRODUCT((PayEmp=$C216)*(PayDate&lt;=$AC216)*(PayEarnCode=Q$2)*(PayEarnValues)))*IF(COUNTIFS(EmpNo,$C216,OFFSET(Emp!$R$4,1,MATCH(Q$5,DedListItem,0)-1,EmpCount,1),"&lt;&gt;")&gt;0,VLOOKUP($C216,EmpAll,COLUMN(Emp!$R$4)+MATCH(Q$5,DedListItem,0)-1,0),OFFSET(Setup!$E$73,MATCH(Q$5,DedListItem,0),0,1,1)),(MIN(IF(OFFSET(Setup!$G$73,MATCH(Q$5,DedListItem,0),0,1,1)="Taxable",SUMPRODUCT((PayEmp=$C216)*(PayDate&lt;=$AC216)*(ISERROR(SEARCH(PayEarnCode,Q$4)))*(PayEarnTax)*(PayEarnValues)),SUMPRODUCT((PayEmp=$C216)*(PayDate&lt;=$AC216)*(ISERROR(SEARCH(PayEarnCode,Q$4)))*(PayEarnValues))),IF(ISNUMBER(Q$3),Q$3/12*$AA216,IgnoreMin)))*IF(COUNTIFS(EmpNo,$C216,OFFSET(Emp!$R$4,1,MATCH(Q$5,DedListItem,0)-1,EmpCount,1),"&lt;&gt;")&gt;0,VLOOKUP($C216,EmpAll,COLUMN(Emp!$R$4)+MATCH(Q$5,DedListItem,0)-1,0),OFFSET(Setup!$E$73,MATCH(Q$5,DedListItem,0),0,1,1)))-SUMIFS(OFFSET(Q$6,1,0,PayCount,1),PayDate,"&lt;"&amp;$AC216,PayEmp,$C216))))))</f>
        <v>0</v>
      </c>
      <c r="R216" s="185">
        <f t="shared" ca="1" si="114"/>
        <v>0</v>
      </c>
      <c r="S216" s="139">
        <f t="shared" ca="1" si="115"/>
        <v>0</v>
      </c>
      <c r="T216" s="133" cm="1">
        <f t="array" aca="1" ref="T216" ca="1">IF($F216="Terminated",0,IF($AA216=0,0,IF(ISNA(MATCH(T$5,CompListItem,0)),0,IF(COUNTIFS(OverEmp,$C216,OverComp,T$5,OverDate,"&lt;"&amp;DATE(YEAR($AC216),MONTH($AC216)+1,1),OverEnd,"&gt;="&amp;DATE(YEAR($AC216),MONTH($AC216),1))&gt;0,SUMIFS(OverValue,OverEmp,$C216,OverComp,T$5,OverDate,"&lt;"&amp;DATE(YEAR($AC216),MONTH($AC216)+1,1),OverEnd,"&gt;="&amp;DATE(YEAR($AC216),MONTH($AC216),1)),IF(OR(T$2="Fixed",T$2="Not Used"),(OFFSET(Setup!$E$81,MATCH(T$5,CompListItem,0),0,1,1)*$AA216)-SUMIFS(OFFSET(T$6,1,0,PayCount,1),PayDate,"&lt;"&amp;$AC216,PayEmp,$C216),IF(ISNA(MATCH(T$2,DedListItem,0))=FALSE,(SUMPRODUCT((PayEmp=$C216)*(PayDate&lt;=$AC216)*(PayDedList=T$2)*(PayDedValues))*OFFSET(Setup!$E$81,MATCH(T$5,CompListItem,0),0,1,1))-SUMIFS(OFFSET(T$6,1,0,PayCount,1),PayDate,"&lt;"&amp;$AC216,PayEmp,$C216),(MIN(IF(OFFSET(Setup!$G$81,MATCH(T$5,CompListItem,0),0,1,1)="Taxable",SUMPRODUCT((PayEmp=$C216)*(PayDate&lt;=$AC216)*(ISERROR(SEARCH(PayEarnCode,T$4)))*(PayEarnTax)*(PayEarnValues)),SUMPRODUCT((PayEmp=$C216)*(PayDate&lt;=$AC216)*(ISERROR(SEARCH(PayEarnCode,T$4)))*(PayEarnValues))),IF(ISNUMBER(T$3),T$3/12*$AA216,IgnoreMin)))*OFFSET(Setup!$E$81,MATCH(T$5,CompListItem,0),0,1,1)-SUMIFS(OFFSET(T$6,1,0,PayCount,1),PayDate,"&lt;"&amp;$AC216,PayEmp,$C216)))))))</f>
        <v>0</v>
      </c>
      <c r="U216" s="133" cm="1">
        <f t="array" aca="1" ref="U216" ca="1">IF($F216="Terminated",0,IF($AA216=0,0,IF(ISNA(MATCH(U$5,CompListItem,0)),0,IF(COUNTIFS(OverEmp,$C216,OverComp,U$5,OverDate,"&lt;"&amp;DATE(YEAR($AC216),MONTH($AC216)+1,1),OverEnd,"&gt;="&amp;DATE(YEAR($AC216),MONTH($AC216),1))&gt;0,SUMIFS(OverValue,OverEmp,$C216,OverComp,U$5,OverDate,"&lt;"&amp;DATE(YEAR($AC216),MONTH($AC216)+1,1),OverEnd,"&gt;="&amp;DATE(YEAR($AC216),MONTH($AC216),1)),IF(OR(U$2="Fixed",U$2="Not Used"),(OFFSET(Setup!$E$81,MATCH(U$5,CompListItem,0),0,1,1)*$AA216)-SUMIFS(OFFSET(U$6,1,0,PayCount,1),PayDate,"&lt;"&amp;$AC216,PayEmp,$C216),IF(ISNA(MATCH(U$2,DedListItem,0))=FALSE,(SUMPRODUCT((PayEmp=$C216)*(PayDate&lt;=$AC216)*(PayDedList=U$2)*(PayDedValues))*OFFSET(Setup!$E$81,MATCH(U$5,CompListItem,0),0,1,1))-SUMIFS(OFFSET(U$6,1,0,PayCount,1),PayDate,"&lt;"&amp;$AC216,PayEmp,$C216),(MIN(IF(OFFSET(Setup!$G$81,MATCH(U$5,CompListItem,0),0,1,1)="Taxable",SUMPRODUCT((PayEmp=$C216)*(PayDate&lt;=$AC216)*(ISERROR(SEARCH(PayEarnCode,U$4)))*(PayEarnTax)*(PayEarnValues)),SUMPRODUCT((PayEmp=$C216)*(PayDate&lt;=$AC216)*(ISERROR(SEARCH(PayEarnCode,U$4)))*(PayEarnValues))),IF(ISNUMBER(U$3),U$3/12*$AA216,IgnoreMin)))*OFFSET(Setup!$E$81,MATCH(U$5,CompListItem,0),0,1,1)-SUMIFS(OFFSET(U$6,1,0,PayCount,1),PayDate,"&lt;"&amp;$AC216,PayEmp,$C216)))))))</f>
        <v>0</v>
      </c>
      <c r="V216" s="133" cm="1">
        <f t="array" aca="1" ref="V216" ca="1">IF($F216="Terminated",0,IF($AA216=0,0,IF(ISNA(MATCH(V$5,CompListItem,0)),0,IF(COUNTIFS(OverEmp,$C216,OverComp,V$5,OverDate,"&lt;"&amp;DATE(YEAR($AC216),MONTH($AC216)+1,1),OverEnd,"&gt;="&amp;DATE(YEAR($AC216),MONTH($AC216),1))&gt;0,SUMIFS(OverValue,OverEmp,$C216,OverComp,V$5,OverDate,"&lt;"&amp;DATE(YEAR($AC216),MONTH($AC216)+1,1),OverEnd,"&gt;="&amp;DATE(YEAR($AC216),MONTH($AC216),1)),IF(OR(V$2="Fixed",V$2="Not Used"),(OFFSET(Setup!$E$81,MATCH(V$5,CompListItem,0),0,1,1)*$AA216)-SUMIFS(OFFSET(V$6,1,0,PayCount,1),PayDate,"&lt;"&amp;$AC216,PayEmp,$C216),IF(ISNA(MATCH(V$2,DedListItem,0))=FALSE,(SUMPRODUCT((PayEmp=$C216)*(PayDate&lt;=$AC216)*(PayDedList=V$2)*(PayDedValues))*OFFSET(Setup!$E$81,MATCH(V$5,CompListItem,0),0,1,1))-SUMIFS(OFFSET(V$6,1,0,PayCount,1),PayDate,"&lt;"&amp;$AC216,PayEmp,$C216),(MIN(IF(OFFSET(Setup!$G$81,MATCH(V$5,CompListItem,0),0,1,1)="Taxable",SUMPRODUCT((PayEmp=$C216)*(PayDate&lt;=$AC216)*(ISERROR(SEARCH(PayEarnCode,V$4)))*(PayEarnTax)*(PayEarnValues)),SUMPRODUCT((PayEmp=$C216)*(PayDate&lt;=$AC216)*(ISERROR(SEARCH(PayEarnCode,V$4)))*(PayEarnValues))),IF(ISNUMBER(V$3),V$3/12*$AA216,IgnoreMin)))*OFFSET(Setup!$E$81,MATCH(V$5,CompListItem,0),0,1,1)-SUMIFS(OFFSET(V$6,1,0,PayCount,1),PayDate,"&lt;"&amp;$AC216,PayEmp,$C216)))))))</f>
        <v>0</v>
      </c>
      <c r="W216" s="133" cm="1">
        <f t="array" aca="1" ref="W216" ca="1">IF($F216="Terminated",0,IF($AA216=0,0,IF(ISNA(MATCH(W$5,CompListItem,0)),0,IF(COUNTIFS(OverEmp,$C216,OverComp,W$5,OverDate,"&lt;"&amp;DATE(YEAR($AC216),MONTH($AC216)+1,1),OverEnd,"&gt;="&amp;DATE(YEAR($AC216),MONTH($AC216),1))&gt;0,SUMIFS(OverValue,OverEmp,$C216,OverComp,W$5,OverDate,"&lt;"&amp;DATE(YEAR($AC216),MONTH($AC216)+1,1),OverEnd,"&gt;="&amp;DATE(YEAR($AC216),MONTH($AC216),1)),IF(OR(W$2="Fixed",W$2="Not Used"),(OFFSET(Setup!$E$81,MATCH(W$5,CompListItem,0),0,1,1)*$AA216)-SUMIFS(OFFSET(W$6,1,0,PayCount,1),PayDate,"&lt;"&amp;$AC216,PayEmp,$C216),IF(ISNA(MATCH(W$2,DedListItem,0))=FALSE,(SUMPRODUCT((PayEmp=$C216)*(PayDate&lt;=$AC216)*(PayDedList=W$2)*(PayDedValues))*OFFSET(Setup!$E$81,MATCH(W$5,CompListItem,0),0,1,1))-SUMIFS(OFFSET(W$6,1,0,PayCount,1),PayDate,"&lt;"&amp;$AC216,PayEmp,$C216),(MIN(IF(OFFSET(Setup!$G$81,MATCH(W$5,CompListItem,0),0,1,1)="Taxable",SUMPRODUCT((PayEmp=$C216)*(PayDate&lt;=$AC216)*(ISERROR(SEARCH(PayEarnCode,W$4)))*(PayEarnTax)*(PayEarnValues)),SUMPRODUCT((PayEmp=$C216)*(PayDate&lt;=$AC216)*(ISERROR(SEARCH(PayEarnCode,W$4)))*(PayEarnValues))),IF(ISNUMBER(W$3),W$3/12*$AA216,IgnoreMin)))*OFFSET(Setup!$E$81,MATCH(W$5,CompListItem,0),0,1,1)-SUMIFS(OFFSET(W$6,1,0,PayCount,1),PayDate,"&lt;"&amp;$AC216,PayEmp,$C216)))))))</f>
        <v>0</v>
      </c>
      <c r="X216" s="185">
        <f t="shared" ca="1" si="116"/>
        <v>0</v>
      </c>
      <c r="Y216" s="139">
        <f t="shared" ca="1" si="117"/>
        <v>0</v>
      </c>
      <c r="Z216" s="139">
        <f t="shared" ca="1" si="118"/>
        <v>0</v>
      </c>
      <c r="AA216" s="146">
        <f ca="1">IF(OR($B216&lt;=Setup!$E$12,$B216&gt;=Setup!$D$12+1),0,IF($F216&lt;&gt;"Active",0,IF($AE216="Yes",$AB216,((YEAR($AC216)*12)+MONTH($AC216))-((YEAR($AD216)*12)+MONTH($AD216)-1))))</f>
        <v>0</v>
      </c>
      <c r="AB216" s="146">
        <f ca="1">IF(OR($B216&lt;=Setup!$E$12,$B216&gt;=Setup!$D$12+1),0,((YEAR($AC216)*12)+MONTH($AC216))-((YEAR(Setup!$E$12)*12)+MONTH(Setup!$E$12)))</f>
        <v>12</v>
      </c>
      <c r="AC216" s="186">
        <f t="shared" ca="1" si="119"/>
        <v>45351</v>
      </c>
      <c r="AD216" s="144">
        <f ca="1">IF(ISNA(VLOOKUP($C216,EmpAll,COLUMN(Emp!$E$4),0)),$AC216,IF(VLOOKUP($C216,EmpAll,COLUMN(Emp!$E$4),0)&lt;=Setup!$E$12,DATE(YEAR(Setup!$E$12),MONTH(Setup!$E$12)+1,1),VLOOKUP($C216,EmpAll,COLUMN(Emp!$E$4),0)))</f>
        <v>45351</v>
      </c>
      <c r="AE216" s="144" t="str">
        <f ca="1">IF(ISNA(VLOOKUP($C216,EmpAll,COLUMN(Emp!$G$1),0)),"-",IF(VLOOKUP($C216,EmpAll,COLUMN(Emp!$G$1),0)=0,"-",VLOOKUP($C216,EmpAll,COLUMN(Emp!$G$1),0)))</f>
        <v>-</v>
      </c>
      <c r="AF216" s="145">
        <f>IF(A216=PaySlip!$G$3,1,0)</f>
        <v>0</v>
      </c>
      <c r="AG216" s="130" cm="1">
        <f t="array" aca="1" ref="AG216" ca="1">IF(COUNTIFS(OverEmp,$C216,OverMed,"MED",OverDate,"&lt;"&amp;DATE(YEAR($AC216),MONTH($AC216)+1,1),OverEnd,"&gt;="&amp;DATE(YEAR($AC216),MONTH($AC216),1))&gt;0,SUMIFS(OverValue,OverEmp,$C216,OverMed,"MED",OverDate,"&lt;"&amp;DATE(YEAR($AC216),MONTH($AC216)+1,1),OverEnd,"&gt;="&amp;DATE(YEAR($AC216),MONTH($AC216),1)),IF(ISNA(VLOOKUP($C216,EmpAll,COLUMN(Emp!$N$4),0)),0,VLOOKUP($C216,EmpAll,COLUMN(Emp!$N$4),0)))</f>
        <v>0</v>
      </c>
      <c r="AH216" s="146">
        <f ca="1">VLOOKUP($AG216,MedList,COLUMN(Setup!$C$49),1)</f>
        <v>0</v>
      </c>
      <c r="AI216" s="146">
        <f t="shared" ca="1" si="107"/>
        <v>0</v>
      </c>
      <c r="AJ216" s="101" t="str">
        <f ca="1">IF(ISNA(VLOOKUP($C216,EmpAll,COLUMN(Emp!$L$4),0)),"None!",VLOOKUP($C216,EmpAll,COLUMN(Emp!$L$4),0))</f>
        <v>None!</v>
      </c>
      <c r="AK216" s="147">
        <f t="shared" ca="1" si="102"/>
        <v>17235</v>
      </c>
      <c r="AL216" s="101" t="str">
        <f ca="1">IF(ISNA(VLOOKUP($C216,Employees[],COLUMN(Emp!$M$4),0))=TRUE,"Error!",IF(VLOOKUP($C216,Employees[],COLUMN(Emp!$M$4),0)=0,"Yes",VLOOKUP($C216,Employees[],COLUMN(Emp!$M$4),0)))</f>
        <v>Error!</v>
      </c>
      <c r="AM216" s="148">
        <f t="shared" ca="1" si="108"/>
        <v>0</v>
      </c>
      <c r="AN216" s="148" cm="1">
        <f t="array" aca="1" ref="AN216" ca="1">-IF($F216="Terminated",0,IF($AA216=0,0,IF(ISNA(MATCH(AN$5,PayDedList,0)),0,MIN(IF(COUNTIFS(OverEmp,$C216,OverDeduct,AN$5,OverDate,"&lt;"&amp;DATE(YEAR($AC216),MONTH($AC216)+1,1),OverEnd,"&gt;="&amp;DATE(YEAR($AC216),MONTH($AC216),1))&gt;0,SUMPRODUCT((PayEmp=$C216)*(PayDate&lt;=$AC216)*(OFFSET($N$6,1,MATCH(AN$5,PayDedList,0)-1,PayCount,1)))/$AA216*12*AN$3,IF(OR(AN$1="Fixed",AN$1="Not Used"),SUMPRODUCT((PayEmp=$C216)*(PayDate&lt;=$AC216)*(OFFSET($N$6,1,MATCH(AN$5,PayDedList,0)-1,PayCount,1)))/$AA216*12*AN$3,IF(ISNA(MATCH(AN$1,EarnListItem,0))=FALSE,SUMPRODUCT((PayEmp=$C216)*(PayDate&lt;=$AC216)*(OFFSET($N$6,1,MATCH(AN$5,PayDedList,0)-1,PayCount,1)))/$AA216*12*AN$3,(MIN(((SUMPRODUCT((PayEmp=$C216)*(PayDate&lt;=$AC216)*(ISERROR(SEARCH(PayEarnCode,AN$2)))*(PayEarnType="Monthly")*(PayEarnValues))/$AA216*12)+(SUMPRODUCT((PayEmp=$C216)*(PayDate&lt;=$AC216)*(ISERROR(SEARCH(PayEarnCode,AN$2)))*(PayEarnType="Quarterly")*(PayEarnValues))/MAX(1,ROUNDDOWN($AB216/3,0))*4)+(SUMPRODUCT((PayEmp=$C216)*(PayDate&lt;=$AC216)*(ISERROR(SEARCH(PayEarnCode,AN$2)))*(PayEarnType="Bi-Annual")*(PayEarnValues))/MAX(1,ROUNDDOWN($AB216/6,0))*2)+(SUMPRODUCT((PayEmp=$C216)*(PayDate&lt;=$AC216)*(ISERROR(SEARCH(PayEarnCode,AN$2)))*(PayEarnType="Annual")*(PayEarnValues)))),IF(ISNUMBER(OFFSET($N$3,0,MATCH(AN$5,PayDedList,0)-1,1,1)),OFFSET($N$3,0,MATCH(AN$5,PayDedList,0)-1,1,1),IgnoreMin)))*IF(COUNTIFS(EmpNo,$C216,OFFSET(Emp!$R$4,1,MATCH(AN$5,DedListItem,0)-1,EmpCount,1),"&lt;&gt;")&gt;0,VLOOKUP($C216,EmpAll,COLUMN(Emp!$R$4)+MATCH(AN$5,DedListItem,0)-1,0),OFFSET(Setup!$E$73,MATCH(AN$5,DedListItem,0),0,1,1))*AN$3))),IF(ISNUMBER(AN$4),AN$4,IgnoreMin)))))</f>
        <v>0</v>
      </c>
      <c r="AO216" s="148" cm="1">
        <f t="array" aca="1" ref="AO216" ca="1">-IF($F216="Terminated",0,IF($AA216=0,0,IF(ISNA(MATCH(AO$5,PayDedList,0)),0,MIN(IF(COUNTIFS(OverEmp,$C216,OverDeduct,AO$5,OverDate,"&lt;"&amp;DATE(YEAR($AC216),MONTH($AC216)+1,1),OverEnd,"&gt;="&amp;DATE(YEAR($AC216),MONTH($AC216),1))&gt;0,SUMPRODUCT((PayEmp=$C216)*(PayDate&lt;=$AC216)*(OFFSET($N$6,1,MATCH(AO$5,PayDedList,0)-1,PayCount,1)))/$AA216*12*AO$3,IF(OR(AO$1="Fixed",AO$1="Not Used"),SUMPRODUCT((PayEmp=$C216)*(PayDate&lt;=$AC216)*(OFFSET($N$6,1,MATCH(AO$5,PayDedList,0)-1,PayCount,1)))/$AA216*12*AO$3,IF(ISNA(MATCH(AO$1,EarnListItem,0))=FALSE,SUMPRODUCT((PayEmp=$C216)*(PayDate&lt;=$AC216)*(OFFSET($N$6,1,MATCH(AO$5,PayDedList,0)-1,PayCount,1)))/$AA216*12*AO$3,(MIN(((SUMPRODUCT((PayEmp=$C216)*(PayDate&lt;=$AC216)*(ISERROR(SEARCH(PayEarnCode,AO$2)))*(PayEarnType="Monthly")*(PayEarnValues))/$AA216*12)+(SUMPRODUCT((PayEmp=$C216)*(PayDate&lt;=$AC216)*(ISERROR(SEARCH(PayEarnCode,AO$2)))*(PayEarnType="Quarterly")*(PayEarnValues))/MAX(1,ROUNDDOWN($AB216/3,0))*4)+(SUMPRODUCT((PayEmp=$C216)*(PayDate&lt;=$AC216)*(ISERROR(SEARCH(PayEarnCode,AO$2)))*(PayEarnType="Bi-Annual")*(PayEarnValues))/MAX(1,ROUNDDOWN($AB216/6,0))*2)+(SUMPRODUCT((PayEmp=$C216)*(PayDate&lt;=$AC216)*(ISERROR(SEARCH(PayEarnCode,AO$2)))*(PayEarnType="Annual")*(PayEarnValues)))),IF(ISNUMBER(OFFSET($N$3,0,MATCH(AO$5,PayDedList,0)-1,1,1)),OFFSET($N$3,0,MATCH(AO$5,PayDedList,0)-1,1,1),IgnoreMin)))*IF(COUNTIFS(EmpNo,$C216,OFFSET(Emp!$R$4,1,MATCH(AO$5,DedListItem,0)-1,EmpCount,1),"&lt;&gt;")&gt;0,VLOOKUP($C216,EmpAll,COLUMN(Emp!$R$4)+MATCH(AO$5,DedListItem,0)-1,0),OFFSET(Setup!$E$73,MATCH(AO$5,DedListItem,0),0,1,1))*AO$3))),IF(ISNUMBER(AO$4),AO$4,IgnoreMin)))))</f>
        <v>0</v>
      </c>
      <c r="AP216" s="148" cm="1">
        <f t="array" aca="1" ref="AP216" ca="1">-IF($F216="Terminated",0,IF($AA216=0,0,IF(ISNA(MATCH(AP$5,PayDedList,0)),0,MIN(IF(COUNTIFS(OverEmp,$C216,OverDeduct,AP$5,OverDate,"&lt;"&amp;DATE(YEAR($AC216),MONTH($AC216)+1,1),OverEnd,"&gt;="&amp;DATE(YEAR($AC216),MONTH($AC216),1))&gt;0,SUMPRODUCT((PayEmp=$C216)*(PayDate&lt;=$AC216)*(OFFSET($N$6,1,MATCH(AP$5,PayDedList,0)-1,PayCount,1)))/$AA216*12*AP$3,IF(OR(AP$1="Fixed",AP$1="Not Used"),SUMPRODUCT((PayEmp=$C216)*(PayDate&lt;=$AC216)*(OFFSET($N$6,1,MATCH(AP$5,PayDedList,0)-1,PayCount,1)))/$AA216*12*AP$3,IF(ISNA(MATCH(AP$1,EarnListItem,0))=FALSE,SUMPRODUCT((PayEmp=$C216)*(PayDate&lt;=$AC216)*(OFFSET($N$6,1,MATCH(AP$5,PayDedList,0)-1,PayCount,1)))/$AA216*12*AP$3,(MIN(((SUMPRODUCT((PayEmp=$C216)*(PayDate&lt;=$AC216)*(ISERROR(SEARCH(PayEarnCode,AP$2)))*(PayEarnType="Monthly")*(PayEarnValues))/$AA216*12)+(SUMPRODUCT((PayEmp=$C216)*(PayDate&lt;=$AC216)*(ISERROR(SEARCH(PayEarnCode,AP$2)))*(PayEarnType="Quarterly")*(PayEarnValues))/MAX(1,ROUNDDOWN($AB216/3,0))*4)+(SUMPRODUCT((PayEmp=$C216)*(PayDate&lt;=$AC216)*(ISERROR(SEARCH(PayEarnCode,AP$2)))*(PayEarnType="Bi-Annual")*(PayEarnValues))/MAX(1,ROUNDDOWN($AB216/6,0))*2)+(SUMPRODUCT((PayEmp=$C216)*(PayDate&lt;=$AC216)*(ISERROR(SEARCH(PayEarnCode,AP$2)))*(PayEarnType="Annual")*(PayEarnValues)))),IF(ISNUMBER(OFFSET($N$3,0,MATCH(AP$5,PayDedList,0)-1,1,1)),OFFSET($N$3,0,MATCH(AP$5,PayDedList,0)-1,1,1),IgnoreMin)))*IF(COUNTIFS(EmpNo,$C216,OFFSET(Emp!$R$4,1,MATCH(AP$5,DedListItem,0)-1,EmpCount,1),"&lt;&gt;")&gt;0,VLOOKUP($C216,EmpAll,COLUMN(Emp!$R$4)+MATCH(AP$5,DedListItem,0)-1,0),OFFSET(Setup!$E$73,MATCH(AP$5,DedListItem,0),0,1,1))*AP$3))),IF(ISNUMBER(AP$4),AP$4,IgnoreMin)))))</f>
        <v>0</v>
      </c>
      <c r="AQ216" s="148" cm="1">
        <f t="array" aca="1" ref="AQ216" ca="1">-IF($F216="Terminated",0,IF($AA216=0,0,IF(ISNA(MATCH(AQ$5,PayDedList,0)),0,MIN(IF(COUNTIFS(OverEmp,$C216,OverDeduct,AQ$5,OverDate,"&lt;"&amp;DATE(YEAR($AC216),MONTH($AC216)+1,1),OverEnd,"&gt;="&amp;DATE(YEAR($AC216),MONTH($AC216),1))&gt;0,SUMPRODUCT((PayEmp=$C216)*(PayDate&lt;=$AC216)*(OFFSET($N$6,1,MATCH(AQ$5,PayDedList,0)-1,PayCount,1)))/$AA216*12*AQ$3,IF(OR(AQ$1="Fixed",AQ$1="Not Used"),SUMPRODUCT((PayEmp=$C216)*(PayDate&lt;=$AC216)*(OFFSET($N$6,1,MATCH(AQ$5,PayDedList,0)-1,PayCount,1)))/$AA216*12*AQ$3,IF(ISNA(MATCH(AQ$1,EarnListItem,0))=FALSE,SUMPRODUCT((PayEmp=$C216)*(PayDate&lt;=$AC216)*(OFFSET($N$6,1,MATCH(AQ$5,PayDedList,0)-1,PayCount,1)))/$AA216*12*AQ$3,(MIN(((SUMPRODUCT((PayEmp=$C216)*(PayDate&lt;=$AC216)*(ISERROR(SEARCH(PayEarnCode,AQ$2)))*(PayEarnType="Monthly")*(PayEarnValues))/$AA216*12)+(SUMPRODUCT((PayEmp=$C216)*(PayDate&lt;=$AC216)*(ISERROR(SEARCH(PayEarnCode,AQ$2)))*(PayEarnType="Quarterly")*(PayEarnValues))/MAX(1,ROUNDDOWN($AB216/3,0))*4)+(SUMPRODUCT((PayEmp=$C216)*(PayDate&lt;=$AC216)*(ISERROR(SEARCH(PayEarnCode,AQ$2)))*(PayEarnType="Bi-Annual")*(PayEarnValues))/MAX(1,ROUNDDOWN($AB216/6,0))*2)+(SUMPRODUCT((PayEmp=$C216)*(PayDate&lt;=$AC216)*(ISERROR(SEARCH(PayEarnCode,AQ$2)))*(PayEarnType="Annual")*(PayEarnValues)))),IF(ISNUMBER(OFFSET($N$3,0,MATCH(AQ$5,PayDedList,0)-1,1,1)),OFFSET($N$3,0,MATCH(AQ$5,PayDedList,0)-1,1,1),IgnoreMin)))*IF(COUNTIFS(EmpNo,$C216,OFFSET(Emp!$R$4,1,MATCH(AQ$5,DedListItem,0)-1,EmpCount,1),"&lt;&gt;")&gt;0,VLOOKUP($C216,EmpAll,COLUMN(Emp!$R$4)+MATCH(AQ$5,DedListItem,0)-1,0),OFFSET(Setup!$E$73,MATCH(AQ$5,DedListItem,0),0,1,1))*AQ$3))),IF(ISNUMBER(AQ$4),AQ$4,IgnoreMin)))))</f>
        <v>0</v>
      </c>
      <c r="AR216" s="148">
        <f t="shared" ca="1" si="120"/>
        <v>0</v>
      </c>
      <c r="AS216" s="148">
        <f t="shared" ca="1" si="109"/>
        <v>0</v>
      </c>
      <c r="AT216" s="148" cm="1">
        <f t="array" aca="1" ref="AT216" ca="1">-IF($F216="Terminated",0,IF($AA216=0,0,IF(ISNA(MATCH(AT$5,PayDedList,0)),0,MIN(IF(COUNTIFS(OverEmp,$C216,OverDeduct,AT$5,OverDate,"&lt;"&amp;DATE(YEAR($AC216),MONTH($AC216)+1,1),OverEnd,"&gt;="&amp;DATE(YEAR($AC216),MONTH($AC216),1))&gt;0,SUMPRODUCT((PayEmp=$C216)*(PayDate&lt;=$AC216)*(OFFSET($N$6,1,MATCH(AT$5,PayDedList,0)-1,PayCount,1)))/$AA216*12*AT$3,IF(OR(AT$1="Fixed",AT$1="Not Used"),SUMPRODUCT((PayEmp=$C216)*(PayDate&lt;=$AC216)*(OFFSET($N$6,1,MATCH(AT$5,PayDedList,0)-1,PayCount,1)))/$AA216*12*AT$3,IF(ISNA(MATCH(OFFSET($N$2,0,MATCH(AT$5,PayDedList,0)-1,1,1),EarnListItem,0))=FALSE,SUMPRODUCT((PayEmp=$C216)*(PayDate&lt;=$AC216)*(OFFSET($N$6,1,MATCH(AT$5,PayDedList,0)-1,PayCount,1)))/$AA216*12*AT$3,(MIN(SUMPRODUCT((PayEmp=$C216)*(PayDate&lt;=$AC216)*(ISERROR(SEARCH(PayEarnCode,AT$2)))*(PayEarnType="Monthly")*(PayEarnValues))/$AA216*12,IF(ISNUMBER(OFFSET($N$3,0,MATCH(AT$5,PayDedList,0)-1,1,1)),OFFSET($N$3,0,MATCH(AT$5,PayDedList,0)-1,1,1),IgnoreMin)))*IF(COUNTIFS(EmpNo,$C216,OFFSET(Emp!$R$4,1,MATCH(AT$5,DedListItem,0)-1,EmpCount,1),"&lt;&gt;")&gt;0,VLOOKUP($C216,EmpAll,COLUMN(Emp!$R$4)+MATCH(AT$5,DedListItem,0)-1,0),OFFSET(Setup!$E$73,MATCH(AT$5,DedListItem,0),0,1,1))*AT$3))),IF(ISNUMBER(AT$4),AT$4,IgnoreMin)))))</f>
        <v>0</v>
      </c>
      <c r="AU216" s="148" cm="1">
        <f t="array" aca="1" ref="AU216" ca="1">-IF($F216="Terminated",0,IF($AA216=0,0,IF(ISNA(MATCH(AU$5,PayDedList,0)),0,MIN(IF(COUNTIFS(OverEmp,$C216,OverDeduct,AU$5,OverDate,"&lt;"&amp;DATE(YEAR($AC216),MONTH($AC216)+1,1),OverEnd,"&gt;="&amp;DATE(YEAR($AC216),MONTH($AC216),1))&gt;0,SUMPRODUCT((PayEmp=$C216)*(PayDate&lt;=$AC216)*(OFFSET($N$6,1,MATCH(AU$5,PayDedList,0)-1,PayCount,1)))/$AA216*12*AU$3,IF(OR(AU$1="Fixed",AU$1="Not Used"),SUMPRODUCT((PayEmp=$C216)*(PayDate&lt;=$AC216)*(OFFSET($N$6,1,MATCH(AU$5,PayDedList,0)-1,PayCount,1)))/$AA216*12*AU$3,IF(ISNA(MATCH(OFFSET($N$2,0,MATCH(AU$5,PayDedList,0)-1,1,1),EarnListItem,0))=FALSE,SUMPRODUCT((PayEmp=$C216)*(PayDate&lt;=$AC216)*(OFFSET($N$6,1,MATCH(AU$5,PayDedList,0)-1,PayCount,1)))/$AA216*12*AU$3,(MIN(SUMPRODUCT((PayEmp=$C216)*(PayDate&lt;=$AC216)*(ISERROR(SEARCH(PayEarnCode,AU$2)))*(PayEarnType="Monthly")*(PayEarnValues))/$AA216*12,IF(ISNUMBER(OFFSET($N$3,0,MATCH(AU$5,PayDedList,0)-1,1,1)),OFFSET($N$3,0,MATCH(AU$5,PayDedList,0)-1,1,1),IgnoreMin)))*IF(COUNTIFS(EmpNo,$C216,OFFSET(Emp!$R$4,1,MATCH(AU$5,DedListItem,0)-1,EmpCount,1),"&lt;&gt;")&gt;0,VLOOKUP($C216,EmpAll,COLUMN(Emp!$R$4)+MATCH(AU$5,DedListItem,0)-1,0),OFFSET(Setup!$E$73,MATCH(AU$5,DedListItem,0),0,1,1))*AU$3))),IF(ISNUMBER(AU$4),AU$4,IgnoreMin)))))</f>
        <v>0</v>
      </c>
      <c r="AV216" s="148" cm="1">
        <f t="array" aca="1" ref="AV216" ca="1">-IF($F216="Terminated",0,IF($AA216=0,0,IF(ISNA(MATCH(AV$5,PayDedList,0)),0,MIN(IF(COUNTIFS(OverEmp,$C216,OverDeduct,AV$5,OverDate,"&lt;"&amp;DATE(YEAR($AC216),MONTH($AC216)+1,1),OverEnd,"&gt;="&amp;DATE(YEAR($AC216),MONTH($AC216),1))&gt;0,SUMPRODUCT((PayEmp=$C216)*(PayDate&lt;=$AC216)*(OFFSET($N$6,1,MATCH(AV$5,PayDedList,0)-1,PayCount,1)))/$AA216*12*AV$3,IF(OR(AV$1="Fixed",AV$1="Not Used"),SUMPRODUCT((PayEmp=$C216)*(PayDate&lt;=$AC216)*(OFFSET($N$6,1,MATCH(AV$5,PayDedList,0)-1,PayCount,1)))/$AA216*12*AV$3,IF(ISNA(MATCH(OFFSET($N$2,0,MATCH(AV$5,PayDedList,0)-1,1,1),EarnListItem,0))=FALSE,SUMPRODUCT((PayEmp=$C216)*(PayDate&lt;=$AC216)*(OFFSET($N$6,1,MATCH(AV$5,PayDedList,0)-1,PayCount,1)))/$AA216*12*AV$3,(MIN(SUMPRODUCT((PayEmp=$C216)*(PayDate&lt;=$AC216)*(ISERROR(SEARCH(PayEarnCode,AV$2)))*(PayEarnType="Monthly")*(PayEarnValues))/$AA216*12,IF(ISNUMBER(OFFSET($N$3,0,MATCH(AV$5,PayDedList,0)-1,1,1)),OFFSET($N$3,0,MATCH(AV$5,PayDedList,0)-1,1,1),IgnoreMin)))*IF(COUNTIFS(EmpNo,$C216,OFFSET(Emp!$R$4,1,MATCH(AV$5,DedListItem,0)-1,EmpCount,1),"&lt;&gt;")&gt;0,VLOOKUP($C216,EmpAll,COLUMN(Emp!$R$4)+MATCH(AV$5,DedListItem,0)-1,0),OFFSET(Setup!$E$73,MATCH(AV$5,DedListItem,0),0,1,1))*AV$3))),IF(ISNUMBER(AV$4),AV$4,IgnoreMin)))))</f>
        <v>0</v>
      </c>
      <c r="AW216" s="148" cm="1">
        <f t="array" aca="1" ref="AW216" ca="1">-IF($F216="Terminated",0,IF($AA216=0,0,IF(ISNA(MATCH(AW$5,PayDedList,0)),0,MIN(IF(COUNTIFS(OverEmp,$C216,OverDeduct,AW$5,OverDate,"&lt;"&amp;DATE(YEAR($AC216),MONTH($AC216)+1,1),OverEnd,"&gt;="&amp;DATE(YEAR($AC216),MONTH($AC216),1))&gt;0,SUMPRODUCT((PayEmp=$C216)*(PayDate&lt;=$AC216)*(OFFSET($N$6,1,MATCH(AW$5,PayDedList,0)-1,PayCount,1)))/$AA216*12*AW$3,IF(OR(AW$1="Fixed",AW$1="Not Used"),SUMPRODUCT((PayEmp=$C216)*(PayDate&lt;=$AC216)*(OFFSET($N$6,1,MATCH(AW$5,PayDedList,0)-1,PayCount,1)))/$AA216*12*AW$3,IF(ISNA(MATCH(OFFSET($N$2,0,MATCH(AW$5,PayDedList,0)-1,1,1),EarnListItem,0))=FALSE,SUMPRODUCT((PayEmp=$C216)*(PayDate&lt;=$AC216)*(OFFSET($N$6,1,MATCH(AW$5,PayDedList,0)-1,PayCount,1)))/$AA216*12*AW$3,(MIN(SUMPRODUCT((PayEmp=$C216)*(PayDate&lt;=$AC216)*(ISERROR(SEARCH(PayEarnCode,AW$2)))*(PayEarnType="Monthly")*(PayEarnValues))/$AA216*12,IF(ISNUMBER(OFFSET($N$3,0,MATCH(AW$5,PayDedList,0)-1,1,1)),OFFSET($N$3,0,MATCH(AW$5,PayDedList,0)-1,1,1),IgnoreMin)))*IF(COUNTIFS(EmpNo,$C216,OFFSET(Emp!$R$4,1,MATCH(AW$5,DedListItem,0)-1,EmpCount,1),"&lt;&gt;")&gt;0,VLOOKUP($C216,EmpAll,COLUMN(Emp!$R$4)+MATCH(AW$5,DedListItem,0)-1,0),OFFSET(Setup!$E$73,MATCH(AW$5,DedListItem,0),0,1,1))*AW$3))),IF(ISNUMBER(AW$4),AW$4,IgnoreMin)))))</f>
        <v>0</v>
      </c>
      <c r="AX216" s="148">
        <f t="shared" ca="1" si="121"/>
        <v>0</v>
      </c>
      <c r="AY216" s="148">
        <f t="shared" ca="1" si="122"/>
        <v>0</v>
      </c>
      <c r="AZ216" s="148">
        <f ca="1">IF(ISNUMBER($AL216),($AR216*$AL216)-$AI216-$AK216,MAX(0,IF($AL216="B",IF($AR216&lt;Setup!$C$32,($AR216*Setup!$D$32)-$AI216-$AK216,(($AR216-VLOOKUP($AR216,TaxAll2,1,1))*OFFSET(Setup!$D$32,MATCH($AR216,TaxBracket2,1),0,1,1))+OFFSET(Setup!$E$31,MATCH($AR216,TaxBracket2,1),0,1,1)-$AI216-$AK216),IF($AR216&lt;Setup!$C$21,($AR216*Setup!$D$21)-$AI216-$AK216,(($AR216-VLOOKUP($AR216,TaxAll1,1,1))*OFFSET(Setup!$D$21,MATCH($AR216,TaxBracket1,1),0,1,1))+OFFSET(Setup!$E$20,MATCH($AR216,TaxBracket1,1),0,1,1)-$AI216-$AK216))))</f>
        <v>0</v>
      </c>
      <c r="BA216" s="148">
        <f ca="1">IF(ISNUMBER($AL216),($AX216*$AL216)-$AI216-$AK216,MAX(0,IF($AL216="B",IF($AX216&lt;Setup!$C$32,($AX216*Setup!$D$32)-$AI216-$AK216,(($AX216-VLOOKUP($AX216,TaxAll2,1,1))*OFFSET(Setup!$D$32,MATCH($AX216,TaxBracket2,1),0,1,1))+OFFSET(Setup!$E$31,MATCH($AX216,TaxBracket2,1),0,1,1)-$AI216-$AK216),IF($AX216&lt;Setup!$C$21,($AX216*Setup!$D$21)-$AI216-$AK216,(($AX216-VLOOKUP($AX216,TaxAll1,1,1))*OFFSET(Setup!$D$21,MATCH($AX216,TaxBracket1,1),0,1,1))+OFFSET(Setup!$E$20,MATCH($AX216,TaxBracket1,1),0,1,1)-$AI216-$AK216))))</f>
        <v>0</v>
      </c>
      <c r="BB216" s="148">
        <f t="shared" ca="1" si="123"/>
        <v>0</v>
      </c>
      <c r="BC216" s="150">
        <f t="shared" ca="1" si="110"/>
        <v>0</v>
      </c>
      <c r="BD216" s="150">
        <f t="shared" ca="1" si="111"/>
        <v>0</v>
      </c>
      <c r="BE216" s="148">
        <f t="shared" ca="1" si="112"/>
        <v>0</v>
      </c>
    </row>
    <row r="217" spans="1:57" ht="16.149999999999999" customHeight="1" x14ac:dyDescent="0.25">
      <c r="A217" s="10" t="str" cm="1">
        <f t="array" ref="A217">IF(ROW($A217)-ROW($A$6)&gt;EmpCount*12,"-",TEXT($B217,"yyyy")&amp;TEXT($B217,"mm")&amp;"-"&amp;$C217)</f>
        <v>-</v>
      </c>
      <c r="B217" s="137" cm="1">
        <f t="array" aca="1" ref="B217" ca="1">IF(ROW($A217)-ROW($A$6)&gt;EmpCount*12,Setup!$D$12,DATE(YEAR(Setup!$F$12),MONTH(Setup!$F$12)+ROUNDDOWN((ROW($A217)-ROW($A$6)-1)/EmpCount,0),IF(Setup!$C$14&gt;DAY(DATE(YEAR(Setup!$F$12),MONTH(Setup!$F$12)+ROUNDDOWN((ROW($A217)-ROW($A$6)-1)/EmpCount,0)+1,0)),DAY(DATE(YEAR(Setup!$F$12),MONTH(Setup!$F$12)+ROUNDDOWN((ROW($A217)-ROW($A$6)-1)/EmpCount,0)+1,0)),Setup!$C$14)))</f>
        <v>45351</v>
      </c>
      <c r="C217" s="101" t="str" cm="1">
        <f t="array" aca="1" ref="C217" ca="1">IF(ROW($A217)-ROW($A$6)&gt;EmpCount*12,"-",OFFSET(Emp!$A$4,ROW($A217)-ROW($A$6)-IF(ROW($A217)-ROW($A$6)&gt;EmpCount,ROUNDDOWN((ROW($A217)-ROW($A$6)-1)/EmpCount,0)*EmpCount,0),0,1,1))</f>
        <v>-</v>
      </c>
      <c r="D217" s="10" t="str">
        <f ca="1">IF(ISNA(VLOOKUP($C217,EmpAll,COLUMN(Emp!$B$4),0)),"-",VLOOKUP($C217,EmpAll,COLUMN(Emp!$B$4),0))</f>
        <v>-</v>
      </c>
      <c r="E217" s="145" t="str">
        <f ca="1">IF(ISNA(VLOOKUP($C217,EmpAll,COLUMN(Emp!$C$4),0)),"-",VLOOKUP($C217,EmpAll,COLUMN(Emp!$C$4),0))</f>
        <v>-</v>
      </c>
      <c r="F217" s="101" t="str">
        <f ca="1">IF(ISNA(VLOOKUP($C217,EmpAll,COLUMN(Emp!$A$4),0)),"-",IF(AND(VLOOKUP($C217,EmpAll,COLUMN(Emp!$E$4),0)&lt;&gt;0,VLOOKUP($C217,EmpAll,COLUMN(Emp!$E$4),0)&gt;=DATE(YEAR($AC217),MONTH($AC217)+1,0)),"Inactive",IF(AND(VLOOKUP($C217,EmpAll,COLUMN(Emp!$F$4),0)&lt;&gt;0,VLOOKUP($C217,EmpAll,COLUMN(Emp!$F$4),0)&lt;=DATE(YEAR($AC217),MONTH($AC217),0)),"Terminated","Active")))</f>
        <v>-</v>
      </c>
      <c r="G217" s="133" cm="1">
        <f t="array" aca="1" ref="G217" ca="1">IF($F217&lt;&gt;"Active",0,IF(COUNTIFS(OverEmp,$C217,OverEarn,G$2,OverDate,"&lt;"&amp;DATE(YEAR($AC217),MONTH($AC217)+1,1),OverEnd,"&gt;="&amp;DATE(YEAR($AC217),MONTH($AC217),1))&gt;0,SUMIFS(OverValue,OverEmp,$C217,OverEarn,G$2,OverDate,"&lt;"&amp;DATE(YEAR($AC217),MONTH($AC217)+1,1),OverEnd,"&gt;="&amp;DATE(YEAR($AC217),MONTH($AC217),1)),IF(AND($AC217&gt;=Setup!$E$10,SUMIFS(EmpIncrease,EmpCode,$C217)&gt;0),SUMIFS(EmpIncrease,EmpCode,$C217),SUMIFS(EmpSalary,EmpCode,$C217))))</f>
        <v>0</v>
      </c>
      <c r="H217" s="133" cm="1">
        <f t="array" aca="1" ref="H217" ca="1">IF($F217&lt;&gt;"Active",0,IF(COUNTIFS(OverEmp,$C217,OverEarn,H$2,OverDate,"&lt;"&amp;DATE(YEAR($AC217),MONTH($AC217)+1,1),OverEnd,"&gt;="&amp;DATE(YEAR($AC217),MONTH($AC217),1))&gt;0,SUMIFS(OverValue,OverEmp,$C217,OverEarn,H$2,OverDate,"&lt;"&amp;DATE(YEAR($AC217),MONTH($AC217)+1,1),OverEnd,"&gt;="&amp;DATE(YEAR($AC217),MONTH($AC217),1)),0))</f>
        <v>0</v>
      </c>
      <c r="I217" s="133" cm="1">
        <f t="array" aca="1" ref="I217" ca="1">IF($F217&lt;&gt;"Active",0,IF(COUNTIFS(OverEmp,$C217,OverEarn,I$2,OverDate,"&lt;"&amp;DATE(YEAR($AC217),MONTH($AC217)+1,1),OverEnd,"&gt;="&amp;DATE(YEAR($AC217),MONTH($AC217),1))&gt;0,SUMIFS(OverValue,OverEmp,$C217,OverEarn,I$2,OverDate,"&lt;"&amp;DATE(YEAR($AC217),MONTH($AC217)+1,1),OverEnd,"&gt;="&amp;DATE(YEAR($AC217),MONTH($AC217),1)),IF(MONTH(B217)=Setup!$C$15,SUMIFS(EmpBonus,EmpCode,$C217),0)))</f>
        <v>0</v>
      </c>
      <c r="J217" s="133" cm="1">
        <f t="array" aca="1" ref="J217" ca="1">IF($F217&lt;&gt;"Active",0,IF(COUNTIFS(OverEmp,$C217,OverEarn,J$2,OverDate,"&lt;"&amp;DATE(YEAR($AC217),MONTH($AC217)+1,1),OverEnd,"&gt;="&amp;DATE(YEAR($AC217),MONTH($AC217),1))&gt;0,SUMIFS(OverValue,OverEmp,$C217,OverEarn,J$2,OverDate,"&lt;"&amp;DATE(YEAR($AC217),MONTH($AC217)+1,1),OverEnd,"&gt;="&amp;DATE(YEAR($AC217),MONTH($AC217),1)),0))</f>
        <v>0</v>
      </c>
      <c r="K217" s="133" cm="1">
        <f t="array" aca="1" ref="K217" ca="1">IF($F217&lt;&gt;"Active",0,IF(COUNTIFS(OverEmp,$C217,OverEarn,K$2,OverDate,"&lt;"&amp;DATE(YEAR($AC217),MONTH($AC217)+1,1),OverEnd,"&gt;="&amp;DATE(YEAR($AC217),MONTH($AC217),1))&gt;0,SUMIFS(OverValue,OverEmp,$C217,OverEarn,K$2,OverDate,"&lt;"&amp;DATE(YEAR($AC217),MONTH($AC217)+1,1),OverEnd,"&gt;="&amp;DATE(YEAR($AC217),MONTH($AC217),1)),0))</f>
        <v>0</v>
      </c>
      <c r="L217" s="185">
        <f t="shared" ref="L217:L225" ca="1" si="124">IF($AA217=0,0,SUM(OFFSET($G217,0,0,1,COLUMN($L$6)-COLUMN($G$6))))</f>
        <v>0</v>
      </c>
      <c r="M217" s="182" cm="1">
        <f t="array" aca="1" ref="M217" ca="1">IF(COUNTIFS(OverEmp,$C217,OverTax,M$5,OverDate,"&lt;"&amp;DATE(YEAR($AC217),MONTH($AC217)+1,1),OverEnd,"&gt;="&amp;DATE(YEAR($AC217),MONTH($AC217),1))&gt;0,SUMIFS(OverValue,OverEmp,$C217,OverTax,M$5,OverDate,"&lt;"&amp;DATE(YEAR($AC217),MONTH($AC217)+1,1),OverEnd,"&gt;="&amp;DATE(YEAR($AC217),MONTH($AC217),1)),(($BA217/12*$AA217)+(BB217*IF(1-$BC217=0,0,BD217/(1-$BC217))))-IF($F217="Terminated",0,SUMIFS(PayTaxDeduct,PayDate,"&lt;"&amp;$AC217,PayEmp,$C217)))</f>
        <v>0</v>
      </c>
      <c r="N217" s="133" cm="1">
        <f t="array" aca="1" ref="N217" ca="1">IF($F217="Terminated",0,IF($AA217=0,0,IF(ISNA(MATCH(N$5,DedListItem,0)),0,IF(COUNTIFS(OverEmp,$C217,OverDeduct,N$5,OverDate,"&lt;"&amp;DATE(YEAR($AC217),MONTH($AC217)+1,1),OverEnd,"&gt;="&amp;DATE(YEAR($AC217),MONTH($AC217),1))&gt;0,SUMIFS(OverValue,OverEmp,$C217,OverDeduct,N$5,OverDate,"&lt;"&amp;DATE(YEAR($AC217),MONTH($AC217)+1,1),OverEnd,"&gt;="&amp;DATE(YEAR($AC217),MONTH($AC217),1)),IF(OR(N$2="Fixed",N$2="Not Used"),(IF(COUNTIFS(EmpNo,$C217,OFFSET(Emp!$R$4,1,MATCH(N$5,DedListItem,0)-1,EmpCount,1),"&lt;&gt;")&gt;0,VLOOKUP($C217,EmpAll,COLUMN(Emp!$R$4)+MATCH(N$5,DedListItem,0)-1,0),OFFSET(Setup!$E$73,MATCH(N$5,DedListItem,0),0,1,1))*$AA217)-SUMIFS(OFFSET(N$6,1,0,PayCount,1),PayDate,"&lt;"&amp;$AC217,PayEmp,$C217),IF(ISNA(MATCH(N$2,EarnListItem,0))=FALSE,IF(OFFSET(Setup!$G$73,MATCH(N$5,DedListItem,0),0,1,1)="Taxable",SUMPRODUCT((PayEmp=$C217)*(PayDate&lt;=$AC217)*(PayEarnCode=N$2)*(PayEarnTax)*(PayEarnValues)),SUMPRODUCT((PayEmp=$C217)*(PayDate&lt;=$AC217)*(PayEarnCode=N$2)*(PayEarnValues)))*IF(COUNTIFS(EmpNo,$C217,OFFSET(Emp!$R$4,1,MATCH(N$5,DedListItem,0)-1,EmpCount,1),"&lt;&gt;")&gt;0,VLOOKUP($C217,EmpAll,COLUMN(Emp!$R$4)+MATCH(N$5,DedListItem,0)-1,0),OFFSET(Setup!$E$73,MATCH(N$5,DedListItem,0),0,1,1)),(MIN(IF(OFFSET(Setup!$G$73,MATCH(N$5,DedListItem,0),0,1,1)="Taxable",SUMPRODUCT((PayEmp=$C217)*(PayDate&lt;=$AC217)*(ISERROR(SEARCH(PayEarnCode,N$4)))*(PayEarnTax)*(PayEarnValues)),SUMPRODUCT((PayEmp=$C217)*(PayDate&lt;=$AC217)*(ISERROR(SEARCH(PayEarnCode,N$4)))*(PayEarnValues))),IF(ISNUMBER(N$3),N$3/12*$AA217,IgnoreMin)))*IF(COUNTIFS(EmpNo,$C217,OFFSET(Emp!$R$4,1,MATCH(N$5,DedListItem,0)-1,EmpCount,1),"&lt;&gt;")&gt;0,VLOOKUP($C217,EmpAll,COLUMN(Emp!$R$4)+MATCH(N$5,DedListItem,0)-1,0),OFFSET(Setup!$E$73,MATCH(N$5,DedListItem,0),0,1,1)))-SUMIFS(OFFSET(N$6,1,0,PayCount,1),PayDate,"&lt;"&amp;$AC217,PayEmp,$C217))))))</f>
        <v>0</v>
      </c>
      <c r="O217" s="133" cm="1">
        <f t="array" aca="1" ref="O217" ca="1">IF($F217="Terminated",0,IF($AA217=0,0,IF(ISNA(MATCH(O$5,DedListItem,0)),0,IF(COUNTIFS(OverEmp,$C217,OverDeduct,O$5,OverDate,"&lt;"&amp;DATE(YEAR($AC217),MONTH($AC217)+1,1),OverEnd,"&gt;="&amp;DATE(YEAR($AC217),MONTH($AC217),1))&gt;0,SUMIFS(OverValue,OverEmp,$C217,OverDeduct,O$5,OverDate,"&lt;"&amp;DATE(YEAR($AC217),MONTH($AC217)+1,1),OverEnd,"&gt;="&amp;DATE(YEAR($AC217),MONTH($AC217),1)),IF(OR(O$2="Fixed",O$2="Not Used"),(IF(COUNTIFS(EmpNo,$C217,OFFSET(Emp!$R$4,1,MATCH(O$5,DedListItem,0)-1,EmpCount,1),"&lt;&gt;")&gt;0,VLOOKUP($C217,EmpAll,COLUMN(Emp!$R$4)+MATCH(O$5,DedListItem,0)-1,0),OFFSET(Setup!$E$73,MATCH(O$5,DedListItem,0),0,1,1))*$AA217)-SUMIFS(OFFSET(O$6,1,0,PayCount,1),PayDate,"&lt;"&amp;$AC217,PayEmp,$C217),IF(ISNA(MATCH(O$2,EarnListItem,0))=FALSE,IF(OFFSET(Setup!$G$73,MATCH(O$5,DedListItem,0),0,1,1)="Taxable",SUMPRODUCT((PayEmp=$C217)*(PayDate&lt;=$AC217)*(PayEarnCode=O$2)*(PayEarnTax)*(PayEarnValues)),SUMPRODUCT((PayEmp=$C217)*(PayDate&lt;=$AC217)*(PayEarnCode=O$2)*(PayEarnValues)))*IF(COUNTIFS(EmpNo,$C217,OFFSET(Emp!$R$4,1,MATCH(O$5,DedListItem,0)-1,EmpCount,1),"&lt;&gt;")&gt;0,VLOOKUP($C217,EmpAll,COLUMN(Emp!$R$4)+MATCH(O$5,DedListItem,0)-1,0),OFFSET(Setup!$E$73,MATCH(O$5,DedListItem,0),0,1,1)),(MIN(IF(OFFSET(Setup!$G$73,MATCH(O$5,DedListItem,0),0,1,1)="Taxable",SUMPRODUCT((PayEmp=$C217)*(PayDate&lt;=$AC217)*(ISERROR(SEARCH(PayEarnCode,O$4)))*(PayEarnTax)*(PayEarnValues)),SUMPRODUCT((PayEmp=$C217)*(PayDate&lt;=$AC217)*(ISERROR(SEARCH(PayEarnCode,O$4)))*(PayEarnValues))),IF(ISNUMBER(O$3),O$3/12*$AA217,IgnoreMin)))*IF(COUNTIFS(EmpNo,$C217,OFFSET(Emp!$R$4,1,MATCH(O$5,DedListItem,0)-1,EmpCount,1),"&lt;&gt;")&gt;0,VLOOKUP($C217,EmpAll,COLUMN(Emp!$R$4)+MATCH(O$5,DedListItem,0)-1,0),OFFSET(Setup!$E$73,MATCH(O$5,DedListItem,0),0,1,1)))-SUMIFS(OFFSET(O$6,1,0,PayCount,1),PayDate,"&lt;"&amp;$AC217,PayEmp,$C217))))))</f>
        <v>0</v>
      </c>
      <c r="P217" s="133" cm="1">
        <f t="array" aca="1" ref="P217" ca="1">IF($F217="Terminated",0,IF($AA217=0,0,IF(ISNA(MATCH(P$5,DedListItem,0)),0,IF(COUNTIFS(OverEmp,$C217,OverDeduct,P$5,OverDate,"&lt;"&amp;DATE(YEAR($AC217),MONTH($AC217)+1,1),OverEnd,"&gt;="&amp;DATE(YEAR($AC217),MONTH($AC217),1))&gt;0,SUMIFS(OverValue,OverEmp,$C217,OverDeduct,P$5,OverDate,"&lt;"&amp;DATE(YEAR($AC217),MONTH($AC217)+1,1),OverEnd,"&gt;="&amp;DATE(YEAR($AC217),MONTH($AC217),1)),IF(OR(P$2="Fixed",P$2="Not Used"),(IF(COUNTIFS(EmpNo,$C217,OFFSET(Emp!$R$4,1,MATCH(P$5,DedListItem,0)-1,EmpCount,1),"&lt;&gt;")&gt;0,VLOOKUP($C217,EmpAll,COLUMN(Emp!$R$4)+MATCH(P$5,DedListItem,0)-1,0),OFFSET(Setup!$E$73,MATCH(P$5,DedListItem,0),0,1,1))*$AA217)-SUMIFS(OFFSET(P$6,1,0,PayCount,1),PayDate,"&lt;"&amp;$AC217,PayEmp,$C217),IF(ISNA(MATCH(P$2,EarnListItem,0))=FALSE,IF(OFFSET(Setup!$G$73,MATCH(P$5,DedListItem,0),0,1,1)="Taxable",SUMPRODUCT((PayEmp=$C217)*(PayDate&lt;=$AC217)*(PayEarnCode=P$2)*(PayEarnTax)*(PayEarnValues)),SUMPRODUCT((PayEmp=$C217)*(PayDate&lt;=$AC217)*(PayEarnCode=P$2)*(PayEarnValues)))*IF(COUNTIFS(EmpNo,$C217,OFFSET(Emp!$R$4,1,MATCH(P$5,DedListItem,0)-1,EmpCount,1),"&lt;&gt;")&gt;0,VLOOKUP($C217,EmpAll,COLUMN(Emp!$R$4)+MATCH(P$5,DedListItem,0)-1,0),OFFSET(Setup!$E$73,MATCH(P$5,DedListItem,0),0,1,1)),(MIN(IF(OFFSET(Setup!$G$73,MATCH(P$5,DedListItem,0),0,1,1)="Taxable",SUMPRODUCT((PayEmp=$C217)*(PayDate&lt;=$AC217)*(ISERROR(SEARCH(PayEarnCode,P$4)))*(PayEarnTax)*(PayEarnValues)),SUMPRODUCT((PayEmp=$C217)*(PayDate&lt;=$AC217)*(ISERROR(SEARCH(PayEarnCode,P$4)))*(PayEarnValues))),IF(ISNUMBER(P$3),P$3/12*$AA217,IgnoreMin)))*IF(COUNTIFS(EmpNo,$C217,OFFSET(Emp!$R$4,1,MATCH(P$5,DedListItem,0)-1,EmpCount,1),"&lt;&gt;")&gt;0,VLOOKUP($C217,EmpAll,COLUMN(Emp!$R$4)+MATCH(P$5,DedListItem,0)-1,0),OFFSET(Setup!$E$73,MATCH(P$5,DedListItem,0),0,1,1)))-SUMIFS(OFFSET(P$6,1,0,PayCount,1),PayDate,"&lt;"&amp;$AC217,PayEmp,$C217))))))</f>
        <v>0</v>
      </c>
      <c r="Q217" s="133" cm="1">
        <f t="array" aca="1" ref="Q217" ca="1">IF($F217="Terminated",0,IF($AA217=0,0,IF(ISNA(MATCH(Q$5,DedListItem,0)),0,IF(COUNTIFS(OverEmp,$C217,OverDeduct,Q$5,OverDate,"&lt;"&amp;DATE(YEAR($AC217),MONTH($AC217)+1,1),OverEnd,"&gt;="&amp;DATE(YEAR($AC217),MONTH($AC217),1))&gt;0,SUMIFS(OverValue,OverEmp,$C217,OverDeduct,Q$5,OverDate,"&lt;"&amp;DATE(YEAR($AC217),MONTH($AC217)+1,1),OverEnd,"&gt;="&amp;DATE(YEAR($AC217),MONTH($AC217),1)),IF(OR(Q$2="Fixed",Q$2="Not Used"),(IF(COUNTIFS(EmpNo,$C217,OFFSET(Emp!$R$4,1,MATCH(Q$5,DedListItem,0)-1,EmpCount,1),"&lt;&gt;")&gt;0,VLOOKUP($C217,EmpAll,COLUMN(Emp!$R$4)+MATCH(Q$5,DedListItem,0)-1,0),OFFSET(Setup!$E$73,MATCH(Q$5,DedListItem,0),0,1,1))*$AA217)-SUMIFS(OFFSET(Q$6,1,0,PayCount,1),PayDate,"&lt;"&amp;$AC217,PayEmp,$C217),IF(ISNA(MATCH(Q$2,EarnListItem,0))=FALSE,IF(OFFSET(Setup!$G$73,MATCH(Q$5,DedListItem,0),0,1,1)="Taxable",SUMPRODUCT((PayEmp=$C217)*(PayDate&lt;=$AC217)*(PayEarnCode=Q$2)*(PayEarnTax)*(PayEarnValues)),SUMPRODUCT((PayEmp=$C217)*(PayDate&lt;=$AC217)*(PayEarnCode=Q$2)*(PayEarnValues)))*IF(COUNTIFS(EmpNo,$C217,OFFSET(Emp!$R$4,1,MATCH(Q$5,DedListItem,0)-1,EmpCount,1),"&lt;&gt;")&gt;0,VLOOKUP($C217,EmpAll,COLUMN(Emp!$R$4)+MATCH(Q$5,DedListItem,0)-1,0),OFFSET(Setup!$E$73,MATCH(Q$5,DedListItem,0),0,1,1)),(MIN(IF(OFFSET(Setup!$G$73,MATCH(Q$5,DedListItem,0),0,1,1)="Taxable",SUMPRODUCT((PayEmp=$C217)*(PayDate&lt;=$AC217)*(ISERROR(SEARCH(PayEarnCode,Q$4)))*(PayEarnTax)*(PayEarnValues)),SUMPRODUCT((PayEmp=$C217)*(PayDate&lt;=$AC217)*(ISERROR(SEARCH(PayEarnCode,Q$4)))*(PayEarnValues))),IF(ISNUMBER(Q$3),Q$3/12*$AA217,IgnoreMin)))*IF(COUNTIFS(EmpNo,$C217,OFFSET(Emp!$R$4,1,MATCH(Q$5,DedListItem,0)-1,EmpCount,1),"&lt;&gt;")&gt;0,VLOOKUP($C217,EmpAll,COLUMN(Emp!$R$4)+MATCH(Q$5,DedListItem,0)-1,0),OFFSET(Setup!$E$73,MATCH(Q$5,DedListItem,0),0,1,1)))-SUMIFS(OFFSET(Q$6,1,0,PayCount,1),PayDate,"&lt;"&amp;$AC217,PayEmp,$C217))))))</f>
        <v>0</v>
      </c>
      <c r="R217" s="185">
        <f t="shared" ref="R217:R225" ca="1" si="125">SUM(OFFSET(M217,0,0,1,COLUMN($R$6)-COLUMN($M$6)))</f>
        <v>0</v>
      </c>
      <c r="S217" s="139">
        <f t="shared" ref="S217:S225" ca="1" si="126">ROUND(SUM(L217,-R217),2)</f>
        <v>0</v>
      </c>
      <c r="T217" s="133" cm="1">
        <f t="array" aca="1" ref="T217" ca="1">IF($F217="Terminated",0,IF($AA217=0,0,IF(ISNA(MATCH(T$5,CompListItem,0)),0,IF(COUNTIFS(OverEmp,$C217,OverComp,T$5,OverDate,"&lt;"&amp;DATE(YEAR($AC217),MONTH($AC217)+1,1),OverEnd,"&gt;="&amp;DATE(YEAR($AC217),MONTH($AC217),1))&gt;0,SUMIFS(OverValue,OverEmp,$C217,OverComp,T$5,OverDate,"&lt;"&amp;DATE(YEAR($AC217),MONTH($AC217)+1,1),OverEnd,"&gt;="&amp;DATE(YEAR($AC217),MONTH($AC217),1)),IF(OR(T$2="Fixed",T$2="Not Used"),(OFFSET(Setup!$E$81,MATCH(T$5,CompListItem,0),0,1,1)*$AA217)-SUMIFS(OFFSET(T$6,1,0,PayCount,1),PayDate,"&lt;"&amp;$AC217,PayEmp,$C217),IF(ISNA(MATCH(T$2,DedListItem,0))=FALSE,(SUMPRODUCT((PayEmp=$C217)*(PayDate&lt;=$AC217)*(PayDedList=T$2)*(PayDedValues))*OFFSET(Setup!$E$81,MATCH(T$5,CompListItem,0),0,1,1))-SUMIFS(OFFSET(T$6,1,0,PayCount,1),PayDate,"&lt;"&amp;$AC217,PayEmp,$C217),(MIN(IF(OFFSET(Setup!$G$81,MATCH(T$5,CompListItem,0),0,1,1)="Taxable",SUMPRODUCT((PayEmp=$C217)*(PayDate&lt;=$AC217)*(ISERROR(SEARCH(PayEarnCode,T$4)))*(PayEarnTax)*(PayEarnValues)),SUMPRODUCT((PayEmp=$C217)*(PayDate&lt;=$AC217)*(ISERROR(SEARCH(PayEarnCode,T$4)))*(PayEarnValues))),IF(ISNUMBER(T$3),T$3/12*$AA217,IgnoreMin)))*OFFSET(Setup!$E$81,MATCH(T$5,CompListItem,0),0,1,1)-SUMIFS(OFFSET(T$6,1,0,PayCount,1),PayDate,"&lt;"&amp;$AC217,PayEmp,$C217)))))))</f>
        <v>0</v>
      </c>
      <c r="U217" s="133" cm="1">
        <f t="array" aca="1" ref="U217" ca="1">IF($F217="Terminated",0,IF($AA217=0,0,IF(ISNA(MATCH(U$5,CompListItem,0)),0,IF(COUNTIFS(OverEmp,$C217,OverComp,U$5,OverDate,"&lt;"&amp;DATE(YEAR($AC217),MONTH($AC217)+1,1),OverEnd,"&gt;="&amp;DATE(YEAR($AC217),MONTH($AC217),1))&gt;0,SUMIFS(OverValue,OverEmp,$C217,OverComp,U$5,OverDate,"&lt;"&amp;DATE(YEAR($AC217),MONTH($AC217)+1,1),OverEnd,"&gt;="&amp;DATE(YEAR($AC217),MONTH($AC217),1)),IF(OR(U$2="Fixed",U$2="Not Used"),(OFFSET(Setup!$E$81,MATCH(U$5,CompListItem,0),0,1,1)*$AA217)-SUMIFS(OFFSET(U$6,1,0,PayCount,1),PayDate,"&lt;"&amp;$AC217,PayEmp,$C217),IF(ISNA(MATCH(U$2,DedListItem,0))=FALSE,(SUMPRODUCT((PayEmp=$C217)*(PayDate&lt;=$AC217)*(PayDedList=U$2)*(PayDedValues))*OFFSET(Setup!$E$81,MATCH(U$5,CompListItem,0),0,1,1))-SUMIFS(OFFSET(U$6,1,0,PayCount,1),PayDate,"&lt;"&amp;$AC217,PayEmp,$C217),(MIN(IF(OFFSET(Setup!$G$81,MATCH(U$5,CompListItem,0),0,1,1)="Taxable",SUMPRODUCT((PayEmp=$C217)*(PayDate&lt;=$AC217)*(ISERROR(SEARCH(PayEarnCode,U$4)))*(PayEarnTax)*(PayEarnValues)),SUMPRODUCT((PayEmp=$C217)*(PayDate&lt;=$AC217)*(ISERROR(SEARCH(PayEarnCode,U$4)))*(PayEarnValues))),IF(ISNUMBER(U$3),U$3/12*$AA217,IgnoreMin)))*OFFSET(Setup!$E$81,MATCH(U$5,CompListItem,0),0,1,1)-SUMIFS(OFFSET(U$6,1,0,PayCount,1),PayDate,"&lt;"&amp;$AC217,PayEmp,$C217)))))))</f>
        <v>0</v>
      </c>
      <c r="V217" s="133" cm="1">
        <f t="array" aca="1" ref="V217" ca="1">IF($F217="Terminated",0,IF($AA217=0,0,IF(ISNA(MATCH(V$5,CompListItem,0)),0,IF(COUNTIFS(OverEmp,$C217,OverComp,V$5,OverDate,"&lt;"&amp;DATE(YEAR($AC217),MONTH($AC217)+1,1),OverEnd,"&gt;="&amp;DATE(YEAR($AC217),MONTH($AC217),1))&gt;0,SUMIFS(OverValue,OverEmp,$C217,OverComp,V$5,OverDate,"&lt;"&amp;DATE(YEAR($AC217),MONTH($AC217)+1,1),OverEnd,"&gt;="&amp;DATE(YEAR($AC217),MONTH($AC217),1)),IF(OR(V$2="Fixed",V$2="Not Used"),(OFFSET(Setup!$E$81,MATCH(V$5,CompListItem,0),0,1,1)*$AA217)-SUMIFS(OFFSET(V$6,1,0,PayCount,1),PayDate,"&lt;"&amp;$AC217,PayEmp,$C217),IF(ISNA(MATCH(V$2,DedListItem,0))=FALSE,(SUMPRODUCT((PayEmp=$C217)*(PayDate&lt;=$AC217)*(PayDedList=V$2)*(PayDedValues))*OFFSET(Setup!$E$81,MATCH(V$5,CompListItem,0),0,1,1))-SUMIFS(OFFSET(V$6,1,0,PayCount,1),PayDate,"&lt;"&amp;$AC217,PayEmp,$C217),(MIN(IF(OFFSET(Setup!$G$81,MATCH(V$5,CompListItem,0),0,1,1)="Taxable",SUMPRODUCT((PayEmp=$C217)*(PayDate&lt;=$AC217)*(ISERROR(SEARCH(PayEarnCode,V$4)))*(PayEarnTax)*(PayEarnValues)),SUMPRODUCT((PayEmp=$C217)*(PayDate&lt;=$AC217)*(ISERROR(SEARCH(PayEarnCode,V$4)))*(PayEarnValues))),IF(ISNUMBER(V$3),V$3/12*$AA217,IgnoreMin)))*OFFSET(Setup!$E$81,MATCH(V$5,CompListItem,0),0,1,1)-SUMIFS(OFFSET(V$6,1,0,PayCount,1),PayDate,"&lt;"&amp;$AC217,PayEmp,$C217)))))))</f>
        <v>0</v>
      </c>
      <c r="W217" s="133" cm="1">
        <f t="array" aca="1" ref="W217" ca="1">IF($F217="Terminated",0,IF($AA217=0,0,IF(ISNA(MATCH(W$5,CompListItem,0)),0,IF(COUNTIFS(OverEmp,$C217,OverComp,W$5,OverDate,"&lt;"&amp;DATE(YEAR($AC217),MONTH($AC217)+1,1),OverEnd,"&gt;="&amp;DATE(YEAR($AC217),MONTH($AC217),1))&gt;0,SUMIFS(OverValue,OverEmp,$C217,OverComp,W$5,OverDate,"&lt;"&amp;DATE(YEAR($AC217),MONTH($AC217)+1,1),OverEnd,"&gt;="&amp;DATE(YEAR($AC217),MONTH($AC217),1)),IF(OR(W$2="Fixed",W$2="Not Used"),(OFFSET(Setup!$E$81,MATCH(W$5,CompListItem,0),0,1,1)*$AA217)-SUMIFS(OFFSET(W$6,1,0,PayCount,1),PayDate,"&lt;"&amp;$AC217,PayEmp,$C217),IF(ISNA(MATCH(W$2,DedListItem,0))=FALSE,(SUMPRODUCT((PayEmp=$C217)*(PayDate&lt;=$AC217)*(PayDedList=W$2)*(PayDedValues))*OFFSET(Setup!$E$81,MATCH(W$5,CompListItem,0),0,1,1))-SUMIFS(OFFSET(W$6,1,0,PayCount,1),PayDate,"&lt;"&amp;$AC217,PayEmp,$C217),(MIN(IF(OFFSET(Setup!$G$81,MATCH(W$5,CompListItem,0),0,1,1)="Taxable",SUMPRODUCT((PayEmp=$C217)*(PayDate&lt;=$AC217)*(ISERROR(SEARCH(PayEarnCode,W$4)))*(PayEarnTax)*(PayEarnValues)),SUMPRODUCT((PayEmp=$C217)*(PayDate&lt;=$AC217)*(ISERROR(SEARCH(PayEarnCode,W$4)))*(PayEarnValues))),IF(ISNUMBER(W$3),W$3/12*$AA217,IgnoreMin)))*OFFSET(Setup!$E$81,MATCH(W$5,CompListItem,0),0,1,1)-SUMIFS(OFFSET(W$6,1,0,PayCount,1),PayDate,"&lt;"&amp;$AC217,PayEmp,$C217)))))))</f>
        <v>0</v>
      </c>
      <c r="X217" s="185">
        <f t="shared" ref="X217:X225" ca="1" si="127">SUM(OFFSET($T217,0,0,1,COLUMN($X$6)-COLUMN($T$7)))</f>
        <v>0</v>
      </c>
      <c r="Y217" s="139">
        <f t="shared" ref="Y217:Y225" ca="1" si="128">L217+X217</f>
        <v>0</v>
      </c>
      <c r="Z217" s="139">
        <f t="shared" ref="Z217:Z225" ca="1" si="129">ROUND(SUM(R217,X217),2)</f>
        <v>0</v>
      </c>
      <c r="AA217" s="146">
        <f ca="1">IF(OR($B217&lt;=Setup!$E$12,$B217&gt;=Setup!$D$12+1),0,IF($F217&lt;&gt;"Active",0,IF($AE217="Yes",$AB217,((YEAR($AC217)*12)+MONTH($AC217))-((YEAR($AD217)*12)+MONTH($AD217)-1))))</f>
        <v>0</v>
      </c>
      <c r="AB217" s="146">
        <f ca="1">IF(OR($B217&lt;=Setup!$E$12,$B217&gt;=Setup!$D$12+1),0,((YEAR($AC217)*12)+MONTH($AC217))-((YEAR(Setup!$E$12)*12)+MONTH(Setup!$E$12)))</f>
        <v>12</v>
      </c>
      <c r="AC217" s="186">
        <f t="shared" ref="AC217:AC225" ca="1" si="130">DATE(YEAR($B217),MONTH($B217),DAY($B217))</f>
        <v>45351</v>
      </c>
      <c r="AD217" s="144">
        <f ca="1">IF(ISNA(VLOOKUP($C217,EmpAll,COLUMN(Emp!$E$4),0)),$AC217,IF(VLOOKUP($C217,EmpAll,COLUMN(Emp!$E$4),0)&lt;=Setup!$E$12,DATE(YEAR(Setup!$E$12),MONTH(Setup!$E$12)+1,1),VLOOKUP($C217,EmpAll,COLUMN(Emp!$E$4),0)))</f>
        <v>45351</v>
      </c>
      <c r="AE217" s="144" t="str">
        <f ca="1">IF(ISNA(VLOOKUP($C217,EmpAll,COLUMN(Emp!$G$1),0)),"-",IF(VLOOKUP($C217,EmpAll,COLUMN(Emp!$G$1),0)=0,"-",VLOOKUP($C217,EmpAll,COLUMN(Emp!$G$1),0)))</f>
        <v>-</v>
      </c>
      <c r="AF217" s="145">
        <f>IF(A217=PaySlip!$G$3,1,0)</f>
        <v>0</v>
      </c>
      <c r="AG217" s="130" cm="1">
        <f t="array" aca="1" ref="AG217" ca="1">IF(COUNTIFS(OverEmp,$C217,OverMed,"MED",OverDate,"&lt;"&amp;DATE(YEAR($AC217),MONTH($AC217)+1,1),OverEnd,"&gt;="&amp;DATE(YEAR($AC217),MONTH($AC217),1))&gt;0,SUMIFS(OverValue,OverEmp,$C217,OverMed,"MED",OverDate,"&lt;"&amp;DATE(YEAR($AC217),MONTH($AC217)+1,1),OverEnd,"&gt;="&amp;DATE(YEAR($AC217),MONTH($AC217),1)),IF(ISNA(VLOOKUP($C217,EmpAll,COLUMN(Emp!$N$4),0)),0,VLOOKUP($C217,EmpAll,COLUMN(Emp!$N$4),0)))</f>
        <v>0</v>
      </c>
      <c r="AH217" s="146">
        <f ca="1">VLOOKUP($AG217,MedList,COLUMN(Setup!$C$49),1)</f>
        <v>0</v>
      </c>
      <c r="AI217" s="146">
        <f t="shared" ca="1" si="107"/>
        <v>0</v>
      </c>
      <c r="AJ217" s="101" t="str">
        <f ca="1">IF(ISNA(VLOOKUP($C217,EmpAll,COLUMN(Emp!$L$4),0)),"None!",VLOOKUP($C217,EmpAll,COLUMN(Emp!$L$4),0))</f>
        <v>None!</v>
      </c>
      <c r="AK217" s="147">
        <f t="shared" ca="1" si="102"/>
        <v>17235</v>
      </c>
      <c r="AL217" s="101" t="str">
        <f ca="1">IF(ISNA(VLOOKUP($C217,Employees[],COLUMN(Emp!$M$4),0))=TRUE,"Error!",IF(VLOOKUP($C217,Employees[],COLUMN(Emp!$M$4),0)=0,"Yes",VLOOKUP($C217,Employees[],COLUMN(Emp!$M$4),0)))</f>
        <v>Error!</v>
      </c>
      <c r="AM217" s="148">
        <f t="shared" ca="1" si="108"/>
        <v>0</v>
      </c>
      <c r="AN217" s="148" cm="1">
        <f t="array" aca="1" ref="AN217" ca="1">-IF($F217="Terminated",0,IF($AA217=0,0,IF(ISNA(MATCH(AN$5,PayDedList,0)),0,MIN(IF(COUNTIFS(OverEmp,$C217,OverDeduct,AN$5,OverDate,"&lt;"&amp;DATE(YEAR($AC217),MONTH($AC217)+1,1),OverEnd,"&gt;="&amp;DATE(YEAR($AC217),MONTH($AC217),1))&gt;0,SUMPRODUCT((PayEmp=$C217)*(PayDate&lt;=$AC217)*(OFFSET($N$6,1,MATCH(AN$5,PayDedList,0)-1,PayCount,1)))/$AA217*12*AN$3,IF(OR(AN$1="Fixed",AN$1="Not Used"),SUMPRODUCT((PayEmp=$C217)*(PayDate&lt;=$AC217)*(OFFSET($N$6,1,MATCH(AN$5,PayDedList,0)-1,PayCount,1)))/$AA217*12*AN$3,IF(ISNA(MATCH(AN$1,EarnListItem,0))=FALSE,SUMPRODUCT((PayEmp=$C217)*(PayDate&lt;=$AC217)*(OFFSET($N$6,1,MATCH(AN$5,PayDedList,0)-1,PayCount,1)))/$AA217*12*AN$3,(MIN(((SUMPRODUCT((PayEmp=$C217)*(PayDate&lt;=$AC217)*(ISERROR(SEARCH(PayEarnCode,AN$2)))*(PayEarnType="Monthly")*(PayEarnValues))/$AA217*12)+(SUMPRODUCT((PayEmp=$C217)*(PayDate&lt;=$AC217)*(ISERROR(SEARCH(PayEarnCode,AN$2)))*(PayEarnType="Quarterly")*(PayEarnValues))/MAX(1,ROUNDDOWN($AB217/3,0))*4)+(SUMPRODUCT((PayEmp=$C217)*(PayDate&lt;=$AC217)*(ISERROR(SEARCH(PayEarnCode,AN$2)))*(PayEarnType="Bi-Annual")*(PayEarnValues))/MAX(1,ROUNDDOWN($AB217/6,0))*2)+(SUMPRODUCT((PayEmp=$C217)*(PayDate&lt;=$AC217)*(ISERROR(SEARCH(PayEarnCode,AN$2)))*(PayEarnType="Annual")*(PayEarnValues)))),IF(ISNUMBER(OFFSET($N$3,0,MATCH(AN$5,PayDedList,0)-1,1,1)),OFFSET($N$3,0,MATCH(AN$5,PayDedList,0)-1,1,1),IgnoreMin)))*IF(COUNTIFS(EmpNo,$C217,OFFSET(Emp!$R$4,1,MATCH(AN$5,DedListItem,0)-1,EmpCount,1),"&lt;&gt;")&gt;0,VLOOKUP($C217,EmpAll,COLUMN(Emp!$R$4)+MATCH(AN$5,DedListItem,0)-1,0),OFFSET(Setup!$E$73,MATCH(AN$5,DedListItem,0),0,1,1))*AN$3))),IF(ISNUMBER(AN$4),AN$4,IgnoreMin)))))</f>
        <v>0</v>
      </c>
      <c r="AO217" s="148" cm="1">
        <f t="array" aca="1" ref="AO217" ca="1">-IF($F217="Terminated",0,IF($AA217=0,0,IF(ISNA(MATCH(AO$5,PayDedList,0)),0,MIN(IF(COUNTIFS(OverEmp,$C217,OverDeduct,AO$5,OverDate,"&lt;"&amp;DATE(YEAR($AC217),MONTH($AC217)+1,1),OverEnd,"&gt;="&amp;DATE(YEAR($AC217),MONTH($AC217),1))&gt;0,SUMPRODUCT((PayEmp=$C217)*(PayDate&lt;=$AC217)*(OFFSET($N$6,1,MATCH(AO$5,PayDedList,0)-1,PayCount,1)))/$AA217*12*AO$3,IF(OR(AO$1="Fixed",AO$1="Not Used"),SUMPRODUCT((PayEmp=$C217)*(PayDate&lt;=$AC217)*(OFFSET($N$6,1,MATCH(AO$5,PayDedList,0)-1,PayCount,1)))/$AA217*12*AO$3,IF(ISNA(MATCH(AO$1,EarnListItem,0))=FALSE,SUMPRODUCT((PayEmp=$C217)*(PayDate&lt;=$AC217)*(OFFSET($N$6,1,MATCH(AO$5,PayDedList,0)-1,PayCount,1)))/$AA217*12*AO$3,(MIN(((SUMPRODUCT((PayEmp=$C217)*(PayDate&lt;=$AC217)*(ISERROR(SEARCH(PayEarnCode,AO$2)))*(PayEarnType="Monthly")*(PayEarnValues))/$AA217*12)+(SUMPRODUCT((PayEmp=$C217)*(PayDate&lt;=$AC217)*(ISERROR(SEARCH(PayEarnCode,AO$2)))*(PayEarnType="Quarterly")*(PayEarnValues))/MAX(1,ROUNDDOWN($AB217/3,0))*4)+(SUMPRODUCT((PayEmp=$C217)*(PayDate&lt;=$AC217)*(ISERROR(SEARCH(PayEarnCode,AO$2)))*(PayEarnType="Bi-Annual")*(PayEarnValues))/MAX(1,ROUNDDOWN($AB217/6,0))*2)+(SUMPRODUCT((PayEmp=$C217)*(PayDate&lt;=$AC217)*(ISERROR(SEARCH(PayEarnCode,AO$2)))*(PayEarnType="Annual")*(PayEarnValues)))),IF(ISNUMBER(OFFSET($N$3,0,MATCH(AO$5,PayDedList,0)-1,1,1)),OFFSET($N$3,0,MATCH(AO$5,PayDedList,0)-1,1,1),IgnoreMin)))*IF(COUNTIFS(EmpNo,$C217,OFFSET(Emp!$R$4,1,MATCH(AO$5,DedListItem,0)-1,EmpCount,1),"&lt;&gt;")&gt;0,VLOOKUP($C217,EmpAll,COLUMN(Emp!$R$4)+MATCH(AO$5,DedListItem,0)-1,0),OFFSET(Setup!$E$73,MATCH(AO$5,DedListItem,0),0,1,1))*AO$3))),IF(ISNUMBER(AO$4),AO$4,IgnoreMin)))))</f>
        <v>0</v>
      </c>
      <c r="AP217" s="148" cm="1">
        <f t="array" aca="1" ref="AP217" ca="1">-IF($F217="Terminated",0,IF($AA217=0,0,IF(ISNA(MATCH(AP$5,PayDedList,0)),0,MIN(IF(COUNTIFS(OverEmp,$C217,OverDeduct,AP$5,OverDate,"&lt;"&amp;DATE(YEAR($AC217),MONTH($AC217)+1,1),OverEnd,"&gt;="&amp;DATE(YEAR($AC217),MONTH($AC217),1))&gt;0,SUMPRODUCT((PayEmp=$C217)*(PayDate&lt;=$AC217)*(OFFSET($N$6,1,MATCH(AP$5,PayDedList,0)-1,PayCount,1)))/$AA217*12*AP$3,IF(OR(AP$1="Fixed",AP$1="Not Used"),SUMPRODUCT((PayEmp=$C217)*(PayDate&lt;=$AC217)*(OFFSET($N$6,1,MATCH(AP$5,PayDedList,0)-1,PayCount,1)))/$AA217*12*AP$3,IF(ISNA(MATCH(AP$1,EarnListItem,0))=FALSE,SUMPRODUCT((PayEmp=$C217)*(PayDate&lt;=$AC217)*(OFFSET($N$6,1,MATCH(AP$5,PayDedList,0)-1,PayCount,1)))/$AA217*12*AP$3,(MIN(((SUMPRODUCT((PayEmp=$C217)*(PayDate&lt;=$AC217)*(ISERROR(SEARCH(PayEarnCode,AP$2)))*(PayEarnType="Monthly")*(PayEarnValues))/$AA217*12)+(SUMPRODUCT((PayEmp=$C217)*(PayDate&lt;=$AC217)*(ISERROR(SEARCH(PayEarnCode,AP$2)))*(PayEarnType="Quarterly")*(PayEarnValues))/MAX(1,ROUNDDOWN($AB217/3,0))*4)+(SUMPRODUCT((PayEmp=$C217)*(PayDate&lt;=$AC217)*(ISERROR(SEARCH(PayEarnCode,AP$2)))*(PayEarnType="Bi-Annual")*(PayEarnValues))/MAX(1,ROUNDDOWN($AB217/6,0))*2)+(SUMPRODUCT((PayEmp=$C217)*(PayDate&lt;=$AC217)*(ISERROR(SEARCH(PayEarnCode,AP$2)))*(PayEarnType="Annual")*(PayEarnValues)))),IF(ISNUMBER(OFFSET($N$3,0,MATCH(AP$5,PayDedList,0)-1,1,1)),OFFSET($N$3,0,MATCH(AP$5,PayDedList,0)-1,1,1),IgnoreMin)))*IF(COUNTIFS(EmpNo,$C217,OFFSET(Emp!$R$4,1,MATCH(AP$5,DedListItem,0)-1,EmpCount,1),"&lt;&gt;")&gt;0,VLOOKUP($C217,EmpAll,COLUMN(Emp!$R$4)+MATCH(AP$5,DedListItem,0)-1,0),OFFSET(Setup!$E$73,MATCH(AP$5,DedListItem,0),0,1,1))*AP$3))),IF(ISNUMBER(AP$4),AP$4,IgnoreMin)))))</f>
        <v>0</v>
      </c>
      <c r="AQ217" s="148" cm="1">
        <f t="array" aca="1" ref="AQ217" ca="1">-IF($F217="Terminated",0,IF($AA217=0,0,IF(ISNA(MATCH(AQ$5,PayDedList,0)),0,MIN(IF(COUNTIFS(OverEmp,$C217,OverDeduct,AQ$5,OverDate,"&lt;"&amp;DATE(YEAR($AC217),MONTH($AC217)+1,1),OverEnd,"&gt;="&amp;DATE(YEAR($AC217),MONTH($AC217),1))&gt;0,SUMPRODUCT((PayEmp=$C217)*(PayDate&lt;=$AC217)*(OFFSET($N$6,1,MATCH(AQ$5,PayDedList,0)-1,PayCount,1)))/$AA217*12*AQ$3,IF(OR(AQ$1="Fixed",AQ$1="Not Used"),SUMPRODUCT((PayEmp=$C217)*(PayDate&lt;=$AC217)*(OFFSET($N$6,1,MATCH(AQ$5,PayDedList,0)-1,PayCount,1)))/$AA217*12*AQ$3,IF(ISNA(MATCH(AQ$1,EarnListItem,0))=FALSE,SUMPRODUCT((PayEmp=$C217)*(PayDate&lt;=$AC217)*(OFFSET($N$6,1,MATCH(AQ$5,PayDedList,0)-1,PayCount,1)))/$AA217*12*AQ$3,(MIN(((SUMPRODUCT((PayEmp=$C217)*(PayDate&lt;=$AC217)*(ISERROR(SEARCH(PayEarnCode,AQ$2)))*(PayEarnType="Monthly")*(PayEarnValues))/$AA217*12)+(SUMPRODUCT((PayEmp=$C217)*(PayDate&lt;=$AC217)*(ISERROR(SEARCH(PayEarnCode,AQ$2)))*(PayEarnType="Quarterly")*(PayEarnValues))/MAX(1,ROUNDDOWN($AB217/3,0))*4)+(SUMPRODUCT((PayEmp=$C217)*(PayDate&lt;=$AC217)*(ISERROR(SEARCH(PayEarnCode,AQ$2)))*(PayEarnType="Bi-Annual")*(PayEarnValues))/MAX(1,ROUNDDOWN($AB217/6,0))*2)+(SUMPRODUCT((PayEmp=$C217)*(PayDate&lt;=$AC217)*(ISERROR(SEARCH(PayEarnCode,AQ$2)))*(PayEarnType="Annual")*(PayEarnValues)))),IF(ISNUMBER(OFFSET($N$3,0,MATCH(AQ$5,PayDedList,0)-1,1,1)),OFFSET($N$3,0,MATCH(AQ$5,PayDedList,0)-1,1,1),IgnoreMin)))*IF(COUNTIFS(EmpNo,$C217,OFFSET(Emp!$R$4,1,MATCH(AQ$5,DedListItem,0)-1,EmpCount,1),"&lt;&gt;")&gt;0,VLOOKUP($C217,EmpAll,COLUMN(Emp!$R$4)+MATCH(AQ$5,DedListItem,0)-1,0),OFFSET(Setup!$E$73,MATCH(AQ$5,DedListItem,0),0,1,1))*AQ$3))),IF(ISNUMBER(AQ$4),AQ$4,IgnoreMin)))))</f>
        <v>0</v>
      </c>
      <c r="AR217" s="148">
        <f t="shared" ref="AR217:AR225" ca="1" si="131">$AM217+SUM(OFFSET($AM217,0,1,1,COLUMN($AR$2)-COLUMN($AM$2)-1))</f>
        <v>0</v>
      </c>
      <c r="AS217" s="148">
        <f t="shared" ca="1" si="109"/>
        <v>0</v>
      </c>
      <c r="AT217" s="148" cm="1">
        <f t="array" aca="1" ref="AT217" ca="1">-IF($F217="Terminated",0,IF($AA217=0,0,IF(ISNA(MATCH(AT$5,PayDedList,0)),0,MIN(IF(COUNTIFS(OverEmp,$C217,OverDeduct,AT$5,OverDate,"&lt;"&amp;DATE(YEAR($AC217),MONTH($AC217)+1,1),OverEnd,"&gt;="&amp;DATE(YEAR($AC217),MONTH($AC217),1))&gt;0,SUMPRODUCT((PayEmp=$C217)*(PayDate&lt;=$AC217)*(OFFSET($N$6,1,MATCH(AT$5,PayDedList,0)-1,PayCount,1)))/$AA217*12*AT$3,IF(OR(AT$1="Fixed",AT$1="Not Used"),SUMPRODUCT((PayEmp=$C217)*(PayDate&lt;=$AC217)*(OFFSET($N$6,1,MATCH(AT$5,PayDedList,0)-1,PayCount,1)))/$AA217*12*AT$3,IF(ISNA(MATCH(OFFSET($N$2,0,MATCH(AT$5,PayDedList,0)-1,1,1),EarnListItem,0))=FALSE,SUMPRODUCT((PayEmp=$C217)*(PayDate&lt;=$AC217)*(OFFSET($N$6,1,MATCH(AT$5,PayDedList,0)-1,PayCount,1)))/$AA217*12*AT$3,(MIN(SUMPRODUCT((PayEmp=$C217)*(PayDate&lt;=$AC217)*(ISERROR(SEARCH(PayEarnCode,AT$2)))*(PayEarnType="Monthly")*(PayEarnValues))/$AA217*12,IF(ISNUMBER(OFFSET($N$3,0,MATCH(AT$5,PayDedList,0)-1,1,1)),OFFSET($N$3,0,MATCH(AT$5,PayDedList,0)-1,1,1),IgnoreMin)))*IF(COUNTIFS(EmpNo,$C217,OFFSET(Emp!$R$4,1,MATCH(AT$5,DedListItem,0)-1,EmpCount,1),"&lt;&gt;")&gt;0,VLOOKUP($C217,EmpAll,COLUMN(Emp!$R$4)+MATCH(AT$5,DedListItem,0)-1,0),OFFSET(Setup!$E$73,MATCH(AT$5,DedListItem,0),0,1,1))*AT$3))),IF(ISNUMBER(AT$4),AT$4,IgnoreMin)))))</f>
        <v>0</v>
      </c>
      <c r="AU217" s="148" cm="1">
        <f t="array" aca="1" ref="AU217" ca="1">-IF($F217="Terminated",0,IF($AA217=0,0,IF(ISNA(MATCH(AU$5,PayDedList,0)),0,MIN(IF(COUNTIFS(OverEmp,$C217,OverDeduct,AU$5,OverDate,"&lt;"&amp;DATE(YEAR($AC217),MONTH($AC217)+1,1),OverEnd,"&gt;="&amp;DATE(YEAR($AC217),MONTH($AC217),1))&gt;0,SUMPRODUCT((PayEmp=$C217)*(PayDate&lt;=$AC217)*(OFFSET($N$6,1,MATCH(AU$5,PayDedList,0)-1,PayCount,1)))/$AA217*12*AU$3,IF(OR(AU$1="Fixed",AU$1="Not Used"),SUMPRODUCT((PayEmp=$C217)*(PayDate&lt;=$AC217)*(OFFSET($N$6,1,MATCH(AU$5,PayDedList,0)-1,PayCount,1)))/$AA217*12*AU$3,IF(ISNA(MATCH(OFFSET($N$2,0,MATCH(AU$5,PayDedList,0)-1,1,1),EarnListItem,0))=FALSE,SUMPRODUCT((PayEmp=$C217)*(PayDate&lt;=$AC217)*(OFFSET($N$6,1,MATCH(AU$5,PayDedList,0)-1,PayCount,1)))/$AA217*12*AU$3,(MIN(SUMPRODUCT((PayEmp=$C217)*(PayDate&lt;=$AC217)*(ISERROR(SEARCH(PayEarnCode,AU$2)))*(PayEarnType="Monthly")*(PayEarnValues))/$AA217*12,IF(ISNUMBER(OFFSET($N$3,0,MATCH(AU$5,PayDedList,0)-1,1,1)),OFFSET($N$3,0,MATCH(AU$5,PayDedList,0)-1,1,1),IgnoreMin)))*IF(COUNTIFS(EmpNo,$C217,OFFSET(Emp!$R$4,1,MATCH(AU$5,DedListItem,0)-1,EmpCount,1),"&lt;&gt;")&gt;0,VLOOKUP($C217,EmpAll,COLUMN(Emp!$R$4)+MATCH(AU$5,DedListItem,0)-1,0),OFFSET(Setup!$E$73,MATCH(AU$5,DedListItem,0),0,1,1))*AU$3))),IF(ISNUMBER(AU$4),AU$4,IgnoreMin)))))</f>
        <v>0</v>
      </c>
      <c r="AV217" s="148" cm="1">
        <f t="array" aca="1" ref="AV217" ca="1">-IF($F217="Terminated",0,IF($AA217=0,0,IF(ISNA(MATCH(AV$5,PayDedList,0)),0,MIN(IF(COUNTIFS(OverEmp,$C217,OverDeduct,AV$5,OverDate,"&lt;"&amp;DATE(YEAR($AC217),MONTH($AC217)+1,1),OverEnd,"&gt;="&amp;DATE(YEAR($AC217),MONTH($AC217),1))&gt;0,SUMPRODUCT((PayEmp=$C217)*(PayDate&lt;=$AC217)*(OFFSET($N$6,1,MATCH(AV$5,PayDedList,0)-1,PayCount,1)))/$AA217*12*AV$3,IF(OR(AV$1="Fixed",AV$1="Not Used"),SUMPRODUCT((PayEmp=$C217)*(PayDate&lt;=$AC217)*(OFFSET($N$6,1,MATCH(AV$5,PayDedList,0)-1,PayCount,1)))/$AA217*12*AV$3,IF(ISNA(MATCH(OFFSET($N$2,0,MATCH(AV$5,PayDedList,0)-1,1,1),EarnListItem,0))=FALSE,SUMPRODUCT((PayEmp=$C217)*(PayDate&lt;=$AC217)*(OFFSET($N$6,1,MATCH(AV$5,PayDedList,0)-1,PayCount,1)))/$AA217*12*AV$3,(MIN(SUMPRODUCT((PayEmp=$C217)*(PayDate&lt;=$AC217)*(ISERROR(SEARCH(PayEarnCode,AV$2)))*(PayEarnType="Monthly")*(PayEarnValues))/$AA217*12,IF(ISNUMBER(OFFSET($N$3,0,MATCH(AV$5,PayDedList,0)-1,1,1)),OFFSET($N$3,0,MATCH(AV$5,PayDedList,0)-1,1,1),IgnoreMin)))*IF(COUNTIFS(EmpNo,$C217,OFFSET(Emp!$R$4,1,MATCH(AV$5,DedListItem,0)-1,EmpCount,1),"&lt;&gt;")&gt;0,VLOOKUP($C217,EmpAll,COLUMN(Emp!$R$4)+MATCH(AV$5,DedListItem,0)-1,0),OFFSET(Setup!$E$73,MATCH(AV$5,DedListItem,0),0,1,1))*AV$3))),IF(ISNUMBER(AV$4),AV$4,IgnoreMin)))))</f>
        <v>0</v>
      </c>
      <c r="AW217" s="148" cm="1">
        <f t="array" aca="1" ref="AW217" ca="1">-IF($F217="Terminated",0,IF($AA217=0,0,IF(ISNA(MATCH(AW$5,PayDedList,0)),0,MIN(IF(COUNTIFS(OverEmp,$C217,OverDeduct,AW$5,OverDate,"&lt;"&amp;DATE(YEAR($AC217),MONTH($AC217)+1,1),OverEnd,"&gt;="&amp;DATE(YEAR($AC217),MONTH($AC217),1))&gt;0,SUMPRODUCT((PayEmp=$C217)*(PayDate&lt;=$AC217)*(OFFSET($N$6,1,MATCH(AW$5,PayDedList,0)-1,PayCount,1)))/$AA217*12*AW$3,IF(OR(AW$1="Fixed",AW$1="Not Used"),SUMPRODUCT((PayEmp=$C217)*(PayDate&lt;=$AC217)*(OFFSET($N$6,1,MATCH(AW$5,PayDedList,0)-1,PayCount,1)))/$AA217*12*AW$3,IF(ISNA(MATCH(OFFSET($N$2,0,MATCH(AW$5,PayDedList,0)-1,1,1),EarnListItem,0))=FALSE,SUMPRODUCT((PayEmp=$C217)*(PayDate&lt;=$AC217)*(OFFSET($N$6,1,MATCH(AW$5,PayDedList,0)-1,PayCount,1)))/$AA217*12*AW$3,(MIN(SUMPRODUCT((PayEmp=$C217)*(PayDate&lt;=$AC217)*(ISERROR(SEARCH(PayEarnCode,AW$2)))*(PayEarnType="Monthly")*(PayEarnValues))/$AA217*12,IF(ISNUMBER(OFFSET($N$3,0,MATCH(AW$5,PayDedList,0)-1,1,1)),OFFSET($N$3,0,MATCH(AW$5,PayDedList,0)-1,1,1),IgnoreMin)))*IF(COUNTIFS(EmpNo,$C217,OFFSET(Emp!$R$4,1,MATCH(AW$5,DedListItem,0)-1,EmpCount,1),"&lt;&gt;")&gt;0,VLOOKUP($C217,EmpAll,COLUMN(Emp!$R$4)+MATCH(AW$5,DedListItem,0)-1,0),OFFSET(Setup!$E$73,MATCH(AW$5,DedListItem,0),0,1,1))*AW$3))),IF(ISNUMBER(AW$4),AW$4,IgnoreMin)))))</f>
        <v>0</v>
      </c>
      <c r="AX217" s="148">
        <f t="shared" ref="AX217:AX225" ca="1" si="132">$AS217+SUM(OFFSET($AT217,0,0,1,COLUMN($AX$2)-COLUMN($AT$2)))</f>
        <v>0</v>
      </c>
      <c r="AY217" s="148">
        <f t="shared" ref="AY217:AY225" ca="1" si="133">AR217-AX217</f>
        <v>0</v>
      </c>
      <c r="AZ217" s="148">
        <f ca="1">IF(ISNUMBER($AL217),($AR217*$AL217)-$AI217-$AK217,MAX(0,IF($AL217="B",IF($AR217&lt;Setup!$C$32,($AR217*Setup!$D$32)-$AI217-$AK217,(($AR217-VLOOKUP($AR217,TaxAll2,1,1))*OFFSET(Setup!$D$32,MATCH($AR217,TaxBracket2,1),0,1,1))+OFFSET(Setup!$E$31,MATCH($AR217,TaxBracket2,1),0,1,1)-$AI217-$AK217),IF($AR217&lt;Setup!$C$21,($AR217*Setup!$D$21)-$AI217-$AK217,(($AR217-VLOOKUP($AR217,TaxAll1,1,1))*OFFSET(Setup!$D$21,MATCH($AR217,TaxBracket1,1),0,1,1))+OFFSET(Setup!$E$20,MATCH($AR217,TaxBracket1,1),0,1,1)-$AI217-$AK217))))</f>
        <v>0</v>
      </c>
      <c r="BA217" s="148">
        <f ca="1">IF(ISNUMBER($AL217),($AX217*$AL217)-$AI217-$AK217,MAX(0,IF($AL217="B",IF($AX217&lt;Setup!$C$32,($AX217*Setup!$D$32)-$AI217-$AK217,(($AX217-VLOOKUP($AX217,TaxAll2,1,1))*OFFSET(Setup!$D$32,MATCH($AX217,TaxBracket2,1),0,1,1))+OFFSET(Setup!$E$31,MATCH($AX217,TaxBracket2,1),0,1,1)-$AI217-$AK217),IF($AX217&lt;Setup!$C$21,($AX217*Setup!$D$21)-$AI217-$AK217,(($AX217-VLOOKUP($AX217,TaxAll1,1,1))*OFFSET(Setup!$D$21,MATCH($AX217,TaxBracket1,1),0,1,1))+OFFSET(Setup!$E$20,MATCH($AX217,TaxBracket1,1),0,1,1)-$AI217-$AK217))))</f>
        <v>0</v>
      </c>
      <c r="BB217" s="148">
        <f t="shared" ref="BB217:BB225" ca="1" si="134">AZ217-BA217</f>
        <v>0</v>
      </c>
      <c r="BC217" s="150">
        <f t="shared" ca="1" si="110"/>
        <v>0</v>
      </c>
      <c r="BD217" s="150">
        <f t="shared" ca="1" si="111"/>
        <v>0</v>
      </c>
      <c r="BE217" s="148">
        <f t="shared" ca="1" si="112"/>
        <v>0</v>
      </c>
    </row>
    <row r="218" spans="1:57" ht="16.149999999999999" customHeight="1" x14ac:dyDescent="0.25">
      <c r="A218" s="10" t="str" cm="1">
        <f t="array" ref="A218">IF(ROW($A218)-ROW($A$6)&gt;EmpCount*12,"-",TEXT($B218,"yyyy")&amp;TEXT($B218,"mm")&amp;"-"&amp;$C218)</f>
        <v>-</v>
      </c>
      <c r="B218" s="137" cm="1">
        <f t="array" aca="1" ref="B218" ca="1">IF(ROW($A218)-ROW($A$6)&gt;EmpCount*12,Setup!$D$12,DATE(YEAR(Setup!$F$12),MONTH(Setup!$F$12)+ROUNDDOWN((ROW($A218)-ROW($A$6)-1)/EmpCount,0),IF(Setup!$C$14&gt;DAY(DATE(YEAR(Setup!$F$12),MONTH(Setup!$F$12)+ROUNDDOWN((ROW($A218)-ROW($A$6)-1)/EmpCount,0)+1,0)),DAY(DATE(YEAR(Setup!$F$12),MONTH(Setup!$F$12)+ROUNDDOWN((ROW($A218)-ROW($A$6)-1)/EmpCount,0)+1,0)),Setup!$C$14)))</f>
        <v>45351</v>
      </c>
      <c r="C218" s="101" t="str" cm="1">
        <f t="array" aca="1" ref="C218" ca="1">IF(ROW($A218)-ROW($A$6)&gt;EmpCount*12,"-",OFFSET(Emp!$A$4,ROW($A218)-ROW($A$6)-IF(ROW($A218)-ROW($A$6)&gt;EmpCount,ROUNDDOWN((ROW($A218)-ROW($A$6)-1)/EmpCount,0)*EmpCount,0),0,1,1))</f>
        <v>-</v>
      </c>
      <c r="D218" s="10" t="str">
        <f ca="1">IF(ISNA(VLOOKUP($C218,EmpAll,COLUMN(Emp!$B$4),0)),"-",VLOOKUP($C218,EmpAll,COLUMN(Emp!$B$4),0))</f>
        <v>-</v>
      </c>
      <c r="E218" s="145" t="str">
        <f ca="1">IF(ISNA(VLOOKUP($C218,EmpAll,COLUMN(Emp!$C$4),0)),"-",VLOOKUP($C218,EmpAll,COLUMN(Emp!$C$4),0))</f>
        <v>-</v>
      </c>
      <c r="F218" s="101" t="str">
        <f ca="1">IF(ISNA(VLOOKUP($C218,EmpAll,COLUMN(Emp!$A$4),0)),"-",IF(AND(VLOOKUP($C218,EmpAll,COLUMN(Emp!$E$4),0)&lt;&gt;0,VLOOKUP($C218,EmpAll,COLUMN(Emp!$E$4),0)&gt;=DATE(YEAR($AC218),MONTH($AC218)+1,0)),"Inactive",IF(AND(VLOOKUP($C218,EmpAll,COLUMN(Emp!$F$4),0)&lt;&gt;0,VLOOKUP($C218,EmpAll,COLUMN(Emp!$F$4),0)&lt;=DATE(YEAR($AC218),MONTH($AC218),0)),"Terminated","Active")))</f>
        <v>-</v>
      </c>
      <c r="G218" s="133" cm="1">
        <f t="array" aca="1" ref="G218" ca="1">IF($F218&lt;&gt;"Active",0,IF(COUNTIFS(OverEmp,$C218,OverEarn,G$2,OverDate,"&lt;"&amp;DATE(YEAR($AC218),MONTH($AC218)+1,1),OverEnd,"&gt;="&amp;DATE(YEAR($AC218),MONTH($AC218),1))&gt;0,SUMIFS(OverValue,OverEmp,$C218,OverEarn,G$2,OverDate,"&lt;"&amp;DATE(YEAR($AC218),MONTH($AC218)+1,1),OverEnd,"&gt;="&amp;DATE(YEAR($AC218),MONTH($AC218),1)),IF(AND($AC218&gt;=Setup!$E$10,SUMIFS(EmpIncrease,EmpCode,$C218)&gt;0),SUMIFS(EmpIncrease,EmpCode,$C218),SUMIFS(EmpSalary,EmpCode,$C218))))</f>
        <v>0</v>
      </c>
      <c r="H218" s="133" cm="1">
        <f t="array" aca="1" ref="H218" ca="1">IF($F218&lt;&gt;"Active",0,IF(COUNTIFS(OverEmp,$C218,OverEarn,H$2,OverDate,"&lt;"&amp;DATE(YEAR($AC218),MONTH($AC218)+1,1),OverEnd,"&gt;="&amp;DATE(YEAR($AC218),MONTH($AC218),1))&gt;0,SUMIFS(OverValue,OverEmp,$C218,OverEarn,H$2,OverDate,"&lt;"&amp;DATE(YEAR($AC218),MONTH($AC218)+1,1),OverEnd,"&gt;="&amp;DATE(YEAR($AC218),MONTH($AC218),1)),0))</f>
        <v>0</v>
      </c>
      <c r="I218" s="133" cm="1">
        <f t="array" aca="1" ref="I218" ca="1">IF($F218&lt;&gt;"Active",0,IF(COUNTIFS(OverEmp,$C218,OverEarn,I$2,OverDate,"&lt;"&amp;DATE(YEAR($AC218),MONTH($AC218)+1,1),OverEnd,"&gt;="&amp;DATE(YEAR($AC218),MONTH($AC218),1))&gt;0,SUMIFS(OverValue,OverEmp,$C218,OverEarn,I$2,OverDate,"&lt;"&amp;DATE(YEAR($AC218),MONTH($AC218)+1,1),OverEnd,"&gt;="&amp;DATE(YEAR($AC218),MONTH($AC218),1)),IF(MONTH(B218)=Setup!$C$15,SUMIFS(EmpBonus,EmpCode,$C218),0)))</f>
        <v>0</v>
      </c>
      <c r="J218" s="133" cm="1">
        <f t="array" aca="1" ref="J218" ca="1">IF($F218&lt;&gt;"Active",0,IF(COUNTIFS(OverEmp,$C218,OverEarn,J$2,OverDate,"&lt;"&amp;DATE(YEAR($AC218),MONTH($AC218)+1,1),OverEnd,"&gt;="&amp;DATE(YEAR($AC218),MONTH($AC218),1))&gt;0,SUMIFS(OverValue,OverEmp,$C218,OverEarn,J$2,OverDate,"&lt;"&amp;DATE(YEAR($AC218),MONTH($AC218)+1,1),OverEnd,"&gt;="&amp;DATE(YEAR($AC218),MONTH($AC218),1)),0))</f>
        <v>0</v>
      </c>
      <c r="K218" s="133" cm="1">
        <f t="array" aca="1" ref="K218" ca="1">IF($F218&lt;&gt;"Active",0,IF(COUNTIFS(OverEmp,$C218,OverEarn,K$2,OverDate,"&lt;"&amp;DATE(YEAR($AC218),MONTH($AC218)+1,1),OverEnd,"&gt;="&amp;DATE(YEAR($AC218),MONTH($AC218),1))&gt;0,SUMIFS(OverValue,OverEmp,$C218,OverEarn,K$2,OverDate,"&lt;"&amp;DATE(YEAR($AC218),MONTH($AC218)+1,1),OverEnd,"&gt;="&amp;DATE(YEAR($AC218),MONTH($AC218),1)),0))</f>
        <v>0</v>
      </c>
      <c r="L218" s="185">
        <f t="shared" ca="1" si="124"/>
        <v>0</v>
      </c>
      <c r="M218" s="182" cm="1">
        <f t="array" aca="1" ref="M218" ca="1">IF(COUNTIFS(OverEmp,$C218,OverTax,M$5,OverDate,"&lt;"&amp;DATE(YEAR($AC218),MONTH($AC218)+1,1),OverEnd,"&gt;="&amp;DATE(YEAR($AC218),MONTH($AC218),1))&gt;0,SUMIFS(OverValue,OverEmp,$C218,OverTax,M$5,OverDate,"&lt;"&amp;DATE(YEAR($AC218),MONTH($AC218)+1,1),OverEnd,"&gt;="&amp;DATE(YEAR($AC218),MONTH($AC218),1)),(($BA218/12*$AA218)+(BB218*IF(1-$BC218=0,0,BD218/(1-$BC218))))-IF($F218="Terminated",0,SUMIFS(PayTaxDeduct,PayDate,"&lt;"&amp;$AC218,PayEmp,$C218)))</f>
        <v>0</v>
      </c>
      <c r="N218" s="133" cm="1">
        <f t="array" aca="1" ref="N218" ca="1">IF($F218="Terminated",0,IF($AA218=0,0,IF(ISNA(MATCH(N$5,DedListItem,0)),0,IF(COUNTIFS(OverEmp,$C218,OverDeduct,N$5,OverDate,"&lt;"&amp;DATE(YEAR($AC218),MONTH($AC218)+1,1),OverEnd,"&gt;="&amp;DATE(YEAR($AC218),MONTH($AC218),1))&gt;0,SUMIFS(OverValue,OverEmp,$C218,OverDeduct,N$5,OverDate,"&lt;"&amp;DATE(YEAR($AC218),MONTH($AC218)+1,1),OverEnd,"&gt;="&amp;DATE(YEAR($AC218),MONTH($AC218),1)),IF(OR(N$2="Fixed",N$2="Not Used"),(IF(COUNTIFS(EmpNo,$C218,OFFSET(Emp!$R$4,1,MATCH(N$5,DedListItem,0)-1,EmpCount,1),"&lt;&gt;")&gt;0,VLOOKUP($C218,EmpAll,COLUMN(Emp!$R$4)+MATCH(N$5,DedListItem,0)-1,0),OFFSET(Setup!$E$73,MATCH(N$5,DedListItem,0),0,1,1))*$AA218)-SUMIFS(OFFSET(N$6,1,0,PayCount,1),PayDate,"&lt;"&amp;$AC218,PayEmp,$C218),IF(ISNA(MATCH(N$2,EarnListItem,0))=FALSE,IF(OFFSET(Setup!$G$73,MATCH(N$5,DedListItem,0),0,1,1)="Taxable",SUMPRODUCT((PayEmp=$C218)*(PayDate&lt;=$AC218)*(PayEarnCode=N$2)*(PayEarnTax)*(PayEarnValues)),SUMPRODUCT((PayEmp=$C218)*(PayDate&lt;=$AC218)*(PayEarnCode=N$2)*(PayEarnValues)))*IF(COUNTIFS(EmpNo,$C218,OFFSET(Emp!$R$4,1,MATCH(N$5,DedListItem,0)-1,EmpCount,1),"&lt;&gt;")&gt;0,VLOOKUP($C218,EmpAll,COLUMN(Emp!$R$4)+MATCH(N$5,DedListItem,0)-1,0),OFFSET(Setup!$E$73,MATCH(N$5,DedListItem,0),0,1,1)),(MIN(IF(OFFSET(Setup!$G$73,MATCH(N$5,DedListItem,0),0,1,1)="Taxable",SUMPRODUCT((PayEmp=$C218)*(PayDate&lt;=$AC218)*(ISERROR(SEARCH(PayEarnCode,N$4)))*(PayEarnTax)*(PayEarnValues)),SUMPRODUCT((PayEmp=$C218)*(PayDate&lt;=$AC218)*(ISERROR(SEARCH(PayEarnCode,N$4)))*(PayEarnValues))),IF(ISNUMBER(N$3),N$3/12*$AA218,IgnoreMin)))*IF(COUNTIFS(EmpNo,$C218,OFFSET(Emp!$R$4,1,MATCH(N$5,DedListItem,0)-1,EmpCount,1),"&lt;&gt;")&gt;0,VLOOKUP($C218,EmpAll,COLUMN(Emp!$R$4)+MATCH(N$5,DedListItem,0)-1,0),OFFSET(Setup!$E$73,MATCH(N$5,DedListItem,0),0,1,1)))-SUMIFS(OFFSET(N$6,1,0,PayCount,1),PayDate,"&lt;"&amp;$AC218,PayEmp,$C218))))))</f>
        <v>0</v>
      </c>
      <c r="O218" s="133" cm="1">
        <f t="array" aca="1" ref="O218" ca="1">IF($F218="Terminated",0,IF($AA218=0,0,IF(ISNA(MATCH(O$5,DedListItem,0)),0,IF(COUNTIFS(OverEmp,$C218,OverDeduct,O$5,OverDate,"&lt;"&amp;DATE(YEAR($AC218),MONTH($AC218)+1,1),OverEnd,"&gt;="&amp;DATE(YEAR($AC218),MONTH($AC218),1))&gt;0,SUMIFS(OverValue,OverEmp,$C218,OverDeduct,O$5,OverDate,"&lt;"&amp;DATE(YEAR($AC218),MONTH($AC218)+1,1),OverEnd,"&gt;="&amp;DATE(YEAR($AC218),MONTH($AC218),1)),IF(OR(O$2="Fixed",O$2="Not Used"),(IF(COUNTIFS(EmpNo,$C218,OFFSET(Emp!$R$4,1,MATCH(O$5,DedListItem,0)-1,EmpCount,1),"&lt;&gt;")&gt;0,VLOOKUP($C218,EmpAll,COLUMN(Emp!$R$4)+MATCH(O$5,DedListItem,0)-1,0),OFFSET(Setup!$E$73,MATCH(O$5,DedListItem,0),0,1,1))*$AA218)-SUMIFS(OFFSET(O$6,1,0,PayCount,1),PayDate,"&lt;"&amp;$AC218,PayEmp,$C218),IF(ISNA(MATCH(O$2,EarnListItem,0))=FALSE,IF(OFFSET(Setup!$G$73,MATCH(O$5,DedListItem,0),0,1,1)="Taxable",SUMPRODUCT((PayEmp=$C218)*(PayDate&lt;=$AC218)*(PayEarnCode=O$2)*(PayEarnTax)*(PayEarnValues)),SUMPRODUCT((PayEmp=$C218)*(PayDate&lt;=$AC218)*(PayEarnCode=O$2)*(PayEarnValues)))*IF(COUNTIFS(EmpNo,$C218,OFFSET(Emp!$R$4,1,MATCH(O$5,DedListItem,0)-1,EmpCount,1),"&lt;&gt;")&gt;0,VLOOKUP($C218,EmpAll,COLUMN(Emp!$R$4)+MATCH(O$5,DedListItem,0)-1,0),OFFSET(Setup!$E$73,MATCH(O$5,DedListItem,0),0,1,1)),(MIN(IF(OFFSET(Setup!$G$73,MATCH(O$5,DedListItem,0),0,1,1)="Taxable",SUMPRODUCT((PayEmp=$C218)*(PayDate&lt;=$AC218)*(ISERROR(SEARCH(PayEarnCode,O$4)))*(PayEarnTax)*(PayEarnValues)),SUMPRODUCT((PayEmp=$C218)*(PayDate&lt;=$AC218)*(ISERROR(SEARCH(PayEarnCode,O$4)))*(PayEarnValues))),IF(ISNUMBER(O$3),O$3/12*$AA218,IgnoreMin)))*IF(COUNTIFS(EmpNo,$C218,OFFSET(Emp!$R$4,1,MATCH(O$5,DedListItem,0)-1,EmpCount,1),"&lt;&gt;")&gt;0,VLOOKUP($C218,EmpAll,COLUMN(Emp!$R$4)+MATCH(O$5,DedListItem,0)-1,0),OFFSET(Setup!$E$73,MATCH(O$5,DedListItem,0),0,1,1)))-SUMIFS(OFFSET(O$6,1,0,PayCount,1),PayDate,"&lt;"&amp;$AC218,PayEmp,$C218))))))</f>
        <v>0</v>
      </c>
      <c r="P218" s="133" cm="1">
        <f t="array" aca="1" ref="P218" ca="1">IF($F218="Terminated",0,IF($AA218=0,0,IF(ISNA(MATCH(P$5,DedListItem,0)),0,IF(COUNTIFS(OverEmp,$C218,OverDeduct,P$5,OverDate,"&lt;"&amp;DATE(YEAR($AC218),MONTH($AC218)+1,1),OverEnd,"&gt;="&amp;DATE(YEAR($AC218),MONTH($AC218),1))&gt;0,SUMIFS(OverValue,OverEmp,$C218,OverDeduct,P$5,OverDate,"&lt;"&amp;DATE(YEAR($AC218),MONTH($AC218)+1,1),OverEnd,"&gt;="&amp;DATE(YEAR($AC218),MONTH($AC218),1)),IF(OR(P$2="Fixed",P$2="Not Used"),(IF(COUNTIFS(EmpNo,$C218,OFFSET(Emp!$R$4,1,MATCH(P$5,DedListItem,0)-1,EmpCount,1),"&lt;&gt;")&gt;0,VLOOKUP($C218,EmpAll,COLUMN(Emp!$R$4)+MATCH(P$5,DedListItem,0)-1,0),OFFSET(Setup!$E$73,MATCH(P$5,DedListItem,0),0,1,1))*$AA218)-SUMIFS(OFFSET(P$6,1,0,PayCount,1),PayDate,"&lt;"&amp;$AC218,PayEmp,$C218),IF(ISNA(MATCH(P$2,EarnListItem,0))=FALSE,IF(OFFSET(Setup!$G$73,MATCH(P$5,DedListItem,0),0,1,1)="Taxable",SUMPRODUCT((PayEmp=$C218)*(PayDate&lt;=$AC218)*(PayEarnCode=P$2)*(PayEarnTax)*(PayEarnValues)),SUMPRODUCT((PayEmp=$C218)*(PayDate&lt;=$AC218)*(PayEarnCode=P$2)*(PayEarnValues)))*IF(COUNTIFS(EmpNo,$C218,OFFSET(Emp!$R$4,1,MATCH(P$5,DedListItem,0)-1,EmpCount,1),"&lt;&gt;")&gt;0,VLOOKUP($C218,EmpAll,COLUMN(Emp!$R$4)+MATCH(P$5,DedListItem,0)-1,0),OFFSET(Setup!$E$73,MATCH(P$5,DedListItem,0),0,1,1)),(MIN(IF(OFFSET(Setup!$G$73,MATCH(P$5,DedListItem,0),0,1,1)="Taxable",SUMPRODUCT((PayEmp=$C218)*(PayDate&lt;=$AC218)*(ISERROR(SEARCH(PayEarnCode,P$4)))*(PayEarnTax)*(PayEarnValues)),SUMPRODUCT((PayEmp=$C218)*(PayDate&lt;=$AC218)*(ISERROR(SEARCH(PayEarnCode,P$4)))*(PayEarnValues))),IF(ISNUMBER(P$3),P$3/12*$AA218,IgnoreMin)))*IF(COUNTIFS(EmpNo,$C218,OFFSET(Emp!$R$4,1,MATCH(P$5,DedListItem,0)-1,EmpCount,1),"&lt;&gt;")&gt;0,VLOOKUP($C218,EmpAll,COLUMN(Emp!$R$4)+MATCH(P$5,DedListItem,0)-1,0),OFFSET(Setup!$E$73,MATCH(P$5,DedListItem,0),0,1,1)))-SUMIFS(OFFSET(P$6,1,0,PayCount,1),PayDate,"&lt;"&amp;$AC218,PayEmp,$C218))))))</f>
        <v>0</v>
      </c>
      <c r="Q218" s="133" cm="1">
        <f t="array" aca="1" ref="Q218" ca="1">IF($F218="Terminated",0,IF($AA218=0,0,IF(ISNA(MATCH(Q$5,DedListItem,0)),0,IF(COUNTIFS(OverEmp,$C218,OverDeduct,Q$5,OverDate,"&lt;"&amp;DATE(YEAR($AC218),MONTH($AC218)+1,1),OverEnd,"&gt;="&amp;DATE(YEAR($AC218),MONTH($AC218),1))&gt;0,SUMIFS(OverValue,OverEmp,$C218,OverDeduct,Q$5,OverDate,"&lt;"&amp;DATE(YEAR($AC218),MONTH($AC218)+1,1),OverEnd,"&gt;="&amp;DATE(YEAR($AC218),MONTH($AC218),1)),IF(OR(Q$2="Fixed",Q$2="Not Used"),(IF(COUNTIFS(EmpNo,$C218,OFFSET(Emp!$R$4,1,MATCH(Q$5,DedListItem,0)-1,EmpCount,1),"&lt;&gt;")&gt;0,VLOOKUP($C218,EmpAll,COLUMN(Emp!$R$4)+MATCH(Q$5,DedListItem,0)-1,0),OFFSET(Setup!$E$73,MATCH(Q$5,DedListItem,0),0,1,1))*$AA218)-SUMIFS(OFFSET(Q$6,1,0,PayCount,1),PayDate,"&lt;"&amp;$AC218,PayEmp,$C218),IF(ISNA(MATCH(Q$2,EarnListItem,0))=FALSE,IF(OFFSET(Setup!$G$73,MATCH(Q$5,DedListItem,0),0,1,1)="Taxable",SUMPRODUCT((PayEmp=$C218)*(PayDate&lt;=$AC218)*(PayEarnCode=Q$2)*(PayEarnTax)*(PayEarnValues)),SUMPRODUCT((PayEmp=$C218)*(PayDate&lt;=$AC218)*(PayEarnCode=Q$2)*(PayEarnValues)))*IF(COUNTIFS(EmpNo,$C218,OFFSET(Emp!$R$4,1,MATCH(Q$5,DedListItem,0)-1,EmpCount,1),"&lt;&gt;")&gt;0,VLOOKUP($C218,EmpAll,COLUMN(Emp!$R$4)+MATCH(Q$5,DedListItem,0)-1,0),OFFSET(Setup!$E$73,MATCH(Q$5,DedListItem,0),0,1,1)),(MIN(IF(OFFSET(Setup!$G$73,MATCH(Q$5,DedListItem,0),0,1,1)="Taxable",SUMPRODUCT((PayEmp=$C218)*(PayDate&lt;=$AC218)*(ISERROR(SEARCH(PayEarnCode,Q$4)))*(PayEarnTax)*(PayEarnValues)),SUMPRODUCT((PayEmp=$C218)*(PayDate&lt;=$AC218)*(ISERROR(SEARCH(PayEarnCode,Q$4)))*(PayEarnValues))),IF(ISNUMBER(Q$3),Q$3/12*$AA218,IgnoreMin)))*IF(COUNTIFS(EmpNo,$C218,OFFSET(Emp!$R$4,1,MATCH(Q$5,DedListItem,0)-1,EmpCount,1),"&lt;&gt;")&gt;0,VLOOKUP($C218,EmpAll,COLUMN(Emp!$R$4)+MATCH(Q$5,DedListItem,0)-1,0),OFFSET(Setup!$E$73,MATCH(Q$5,DedListItem,0),0,1,1)))-SUMIFS(OFFSET(Q$6,1,0,PayCount,1),PayDate,"&lt;"&amp;$AC218,PayEmp,$C218))))))</f>
        <v>0</v>
      </c>
      <c r="R218" s="185">
        <f t="shared" ca="1" si="125"/>
        <v>0</v>
      </c>
      <c r="S218" s="139">
        <f t="shared" ca="1" si="126"/>
        <v>0</v>
      </c>
      <c r="T218" s="133" cm="1">
        <f t="array" aca="1" ref="T218" ca="1">IF($F218="Terminated",0,IF($AA218=0,0,IF(ISNA(MATCH(T$5,CompListItem,0)),0,IF(COUNTIFS(OverEmp,$C218,OverComp,T$5,OverDate,"&lt;"&amp;DATE(YEAR($AC218),MONTH($AC218)+1,1),OverEnd,"&gt;="&amp;DATE(YEAR($AC218),MONTH($AC218),1))&gt;0,SUMIFS(OverValue,OverEmp,$C218,OverComp,T$5,OverDate,"&lt;"&amp;DATE(YEAR($AC218),MONTH($AC218)+1,1),OverEnd,"&gt;="&amp;DATE(YEAR($AC218),MONTH($AC218),1)),IF(OR(T$2="Fixed",T$2="Not Used"),(OFFSET(Setup!$E$81,MATCH(T$5,CompListItem,0),0,1,1)*$AA218)-SUMIFS(OFFSET(T$6,1,0,PayCount,1),PayDate,"&lt;"&amp;$AC218,PayEmp,$C218),IF(ISNA(MATCH(T$2,DedListItem,0))=FALSE,(SUMPRODUCT((PayEmp=$C218)*(PayDate&lt;=$AC218)*(PayDedList=T$2)*(PayDedValues))*OFFSET(Setup!$E$81,MATCH(T$5,CompListItem,0),0,1,1))-SUMIFS(OFFSET(T$6,1,0,PayCount,1),PayDate,"&lt;"&amp;$AC218,PayEmp,$C218),(MIN(IF(OFFSET(Setup!$G$81,MATCH(T$5,CompListItem,0),0,1,1)="Taxable",SUMPRODUCT((PayEmp=$C218)*(PayDate&lt;=$AC218)*(ISERROR(SEARCH(PayEarnCode,T$4)))*(PayEarnTax)*(PayEarnValues)),SUMPRODUCT((PayEmp=$C218)*(PayDate&lt;=$AC218)*(ISERROR(SEARCH(PayEarnCode,T$4)))*(PayEarnValues))),IF(ISNUMBER(T$3),T$3/12*$AA218,IgnoreMin)))*OFFSET(Setup!$E$81,MATCH(T$5,CompListItem,0),0,1,1)-SUMIFS(OFFSET(T$6,1,0,PayCount,1),PayDate,"&lt;"&amp;$AC218,PayEmp,$C218)))))))</f>
        <v>0</v>
      </c>
      <c r="U218" s="133" cm="1">
        <f t="array" aca="1" ref="U218" ca="1">IF($F218="Terminated",0,IF($AA218=0,0,IF(ISNA(MATCH(U$5,CompListItem,0)),0,IF(COUNTIFS(OverEmp,$C218,OverComp,U$5,OverDate,"&lt;"&amp;DATE(YEAR($AC218),MONTH($AC218)+1,1),OverEnd,"&gt;="&amp;DATE(YEAR($AC218),MONTH($AC218),1))&gt;0,SUMIFS(OverValue,OverEmp,$C218,OverComp,U$5,OverDate,"&lt;"&amp;DATE(YEAR($AC218),MONTH($AC218)+1,1),OverEnd,"&gt;="&amp;DATE(YEAR($AC218),MONTH($AC218),1)),IF(OR(U$2="Fixed",U$2="Not Used"),(OFFSET(Setup!$E$81,MATCH(U$5,CompListItem,0),0,1,1)*$AA218)-SUMIFS(OFFSET(U$6,1,0,PayCount,1),PayDate,"&lt;"&amp;$AC218,PayEmp,$C218),IF(ISNA(MATCH(U$2,DedListItem,0))=FALSE,(SUMPRODUCT((PayEmp=$C218)*(PayDate&lt;=$AC218)*(PayDedList=U$2)*(PayDedValues))*OFFSET(Setup!$E$81,MATCH(U$5,CompListItem,0),0,1,1))-SUMIFS(OFFSET(U$6,1,0,PayCount,1),PayDate,"&lt;"&amp;$AC218,PayEmp,$C218),(MIN(IF(OFFSET(Setup!$G$81,MATCH(U$5,CompListItem,0),0,1,1)="Taxable",SUMPRODUCT((PayEmp=$C218)*(PayDate&lt;=$AC218)*(ISERROR(SEARCH(PayEarnCode,U$4)))*(PayEarnTax)*(PayEarnValues)),SUMPRODUCT((PayEmp=$C218)*(PayDate&lt;=$AC218)*(ISERROR(SEARCH(PayEarnCode,U$4)))*(PayEarnValues))),IF(ISNUMBER(U$3),U$3/12*$AA218,IgnoreMin)))*OFFSET(Setup!$E$81,MATCH(U$5,CompListItem,0),0,1,1)-SUMIFS(OFFSET(U$6,1,0,PayCount,1),PayDate,"&lt;"&amp;$AC218,PayEmp,$C218)))))))</f>
        <v>0</v>
      </c>
      <c r="V218" s="133" cm="1">
        <f t="array" aca="1" ref="V218" ca="1">IF($F218="Terminated",0,IF($AA218=0,0,IF(ISNA(MATCH(V$5,CompListItem,0)),0,IF(COUNTIFS(OverEmp,$C218,OverComp,V$5,OverDate,"&lt;"&amp;DATE(YEAR($AC218),MONTH($AC218)+1,1),OverEnd,"&gt;="&amp;DATE(YEAR($AC218),MONTH($AC218),1))&gt;0,SUMIFS(OverValue,OverEmp,$C218,OverComp,V$5,OverDate,"&lt;"&amp;DATE(YEAR($AC218),MONTH($AC218)+1,1),OverEnd,"&gt;="&amp;DATE(YEAR($AC218),MONTH($AC218),1)),IF(OR(V$2="Fixed",V$2="Not Used"),(OFFSET(Setup!$E$81,MATCH(V$5,CompListItem,0),0,1,1)*$AA218)-SUMIFS(OFFSET(V$6,1,0,PayCount,1),PayDate,"&lt;"&amp;$AC218,PayEmp,$C218),IF(ISNA(MATCH(V$2,DedListItem,0))=FALSE,(SUMPRODUCT((PayEmp=$C218)*(PayDate&lt;=$AC218)*(PayDedList=V$2)*(PayDedValues))*OFFSET(Setup!$E$81,MATCH(V$5,CompListItem,0),0,1,1))-SUMIFS(OFFSET(V$6,1,0,PayCount,1),PayDate,"&lt;"&amp;$AC218,PayEmp,$C218),(MIN(IF(OFFSET(Setup!$G$81,MATCH(V$5,CompListItem,0),0,1,1)="Taxable",SUMPRODUCT((PayEmp=$C218)*(PayDate&lt;=$AC218)*(ISERROR(SEARCH(PayEarnCode,V$4)))*(PayEarnTax)*(PayEarnValues)),SUMPRODUCT((PayEmp=$C218)*(PayDate&lt;=$AC218)*(ISERROR(SEARCH(PayEarnCode,V$4)))*(PayEarnValues))),IF(ISNUMBER(V$3),V$3/12*$AA218,IgnoreMin)))*OFFSET(Setup!$E$81,MATCH(V$5,CompListItem,0),0,1,1)-SUMIFS(OFFSET(V$6,1,0,PayCount,1),PayDate,"&lt;"&amp;$AC218,PayEmp,$C218)))))))</f>
        <v>0</v>
      </c>
      <c r="W218" s="133" cm="1">
        <f t="array" aca="1" ref="W218" ca="1">IF($F218="Terminated",0,IF($AA218=0,0,IF(ISNA(MATCH(W$5,CompListItem,0)),0,IF(COUNTIFS(OverEmp,$C218,OverComp,W$5,OverDate,"&lt;"&amp;DATE(YEAR($AC218),MONTH($AC218)+1,1),OverEnd,"&gt;="&amp;DATE(YEAR($AC218),MONTH($AC218),1))&gt;0,SUMIFS(OverValue,OverEmp,$C218,OverComp,W$5,OverDate,"&lt;"&amp;DATE(YEAR($AC218),MONTH($AC218)+1,1),OverEnd,"&gt;="&amp;DATE(YEAR($AC218),MONTH($AC218),1)),IF(OR(W$2="Fixed",W$2="Not Used"),(OFFSET(Setup!$E$81,MATCH(W$5,CompListItem,0),0,1,1)*$AA218)-SUMIFS(OFFSET(W$6,1,0,PayCount,1),PayDate,"&lt;"&amp;$AC218,PayEmp,$C218),IF(ISNA(MATCH(W$2,DedListItem,0))=FALSE,(SUMPRODUCT((PayEmp=$C218)*(PayDate&lt;=$AC218)*(PayDedList=W$2)*(PayDedValues))*OFFSET(Setup!$E$81,MATCH(W$5,CompListItem,0),0,1,1))-SUMIFS(OFFSET(W$6,1,0,PayCount,1),PayDate,"&lt;"&amp;$AC218,PayEmp,$C218),(MIN(IF(OFFSET(Setup!$G$81,MATCH(W$5,CompListItem,0),0,1,1)="Taxable",SUMPRODUCT((PayEmp=$C218)*(PayDate&lt;=$AC218)*(ISERROR(SEARCH(PayEarnCode,W$4)))*(PayEarnTax)*(PayEarnValues)),SUMPRODUCT((PayEmp=$C218)*(PayDate&lt;=$AC218)*(ISERROR(SEARCH(PayEarnCode,W$4)))*(PayEarnValues))),IF(ISNUMBER(W$3),W$3/12*$AA218,IgnoreMin)))*OFFSET(Setup!$E$81,MATCH(W$5,CompListItem,0),0,1,1)-SUMIFS(OFFSET(W$6,1,0,PayCount,1),PayDate,"&lt;"&amp;$AC218,PayEmp,$C218)))))))</f>
        <v>0</v>
      </c>
      <c r="X218" s="185">
        <f t="shared" ca="1" si="127"/>
        <v>0</v>
      </c>
      <c r="Y218" s="139">
        <f t="shared" ca="1" si="128"/>
        <v>0</v>
      </c>
      <c r="Z218" s="139">
        <f t="shared" ca="1" si="129"/>
        <v>0</v>
      </c>
      <c r="AA218" s="146">
        <f ca="1">IF(OR($B218&lt;=Setup!$E$12,$B218&gt;=Setup!$D$12+1),0,IF($F218&lt;&gt;"Active",0,IF($AE218="Yes",$AB218,((YEAR($AC218)*12)+MONTH($AC218))-((YEAR($AD218)*12)+MONTH($AD218)-1))))</f>
        <v>0</v>
      </c>
      <c r="AB218" s="146">
        <f ca="1">IF(OR($B218&lt;=Setup!$E$12,$B218&gt;=Setup!$D$12+1),0,((YEAR($AC218)*12)+MONTH($AC218))-((YEAR(Setup!$E$12)*12)+MONTH(Setup!$E$12)))</f>
        <v>12</v>
      </c>
      <c r="AC218" s="186">
        <f t="shared" ca="1" si="130"/>
        <v>45351</v>
      </c>
      <c r="AD218" s="144">
        <f ca="1">IF(ISNA(VLOOKUP($C218,EmpAll,COLUMN(Emp!$E$4),0)),$AC218,IF(VLOOKUP($C218,EmpAll,COLUMN(Emp!$E$4),0)&lt;=Setup!$E$12,DATE(YEAR(Setup!$E$12),MONTH(Setup!$E$12)+1,1),VLOOKUP($C218,EmpAll,COLUMN(Emp!$E$4),0)))</f>
        <v>45351</v>
      </c>
      <c r="AE218" s="144" t="str">
        <f ca="1">IF(ISNA(VLOOKUP($C218,EmpAll,COLUMN(Emp!$G$1),0)),"-",IF(VLOOKUP($C218,EmpAll,COLUMN(Emp!$G$1),0)=0,"-",VLOOKUP($C218,EmpAll,COLUMN(Emp!$G$1),0)))</f>
        <v>-</v>
      </c>
      <c r="AF218" s="145">
        <f>IF(A218=PaySlip!$G$3,1,0)</f>
        <v>0</v>
      </c>
      <c r="AG218" s="130" cm="1">
        <f t="array" aca="1" ref="AG218" ca="1">IF(COUNTIFS(OverEmp,$C218,OverMed,"MED",OverDate,"&lt;"&amp;DATE(YEAR($AC218),MONTH($AC218)+1,1),OverEnd,"&gt;="&amp;DATE(YEAR($AC218),MONTH($AC218),1))&gt;0,SUMIFS(OverValue,OverEmp,$C218,OverMed,"MED",OverDate,"&lt;"&amp;DATE(YEAR($AC218),MONTH($AC218)+1,1),OverEnd,"&gt;="&amp;DATE(YEAR($AC218),MONTH($AC218),1)),IF(ISNA(VLOOKUP($C218,EmpAll,COLUMN(Emp!$N$4),0)),0,VLOOKUP($C218,EmpAll,COLUMN(Emp!$N$4),0)))</f>
        <v>0</v>
      </c>
      <c r="AH218" s="146">
        <f ca="1">VLOOKUP($AG218,MedList,COLUMN(Setup!$C$49),1)</f>
        <v>0</v>
      </c>
      <c r="AI218" s="146">
        <f t="shared" ca="1" si="107"/>
        <v>0</v>
      </c>
      <c r="AJ218" s="101" t="str">
        <f ca="1">IF(ISNA(VLOOKUP($C218,EmpAll,COLUMN(Emp!$L$4),0)),"None!",VLOOKUP($C218,EmpAll,COLUMN(Emp!$L$4),0))</f>
        <v>None!</v>
      </c>
      <c r="AK218" s="147">
        <f t="shared" ca="1" si="102"/>
        <v>17235</v>
      </c>
      <c r="AL218" s="101" t="str">
        <f ca="1">IF(ISNA(VLOOKUP($C218,Employees[],COLUMN(Emp!$M$4),0))=TRUE,"Error!",IF(VLOOKUP($C218,Employees[],COLUMN(Emp!$M$4),0)=0,"Yes",VLOOKUP($C218,Employees[],COLUMN(Emp!$M$4),0)))</f>
        <v>Error!</v>
      </c>
      <c r="AM218" s="148">
        <f t="shared" ca="1" si="108"/>
        <v>0</v>
      </c>
      <c r="AN218" s="148" cm="1">
        <f t="array" aca="1" ref="AN218" ca="1">-IF($F218="Terminated",0,IF($AA218=0,0,IF(ISNA(MATCH(AN$5,PayDedList,0)),0,MIN(IF(COUNTIFS(OverEmp,$C218,OverDeduct,AN$5,OverDate,"&lt;"&amp;DATE(YEAR($AC218),MONTH($AC218)+1,1),OverEnd,"&gt;="&amp;DATE(YEAR($AC218),MONTH($AC218),1))&gt;0,SUMPRODUCT((PayEmp=$C218)*(PayDate&lt;=$AC218)*(OFFSET($N$6,1,MATCH(AN$5,PayDedList,0)-1,PayCount,1)))/$AA218*12*AN$3,IF(OR(AN$1="Fixed",AN$1="Not Used"),SUMPRODUCT((PayEmp=$C218)*(PayDate&lt;=$AC218)*(OFFSET($N$6,1,MATCH(AN$5,PayDedList,0)-1,PayCount,1)))/$AA218*12*AN$3,IF(ISNA(MATCH(AN$1,EarnListItem,0))=FALSE,SUMPRODUCT((PayEmp=$C218)*(PayDate&lt;=$AC218)*(OFFSET($N$6,1,MATCH(AN$5,PayDedList,0)-1,PayCount,1)))/$AA218*12*AN$3,(MIN(((SUMPRODUCT((PayEmp=$C218)*(PayDate&lt;=$AC218)*(ISERROR(SEARCH(PayEarnCode,AN$2)))*(PayEarnType="Monthly")*(PayEarnValues))/$AA218*12)+(SUMPRODUCT((PayEmp=$C218)*(PayDate&lt;=$AC218)*(ISERROR(SEARCH(PayEarnCode,AN$2)))*(PayEarnType="Quarterly")*(PayEarnValues))/MAX(1,ROUNDDOWN($AB218/3,0))*4)+(SUMPRODUCT((PayEmp=$C218)*(PayDate&lt;=$AC218)*(ISERROR(SEARCH(PayEarnCode,AN$2)))*(PayEarnType="Bi-Annual")*(PayEarnValues))/MAX(1,ROUNDDOWN($AB218/6,0))*2)+(SUMPRODUCT((PayEmp=$C218)*(PayDate&lt;=$AC218)*(ISERROR(SEARCH(PayEarnCode,AN$2)))*(PayEarnType="Annual")*(PayEarnValues)))),IF(ISNUMBER(OFFSET($N$3,0,MATCH(AN$5,PayDedList,0)-1,1,1)),OFFSET($N$3,0,MATCH(AN$5,PayDedList,0)-1,1,1),IgnoreMin)))*IF(COUNTIFS(EmpNo,$C218,OFFSET(Emp!$R$4,1,MATCH(AN$5,DedListItem,0)-1,EmpCount,1),"&lt;&gt;")&gt;0,VLOOKUP($C218,EmpAll,COLUMN(Emp!$R$4)+MATCH(AN$5,DedListItem,0)-1,0),OFFSET(Setup!$E$73,MATCH(AN$5,DedListItem,0),0,1,1))*AN$3))),IF(ISNUMBER(AN$4),AN$4,IgnoreMin)))))</f>
        <v>0</v>
      </c>
      <c r="AO218" s="148" cm="1">
        <f t="array" aca="1" ref="AO218" ca="1">-IF($F218="Terminated",0,IF($AA218=0,0,IF(ISNA(MATCH(AO$5,PayDedList,0)),0,MIN(IF(COUNTIFS(OverEmp,$C218,OverDeduct,AO$5,OverDate,"&lt;"&amp;DATE(YEAR($AC218),MONTH($AC218)+1,1),OverEnd,"&gt;="&amp;DATE(YEAR($AC218),MONTH($AC218),1))&gt;0,SUMPRODUCT((PayEmp=$C218)*(PayDate&lt;=$AC218)*(OFFSET($N$6,1,MATCH(AO$5,PayDedList,0)-1,PayCount,1)))/$AA218*12*AO$3,IF(OR(AO$1="Fixed",AO$1="Not Used"),SUMPRODUCT((PayEmp=$C218)*(PayDate&lt;=$AC218)*(OFFSET($N$6,1,MATCH(AO$5,PayDedList,0)-1,PayCount,1)))/$AA218*12*AO$3,IF(ISNA(MATCH(AO$1,EarnListItem,0))=FALSE,SUMPRODUCT((PayEmp=$C218)*(PayDate&lt;=$AC218)*(OFFSET($N$6,1,MATCH(AO$5,PayDedList,0)-1,PayCount,1)))/$AA218*12*AO$3,(MIN(((SUMPRODUCT((PayEmp=$C218)*(PayDate&lt;=$AC218)*(ISERROR(SEARCH(PayEarnCode,AO$2)))*(PayEarnType="Monthly")*(PayEarnValues))/$AA218*12)+(SUMPRODUCT((PayEmp=$C218)*(PayDate&lt;=$AC218)*(ISERROR(SEARCH(PayEarnCode,AO$2)))*(PayEarnType="Quarterly")*(PayEarnValues))/MAX(1,ROUNDDOWN($AB218/3,0))*4)+(SUMPRODUCT((PayEmp=$C218)*(PayDate&lt;=$AC218)*(ISERROR(SEARCH(PayEarnCode,AO$2)))*(PayEarnType="Bi-Annual")*(PayEarnValues))/MAX(1,ROUNDDOWN($AB218/6,0))*2)+(SUMPRODUCT((PayEmp=$C218)*(PayDate&lt;=$AC218)*(ISERROR(SEARCH(PayEarnCode,AO$2)))*(PayEarnType="Annual")*(PayEarnValues)))),IF(ISNUMBER(OFFSET($N$3,0,MATCH(AO$5,PayDedList,0)-1,1,1)),OFFSET($N$3,0,MATCH(AO$5,PayDedList,0)-1,1,1),IgnoreMin)))*IF(COUNTIFS(EmpNo,$C218,OFFSET(Emp!$R$4,1,MATCH(AO$5,DedListItem,0)-1,EmpCount,1),"&lt;&gt;")&gt;0,VLOOKUP($C218,EmpAll,COLUMN(Emp!$R$4)+MATCH(AO$5,DedListItem,0)-1,0),OFFSET(Setup!$E$73,MATCH(AO$5,DedListItem,0),0,1,1))*AO$3))),IF(ISNUMBER(AO$4),AO$4,IgnoreMin)))))</f>
        <v>0</v>
      </c>
      <c r="AP218" s="148" cm="1">
        <f t="array" aca="1" ref="AP218" ca="1">-IF($F218="Terminated",0,IF($AA218=0,0,IF(ISNA(MATCH(AP$5,PayDedList,0)),0,MIN(IF(COUNTIFS(OverEmp,$C218,OverDeduct,AP$5,OverDate,"&lt;"&amp;DATE(YEAR($AC218),MONTH($AC218)+1,1),OverEnd,"&gt;="&amp;DATE(YEAR($AC218),MONTH($AC218),1))&gt;0,SUMPRODUCT((PayEmp=$C218)*(PayDate&lt;=$AC218)*(OFFSET($N$6,1,MATCH(AP$5,PayDedList,0)-1,PayCount,1)))/$AA218*12*AP$3,IF(OR(AP$1="Fixed",AP$1="Not Used"),SUMPRODUCT((PayEmp=$C218)*(PayDate&lt;=$AC218)*(OFFSET($N$6,1,MATCH(AP$5,PayDedList,0)-1,PayCount,1)))/$AA218*12*AP$3,IF(ISNA(MATCH(AP$1,EarnListItem,0))=FALSE,SUMPRODUCT((PayEmp=$C218)*(PayDate&lt;=$AC218)*(OFFSET($N$6,1,MATCH(AP$5,PayDedList,0)-1,PayCount,1)))/$AA218*12*AP$3,(MIN(((SUMPRODUCT((PayEmp=$C218)*(PayDate&lt;=$AC218)*(ISERROR(SEARCH(PayEarnCode,AP$2)))*(PayEarnType="Monthly")*(PayEarnValues))/$AA218*12)+(SUMPRODUCT((PayEmp=$C218)*(PayDate&lt;=$AC218)*(ISERROR(SEARCH(PayEarnCode,AP$2)))*(PayEarnType="Quarterly")*(PayEarnValues))/MAX(1,ROUNDDOWN($AB218/3,0))*4)+(SUMPRODUCT((PayEmp=$C218)*(PayDate&lt;=$AC218)*(ISERROR(SEARCH(PayEarnCode,AP$2)))*(PayEarnType="Bi-Annual")*(PayEarnValues))/MAX(1,ROUNDDOWN($AB218/6,0))*2)+(SUMPRODUCT((PayEmp=$C218)*(PayDate&lt;=$AC218)*(ISERROR(SEARCH(PayEarnCode,AP$2)))*(PayEarnType="Annual")*(PayEarnValues)))),IF(ISNUMBER(OFFSET($N$3,0,MATCH(AP$5,PayDedList,0)-1,1,1)),OFFSET($N$3,0,MATCH(AP$5,PayDedList,0)-1,1,1),IgnoreMin)))*IF(COUNTIFS(EmpNo,$C218,OFFSET(Emp!$R$4,1,MATCH(AP$5,DedListItem,0)-1,EmpCount,1),"&lt;&gt;")&gt;0,VLOOKUP($C218,EmpAll,COLUMN(Emp!$R$4)+MATCH(AP$5,DedListItem,0)-1,0),OFFSET(Setup!$E$73,MATCH(AP$5,DedListItem,0),0,1,1))*AP$3))),IF(ISNUMBER(AP$4),AP$4,IgnoreMin)))))</f>
        <v>0</v>
      </c>
      <c r="AQ218" s="148" cm="1">
        <f t="array" aca="1" ref="AQ218" ca="1">-IF($F218="Terminated",0,IF($AA218=0,0,IF(ISNA(MATCH(AQ$5,PayDedList,0)),0,MIN(IF(COUNTIFS(OverEmp,$C218,OverDeduct,AQ$5,OverDate,"&lt;"&amp;DATE(YEAR($AC218),MONTH($AC218)+1,1),OverEnd,"&gt;="&amp;DATE(YEAR($AC218),MONTH($AC218),1))&gt;0,SUMPRODUCT((PayEmp=$C218)*(PayDate&lt;=$AC218)*(OFFSET($N$6,1,MATCH(AQ$5,PayDedList,0)-1,PayCount,1)))/$AA218*12*AQ$3,IF(OR(AQ$1="Fixed",AQ$1="Not Used"),SUMPRODUCT((PayEmp=$C218)*(PayDate&lt;=$AC218)*(OFFSET($N$6,1,MATCH(AQ$5,PayDedList,0)-1,PayCount,1)))/$AA218*12*AQ$3,IF(ISNA(MATCH(AQ$1,EarnListItem,0))=FALSE,SUMPRODUCT((PayEmp=$C218)*(PayDate&lt;=$AC218)*(OFFSET($N$6,1,MATCH(AQ$5,PayDedList,0)-1,PayCount,1)))/$AA218*12*AQ$3,(MIN(((SUMPRODUCT((PayEmp=$C218)*(PayDate&lt;=$AC218)*(ISERROR(SEARCH(PayEarnCode,AQ$2)))*(PayEarnType="Monthly")*(PayEarnValues))/$AA218*12)+(SUMPRODUCT((PayEmp=$C218)*(PayDate&lt;=$AC218)*(ISERROR(SEARCH(PayEarnCode,AQ$2)))*(PayEarnType="Quarterly")*(PayEarnValues))/MAX(1,ROUNDDOWN($AB218/3,0))*4)+(SUMPRODUCT((PayEmp=$C218)*(PayDate&lt;=$AC218)*(ISERROR(SEARCH(PayEarnCode,AQ$2)))*(PayEarnType="Bi-Annual")*(PayEarnValues))/MAX(1,ROUNDDOWN($AB218/6,0))*2)+(SUMPRODUCT((PayEmp=$C218)*(PayDate&lt;=$AC218)*(ISERROR(SEARCH(PayEarnCode,AQ$2)))*(PayEarnType="Annual")*(PayEarnValues)))),IF(ISNUMBER(OFFSET($N$3,0,MATCH(AQ$5,PayDedList,0)-1,1,1)),OFFSET($N$3,0,MATCH(AQ$5,PayDedList,0)-1,1,1),IgnoreMin)))*IF(COUNTIFS(EmpNo,$C218,OFFSET(Emp!$R$4,1,MATCH(AQ$5,DedListItem,0)-1,EmpCount,1),"&lt;&gt;")&gt;0,VLOOKUP($C218,EmpAll,COLUMN(Emp!$R$4)+MATCH(AQ$5,DedListItem,0)-1,0),OFFSET(Setup!$E$73,MATCH(AQ$5,DedListItem,0),0,1,1))*AQ$3))),IF(ISNUMBER(AQ$4),AQ$4,IgnoreMin)))))</f>
        <v>0</v>
      </c>
      <c r="AR218" s="148">
        <f t="shared" ca="1" si="131"/>
        <v>0</v>
      </c>
      <c r="AS218" s="148">
        <f t="shared" ca="1" si="109"/>
        <v>0</v>
      </c>
      <c r="AT218" s="148" cm="1">
        <f t="array" aca="1" ref="AT218" ca="1">-IF($F218="Terminated",0,IF($AA218=0,0,IF(ISNA(MATCH(AT$5,PayDedList,0)),0,MIN(IF(COUNTIFS(OverEmp,$C218,OverDeduct,AT$5,OverDate,"&lt;"&amp;DATE(YEAR($AC218),MONTH($AC218)+1,1),OverEnd,"&gt;="&amp;DATE(YEAR($AC218),MONTH($AC218),1))&gt;0,SUMPRODUCT((PayEmp=$C218)*(PayDate&lt;=$AC218)*(OFFSET($N$6,1,MATCH(AT$5,PayDedList,0)-1,PayCount,1)))/$AA218*12*AT$3,IF(OR(AT$1="Fixed",AT$1="Not Used"),SUMPRODUCT((PayEmp=$C218)*(PayDate&lt;=$AC218)*(OFFSET($N$6,1,MATCH(AT$5,PayDedList,0)-1,PayCount,1)))/$AA218*12*AT$3,IF(ISNA(MATCH(OFFSET($N$2,0,MATCH(AT$5,PayDedList,0)-1,1,1),EarnListItem,0))=FALSE,SUMPRODUCT((PayEmp=$C218)*(PayDate&lt;=$AC218)*(OFFSET($N$6,1,MATCH(AT$5,PayDedList,0)-1,PayCount,1)))/$AA218*12*AT$3,(MIN(SUMPRODUCT((PayEmp=$C218)*(PayDate&lt;=$AC218)*(ISERROR(SEARCH(PayEarnCode,AT$2)))*(PayEarnType="Monthly")*(PayEarnValues))/$AA218*12,IF(ISNUMBER(OFFSET($N$3,0,MATCH(AT$5,PayDedList,0)-1,1,1)),OFFSET($N$3,0,MATCH(AT$5,PayDedList,0)-1,1,1),IgnoreMin)))*IF(COUNTIFS(EmpNo,$C218,OFFSET(Emp!$R$4,1,MATCH(AT$5,DedListItem,0)-1,EmpCount,1),"&lt;&gt;")&gt;0,VLOOKUP($C218,EmpAll,COLUMN(Emp!$R$4)+MATCH(AT$5,DedListItem,0)-1,0),OFFSET(Setup!$E$73,MATCH(AT$5,DedListItem,0),0,1,1))*AT$3))),IF(ISNUMBER(AT$4),AT$4,IgnoreMin)))))</f>
        <v>0</v>
      </c>
      <c r="AU218" s="148" cm="1">
        <f t="array" aca="1" ref="AU218" ca="1">-IF($F218="Terminated",0,IF($AA218=0,0,IF(ISNA(MATCH(AU$5,PayDedList,0)),0,MIN(IF(COUNTIFS(OverEmp,$C218,OverDeduct,AU$5,OverDate,"&lt;"&amp;DATE(YEAR($AC218),MONTH($AC218)+1,1),OverEnd,"&gt;="&amp;DATE(YEAR($AC218),MONTH($AC218),1))&gt;0,SUMPRODUCT((PayEmp=$C218)*(PayDate&lt;=$AC218)*(OFFSET($N$6,1,MATCH(AU$5,PayDedList,0)-1,PayCount,1)))/$AA218*12*AU$3,IF(OR(AU$1="Fixed",AU$1="Not Used"),SUMPRODUCT((PayEmp=$C218)*(PayDate&lt;=$AC218)*(OFFSET($N$6,1,MATCH(AU$5,PayDedList,0)-1,PayCount,1)))/$AA218*12*AU$3,IF(ISNA(MATCH(OFFSET($N$2,0,MATCH(AU$5,PayDedList,0)-1,1,1),EarnListItem,0))=FALSE,SUMPRODUCT((PayEmp=$C218)*(PayDate&lt;=$AC218)*(OFFSET($N$6,1,MATCH(AU$5,PayDedList,0)-1,PayCount,1)))/$AA218*12*AU$3,(MIN(SUMPRODUCT((PayEmp=$C218)*(PayDate&lt;=$AC218)*(ISERROR(SEARCH(PayEarnCode,AU$2)))*(PayEarnType="Monthly")*(PayEarnValues))/$AA218*12,IF(ISNUMBER(OFFSET($N$3,0,MATCH(AU$5,PayDedList,0)-1,1,1)),OFFSET($N$3,0,MATCH(AU$5,PayDedList,0)-1,1,1),IgnoreMin)))*IF(COUNTIFS(EmpNo,$C218,OFFSET(Emp!$R$4,1,MATCH(AU$5,DedListItem,0)-1,EmpCount,1),"&lt;&gt;")&gt;0,VLOOKUP($C218,EmpAll,COLUMN(Emp!$R$4)+MATCH(AU$5,DedListItem,0)-1,0),OFFSET(Setup!$E$73,MATCH(AU$5,DedListItem,0),0,1,1))*AU$3))),IF(ISNUMBER(AU$4),AU$4,IgnoreMin)))))</f>
        <v>0</v>
      </c>
      <c r="AV218" s="148" cm="1">
        <f t="array" aca="1" ref="AV218" ca="1">-IF($F218="Terminated",0,IF($AA218=0,0,IF(ISNA(MATCH(AV$5,PayDedList,0)),0,MIN(IF(COUNTIFS(OverEmp,$C218,OverDeduct,AV$5,OverDate,"&lt;"&amp;DATE(YEAR($AC218),MONTH($AC218)+1,1),OverEnd,"&gt;="&amp;DATE(YEAR($AC218),MONTH($AC218),1))&gt;0,SUMPRODUCT((PayEmp=$C218)*(PayDate&lt;=$AC218)*(OFFSET($N$6,1,MATCH(AV$5,PayDedList,0)-1,PayCount,1)))/$AA218*12*AV$3,IF(OR(AV$1="Fixed",AV$1="Not Used"),SUMPRODUCT((PayEmp=$C218)*(PayDate&lt;=$AC218)*(OFFSET($N$6,1,MATCH(AV$5,PayDedList,0)-1,PayCount,1)))/$AA218*12*AV$3,IF(ISNA(MATCH(OFFSET($N$2,0,MATCH(AV$5,PayDedList,0)-1,1,1),EarnListItem,0))=FALSE,SUMPRODUCT((PayEmp=$C218)*(PayDate&lt;=$AC218)*(OFFSET($N$6,1,MATCH(AV$5,PayDedList,0)-1,PayCount,1)))/$AA218*12*AV$3,(MIN(SUMPRODUCT((PayEmp=$C218)*(PayDate&lt;=$AC218)*(ISERROR(SEARCH(PayEarnCode,AV$2)))*(PayEarnType="Monthly")*(PayEarnValues))/$AA218*12,IF(ISNUMBER(OFFSET($N$3,0,MATCH(AV$5,PayDedList,0)-1,1,1)),OFFSET($N$3,0,MATCH(AV$5,PayDedList,0)-1,1,1),IgnoreMin)))*IF(COUNTIFS(EmpNo,$C218,OFFSET(Emp!$R$4,1,MATCH(AV$5,DedListItem,0)-1,EmpCount,1),"&lt;&gt;")&gt;0,VLOOKUP($C218,EmpAll,COLUMN(Emp!$R$4)+MATCH(AV$5,DedListItem,0)-1,0),OFFSET(Setup!$E$73,MATCH(AV$5,DedListItem,0),0,1,1))*AV$3))),IF(ISNUMBER(AV$4),AV$4,IgnoreMin)))))</f>
        <v>0</v>
      </c>
      <c r="AW218" s="148" cm="1">
        <f t="array" aca="1" ref="AW218" ca="1">-IF($F218="Terminated",0,IF($AA218=0,0,IF(ISNA(MATCH(AW$5,PayDedList,0)),0,MIN(IF(COUNTIFS(OverEmp,$C218,OverDeduct,AW$5,OverDate,"&lt;"&amp;DATE(YEAR($AC218),MONTH($AC218)+1,1),OverEnd,"&gt;="&amp;DATE(YEAR($AC218),MONTH($AC218),1))&gt;0,SUMPRODUCT((PayEmp=$C218)*(PayDate&lt;=$AC218)*(OFFSET($N$6,1,MATCH(AW$5,PayDedList,0)-1,PayCount,1)))/$AA218*12*AW$3,IF(OR(AW$1="Fixed",AW$1="Not Used"),SUMPRODUCT((PayEmp=$C218)*(PayDate&lt;=$AC218)*(OFFSET($N$6,1,MATCH(AW$5,PayDedList,0)-1,PayCount,1)))/$AA218*12*AW$3,IF(ISNA(MATCH(OFFSET($N$2,0,MATCH(AW$5,PayDedList,0)-1,1,1),EarnListItem,0))=FALSE,SUMPRODUCT((PayEmp=$C218)*(PayDate&lt;=$AC218)*(OFFSET($N$6,1,MATCH(AW$5,PayDedList,0)-1,PayCount,1)))/$AA218*12*AW$3,(MIN(SUMPRODUCT((PayEmp=$C218)*(PayDate&lt;=$AC218)*(ISERROR(SEARCH(PayEarnCode,AW$2)))*(PayEarnType="Monthly")*(PayEarnValues))/$AA218*12,IF(ISNUMBER(OFFSET($N$3,0,MATCH(AW$5,PayDedList,0)-1,1,1)),OFFSET($N$3,0,MATCH(AW$5,PayDedList,0)-1,1,1),IgnoreMin)))*IF(COUNTIFS(EmpNo,$C218,OFFSET(Emp!$R$4,1,MATCH(AW$5,DedListItem,0)-1,EmpCount,1),"&lt;&gt;")&gt;0,VLOOKUP($C218,EmpAll,COLUMN(Emp!$R$4)+MATCH(AW$5,DedListItem,0)-1,0),OFFSET(Setup!$E$73,MATCH(AW$5,DedListItem,0),0,1,1))*AW$3))),IF(ISNUMBER(AW$4),AW$4,IgnoreMin)))))</f>
        <v>0</v>
      </c>
      <c r="AX218" s="148">
        <f t="shared" ca="1" si="132"/>
        <v>0</v>
      </c>
      <c r="AY218" s="148">
        <f t="shared" ca="1" si="133"/>
        <v>0</v>
      </c>
      <c r="AZ218" s="148">
        <f ca="1">IF(ISNUMBER($AL218),($AR218*$AL218)-$AI218-$AK218,MAX(0,IF($AL218="B",IF($AR218&lt;Setup!$C$32,($AR218*Setup!$D$32)-$AI218-$AK218,(($AR218-VLOOKUP($AR218,TaxAll2,1,1))*OFFSET(Setup!$D$32,MATCH($AR218,TaxBracket2,1),0,1,1))+OFFSET(Setup!$E$31,MATCH($AR218,TaxBracket2,1),0,1,1)-$AI218-$AK218),IF($AR218&lt;Setup!$C$21,($AR218*Setup!$D$21)-$AI218-$AK218,(($AR218-VLOOKUP($AR218,TaxAll1,1,1))*OFFSET(Setup!$D$21,MATCH($AR218,TaxBracket1,1),0,1,1))+OFFSET(Setup!$E$20,MATCH($AR218,TaxBracket1,1),0,1,1)-$AI218-$AK218))))</f>
        <v>0</v>
      </c>
      <c r="BA218" s="148">
        <f ca="1">IF(ISNUMBER($AL218),($AX218*$AL218)-$AI218-$AK218,MAX(0,IF($AL218="B",IF($AX218&lt;Setup!$C$32,($AX218*Setup!$D$32)-$AI218-$AK218,(($AX218-VLOOKUP($AX218,TaxAll2,1,1))*OFFSET(Setup!$D$32,MATCH($AX218,TaxBracket2,1),0,1,1))+OFFSET(Setup!$E$31,MATCH($AX218,TaxBracket2,1),0,1,1)-$AI218-$AK218),IF($AX218&lt;Setup!$C$21,($AX218*Setup!$D$21)-$AI218-$AK218,(($AX218-VLOOKUP($AX218,TaxAll1,1,1))*OFFSET(Setup!$D$21,MATCH($AX218,TaxBracket1,1),0,1,1))+OFFSET(Setup!$E$20,MATCH($AX218,TaxBracket1,1),0,1,1)-$AI218-$AK218))))</f>
        <v>0</v>
      </c>
      <c r="BB218" s="148">
        <f t="shared" ca="1" si="134"/>
        <v>0</v>
      </c>
      <c r="BC218" s="150">
        <f t="shared" ca="1" si="110"/>
        <v>0</v>
      </c>
      <c r="BD218" s="150">
        <f t="shared" ca="1" si="111"/>
        <v>0</v>
      </c>
      <c r="BE218" s="148">
        <f t="shared" ca="1" si="112"/>
        <v>0</v>
      </c>
    </row>
    <row r="219" spans="1:57" ht="16.149999999999999" customHeight="1" x14ac:dyDescent="0.25">
      <c r="A219" s="10" t="str" cm="1">
        <f t="array" ref="A219">IF(ROW($A219)-ROW($A$6)&gt;EmpCount*12,"-",TEXT($B219,"yyyy")&amp;TEXT($B219,"mm")&amp;"-"&amp;$C219)</f>
        <v>-</v>
      </c>
      <c r="B219" s="137" cm="1">
        <f t="array" aca="1" ref="B219" ca="1">IF(ROW($A219)-ROW($A$6)&gt;EmpCount*12,Setup!$D$12,DATE(YEAR(Setup!$F$12),MONTH(Setup!$F$12)+ROUNDDOWN((ROW($A219)-ROW($A$6)-1)/EmpCount,0),IF(Setup!$C$14&gt;DAY(DATE(YEAR(Setup!$F$12),MONTH(Setup!$F$12)+ROUNDDOWN((ROW($A219)-ROW($A$6)-1)/EmpCount,0)+1,0)),DAY(DATE(YEAR(Setup!$F$12),MONTH(Setup!$F$12)+ROUNDDOWN((ROW($A219)-ROW($A$6)-1)/EmpCount,0)+1,0)),Setup!$C$14)))</f>
        <v>45351</v>
      </c>
      <c r="C219" s="101" t="str" cm="1">
        <f t="array" aca="1" ref="C219" ca="1">IF(ROW($A219)-ROW($A$6)&gt;EmpCount*12,"-",OFFSET(Emp!$A$4,ROW($A219)-ROW($A$6)-IF(ROW($A219)-ROW($A$6)&gt;EmpCount,ROUNDDOWN((ROW($A219)-ROW($A$6)-1)/EmpCount,0)*EmpCount,0),0,1,1))</f>
        <v>-</v>
      </c>
      <c r="D219" s="10" t="str">
        <f ca="1">IF(ISNA(VLOOKUP($C219,EmpAll,COLUMN(Emp!$B$4),0)),"-",VLOOKUP($C219,EmpAll,COLUMN(Emp!$B$4),0))</f>
        <v>-</v>
      </c>
      <c r="E219" s="145" t="str">
        <f ca="1">IF(ISNA(VLOOKUP($C219,EmpAll,COLUMN(Emp!$C$4),0)),"-",VLOOKUP($C219,EmpAll,COLUMN(Emp!$C$4),0))</f>
        <v>-</v>
      </c>
      <c r="F219" s="101" t="str">
        <f ca="1">IF(ISNA(VLOOKUP($C219,EmpAll,COLUMN(Emp!$A$4),0)),"-",IF(AND(VLOOKUP($C219,EmpAll,COLUMN(Emp!$E$4),0)&lt;&gt;0,VLOOKUP($C219,EmpAll,COLUMN(Emp!$E$4),0)&gt;=DATE(YEAR($AC219),MONTH($AC219)+1,0)),"Inactive",IF(AND(VLOOKUP($C219,EmpAll,COLUMN(Emp!$F$4),0)&lt;&gt;0,VLOOKUP($C219,EmpAll,COLUMN(Emp!$F$4),0)&lt;=DATE(YEAR($AC219),MONTH($AC219),0)),"Terminated","Active")))</f>
        <v>-</v>
      </c>
      <c r="G219" s="133" cm="1">
        <f t="array" aca="1" ref="G219" ca="1">IF($F219&lt;&gt;"Active",0,IF(COUNTIFS(OverEmp,$C219,OverEarn,G$2,OverDate,"&lt;"&amp;DATE(YEAR($AC219),MONTH($AC219)+1,1),OverEnd,"&gt;="&amp;DATE(YEAR($AC219),MONTH($AC219),1))&gt;0,SUMIFS(OverValue,OverEmp,$C219,OverEarn,G$2,OverDate,"&lt;"&amp;DATE(YEAR($AC219),MONTH($AC219)+1,1),OverEnd,"&gt;="&amp;DATE(YEAR($AC219),MONTH($AC219),1)),IF(AND($AC219&gt;=Setup!$E$10,SUMIFS(EmpIncrease,EmpCode,$C219)&gt;0),SUMIFS(EmpIncrease,EmpCode,$C219),SUMIFS(EmpSalary,EmpCode,$C219))))</f>
        <v>0</v>
      </c>
      <c r="H219" s="133" cm="1">
        <f t="array" aca="1" ref="H219" ca="1">IF($F219&lt;&gt;"Active",0,IF(COUNTIFS(OverEmp,$C219,OverEarn,H$2,OverDate,"&lt;"&amp;DATE(YEAR($AC219),MONTH($AC219)+1,1),OverEnd,"&gt;="&amp;DATE(YEAR($AC219),MONTH($AC219),1))&gt;0,SUMIFS(OverValue,OverEmp,$C219,OverEarn,H$2,OverDate,"&lt;"&amp;DATE(YEAR($AC219),MONTH($AC219)+1,1),OverEnd,"&gt;="&amp;DATE(YEAR($AC219),MONTH($AC219),1)),0))</f>
        <v>0</v>
      </c>
      <c r="I219" s="133" cm="1">
        <f t="array" aca="1" ref="I219" ca="1">IF($F219&lt;&gt;"Active",0,IF(COUNTIFS(OverEmp,$C219,OverEarn,I$2,OverDate,"&lt;"&amp;DATE(YEAR($AC219),MONTH($AC219)+1,1),OverEnd,"&gt;="&amp;DATE(YEAR($AC219),MONTH($AC219),1))&gt;0,SUMIFS(OverValue,OverEmp,$C219,OverEarn,I$2,OverDate,"&lt;"&amp;DATE(YEAR($AC219),MONTH($AC219)+1,1),OverEnd,"&gt;="&amp;DATE(YEAR($AC219),MONTH($AC219),1)),IF(MONTH(B219)=Setup!$C$15,SUMIFS(EmpBonus,EmpCode,$C219),0)))</f>
        <v>0</v>
      </c>
      <c r="J219" s="133" cm="1">
        <f t="array" aca="1" ref="J219" ca="1">IF($F219&lt;&gt;"Active",0,IF(COUNTIFS(OverEmp,$C219,OverEarn,J$2,OverDate,"&lt;"&amp;DATE(YEAR($AC219),MONTH($AC219)+1,1),OverEnd,"&gt;="&amp;DATE(YEAR($AC219),MONTH($AC219),1))&gt;0,SUMIFS(OverValue,OverEmp,$C219,OverEarn,J$2,OverDate,"&lt;"&amp;DATE(YEAR($AC219),MONTH($AC219)+1,1),OverEnd,"&gt;="&amp;DATE(YEAR($AC219),MONTH($AC219),1)),0))</f>
        <v>0</v>
      </c>
      <c r="K219" s="133" cm="1">
        <f t="array" aca="1" ref="K219" ca="1">IF($F219&lt;&gt;"Active",0,IF(COUNTIFS(OverEmp,$C219,OverEarn,K$2,OverDate,"&lt;"&amp;DATE(YEAR($AC219),MONTH($AC219)+1,1),OverEnd,"&gt;="&amp;DATE(YEAR($AC219),MONTH($AC219),1))&gt;0,SUMIFS(OverValue,OverEmp,$C219,OverEarn,K$2,OverDate,"&lt;"&amp;DATE(YEAR($AC219),MONTH($AC219)+1,1),OverEnd,"&gt;="&amp;DATE(YEAR($AC219),MONTH($AC219),1)),0))</f>
        <v>0</v>
      </c>
      <c r="L219" s="185">
        <f t="shared" ca="1" si="124"/>
        <v>0</v>
      </c>
      <c r="M219" s="182" cm="1">
        <f t="array" aca="1" ref="M219" ca="1">IF(COUNTIFS(OverEmp,$C219,OverTax,M$5,OverDate,"&lt;"&amp;DATE(YEAR($AC219),MONTH($AC219)+1,1),OverEnd,"&gt;="&amp;DATE(YEAR($AC219),MONTH($AC219),1))&gt;0,SUMIFS(OverValue,OverEmp,$C219,OverTax,M$5,OverDate,"&lt;"&amp;DATE(YEAR($AC219),MONTH($AC219)+1,1),OverEnd,"&gt;="&amp;DATE(YEAR($AC219),MONTH($AC219),1)),(($BA219/12*$AA219)+(BB219*IF(1-$BC219=0,0,BD219/(1-$BC219))))-IF($F219="Terminated",0,SUMIFS(PayTaxDeduct,PayDate,"&lt;"&amp;$AC219,PayEmp,$C219)))</f>
        <v>0</v>
      </c>
      <c r="N219" s="133" cm="1">
        <f t="array" aca="1" ref="N219" ca="1">IF($F219="Terminated",0,IF($AA219=0,0,IF(ISNA(MATCH(N$5,DedListItem,0)),0,IF(COUNTIFS(OverEmp,$C219,OverDeduct,N$5,OverDate,"&lt;"&amp;DATE(YEAR($AC219),MONTH($AC219)+1,1),OverEnd,"&gt;="&amp;DATE(YEAR($AC219),MONTH($AC219),1))&gt;0,SUMIFS(OverValue,OverEmp,$C219,OverDeduct,N$5,OverDate,"&lt;"&amp;DATE(YEAR($AC219),MONTH($AC219)+1,1),OverEnd,"&gt;="&amp;DATE(YEAR($AC219),MONTH($AC219),1)),IF(OR(N$2="Fixed",N$2="Not Used"),(IF(COUNTIFS(EmpNo,$C219,OFFSET(Emp!$R$4,1,MATCH(N$5,DedListItem,0)-1,EmpCount,1),"&lt;&gt;")&gt;0,VLOOKUP($C219,EmpAll,COLUMN(Emp!$R$4)+MATCH(N$5,DedListItem,0)-1,0),OFFSET(Setup!$E$73,MATCH(N$5,DedListItem,0),0,1,1))*$AA219)-SUMIFS(OFFSET(N$6,1,0,PayCount,1),PayDate,"&lt;"&amp;$AC219,PayEmp,$C219),IF(ISNA(MATCH(N$2,EarnListItem,0))=FALSE,IF(OFFSET(Setup!$G$73,MATCH(N$5,DedListItem,0),0,1,1)="Taxable",SUMPRODUCT((PayEmp=$C219)*(PayDate&lt;=$AC219)*(PayEarnCode=N$2)*(PayEarnTax)*(PayEarnValues)),SUMPRODUCT((PayEmp=$C219)*(PayDate&lt;=$AC219)*(PayEarnCode=N$2)*(PayEarnValues)))*IF(COUNTIFS(EmpNo,$C219,OFFSET(Emp!$R$4,1,MATCH(N$5,DedListItem,0)-1,EmpCount,1),"&lt;&gt;")&gt;0,VLOOKUP($C219,EmpAll,COLUMN(Emp!$R$4)+MATCH(N$5,DedListItem,0)-1,0),OFFSET(Setup!$E$73,MATCH(N$5,DedListItem,0),0,1,1)),(MIN(IF(OFFSET(Setup!$G$73,MATCH(N$5,DedListItem,0),0,1,1)="Taxable",SUMPRODUCT((PayEmp=$C219)*(PayDate&lt;=$AC219)*(ISERROR(SEARCH(PayEarnCode,N$4)))*(PayEarnTax)*(PayEarnValues)),SUMPRODUCT((PayEmp=$C219)*(PayDate&lt;=$AC219)*(ISERROR(SEARCH(PayEarnCode,N$4)))*(PayEarnValues))),IF(ISNUMBER(N$3),N$3/12*$AA219,IgnoreMin)))*IF(COUNTIFS(EmpNo,$C219,OFFSET(Emp!$R$4,1,MATCH(N$5,DedListItem,0)-1,EmpCount,1),"&lt;&gt;")&gt;0,VLOOKUP($C219,EmpAll,COLUMN(Emp!$R$4)+MATCH(N$5,DedListItem,0)-1,0),OFFSET(Setup!$E$73,MATCH(N$5,DedListItem,0),0,1,1)))-SUMIFS(OFFSET(N$6,1,0,PayCount,1),PayDate,"&lt;"&amp;$AC219,PayEmp,$C219))))))</f>
        <v>0</v>
      </c>
      <c r="O219" s="133" cm="1">
        <f t="array" aca="1" ref="O219" ca="1">IF($F219="Terminated",0,IF($AA219=0,0,IF(ISNA(MATCH(O$5,DedListItem,0)),0,IF(COUNTIFS(OverEmp,$C219,OverDeduct,O$5,OverDate,"&lt;"&amp;DATE(YEAR($AC219),MONTH($AC219)+1,1),OverEnd,"&gt;="&amp;DATE(YEAR($AC219),MONTH($AC219),1))&gt;0,SUMIFS(OverValue,OverEmp,$C219,OverDeduct,O$5,OverDate,"&lt;"&amp;DATE(YEAR($AC219),MONTH($AC219)+1,1),OverEnd,"&gt;="&amp;DATE(YEAR($AC219),MONTH($AC219),1)),IF(OR(O$2="Fixed",O$2="Not Used"),(IF(COUNTIFS(EmpNo,$C219,OFFSET(Emp!$R$4,1,MATCH(O$5,DedListItem,0)-1,EmpCount,1),"&lt;&gt;")&gt;0,VLOOKUP($C219,EmpAll,COLUMN(Emp!$R$4)+MATCH(O$5,DedListItem,0)-1,0),OFFSET(Setup!$E$73,MATCH(O$5,DedListItem,0),0,1,1))*$AA219)-SUMIFS(OFFSET(O$6,1,0,PayCount,1),PayDate,"&lt;"&amp;$AC219,PayEmp,$C219),IF(ISNA(MATCH(O$2,EarnListItem,0))=FALSE,IF(OFFSET(Setup!$G$73,MATCH(O$5,DedListItem,0),0,1,1)="Taxable",SUMPRODUCT((PayEmp=$C219)*(PayDate&lt;=$AC219)*(PayEarnCode=O$2)*(PayEarnTax)*(PayEarnValues)),SUMPRODUCT((PayEmp=$C219)*(PayDate&lt;=$AC219)*(PayEarnCode=O$2)*(PayEarnValues)))*IF(COUNTIFS(EmpNo,$C219,OFFSET(Emp!$R$4,1,MATCH(O$5,DedListItem,0)-1,EmpCount,1),"&lt;&gt;")&gt;0,VLOOKUP($C219,EmpAll,COLUMN(Emp!$R$4)+MATCH(O$5,DedListItem,0)-1,0),OFFSET(Setup!$E$73,MATCH(O$5,DedListItem,0),0,1,1)),(MIN(IF(OFFSET(Setup!$G$73,MATCH(O$5,DedListItem,0),0,1,1)="Taxable",SUMPRODUCT((PayEmp=$C219)*(PayDate&lt;=$AC219)*(ISERROR(SEARCH(PayEarnCode,O$4)))*(PayEarnTax)*(PayEarnValues)),SUMPRODUCT((PayEmp=$C219)*(PayDate&lt;=$AC219)*(ISERROR(SEARCH(PayEarnCode,O$4)))*(PayEarnValues))),IF(ISNUMBER(O$3),O$3/12*$AA219,IgnoreMin)))*IF(COUNTIFS(EmpNo,$C219,OFFSET(Emp!$R$4,1,MATCH(O$5,DedListItem,0)-1,EmpCount,1),"&lt;&gt;")&gt;0,VLOOKUP($C219,EmpAll,COLUMN(Emp!$R$4)+MATCH(O$5,DedListItem,0)-1,0),OFFSET(Setup!$E$73,MATCH(O$5,DedListItem,0),0,1,1)))-SUMIFS(OFFSET(O$6,1,0,PayCount,1),PayDate,"&lt;"&amp;$AC219,PayEmp,$C219))))))</f>
        <v>0</v>
      </c>
      <c r="P219" s="133" cm="1">
        <f t="array" aca="1" ref="P219" ca="1">IF($F219="Terminated",0,IF($AA219=0,0,IF(ISNA(MATCH(P$5,DedListItem,0)),0,IF(COUNTIFS(OverEmp,$C219,OverDeduct,P$5,OverDate,"&lt;"&amp;DATE(YEAR($AC219),MONTH($AC219)+1,1),OverEnd,"&gt;="&amp;DATE(YEAR($AC219),MONTH($AC219),1))&gt;0,SUMIFS(OverValue,OverEmp,$C219,OverDeduct,P$5,OverDate,"&lt;"&amp;DATE(YEAR($AC219),MONTH($AC219)+1,1),OverEnd,"&gt;="&amp;DATE(YEAR($AC219),MONTH($AC219),1)),IF(OR(P$2="Fixed",P$2="Not Used"),(IF(COUNTIFS(EmpNo,$C219,OFFSET(Emp!$R$4,1,MATCH(P$5,DedListItem,0)-1,EmpCount,1),"&lt;&gt;")&gt;0,VLOOKUP($C219,EmpAll,COLUMN(Emp!$R$4)+MATCH(P$5,DedListItem,0)-1,0),OFFSET(Setup!$E$73,MATCH(P$5,DedListItem,0),0,1,1))*$AA219)-SUMIFS(OFFSET(P$6,1,0,PayCount,1),PayDate,"&lt;"&amp;$AC219,PayEmp,$C219),IF(ISNA(MATCH(P$2,EarnListItem,0))=FALSE,IF(OFFSET(Setup!$G$73,MATCH(P$5,DedListItem,0),0,1,1)="Taxable",SUMPRODUCT((PayEmp=$C219)*(PayDate&lt;=$AC219)*(PayEarnCode=P$2)*(PayEarnTax)*(PayEarnValues)),SUMPRODUCT((PayEmp=$C219)*(PayDate&lt;=$AC219)*(PayEarnCode=P$2)*(PayEarnValues)))*IF(COUNTIFS(EmpNo,$C219,OFFSET(Emp!$R$4,1,MATCH(P$5,DedListItem,0)-1,EmpCount,1),"&lt;&gt;")&gt;0,VLOOKUP($C219,EmpAll,COLUMN(Emp!$R$4)+MATCH(P$5,DedListItem,0)-1,0),OFFSET(Setup!$E$73,MATCH(P$5,DedListItem,0),0,1,1)),(MIN(IF(OFFSET(Setup!$G$73,MATCH(P$5,DedListItem,0),0,1,1)="Taxable",SUMPRODUCT((PayEmp=$C219)*(PayDate&lt;=$AC219)*(ISERROR(SEARCH(PayEarnCode,P$4)))*(PayEarnTax)*(PayEarnValues)),SUMPRODUCT((PayEmp=$C219)*(PayDate&lt;=$AC219)*(ISERROR(SEARCH(PayEarnCode,P$4)))*(PayEarnValues))),IF(ISNUMBER(P$3),P$3/12*$AA219,IgnoreMin)))*IF(COUNTIFS(EmpNo,$C219,OFFSET(Emp!$R$4,1,MATCH(P$5,DedListItem,0)-1,EmpCount,1),"&lt;&gt;")&gt;0,VLOOKUP($C219,EmpAll,COLUMN(Emp!$R$4)+MATCH(P$5,DedListItem,0)-1,0),OFFSET(Setup!$E$73,MATCH(P$5,DedListItem,0),0,1,1)))-SUMIFS(OFFSET(P$6,1,0,PayCount,1),PayDate,"&lt;"&amp;$AC219,PayEmp,$C219))))))</f>
        <v>0</v>
      </c>
      <c r="Q219" s="133" cm="1">
        <f t="array" aca="1" ref="Q219" ca="1">IF($F219="Terminated",0,IF($AA219=0,0,IF(ISNA(MATCH(Q$5,DedListItem,0)),0,IF(COUNTIFS(OverEmp,$C219,OverDeduct,Q$5,OverDate,"&lt;"&amp;DATE(YEAR($AC219),MONTH($AC219)+1,1),OverEnd,"&gt;="&amp;DATE(YEAR($AC219),MONTH($AC219),1))&gt;0,SUMIFS(OverValue,OverEmp,$C219,OverDeduct,Q$5,OverDate,"&lt;"&amp;DATE(YEAR($AC219),MONTH($AC219)+1,1),OverEnd,"&gt;="&amp;DATE(YEAR($AC219),MONTH($AC219),1)),IF(OR(Q$2="Fixed",Q$2="Not Used"),(IF(COUNTIFS(EmpNo,$C219,OFFSET(Emp!$R$4,1,MATCH(Q$5,DedListItem,0)-1,EmpCount,1),"&lt;&gt;")&gt;0,VLOOKUP($C219,EmpAll,COLUMN(Emp!$R$4)+MATCH(Q$5,DedListItem,0)-1,0),OFFSET(Setup!$E$73,MATCH(Q$5,DedListItem,0),0,1,1))*$AA219)-SUMIFS(OFFSET(Q$6,1,0,PayCount,1),PayDate,"&lt;"&amp;$AC219,PayEmp,$C219),IF(ISNA(MATCH(Q$2,EarnListItem,0))=FALSE,IF(OFFSET(Setup!$G$73,MATCH(Q$5,DedListItem,0),0,1,1)="Taxable",SUMPRODUCT((PayEmp=$C219)*(PayDate&lt;=$AC219)*(PayEarnCode=Q$2)*(PayEarnTax)*(PayEarnValues)),SUMPRODUCT((PayEmp=$C219)*(PayDate&lt;=$AC219)*(PayEarnCode=Q$2)*(PayEarnValues)))*IF(COUNTIFS(EmpNo,$C219,OFFSET(Emp!$R$4,1,MATCH(Q$5,DedListItem,0)-1,EmpCount,1),"&lt;&gt;")&gt;0,VLOOKUP($C219,EmpAll,COLUMN(Emp!$R$4)+MATCH(Q$5,DedListItem,0)-1,0),OFFSET(Setup!$E$73,MATCH(Q$5,DedListItem,0),0,1,1)),(MIN(IF(OFFSET(Setup!$G$73,MATCH(Q$5,DedListItem,0),0,1,1)="Taxable",SUMPRODUCT((PayEmp=$C219)*(PayDate&lt;=$AC219)*(ISERROR(SEARCH(PayEarnCode,Q$4)))*(PayEarnTax)*(PayEarnValues)),SUMPRODUCT((PayEmp=$C219)*(PayDate&lt;=$AC219)*(ISERROR(SEARCH(PayEarnCode,Q$4)))*(PayEarnValues))),IF(ISNUMBER(Q$3),Q$3/12*$AA219,IgnoreMin)))*IF(COUNTIFS(EmpNo,$C219,OFFSET(Emp!$R$4,1,MATCH(Q$5,DedListItem,0)-1,EmpCount,1),"&lt;&gt;")&gt;0,VLOOKUP($C219,EmpAll,COLUMN(Emp!$R$4)+MATCH(Q$5,DedListItem,0)-1,0),OFFSET(Setup!$E$73,MATCH(Q$5,DedListItem,0),0,1,1)))-SUMIFS(OFFSET(Q$6,1,0,PayCount,1),PayDate,"&lt;"&amp;$AC219,PayEmp,$C219))))))</f>
        <v>0</v>
      </c>
      <c r="R219" s="185">
        <f t="shared" ca="1" si="125"/>
        <v>0</v>
      </c>
      <c r="S219" s="139">
        <f t="shared" ca="1" si="126"/>
        <v>0</v>
      </c>
      <c r="T219" s="133" cm="1">
        <f t="array" aca="1" ref="T219" ca="1">IF($F219="Terminated",0,IF($AA219=0,0,IF(ISNA(MATCH(T$5,CompListItem,0)),0,IF(COUNTIFS(OverEmp,$C219,OverComp,T$5,OverDate,"&lt;"&amp;DATE(YEAR($AC219),MONTH($AC219)+1,1),OverEnd,"&gt;="&amp;DATE(YEAR($AC219),MONTH($AC219),1))&gt;0,SUMIFS(OverValue,OverEmp,$C219,OverComp,T$5,OverDate,"&lt;"&amp;DATE(YEAR($AC219),MONTH($AC219)+1,1),OverEnd,"&gt;="&amp;DATE(YEAR($AC219),MONTH($AC219),1)),IF(OR(T$2="Fixed",T$2="Not Used"),(OFFSET(Setup!$E$81,MATCH(T$5,CompListItem,0),0,1,1)*$AA219)-SUMIFS(OFFSET(T$6,1,0,PayCount,1),PayDate,"&lt;"&amp;$AC219,PayEmp,$C219),IF(ISNA(MATCH(T$2,DedListItem,0))=FALSE,(SUMPRODUCT((PayEmp=$C219)*(PayDate&lt;=$AC219)*(PayDedList=T$2)*(PayDedValues))*OFFSET(Setup!$E$81,MATCH(T$5,CompListItem,0),0,1,1))-SUMIFS(OFFSET(T$6,1,0,PayCount,1),PayDate,"&lt;"&amp;$AC219,PayEmp,$C219),(MIN(IF(OFFSET(Setup!$G$81,MATCH(T$5,CompListItem,0),0,1,1)="Taxable",SUMPRODUCT((PayEmp=$C219)*(PayDate&lt;=$AC219)*(ISERROR(SEARCH(PayEarnCode,T$4)))*(PayEarnTax)*(PayEarnValues)),SUMPRODUCT((PayEmp=$C219)*(PayDate&lt;=$AC219)*(ISERROR(SEARCH(PayEarnCode,T$4)))*(PayEarnValues))),IF(ISNUMBER(T$3),T$3/12*$AA219,IgnoreMin)))*OFFSET(Setup!$E$81,MATCH(T$5,CompListItem,0),0,1,1)-SUMIFS(OFFSET(T$6,1,0,PayCount,1),PayDate,"&lt;"&amp;$AC219,PayEmp,$C219)))))))</f>
        <v>0</v>
      </c>
      <c r="U219" s="133" cm="1">
        <f t="array" aca="1" ref="U219" ca="1">IF($F219="Terminated",0,IF($AA219=0,0,IF(ISNA(MATCH(U$5,CompListItem,0)),0,IF(COUNTIFS(OverEmp,$C219,OverComp,U$5,OverDate,"&lt;"&amp;DATE(YEAR($AC219),MONTH($AC219)+1,1),OverEnd,"&gt;="&amp;DATE(YEAR($AC219),MONTH($AC219),1))&gt;0,SUMIFS(OverValue,OverEmp,$C219,OverComp,U$5,OverDate,"&lt;"&amp;DATE(YEAR($AC219),MONTH($AC219)+1,1),OverEnd,"&gt;="&amp;DATE(YEAR($AC219),MONTH($AC219),1)),IF(OR(U$2="Fixed",U$2="Not Used"),(OFFSET(Setup!$E$81,MATCH(U$5,CompListItem,0),0,1,1)*$AA219)-SUMIFS(OFFSET(U$6,1,0,PayCount,1),PayDate,"&lt;"&amp;$AC219,PayEmp,$C219),IF(ISNA(MATCH(U$2,DedListItem,0))=FALSE,(SUMPRODUCT((PayEmp=$C219)*(PayDate&lt;=$AC219)*(PayDedList=U$2)*(PayDedValues))*OFFSET(Setup!$E$81,MATCH(U$5,CompListItem,0),0,1,1))-SUMIFS(OFFSET(U$6,1,0,PayCount,1),PayDate,"&lt;"&amp;$AC219,PayEmp,$C219),(MIN(IF(OFFSET(Setup!$G$81,MATCH(U$5,CompListItem,0),0,1,1)="Taxable",SUMPRODUCT((PayEmp=$C219)*(PayDate&lt;=$AC219)*(ISERROR(SEARCH(PayEarnCode,U$4)))*(PayEarnTax)*(PayEarnValues)),SUMPRODUCT((PayEmp=$C219)*(PayDate&lt;=$AC219)*(ISERROR(SEARCH(PayEarnCode,U$4)))*(PayEarnValues))),IF(ISNUMBER(U$3),U$3/12*$AA219,IgnoreMin)))*OFFSET(Setup!$E$81,MATCH(U$5,CompListItem,0),0,1,1)-SUMIFS(OFFSET(U$6,1,0,PayCount,1),PayDate,"&lt;"&amp;$AC219,PayEmp,$C219)))))))</f>
        <v>0</v>
      </c>
      <c r="V219" s="133" cm="1">
        <f t="array" aca="1" ref="V219" ca="1">IF($F219="Terminated",0,IF($AA219=0,0,IF(ISNA(MATCH(V$5,CompListItem,0)),0,IF(COUNTIFS(OverEmp,$C219,OverComp,V$5,OverDate,"&lt;"&amp;DATE(YEAR($AC219),MONTH($AC219)+1,1),OverEnd,"&gt;="&amp;DATE(YEAR($AC219),MONTH($AC219),1))&gt;0,SUMIFS(OverValue,OverEmp,$C219,OverComp,V$5,OverDate,"&lt;"&amp;DATE(YEAR($AC219),MONTH($AC219)+1,1),OverEnd,"&gt;="&amp;DATE(YEAR($AC219),MONTH($AC219),1)),IF(OR(V$2="Fixed",V$2="Not Used"),(OFFSET(Setup!$E$81,MATCH(V$5,CompListItem,0),0,1,1)*$AA219)-SUMIFS(OFFSET(V$6,1,0,PayCount,1),PayDate,"&lt;"&amp;$AC219,PayEmp,$C219),IF(ISNA(MATCH(V$2,DedListItem,0))=FALSE,(SUMPRODUCT((PayEmp=$C219)*(PayDate&lt;=$AC219)*(PayDedList=V$2)*(PayDedValues))*OFFSET(Setup!$E$81,MATCH(V$5,CompListItem,0),0,1,1))-SUMIFS(OFFSET(V$6,1,0,PayCount,1),PayDate,"&lt;"&amp;$AC219,PayEmp,$C219),(MIN(IF(OFFSET(Setup!$G$81,MATCH(V$5,CompListItem,0),0,1,1)="Taxable",SUMPRODUCT((PayEmp=$C219)*(PayDate&lt;=$AC219)*(ISERROR(SEARCH(PayEarnCode,V$4)))*(PayEarnTax)*(PayEarnValues)),SUMPRODUCT((PayEmp=$C219)*(PayDate&lt;=$AC219)*(ISERROR(SEARCH(PayEarnCode,V$4)))*(PayEarnValues))),IF(ISNUMBER(V$3),V$3/12*$AA219,IgnoreMin)))*OFFSET(Setup!$E$81,MATCH(V$5,CompListItem,0),0,1,1)-SUMIFS(OFFSET(V$6,1,0,PayCount,1),PayDate,"&lt;"&amp;$AC219,PayEmp,$C219)))))))</f>
        <v>0</v>
      </c>
      <c r="W219" s="133" cm="1">
        <f t="array" aca="1" ref="W219" ca="1">IF($F219="Terminated",0,IF($AA219=0,0,IF(ISNA(MATCH(W$5,CompListItem,0)),0,IF(COUNTIFS(OverEmp,$C219,OverComp,W$5,OverDate,"&lt;"&amp;DATE(YEAR($AC219),MONTH($AC219)+1,1),OverEnd,"&gt;="&amp;DATE(YEAR($AC219),MONTH($AC219),1))&gt;0,SUMIFS(OverValue,OverEmp,$C219,OverComp,W$5,OverDate,"&lt;"&amp;DATE(YEAR($AC219),MONTH($AC219)+1,1),OverEnd,"&gt;="&amp;DATE(YEAR($AC219),MONTH($AC219),1)),IF(OR(W$2="Fixed",W$2="Not Used"),(OFFSET(Setup!$E$81,MATCH(W$5,CompListItem,0),0,1,1)*$AA219)-SUMIFS(OFFSET(W$6,1,0,PayCount,1),PayDate,"&lt;"&amp;$AC219,PayEmp,$C219),IF(ISNA(MATCH(W$2,DedListItem,0))=FALSE,(SUMPRODUCT((PayEmp=$C219)*(PayDate&lt;=$AC219)*(PayDedList=W$2)*(PayDedValues))*OFFSET(Setup!$E$81,MATCH(W$5,CompListItem,0),0,1,1))-SUMIFS(OFFSET(W$6,1,0,PayCount,1),PayDate,"&lt;"&amp;$AC219,PayEmp,$C219),(MIN(IF(OFFSET(Setup!$G$81,MATCH(W$5,CompListItem,0),0,1,1)="Taxable",SUMPRODUCT((PayEmp=$C219)*(PayDate&lt;=$AC219)*(ISERROR(SEARCH(PayEarnCode,W$4)))*(PayEarnTax)*(PayEarnValues)),SUMPRODUCT((PayEmp=$C219)*(PayDate&lt;=$AC219)*(ISERROR(SEARCH(PayEarnCode,W$4)))*(PayEarnValues))),IF(ISNUMBER(W$3),W$3/12*$AA219,IgnoreMin)))*OFFSET(Setup!$E$81,MATCH(W$5,CompListItem,0),0,1,1)-SUMIFS(OFFSET(W$6,1,0,PayCount,1),PayDate,"&lt;"&amp;$AC219,PayEmp,$C219)))))))</f>
        <v>0</v>
      </c>
      <c r="X219" s="185">
        <f t="shared" ca="1" si="127"/>
        <v>0</v>
      </c>
      <c r="Y219" s="139">
        <f t="shared" ca="1" si="128"/>
        <v>0</v>
      </c>
      <c r="Z219" s="139">
        <f t="shared" ca="1" si="129"/>
        <v>0</v>
      </c>
      <c r="AA219" s="146">
        <f ca="1">IF(OR($B219&lt;=Setup!$E$12,$B219&gt;=Setup!$D$12+1),0,IF($F219&lt;&gt;"Active",0,IF($AE219="Yes",$AB219,((YEAR($AC219)*12)+MONTH($AC219))-((YEAR($AD219)*12)+MONTH($AD219)-1))))</f>
        <v>0</v>
      </c>
      <c r="AB219" s="146">
        <f ca="1">IF(OR($B219&lt;=Setup!$E$12,$B219&gt;=Setup!$D$12+1),0,((YEAR($AC219)*12)+MONTH($AC219))-((YEAR(Setup!$E$12)*12)+MONTH(Setup!$E$12)))</f>
        <v>12</v>
      </c>
      <c r="AC219" s="186">
        <f t="shared" ca="1" si="130"/>
        <v>45351</v>
      </c>
      <c r="AD219" s="144">
        <f ca="1">IF(ISNA(VLOOKUP($C219,EmpAll,COLUMN(Emp!$E$4),0)),$AC219,IF(VLOOKUP($C219,EmpAll,COLUMN(Emp!$E$4),0)&lt;=Setup!$E$12,DATE(YEAR(Setup!$E$12),MONTH(Setup!$E$12)+1,1),VLOOKUP($C219,EmpAll,COLUMN(Emp!$E$4),0)))</f>
        <v>45351</v>
      </c>
      <c r="AE219" s="144" t="str">
        <f ca="1">IF(ISNA(VLOOKUP($C219,EmpAll,COLUMN(Emp!$G$1),0)),"-",IF(VLOOKUP($C219,EmpAll,COLUMN(Emp!$G$1),0)=0,"-",VLOOKUP($C219,EmpAll,COLUMN(Emp!$G$1),0)))</f>
        <v>-</v>
      </c>
      <c r="AF219" s="145">
        <f>IF(A219=PaySlip!$G$3,1,0)</f>
        <v>0</v>
      </c>
      <c r="AG219" s="130" cm="1">
        <f t="array" aca="1" ref="AG219" ca="1">IF(COUNTIFS(OverEmp,$C219,OverMed,"MED",OverDate,"&lt;"&amp;DATE(YEAR($AC219),MONTH($AC219)+1,1),OverEnd,"&gt;="&amp;DATE(YEAR($AC219),MONTH($AC219),1))&gt;0,SUMIFS(OverValue,OverEmp,$C219,OverMed,"MED",OverDate,"&lt;"&amp;DATE(YEAR($AC219),MONTH($AC219)+1,1),OverEnd,"&gt;="&amp;DATE(YEAR($AC219),MONTH($AC219),1)),IF(ISNA(VLOOKUP($C219,EmpAll,COLUMN(Emp!$N$4),0)),0,VLOOKUP($C219,EmpAll,COLUMN(Emp!$N$4),0)))</f>
        <v>0</v>
      </c>
      <c r="AH219" s="146">
        <f ca="1">VLOOKUP($AG219,MedList,COLUMN(Setup!$C$49),1)</f>
        <v>0</v>
      </c>
      <c r="AI219" s="146">
        <f t="shared" ca="1" si="107"/>
        <v>0</v>
      </c>
      <c r="AJ219" s="101" t="str">
        <f ca="1">IF(ISNA(VLOOKUP($C219,EmpAll,COLUMN(Emp!$L$4),0)),"None!",VLOOKUP($C219,EmpAll,COLUMN(Emp!$L$4),0))</f>
        <v>None!</v>
      </c>
      <c r="AK219" s="147">
        <f t="shared" ca="1" si="102"/>
        <v>17235</v>
      </c>
      <c r="AL219" s="101" t="str">
        <f ca="1">IF(ISNA(VLOOKUP($C219,Employees[],COLUMN(Emp!$M$4),0))=TRUE,"Error!",IF(VLOOKUP($C219,Employees[],COLUMN(Emp!$M$4),0)=0,"Yes",VLOOKUP($C219,Employees[],COLUMN(Emp!$M$4),0)))</f>
        <v>Error!</v>
      </c>
      <c r="AM219" s="148">
        <f t="shared" ca="1" si="108"/>
        <v>0</v>
      </c>
      <c r="AN219" s="148" cm="1">
        <f t="array" aca="1" ref="AN219" ca="1">-IF($F219="Terminated",0,IF($AA219=0,0,IF(ISNA(MATCH(AN$5,PayDedList,0)),0,MIN(IF(COUNTIFS(OverEmp,$C219,OverDeduct,AN$5,OverDate,"&lt;"&amp;DATE(YEAR($AC219),MONTH($AC219)+1,1),OverEnd,"&gt;="&amp;DATE(YEAR($AC219),MONTH($AC219),1))&gt;0,SUMPRODUCT((PayEmp=$C219)*(PayDate&lt;=$AC219)*(OFFSET($N$6,1,MATCH(AN$5,PayDedList,0)-1,PayCount,1)))/$AA219*12*AN$3,IF(OR(AN$1="Fixed",AN$1="Not Used"),SUMPRODUCT((PayEmp=$C219)*(PayDate&lt;=$AC219)*(OFFSET($N$6,1,MATCH(AN$5,PayDedList,0)-1,PayCount,1)))/$AA219*12*AN$3,IF(ISNA(MATCH(AN$1,EarnListItem,0))=FALSE,SUMPRODUCT((PayEmp=$C219)*(PayDate&lt;=$AC219)*(OFFSET($N$6,1,MATCH(AN$5,PayDedList,0)-1,PayCount,1)))/$AA219*12*AN$3,(MIN(((SUMPRODUCT((PayEmp=$C219)*(PayDate&lt;=$AC219)*(ISERROR(SEARCH(PayEarnCode,AN$2)))*(PayEarnType="Monthly")*(PayEarnValues))/$AA219*12)+(SUMPRODUCT((PayEmp=$C219)*(PayDate&lt;=$AC219)*(ISERROR(SEARCH(PayEarnCode,AN$2)))*(PayEarnType="Quarterly")*(PayEarnValues))/MAX(1,ROUNDDOWN($AB219/3,0))*4)+(SUMPRODUCT((PayEmp=$C219)*(PayDate&lt;=$AC219)*(ISERROR(SEARCH(PayEarnCode,AN$2)))*(PayEarnType="Bi-Annual")*(PayEarnValues))/MAX(1,ROUNDDOWN($AB219/6,0))*2)+(SUMPRODUCT((PayEmp=$C219)*(PayDate&lt;=$AC219)*(ISERROR(SEARCH(PayEarnCode,AN$2)))*(PayEarnType="Annual")*(PayEarnValues)))),IF(ISNUMBER(OFFSET($N$3,0,MATCH(AN$5,PayDedList,0)-1,1,1)),OFFSET($N$3,0,MATCH(AN$5,PayDedList,0)-1,1,1),IgnoreMin)))*IF(COUNTIFS(EmpNo,$C219,OFFSET(Emp!$R$4,1,MATCH(AN$5,DedListItem,0)-1,EmpCount,1),"&lt;&gt;")&gt;0,VLOOKUP($C219,EmpAll,COLUMN(Emp!$R$4)+MATCH(AN$5,DedListItem,0)-1,0),OFFSET(Setup!$E$73,MATCH(AN$5,DedListItem,0),0,1,1))*AN$3))),IF(ISNUMBER(AN$4),AN$4,IgnoreMin)))))</f>
        <v>0</v>
      </c>
      <c r="AO219" s="148" cm="1">
        <f t="array" aca="1" ref="AO219" ca="1">-IF($F219="Terminated",0,IF($AA219=0,0,IF(ISNA(MATCH(AO$5,PayDedList,0)),0,MIN(IF(COUNTIFS(OverEmp,$C219,OverDeduct,AO$5,OverDate,"&lt;"&amp;DATE(YEAR($AC219),MONTH($AC219)+1,1),OverEnd,"&gt;="&amp;DATE(YEAR($AC219),MONTH($AC219),1))&gt;0,SUMPRODUCT((PayEmp=$C219)*(PayDate&lt;=$AC219)*(OFFSET($N$6,1,MATCH(AO$5,PayDedList,0)-1,PayCount,1)))/$AA219*12*AO$3,IF(OR(AO$1="Fixed",AO$1="Not Used"),SUMPRODUCT((PayEmp=$C219)*(PayDate&lt;=$AC219)*(OFFSET($N$6,1,MATCH(AO$5,PayDedList,0)-1,PayCount,1)))/$AA219*12*AO$3,IF(ISNA(MATCH(AO$1,EarnListItem,0))=FALSE,SUMPRODUCT((PayEmp=$C219)*(PayDate&lt;=$AC219)*(OFFSET($N$6,1,MATCH(AO$5,PayDedList,0)-1,PayCount,1)))/$AA219*12*AO$3,(MIN(((SUMPRODUCT((PayEmp=$C219)*(PayDate&lt;=$AC219)*(ISERROR(SEARCH(PayEarnCode,AO$2)))*(PayEarnType="Monthly")*(PayEarnValues))/$AA219*12)+(SUMPRODUCT((PayEmp=$C219)*(PayDate&lt;=$AC219)*(ISERROR(SEARCH(PayEarnCode,AO$2)))*(PayEarnType="Quarterly")*(PayEarnValues))/MAX(1,ROUNDDOWN($AB219/3,0))*4)+(SUMPRODUCT((PayEmp=$C219)*(PayDate&lt;=$AC219)*(ISERROR(SEARCH(PayEarnCode,AO$2)))*(PayEarnType="Bi-Annual")*(PayEarnValues))/MAX(1,ROUNDDOWN($AB219/6,0))*2)+(SUMPRODUCT((PayEmp=$C219)*(PayDate&lt;=$AC219)*(ISERROR(SEARCH(PayEarnCode,AO$2)))*(PayEarnType="Annual")*(PayEarnValues)))),IF(ISNUMBER(OFFSET($N$3,0,MATCH(AO$5,PayDedList,0)-1,1,1)),OFFSET($N$3,0,MATCH(AO$5,PayDedList,0)-1,1,1),IgnoreMin)))*IF(COUNTIFS(EmpNo,$C219,OFFSET(Emp!$R$4,1,MATCH(AO$5,DedListItem,0)-1,EmpCount,1),"&lt;&gt;")&gt;0,VLOOKUP($C219,EmpAll,COLUMN(Emp!$R$4)+MATCH(AO$5,DedListItem,0)-1,0),OFFSET(Setup!$E$73,MATCH(AO$5,DedListItem,0),0,1,1))*AO$3))),IF(ISNUMBER(AO$4),AO$4,IgnoreMin)))))</f>
        <v>0</v>
      </c>
      <c r="AP219" s="148" cm="1">
        <f t="array" aca="1" ref="AP219" ca="1">-IF($F219="Terminated",0,IF($AA219=0,0,IF(ISNA(MATCH(AP$5,PayDedList,0)),0,MIN(IF(COUNTIFS(OverEmp,$C219,OverDeduct,AP$5,OverDate,"&lt;"&amp;DATE(YEAR($AC219),MONTH($AC219)+1,1),OverEnd,"&gt;="&amp;DATE(YEAR($AC219),MONTH($AC219),1))&gt;0,SUMPRODUCT((PayEmp=$C219)*(PayDate&lt;=$AC219)*(OFFSET($N$6,1,MATCH(AP$5,PayDedList,0)-1,PayCount,1)))/$AA219*12*AP$3,IF(OR(AP$1="Fixed",AP$1="Not Used"),SUMPRODUCT((PayEmp=$C219)*(PayDate&lt;=$AC219)*(OFFSET($N$6,1,MATCH(AP$5,PayDedList,0)-1,PayCount,1)))/$AA219*12*AP$3,IF(ISNA(MATCH(AP$1,EarnListItem,0))=FALSE,SUMPRODUCT((PayEmp=$C219)*(PayDate&lt;=$AC219)*(OFFSET($N$6,1,MATCH(AP$5,PayDedList,0)-1,PayCount,1)))/$AA219*12*AP$3,(MIN(((SUMPRODUCT((PayEmp=$C219)*(PayDate&lt;=$AC219)*(ISERROR(SEARCH(PayEarnCode,AP$2)))*(PayEarnType="Monthly")*(PayEarnValues))/$AA219*12)+(SUMPRODUCT((PayEmp=$C219)*(PayDate&lt;=$AC219)*(ISERROR(SEARCH(PayEarnCode,AP$2)))*(PayEarnType="Quarterly")*(PayEarnValues))/MAX(1,ROUNDDOWN($AB219/3,0))*4)+(SUMPRODUCT((PayEmp=$C219)*(PayDate&lt;=$AC219)*(ISERROR(SEARCH(PayEarnCode,AP$2)))*(PayEarnType="Bi-Annual")*(PayEarnValues))/MAX(1,ROUNDDOWN($AB219/6,0))*2)+(SUMPRODUCT((PayEmp=$C219)*(PayDate&lt;=$AC219)*(ISERROR(SEARCH(PayEarnCode,AP$2)))*(PayEarnType="Annual")*(PayEarnValues)))),IF(ISNUMBER(OFFSET($N$3,0,MATCH(AP$5,PayDedList,0)-1,1,1)),OFFSET($N$3,0,MATCH(AP$5,PayDedList,0)-1,1,1),IgnoreMin)))*IF(COUNTIFS(EmpNo,$C219,OFFSET(Emp!$R$4,1,MATCH(AP$5,DedListItem,0)-1,EmpCount,1),"&lt;&gt;")&gt;0,VLOOKUP($C219,EmpAll,COLUMN(Emp!$R$4)+MATCH(AP$5,DedListItem,0)-1,0),OFFSET(Setup!$E$73,MATCH(AP$5,DedListItem,0),0,1,1))*AP$3))),IF(ISNUMBER(AP$4),AP$4,IgnoreMin)))))</f>
        <v>0</v>
      </c>
      <c r="AQ219" s="148" cm="1">
        <f t="array" aca="1" ref="AQ219" ca="1">-IF($F219="Terminated",0,IF($AA219=0,0,IF(ISNA(MATCH(AQ$5,PayDedList,0)),0,MIN(IF(COUNTIFS(OverEmp,$C219,OverDeduct,AQ$5,OverDate,"&lt;"&amp;DATE(YEAR($AC219),MONTH($AC219)+1,1),OverEnd,"&gt;="&amp;DATE(YEAR($AC219),MONTH($AC219),1))&gt;0,SUMPRODUCT((PayEmp=$C219)*(PayDate&lt;=$AC219)*(OFFSET($N$6,1,MATCH(AQ$5,PayDedList,0)-1,PayCount,1)))/$AA219*12*AQ$3,IF(OR(AQ$1="Fixed",AQ$1="Not Used"),SUMPRODUCT((PayEmp=$C219)*(PayDate&lt;=$AC219)*(OFFSET($N$6,1,MATCH(AQ$5,PayDedList,0)-1,PayCount,1)))/$AA219*12*AQ$3,IF(ISNA(MATCH(AQ$1,EarnListItem,0))=FALSE,SUMPRODUCT((PayEmp=$C219)*(PayDate&lt;=$AC219)*(OFFSET($N$6,1,MATCH(AQ$5,PayDedList,0)-1,PayCount,1)))/$AA219*12*AQ$3,(MIN(((SUMPRODUCT((PayEmp=$C219)*(PayDate&lt;=$AC219)*(ISERROR(SEARCH(PayEarnCode,AQ$2)))*(PayEarnType="Monthly")*(PayEarnValues))/$AA219*12)+(SUMPRODUCT((PayEmp=$C219)*(PayDate&lt;=$AC219)*(ISERROR(SEARCH(PayEarnCode,AQ$2)))*(PayEarnType="Quarterly")*(PayEarnValues))/MAX(1,ROUNDDOWN($AB219/3,0))*4)+(SUMPRODUCT((PayEmp=$C219)*(PayDate&lt;=$AC219)*(ISERROR(SEARCH(PayEarnCode,AQ$2)))*(PayEarnType="Bi-Annual")*(PayEarnValues))/MAX(1,ROUNDDOWN($AB219/6,0))*2)+(SUMPRODUCT((PayEmp=$C219)*(PayDate&lt;=$AC219)*(ISERROR(SEARCH(PayEarnCode,AQ$2)))*(PayEarnType="Annual")*(PayEarnValues)))),IF(ISNUMBER(OFFSET($N$3,0,MATCH(AQ$5,PayDedList,0)-1,1,1)),OFFSET($N$3,0,MATCH(AQ$5,PayDedList,0)-1,1,1),IgnoreMin)))*IF(COUNTIFS(EmpNo,$C219,OFFSET(Emp!$R$4,1,MATCH(AQ$5,DedListItem,0)-1,EmpCount,1),"&lt;&gt;")&gt;0,VLOOKUP($C219,EmpAll,COLUMN(Emp!$R$4)+MATCH(AQ$5,DedListItem,0)-1,0),OFFSET(Setup!$E$73,MATCH(AQ$5,DedListItem,0),0,1,1))*AQ$3))),IF(ISNUMBER(AQ$4),AQ$4,IgnoreMin)))))</f>
        <v>0</v>
      </c>
      <c r="AR219" s="148">
        <f t="shared" ca="1" si="131"/>
        <v>0</v>
      </c>
      <c r="AS219" s="148">
        <f t="shared" ca="1" si="109"/>
        <v>0</v>
      </c>
      <c r="AT219" s="148" cm="1">
        <f t="array" aca="1" ref="AT219" ca="1">-IF($F219="Terminated",0,IF($AA219=0,0,IF(ISNA(MATCH(AT$5,PayDedList,0)),0,MIN(IF(COUNTIFS(OverEmp,$C219,OverDeduct,AT$5,OverDate,"&lt;"&amp;DATE(YEAR($AC219),MONTH($AC219)+1,1),OverEnd,"&gt;="&amp;DATE(YEAR($AC219),MONTH($AC219),1))&gt;0,SUMPRODUCT((PayEmp=$C219)*(PayDate&lt;=$AC219)*(OFFSET($N$6,1,MATCH(AT$5,PayDedList,0)-1,PayCount,1)))/$AA219*12*AT$3,IF(OR(AT$1="Fixed",AT$1="Not Used"),SUMPRODUCT((PayEmp=$C219)*(PayDate&lt;=$AC219)*(OFFSET($N$6,1,MATCH(AT$5,PayDedList,0)-1,PayCount,1)))/$AA219*12*AT$3,IF(ISNA(MATCH(OFFSET($N$2,0,MATCH(AT$5,PayDedList,0)-1,1,1),EarnListItem,0))=FALSE,SUMPRODUCT((PayEmp=$C219)*(PayDate&lt;=$AC219)*(OFFSET($N$6,1,MATCH(AT$5,PayDedList,0)-1,PayCount,1)))/$AA219*12*AT$3,(MIN(SUMPRODUCT((PayEmp=$C219)*(PayDate&lt;=$AC219)*(ISERROR(SEARCH(PayEarnCode,AT$2)))*(PayEarnType="Monthly")*(PayEarnValues))/$AA219*12,IF(ISNUMBER(OFFSET($N$3,0,MATCH(AT$5,PayDedList,0)-1,1,1)),OFFSET($N$3,0,MATCH(AT$5,PayDedList,0)-1,1,1),IgnoreMin)))*IF(COUNTIFS(EmpNo,$C219,OFFSET(Emp!$R$4,1,MATCH(AT$5,DedListItem,0)-1,EmpCount,1),"&lt;&gt;")&gt;0,VLOOKUP($C219,EmpAll,COLUMN(Emp!$R$4)+MATCH(AT$5,DedListItem,0)-1,0),OFFSET(Setup!$E$73,MATCH(AT$5,DedListItem,0),0,1,1))*AT$3))),IF(ISNUMBER(AT$4),AT$4,IgnoreMin)))))</f>
        <v>0</v>
      </c>
      <c r="AU219" s="148" cm="1">
        <f t="array" aca="1" ref="AU219" ca="1">-IF($F219="Terminated",0,IF($AA219=0,0,IF(ISNA(MATCH(AU$5,PayDedList,0)),0,MIN(IF(COUNTIFS(OverEmp,$C219,OverDeduct,AU$5,OverDate,"&lt;"&amp;DATE(YEAR($AC219),MONTH($AC219)+1,1),OverEnd,"&gt;="&amp;DATE(YEAR($AC219),MONTH($AC219),1))&gt;0,SUMPRODUCT((PayEmp=$C219)*(PayDate&lt;=$AC219)*(OFFSET($N$6,1,MATCH(AU$5,PayDedList,0)-1,PayCount,1)))/$AA219*12*AU$3,IF(OR(AU$1="Fixed",AU$1="Not Used"),SUMPRODUCT((PayEmp=$C219)*(PayDate&lt;=$AC219)*(OFFSET($N$6,1,MATCH(AU$5,PayDedList,0)-1,PayCount,1)))/$AA219*12*AU$3,IF(ISNA(MATCH(OFFSET($N$2,0,MATCH(AU$5,PayDedList,0)-1,1,1),EarnListItem,0))=FALSE,SUMPRODUCT((PayEmp=$C219)*(PayDate&lt;=$AC219)*(OFFSET($N$6,1,MATCH(AU$5,PayDedList,0)-1,PayCount,1)))/$AA219*12*AU$3,(MIN(SUMPRODUCT((PayEmp=$C219)*(PayDate&lt;=$AC219)*(ISERROR(SEARCH(PayEarnCode,AU$2)))*(PayEarnType="Monthly")*(PayEarnValues))/$AA219*12,IF(ISNUMBER(OFFSET($N$3,0,MATCH(AU$5,PayDedList,0)-1,1,1)),OFFSET($N$3,0,MATCH(AU$5,PayDedList,0)-1,1,1),IgnoreMin)))*IF(COUNTIFS(EmpNo,$C219,OFFSET(Emp!$R$4,1,MATCH(AU$5,DedListItem,0)-1,EmpCount,1),"&lt;&gt;")&gt;0,VLOOKUP($C219,EmpAll,COLUMN(Emp!$R$4)+MATCH(AU$5,DedListItem,0)-1,0),OFFSET(Setup!$E$73,MATCH(AU$5,DedListItem,0),0,1,1))*AU$3))),IF(ISNUMBER(AU$4),AU$4,IgnoreMin)))))</f>
        <v>0</v>
      </c>
      <c r="AV219" s="148" cm="1">
        <f t="array" aca="1" ref="AV219" ca="1">-IF($F219="Terminated",0,IF($AA219=0,0,IF(ISNA(MATCH(AV$5,PayDedList,0)),0,MIN(IF(COUNTIFS(OverEmp,$C219,OverDeduct,AV$5,OverDate,"&lt;"&amp;DATE(YEAR($AC219),MONTH($AC219)+1,1),OverEnd,"&gt;="&amp;DATE(YEAR($AC219),MONTH($AC219),1))&gt;0,SUMPRODUCT((PayEmp=$C219)*(PayDate&lt;=$AC219)*(OFFSET($N$6,1,MATCH(AV$5,PayDedList,0)-1,PayCount,1)))/$AA219*12*AV$3,IF(OR(AV$1="Fixed",AV$1="Not Used"),SUMPRODUCT((PayEmp=$C219)*(PayDate&lt;=$AC219)*(OFFSET($N$6,1,MATCH(AV$5,PayDedList,0)-1,PayCount,1)))/$AA219*12*AV$3,IF(ISNA(MATCH(OFFSET($N$2,0,MATCH(AV$5,PayDedList,0)-1,1,1),EarnListItem,0))=FALSE,SUMPRODUCT((PayEmp=$C219)*(PayDate&lt;=$AC219)*(OFFSET($N$6,1,MATCH(AV$5,PayDedList,0)-1,PayCount,1)))/$AA219*12*AV$3,(MIN(SUMPRODUCT((PayEmp=$C219)*(PayDate&lt;=$AC219)*(ISERROR(SEARCH(PayEarnCode,AV$2)))*(PayEarnType="Monthly")*(PayEarnValues))/$AA219*12,IF(ISNUMBER(OFFSET($N$3,0,MATCH(AV$5,PayDedList,0)-1,1,1)),OFFSET($N$3,0,MATCH(AV$5,PayDedList,0)-1,1,1),IgnoreMin)))*IF(COUNTIFS(EmpNo,$C219,OFFSET(Emp!$R$4,1,MATCH(AV$5,DedListItem,0)-1,EmpCount,1),"&lt;&gt;")&gt;0,VLOOKUP($C219,EmpAll,COLUMN(Emp!$R$4)+MATCH(AV$5,DedListItem,0)-1,0),OFFSET(Setup!$E$73,MATCH(AV$5,DedListItem,0),0,1,1))*AV$3))),IF(ISNUMBER(AV$4),AV$4,IgnoreMin)))))</f>
        <v>0</v>
      </c>
      <c r="AW219" s="148" cm="1">
        <f t="array" aca="1" ref="AW219" ca="1">-IF($F219="Terminated",0,IF($AA219=0,0,IF(ISNA(MATCH(AW$5,PayDedList,0)),0,MIN(IF(COUNTIFS(OverEmp,$C219,OverDeduct,AW$5,OverDate,"&lt;"&amp;DATE(YEAR($AC219),MONTH($AC219)+1,1),OverEnd,"&gt;="&amp;DATE(YEAR($AC219),MONTH($AC219),1))&gt;0,SUMPRODUCT((PayEmp=$C219)*(PayDate&lt;=$AC219)*(OFFSET($N$6,1,MATCH(AW$5,PayDedList,0)-1,PayCount,1)))/$AA219*12*AW$3,IF(OR(AW$1="Fixed",AW$1="Not Used"),SUMPRODUCT((PayEmp=$C219)*(PayDate&lt;=$AC219)*(OFFSET($N$6,1,MATCH(AW$5,PayDedList,0)-1,PayCount,1)))/$AA219*12*AW$3,IF(ISNA(MATCH(OFFSET($N$2,0,MATCH(AW$5,PayDedList,0)-1,1,1),EarnListItem,0))=FALSE,SUMPRODUCT((PayEmp=$C219)*(PayDate&lt;=$AC219)*(OFFSET($N$6,1,MATCH(AW$5,PayDedList,0)-1,PayCount,1)))/$AA219*12*AW$3,(MIN(SUMPRODUCT((PayEmp=$C219)*(PayDate&lt;=$AC219)*(ISERROR(SEARCH(PayEarnCode,AW$2)))*(PayEarnType="Monthly")*(PayEarnValues))/$AA219*12,IF(ISNUMBER(OFFSET($N$3,0,MATCH(AW$5,PayDedList,0)-1,1,1)),OFFSET($N$3,0,MATCH(AW$5,PayDedList,0)-1,1,1),IgnoreMin)))*IF(COUNTIFS(EmpNo,$C219,OFFSET(Emp!$R$4,1,MATCH(AW$5,DedListItem,0)-1,EmpCount,1),"&lt;&gt;")&gt;0,VLOOKUP($C219,EmpAll,COLUMN(Emp!$R$4)+MATCH(AW$5,DedListItem,0)-1,0),OFFSET(Setup!$E$73,MATCH(AW$5,DedListItem,0),0,1,1))*AW$3))),IF(ISNUMBER(AW$4),AW$4,IgnoreMin)))))</f>
        <v>0</v>
      </c>
      <c r="AX219" s="148">
        <f t="shared" ca="1" si="132"/>
        <v>0</v>
      </c>
      <c r="AY219" s="148">
        <f t="shared" ca="1" si="133"/>
        <v>0</v>
      </c>
      <c r="AZ219" s="148">
        <f ca="1">IF(ISNUMBER($AL219),($AR219*$AL219)-$AI219-$AK219,MAX(0,IF($AL219="B",IF($AR219&lt;Setup!$C$32,($AR219*Setup!$D$32)-$AI219-$AK219,(($AR219-VLOOKUP($AR219,TaxAll2,1,1))*OFFSET(Setup!$D$32,MATCH($AR219,TaxBracket2,1),0,1,1))+OFFSET(Setup!$E$31,MATCH($AR219,TaxBracket2,1),0,1,1)-$AI219-$AK219),IF($AR219&lt;Setup!$C$21,($AR219*Setup!$D$21)-$AI219-$AK219,(($AR219-VLOOKUP($AR219,TaxAll1,1,1))*OFFSET(Setup!$D$21,MATCH($AR219,TaxBracket1,1),0,1,1))+OFFSET(Setup!$E$20,MATCH($AR219,TaxBracket1,1),0,1,1)-$AI219-$AK219))))</f>
        <v>0</v>
      </c>
      <c r="BA219" s="148">
        <f ca="1">IF(ISNUMBER($AL219),($AX219*$AL219)-$AI219-$AK219,MAX(0,IF($AL219="B",IF($AX219&lt;Setup!$C$32,($AX219*Setup!$D$32)-$AI219-$AK219,(($AX219-VLOOKUP($AX219,TaxAll2,1,1))*OFFSET(Setup!$D$32,MATCH($AX219,TaxBracket2,1),0,1,1))+OFFSET(Setup!$E$31,MATCH($AX219,TaxBracket2,1),0,1,1)-$AI219-$AK219),IF($AX219&lt;Setup!$C$21,($AX219*Setup!$D$21)-$AI219-$AK219,(($AX219-VLOOKUP($AX219,TaxAll1,1,1))*OFFSET(Setup!$D$21,MATCH($AX219,TaxBracket1,1),0,1,1))+OFFSET(Setup!$E$20,MATCH($AX219,TaxBracket1,1),0,1,1)-$AI219-$AK219))))</f>
        <v>0</v>
      </c>
      <c r="BB219" s="148">
        <f t="shared" ca="1" si="134"/>
        <v>0</v>
      </c>
      <c r="BC219" s="150">
        <f t="shared" ca="1" si="110"/>
        <v>0</v>
      </c>
      <c r="BD219" s="150">
        <f t="shared" ca="1" si="111"/>
        <v>0</v>
      </c>
      <c r="BE219" s="148">
        <f t="shared" ca="1" si="112"/>
        <v>0</v>
      </c>
    </row>
    <row r="220" spans="1:57" ht="16.149999999999999" customHeight="1" x14ac:dyDescent="0.25">
      <c r="A220" s="10" t="str" cm="1">
        <f t="array" ref="A220">IF(ROW($A220)-ROW($A$6)&gt;EmpCount*12,"-",TEXT($B220,"yyyy")&amp;TEXT($B220,"mm")&amp;"-"&amp;$C220)</f>
        <v>-</v>
      </c>
      <c r="B220" s="137" cm="1">
        <f t="array" aca="1" ref="B220" ca="1">IF(ROW($A220)-ROW($A$6)&gt;EmpCount*12,Setup!$D$12,DATE(YEAR(Setup!$F$12),MONTH(Setup!$F$12)+ROUNDDOWN((ROW($A220)-ROW($A$6)-1)/EmpCount,0),IF(Setup!$C$14&gt;DAY(DATE(YEAR(Setup!$F$12),MONTH(Setup!$F$12)+ROUNDDOWN((ROW($A220)-ROW($A$6)-1)/EmpCount,0)+1,0)),DAY(DATE(YEAR(Setup!$F$12),MONTH(Setup!$F$12)+ROUNDDOWN((ROW($A220)-ROW($A$6)-1)/EmpCount,0)+1,0)),Setup!$C$14)))</f>
        <v>45351</v>
      </c>
      <c r="C220" s="101" t="str" cm="1">
        <f t="array" aca="1" ref="C220" ca="1">IF(ROW($A220)-ROW($A$6)&gt;EmpCount*12,"-",OFFSET(Emp!$A$4,ROW($A220)-ROW($A$6)-IF(ROW($A220)-ROW($A$6)&gt;EmpCount,ROUNDDOWN((ROW($A220)-ROW($A$6)-1)/EmpCount,0)*EmpCount,0),0,1,1))</f>
        <v>-</v>
      </c>
      <c r="D220" s="10" t="str">
        <f ca="1">IF(ISNA(VLOOKUP($C220,EmpAll,COLUMN(Emp!$B$4),0)),"-",VLOOKUP($C220,EmpAll,COLUMN(Emp!$B$4),0))</f>
        <v>-</v>
      </c>
      <c r="E220" s="145" t="str">
        <f ca="1">IF(ISNA(VLOOKUP($C220,EmpAll,COLUMN(Emp!$C$4),0)),"-",VLOOKUP($C220,EmpAll,COLUMN(Emp!$C$4),0))</f>
        <v>-</v>
      </c>
      <c r="F220" s="101" t="str">
        <f ca="1">IF(ISNA(VLOOKUP($C220,EmpAll,COLUMN(Emp!$A$4),0)),"-",IF(AND(VLOOKUP($C220,EmpAll,COLUMN(Emp!$E$4),0)&lt;&gt;0,VLOOKUP($C220,EmpAll,COLUMN(Emp!$E$4),0)&gt;=DATE(YEAR($AC220),MONTH($AC220)+1,0)),"Inactive",IF(AND(VLOOKUP($C220,EmpAll,COLUMN(Emp!$F$4),0)&lt;&gt;0,VLOOKUP($C220,EmpAll,COLUMN(Emp!$F$4),0)&lt;=DATE(YEAR($AC220),MONTH($AC220),0)),"Terminated","Active")))</f>
        <v>-</v>
      </c>
      <c r="G220" s="133" cm="1">
        <f t="array" aca="1" ref="G220" ca="1">IF($F220&lt;&gt;"Active",0,IF(COUNTIFS(OverEmp,$C220,OverEarn,G$2,OverDate,"&lt;"&amp;DATE(YEAR($AC220),MONTH($AC220)+1,1),OverEnd,"&gt;="&amp;DATE(YEAR($AC220),MONTH($AC220),1))&gt;0,SUMIFS(OverValue,OverEmp,$C220,OverEarn,G$2,OverDate,"&lt;"&amp;DATE(YEAR($AC220),MONTH($AC220)+1,1),OverEnd,"&gt;="&amp;DATE(YEAR($AC220),MONTH($AC220),1)),IF(AND($AC220&gt;=Setup!$E$10,SUMIFS(EmpIncrease,EmpCode,$C220)&gt;0),SUMIFS(EmpIncrease,EmpCode,$C220),SUMIFS(EmpSalary,EmpCode,$C220))))</f>
        <v>0</v>
      </c>
      <c r="H220" s="133" cm="1">
        <f t="array" aca="1" ref="H220" ca="1">IF($F220&lt;&gt;"Active",0,IF(COUNTIFS(OverEmp,$C220,OverEarn,H$2,OverDate,"&lt;"&amp;DATE(YEAR($AC220),MONTH($AC220)+1,1),OverEnd,"&gt;="&amp;DATE(YEAR($AC220),MONTH($AC220),1))&gt;0,SUMIFS(OverValue,OverEmp,$C220,OverEarn,H$2,OverDate,"&lt;"&amp;DATE(YEAR($AC220),MONTH($AC220)+1,1),OverEnd,"&gt;="&amp;DATE(YEAR($AC220),MONTH($AC220),1)),0))</f>
        <v>0</v>
      </c>
      <c r="I220" s="133" cm="1">
        <f t="array" aca="1" ref="I220" ca="1">IF($F220&lt;&gt;"Active",0,IF(COUNTIFS(OverEmp,$C220,OverEarn,I$2,OverDate,"&lt;"&amp;DATE(YEAR($AC220),MONTH($AC220)+1,1),OverEnd,"&gt;="&amp;DATE(YEAR($AC220),MONTH($AC220),1))&gt;0,SUMIFS(OverValue,OverEmp,$C220,OverEarn,I$2,OverDate,"&lt;"&amp;DATE(YEAR($AC220),MONTH($AC220)+1,1),OverEnd,"&gt;="&amp;DATE(YEAR($AC220),MONTH($AC220),1)),IF(MONTH(B220)=Setup!$C$15,SUMIFS(EmpBonus,EmpCode,$C220),0)))</f>
        <v>0</v>
      </c>
      <c r="J220" s="133" cm="1">
        <f t="array" aca="1" ref="J220" ca="1">IF($F220&lt;&gt;"Active",0,IF(COUNTIFS(OverEmp,$C220,OverEarn,J$2,OverDate,"&lt;"&amp;DATE(YEAR($AC220),MONTH($AC220)+1,1),OverEnd,"&gt;="&amp;DATE(YEAR($AC220),MONTH($AC220),1))&gt;0,SUMIFS(OverValue,OverEmp,$C220,OverEarn,J$2,OverDate,"&lt;"&amp;DATE(YEAR($AC220),MONTH($AC220)+1,1),OverEnd,"&gt;="&amp;DATE(YEAR($AC220),MONTH($AC220),1)),0))</f>
        <v>0</v>
      </c>
      <c r="K220" s="133" cm="1">
        <f t="array" aca="1" ref="K220" ca="1">IF($F220&lt;&gt;"Active",0,IF(COUNTIFS(OverEmp,$C220,OverEarn,K$2,OverDate,"&lt;"&amp;DATE(YEAR($AC220),MONTH($AC220)+1,1),OverEnd,"&gt;="&amp;DATE(YEAR($AC220),MONTH($AC220),1))&gt;0,SUMIFS(OverValue,OverEmp,$C220,OverEarn,K$2,OverDate,"&lt;"&amp;DATE(YEAR($AC220),MONTH($AC220)+1,1),OverEnd,"&gt;="&amp;DATE(YEAR($AC220),MONTH($AC220),1)),0))</f>
        <v>0</v>
      </c>
      <c r="L220" s="185">
        <f t="shared" ca="1" si="124"/>
        <v>0</v>
      </c>
      <c r="M220" s="182" cm="1">
        <f t="array" aca="1" ref="M220" ca="1">IF(COUNTIFS(OverEmp,$C220,OverTax,M$5,OverDate,"&lt;"&amp;DATE(YEAR($AC220),MONTH($AC220)+1,1),OverEnd,"&gt;="&amp;DATE(YEAR($AC220),MONTH($AC220),1))&gt;0,SUMIFS(OverValue,OverEmp,$C220,OverTax,M$5,OverDate,"&lt;"&amp;DATE(YEAR($AC220),MONTH($AC220)+1,1),OverEnd,"&gt;="&amp;DATE(YEAR($AC220),MONTH($AC220),1)),(($BA220/12*$AA220)+(BB220*IF(1-$BC220=0,0,BD220/(1-$BC220))))-IF($F220="Terminated",0,SUMIFS(PayTaxDeduct,PayDate,"&lt;"&amp;$AC220,PayEmp,$C220)))</f>
        <v>0</v>
      </c>
      <c r="N220" s="133" cm="1">
        <f t="array" aca="1" ref="N220" ca="1">IF($F220="Terminated",0,IF($AA220=0,0,IF(ISNA(MATCH(N$5,DedListItem,0)),0,IF(COUNTIFS(OverEmp,$C220,OverDeduct,N$5,OverDate,"&lt;"&amp;DATE(YEAR($AC220),MONTH($AC220)+1,1),OverEnd,"&gt;="&amp;DATE(YEAR($AC220),MONTH($AC220),1))&gt;0,SUMIFS(OverValue,OverEmp,$C220,OverDeduct,N$5,OverDate,"&lt;"&amp;DATE(YEAR($AC220),MONTH($AC220)+1,1),OverEnd,"&gt;="&amp;DATE(YEAR($AC220),MONTH($AC220),1)),IF(OR(N$2="Fixed",N$2="Not Used"),(IF(COUNTIFS(EmpNo,$C220,OFFSET(Emp!$R$4,1,MATCH(N$5,DedListItem,0)-1,EmpCount,1),"&lt;&gt;")&gt;0,VLOOKUP($C220,EmpAll,COLUMN(Emp!$R$4)+MATCH(N$5,DedListItem,0)-1,0),OFFSET(Setup!$E$73,MATCH(N$5,DedListItem,0),0,1,1))*$AA220)-SUMIFS(OFFSET(N$6,1,0,PayCount,1),PayDate,"&lt;"&amp;$AC220,PayEmp,$C220),IF(ISNA(MATCH(N$2,EarnListItem,0))=FALSE,IF(OFFSET(Setup!$G$73,MATCH(N$5,DedListItem,0),0,1,1)="Taxable",SUMPRODUCT((PayEmp=$C220)*(PayDate&lt;=$AC220)*(PayEarnCode=N$2)*(PayEarnTax)*(PayEarnValues)),SUMPRODUCT((PayEmp=$C220)*(PayDate&lt;=$AC220)*(PayEarnCode=N$2)*(PayEarnValues)))*IF(COUNTIFS(EmpNo,$C220,OFFSET(Emp!$R$4,1,MATCH(N$5,DedListItem,0)-1,EmpCount,1),"&lt;&gt;")&gt;0,VLOOKUP($C220,EmpAll,COLUMN(Emp!$R$4)+MATCH(N$5,DedListItem,0)-1,0),OFFSET(Setup!$E$73,MATCH(N$5,DedListItem,0),0,1,1)),(MIN(IF(OFFSET(Setup!$G$73,MATCH(N$5,DedListItem,0),0,1,1)="Taxable",SUMPRODUCT((PayEmp=$C220)*(PayDate&lt;=$AC220)*(ISERROR(SEARCH(PayEarnCode,N$4)))*(PayEarnTax)*(PayEarnValues)),SUMPRODUCT((PayEmp=$C220)*(PayDate&lt;=$AC220)*(ISERROR(SEARCH(PayEarnCode,N$4)))*(PayEarnValues))),IF(ISNUMBER(N$3),N$3/12*$AA220,IgnoreMin)))*IF(COUNTIFS(EmpNo,$C220,OFFSET(Emp!$R$4,1,MATCH(N$5,DedListItem,0)-1,EmpCount,1),"&lt;&gt;")&gt;0,VLOOKUP($C220,EmpAll,COLUMN(Emp!$R$4)+MATCH(N$5,DedListItem,0)-1,0),OFFSET(Setup!$E$73,MATCH(N$5,DedListItem,0),0,1,1)))-SUMIFS(OFFSET(N$6,1,0,PayCount,1),PayDate,"&lt;"&amp;$AC220,PayEmp,$C220))))))</f>
        <v>0</v>
      </c>
      <c r="O220" s="133" cm="1">
        <f t="array" aca="1" ref="O220" ca="1">IF($F220="Terminated",0,IF($AA220=0,0,IF(ISNA(MATCH(O$5,DedListItem,0)),0,IF(COUNTIFS(OverEmp,$C220,OverDeduct,O$5,OverDate,"&lt;"&amp;DATE(YEAR($AC220),MONTH($AC220)+1,1),OverEnd,"&gt;="&amp;DATE(YEAR($AC220),MONTH($AC220),1))&gt;0,SUMIFS(OverValue,OverEmp,$C220,OverDeduct,O$5,OverDate,"&lt;"&amp;DATE(YEAR($AC220),MONTH($AC220)+1,1),OverEnd,"&gt;="&amp;DATE(YEAR($AC220),MONTH($AC220),1)),IF(OR(O$2="Fixed",O$2="Not Used"),(IF(COUNTIFS(EmpNo,$C220,OFFSET(Emp!$R$4,1,MATCH(O$5,DedListItem,0)-1,EmpCount,1),"&lt;&gt;")&gt;0,VLOOKUP($C220,EmpAll,COLUMN(Emp!$R$4)+MATCH(O$5,DedListItem,0)-1,0),OFFSET(Setup!$E$73,MATCH(O$5,DedListItem,0),0,1,1))*$AA220)-SUMIFS(OFFSET(O$6,1,0,PayCount,1),PayDate,"&lt;"&amp;$AC220,PayEmp,$C220),IF(ISNA(MATCH(O$2,EarnListItem,0))=FALSE,IF(OFFSET(Setup!$G$73,MATCH(O$5,DedListItem,0),0,1,1)="Taxable",SUMPRODUCT((PayEmp=$C220)*(PayDate&lt;=$AC220)*(PayEarnCode=O$2)*(PayEarnTax)*(PayEarnValues)),SUMPRODUCT((PayEmp=$C220)*(PayDate&lt;=$AC220)*(PayEarnCode=O$2)*(PayEarnValues)))*IF(COUNTIFS(EmpNo,$C220,OFFSET(Emp!$R$4,1,MATCH(O$5,DedListItem,0)-1,EmpCount,1),"&lt;&gt;")&gt;0,VLOOKUP($C220,EmpAll,COLUMN(Emp!$R$4)+MATCH(O$5,DedListItem,0)-1,0),OFFSET(Setup!$E$73,MATCH(O$5,DedListItem,0),0,1,1)),(MIN(IF(OFFSET(Setup!$G$73,MATCH(O$5,DedListItem,0),0,1,1)="Taxable",SUMPRODUCT((PayEmp=$C220)*(PayDate&lt;=$AC220)*(ISERROR(SEARCH(PayEarnCode,O$4)))*(PayEarnTax)*(PayEarnValues)),SUMPRODUCT((PayEmp=$C220)*(PayDate&lt;=$AC220)*(ISERROR(SEARCH(PayEarnCode,O$4)))*(PayEarnValues))),IF(ISNUMBER(O$3),O$3/12*$AA220,IgnoreMin)))*IF(COUNTIFS(EmpNo,$C220,OFFSET(Emp!$R$4,1,MATCH(O$5,DedListItem,0)-1,EmpCount,1),"&lt;&gt;")&gt;0,VLOOKUP($C220,EmpAll,COLUMN(Emp!$R$4)+MATCH(O$5,DedListItem,0)-1,0),OFFSET(Setup!$E$73,MATCH(O$5,DedListItem,0),0,1,1)))-SUMIFS(OFFSET(O$6,1,0,PayCount,1),PayDate,"&lt;"&amp;$AC220,PayEmp,$C220))))))</f>
        <v>0</v>
      </c>
      <c r="P220" s="133" cm="1">
        <f t="array" aca="1" ref="P220" ca="1">IF($F220="Terminated",0,IF($AA220=0,0,IF(ISNA(MATCH(P$5,DedListItem,0)),0,IF(COUNTIFS(OverEmp,$C220,OverDeduct,P$5,OverDate,"&lt;"&amp;DATE(YEAR($AC220),MONTH($AC220)+1,1),OverEnd,"&gt;="&amp;DATE(YEAR($AC220),MONTH($AC220),1))&gt;0,SUMIFS(OverValue,OverEmp,$C220,OverDeduct,P$5,OverDate,"&lt;"&amp;DATE(YEAR($AC220),MONTH($AC220)+1,1),OverEnd,"&gt;="&amp;DATE(YEAR($AC220),MONTH($AC220),1)),IF(OR(P$2="Fixed",P$2="Not Used"),(IF(COUNTIFS(EmpNo,$C220,OFFSET(Emp!$R$4,1,MATCH(P$5,DedListItem,0)-1,EmpCount,1),"&lt;&gt;")&gt;0,VLOOKUP($C220,EmpAll,COLUMN(Emp!$R$4)+MATCH(P$5,DedListItem,0)-1,0),OFFSET(Setup!$E$73,MATCH(P$5,DedListItem,0),0,1,1))*$AA220)-SUMIFS(OFFSET(P$6,1,0,PayCount,1),PayDate,"&lt;"&amp;$AC220,PayEmp,$C220),IF(ISNA(MATCH(P$2,EarnListItem,0))=FALSE,IF(OFFSET(Setup!$G$73,MATCH(P$5,DedListItem,0),0,1,1)="Taxable",SUMPRODUCT((PayEmp=$C220)*(PayDate&lt;=$AC220)*(PayEarnCode=P$2)*(PayEarnTax)*(PayEarnValues)),SUMPRODUCT((PayEmp=$C220)*(PayDate&lt;=$AC220)*(PayEarnCode=P$2)*(PayEarnValues)))*IF(COUNTIFS(EmpNo,$C220,OFFSET(Emp!$R$4,1,MATCH(P$5,DedListItem,0)-1,EmpCount,1),"&lt;&gt;")&gt;0,VLOOKUP($C220,EmpAll,COLUMN(Emp!$R$4)+MATCH(P$5,DedListItem,0)-1,0),OFFSET(Setup!$E$73,MATCH(P$5,DedListItem,0),0,1,1)),(MIN(IF(OFFSET(Setup!$G$73,MATCH(P$5,DedListItem,0),0,1,1)="Taxable",SUMPRODUCT((PayEmp=$C220)*(PayDate&lt;=$AC220)*(ISERROR(SEARCH(PayEarnCode,P$4)))*(PayEarnTax)*(PayEarnValues)),SUMPRODUCT((PayEmp=$C220)*(PayDate&lt;=$AC220)*(ISERROR(SEARCH(PayEarnCode,P$4)))*(PayEarnValues))),IF(ISNUMBER(P$3),P$3/12*$AA220,IgnoreMin)))*IF(COUNTIFS(EmpNo,$C220,OFFSET(Emp!$R$4,1,MATCH(P$5,DedListItem,0)-1,EmpCount,1),"&lt;&gt;")&gt;0,VLOOKUP($C220,EmpAll,COLUMN(Emp!$R$4)+MATCH(P$5,DedListItem,0)-1,0),OFFSET(Setup!$E$73,MATCH(P$5,DedListItem,0),0,1,1)))-SUMIFS(OFFSET(P$6,1,0,PayCount,1),PayDate,"&lt;"&amp;$AC220,PayEmp,$C220))))))</f>
        <v>0</v>
      </c>
      <c r="Q220" s="133" cm="1">
        <f t="array" aca="1" ref="Q220" ca="1">IF($F220="Terminated",0,IF($AA220=0,0,IF(ISNA(MATCH(Q$5,DedListItem,0)),0,IF(COUNTIFS(OverEmp,$C220,OverDeduct,Q$5,OverDate,"&lt;"&amp;DATE(YEAR($AC220),MONTH($AC220)+1,1),OverEnd,"&gt;="&amp;DATE(YEAR($AC220),MONTH($AC220),1))&gt;0,SUMIFS(OverValue,OverEmp,$C220,OverDeduct,Q$5,OverDate,"&lt;"&amp;DATE(YEAR($AC220),MONTH($AC220)+1,1),OverEnd,"&gt;="&amp;DATE(YEAR($AC220),MONTH($AC220),1)),IF(OR(Q$2="Fixed",Q$2="Not Used"),(IF(COUNTIFS(EmpNo,$C220,OFFSET(Emp!$R$4,1,MATCH(Q$5,DedListItem,0)-1,EmpCount,1),"&lt;&gt;")&gt;0,VLOOKUP($C220,EmpAll,COLUMN(Emp!$R$4)+MATCH(Q$5,DedListItem,0)-1,0),OFFSET(Setup!$E$73,MATCH(Q$5,DedListItem,0),0,1,1))*$AA220)-SUMIFS(OFFSET(Q$6,1,0,PayCount,1),PayDate,"&lt;"&amp;$AC220,PayEmp,$C220),IF(ISNA(MATCH(Q$2,EarnListItem,0))=FALSE,IF(OFFSET(Setup!$G$73,MATCH(Q$5,DedListItem,0),0,1,1)="Taxable",SUMPRODUCT((PayEmp=$C220)*(PayDate&lt;=$AC220)*(PayEarnCode=Q$2)*(PayEarnTax)*(PayEarnValues)),SUMPRODUCT((PayEmp=$C220)*(PayDate&lt;=$AC220)*(PayEarnCode=Q$2)*(PayEarnValues)))*IF(COUNTIFS(EmpNo,$C220,OFFSET(Emp!$R$4,1,MATCH(Q$5,DedListItem,0)-1,EmpCount,1),"&lt;&gt;")&gt;0,VLOOKUP($C220,EmpAll,COLUMN(Emp!$R$4)+MATCH(Q$5,DedListItem,0)-1,0),OFFSET(Setup!$E$73,MATCH(Q$5,DedListItem,0),0,1,1)),(MIN(IF(OFFSET(Setup!$G$73,MATCH(Q$5,DedListItem,0),0,1,1)="Taxable",SUMPRODUCT((PayEmp=$C220)*(PayDate&lt;=$AC220)*(ISERROR(SEARCH(PayEarnCode,Q$4)))*(PayEarnTax)*(PayEarnValues)),SUMPRODUCT((PayEmp=$C220)*(PayDate&lt;=$AC220)*(ISERROR(SEARCH(PayEarnCode,Q$4)))*(PayEarnValues))),IF(ISNUMBER(Q$3),Q$3/12*$AA220,IgnoreMin)))*IF(COUNTIFS(EmpNo,$C220,OFFSET(Emp!$R$4,1,MATCH(Q$5,DedListItem,0)-1,EmpCount,1),"&lt;&gt;")&gt;0,VLOOKUP($C220,EmpAll,COLUMN(Emp!$R$4)+MATCH(Q$5,DedListItem,0)-1,0),OFFSET(Setup!$E$73,MATCH(Q$5,DedListItem,0),0,1,1)))-SUMIFS(OFFSET(Q$6,1,0,PayCount,1),PayDate,"&lt;"&amp;$AC220,PayEmp,$C220))))))</f>
        <v>0</v>
      </c>
      <c r="R220" s="185">
        <f t="shared" ca="1" si="125"/>
        <v>0</v>
      </c>
      <c r="S220" s="139">
        <f t="shared" ca="1" si="126"/>
        <v>0</v>
      </c>
      <c r="T220" s="133" cm="1">
        <f t="array" aca="1" ref="T220" ca="1">IF($F220="Terminated",0,IF($AA220=0,0,IF(ISNA(MATCH(T$5,CompListItem,0)),0,IF(COUNTIFS(OverEmp,$C220,OverComp,T$5,OverDate,"&lt;"&amp;DATE(YEAR($AC220),MONTH($AC220)+1,1),OverEnd,"&gt;="&amp;DATE(YEAR($AC220),MONTH($AC220),1))&gt;0,SUMIFS(OverValue,OverEmp,$C220,OverComp,T$5,OverDate,"&lt;"&amp;DATE(YEAR($AC220),MONTH($AC220)+1,1),OverEnd,"&gt;="&amp;DATE(YEAR($AC220),MONTH($AC220),1)),IF(OR(T$2="Fixed",T$2="Not Used"),(OFFSET(Setup!$E$81,MATCH(T$5,CompListItem,0),0,1,1)*$AA220)-SUMIFS(OFFSET(T$6,1,0,PayCount,1),PayDate,"&lt;"&amp;$AC220,PayEmp,$C220),IF(ISNA(MATCH(T$2,DedListItem,0))=FALSE,(SUMPRODUCT((PayEmp=$C220)*(PayDate&lt;=$AC220)*(PayDedList=T$2)*(PayDedValues))*OFFSET(Setup!$E$81,MATCH(T$5,CompListItem,0),0,1,1))-SUMIFS(OFFSET(T$6,1,0,PayCount,1),PayDate,"&lt;"&amp;$AC220,PayEmp,$C220),(MIN(IF(OFFSET(Setup!$G$81,MATCH(T$5,CompListItem,0),0,1,1)="Taxable",SUMPRODUCT((PayEmp=$C220)*(PayDate&lt;=$AC220)*(ISERROR(SEARCH(PayEarnCode,T$4)))*(PayEarnTax)*(PayEarnValues)),SUMPRODUCT((PayEmp=$C220)*(PayDate&lt;=$AC220)*(ISERROR(SEARCH(PayEarnCode,T$4)))*(PayEarnValues))),IF(ISNUMBER(T$3),T$3/12*$AA220,IgnoreMin)))*OFFSET(Setup!$E$81,MATCH(T$5,CompListItem,0),0,1,1)-SUMIFS(OFFSET(T$6,1,0,PayCount,1),PayDate,"&lt;"&amp;$AC220,PayEmp,$C220)))))))</f>
        <v>0</v>
      </c>
      <c r="U220" s="133" cm="1">
        <f t="array" aca="1" ref="U220" ca="1">IF($F220="Terminated",0,IF($AA220=0,0,IF(ISNA(MATCH(U$5,CompListItem,0)),0,IF(COUNTIFS(OverEmp,$C220,OverComp,U$5,OverDate,"&lt;"&amp;DATE(YEAR($AC220),MONTH($AC220)+1,1),OverEnd,"&gt;="&amp;DATE(YEAR($AC220),MONTH($AC220),1))&gt;0,SUMIFS(OverValue,OverEmp,$C220,OverComp,U$5,OverDate,"&lt;"&amp;DATE(YEAR($AC220),MONTH($AC220)+1,1),OverEnd,"&gt;="&amp;DATE(YEAR($AC220),MONTH($AC220),1)),IF(OR(U$2="Fixed",U$2="Not Used"),(OFFSET(Setup!$E$81,MATCH(U$5,CompListItem,0),0,1,1)*$AA220)-SUMIFS(OFFSET(U$6,1,0,PayCount,1),PayDate,"&lt;"&amp;$AC220,PayEmp,$C220),IF(ISNA(MATCH(U$2,DedListItem,0))=FALSE,(SUMPRODUCT((PayEmp=$C220)*(PayDate&lt;=$AC220)*(PayDedList=U$2)*(PayDedValues))*OFFSET(Setup!$E$81,MATCH(U$5,CompListItem,0),0,1,1))-SUMIFS(OFFSET(U$6,1,0,PayCount,1),PayDate,"&lt;"&amp;$AC220,PayEmp,$C220),(MIN(IF(OFFSET(Setup!$G$81,MATCH(U$5,CompListItem,0),0,1,1)="Taxable",SUMPRODUCT((PayEmp=$C220)*(PayDate&lt;=$AC220)*(ISERROR(SEARCH(PayEarnCode,U$4)))*(PayEarnTax)*(PayEarnValues)),SUMPRODUCT((PayEmp=$C220)*(PayDate&lt;=$AC220)*(ISERROR(SEARCH(PayEarnCode,U$4)))*(PayEarnValues))),IF(ISNUMBER(U$3),U$3/12*$AA220,IgnoreMin)))*OFFSET(Setup!$E$81,MATCH(U$5,CompListItem,0),0,1,1)-SUMIFS(OFFSET(U$6,1,0,PayCount,1),PayDate,"&lt;"&amp;$AC220,PayEmp,$C220)))))))</f>
        <v>0</v>
      </c>
      <c r="V220" s="133" cm="1">
        <f t="array" aca="1" ref="V220" ca="1">IF($F220="Terminated",0,IF($AA220=0,0,IF(ISNA(MATCH(V$5,CompListItem,0)),0,IF(COUNTIFS(OverEmp,$C220,OverComp,V$5,OverDate,"&lt;"&amp;DATE(YEAR($AC220),MONTH($AC220)+1,1),OverEnd,"&gt;="&amp;DATE(YEAR($AC220),MONTH($AC220),1))&gt;0,SUMIFS(OverValue,OverEmp,$C220,OverComp,V$5,OverDate,"&lt;"&amp;DATE(YEAR($AC220),MONTH($AC220)+1,1),OverEnd,"&gt;="&amp;DATE(YEAR($AC220),MONTH($AC220),1)),IF(OR(V$2="Fixed",V$2="Not Used"),(OFFSET(Setup!$E$81,MATCH(V$5,CompListItem,0),0,1,1)*$AA220)-SUMIFS(OFFSET(V$6,1,0,PayCount,1),PayDate,"&lt;"&amp;$AC220,PayEmp,$C220),IF(ISNA(MATCH(V$2,DedListItem,0))=FALSE,(SUMPRODUCT((PayEmp=$C220)*(PayDate&lt;=$AC220)*(PayDedList=V$2)*(PayDedValues))*OFFSET(Setup!$E$81,MATCH(V$5,CompListItem,0),0,1,1))-SUMIFS(OFFSET(V$6,1,0,PayCount,1),PayDate,"&lt;"&amp;$AC220,PayEmp,$C220),(MIN(IF(OFFSET(Setup!$G$81,MATCH(V$5,CompListItem,0),0,1,1)="Taxable",SUMPRODUCT((PayEmp=$C220)*(PayDate&lt;=$AC220)*(ISERROR(SEARCH(PayEarnCode,V$4)))*(PayEarnTax)*(PayEarnValues)),SUMPRODUCT((PayEmp=$C220)*(PayDate&lt;=$AC220)*(ISERROR(SEARCH(PayEarnCode,V$4)))*(PayEarnValues))),IF(ISNUMBER(V$3),V$3/12*$AA220,IgnoreMin)))*OFFSET(Setup!$E$81,MATCH(V$5,CompListItem,0),0,1,1)-SUMIFS(OFFSET(V$6,1,0,PayCount,1),PayDate,"&lt;"&amp;$AC220,PayEmp,$C220)))))))</f>
        <v>0</v>
      </c>
      <c r="W220" s="133" cm="1">
        <f t="array" aca="1" ref="W220" ca="1">IF($F220="Terminated",0,IF($AA220=0,0,IF(ISNA(MATCH(W$5,CompListItem,0)),0,IF(COUNTIFS(OverEmp,$C220,OverComp,W$5,OverDate,"&lt;"&amp;DATE(YEAR($AC220),MONTH($AC220)+1,1),OverEnd,"&gt;="&amp;DATE(YEAR($AC220),MONTH($AC220),1))&gt;0,SUMIFS(OverValue,OverEmp,$C220,OverComp,W$5,OverDate,"&lt;"&amp;DATE(YEAR($AC220),MONTH($AC220)+1,1),OverEnd,"&gt;="&amp;DATE(YEAR($AC220),MONTH($AC220),1)),IF(OR(W$2="Fixed",W$2="Not Used"),(OFFSET(Setup!$E$81,MATCH(W$5,CompListItem,0),0,1,1)*$AA220)-SUMIFS(OFFSET(W$6,1,0,PayCount,1),PayDate,"&lt;"&amp;$AC220,PayEmp,$C220),IF(ISNA(MATCH(W$2,DedListItem,0))=FALSE,(SUMPRODUCT((PayEmp=$C220)*(PayDate&lt;=$AC220)*(PayDedList=W$2)*(PayDedValues))*OFFSET(Setup!$E$81,MATCH(W$5,CompListItem,0),0,1,1))-SUMIFS(OFFSET(W$6,1,0,PayCount,1),PayDate,"&lt;"&amp;$AC220,PayEmp,$C220),(MIN(IF(OFFSET(Setup!$G$81,MATCH(W$5,CompListItem,0),0,1,1)="Taxable",SUMPRODUCT((PayEmp=$C220)*(PayDate&lt;=$AC220)*(ISERROR(SEARCH(PayEarnCode,W$4)))*(PayEarnTax)*(PayEarnValues)),SUMPRODUCT((PayEmp=$C220)*(PayDate&lt;=$AC220)*(ISERROR(SEARCH(PayEarnCode,W$4)))*(PayEarnValues))),IF(ISNUMBER(W$3),W$3/12*$AA220,IgnoreMin)))*OFFSET(Setup!$E$81,MATCH(W$5,CompListItem,0),0,1,1)-SUMIFS(OFFSET(W$6,1,0,PayCount,1),PayDate,"&lt;"&amp;$AC220,PayEmp,$C220)))))))</f>
        <v>0</v>
      </c>
      <c r="X220" s="185">
        <f t="shared" ca="1" si="127"/>
        <v>0</v>
      </c>
      <c r="Y220" s="139">
        <f t="shared" ca="1" si="128"/>
        <v>0</v>
      </c>
      <c r="Z220" s="139">
        <f t="shared" ca="1" si="129"/>
        <v>0</v>
      </c>
      <c r="AA220" s="146">
        <f ca="1">IF(OR($B220&lt;=Setup!$E$12,$B220&gt;=Setup!$D$12+1),0,IF($F220&lt;&gt;"Active",0,IF($AE220="Yes",$AB220,((YEAR($AC220)*12)+MONTH($AC220))-((YEAR($AD220)*12)+MONTH($AD220)-1))))</f>
        <v>0</v>
      </c>
      <c r="AB220" s="146">
        <f ca="1">IF(OR($B220&lt;=Setup!$E$12,$B220&gt;=Setup!$D$12+1),0,((YEAR($AC220)*12)+MONTH($AC220))-((YEAR(Setup!$E$12)*12)+MONTH(Setup!$E$12)))</f>
        <v>12</v>
      </c>
      <c r="AC220" s="186">
        <f t="shared" ca="1" si="130"/>
        <v>45351</v>
      </c>
      <c r="AD220" s="144">
        <f ca="1">IF(ISNA(VLOOKUP($C220,EmpAll,COLUMN(Emp!$E$4),0)),$AC220,IF(VLOOKUP($C220,EmpAll,COLUMN(Emp!$E$4),0)&lt;=Setup!$E$12,DATE(YEAR(Setup!$E$12),MONTH(Setup!$E$12)+1,1),VLOOKUP($C220,EmpAll,COLUMN(Emp!$E$4),0)))</f>
        <v>45351</v>
      </c>
      <c r="AE220" s="144" t="str">
        <f ca="1">IF(ISNA(VLOOKUP($C220,EmpAll,COLUMN(Emp!$G$1),0)),"-",IF(VLOOKUP($C220,EmpAll,COLUMN(Emp!$G$1),0)=0,"-",VLOOKUP($C220,EmpAll,COLUMN(Emp!$G$1),0)))</f>
        <v>-</v>
      </c>
      <c r="AF220" s="145">
        <f>IF(A220=PaySlip!$G$3,1,0)</f>
        <v>0</v>
      </c>
      <c r="AG220" s="130" cm="1">
        <f t="array" aca="1" ref="AG220" ca="1">IF(COUNTIFS(OverEmp,$C220,OverMed,"MED",OverDate,"&lt;"&amp;DATE(YEAR($AC220),MONTH($AC220)+1,1),OverEnd,"&gt;="&amp;DATE(YEAR($AC220),MONTH($AC220),1))&gt;0,SUMIFS(OverValue,OverEmp,$C220,OverMed,"MED",OverDate,"&lt;"&amp;DATE(YEAR($AC220),MONTH($AC220)+1,1),OverEnd,"&gt;="&amp;DATE(YEAR($AC220),MONTH($AC220),1)),IF(ISNA(VLOOKUP($C220,EmpAll,COLUMN(Emp!$N$4),0)),0,VLOOKUP($C220,EmpAll,COLUMN(Emp!$N$4),0)))</f>
        <v>0</v>
      </c>
      <c r="AH220" s="146">
        <f ca="1">VLOOKUP($AG220,MedList,COLUMN(Setup!$C$49),1)</f>
        <v>0</v>
      </c>
      <c r="AI220" s="146">
        <f t="shared" ca="1" si="107"/>
        <v>0</v>
      </c>
      <c r="AJ220" s="101" t="str">
        <f ca="1">IF(ISNA(VLOOKUP($C220,EmpAll,COLUMN(Emp!$L$4),0)),"None!",VLOOKUP($C220,EmpAll,COLUMN(Emp!$L$4),0))</f>
        <v>None!</v>
      </c>
      <c r="AK220" s="147">
        <f t="shared" ca="1" si="102"/>
        <v>17235</v>
      </c>
      <c r="AL220" s="101" t="str">
        <f ca="1">IF(ISNA(VLOOKUP($C220,Employees[],COLUMN(Emp!$M$4),0))=TRUE,"Error!",IF(VLOOKUP($C220,Employees[],COLUMN(Emp!$M$4),0)=0,"Yes",VLOOKUP($C220,Employees[],COLUMN(Emp!$M$4),0)))</f>
        <v>Error!</v>
      </c>
      <c r="AM220" s="148">
        <f t="shared" ca="1" si="108"/>
        <v>0</v>
      </c>
      <c r="AN220" s="148" cm="1">
        <f t="array" aca="1" ref="AN220" ca="1">-IF($F220="Terminated",0,IF($AA220=0,0,IF(ISNA(MATCH(AN$5,PayDedList,0)),0,MIN(IF(COUNTIFS(OverEmp,$C220,OverDeduct,AN$5,OverDate,"&lt;"&amp;DATE(YEAR($AC220),MONTH($AC220)+1,1),OverEnd,"&gt;="&amp;DATE(YEAR($AC220),MONTH($AC220),1))&gt;0,SUMPRODUCT((PayEmp=$C220)*(PayDate&lt;=$AC220)*(OFFSET($N$6,1,MATCH(AN$5,PayDedList,0)-1,PayCount,1)))/$AA220*12*AN$3,IF(OR(AN$1="Fixed",AN$1="Not Used"),SUMPRODUCT((PayEmp=$C220)*(PayDate&lt;=$AC220)*(OFFSET($N$6,1,MATCH(AN$5,PayDedList,0)-1,PayCount,1)))/$AA220*12*AN$3,IF(ISNA(MATCH(AN$1,EarnListItem,0))=FALSE,SUMPRODUCT((PayEmp=$C220)*(PayDate&lt;=$AC220)*(OFFSET($N$6,1,MATCH(AN$5,PayDedList,0)-1,PayCount,1)))/$AA220*12*AN$3,(MIN(((SUMPRODUCT((PayEmp=$C220)*(PayDate&lt;=$AC220)*(ISERROR(SEARCH(PayEarnCode,AN$2)))*(PayEarnType="Monthly")*(PayEarnValues))/$AA220*12)+(SUMPRODUCT((PayEmp=$C220)*(PayDate&lt;=$AC220)*(ISERROR(SEARCH(PayEarnCode,AN$2)))*(PayEarnType="Quarterly")*(PayEarnValues))/MAX(1,ROUNDDOWN($AB220/3,0))*4)+(SUMPRODUCT((PayEmp=$C220)*(PayDate&lt;=$AC220)*(ISERROR(SEARCH(PayEarnCode,AN$2)))*(PayEarnType="Bi-Annual")*(PayEarnValues))/MAX(1,ROUNDDOWN($AB220/6,0))*2)+(SUMPRODUCT((PayEmp=$C220)*(PayDate&lt;=$AC220)*(ISERROR(SEARCH(PayEarnCode,AN$2)))*(PayEarnType="Annual")*(PayEarnValues)))),IF(ISNUMBER(OFFSET($N$3,0,MATCH(AN$5,PayDedList,0)-1,1,1)),OFFSET($N$3,0,MATCH(AN$5,PayDedList,0)-1,1,1),IgnoreMin)))*IF(COUNTIFS(EmpNo,$C220,OFFSET(Emp!$R$4,1,MATCH(AN$5,DedListItem,0)-1,EmpCount,1),"&lt;&gt;")&gt;0,VLOOKUP($C220,EmpAll,COLUMN(Emp!$R$4)+MATCH(AN$5,DedListItem,0)-1,0),OFFSET(Setup!$E$73,MATCH(AN$5,DedListItem,0),0,1,1))*AN$3))),IF(ISNUMBER(AN$4),AN$4,IgnoreMin)))))</f>
        <v>0</v>
      </c>
      <c r="AO220" s="148" cm="1">
        <f t="array" aca="1" ref="AO220" ca="1">-IF($F220="Terminated",0,IF($AA220=0,0,IF(ISNA(MATCH(AO$5,PayDedList,0)),0,MIN(IF(COUNTIFS(OverEmp,$C220,OverDeduct,AO$5,OverDate,"&lt;"&amp;DATE(YEAR($AC220),MONTH($AC220)+1,1),OverEnd,"&gt;="&amp;DATE(YEAR($AC220),MONTH($AC220),1))&gt;0,SUMPRODUCT((PayEmp=$C220)*(PayDate&lt;=$AC220)*(OFFSET($N$6,1,MATCH(AO$5,PayDedList,0)-1,PayCount,1)))/$AA220*12*AO$3,IF(OR(AO$1="Fixed",AO$1="Not Used"),SUMPRODUCT((PayEmp=$C220)*(PayDate&lt;=$AC220)*(OFFSET($N$6,1,MATCH(AO$5,PayDedList,0)-1,PayCount,1)))/$AA220*12*AO$3,IF(ISNA(MATCH(AO$1,EarnListItem,0))=FALSE,SUMPRODUCT((PayEmp=$C220)*(PayDate&lt;=$AC220)*(OFFSET($N$6,1,MATCH(AO$5,PayDedList,0)-1,PayCount,1)))/$AA220*12*AO$3,(MIN(((SUMPRODUCT((PayEmp=$C220)*(PayDate&lt;=$AC220)*(ISERROR(SEARCH(PayEarnCode,AO$2)))*(PayEarnType="Monthly")*(PayEarnValues))/$AA220*12)+(SUMPRODUCT((PayEmp=$C220)*(PayDate&lt;=$AC220)*(ISERROR(SEARCH(PayEarnCode,AO$2)))*(PayEarnType="Quarterly")*(PayEarnValues))/MAX(1,ROUNDDOWN($AB220/3,0))*4)+(SUMPRODUCT((PayEmp=$C220)*(PayDate&lt;=$AC220)*(ISERROR(SEARCH(PayEarnCode,AO$2)))*(PayEarnType="Bi-Annual")*(PayEarnValues))/MAX(1,ROUNDDOWN($AB220/6,0))*2)+(SUMPRODUCT((PayEmp=$C220)*(PayDate&lt;=$AC220)*(ISERROR(SEARCH(PayEarnCode,AO$2)))*(PayEarnType="Annual")*(PayEarnValues)))),IF(ISNUMBER(OFFSET($N$3,0,MATCH(AO$5,PayDedList,0)-1,1,1)),OFFSET($N$3,0,MATCH(AO$5,PayDedList,0)-1,1,1),IgnoreMin)))*IF(COUNTIFS(EmpNo,$C220,OFFSET(Emp!$R$4,1,MATCH(AO$5,DedListItem,0)-1,EmpCount,1),"&lt;&gt;")&gt;0,VLOOKUP($C220,EmpAll,COLUMN(Emp!$R$4)+MATCH(AO$5,DedListItem,0)-1,0),OFFSET(Setup!$E$73,MATCH(AO$5,DedListItem,0),0,1,1))*AO$3))),IF(ISNUMBER(AO$4),AO$4,IgnoreMin)))))</f>
        <v>0</v>
      </c>
      <c r="AP220" s="148" cm="1">
        <f t="array" aca="1" ref="AP220" ca="1">-IF($F220="Terminated",0,IF($AA220=0,0,IF(ISNA(MATCH(AP$5,PayDedList,0)),0,MIN(IF(COUNTIFS(OverEmp,$C220,OverDeduct,AP$5,OverDate,"&lt;"&amp;DATE(YEAR($AC220),MONTH($AC220)+1,1),OverEnd,"&gt;="&amp;DATE(YEAR($AC220),MONTH($AC220),1))&gt;0,SUMPRODUCT((PayEmp=$C220)*(PayDate&lt;=$AC220)*(OFFSET($N$6,1,MATCH(AP$5,PayDedList,0)-1,PayCount,1)))/$AA220*12*AP$3,IF(OR(AP$1="Fixed",AP$1="Not Used"),SUMPRODUCT((PayEmp=$C220)*(PayDate&lt;=$AC220)*(OFFSET($N$6,1,MATCH(AP$5,PayDedList,0)-1,PayCount,1)))/$AA220*12*AP$3,IF(ISNA(MATCH(AP$1,EarnListItem,0))=FALSE,SUMPRODUCT((PayEmp=$C220)*(PayDate&lt;=$AC220)*(OFFSET($N$6,1,MATCH(AP$5,PayDedList,0)-1,PayCount,1)))/$AA220*12*AP$3,(MIN(((SUMPRODUCT((PayEmp=$C220)*(PayDate&lt;=$AC220)*(ISERROR(SEARCH(PayEarnCode,AP$2)))*(PayEarnType="Monthly")*(PayEarnValues))/$AA220*12)+(SUMPRODUCT((PayEmp=$C220)*(PayDate&lt;=$AC220)*(ISERROR(SEARCH(PayEarnCode,AP$2)))*(PayEarnType="Quarterly")*(PayEarnValues))/MAX(1,ROUNDDOWN($AB220/3,0))*4)+(SUMPRODUCT((PayEmp=$C220)*(PayDate&lt;=$AC220)*(ISERROR(SEARCH(PayEarnCode,AP$2)))*(PayEarnType="Bi-Annual")*(PayEarnValues))/MAX(1,ROUNDDOWN($AB220/6,0))*2)+(SUMPRODUCT((PayEmp=$C220)*(PayDate&lt;=$AC220)*(ISERROR(SEARCH(PayEarnCode,AP$2)))*(PayEarnType="Annual")*(PayEarnValues)))),IF(ISNUMBER(OFFSET($N$3,0,MATCH(AP$5,PayDedList,0)-1,1,1)),OFFSET($N$3,0,MATCH(AP$5,PayDedList,0)-1,1,1),IgnoreMin)))*IF(COUNTIFS(EmpNo,$C220,OFFSET(Emp!$R$4,1,MATCH(AP$5,DedListItem,0)-1,EmpCount,1),"&lt;&gt;")&gt;0,VLOOKUP($C220,EmpAll,COLUMN(Emp!$R$4)+MATCH(AP$5,DedListItem,0)-1,0),OFFSET(Setup!$E$73,MATCH(AP$5,DedListItem,0),0,1,1))*AP$3))),IF(ISNUMBER(AP$4),AP$4,IgnoreMin)))))</f>
        <v>0</v>
      </c>
      <c r="AQ220" s="148" cm="1">
        <f t="array" aca="1" ref="AQ220" ca="1">-IF($F220="Terminated",0,IF($AA220=0,0,IF(ISNA(MATCH(AQ$5,PayDedList,0)),0,MIN(IF(COUNTIFS(OverEmp,$C220,OverDeduct,AQ$5,OverDate,"&lt;"&amp;DATE(YEAR($AC220),MONTH($AC220)+1,1),OverEnd,"&gt;="&amp;DATE(YEAR($AC220),MONTH($AC220),1))&gt;0,SUMPRODUCT((PayEmp=$C220)*(PayDate&lt;=$AC220)*(OFFSET($N$6,1,MATCH(AQ$5,PayDedList,0)-1,PayCount,1)))/$AA220*12*AQ$3,IF(OR(AQ$1="Fixed",AQ$1="Not Used"),SUMPRODUCT((PayEmp=$C220)*(PayDate&lt;=$AC220)*(OFFSET($N$6,1,MATCH(AQ$5,PayDedList,0)-1,PayCount,1)))/$AA220*12*AQ$3,IF(ISNA(MATCH(AQ$1,EarnListItem,0))=FALSE,SUMPRODUCT((PayEmp=$C220)*(PayDate&lt;=$AC220)*(OFFSET($N$6,1,MATCH(AQ$5,PayDedList,0)-1,PayCount,1)))/$AA220*12*AQ$3,(MIN(((SUMPRODUCT((PayEmp=$C220)*(PayDate&lt;=$AC220)*(ISERROR(SEARCH(PayEarnCode,AQ$2)))*(PayEarnType="Monthly")*(PayEarnValues))/$AA220*12)+(SUMPRODUCT((PayEmp=$C220)*(PayDate&lt;=$AC220)*(ISERROR(SEARCH(PayEarnCode,AQ$2)))*(PayEarnType="Quarterly")*(PayEarnValues))/MAX(1,ROUNDDOWN($AB220/3,0))*4)+(SUMPRODUCT((PayEmp=$C220)*(PayDate&lt;=$AC220)*(ISERROR(SEARCH(PayEarnCode,AQ$2)))*(PayEarnType="Bi-Annual")*(PayEarnValues))/MAX(1,ROUNDDOWN($AB220/6,0))*2)+(SUMPRODUCT((PayEmp=$C220)*(PayDate&lt;=$AC220)*(ISERROR(SEARCH(PayEarnCode,AQ$2)))*(PayEarnType="Annual")*(PayEarnValues)))),IF(ISNUMBER(OFFSET($N$3,0,MATCH(AQ$5,PayDedList,0)-1,1,1)),OFFSET($N$3,0,MATCH(AQ$5,PayDedList,0)-1,1,1),IgnoreMin)))*IF(COUNTIFS(EmpNo,$C220,OFFSET(Emp!$R$4,1,MATCH(AQ$5,DedListItem,0)-1,EmpCount,1),"&lt;&gt;")&gt;0,VLOOKUP($C220,EmpAll,COLUMN(Emp!$R$4)+MATCH(AQ$5,DedListItem,0)-1,0),OFFSET(Setup!$E$73,MATCH(AQ$5,DedListItem,0),0,1,1))*AQ$3))),IF(ISNUMBER(AQ$4),AQ$4,IgnoreMin)))))</f>
        <v>0</v>
      </c>
      <c r="AR220" s="148">
        <f t="shared" ca="1" si="131"/>
        <v>0</v>
      </c>
      <c r="AS220" s="148">
        <f t="shared" ca="1" si="109"/>
        <v>0</v>
      </c>
      <c r="AT220" s="148" cm="1">
        <f t="array" aca="1" ref="AT220" ca="1">-IF($F220="Terminated",0,IF($AA220=0,0,IF(ISNA(MATCH(AT$5,PayDedList,0)),0,MIN(IF(COUNTIFS(OverEmp,$C220,OverDeduct,AT$5,OverDate,"&lt;"&amp;DATE(YEAR($AC220),MONTH($AC220)+1,1),OverEnd,"&gt;="&amp;DATE(YEAR($AC220),MONTH($AC220),1))&gt;0,SUMPRODUCT((PayEmp=$C220)*(PayDate&lt;=$AC220)*(OFFSET($N$6,1,MATCH(AT$5,PayDedList,0)-1,PayCount,1)))/$AA220*12*AT$3,IF(OR(AT$1="Fixed",AT$1="Not Used"),SUMPRODUCT((PayEmp=$C220)*(PayDate&lt;=$AC220)*(OFFSET($N$6,1,MATCH(AT$5,PayDedList,0)-1,PayCount,1)))/$AA220*12*AT$3,IF(ISNA(MATCH(OFFSET($N$2,0,MATCH(AT$5,PayDedList,0)-1,1,1),EarnListItem,0))=FALSE,SUMPRODUCT((PayEmp=$C220)*(PayDate&lt;=$AC220)*(OFFSET($N$6,1,MATCH(AT$5,PayDedList,0)-1,PayCount,1)))/$AA220*12*AT$3,(MIN(SUMPRODUCT((PayEmp=$C220)*(PayDate&lt;=$AC220)*(ISERROR(SEARCH(PayEarnCode,AT$2)))*(PayEarnType="Monthly")*(PayEarnValues))/$AA220*12,IF(ISNUMBER(OFFSET($N$3,0,MATCH(AT$5,PayDedList,0)-1,1,1)),OFFSET($N$3,0,MATCH(AT$5,PayDedList,0)-1,1,1),IgnoreMin)))*IF(COUNTIFS(EmpNo,$C220,OFFSET(Emp!$R$4,1,MATCH(AT$5,DedListItem,0)-1,EmpCount,1),"&lt;&gt;")&gt;0,VLOOKUP($C220,EmpAll,COLUMN(Emp!$R$4)+MATCH(AT$5,DedListItem,0)-1,0),OFFSET(Setup!$E$73,MATCH(AT$5,DedListItem,0),0,1,1))*AT$3))),IF(ISNUMBER(AT$4),AT$4,IgnoreMin)))))</f>
        <v>0</v>
      </c>
      <c r="AU220" s="148" cm="1">
        <f t="array" aca="1" ref="AU220" ca="1">-IF($F220="Terminated",0,IF($AA220=0,0,IF(ISNA(MATCH(AU$5,PayDedList,0)),0,MIN(IF(COUNTIFS(OverEmp,$C220,OverDeduct,AU$5,OverDate,"&lt;"&amp;DATE(YEAR($AC220),MONTH($AC220)+1,1),OverEnd,"&gt;="&amp;DATE(YEAR($AC220),MONTH($AC220),1))&gt;0,SUMPRODUCT((PayEmp=$C220)*(PayDate&lt;=$AC220)*(OFFSET($N$6,1,MATCH(AU$5,PayDedList,0)-1,PayCount,1)))/$AA220*12*AU$3,IF(OR(AU$1="Fixed",AU$1="Not Used"),SUMPRODUCT((PayEmp=$C220)*(PayDate&lt;=$AC220)*(OFFSET($N$6,1,MATCH(AU$5,PayDedList,0)-1,PayCount,1)))/$AA220*12*AU$3,IF(ISNA(MATCH(OFFSET($N$2,0,MATCH(AU$5,PayDedList,0)-1,1,1),EarnListItem,0))=FALSE,SUMPRODUCT((PayEmp=$C220)*(PayDate&lt;=$AC220)*(OFFSET($N$6,1,MATCH(AU$5,PayDedList,0)-1,PayCount,1)))/$AA220*12*AU$3,(MIN(SUMPRODUCT((PayEmp=$C220)*(PayDate&lt;=$AC220)*(ISERROR(SEARCH(PayEarnCode,AU$2)))*(PayEarnType="Monthly")*(PayEarnValues))/$AA220*12,IF(ISNUMBER(OFFSET($N$3,0,MATCH(AU$5,PayDedList,0)-1,1,1)),OFFSET($N$3,0,MATCH(AU$5,PayDedList,0)-1,1,1),IgnoreMin)))*IF(COUNTIFS(EmpNo,$C220,OFFSET(Emp!$R$4,1,MATCH(AU$5,DedListItem,0)-1,EmpCount,1),"&lt;&gt;")&gt;0,VLOOKUP($C220,EmpAll,COLUMN(Emp!$R$4)+MATCH(AU$5,DedListItem,0)-1,0),OFFSET(Setup!$E$73,MATCH(AU$5,DedListItem,0),0,1,1))*AU$3))),IF(ISNUMBER(AU$4),AU$4,IgnoreMin)))))</f>
        <v>0</v>
      </c>
      <c r="AV220" s="148" cm="1">
        <f t="array" aca="1" ref="AV220" ca="1">-IF($F220="Terminated",0,IF($AA220=0,0,IF(ISNA(MATCH(AV$5,PayDedList,0)),0,MIN(IF(COUNTIFS(OverEmp,$C220,OverDeduct,AV$5,OverDate,"&lt;"&amp;DATE(YEAR($AC220),MONTH($AC220)+1,1),OverEnd,"&gt;="&amp;DATE(YEAR($AC220),MONTH($AC220),1))&gt;0,SUMPRODUCT((PayEmp=$C220)*(PayDate&lt;=$AC220)*(OFFSET($N$6,1,MATCH(AV$5,PayDedList,0)-1,PayCount,1)))/$AA220*12*AV$3,IF(OR(AV$1="Fixed",AV$1="Not Used"),SUMPRODUCT((PayEmp=$C220)*(PayDate&lt;=$AC220)*(OFFSET($N$6,1,MATCH(AV$5,PayDedList,0)-1,PayCount,1)))/$AA220*12*AV$3,IF(ISNA(MATCH(OFFSET($N$2,0,MATCH(AV$5,PayDedList,0)-1,1,1),EarnListItem,0))=FALSE,SUMPRODUCT((PayEmp=$C220)*(PayDate&lt;=$AC220)*(OFFSET($N$6,1,MATCH(AV$5,PayDedList,0)-1,PayCount,1)))/$AA220*12*AV$3,(MIN(SUMPRODUCT((PayEmp=$C220)*(PayDate&lt;=$AC220)*(ISERROR(SEARCH(PayEarnCode,AV$2)))*(PayEarnType="Monthly")*(PayEarnValues))/$AA220*12,IF(ISNUMBER(OFFSET($N$3,0,MATCH(AV$5,PayDedList,0)-1,1,1)),OFFSET($N$3,0,MATCH(AV$5,PayDedList,0)-1,1,1),IgnoreMin)))*IF(COUNTIFS(EmpNo,$C220,OFFSET(Emp!$R$4,1,MATCH(AV$5,DedListItem,0)-1,EmpCount,1),"&lt;&gt;")&gt;0,VLOOKUP($C220,EmpAll,COLUMN(Emp!$R$4)+MATCH(AV$5,DedListItem,0)-1,0),OFFSET(Setup!$E$73,MATCH(AV$5,DedListItem,0),0,1,1))*AV$3))),IF(ISNUMBER(AV$4),AV$4,IgnoreMin)))))</f>
        <v>0</v>
      </c>
      <c r="AW220" s="148" cm="1">
        <f t="array" aca="1" ref="AW220" ca="1">-IF($F220="Terminated",0,IF($AA220=0,0,IF(ISNA(MATCH(AW$5,PayDedList,0)),0,MIN(IF(COUNTIFS(OverEmp,$C220,OverDeduct,AW$5,OverDate,"&lt;"&amp;DATE(YEAR($AC220),MONTH($AC220)+1,1),OverEnd,"&gt;="&amp;DATE(YEAR($AC220),MONTH($AC220),1))&gt;0,SUMPRODUCT((PayEmp=$C220)*(PayDate&lt;=$AC220)*(OFFSET($N$6,1,MATCH(AW$5,PayDedList,0)-1,PayCount,1)))/$AA220*12*AW$3,IF(OR(AW$1="Fixed",AW$1="Not Used"),SUMPRODUCT((PayEmp=$C220)*(PayDate&lt;=$AC220)*(OFFSET($N$6,1,MATCH(AW$5,PayDedList,0)-1,PayCount,1)))/$AA220*12*AW$3,IF(ISNA(MATCH(OFFSET($N$2,0,MATCH(AW$5,PayDedList,0)-1,1,1),EarnListItem,0))=FALSE,SUMPRODUCT((PayEmp=$C220)*(PayDate&lt;=$AC220)*(OFFSET($N$6,1,MATCH(AW$5,PayDedList,0)-1,PayCount,1)))/$AA220*12*AW$3,(MIN(SUMPRODUCT((PayEmp=$C220)*(PayDate&lt;=$AC220)*(ISERROR(SEARCH(PayEarnCode,AW$2)))*(PayEarnType="Monthly")*(PayEarnValues))/$AA220*12,IF(ISNUMBER(OFFSET($N$3,0,MATCH(AW$5,PayDedList,0)-1,1,1)),OFFSET($N$3,0,MATCH(AW$5,PayDedList,0)-1,1,1),IgnoreMin)))*IF(COUNTIFS(EmpNo,$C220,OFFSET(Emp!$R$4,1,MATCH(AW$5,DedListItem,0)-1,EmpCount,1),"&lt;&gt;")&gt;0,VLOOKUP($C220,EmpAll,COLUMN(Emp!$R$4)+MATCH(AW$5,DedListItem,0)-1,0),OFFSET(Setup!$E$73,MATCH(AW$5,DedListItem,0),0,1,1))*AW$3))),IF(ISNUMBER(AW$4),AW$4,IgnoreMin)))))</f>
        <v>0</v>
      </c>
      <c r="AX220" s="148">
        <f t="shared" ca="1" si="132"/>
        <v>0</v>
      </c>
      <c r="AY220" s="148">
        <f t="shared" ca="1" si="133"/>
        <v>0</v>
      </c>
      <c r="AZ220" s="148">
        <f ca="1">IF(ISNUMBER($AL220),($AR220*$AL220)-$AI220-$AK220,MAX(0,IF($AL220="B",IF($AR220&lt;Setup!$C$32,($AR220*Setup!$D$32)-$AI220-$AK220,(($AR220-VLOOKUP($AR220,TaxAll2,1,1))*OFFSET(Setup!$D$32,MATCH($AR220,TaxBracket2,1),0,1,1))+OFFSET(Setup!$E$31,MATCH($AR220,TaxBracket2,1),0,1,1)-$AI220-$AK220),IF($AR220&lt;Setup!$C$21,($AR220*Setup!$D$21)-$AI220-$AK220,(($AR220-VLOOKUP($AR220,TaxAll1,1,1))*OFFSET(Setup!$D$21,MATCH($AR220,TaxBracket1,1),0,1,1))+OFFSET(Setup!$E$20,MATCH($AR220,TaxBracket1,1),0,1,1)-$AI220-$AK220))))</f>
        <v>0</v>
      </c>
      <c r="BA220" s="148">
        <f ca="1">IF(ISNUMBER($AL220),($AX220*$AL220)-$AI220-$AK220,MAX(0,IF($AL220="B",IF($AX220&lt;Setup!$C$32,($AX220*Setup!$D$32)-$AI220-$AK220,(($AX220-VLOOKUP($AX220,TaxAll2,1,1))*OFFSET(Setup!$D$32,MATCH($AX220,TaxBracket2,1),0,1,1))+OFFSET(Setup!$E$31,MATCH($AX220,TaxBracket2,1),0,1,1)-$AI220-$AK220),IF($AX220&lt;Setup!$C$21,($AX220*Setup!$D$21)-$AI220-$AK220,(($AX220-VLOOKUP($AX220,TaxAll1,1,1))*OFFSET(Setup!$D$21,MATCH($AX220,TaxBracket1,1),0,1,1))+OFFSET(Setup!$E$20,MATCH($AX220,TaxBracket1,1),0,1,1)-$AI220-$AK220))))</f>
        <v>0</v>
      </c>
      <c r="BB220" s="148">
        <f t="shared" ca="1" si="134"/>
        <v>0</v>
      </c>
      <c r="BC220" s="150">
        <f t="shared" ca="1" si="110"/>
        <v>0</v>
      </c>
      <c r="BD220" s="150">
        <f t="shared" ca="1" si="111"/>
        <v>0</v>
      </c>
      <c r="BE220" s="148">
        <f t="shared" ca="1" si="112"/>
        <v>0</v>
      </c>
    </row>
    <row r="221" spans="1:57" ht="16.149999999999999" customHeight="1" x14ac:dyDescent="0.25">
      <c r="A221" s="10" t="str" cm="1">
        <f t="array" ref="A221">IF(ROW($A221)-ROW($A$6)&gt;EmpCount*12,"-",TEXT($B221,"yyyy")&amp;TEXT($B221,"mm")&amp;"-"&amp;$C221)</f>
        <v>-</v>
      </c>
      <c r="B221" s="137" cm="1">
        <f t="array" aca="1" ref="B221" ca="1">IF(ROW($A221)-ROW($A$6)&gt;EmpCount*12,Setup!$D$12,DATE(YEAR(Setup!$F$12),MONTH(Setup!$F$12)+ROUNDDOWN((ROW($A221)-ROW($A$6)-1)/EmpCount,0),IF(Setup!$C$14&gt;DAY(DATE(YEAR(Setup!$F$12),MONTH(Setup!$F$12)+ROUNDDOWN((ROW($A221)-ROW($A$6)-1)/EmpCount,0)+1,0)),DAY(DATE(YEAR(Setup!$F$12),MONTH(Setup!$F$12)+ROUNDDOWN((ROW($A221)-ROW($A$6)-1)/EmpCount,0)+1,0)),Setup!$C$14)))</f>
        <v>45351</v>
      </c>
      <c r="C221" s="101" t="str" cm="1">
        <f t="array" aca="1" ref="C221" ca="1">IF(ROW($A221)-ROW($A$6)&gt;EmpCount*12,"-",OFFSET(Emp!$A$4,ROW($A221)-ROW($A$6)-IF(ROW($A221)-ROW($A$6)&gt;EmpCount,ROUNDDOWN((ROW($A221)-ROW($A$6)-1)/EmpCount,0)*EmpCount,0),0,1,1))</f>
        <v>-</v>
      </c>
      <c r="D221" s="10" t="str">
        <f ca="1">IF(ISNA(VLOOKUP($C221,EmpAll,COLUMN(Emp!$B$4),0)),"-",VLOOKUP($C221,EmpAll,COLUMN(Emp!$B$4),0))</f>
        <v>-</v>
      </c>
      <c r="E221" s="145" t="str">
        <f ca="1">IF(ISNA(VLOOKUP($C221,EmpAll,COLUMN(Emp!$C$4),0)),"-",VLOOKUP($C221,EmpAll,COLUMN(Emp!$C$4),0))</f>
        <v>-</v>
      </c>
      <c r="F221" s="101" t="str">
        <f ca="1">IF(ISNA(VLOOKUP($C221,EmpAll,COLUMN(Emp!$A$4),0)),"-",IF(AND(VLOOKUP($C221,EmpAll,COLUMN(Emp!$E$4),0)&lt;&gt;0,VLOOKUP($C221,EmpAll,COLUMN(Emp!$E$4),0)&gt;=DATE(YEAR($AC221),MONTH($AC221)+1,0)),"Inactive",IF(AND(VLOOKUP($C221,EmpAll,COLUMN(Emp!$F$4),0)&lt;&gt;0,VLOOKUP($C221,EmpAll,COLUMN(Emp!$F$4),0)&lt;=DATE(YEAR($AC221),MONTH($AC221),0)),"Terminated","Active")))</f>
        <v>-</v>
      </c>
      <c r="G221" s="133" cm="1">
        <f t="array" aca="1" ref="G221" ca="1">IF($F221&lt;&gt;"Active",0,IF(COUNTIFS(OverEmp,$C221,OverEarn,G$2,OverDate,"&lt;"&amp;DATE(YEAR($AC221),MONTH($AC221)+1,1),OverEnd,"&gt;="&amp;DATE(YEAR($AC221),MONTH($AC221),1))&gt;0,SUMIFS(OverValue,OverEmp,$C221,OverEarn,G$2,OverDate,"&lt;"&amp;DATE(YEAR($AC221),MONTH($AC221)+1,1),OverEnd,"&gt;="&amp;DATE(YEAR($AC221),MONTH($AC221),1)),IF(AND($AC221&gt;=Setup!$E$10,SUMIFS(EmpIncrease,EmpCode,$C221)&gt;0),SUMIFS(EmpIncrease,EmpCode,$C221),SUMIFS(EmpSalary,EmpCode,$C221))))</f>
        <v>0</v>
      </c>
      <c r="H221" s="133" cm="1">
        <f t="array" aca="1" ref="H221" ca="1">IF($F221&lt;&gt;"Active",0,IF(COUNTIFS(OverEmp,$C221,OverEarn,H$2,OverDate,"&lt;"&amp;DATE(YEAR($AC221),MONTH($AC221)+1,1),OverEnd,"&gt;="&amp;DATE(YEAR($AC221),MONTH($AC221),1))&gt;0,SUMIFS(OverValue,OverEmp,$C221,OverEarn,H$2,OverDate,"&lt;"&amp;DATE(YEAR($AC221),MONTH($AC221)+1,1),OverEnd,"&gt;="&amp;DATE(YEAR($AC221),MONTH($AC221),1)),0))</f>
        <v>0</v>
      </c>
      <c r="I221" s="133" cm="1">
        <f t="array" aca="1" ref="I221" ca="1">IF($F221&lt;&gt;"Active",0,IF(COUNTIFS(OverEmp,$C221,OverEarn,I$2,OverDate,"&lt;"&amp;DATE(YEAR($AC221),MONTH($AC221)+1,1),OverEnd,"&gt;="&amp;DATE(YEAR($AC221),MONTH($AC221),1))&gt;0,SUMIFS(OverValue,OverEmp,$C221,OverEarn,I$2,OverDate,"&lt;"&amp;DATE(YEAR($AC221),MONTH($AC221)+1,1),OverEnd,"&gt;="&amp;DATE(YEAR($AC221),MONTH($AC221),1)),IF(MONTH(B221)=Setup!$C$15,SUMIFS(EmpBonus,EmpCode,$C221),0)))</f>
        <v>0</v>
      </c>
      <c r="J221" s="133" cm="1">
        <f t="array" aca="1" ref="J221" ca="1">IF($F221&lt;&gt;"Active",0,IF(COUNTIFS(OverEmp,$C221,OverEarn,J$2,OverDate,"&lt;"&amp;DATE(YEAR($AC221),MONTH($AC221)+1,1),OverEnd,"&gt;="&amp;DATE(YEAR($AC221),MONTH($AC221),1))&gt;0,SUMIFS(OverValue,OverEmp,$C221,OverEarn,J$2,OverDate,"&lt;"&amp;DATE(YEAR($AC221),MONTH($AC221)+1,1),OverEnd,"&gt;="&amp;DATE(YEAR($AC221),MONTH($AC221),1)),0))</f>
        <v>0</v>
      </c>
      <c r="K221" s="133" cm="1">
        <f t="array" aca="1" ref="K221" ca="1">IF($F221&lt;&gt;"Active",0,IF(COUNTIFS(OverEmp,$C221,OverEarn,K$2,OverDate,"&lt;"&amp;DATE(YEAR($AC221),MONTH($AC221)+1,1),OverEnd,"&gt;="&amp;DATE(YEAR($AC221),MONTH($AC221),1))&gt;0,SUMIFS(OverValue,OverEmp,$C221,OverEarn,K$2,OverDate,"&lt;"&amp;DATE(YEAR($AC221),MONTH($AC221)+1,1),OverEnd,"&gt;="&amp;DATE(YEAR($AC221),MONTH($AC221),1)),0))</f>
        <v>0</v>
      </c>
      <c r="L221" s="185">
        <f t="shared" ca="1" si="124"/>
        <v>0</v>
      </c>
      <c r="M221" s="182" cm="1">
        <f t="array" aca="1" ref="M221" ca="1">IF(COUNTIFS(OverEmp,$C221,OverTax,M$5,OverDate,"&lt;"&amp;DATE(YEAR($AC221),MONTH($AC221)+1,1),OverEnd,"&gt;="&amp;DATE(YEAR($AC221),MONTH($AC221),1))&gt;0,SUMIFS(OverValue,OverEmp,$C221,OverTax,M$5,OverDate,"&lt;"&amp;DATE(YEAR($AC221),MONTH($AC221)+1,1),OverEnd,"&gt;="&amp;DATE(YEAR($AC221),MONTH($AC221),1)),(($BA221/12*$AA221)+(BB221*IF(1-$BC221=0,0,BD221/(1-$BC221))))-IF($F221="Terminated",0,SUMIFS(PayTaxDeduct,PayDate,"&lt;"&amp;$AC221,PayEmp,$C221)))</f>
        <v>0</v>
      </c>
      <c r="N221" s="133" cm="1">
        <f t="array" aca="1" ref="N221" ca="1">IF($F221="Terminated",0,IF($AA221=0,0,IF(ISNA(MATCH(N$5,DedListItem,0)),0,IF(COUNTIFS(OverEmp,$C221,OverDeduct,N$5,OverDate,"&lt;"&amp;DATE(YEAR($AC221),MONTH($AC221)+1,1),OverEnd,"&gt;="&amp;DATE(YEAR($AC221),MONTH($AC221),1))&gt;0,SUMIFS(OverValue,OverEmp,$C221,OverDeduct,N$5,OverDate,"&lt;"&amp;DATE(YEAR($AC221),MONTH($AC221)+1,1),OverEnd,"&gt;="&amp;DATE(YEAR($AC221),MONTH($AC221),1)),IF(OR(N$2="Fixed",N$2="Not Used"),(IF(COUNTIFS(EmpNo,$C221,OFFSET(Emp!$R$4,1,MATCH(N$5,DedListItem,0)-1,EmpCount,1),"&lt;&gt;")&gt;0,VLOOKUP($C221,EmpAll,COLUMN(Emp!$R$4)+MATCH(N$5,DedListItem,0)-1,0),OFFSET(Setup!$E$73,MATCH(N$5,DedListItem,0),0,1,1))*$AA221)-SUMIFS(OFFSET(N$6,1,0,PayCount,1),PayDate,"&lt;"&amp;$AC221,PayEmp,$C221),IF(ISNA(MATCH(N$2,EarnListItem,0))=FALSE,IF(OFFSET(Setup!$G$73,MATCH(N$5,DedListItem,0),0,1,1)="Taxable",SUMPRODUCT((PayEmp=$C221)*(PayDate&lt;=$AC221)*(PayEarnCode=N$2)*(PayEarnTax)*(PayEarnValues)),SUMPRODUCT((PayEmp=$C221)*(PayDate&lt;=$AC221)*(PayEarnCode=N$2)*(PayEarnValues)))*IF(COUNTIFS(EmpNo,$C221,OFFSET(Emp!$R$4,1,MATCH(N$5,DedListItem,0)-1,EmpCount,1),"&lt;&gt;")&gt;0,VLOOKUP($C221,EmpAll,COLUMN(Emp!$R$4)+MATCH(N$5,DedListItem,0)-1,0),OFFSET(Setup!$E$73,MATCH(N$5,DedListItem,0),0,1,1)),(MIN(IF(OFFSET(Setup!$G$73,MATCH(N$5,DedListItem,0),0,1,1)="Taxable",SUMPRODUCT((PayEmp=$C221)*(PayDate&lt;=$AC221)*(ISERROR(SEARCH(PayEarnCode,N$4)))*(PayEarnTax)*(PayEarnValues)),SUMPRODUCT((PayEmp=$C221)*(PayDate&lt;=$AC221)*(ISERROR(SEARCH(PayEarnCode,N$4)))*(PayEarnValues))),IF(ISNUMBER(N$3),N$3/12*$AA221,IgnoreMin)))*IF(COUNTIFS(EmpNo,$C221,OFFSET(Emp!$R$4,1,MATCH(N$5,DedListItem,0)-1,EmpCount,1),"&lt;&gt;")&gt;0,VLOOKUP($C221,EmpAll,COLUMN(Emp!$R$4)+MATCH(N$5,DedListItem,0)-1,0),OFFSET(Setup!$E$73,MATCH(N$5,DedListItem,0),0,1,1)))-SUMIFS(OFFSET(N$6,1,0,PayCount,1),PayDate,"&lt;"&amp;$AC221,PayEmp,$C221))))))</f>
        <v>0</v>
      </c>
      <c r="O221" s="133" cm="1">
        <f t="array" aca="1" ref="O221" ca="1">IF($F221="Terminated",0,IF($AA221=0,0,IF(ISNA(MATCH(O$5,DedListItem,0)),0,IF(COUNTIFS(OverEmp,$C221,OverDeduct,O$5,OverDate,"&lt;"&amp;DATE(YEAR($AC221),MONTH($AC221)+1,1),OverEnd,"&gt;="&amp;DATE(YEAR($AC221),MONTH($AC221),1))&gt;0,SUMIFS(OverValue,OverEmp,$C221,OverDeduct,O$5,OverDate,"&lt;"&amp;DATE(YEAR($AC221),MONTH($AC221)+1,1),OverEnd,"&gt;="&amp;DATE(YEAR($AC221),MONTH($AC221),1)),IF(OR(O$2="Fixed",O$2="Not Used"),(IF(COUNTIFS(EmpNo,$C221,OFFSET(Emp!$R$4,1,MATCH(O$5,DedListItem,0)-1,EmpCount,1),"&lt;&gt;")&gt;0,VLOOKUP($C221,EmpAll,COLUMN(Emp!$R$4)+MATCH(O$5,DedListItem,0)-1,0),OFFSET(Setup!$E$73,MATCH(O$5,DedListItem,0),0,1,1))*$AA221)-SUMIFS(OFFSET(O$6,1,0,PayCount,1),PayDate,"&lt;"&amp;$AC221,PayEmp,$C221),IF(ISNA(MATCH(O$2,EarnListItem,0))=FALSE,IF(OFFSET(Setup!$G$73,MATCH(O$5,DedListItem,0),0,1,1)="Taxable",SUMPRODUCT((PayEmp=$C221)*(PayDate&lt;=$AC221)*(PayEarnCode=O$2)*(PayEarnTax)*(PayEarnValues)),SUMPRODUCT((PayEmp=$C221)*(PayDate&lt;=$AC221)*(PayEarnCode=O$2)*(PayEarnValues)))*IF(COUNTIFS(EmpNo,$C221,OFFSET(Emp!$R$4,1,MATCH(O$5,DedListItem,0)-1,EmpCount,1),"&lt;&gt;")&gt;0,VLOOKUP($C221,EmpAll,COLUMN(Emp!$R$4)+MATCH(O$5,DedListItem,0)-1,0),OFFSET(Setup!$E$73,MATCH(O$5,DedListItem,0),0,1,1)),(MIN(IF(OFFSET(Setup!$G$73,MATCH(O$5,DedListItem,0),0,1,1)="Taxable",SUMPRODUCT((PayEmp=$C221)*(PayDate&lt;=$AC221)*(ISERROR(SEARCH(PayEarnCode,O$4)))*(PayEarnTax)*(PayEarnValues)),SUMPRODUCT((PayEmp=$C221)*(PayDate&lt;=$AC221)*(ISERROR(SEARCH(PayEarnCode,O$4)))*(PayEarnValues))),IF(ISNUMBER(O$3),O$3/12*$AA221,IgnoreMin)))*IF(COUNTIFS(EmpNo,$C221,OFFSET(Emp!$R$4,1,MATCH(O$5,DedListItem,0)-1,EmpCount,1),"&lt;&gt;")&gt;0,VLOOKUP($C221,EmpAll,COLUMN(Emp!$R$4)+MATCH(O$5,DedListItem,0)-1,0),OFFSET(Setup!$E$73,MATCH(O$5,DedListItem,0),0,1,1)))-SUMIFS(OFFSET(O$6,1,0,PayCount,1),PayDate,"&lt;"&amp;$AC221,PayEmp,$C221))))))</f>
        <v>0</v>
      </c>
      <c r="P221" s="133" cm="1">
        <f t="array" aca="1" ref="P221" ca="1">IF($F221="Terminated",0,IF($AA221=0,0,IF(ISNA(MATCH(P$5,DedListItem,0)),0,IF(COUNTIFS(OverEmp,$C221,OverDeduct,P$5,OverDate,"&lt;"&amp;DATE(YEAR($AC221),MONTH($AC221)+1,1),OverEnd,"&gt;="&amp;DATE(YEAR($AC221),MONTH($AC221),1))&gt;0,SUMIFS(OverValue,OverEmp,$C221,OverDeduct,P$5,OverDate,"&lt;"&amp;DATE(YEAR($AC221),MONTH($AC221)+1,1),OverEnd,"&gt;="&amp;DATE(YEAR($AC221),MONTH($AC221),1)),IF(OR(P$2="Fixed",P$2="Not Used"),(IF(COUNTIFS(EmpNo,$C221,OFFSET(Emp!$R$4,1,MATCH(P$5,DedListItem,0)-1,EmpCount,1),"&lt;&gt;")&gt;0,VLOOKUP($C221,EmpAll,COLUMN(Emp!$R$4)+MATCH(P$5,DedListItem,0)-1,0),OFFSET(Setup!$E$73,MATCH(P$5,DedListItem,0),0,1,1))*$AA221)-SUMIFS(OFFSET(P$6,1,0,PayCount,1),PayDate,"&lt;"&amp;$AC221,PayEmp,$C221),IF(ISNA(MATCH(P$2,EarnListItem,0))=FALSE,IF(OFFSET(Setup!$G$73,MATCH(P$5,DedListItem,0),0,1,1)="Taxable",SUMPRODUCT((PayEmp=$C221)*(PayDate&lt;=$AC221)*(PayEarnCode=P$2)*(PayEarnTax)*(PayEarnValues)),SUMPRODUCT((PayEmp=$C221)*(PayDate&lt;=$AC221)*(PayEarnCode=P$2)*(PayEarnValues)))*IF(COUNTIFS(EmpNo,$C221,OFFSET(Emp!$R$4,1,MATCH(P$5,DedListItem,0)-1,EmpCount,1),"&lt;&gt;")&gt;0,VLOOKUP($C221,EmpAll,COLUMN(Emp!$R$4)+MATCH(P$5,DedListItem,0)-1,0),OFFSET(Setup!$E$73,MATCH(P$5,DedListItem,0),0,1,1)),(MIN(IF(OFFSET(Setup!$G$73,MATCH(P$5,DedListItem,0),0,1,1)="Taxable",SUMPRODUCT((PayEmp=$C221)*(PayDate&lt;=$AC221)*(ISERROR(SEARCH(PayEarnCode,P$4)))*(PayEarnTax)*(PayEarnValues)),SUMPRODUCT((PayEmp=$C221)*(PayDate&lt;=$AC221)*(ISERROR(SEARCH(PayEarnCode,P$4)))*(PayEarnValues))),IF(ISNUMBER(P$3),P$3/12*$AA221,IgnoreMin)))*IF(COUNTIFS(EmpNo,$C221,OFFSET(Emp!$R$4,1,MATCH(P$5,DedListItem,0)-1,EmpCount,1),"&lt;&gt;")&gt;0,VLOOKUP($C221,EmpAll,COLUMN(Emp!$R$4)+MATCH(P$5,DedListItem,0)-1,0),OFFSET(Setup!$E$73,MATCH(P$5,DedListItem,0),0,1,1)))-SUMIFS(OFFSET(P$6,1,0,PayCount,1),PayDate,"&lt;"&amp;$AC221,PayEmp,$C221))))))</f>
        <v>0</v>
      </c>
      <c r="Q221" s="133" cm="1">
        <f t="array" aca="1" ref="Q221" ca="1">IF($F221="Terminated",0,IF($AA221=0,0,IF(ISNA(MATCH(Q$5,DedListItem,0)),0,IF(COUNTIFS(OverEmp,$C221,OverDeduct,Q$5,OverDate,"&lt;"&amp;DATE(YEAR($AC221),MONTH($AC221)+1,1),OverEnd,"&gt;="&amp;DATE(YEAR($AC221),MONTH($AC221),1))&gt;0,SUMIFS(OverValue,OverEmp,$C221,OverDeduct,Q$5,OverDate,"&lt;"&amp;DATE(YEAR($AC221),MONTH($AC221)+1,1),OverEnd,"&gt;="&amp;DATE(YEAR($AC221),MONTH($AC221),1)),IF(OR(Q$2="Fixed",Q$2="Not Used"),(IF(COUNTIFS(EmpNo,$C221,OFFSET(Emp!$R$4,1,MATCH(Q$5,DedListItem,0)-1,EmpCount,1),"&lt;&gt;")&gt;0,VLOOKUP($C221,EmpAll,COLUMN(Emp!$R$4)+MATCH(Q$5,DedListItem,0)-1,0),OFFSET(Setup!$E$73,MATCH(Q$5,DedListItem,0),0,1,1))*$AA221)-SUMIFS(OFFSET(Q$6,1,0,PayCount,1),PayDate,"&lt;"&amp;$AC221,PayEmp,$C221),IF(ISNA(MATCH(Q$2,EarnListItem,0))=FALSE,IF(OFFSET(Setup!$G$73,MATCH(Q$5,DedListItem,0),0,1,1)="Taxable",SUMPRODUCT((PayEmp=$C221)*(PayDate&lt;=$AC221)*(PayEarnCode=Q$2)*(PayEarnTax)*(PayEarnValues)),SUMPRODUCT((PayEmp=$C221)*(PayDate&lt;=$AC221)*(PayEarnCode=Q$2)*(PayEarnValues)))*IF(COUNTIFS(EmpNo,$C221,OFFSET(Emp!$R$4,1,MATCH(Q$5,DedListItem,0)-1,EmpCount,1),"&lt;&gt;")&gt;0,VLOOKUP($C221,EmpAll,COLUMN(Emp!$R$4)+MATCH(Q$5,DedListItem,0)-1,0),OFFSET(Setup!$E$73,MATCH(Q$5,DedListItem,0),0,1,1)),(MIN(IF(OFFSET(Setup!$G$73,MATCH(Q$5,DedListItem,0),0,1,1)="Taxable",SUMPRODUCT((PayEmp=$C221)*(PayDate&lt;=$AC221)*(ISERROR(SEARCH(PayEarnCode,Q$4)))*(PayEarnTax)*(PayEarnValues)),SUMPRODUCT((PayEmp=$C221)*(PayDate&lt;=$AC221)*(ISERROR(SEARCH(PayEarnCode,Q$4)))*(PayEarnValues))),IF(ISNUMBER(Q$3),Q$3/12*$AA221,IgnoreMin)))*IF(COUNTIFS(EmpNo,$C221,OFFSET(Emp!$R$4,1,MATCH(Q$5,DedListItem,0)-1,EmpCount,1),"&lt;&gt;")&gt;0,VLOOKUP($C221,EmpAll,COLUMN(Emp!$R$4)+MATCH(Q$5,DedListItem,0)-1,0),OFFSET(Setup!$E$73,MATCH(Q$5,DedListItem,0),0,1,1)))-SUMIFS(OFFSET(Q$6,1,0,PayCount,1),PayDate,"&lt;"&amp;$AC221,PayEmp,$C221))))))</f>
        <v>0</v>
      </c>
      <c r="R221" s="185">
        <f t="shared" ca="1" si="125"/>
        <v>0</v>
      </c>
      <c r="S221" s="139">
        <f t="shared" ca="1" si="126"/>
        <v>0</v>
      </c>
      <c r="T221" s="133" cm="1">
        <f t="array" aca="1" ref="T221" ca="1">IF($F221="Terminated",0,IF($AA221=0,0,IF(ISNA(MATCH(T$5,CompListItem,0)),0,IF(COUNTIFS(OverEmp,$C221,OverComp,T$5,OverDate,"&lt;"&amp;DATE(YEAR($AC221),MONTH($AC221)+1,1),OverEnd,"&gt;="&amp;DATE(YEAR($AC221),MONTH($AC221),1))&gt;0,SUMIFS(OverValue,OverEmp,$C221,OverComp,T$5,OverDate,"&lt;"&amp;DATE(YEAR($AC221),MONTH($AC221)+1,1),OverEnd,"&gt;="&amp;DATE(YEAR($AC221),MONTH($AC221),1)),IF(OR(T$2="Fixed",T$2="Not Used"),(OFFSET(Setup!$E$81,MATCH(T$5,CompListItem,0),0,1,1)*$AA221)-SUMIFS(OFFSET(T$6,1,0,PayCount,1),PayDate,"&lt;"&amp;$AC221,PayEmp,$C221),IF(ISNA(MATCH(T$2,DedListItem,0))=FALSE,(SUMPRODUCT((PayEmp=$C221)*(PayDate&lt;=$AC221)*(PayDedList=T$2)*(PayDedValues))*OFFSET(Setup!$E$81,MATCH(T$5,CompListItem,0),0,1,1))-SUMIFS(OFFSET(T$6,1,0,PayCount,1),PayDate,"&lt;"&amp;$AC221,PayEmp,$C221),(MIN(IF(OFFSET(Setup!$G$81,MATCH(T$5,CompListItem,0),0,1,1)="Taxable",SUMPRODUCT((PayEmp=$C221)*(PayDate&lt;=$AC221)*(ISERROR(SEARCH(PayEarnCode,T$4)))*(PayEarnTax)*(PayEarnValues)),SUMPRODUCT((PayEmp=$C221)*(PayDate&lt;=$AC221)*(ISERROR(SEARCH(PayEarnCode,T$4)))*(PayEarnValues))),IF(ISNUMBER(T$3),T$3/12*$AA221,IgnoreMin)))*OFFSET(Setup!$E$81,MATCH(T$5,CompListItem,0),0,1,1)-SUMIFS(OFFSET(T$6,1,0,PayCount,1),PayDate,"&lt;"&amp;$AC221,PayEmp,$C221)))))))</f>
        <v>0</v>
      </c>
      <c r="U221" s="133" cm="1">
        <f t="array" aca="1" ref="U221" ca="1">IF($F221="Terminated",0,IF($AA221=0,0,IF(ISNA(MATCH(U$5,CompListItem,0)),0,IF(COUNTIFS(OverEmp,$C221,OverComp,U$5,OverDate,"&lt;"&amp;DATE(YEAR($AC221),MONTH($AC221)+1,1),OverEnd,"&gt;="&amp;DATE(YEAR($AC221),MONTH($AC221),1))&gt;0,SUMIFS(OverValue,OverEmp,$C221,OverComp,U$5,OverDate,"&lt;"&amp;DATE(YEAR($AC221),MONTH($AC221)+1,1),OverEnd,"&gt;="&amp;DATE(YEAR($AC221),MONTH($AC221),1)),IF(OR(U$2="Fixed",U$2="Not Used"),(OFFSET(Setup!$E$81,MATCH(U$5,CompListItem,0),0,1,1)*$AA221)-SUMIFS(OFFSET(U$6,1,0,PayCount,1),PayDate,"&lt;"&amp;$AC221,PayEmp,$C221),IF(ISNA(MATCH(U$2,DedListItem,0))=FALSE,(SUMPRODUCT((PayEmp=$C221)*(PayDate&lt;=$AC221)*(PayDedList=U$2)*(PayDedValues))*OFFSET(Setup!$E$81,MATCH(U$5,CompListItem,0),0,1,1))-SUMIFS(OFFSET(U$6,1,0,PayCount,1),PayDate,"&lt;"&amp;$AC221,PayEmp,$C221),(MIN(IF(OFFSET(Setup!$G$81,MATCH(U$5,CompListItem,0),0,1,1)="Taxable",SUMPRODUCT((PayEmp=$C221)*(PayDate&lt;=$AC221)*(ISERROR(SEARCH(PayEarnCode,U$4)))*(PayEarnTax)*(PayEarnValues)),SUMPRODUCT((PayEmp=$C221)*(PayDate&lt;=$AC221)*(ISERROR(SEARCH(PayEarnCode,U$4)))*(PayEarnValues))),IF(ISNUMBER(U$3),U$3/12*$AA221,IgnoreMin)))*OFFSET(Setup!$E$81,MATCH(U$5,CompListItem,0),0,1,1)-SUMIFS(OFFSET(U$6,1,0,PayCount,1),PayDate,"&lt;"&amp;$AC221,PayEmp,$C221)))))))</f>
        <v>0</v>
      </c>
      <c r="V221" s="133" cm="1">
        <f t="array" aca="1" ref="V221" ca="1">IF($F221="Terminated",0,IF($AA221=0,0,IF(ISNA(MATCH(V$5,CompListItem,0)),0,IF(COUNTIFS(OverEmp,$C221,OverComp,V$5,OverDate,"&lt;"&amp;DATE(YEAR($AC221),MONTH($AC221)+1,1),OverEnd,"&gt;="&amp;DATE(YEAR($AC221),MONTH($AC221),1))&gt;0,SUMIFS(OverValue,OverEmp,$C221,OverComp,V$5,OverDate,"&lt;"&amp;DATE(YEAR($AC221),MONTH($AC221)+1,1),OverEnd,"&gt;="&amp;DATE(YEAR($AC221),MONTH($AC221),1)),IF(OR(V$2="Fixed",V$2="Not Used"),(OFFSET(Setup!$E$81,MATCH(V$5,CompListItem,0),0,1,1)*$AA221)-SUMIFS(OFFSET(V$6,1,0,PayCount,1),PayDate,"&lt;"&amp;$AC221,PayEmp,$C221),IF(ISNA(MATCH(V$2,DedListItem,0))=FALSE,(SUMPRODUCT((PayEmp=$C221)*(PayDate&lt;=$AC221)*(PayDedList=V$2)*(PayDedValues))*OFFSET(Setup!$E$81,MATCH(V$5,CompListItem,0),0,1,1))-SUMIFS(OFFSET(V$6,1,0,PayCount,1),PayDate,"&lt;"&amp;$AC221,PayEmp,$C221),(MIN(IF(OFFSET(Setup!$G$81,MATCH(V$5,CompListItem,0),0,1,1)="Taxable",SUMPRODUCT((PayEmp=$C221)*(PayDate&lt;=$AC221)*(ISERROR(SEARCH(PayEarnCode,V$4)))*(PayEarnTax)*(PayEarnValues)),SUMPRODUCT((PayEmp=$C221)*(PayDate&lt;=$AC221)*(ISERROR(SEARCH(PayEarnCode,V$4)))*(PayEarnValues))),IF(ISNUMBER(V$3),V$3/12*$AA221,IgnoreMin)))*OFFSET(Setup!$E$81,MATCH(V$5,CompListItem,0),0,1,1)-SUMIFS(OFFSET(V$6,1,0,PayCount,1),PayDate,"&lt;"&amp;$AC221,PayEmp,$C221)))))))</f>
        <v>0</v>
      </c>
      <c r="W221" s="133" cm="1">
        <f t="array" aca="1" ref="W221" ca="1">IF($F221="Terminated",0,IF($AA221=0,0,IF(ISNA(MATCH(W$5,CompListItem,0)),0,IF(COUNTIFS(OverEmp,$C221,OverComp,W$5,OverDate,"&lt;"&amp;DATE(YEAR($AC221),MONTH($AC221)+1,1),OverEnd,"&gt;="&amp;DATE(YEAR($AC221),MONTH($AC221),1))&gt;0,SUMIFS(OverValue,OverEmp,$C221,OverComp,W$5,OverDate,"&lt;"&amp;DATE(YEAR($AC221),MONTH($AC221)+1,1),OverEnd,"&gt;="&amp;DATE(YEAR($AC221),MONTH($AC221),1)),IF(OR(W$2="Fixed",W$2="Not Used"),(OFFSET(Setup!$E$81,MATCH(W$5,CompListItem,0),0,1,1)*$AA221)-SUMIFS(OFFSET(W$6,1,0,PayCount,1),PayDate,"&lt;"&amp;$AC221,PayEmp,$C221),IF(ISNA(MATCH(W$2,DedListItem,0))=FALSE,(SUMPRODUCT((PayEmp=$C221)*(PayDate&lt;=$AC221)*(PayDedList=W$2)*(PayDedValues))*OFFSET(Setup!$E$81,MATCH(W$5,CompListItem,0),0,1,1))-SUMIFS(OFFSET(W$6,1,0,PayCount,1),PayDate,"&lt;"&amp;$AC221,PayEmp,$C221),(MIN(IF(OFFSET(Setup!$G$81,MATCH(W$5,CompListItem,0),0,1,1)="Taxable",SUMPRODUCT((PayEmp=$C221)*(PayDate&lt;=$AC221)*(ISERROR(SEARCH(PayEarnCode,W$4)))*(PayEarnTax)*(PayEarnValues)),SUMPRODUCT((PayEmp=$C221)*(PayDate&lt;=$AC221)*(ISERROR(SEARCH(PayEarnCode,W$4)))*(PayEarnValues))),IF(ISNUMBER(W$3),W$3/12*$AA221,IgnoreMin)))*OFFSET(Setup!$E$81,MATCH(W$5,CompListItem,0),0,1,1)-SUMIFS(OFFSET(W$6,1,0,PayCount,1),PayDate,"&lt;"&amp;$AC221,PayEmp,$C221)))))))</f>
        <v>0</v>
      </c>
      <c r="X221" s="185">
        <f t="shared" ca="1" si="127"/>
        <v>0</v>
      </c>
      <c r="Y221" s="139">
        <f t="shared" ca="1" si="128"/>
        <v>0</v>
      </c>
      <c r="Z221" s="139">
        <f t="shared" ca="1" si="129"/>
        <v>0</v>
      </c>
      <c r="AA221" s="146">
        <f ca="1">IF(OR($B221&lt;=Setup!$E$12,$B221&gt;=Setup!$D$12+1),0,IF($F221&lt;&gt;"Active",0,IF($AE221="Yes",$AB221,((YEAR($AC221)*12)+MONTH($AC221))-((YEAR($AD221)*12)+MONTH($AD221)-1))))</f>
        <v>0</v>
      </c>
      <c r="AB221" s="146">
        <f ca="1">IF(OR($B221&lt;=Setup!$E$12,$B221&gt;=Setup!$D$12+1),0,((YEAR($AC221)*12)+MONTH($AC221))-((YEAR(Setup!$E$12)*12)+MONTH(Setup!$E$12)))</f>
        <v>12</v>
      </c>
      <c r="AC221" s="186">
        <f t="shared" ca="1" si="130"/>
        <v>45351</v>
      </c>
      <c r="AD221" s="144">
        <f ca="1">IF(ISNA(VLOOKUP($C221,EmpAll,COLUMN(Emp!$E$4),0)),$AC221,IF(VLOOKUP($C221,EmpAll,COLUMN(Emp!$E$4),0)&lt;=Setup!$E$12,DATE(YEAR(Setup!$E$12),MONTH(Setup!$E$12)+1,1),VLOOKUP($C221,EmpAll,COLUMN(Emp!$E$4),0)))</f>
        <v>45351</v>
      </c>
      <c r="AE221" s="144" t="str">
        <f ca="1">IF(ISNA(VLOOKUP($C221,EmpAll,COLUMN(Emp!$G$1),0)),"-",IF(VLOOKUP($C221,EmpAll,COLUMN(Emp!$G$1),0)=0,"-",VLOOKUP($C221,EmpAll,COLUMN(Emp!$G$1),0)))</f>
        <v>-</v>
      </c>
      <c r="AF221" s="145">
        <f>IF(A221=PaySlip!$G$3,1,0)</f>
        <v>0</v>
      </c>
      <c r="AG221" s="130" cm="1">
        <f t="array" aca="1" ref="AG221" ca="1">IF(COUNTIFS(OverEmp,$C221,OverMed,"MED",OverDate,"&lt;"&amp;DATE(YEAR($AC221),MONTH($AC221)+1,1),OverEnd,"&gt;="&amp;DATE(YEAR($AC221),MONTH($AC221),1))&gt;0,SUMIFS(OverValue,OverEmp,$C221,OverMed,"MED",OverDate,"&lt;"&amp;DATE(YEAR($AC221),MONTH($AC221)+1,1),OverEnd,"&gt;="&amp;DATE(YEAR($AC221),MONTH($AC221),1)),IF(ISNA(VLOOKUP($C221,EmpAll,COLUMN(Emp!$N$4),0)),0,VLOOKUP($C221,EmpAll,COLUMN(Emp!$N$4),0)))</f>
        <v>0</v>
      </c>
      <c r="AH221" s="146">
        <f ca="1">VLOOKUP($AG221,MedList,COLUMN(Setup!$C$49),1)</f>
        <v>0</v>
      </c>
      <c r="AI221" s="146">
        <f t="shared" ca="1" si="107"/>
        <v>0</v>
      </c>
      <c r="AJ221" s="101" t="str">
        <f ca="1">IF(ISNA(VLOOKUP($C221,EmpAll,COLUMN(Emp!$L$4),0)),"None!",VLOOKUP($C221,EmpAll,COLUMN(Emp!$L$4),0))</f>
        <v>None!</v>
      </c>
      <c r="AK221" s="147">
        <f t="shared" ca="1" si="102"/>
        <v>17235</v>
      </c>
      <c r="AL221" s="101" t="str">
        <f ca="1">IF(ISNA(VLOOKUP($C221,Employees[],COLUMN(Emp!$M$4),0))=TRUE,"Error!",IF(VLOOKUP($C221,Employees[],COLUMN(Emp!$M$4),0)=0,"Yes",VLOOKUP($C221,Employees[],COLUMN(Emp!$M$4),0)))</f>
        <v>Error!</v>
      </c>
      <c r="AM221" s="148">
        <f t="shared" ca="1" si="108"/>
        <v>0</v>
      </c>
      <c r="AN221" s="148" cm="1">
        <f t="array" aca="1" ref="AN221" ca="1">-IF($F221="Terminated",0,IF($AA221=0,0,IF(ISNA(MATCH(AN$5,PayDedList,0)),0,MIN(IF(COUNTIFS(OverEmp,$C221,OverDeduct,AN$5,OverDate,"&lt;"&amp;DATE(YEAR($AC221),MONTH($AC221)+1,1),OverEnd,"&gt;="&amp;DATE(YEAR($AC221),MONTH($AC221),1))&gt;0,SUMPRODUCT((PayEmp=$C221)*(PayDate&lt;=$AC221)*(OFFSET($N$6,1,MATCH(AN$5,PayDedList,0)-1,PayCount,1)))/$AA221*12*AN$3,IF(OR(AN$1="Fixed",AN$1="Not Used"),SUMPRODUCT((PayEmp=$C221)*(PayDate&lt;=$AC221)*(OFFSET($N$6,1,MATCH(AN$5,PayDedList,0)-1,PayCount,1)))/$AA221*12*AN$3,IF(ISNA(MATCH(AN$1,EarnListItem,0))=FALSE,SUMPRODUCT((PayEmp=$C221)*(PayDate&lt;=$AC221)*(OFFSET($N$6,1,MATCH(AN$5,PayDedList,0)-1,PayCount,1)))/$AA221*12*AN$3,(MIN(((SUMPRODUCT((PayEmp=$C221)*(PayDate&lt;=$AC221)*(ISERROR(SEARCH(PayEarnCode,AN$2)))*(PayEarnType="Monthly")*(PayEarnValues))/$AA221*12)+(SUMPRODUCT((PayEmp=$C221)*(PayDate&lt;=$AC221)*(ISERROR(SEARCH(PayEarnCode,AN$2)))*(PayEarnType="Quarterly")*(PayEarnValues))/MAX(1,ROUNDDOWN($AB221/3,0))*4)+(SUMPRODUCT((PayEmp=$C221)*(PayDate&lt;=$AC221)*(ISERROR(SEARCH(PayEarnCode,AN$2)))*(PayEarnType="Bi-Annual")*(PayEarnValues))/MAX(1,ROUNDDOWN($AB221/6,0))*2)+(SUMPRODUCT((PayEmp=$C221)*(PayDate&lt;=$AC221)*(ISERROR(SEARCH(PayEarnCode,AN$2)))*(PayEarnType="Annual")*(PayEarnValues)))),IF(ISNUMBER(OFFSET($N$3,0,MATCH(AN$5,PayDedList,0)-1,1,1)),OFFSET($N$3,0,MATCH(AN$5,PayDedList,0)-1,1,1),IgnoreMin)))*IF(COUNTIFS(EmpNo,$C221,OFFSET(Emp!$R$4,1,MATCH(AN$5,DedListItem,0)-1,EmpCount,1),"&lt;&gt;")&gt;0,VLOOKUP($C221,EmpAll,COLUMN(Emp!$R$4)+MATCH(AN$5,DedListItem,0)-1,0),OFFSET(Setup!$E$73,MATCH(AN$5,DedListItem,0),0,1,1))*AN$3))),IF(ISNUMBER(AN$4),AN$4,IgnoreMin)))))</f>
        <v>0</v>
      </c>
      <c r="AO221" s="148" cm="1">
        <f t="array" aca="1" ref="AO221" ca="1">-IF($F221="Terminated",0,IF($AA221=0,0,IF(ISNA(MATCH(AO$5,PayDedList,0)),0,MIN(IF(COUNTIFS(OverEmp,$C221,OverDeduct,AO$5,OverDate,"&lt;"&amp;DATE(YEAR($AC221),MONTH($AC221)+1,1),OverEnd,"&gt;="&amp;DATE(YEAR($AC221),MONTH($AC221),1))&gt;0,SUMPRODUCT((PayEmp=$C221)*(PayDate&lt;=$AC221)*(OFFSET($N$6,1,MATCH(AO$5,PayDedList,0)-1,PayCount,1)))/$AA221*12*AO$3,IF(OR(AO$1="Fixed",AO$1="Not Used"),SUMPRODUCT((PayEmp=$C221)*(PayDate&lt;=$AC221)*(OFFSET($N$6,1,MATCH(AO$5,PayDedList,0)-1,PayCount,1)))/$AA221*12*AO$3,IF(ISNA(MATCH(AO$1,EarnListItem,0))=FALSE,SUMPRODUCT((PayEmp=$C221)*(PayDate&lt;=$AC221)*(OFFSET($N$6,1,MATCH(AO$5,PayDedList,0)-1,PayCount,1)))/$AA221*12*AO$3,(MIN(((SUMPRODUCT((PayEmp=$C221)*(PayDate&lt;=$AC221)*(ISERROR(SEARCH(PayEarnCode,AO$2)))*(PayEarnType="Monthly")*(PayEarnValues))/$AA221*12)+(SUMPRODUCT((PayEmp=$C221)*(PayDate&lt;=$AC221)*(ISERROR(SEARCH(PayEarnCode,AO$2)))*(PayEarnType="Quarterly")*(PayEarnValues))/MAX(1,ROUNDDOWN($AB221/3,0))*4)+(SUMPRODUCT((PayEmp=$C221)*(PayDate&lt;=$AC221)*(ISERROR(SEARCH(PayEarnCode,AO$2)))*(PayEarnType="Bi-Annual")*(PayEarnValues))/MAX(1,ROUNDDOWN($AB221/6,0))*2)+(SUMPRODUCT((PayEmp=$C221)*(PayDate&lt;=$AC221)*(ISERROR(SEARCH(PayEarnCode,AO$2)))*(PayEarnType="Annual")*(PayEarnValues)))),IF(ISNUMBER(OFFSET($N$3,0,MATCH(AO$5,PayDedList,0)-1,1,1)),OFFSET($N$3,0,MATCH(AO$5,PayDedList,0)-1,1,1),IgnoreMin)))*IF(COUNTIFS(EmpNo,$C221,OFFSET(Emp!$R$4,1,MATCH(AO$5,DedListItem,0)-1,EmpCount,1),"&lt;&gt;")&gt;0,VLOOKUP($C221,EmpAll,COLUMN(Emp!$R$4)+MATCH(AO$5,DedListItem,0)-1,0),OFFSET(Setup!$E$73,MATCH(AO$5,DedListItem,0),0,1,1))*AO$3))),IF(ISNUMBER(AO$4),AO$4,IgnoreMin)))))</f>
        <v>0</v>
      </c>
      <c r="AP221" s="148" cm="1">
        <f t="array" aca="1" ref="AP221" ca="1">-IF($F221="Terminated",0,IF($AA221=0,0,IF(ISNA(MATCH(AP$5,PayDedList,0)),0,MIN(IF(COUNTIFS(OverEmp,$C221,OverDeduct,AP$5,OverDate,"&lt;"&amp;DATE(YEAR($AC221),MONTH($AC221)+1,1),OverEnd,"&gt;="&amp;DATE(YEAR($AC221),MONTH($AC221),1))&gt;0,SUMPRODUCT((PayEmp=$C221)*(PayDate&lt;=$AC221)*(OFFSET($N$6,1,MATCH(AP$5,PayDedList,0)-1,PayCount,1)))/$AA221*12*AP$3,IF(OR(AP$1="Fixed",AP$1="Not Used"),SUMPRODUCT((PayEmp=$C221)*(PayDate&lt;=$AC221)*(OFFSET($N$6,1,MATCH(AP$5,PayDedList,0)-1,PayCount,1)))/$AA221*12*AP$3,IF(ISNA(MATCH(AP$1,EarnListItem,0))=FALSE,SUMPRODUCT((PayEmp=$C221)*(PayDate&lt;=$AC221)*(OFFSET($N$6,1,MATCH(AP$5,PayDedList,0)-1,PayCount,1)))/$AA221*12*AP$3,(MIN(((SUMPRODUCT((PayEmp=$C221)*(PayDate&lt;=$AC221)*(ISERROR(SEARCH(PayEarnCode,AP$2)))*(PayEarnType="Monthly")*(PayEarnValues))/$AA221*12)+(SUMPRODUCT((PayEmp=$C221)*(PayDate&lt;=$AC221)*(ISERROR(SEARCH(PayEarnCode,AP$2)))*(PayEarnType="Quarterly")*(PayEarnValues))/MAX(1,ROUNDDOWN($AB221/3,0))*4)+(SUMPRODUCT((PayEmp=$C221)*(PayDate&lt;=$AC221)*(ISERROR(SEARCH(PayEarnCode,AP$2)))*(PayEarnType="Bi-Annual")*(PayEarnValues))/MAX(1,ROUNDDOWN($AB221/6,0))*2)+(SUMPRODUCT((PayEmp=$C221)*(PayDate&lt;=$AC221)*(ISERROR(SEARCH(PayEarnCode,AP$2)))*(PayEarnType="Annual")*(PayEarnValues)))),IF(ISNUMBER(OFFSET($N$3,0,MATCH(AP$5,PayDedList,0)-1,1,1)),OFFSET($N$3,0,MATCH(AP$5,PayDedList,0)-1,1,1),IgnoreMin)))*IF(COUNTIFS(EmpNo,$C221,OFFSET(Emp!$R$4,1,MATCH(AP$5,DedListItem,0)-1,EmpCount,1),"&lt;&gt;")&gt;0,VLOOKUP($C221,EmpAll,COLUMN(Emp!$R$4)+MATCH(AP$5,DedListItem,0)-1,0),OFFSET(Setup!$E$73,MATCH(AP$5,DedListItem,0),0,1,1))*AP$3))),IF(ISNUMBER(AP$4),AP$4,IgnoreMin)))))</f>
        <v>0</v>
      </c>
      <c r="AQ221" s="148" cm="1">
        <f t="array" aca="1" ref="AQ221" ca="1">-IF($F221="Terminated",0,IF($AA221=0,0,IF(ISNA(MATCH(AQ$5,PayDedList,0)),0,MIN(IF(COUNTIFS(OverEmp,$C221,OverDeduct,AQ$5,OverDate,"&lt;"&amp;DATE(YEAR($AC221),MONTH($AC221)+1,1),OverEnd,"&gt;="&amp;DATE(YEAR($AC221),MONTH($AC221),1))&gt;0,SUMPRODUCT((PayEmp=$C221)*(PayDate&lt;=$AC221)*(OFFSET($N$6,1,MATCH(AQ$5,PayDedList,0)-1,PayCount,1)))/$AA221*12*AQ$3,IF(OR(AQ$1="Fixed",AQ$1="Not Used"),SUMPRODUCT((PayEmp=$C221)*(PayDate&lt;=$AC221)*(OFFSET($N$6,1,MATCH(AQ$5,PayDedList,0)-1,PayCount,1)))/$AA221*12*AQ$3,IF(ISNA(MATCH(AQ$1,EarnListItem,0))=FALSE,SUMPRODUCT((PayEmp=$C221)*(PayDate&lt;=$AC221)*(OFFSET($N$6,1,MATCH(AQ$5,PayDedList,0)-1,PayCount,1)))/$AA221*12*AQ$3,(MIN(((SUMPRODUCT((PayEmp=$C221)*(PayDate&lt;=$AC221)*(ISERROR(SEARCH(PayEarnCode,AQ$2)))*(PayEarnType="Monthly")*(PayEarnValues))/$AA221*12)+(SUMPRODUCT((PayEmp=$C221)*(PayDate&lt;=$AC221)*(ISERROR(SEARCH(PayEarnCode,AQ$2)))*(PayEarnType="Quarterly")*(PayEarnValues))/MAX(1,ROUNDDOWN($AB221/3,0))*4)+(SUMPRODUCT((PayEmp=$C221)*(PayDate&lt;=$AC221)*(ISERROR(SEARCH(PayEarnCode,AQ$2)))*(PayEarnType="Bi-Annual")*(PayEarnValues))/MAX(1,ROUNDDOWN($AB221/6,0))*2)+(SUMPRODUCT((PayEmp=$C221)*(PayDate&lt;=$AC221)*(ISERROR(SEARCH(PayEarnCode,AQ$2)))*(PayEarnType="Annual")*(PayEarnValues)))),IF(ISNUMBER(OFFSET($N$3,0,MATCH(AQ$5,PayDedList,0)-1,1,1)),OFFSET($N$3,0,MATCH(AQ$5,PayDedList,0)-1,1,1),IgnoreMin)))*IF(COUNTIFS(EmpNo,$C221,OFFSET(Emp!$R$4,1,MATCH(AQ$5,DedListItem,0)-1,EmpCount,1),"&lt;&gt;")&gt;0,VLOOKUP($C221,EmpAll,COLUMN(Emp!$R$4)+MATCH(AQ$5,DedListItem,0)-1,0),OFFSET(Setup!$E$73,MATCH(AQ$5,DedListItem,0),0,1,1))*AQ$3))),IF(ISNUMBER(AQ$4),AQ$4,IgnoreMin)))))</f>
        <v>0</v>
      </c>
      <c r="AR221" s="148">
        <f t="shared" ca="1" si="131"/>
        <v>0</v>
      </c>
      <c r="AS221" s="148">
        <f t="shared" ca="1" si="109"/>
        <v>0</v>
      </c>
      <c r="AT221" s="148" cm="1">
        <f t="array" aca="1" ref="AT221" ca="1">-IF($F221="Terminated",0,IF($AA221=0,0,IF(ISNA(MATCH(AT$5,PayDedList,0)),0,MIN(IF(COUNTIFS(OverEmp,$C221,OverDeduct,AT$5,OverDate,"&lt;"&amp;DATE(YEAR($AC221),MONTH($AC221)+1,1),OverEnd,"&gt;="&amp;DATE(YEAR($AC221),MONTH($AC221),1))&gt;0,SUMPRODUCT((PayEmp=$C221)*(PayDate&lt;=$AC221)*(OFFSET($N$6,1,MATCH(AT$5,PayDedList,0)-1,PayCount,1)))/$AA221*12*AT$3,IF(OR(AT$1="Fixed",AT$1="Not Used"),SUMPRODUCT((PayEmp=$C221)*(PayDate&lt;=$AC221)*(OFFSET($N$6,1,MATCH(AT$5,PayDedList,0)-1,PayCount,1)))/$AA221*12*AT$3,IF(ISNA(MATCH(OFFSET($N$2,0,MATCH(AT$5,PayDedList,0)-1,1,1),EarnListItem,0))=FALSE,SUMPRODUCT((PayEmp=$C221)*(PayDate&lt;=$AC221)*(OFFSET($N$6,1,MATCH(AT$5,PayDedList,0)-1,PayCount,1)))/$AA221*12*AT$3,(MIN(SUMPRODUCT((PayEmp=$C221)*(PayDate&lt;=$AC221)*(ISERROR(SEARCH(PayEarnCode,AT$2)))*(PayEarnType="Monthly")*(PayEarnValues))/$AA221*12,IF(ISNUMBER(OFFSET($N$3,0,MATCH(AT$5,PayDedList,0)-1,1,1)),OFFSET($N$3,0,MATCH(AT$5,PayDedList,0)-1,1,1),IgnoreMin)))*IF(COUNTIFS(EmpNo,$C221,OFFSET(Emp!$R$4,1,MATCH(AT$5,DedListItem,0)-1,EmpCount,1),"&lt;&gt;")&gt;0,VLOOKUP($C221,EmpAll,COLUMN(Emp!$R$4)+MATCH(AT$5,DedListItem,0)-1,0),OFFSET(Setup!$E$73,MATCH(AT$5,DedListItem,0),0,1,1))*AT$3))),IF(ISNUMBER(AT$4),AT$4,IgnoreMin)))))</f>
        <v>0</v>
      </c>
      <c r="AU221" s="148" cm="1">
        <f t="array" aca="1" ref="AU221" ca="1">-IF($F221="Terminated",0,IF($AA221=0,0,IF(ISNA(MATCH(AU$5,PayDedList,0)),0,MIN(IF(COUNTIFS(OverEmp,$C221,OverDeduct,AU$5,OverDate,"&lt;"&amp;DATE(YEAR($AC221),MONTH($AC221)+1,1),OverEnd,"&gt;="&amp;DATE(YEAR($AC221),MONTH($AC221),1))&gt;0,SUMPRODUCT((PayEmp=$C221)*(PayDate&lt;=$AC221)*(OFFSET($N$6,1,MATCH(AU$5,PayDedList,0)-1,PayCount,1)))/$AA221*12*AU$3,IF(OR(AU$1="Fixed",AU$1="Not Used"),SUMPRODUCT((PayEmp=$C221)*(PayDate&lt;=$AC221)*(OFFSET($N$6,1,MATCH(AU$5,PayDedList,0)-1,PayCount,1)))/$AA221*12*AU$3,IF(ISNA(MATCH(OFFSET($N$2,0,MATCH(AU$5,PayDedList,0)-1,1,1),EarnListItem,0))=FALSE,SUMPRODUCT((PayEmp=$C221)*(PayDate&lt;=$AC221)*(OFFSET($N$6,1,MATCH(AU$5,PayDedList,0)-1,PayCount,1)))/$AA221*12*AU$3,(MIN(SUMPRODUCT((PayEmp=$C221)*(PayDate&lt;=$AC221)*(ISERROR(SEARCH(PayEarnCode,AU$2)))*(PayEarnType="Monthly")*(PayEarnValues))/$AA221*12,IF(ISNUMBER(OFFSET($N$3,0,MATCH(AU$5,PayDedList,0)-1,1,1)),OFFSET($N$3,0,MATCH(AU$5,PayDedList,0)-1,1,1),IgnoreMin)))*IF(COUNTIFS(EmpNo,$C221,OFFSET(Emp!$R$4,1,MATCH(AU$5,DedListItem,0)-1,EmpCount,1),"&lt;&gt;")&gt;0,VLOOKUP($C221,EmpAll,COLUMN(Emp!$R$4)+MATCH(AU$5,DedListItem,0)-1,0),OFFSET(Setup!$E$73,MATCH(AU$5,DedListItem,0),0,1,1))*AU$3))),IF(ISNUMBER(AU$4),AU$4,IgnoreMin)))))</f>
        <v>0</v>
      </c>
      <c r="AV221" s="148" cm="1">
        <f t="array" aca="1" ref="AV221" ca="1">-IF($F221="Terminated",0,IF($AA221=0,0,IF(ISNA(MATCH(AV$5,PayDedList,0)),0,MIN(IF(COUNTIFS(OverEmp,$C221,OverDeduct,AV$5,OverDate,"&lt;"&amp;DATE(YEAR($AC221),MONTH($AC221)+1,1),OverEnd,"&gt;="&amp;DATE(YEAR($AC221),MONTH($AC221),1))&gt;0,SUMPRODUCT((PayEmp=$C221)*(PayDate&lt;=$AC221)*(OFFSET($N$6,1,MATCH(AV$5,PayDedList,0)-1,PayCount,1)))/$AA221*12*AV$3,IF(OR(AV$1="Fixed",AV$1="Not Used"),SUMPRODUCT((PayEmp=$C221)*(PayDate&lt;=$AC221)*(OFFSET($N$6,1,MATCH(AV$5,PayDedList,0)-1,PayCount,1)))/$AA221*12*AV$3,IF(ISNA(MATCH(OFFSET($N$2,0,MATCH(AV$5,PayDedList,0)-1,1,1),EarnListItem,0))=FALSE,SUMPRODUCT((PayEmp=$C221)*(PayDate&lt;=$AC221)*(OFFSET($N$6,1,MATCH(AV$5,PayDedList,0)-1,PayCount,1)))/$AA221*12*AV$3,(MIN(SUMPRODUCT((PayEmp=$C221)*(PayDate&lt;=$AC221)*(ISERROR(SEARCH(PayEarnCode,AV$2)))*(PayEarnType="Monthly")*(PayEarnValues))/$AA221*12,IF(ISNUMBER(OFFSET($N$3,0,MATCH(AV$5,PayDedList,0)-1,1,1)),OFFSET($N$3,0,MATCH(AV$5,PayDedList,0)-1,1,1),IgnoreMin)))*IF(COUNTIFS(EmpNo,$C221,OFFSET(Emp!$R$4,1,MATCH(AV$5,DedListItem,0)-1,EmpCount,1),"&lt;&gt;")&gt;0,VLOOKUP($C221,EmpAll,COLUMN(Emp!$R$4)+MATCH(AV$5,DedListItem,0)-1,0),OFFSET(Setup!$E$73,MATCH(AV$5,DedListItem,0),0,1,1))*AV$3))),IF(ISNUMBER(AV$4),AV$4,IgnoreMin)))))</f>
        <v>0</v>
      </c>
      <c r="AW221" s="148" cm="1">
        <f t="array" aca="1" ref="AW221" ca="1">-IF($F221="Terminated",0,IF($AA221=0,0,IF(ISNA(MATCH(AW$5,PayDedList,0)),0,MIN(IF(COUNTIFS(OverEmp,$C221,OverDeduct,AW$5,OverDate,"&lt;"&amp;DATE(YEAR($AC221),MONTH($AC221)+1,1),OverEnd,"&gt;="&amp;DATE(YEAR($AC221),MONTH($AC221),1))&gt;0,SUMPRODUCT((PayEmp=$C221)*(PayDate&lt;=$AC221)*(OFFSET($N$6,1,MATCH(AW$5,PayDedList,0)-1,PayCount,1)))/$AA221*12*AW$3,IF(OR(AW$1="Fixed",AW$1="Not Used"),SUMPRODUCT((PayEmp=$C221)*(PayDate&lt;=$AC221)*(OFFSET($N$6,1,MATCH(AW$5,PayDedList,0)-1,PayCount,1)))/$AA221*12*AW$3,IF(ISNA(MATCH(OFFSET($N$2,0,MATCH(AW$5,PayDedList,0)-1,1,1),EarnListItem,0))=FALSE,SUMPRODUCT((PayEmp=$C221)*(PayDate&lt;=$AC221)*(OFFSET($N$6,1,MATCH(AW$5,PayDedList,0)-1,PayCount,1)))/$AA221*12*AW$3,(MIN(SUMPRODUCT((PayEmp=$C221)*(PayDate&lt;=$AC221)*(ISERROR(SEARCH(PayEarnCode,AW$2)))*(PayEarnType="Monthly")*(PayEarnValues))/$AA221*12,IF(ISNUMBER(OFFSET($N$3,0,MATCH(AW$5,PayDedList,0)-1,1,1)),OFFSET($N$3,0,MATCH(AW$5,PayDedList,0)-1,1,1),IgnoreMin)))*IF(COUNTIFS(EmpNo,$C221,OFFSET(Emp!$R$4,1,MATCH(AW$5,DedListItem,0)-1,EmpCount,1),"&lt;&gt;")&gt;0,VLOOKUP($C221,EmpAll,COLUMN(Emp!$R$4)+MATCH(AW$5,DedListItem,0)-1,0),OFFSET(Setup!$E$73,MATCH(AW$5,DedListItem,0),0,1,1))*AW$3))),IF(ISNUMBER(AW$4),AW$4,IgnoreMin)))))</f>
        <v>0</v>
      </c>
      <c r="AX221" s="148">
        <f t="shared" ca="1" si="132"/>
        <v>0</v>
      </c>
      <c r="AY221" s="148">
        <f t="shared" ca="1" si="133"/>
        <v>0</v>
      </c>
      <c r="AZ221" s="148">
        <f ca="1">IF(ISNUMBER($AL221),($AR221*$AL221)-$AI221-$AK221,MAX(0,IF($AL221="B",IF($AR221&lt;Setup!$C$32,($AR221*Setup!$D$32)-$AI221-$AK221,(($AR221-VLOOKUP($AR221,TaxAll2,1,1))*OFFSET(Setup!$D$32,MATCH($AR221,TaxBracket2,1),0,1,1))+OFFSET(Setup!$E$31,MATCH($AR221,TaxBracket2,1),0,1,1)-$AI221-$AK221),IF($AR221&lt;Setup!$C$21,($AR221*Setup!$D$21)-$AI221-$AK221,(($AR221-VLOOKUP($AR221,TaxAll1,1,1))*OFFSET(Setup!$D$21,MATCH($AR221,TaxBracket1,1),0,1,1))+OFFSET(Setup!$E$20,MATCH($AR221,TaxBracket1,1),0,1,1)-$AI221-$AK221))))</f>
        <v>0</v>
      </c>
      <c r="BA221" s="148">
        <f ca="1">IF(ISNUMBER($AL221),($AX221*$AL221)-$AI221-$AK221,MAX(0,IF($AL221="B",IF($AX221&lt;Setup!$C$32,($AX221*Setup!$D$32)-$AI221-$AK221,(($AX221-VLOOKUP($AX221,TaxAll2,1,1))*OFFSET(Setup!$D$32,MATCH($AX221,TaxBracket2,1),0,1,1))+OFFSET(Setup!$E$31,MATCH($AX221,TaxBracket2,1),0,1,1)-$AI221-$AK221),IF($AX221&lt;Setup!$C$21,($AX221*Setup!$D$21)-$AI221-$AK221,(($AX221-VLOOKUP($AX221,TaxAll1,1,1))*OFFSET(Setup!$D$21,MATCH($AX221,TaxBracket1,1),0,1,1))+OFFSET(Setup!$E$20,MATCH($AX221,TaxBracket1,1),0,1,1)-$AI221-$AK221))))</f>
        <v>0</v>
      </c>
      <c r="BB221" s="148">
        <f t="shared" ca="1" si="134"/>
        <v>0</v>
      </c>
      <c r="BC221" s="150">
        <f t="shared" ca="1" si="110"/>
        <v>0</v>
      </c>
      <c r="BD221" s="150">
        <f t="shared" ca="1" si="111"/>
        <v>0</v>
      </c>
      <c r="BE221" s="148">
        <f t="shared" ca="1" si="112"/>
        <v>0</v>
      </c>
    </row>
    <row r="222" spans="1:57" ht="16.149999999999999" customHeight="1" x14ac:dyDescent="0.25">
      <c r="A222" s="10" t="str" cm="1">
        <f t="array" ref="A222">IF(ROW($A222)-ROW($A$6)&gt;EmpCount*12,"-",TEXT($B222,"yyyy")&amp;TEXT($B222,"mm")&amp;"-"&amp;$C222)</f>
        <v>-</v>
      </c>
      <c r="B222" s="137" cm="1">
        <f t="array" aca="1" ref="B222" ca="1">IF(ROW($A222)-ROW($A$6)&gt;EmpCount*12,Setup!$D$12,DATE(YEAR(Setup!$F$12),MONTH(Setup!$F$12)+ROUNDDOWN((ROW($A222)-ROW($A$6)-1)/EmpCount,0),IF(Setup!$C$14&gt;DAY(DATE(YEAR(Setup!$F$12),MONTH(Setup!$F$12)+ROUNDDOWN((ROW($A222)-ROW($A$6)-1)/EmpCount,0)+1,0)),DAY(DATE(YEAR(Setup!$F$12),MONTH(Setup!$F$12)+ROUNDDOWN((ROW($A222)-ROW($A$6)-1)/EmpCount,0)+1,0)),Setup!$C$14)))</f>
        <v>45351</v>
      </c>
      <c r="C222" s="101" t="str" cm="1">
        <f t="array" aca="1" ref="C222" ca="1">IF(ROW($A222)-ROW($A$6)&gt;EmpCount*12,"-",OFFSET(Emp!$A$4,ROW($A222)-ROW($A$6)-IF(ROW($A222)-ROW($A$6)&gt;EmpCount,ROUNDDOWN((ROW($A222)-ROW($A$6)-1)/EmpCount,0)*EmpCount,0),0,1,1))</f>
        <v>-</v>
      </c>
      <c r="D222" s="10" t="str">
        <f ca="1">IF(ISNA(VLOOKUP($C222,EmpAll,COLUMN(Emp!$B$4),0)),"-",VLOOKUP($C222,EmpAll,COLUMN(Emp!$B$4),0))</f>
        <v>-</v>
      </c>
      <c r="E222" s="145" t="str">
        <f ca="1">IF(ISNA(VLOOKUP($C222,EmpAll,COLUMN(Emp!$C$4),0)),"-",VLOOKUP($C222,EmpAll,COLUMN(Emp!$C$4),0))</f>
        <v>-</v>
      </c>
      <c r="F222" s="101" t="str">
        <f ca="1">IF(ISNA(VLOOKUP($C222,EmpAll,COLUMN(Emp!$A$4),0)),"-",IF(AND(VLOOKUP($C222,EmpAll,COLUMN(Emp!$E$4),0)&lt;&gt;0,VLOOKUP($C222,EmpAll,COLUMN(Emp!$E$4),0)&gt;=DATE(YEAR($AC222),MONTH($AC222)+1,0)),"Inactive",IF(AND(VLOOKUP($C222,EmpAll,COLUMN(Emp!$F$4),0)&lt;&gt;0,VLOOKUP($C222,EmpAll,COLUMN(Emp!$F$4),0)&lt;=DATE(YEAR($AC222),MONTH($AC222),0)),"Terminated","Active")))</f>
        <v>-</v>
      </c>
      <c r="G222" s="133" cm="1">
        <f t="array" aca="1" ref="G222" ca="1">IF($F222&lt;&gt;"Active",0,IF(COUNTIFS(OverEmp,$C222,OverEarn,G$2,OverDate,"&lt;"&amp;DATE(YEAR($AC222),MONTH($AC222)+1,1),OverEnd,"&gt;="&amp;DATE(YEAR($AC222),MONTH($AC222),1))&gt;0,SUMIFS(OverValue,OverEmp,$C222,OverEarn,G$2,OverDate,"&lt;"&amp;DATE(YEAR($AC222),MONTH($AC222)+1,1),OverEnd,"&gt;="&amp;DATE(YEAR($AC222),MONTH($AC222),1)),IF(AND($AC222&gt;=Setup!$E$10,SUMIFS(EmpIncrease,EmpCode,$C222)&gt;0),SUMIFS(EmpIncrease,EmpCode,$C222),SUMIFS(EmpSalary,EmpCode,$C222))))</f>
        <v>0</v>
      </c>
      <c r="H222" s="133" cm="1">
        <f t="array" aca="1" ref="H222" ca="1">IF($F222&lt;&gt;"Active",0,IF(COUNTIFS(OverEmp,$C222,OverEarn,H$2,OverDate,"&lt;"&amp;DATE(YEAR($AC222),MONTH($AC222)+1,1),OverEnd,"&gt;="&amp;DATE(YEAR($AC222),MONTH($AC222),1))&gt;0,SUMIFS(OverValue,OverEmp,$C222,OverEarn,H$2,OverDate,"&lt;"&amp;DATE(YEAR($AC222),MONTH($AC222)+1,1),OverEnd,"&gt;="&amp;DATE(YEAR($AC222),MONTH($AC222),1)),0))</f>
        <v>0</v>
      </c>
      <c r="I222" s="133" cm="1">
        <f t="array" aca="1" ref="I222" ca="1">IF($F222&lt;&gt;"Active",0,IF(COUNTIFS(OverEmp,$C222,OverEarn,I$2,OverDate,"&lt;"&amp;DATE(YEAR($AC222),MONTH($AC222)+1,1),OverEnd,"&gt;="&amp;DATE(YEAR($AC222),MONTH($AC222),1))&gt;0,SUMIFS(OverValue,OverEmp,$C222,OverEarn,I$2,OverDate,"&lt;"&amp;DATE(YEAR($AC222),MONTH($AC222)+1,1),OverEnd,"&gt;="&amp;DATE(YEAR($AC222),MONTH($AC222),1)),IF(MONTH(B222)=Setup!$C$15,SUMIFS(EmpBonus,EmpCode,$C222),0)))</f>
        <v>0</v>
      </c>
      <c r="J222" s="133" cm="1">
        <f t="array" aca="1" ref="J222" ca="1">IF($F222&lt;&gt;"Active",0,IF(COUNTIFS(OverEmp,$C222,OverEarn,J$2,OverDate,"&lt;"&amp;DATE(YEAR($AC222),MONTH($AC222)+1,1),OverEnd,"&gt;="&amp;DATE(YEAR($AC222),MONTH($AC222),1))&gt;0,SUMIFS(OverValue,OverEmp,$C222,OverEarn,J$2,OverDate,"&lt;"&amp;DATE(YEAR($AC222),MONTH($AC222)+1,1),OverEnd,"&gt;="&amp;DATE(YEAR($AC222),MONTH($AC222),1)),0))</f>
        <v>0</v>
      </c>
      <c r="K222" s="133" cm="1">
        <f t="array" aca="1" ref="K222" ca="1">IF($F222&lt;&gt;"Active",0,IF(COUNTIFS(OverEmp,$C222,OverEarn,K$2,OverDate,"&lt;"&amp;DATE(YEAR($AC222),MONTH($AC222)+1,1),OverEnd,"&gt;="&amp;DATE(YEAR($AC222),MONTH($AC222),1))&gt;0,SUMIFS(OverValue,OverEmp,$C222,OverEarn,K$2,OverDate,"&lt;"&amp;DATE(YEAR($AC222),MONTH($AC222)+1,1),OverEnd,"&gt;="&amp;DATE(YEAR($AC222),MONTH($AC222),1)),0))</f>
        <v>0</v>
      </c>
      <c r="L222" s="185">
        <f t="shared" ca="1" si="124"/>
        <v>0</v>
      </c>
      <c r="M222" s="182" cm="1">
        <f t="array" aca="1" ref="M222" ca="1">IF(COUNTIFS(OverEmp,$C222,OverTax,M$5,OverDate,"&lt;"&amp;DATE(YEAR($AC222),MONTH($AC222)+1,1),OverEnd,"&gt;="&amp;DATE(YEAR($AC222),MONTH($AC222),1))&gt;0,SUMIFS(OverValue,OverEmp,$C222,OverTax,M$5,OverDate,"&lt;"&amp;DATE(YEAR($AC222),MONTH($AC222)+1,1),OverEnd,"&gt;="&amp;DATE(YEAR($AC222),MONTH($AC222),1)),(($BA222/12*$AA222)+(BB222*IF(1-$BC222=0,0,BD222/(1-$BC222))))-IF($F222="Terminated",0,SUMIFS(PayTaxDeduct,PayDate,"&lt;"&amp;$AC222,PayEmp,$C222)))</f>
        <v>0</v>
      </c>
      <c r="N222" s="133" cm="1">
        <f t="array" aca="1" ref="N222" ca="1">IF($F222="Terminated",0,IF($AA222=0,0,IF(ISNA(MATCH(N$5,DedListItem,0)),0,IF(COUNTIFS(OverEmp,$C222,OverDeduct,N$5,OverDate,"&lt;"&amp;DATE(YEAR($AC222),MONTH($AC222)+1,1),OverEnd,"&gt;="&amp;DATE(YEAR($AC222),MONTH($AC222),1))&gt;0,SUMIFS(OverValue,OverEmp,$C222,OverDeduct,N$5,OverDate,"&lt;"&amp;DATE(YEAR($AC222),MONTH($AC222)+1,1),OverEnd,"&gt;="&amp;DATE(YEAR($AC222),MONTH($AC222),1)),IF(OR(N$2="Fixed",N$2="Not Used"),(IF(COUNTIFS(EmpNo,$C222,OFFSET(Emp!$R$4,1,MATCH(N$5,DedListItem,0)-1,EmpCount,1),"&lt;&gt;")&gt;0,VLOOKUP($C222,EmpAll,COLUMN(Emp!$R$4)+MATCH(N$5,DedListItem,0)-1,0),OFFSET(Setup!$E$73,MATCH(N$5,DedListItem,0),0,1,1))*$AA222)-SUMIFS(OFFSET(N$6,1,0,PayCount,1),PayDate,"&lt;"&amp;$AC222,PayEmp,$C222),IF(ISNA(MATCH(N$2,EarnListItem,0))=FALSE,IF(OFFSET(Setup!$G$73,MATCH(N$5,DedListItem,0),0,1,1)="Taxable",SUMPRODUCT((PayEmp=$C222)*(PayDate&lt;=$AC222)*(PayEarnCode=N$2)*(PayEarnTax)*(PayEarnValues)),SUMPRODUCT((PayEmp=$C222)*(PayDate&lt;=$AC222)*(PayEarnCode=N$2)*(PayEarnValues)))*IF(COUNTIFS(EmpNo,$C222,OFFSET(Emp!$R$4,1,MATCH(N$5,DedListItem,0)-1,EmpCount,1),"&lt;&gt;")&gt;0,VLOOKUP($C222,EmpAll,COLUMN(Emp!$R$4)+MATCH(N$5,DedListItem,0)-1,0),OFFSET(Setup!$E$73,MATCH(N$5,DedListItem,0),0,1,1)),(MIN(IF(OFFSET(Setup!$G$73,MATCH(N$5,DedListItem,0),0,1,1)="Taxable",SUMPRODUCT((PayEmp=$C222)*(PayDate&lt;=$AC222)*(ISERROR(SEARCH(PayEarnCode,N$4)))*(PayEarnTax)*(PayEarnValues)),SUMPRODUCT((PayEmp=$C222)*(PayDate&lt;=$AC222)*(ISERROR(SEARCH(PayEarnCode,N$4)))*(PayEarnValues))),IF(ISNUMBER(N$3),N$3/12*$AA222,IgnoreMin)))*IF(COUNTIFS(EmpNo,$C222,OFFSET(Emp!$R$4,1,MATCH(N$5,DedListItem,0)-1,EmpCount,1),"&lt;&gt;")&gt;0,VLOOKUP($C222,EmpAll,COLUMN(Emp!$R$4)+MATCH(N$5,DedListItem,0)-1,0),OFFSET(Setup!$E$73,MATCH(N$5,DedListItem,0),0,1,1)))-SUMIFS(OFFSET(N$6,1,0,PayCount,1),PayDate,"&lt;"&amp;$AC222,PayEmp,$C222))))))</f>
        <v>0</v>
      </c>
      <c r="O222" s="133" cm="1">
        <f t="array" aca="1" ref="O222" ca="1">IF($F222="Terminated",0,IF($AA222=0,0,IF(ISNA(MATCH(O$5,DedListItem,0)),0,IF(COUNTIFS(OverEmp,$C222,OverDeduct,O$5,OverDate,"&lt;"&amp;DATE(YEAR($AC222),MONTH($AC222)+1,1),OverEnd,"&gt;="&amp;DATE(YEAR($AC222),MONTH($AC222),1))&gt;0,SUMIFS(OverValue,OverEmp,$C222,OverDeduct,O$5,OverDate,"&lt;"&amp;DATE(YEAR($AC222),MONTH($AC222)+1,1),OverEnd,"&gt;="&amp;DATE(YEAR($AC222),MONTH($AC222),1)),IF(OR(O$2="Fixed",O$2="Not Used"),(IF(COUNTIFS(EmpNo,$C222,OFFSET(Emp!$R$4,1,MATCH(O$5,DedListItem,0)-1,EmpCount,1),"&lt;&gt;")&gt;0,VLOOKUP($C222,EmpAll,COLUMN(Emp!$R$4)+MATCH(O$5,DedListItem,0)-1,0),OFFSET(Setup!$E$73,MATCH(O$5,DedListItem,0),0,1,1))*$AA222)-SUMIFS(OFFSET(O$6,1,0,PayCount,1),PayDate,"&lt;"&amp;$AC222,PayEmp,$C222),IF(ISNA(MATCH(O$2,EarnListItem,0))=FALSE,IF(OFFSET(Setup!$G$73,MATCH(O$5,DedListItem,0),0,1,1)="Taxable",SUMPRODUCT((PayEmp=$C222)*(PayDate&lt;=$AC222)*(PayEarnCode=O$2)*(PayEarnTax)*(PayEarnValues)),SUMPRODUCT((PayEmp=$C222)*(PayDate&lt;=$AC222)*(PayEarnCode=O$2)*(PayEarnValues)))*IF(COUNTIFS(EmpNo,$C222,OFFSET(Emp!$R$4,1,MATCH(O$5,DedListItem,0)-1,EmpCount,1),"&lt;&gt;")&gt;0,VLOOKUP($C222,EmpAll,COLUMN(Emp!$R$4)+MATCH(O$5,DedListItem,0)-1,0),OFFSET(Setup!$E$73,MATCH(O$5,DedListItem,0),0,1,1)),(MIN(IF(OFFSET(Setup!$G$73,MATCH(O$5,DedListItem,0),0,1,1)="Taxable",SUMPRODUCT((PayEmp=$C222)*(PayDate&lt;=$AC222)*(ISERROR(SEARCH(PayEarnCode,O$4)))*(PayEarnTax)*(PayEarnValues)),SUMPRODUCT((PayEmp=$C222)*(PayDate&lt;=$AC222)*(ISERROR(SEARCH(PayEarnCode,O$4)))*(PayEarnValues))),IF(ISNUMBER(O$3),O$3/12*$AA222,IgnoreMin)))*IF(COUNTIFS(EmpNo,$C222,OFFSET(Emp!$R$4,1,MATCH(O$5,DedListItem,0)-1,EmpCount,1),"&lt;&gt;")&gt;0,VLOOKUP($C222,EmpAll,COLUMN(Emp!$R$4)+MATCH(O$5,DedListItem,0)-1,0),OFFSET(Setup!$E$73,MATCH(O$5,DedListItem,0),0,1,1)))-SUMIFS(OFFSET(O$6,1,0,PayCount,1),PayDate,"&lt;"&amp;$AC222,PayEmp,$C222))))))</f>
        <v>0</v>
      </c>
      <c r="P222" s="133" cm="1">
        <f t="array" aca="1" ref="P222" ca="1">IF($F222="Terminated",0,IF($AA222=0,0,IF(ISNA(MATCH(P$5,DedListItem,0)),0,IF(COUNTIFS(OverEmp,$C222,OverDeduct,P$5,OverDate,"&lt;"&amp;DATE(YEAR($AC222),MONTH($AC222)+1,1),OverEnd,"&gt;="&amp;DATE(YEAR($AC222),MONTH($AC222),1))&gt;0,SUMIFS(OverValue,OverEmp,$C222,OverDeduct,P$5,OverDate,"&lt;"&amp;DATE(YEAR($AC222),MONTH($AC222)+1,1),OverEnd,"&gt;="&amp;DATE(YEAR($AC222),MONTH($AC222),1)),IF(OR(P$2="Fixed",P$2="Not Used"),(IF(COUNTIFS(EmpNo,$C222,OFFSET(Emp!$R$4,1,MATCH(P$5,DedListItem,0)-1,EmpCount,1),"&lt;&gt;")&gt;0,VLOOKUP($C222,EmpAll,COLUMN(Emp!$R$4)+MATCH(P$5,DedListItem,0)-1,0),OFFSET(Setup!$E$73,MATCH(P$5,DedListItem,0),0,1,1))*$AA222)-SUMIFS(OFFSET(P$6,1,0,PayCount,1),PayDate,"&lt;"&amp;$AC222,PayEmp,$C222),IF(ISNA(MATCH(P$2,EarnListItem,0))=FALSE,IF(OFFSET(Setup!$G$73,MATCH(P$5,DedListItem,0),0,1,1)="Taxable",SUMPRODUCT((PayEmp=$C222)*(PayDate&lt;=$AC222)*(PayEarnCode=P$2)*(PayEarnTax)*(PayEarnValues)),SUMPRODUCT((PayEmp=$C222)*(PayDate&lt;=$AC222)*(PayEarnCode=P$2)*(PayEarnValues)))*IF(COUNTIFS(EmpNo,$C222,OFFSET(Emp!$R$4,1,MATCH(P$5,DedListItem,0)-1,EmpCount,1),"&lt;&gt;")&gt;0,VLOOKUP($C222,EmpAll,COLUMN(Emp!$R$4)+MATCH(P$5,DedListItem,0)-1,0),OFFSET(Setup!$E$73,MATCH(P$5,DedListItem,0),0,1,1)),(MIN(IF(OFFSET(Setup!$G$73,MATCH(P$5,DedListItem,0),0,1,1)="Taxable",SUMPRODUCT((PayEmp=$C222)*(PayDate&lt;=$AC222)*(ISERROR(SEARCH(PayEarnCode,P$4)))*(PayEarnTax)*(PayEarnValues)),SUMPRODUCT((PayEmp=$C222)*(PayDate&lt;=$AC222)*(ISERROR(SEARCH(PayEarnCode,P$4)))*(PayEarnValues))),IF(ISNUMBER(P$3),P$3/12*$AA222,IgnoreMin)))*IF(COUNTIFS(EmpNo,$C222,OFFSET(Emp!$R$4,1,MATCH(P$5,DedListItem,0)-1,EmpCount,1),"&lt;&gt;")&gt;0,VLOOKUP($C222,EmpAll,COLUMN(Emp!$R$4)+MATCH(P$5,DedListItem,0)-1,0),OFFSET(Setup!$E$73,MATCH(P$5,DedListItem,0),0,1,1)))-SUMIFS(OFFSET(P$6,1,0,PayCount,1),PayDate,"&lt;"&amp;$AC222,PayEmp,$C222))))))</f>
        <v>0</v>
      </c>
      <c r="Q222" s="133" cm="1">
        <f t="array" aca="1" ref="Q222" ca="1">IF($F222="Terminated",0,IF($AA222=0,0,IF(ISNA(MATCH(Q$5,DedListItem,0)),0,IF(COUNTIFS(OverEmp,$C222,OverDeduct,Q$5,OverDate,"&lt;"&amp;DATE(YEAR($AC222),MONTH($AC222)+1,1),OverEnd,"&gt;="&amp;DATE(YEAR($AC222),MONTH($AC222),1))&gt;0,SUMIFS(OverValue,OverEmp,$C222,OverDeduct,Q$5,OverDate,"&lt;"&amp;DATE(YEAR($AC222),MONTH($AC222)+1,1),OverEnd,"&gt;="&amp;DATE(YEAR($AC222),MONTH($AC222),1)),IF(OR(Q$2="Fixed",Q$2="Not Used"),(IF(COUNTIFS(EmpNo,$C222,OFFSET(Emp!$R$4,1,MATCH(Q$5,DedListItem,0)-1,EmpCount,1),"&lt;&gt;")&gt;0,VLOOKUP($C222,EmpAll,COLUMN(Emp!$R$4)+MATCH(Q$5,DedListItem,0)-1,0),OFFSET(Setup!$E$73,MATCH(Q$5,DedListItem,0),0,1,1))*$AA222)-SUMIFS(OFFSET(Q$6,1,0,PayCount,1),PayDate,"&lt;"&amp;$AC222,PayEmp,$C222),IF(ISNA(MATCH(Q$2,EarnListItem,0))=FALSE,IF(OFFSET(Setup!$G$73,MATCH(Q$5,DedListItem,0),0,1,1)="Taxable",SUMPRODUCT((PayEmp=$C222)*(PayDate&lt;=$AC222)*(PayEarnCode=Q$2)*(PayEarnTax)*(PayEarnValues)),SUMPRODUCT((PayEmp=$C222)*(PayDate&lt;=$AC222)*(PayEarnCode=Q$2)*(PayEarnValues)))*IF(COUNTIFS(EmpNo,$C222,OFFSET(Emp!$R$4,1,MATCH(Q$5,DedListItem,0)-1,EmpCount,1),"&lt;&gt;")&gt;0,VLOOKUP($C222,EmpAll,COLUMN(Emp!$R$4)+MATCH(Q$5,DedListItem,0)-1,0),OFFSET(Setup!$E$73,MATCH(Q$5,DedListItem,0),0,1,1)),(MIN(IF(OFFSET(Setup!$G$73,MATCH(Q$5,DedListItem,0),0,1,1)="Taxable",SUMPRODUCT((PayEmp=$C222)*(PayDate&lt;=$AC222)*(ISERROR(SEARCH(PayEarnCode,Q$4)))*(PayEarnTax)*(PayEarnValues)),SUMPRODUCT((PayEmp=$C222)*(PayDate&lt;=$AC222)*(ISERROR(SEARCH(PayEarnCode,Q$4)))*(PayEarnValues))),IF(ISNUMBER(Q$3),Q$3/12*$AA222,IgnoreMin)))*IF(COUNTIFS(EmpNo,$C222,OFFSET(Emp!$R$4,1,MATCH(Q$5,DedListItem,0)-1,EmpCount,1),"&lt;&gt;")&gt;0,VLOOKUP($C222,EmpAll,COLUMN(Emp!$R$4)+MATCH(Q$5,DedListItem,0)-1,0),OFFSET(Setup!$E$73,MATCH(Q$5,DedListItem,0),0,1,1)))-SUMIFS(OFFSET(Q$6,1,0,PayCount,1),PayDate,"&lt;"&amp;$AC222,PayEmp,$C222))))))</f>
        <v>0</v>
      </c>
      <c r="R222" s="185">
        <f t="shared" ca="1" si="125"/>
        <v>0</v>
      </c>
      <c r="S222" s="139">
        <f t="shared" ca="1" si="126"/>
        <v>0</v>
      </c>
      <c r="T222" s="133" cm="1">
        <f t="array" aca="1" ref="T222" ca="1">IF($F222="Terminated",0,IF($AA222=0,0,IF(ISNA(MATCH(T$5,CompListItem,0)),0,IF(COUNTIFS(OverEmp,$C222,OverComp,T$5,OverDate,"&lt;"&amp;DATE(YEAR($AC222),MONTH($AC222)+1,1),OverEnd,"&gt;="&amp;DATE(YEAR($AC222),MONTH($AC222),1))&gt;0,SUMIFS(OverValue,OverEmp,$C222,OverComp,T$5,OverDate,"&lt;"&amp;DATE(YEAR($AC222),MONTH($AC222)+1,1),OverEnd,"&gt;="&amp;DATE(YEAR($AC222),MONTH($AC222),1)),IF(OR(T$2="Fixed",T$2="Not Used"),(OFFSET(Setup!$E$81,MATCH(T$5,CompListItem,0),0,1,1)*$AA222)-SUMIFS(OFFSET(T$6,1,0,PayCount,1),PayDate,"&lt;"&amp;$AC222,PayEmp,$C222),IF(ISNA(MATCH(T$2,DedListItem,0))=FALSE,(SUMPRODUCT((PayEmp=$C222)*(PayDate&lt;=$AC222)*(PayDedList=T$2)*(PayDedValues))*OFFSET(Setup!$E$81,MATCH(T$5,CompListItem,0),0,1,1))-SUMIFS(OFFSET(T$6,1,0,PayCount,1),PayDate,"&lt;"&amp;$AC222,PayEmp,$C222),(MIN(IF(OFFSET(Setup!$G$81,MATCH(T$5,CompListItem,0),0,1,1)="Taxable",SUMPRODUCT((PayEmp=$C222)*(PayDate&lt;=$AC222)*(ISERROR(SEARCH(PayEarnCode,T$4)))*(PayEarnTax)*(PayEarnValues)),SUMPRODUCT((PayEmp=$C222)*(PayDate&lt;=$AC222)*(ISERROR(SEARCH(PayEarnCode,T$4)))*(PayEarnValues))),IF(ISNUMBER(T$3),T$3/12*$AA222,IgnoreMin)))*OFFSET(Setup!$E$81,MATCH(T$5,CompListItem,0),0,1,1)-SUMIFS(OFFSET(T$6,1,0,PayCount,1),PayDate,"&lt;"&amp;$AC222,PayEmp,$C222)))))))</f>
        <v>0</v>
      </c>
      <c r="U222" s="133" cm="1">
        <f t="array" aca="1" ref="U222" ca="1">IF($F222="Terminated",0,IF($AA222=0,0,IF(ISNA(MATCH(U$5,CompListItem,0)),0,IF(COUNTIFS(OverEmp,$C222,OverComp,U$5,OverDate,"&lt;"&amp;DATE(YEAR($AC222),MONTH($AC222)+1,1),OverEnd,"&gt;="&amp;DATE(YEAR($AC222),MONTH($AC222),1))&gt;0,SUMIFS(OverValue,OverEmp,$C222,OverComp,U$5,OverDate,"&lt;"&amp;DATE(YEAR($AC222),MONTH($AC222)+1,1),OverEnd,"&gt;="&amp;DATE(YEAR($AC222),MONTH($AC222),1)),IF(OR(U$2="Fixed",U$2="Not Used"),(OFFSET(Setup!$E$81,MATCH(U$5,CompListItem,0),0,1,1)*$AA222)-SUMIFS(OFFSET(U$6,1,0,PayCount,1),PayDate,"&lt;"&amp;$AC222,PayEmp,$C222),IF(ISNA(MATCH(U$2,DedListItem,0))=FALSE,(SUMPRODUCT((PayEmp=$C222)*(PayDate&lt;=$AC222)*(PayDedList=U$2)*(PayDedValues))*OFFSET(Setup!$E$81,MATCH(U$5,CompListItem,0),0,1,1))-SUMIFS(OFFSET(U$6,1,0,PayCount,1),PayDate,"&lt;"&amp;$AC222,PayEmp,$C222),(MIN(IF(OFFSET(Setup!$G$81,MATCH(U$5,CompListItem,0),0,1,1)="Taxable",SUMPRODUCT((PayEmp=$C222)*(PayDate&lt;=$AC222)*(ISERROR(SEARCH(PayEarnCode,U$4)))*(PayEarnTax)*(PayEarnValues)),SUMPRODUCT((PayEmp=$C222)*(PayDate&lt;=$AC222)*(ISERROR(SEARCH(PayEarnCode,U$4)))*(PayEarnValues))),IF(ISNUMBER(U$3),U$3/12*$AA222,IgnoreMin)))*OFFSET(Setup!$E$81,MATCH(U$5,CompListItem,0),0,1,1)-SUMIFS(OFFSET(U$6,1,0,PayCount,1),PayDate,"&lt;"&amp;$AC222,PayEmp,$C222)))))))</f>
        <v>0</v>
      </c>
      <c r="V222" s="133" cm="1">
        <f t="array" aca="1" ref="V222" ca="1">IF($F222="Terminated",0,IF($AA222=0,0,IF(ISNA(MATCH(V$5,CompListItem,0)),0,IF(COUNTIFS(OverEmp,$C222,OverComp,V$5,OverDate,"&lt;"&amp;DATE(YEAR($AC222),MONTH($AC222)+1,1),OverEnd,"&gt;="&amp;DATE(YEAR($AC222),MONTH($AC222),1))&gt;0,SUMIFS(OverValue,OverEmp,$C222,OverComp,V$5,OverDate,"&lt;"&amp;DATE(YEAR($AC222),MONTH($AC222)+1,1),OverEnd,"&gt;="&amp;DATE(YEAR($AC222),MONTH($AC222),1)),IF(OR(V$2="Fixed",V$2="Not Used"),(OFFSET(Setup!$E$81,MATCH(V$5,CompListItem,0),0,1,1)*$AA222)-SUMIFS(OFFSET(V$6,1,0,PayCount,1),PayDate,"&lt;"&amp;$AC222,PayEmp,$C222),IF(ISNA(MATCH(V$2,DedListItem,0))=FALSE,(SUMPRODUCT((PayEmp=$C222)*(PayDate&lt;=$AC222)*(PayDedList=V$2)*(PayDedValues))*OFFSET(Setup!$E$81,MATCH(V$5,CompListItem,0),0,1,1))-SUMIFS(OFFSET(V$6,1,0,PayCount,1),PayDate,"&lt;"&amp;$AC222,PayEmp,$C222),(MIN(IF(OFFSET(Setup!$G$81,MATCH(V$5,CompListItem,0),0,1,1)="Taxable",SUMPRODUCT((PayEmp=$C222)*(PayDate&lt;=$AC222)*(ISERROR(SEARCH(PayEarnCode,V$4)))*(PayEarnTax)*(PayEarnValues)),SUMPRODUCT((PayEmp=$C222)*(PayDate&lt;=$AC222)*(ISERROR(SEARCH(PayEarnCode,V$4)))*(PayEarnValues))),IF(ISNUMBER(V$3),V$3/12*$AA222,IgnoreMin)))*OFFSET(Setup!$E$81,MATCH(V$5,CompListItem,0),0,1,1)-SUMIFS(OFFSET(V$6,1,0,PayCount,1),PayDate,"&lt;"&amp;$AC222,PayEmp,$C222)))))))</f>
        <v>0</v>
      </c>
      <c r="W222" s="133" cm="1">
        <f t="array" aca="1" ref="W222" ca="1">IF($F222="Terminated",0,IF($AA222=0,0,IF(ISNA(MATCH(W$5,CompListItem,0)),0,IF(COUNTIFS(OverEmp,$C222,OverComp,W$5,OverDate,"&lt;"&amp;DATE(YEAR($AC222),MONTH($AC222)+1,1),OverEnd,"&gt;="&amp;DATE(YEAR($AC222),MONTH($AC222),1))&gt;0,SUMIFS(OverValue,OverEmp,$C222,OverComp,W$5,OverDate,"&lt;"&amp;DATE(YEAR($AC222),MONTH($AC222)+1,1),OverEnd,"&gt;="&amp;DATE(YEAR($AC222),MONTH($AC222),1)),IF(OR(W$2="Fixed",W$2="Not Used"),(OFFSET(Setup!$E$81,MATCH(W$5,CompListItem,0),0,1,1)*$AA222)-SUMIFS(OFFSET(W$6,1,0,PayCount,1),PayDate,"&lt;"&amp;$AC222,PayEmp,$C222),IF(ISNA(MATCH(W$2,DedListItem,0))=FALSE,(SUMPRODUCT((PayEmp=$C222)*(PayDate&lt;=$AC222)*(PayDedList=W$2)*(PayDedValues))*OFFSET(Setup!$E$81,MATCH(W$5,CompListItem,0),0,1,1))-SUMIFS(OFFSET(W$6,1,0,PayCount,1),PayDate,"&lt;"&amp;$AC222,PayEmp,$C222),(MIN(IF(OFFSET(Setup!$G$81,MATCH(W$5,CompListItem,0),0,1,1)="Taxable",SUMPRODUCT((PayEmp=$C222)*(PayDate&lt;=$AC222)*(ISERROR(SEARCH(PayEarnCode,W$4)))*(PayEarnTax)*(PayEarnValues)),SUMPRODUCT((PayEmp=$C222)*(PayDate&lt;=$AC222)*(ISERROR(SEARCH(PayEarnCode,W$4)))*(PayEarnValues))),IF(ISNUMBER(W$3),W$3/12*$AA222,IgnoreMin)))*OFFSET(Setup!$E$81,MATCH(W$5,CompListItem,0),0,1,1)-SUMIFS(OFFSET(W$6,1,0,PayCount,1),PayDate,"&lt;"&amp;$AC222,PayEmp,$C222)))))))</f>
        <v>0</v>
      </c>
      <c r="X222" s="185">
        <f t="shared" ca="1" si="127"/>
        <v>0</v>
      </c>
      <c r="Y222" s="139">
        <f t="shared" ca="1" si="128"/>
        <v>0</v>
      </c>
      <c r="Z222" s="139">
        <f t="shared" ca="1" si="129"/>
        <v>0</v>
      </c>
      <c r="AA222" s="146">
        <f ca="1">IF(OR($B222&lt;=Setup!$E$12,$B222&gt;=Setup!$D$12+1),0,IF($F222&lt;&gt;"Active",0,IF($AE222="Yes",$AB222,((YEAR($AC222)*12)+MONTH($AC222))-((YEAR($AD222)*12)+MONTH($AD222)-1))))</f>
        <v>0</v>
      </c>
      <c r="AB222" s="146">
        <f ca="1">IF(OR($B222&lt;=Setup!$E$12,$B222&gt;=Setup!$D$12+1),0,((YEAR($AC222)*12)+MONTH($AC222))-((YEAR(Setup!$E$12)*12)+MONTH(Setup!$E$12)))</f>
        <v>12</v>
      </c>
      <c r="AC222" s="186">
        <f t="shared" ca="1" si="130"/>
        <v>45351</v>
      </c>
      <c r="AD222" s="144">
        <f ca="1">IF(ISNA(VLOOKUP($C222,EmpAll,COLUMN(Emp!$E$4),0)),$AC222,IF(VLOOKUP($C222,EmpAll,COLUMN(Emp!$E$4),0)&lt;=Setup!$E$12,DATE(YEAR(Setup!$E$12),MONTH(Setup!$E$12)+1,1),VLOOKUP($C222,EmpAll,COLUMN(Emp!$E$4),0)))</f>
        <v>45351</v>
      </c>
      <c r="AE222" s="144" t="str">
        <f ca="1">IF(ISNA(VLOOKUP($C222,EmpAll,COLUMN(Emp!$G$1),0)),"-",IF(VLOOKUP($C222,EmpAll,COLUMN(Emp!$G$1),0)=0,"-",VLOOKUP($C222,EmpAll,COLUMN(Emp!$G$1),0)))</f>
        <v>-</v>
      </c>
      <c r="AF222" s="145">
        <f>IF(A222=PaySlip!$G$3,1,0)</f>
        <v>0</v>
      </c>
      <c r="AG222" s="130" cm="1">
        <f t="array" aca="1" ref="AG222" ca="1">IF(COUNTIFS(OverEmp,$C222,OverMed,"MED",OverDate,"&lt;"&amp;DATE(YEAR($AC222),MONTH($AC222)+1,1),OverEnd,"&gt;="&amp;DATE(YEAR($AC222),MONTH($AC222),1))&gt;0,SUMIFS(OverValue,OverEmp,$C222,OverMed,"MED",OverDate,"&lt;"&amp;DATE(YEAR($AC222),MONTH($AC222)+1,1),OverEnd,"&gt;="&amp;DATE(YEAR($AC222),MONTH($AC222),1)),IF(ISNA(VLOOKUP($C222,EmpAll,COLUMN(Emp!$N$4),0)),0,VLOOKUP($C222,EmpAll,COLUMN(Emp!$N$4),0)))</f>
        <v>0</v>
      </c>
      <c r="AH222" s="146">
        <f ca="1">VLOOKUP($AG222,MedList,COLUMN(Setup!$C$49),1)</f>
        <v>0</v>
      </c>
      <c r="AI222" s="146">
        <f t="shared" ca="1" si="107"/>
        <v>0</v>
      </c>
      <c r="AJ222" s="101" t="str">
        <f ca="1">IF(ISNA(VLOOKUP($C222,EmpAll,COLUMN(Emp!$L$4),0)),"None!",VLOOKUP($C222,EmpAll,COLUMN(Emp!$L$4),0))</f>
        <v>None!</v>
      </c>
      <c r="AK222" s="147">
        <f t="shared" ca="1" si="102"/>
        <v>17235</v>
      </c>
      <c r="AL222" s="101" t="str">
        <f ca="1">IF(ISNA(VLOOKUP($C222,Employees[],COLUMN(Emp!$M$4),0))=TRUE,"Error!",IF(VLOOKUP($C222,Employees[],COLUMN(Emp!$M$4),0)=0,"Yes",VLOOKUP($C222,Employees[],COLUMN(Emp!$M$4),0)))</f>
        <v>Error!</v>
      </c>
      <c r="AM222" s="148">
        <f t="shared" ca="1" si="108"/>
        <v>0</v>
      </c>
      <c r="AN222" s="148" cm="1">
        <f t="array" aca="1" ref="AN222" ca="1">-IF($F222="Terminated",0,IF($AA222=0,0,IF(ISNA(MATCH(AN$5,PayDedList,0)),0,MIN(IF(COUNTIFS(OverEmp,$C222,OverDeduct,AN$5,OverDate,"&lt;"&amp;DATE(YEAR($AC222),MONTH($AC222)+1,1),OverEnd,"&gt;="&amp;DATE(YEAR($AC222),MONTH($AC222),1))&gt;0,SUMPRODUCT((PayEmp=$C222)*(PayDate&lt;=$AC222)*(OFFSET($N$6,1,MATCH(AN$5,PayDedList,0)-1,PayCount,1)))/$AA222*12*AN$3,IF(OR(AN$1="Fixed",AN$1="Not Used"),SUMPRODUCT((PayEmp=$C222)*(PayDate&lt;=$AC222)*(OFFSET($N$6,1,MATCH(AN$5,PayDedList,0)-1,PayCount,1)))/$AA222*12*AN$3,IF(ISNA(MATCH(AN$1,EarnListItem,0))=FALSE,SUMPRODUCT((PayEmp=$C222)*(PayDate&lt;=$AC222)*(OFFSET($N$6,1,MATCH(AN$5,PayDedList,0)-1,PayCount,1)))/$AA222*12*AN$3,(MIN(((SUMPRODUCT((PayEmp=$C222)*(PayDate&lt;=$AC222)*(ISERROR(SEARCH(PayEarnCode,AN$2)))*(PayEarnType="Monthly")*(PayEarnValues))/$AA222*12)+(SUMPRODUCT((PayEmp=$C222)*(PayDate&lt;=$AC222)*(ISERROR(SEARCH(PayEarnCode,AN$2)))*(PayEarnType="Quarterly")*(PayEarnValues))/MAX(1,ROUNDDOWN($AB222/3,0))*4)+(SUMPRODUCT((PayEmp=$C222)*(PayDate&lt;=$AC222)*(ISERROR(SEARCH(PayEarnCode,AN$2)))*(PayEarnType="Bi-Annual")*(PayEarnValues))/MAX(1,ROUNDDOWN($AB222/6,0))*2)+(SUMPRODUCT((PayEmp=$C222)*(PayDate&lt;=$AC222)*(ISERROR(SEARCH(PayEarnCode,AN$2)))*(PayEarnType="Annual")*(PayEarnValues)))),IF(ISNUMBER(OFFSET($N$3,0,MATCH(AN$5,PayDedList,0)-1,1,1)),OFFSET($N$3,0,MATCH(AN$5,PayDedList,0)-1,1,1),IgnoreMin)))*IF(COUNTIFS(EmpNo,$C222,OFFSET(Emp!$R$4,1,MATCH(AN$5,DedListItem,0)-1,EmpCount,1),"&lt;&gt;")&gt;0,VLOOKUP($C222,EmpAll,COLUMN(Emp!$R$4)+MATCH(AN$5,DedListItem,0)-1,0),OFFSET(Setup!$E$73,MATCH(AN$5,DedListItem,0),0,1,1))*AN$3))),IF(ISNUMBER(AN$4),AN$4,IgnoreMin)))))</f>
        <v>0</v>
      </c>
      <c r="AO222" s="148" cm="1">
        <f t="array" aca="1" ref="AO222" ca="1">-IF($F222="Terminated",0,IF($AA222=0,0,IF(ISNA(MATCH(AO$5,PayDedList,0)),0,MIN(IF(COUNTIFS(OverEmp,$C222,OverDeduct,AO$5,OverDate,"&lt;"&amp;DATE(YEAR($AC222),MONTH($AC222)+1,1),OverEnd,"&gt;="&amp;DATE(YEAR($AC222),MONTH($AC222),1))&gt;0,SUMPRODUCT((PayEmp=$C222)*(PayDate&lt;=$AC222)*(OFFSET($N$6,1,MATCH(AO$5,PayDedList,0)-1,PayCount,1)))/$AA222*12*AO$3,IF(OR(AO$1="Fixed",AO$1="Not Used"),SUMPRODUCT((PayEmp=$C222)*(PayDate&lt;=$AC222)*(OFFSET($N$6,1,MATCH(AO$5,PayDedList,0)-1,PayCount,1)))/$AA222*12*AO$3,IF(ISNA(MATCH(AO$1,EarnListItem,0))=FALSE,SUMPRODUCT((PayEmp=$C222)*(PayDate&lt;=$AC222)*(OFFSET($N$6,1,MATCH(AO$5,PayDedList,0)-1,PayCount,1)))/$AA222*12*AO$3,(MIN(((SUMPRODUCT((PayEmp=$C222)*(PayDate&lt;=$AC222)*(ISERROR(SEARCH(PayEarnCode,AO$2)))*(PayEarnType="Monthly")*(PayEarnValues))/$AA222*12)+(SUMPRODUCT((PayEmp=$C222)*(PayDate&lt;=$AC222)*(ISERROR(SEARCH(PayEarnCode,AO$2)))*(PayEarnType="Quarterly")*(PayEarnValues))/MAX(1,ROUNDDOWN($AB222/3,0))*4)+(SUMPRODUCT((PayEmp=$C222)*(PayDate&lt;=$AC222)*(ISERROR(SEARCH(PayEarnCode,AO$2)))*(PayEarnType="Bi-Annual")*(PayEarnValues))/MAX(1,ROUNDDOWN($AB222/6,0))*2)+(SUMPRODUCT((PayEmp=$C222)*(PayDate&lt;=$AC222)*(ISERROR(SEARCH(PayEarnCode,AO$2)))*(PayEarnType="Annual")*(PayEarnValues)))),IF(ISNUMBER(OFFSET($N$3,0,MATCH(AO$5,PayDedList,0)-1,1,1)),OFFSET($N$3,0,MATCH(AO$5,PayDedList,0)-1,1,1),IgnoreMin)))*IF(COUNTIFS(EmpNo,$C222,OFFSET(Emp!$R$4,1,MATCH(AO$5,DedListItem,0)-1,EmpCount,1),"&lt;&gt;")&gt;0,VLOOKUP($C222,EmpAll,COLUMN(Emp!$R$4)+MATCH(AO$5,DedListItem,0)-1,0),OFFSET(Setup!$E$73,MATCH(AO$5,DedListItem,0),0,1,1))*AO$3))),IF(ISNUMBER(AO$4),AO$4,IgnoreMin)))))</f>
        <v>0</v>
      </c>
      <c r="AP222" s="148" cm="1">
        <f t="array" aca="1" ref="AP222" ca="1">-IF($F222="Terminated",0,IF($AA222=0,0,IF(ISNA(MATCH(AP$5,PayDedList,0)),0,MIN(IF(COUNTIFS(OverEmp,$C222,OverDeduct,AP$5,OverDate,"&lt;"&amp;DATE(YEAR($AC222),MONTH($AC222)+1,1),OverEnd,"&gt;="&amp;DATE(YEAR($AC222),MONTH($AC222),1))&gt;0,SUMPRODUCT((PayEmp=$C222)*(PayDate&lt;=$AC222)*(OFFSET($N$6,1,MATCH(AP$5,PayDedList,0)-1,PayCount,1)))/$AA222*12*AP$3,IF(OR(AP$1="Fixed",AP$1="Not Used"),SUMPRODUCT((PayEmp=$C222)*(PayDate&lt;=$AC222)*(OFFSET($N$6,1,MATCH(AP$5,PayDedList,0)-1,PayCount,1)))/$AA222*12*AP$3,IF(ISNA(MATCH(AP$1,EarnListItem,0))=FALSE,SUMPRODUCT((PayEmp=$C222)*(PayDate&lt;=$AC222)*(OFFSET($N$6,1,MATCH(AP$5,PayDedList,0)-1,PayCount,1)))/$AA222*12*AP$3,(MIN(((SUMPRODUCT((PayEmp=$C222)*(PayDate&lt;=$AC222)*(ISERROR(SEARCH(PayEarnCode,AP$2)))*(PayEarnType="Monthly")*(PayEarnValues))/$AA222*12)+(SUMPRODUCT((PayEmp=$C222)*(PayDate&lt;=$AC222)*(ISERROR(SEARCH(PayEarnCode,AP$2)))*(PayEarnType="Quarterly")*(PayEarnValues))/MAX(1,ROUNDDOWN($AB222/3,0))*4)+(SUMPRODUCT((PayEmp=$C222)*(PayDate&lt;=$AC222)*(ISERROR(SEARCH(PayEarnCode,AP$2)))*(PayEarnType="Bi-Annual")*(PayEarnValues))/MAX(1,ROUNDDOWN($AB222/6,0))*2)+(SUMPRODUCT((PayEmp=$C222)*(PayDate&lt;=$AC222)*(ISERROR(SEARCH(PayEarnCode,AP$2)))*(PayEarnType="Annual")*(PayEarnValues)))),IF(ISNUMBER(OFFSET($N$3,0,MATCH(AP$5,PayDedList,0)-1,1,1)),OFFSET($N$3,0,MATCH(AP$5,PayDedList,0)-1,1,1),IgnoreMin)))*IF(COUNTIFS(EmpNo,$C222,OFFSET(Emp!$R$4,1,MATCH(AP$5,DedListItem,0)-1,EmpCount,1),"&lt;&gt;")&gt;0,VLOOKUP($C222,EmpAll,COLUMN(Emp!$R$4)+MATCH(AP$5,DedListItem,0)-1,0),OFFSET(Setup!$E$73,MATCH(AP$5,DedListItem,0),0,1,1))*AP$3))),IF(ISNUMBER(AP$4),AP$4,IgnoreMin)))))</f>
        <v>0</v>
      </c>
      <c r="AQ222" s="148" cm="1">
        <f t="array" aca="1" ref="AQ222" ca="1">-IF($F222="Terminated",0,IF($AA222=0,0,IF(ISNA(MATCH(AQ$5,PayDedList,0)),0,MIN(IF(COUNTIFS(OverEmp,$C222,OverDeduct,AQ$5,OverDate,"&lt;"&amp;DATE(YEAR($AC222),MONTH($AC222)+1,1),OverEnd,"&gt;="&amp;DATE(YEAR($AC222),MONTH($AC222),1))&gt;0,SUMPRODUCT((PayEmp=$C222)*(PayDate&lt;=$AC222)*(OFFSET($N$6,1,MATCH(AQ$5,PayDedList,0)-1,PayCount,1)))/$AA222*12*AQ$3,IF(OR(AQ$1="Fixed",AQ$1="Not Used"),SUMPRODUCT((PayEmp=$C222)*(PayDate&lt;=$AC222)*(OFFSET($N$6,1,MATCH(AQ$5,PayDedList,0)-1,PayCount,1)))/$AA222*12*AQ$3,IF(ISNA(MATCH(AQ$1,EarnListItem,0))=FALSE,SUMPRODUCT((PayEmp=$C222)*(PayDate&lt;=$AC222)*(OFFSET($N$6,1,MATCH(AQ$5,PayDedList,0)-1,PayCount,1)))/$AA222*12*AQ$3,(MIN(((SUMPRODUCT((PayEmp=$C222)*(PayDate&lt;=$AC222)*(ISERROR(SEARCH(PayEarnCode,AQ$2)))*(PayEarnType="Monthly")*(PayEarnValues))/$AA222*12)+(SUMPRODUCT((PayEmp=$C222)*(PayDate&lt;=$AC222)*(ISERROR(SEARCH(PayEarnCode,AQ$2)))*(PayEarnType="Quarterly")*(PayEarnValues))/MAX(1,ROUNDDOWN($AB222/3,0))*4)+(SUMPRODUCT((PayEmp=$C222)*(PayDate&lt;=$AC222)*(ISERROR(SEARCH(PayEarnCode,AQ$2)))*(PayEarnType="Bi-Annual")*(PayEarnValues))/MAX(1,ROUNDDOWN($AB222/6,0))*2)+(SUMPRODUCT((PayEmp=$C222)*(PayDate&lt;=$AC222)*(ISERROR(SEARCH(PayEarnCode,AQ$2)))*(PayEarnType="Annual")*(PayEarnValues)))),IF(ISNUMBER(OFFSET($N$3,0,MATCH(AQ$5,PayDedList,0)-1,1,1)),OFFSET($N$3,0,MATCH(AQ$5,PayDedList,0)-1,1,1),IgnoreMin)))*IF(COUNTIFS(EmpNo,$C222,OFFSET(Emp!$R$4,1,MATCH(AQ$5,DedListItem,0)-1,EmpCount,1),"&lt;&gt;")&gt;0,VLOOKUP($C222,EmpAll,COLUMN(Emp!$R$4)+MATCH(AQ$5,DedListItem,0)-1,0),OFFSET(Setup!$E$73,MATCH(AQ$5,DedListItem,0),0,1,1))*AQ$3))),IF(ISNUMBER(AQ$4),AQ$4,IgnoreMin)))))</f>
        <v>0</v>
      </c>
      <c r="AR222" s="148">
        <f t="shared" ca="1" si="131"/>
        <v>0</v>
      </c>
      <c r="AS222" s="148">
        <f t="shared" ca="1" si="109"/>
        <v>0</v>
      </c>
      <c r="AT222" s="148" cm="1">
        <f t="array" aca="1" ref="AT222" ca="1">-IF($F222="Terminated",0,IF($AA222=0,0,IF(ISNA(MATCH(AT$5,PayDedList,0)),0,MIN(IF(COUNTIFS(OverEmp,$C222,OverDeduct,AT$5,OverDate,"&lt;"&amp;DATE(YEAR($AC222),MONTH($AC222)+1,1),OverEnd,"&gt;="&amp;DATE(YEAR($AC222),MONTH($AC222),1))&gt;0,SUMPRODUCT((PayEmp=$C222)*(PayDate&lt;=$AC222)*(OFFSET($N$6,1,MATCH(AT$5,PayDedList,0)-1,PayCount,1)))/$AA222*12*AT$3,IF(OR(AT$1="Fixed",AT$1="Not Used"),SUMPRODUCT((PayEmp=$C222)*(PayDate&lt;=$AC222)*(OFFSET($N$6,1,MATCH(AT$5,PayDedList,0)-1,PayCount,1)))/$AA222*12*AT$3,IF(ISNA(MATCH(OFFSET($N$2,0,MATCH(AT$5,PayDedList,0)-1,1,1),EarnListItem,0))=FALSE,SUMPRODUCT((PayEmp=$C222)*(PayDate&lt;=$AC222)*(OFFSET($N$6,1,MATCH(AT$5,PayDedList,0)-1,PayCount,1)))/$AA222*12*AT$3,(MIN(SUMPRODUCT((PayEmp=$C222)*(PayDate&lt;=$AC222)*(ISERROR(SEARCH(PayEarnCode,AT$2)))*(PayEarnType="Monthly")*(PayEarnValues))/$AA222*12,IF(ISNUMBER(OFFSET($N$3,0,MATCH(AT$5,PayDedList,0)-1,1,1)),OFFSET($N$3,0,MATCH(AT$5,PayDedList,0)-1,1,1),IgnoreMin)))*IF(COUNTIFS(EmpNo,$C222,OFFSET(Emp!$R$4,1,MATCH(AT$5,DedListItem,0)-1,EmpCount,1),"&lt;&gt;")&gt;0,VLOOKUP($C222,EmpAll,COLUMN(Emp!$R$4)+MATCH(AT$5,DedListItem,0)-1,0),OFFSET(Setup!$E$73,MATCH(AT$5,DedListItem,0),0,1,1))*AT$3))),IF(ISNUMBER(AT$4),AT$4,IgnoreMin)))))</f>
        <v>0</v>
      </c>
      <c r="AU222" s="148" cm="1">
        <f t="array" aca="1" ref="AU222" ca="1">-IF($F222="Terminated",0,IF($AA222=0,0,IF(ISNA(MATCH(AU$5,PayDedList,0)),0,MIN(IF(COUNTIFS(OverEmp,$C222,OverDeduct,AU$5,OverDate,"&lt;"&amp;DATE(YEAR($AC222),MONTH($AC222)+1,1),OverEnd,"&gt;="&amp;DATE(YEAR($AC222),MONTH($AC222),1))&gt;0,SUMPRODUCT((PayEmp=$C222)*(PayDate&lt;=$AC222)*(OFFSET($N$6,1,MATCH(AU$5,PayDedList,0)-1,PayCount,1)))/$AA222*12*AU$3,IF(OR(AU$1="Fixed",AU$1="Not Used"),SUMPRODUCT((PayEmp=$C222)*(PayDate&lt;=$AC222)*(OFFSET($N$6,1,MATCH(AU$5,PayDedList,0)-1,PayCount,1)))/$AA222*12*AU$3,IF(ISNA(MATCH(OFFSET($N$2,0,MATCH(AU$5,PayDedList,0)-1,1,1),EarnListItem,0))=FALSE,SUMPRODUCT((PayEmp=$C222)*(PayDate&lt;=$AC222)*(OFFSET($N$6,1,MATCH(AU$5,PayDedList,0)-1,PayCount,1)))/$AA222*12*AU$3,(MIN(SUMPRODUCT((PayEmp=$C222)*(PayDate&lt;=$AC222)*(ISERROR(SEARCH(PayEarnCode,AU$2)))*(PayEarnType="Monthly")*(PayEarnValues))/$AA222*12,IF(ISNUMBER(OFFSET($N$3,0,MATCH(AU$5,PayDedList,0)-1,1,1)),OFFSET($N$3,0,MATCH(AU$5,PayDedList,0)-1,1,1),IgnoreMin)))*IF(COUNTIFS(EmpNo,$C222,OFFSET(Emp!$R$4,1,MATCH(AU$5,DedListItem,0)-1,EmpCount,1),"&lt;&gt;")&gt;0,VLOOKUP($C222,EmpAll,COLUMN(Emp!$R$4)+MATCH(AU$5,DedListItem,0)-1,0),OFFSET(Setup!$E$73,MATCH(AU$5,DedListItem,0),0,1,1))*AU$3))),IF(ISNUMBER(AU$4),AU$4,IgnoreMin)))))</f>
        <v>0</v>
      </c>
      <c r="AV222" s="148" cm="1">
        <f t="array" aca="1" ref="AV222" ca="1">-IF($F222="Terminated",0,IF($AA222=0,0,IF(ISNA(MATCH(AV$5,PayDedList,0)),0,MIN(IF(COUNTIFS(OverEmp,$C222,OverDeduct,AV$5,OverDate,"&lt;"&amp;DATE(YEAR($AC222),MONTH($AC222)+1,1),OverEnd,"&gt;="&amp;DATE(YEAR($AC222),MONTH($AC222),1))&gt;0,SUMPRODUCT((PayEmp=$C222)*(PayDate&lt;=$AC222)*(OFFSET($N$6,1,MATCH(AV$5,PayDedList,0)-1,PayCount,1)))/$AA222*12*AV$3,IF(OR(AV$1="Fixed",AV$1="Not Used"),SUMPRODUCT((PayEmp=$C222)*(PayDate&lt;=$AC222)*(OFFSET($N$6,1,MATCH(AV$5,PayDedList,0)-1,PayCount,1)))/$AA222*12*AV$3,IF(ISNA(MATCH(OFFSET($N$2,0,MATCH(AV$5,PayDedList,0)-1,1,1),EarnListItem,0))=FALSE,SUMPRODUCT((PayEmp=$C222)*(PayDate&lt;=$AC222)*(OFFSET($N$6,1,MATCH(AV$5,PayDedList,0)-1,PayCount,1)))/$AA222*12*AV$3,(MIN(SUMPRODUCT((PayEmp=$C222)*(PayDate&lt;=$AC222)*(ISERROR(SEARCH(PayEarnCode,AV$2)))*(PayEarnType="Monthly")*(PayEarnValues))/$AA222*12,IF(ISNUMBER(OFFSET($N$3,0,MATCH(AV$5,PayDedList,0)-1,1,1)),OFFSET($N$3,0,MATCH(AV$5,PayDedList,0)-1,1,1),IgnoreMin)))*IF(COUNTIFS(EmpNo,$C222,OFFSET(Emp!$R$4,1,MATCH(AV$5,DedListItem,0)-1,EmpCount,1),"&lt;&gt;")&gt;0,VLOOKUP($C222,EmpAll,COLUMN(Emp!$R$4)+MATCH(AV$5,DedListItem,0)-1,0),OFFSET(Setup!$E$73,MATCH(AV$5,DedListItem,0),0,1,1))*AV$3))),IF(ISNUMBER(AV$4),AV$4,IgnoreMin)))))</f>
        <v>0</v>
      </c>
      <c r="AW222" s="148" cm="1">
        <f t="array" aca="1" ref="AW222" ca="1">-IF($F222="Terminated",0,IF($AA222=0,0,IF(ISNA(MATCH(AW$5,PayDedList,0)),0,MIN(IF(COUNTIFS(OverEmp,$C222,OverDeduct,AW$5,OverDate,"&lt;"&amp;DATE(YEAR($AC222),MONTH($AC222)+1,1),OverEnd,"&gt;="&amp;DATE(YEAR($AC222),MONTH($AC222),1))&gt;0,SUMPRODUCT((PayEmp=$C222)*(PayDate&lt;=$AC222)*(OFFSET($N$6,1,MATCH(AW$5,PayDedList,0)-1,PayCount,1)))/$AA222*12*AW$3,IF(OR(AW$1="Fixed",AW$1="Not Used"),SUMPRODUCT((PayEmp=$C222)*(PayDate&lt;=$AC222)*(OFFSET($N$6,1,MATCH(AW$5,PayDedList,0)-1,PayCount,1)))/$AA222*12*AW$3,IF(ISNA(MATCH(OFFSET($N$2,0,MATCH(AW$5,PayDedList,0)-1,1,1),EarnListItem,0))=FALSE,SUMPRODUCT((PayEmp=$C222)*(PayDate&lt;=$AC222)*(OFFSET($N$6,1,MATCH(AW$5,PayDedList,0)-1,PayCount,1)))/$AA222*12*AW$3,(MIN(SUMPRODUCT((PayEmp=$C222)*(PayDate&lt;=$AC222)*(ISERROR(SEARCH(PayEarnCode,AW$2)))*(PayEarnType="Monthly")*(PayEarnValues))/$AA222*12,IF(ISNUMBER(OFFSET($N$3,0,MATCH(AW$5,PayDedList,0)-1,1,1)),OFFSET($N$3,0,MATCH(AW$5,PayDedList,0)-1,1,1),IgnoreMin)))*IF(COUNTIFS(EmpNo,$C222,OFFSET(Emp!$R$4,1,MATCH(AW$5,DedListItem,0)-1,EmpCount,1),"&lt;&gt;")&gt;0,VLOOKUP($C222,EmpAll,COLUMN(Emp!$R$4)+MATCH(AW$5,DedListItem,0)-1,0),OFFSET(Setup!$E$73,MATCH(AW$5,DedListItem,0),0,1,1))*AW$3))),IF(ISNUMBER(AW$4),AW$4,IgnoreMin)))))</f>
        <v>0</v>
      </c>
      <c r="AX222" s="148">
        <f t="shared" ca="1" si="132"/>
        <v>0</v>
      </c>
      <c r="AY222" s="148">
        <f t="shared" ca="1" si="133"/>
        <v>0</v>
      </c>
      <c r="AZ222" s="148">
        <f ca="1">IF(ISNUMBER($AL222),($AR222*$AL222)-$AI222-$AK222,MAX(0,IF($AL222="B",IF($AR222&lt;Setup!$C$32,($AR222*Setup!$D$32)-$AI222-$AK222,(($AR222-VLOOKUP($AR222,TaxAll2,1,1))*OFFSET(Setup!$D$32,MATCH($AR222,TaxBracket2,1),0,1,1))+OFFSET(Setup!$E$31,MATCH($AR222,TaxBracket2,1),0,1,1)-$AI222-$AK222),IF($AR222&lt;Setup!$C$21,($AR222*Setup!$D$21)-$AI222-$AK222,(($AR222-VLOOKUP($AR222,TaxAll1,1,1))*OFFSET(Setup!$D$21,MATCH($AR222,TaxBracket1,1),0,1,1))+OFFSET(Setup!$E$20,MATCH($AR222,TaxBracket1,1),0,1,1)-$AI222-$AK222))))</f>
        <v>0</v>
      </c>
      <c r="BA222" s="148">
        <f ca="1">IF(ISNUMBER($AL222),($AX222*$AL222)-$AI222-$AK222,MAX(0,IF($AL222="B",IF($AX222&lt;Setup!$C$32,($AX222*Setup!$D$32)-$AI222-$AK222,(($AX222-VLOOKUP($AX222,TaxAll2,1,1))*OFFSET(Setup!$D$32,MATCH($AX222,TaxBracket2,1),0,1,1))+OFFSET(Setup!$E$31,MATCH($AX222,TaxBracket2,1),0,1,1)-$AI222-$AK222),IF($AX222&lt;Setup!$C$21,($AX222*Setup!$D$21)-$AI222-$AK222,(($AX222-VLOOKUP($AX222,TaxAll1,1,1))*OFFSET(Setup!$D$21,MATCH($AX222,TaxBracket1,1),0,1,1))+OFFSET(Setup!$E$20,MATCH($AX222,TaxBracket1,1),0,1,1)-$AI222-$AK222))))</f>
        <v>0</v>
      </c>
      <c r="BB222" s="148">
        <f t="shared" ca="1" si="134"/>
        <v>0</v>
      </c>
      <c r="BC222" s="150">
        <f t="shared" ca="1" si="110"/>
        <v>0</v>
      </c>
      <c r="BD222" s="150">
        <f t="shared" ca="1" si="111"/>
        <v>0</v>
      </c>
      <c r="BE222" s="148">
        <f t="shared" ca="1" si="112"/>
        <v>0</v>
      </c>
    </row>
    <row r="223" spans="1:57" ht="16.149999999999999" customHeight="1" x14ac:dyDescent="0.25">
      <c r="A223" s="10" t="str" cm="1">
        <f t="array" ref="A223">IF(ROW($A223)-ROW($A$6)&gt;EmpCount*12,"-",TEXT($B223,"yyyy")&amp;TEXT($B223,"mm")&amp;"-"&amp;$C223)</f>
        <v>-</v>
      </c>
      <c r="B223" s="137" cm="1">
        <f t="array" aca="1" ref="B223" ca="1">IF(ROW($A223)-ROW($A$6)&gt;EmpCount*12,Setup!$D$12,DATE(YEAR(Setup!$F$12),MONTH(Setup!$F$12)+ROUNDDOWN((ROW($A223)-ROW($A$6)-1)/EmpCount,0),IF(Setup!$C$14&gt;DAY(DATE(YEAR(Setup!$F$12),MONTH(Setup!$F$12)+ROUNDDOWN((ROW($A223)-ROW($A$6)-1)/EmpCount,0)+1,0)),DAY(DATE(YEAR(Setup!$F$12),MONTH(Setup!$F$12)+ROUNDDOWN((ROW($A223)-ROW($A$6)-1)/EmpCount,0)+1,0)),Setup!$C$14)))</f>
        <v>45351</v>
      </c>
      <c r="C223" s="101" t="str" cm="1">
        <f t="array" aca="1" ref="C223" ca="1">IF(ROW($A223)-ROW($A$6)&gt;EmpCount*12,"-",OFFSET(Emp!$A$4,ROW($A223)-ROW($A$6)-IF(ROW($A223)-ROW($A$6)&gt;EmpCount,ROUNDDOWN((ROW($A223)-ROW($A$6)-1)/EmpCount,0)*EmpCount,0),0,1,1))</f>
        <v>-</v>
      </c>
      <c r="D223" s="10" t="str">
        <f ca="1">IF(ISNA(VLOOKUP($C223,EmpAll,COLUMN(Emp!$B$4),0)),"-",VLOOKUP($C223,EmpAll,COLUMN(Emp!$B$4),0))</f>
        <v>-</v>
      </c>
      <c r="E223" s="145" t="str">
        <f ca="1">IF(ISNA(VLOOKUP($C223,EmpAll,COLUMN(Emp!$C$4),0)),"-",VLOOKUP($C223,EmpAll,COLUMN(Emp!$C$4),0))</f>
        <v>-</v>
      </c>
      <c r="F223" s="101" t="str">
        <f ca="1">IF(ISNA(VLOOKUP($C223,EmpAll,COLUMN(Emp!$A$4),0)),"-",IF(AND(VLOOKUP($C223,EmpAll,COLUMN(Emp!$E$4),0)&lt;&gt;0,VLOOKUP($C223,EmpAll,COLUMN(Emp!$E$4),0)&gt;=DATE(YEAR($AC223),MONTH($AC223)+1,0)),"Inactive",IF(AND(VLOOKUP($C223,EmpAll,COLUMN(Emp!$F$4),0)&lt;&gt;0,VLOOKUP($C223,EmpAll,COLUMN(Emp!$F$4),0)&lt;=DATE(YEAR($AC223),MONTH($AC223),0)),"Terminated","Active")))</f>
        <v>-</v>
      </c>
      <c r="G223" s="133" cm="1">
        <f t="array" aca="1" ref="G223" ca="1">IF($F223&lt;&gt;"Active",0,IF(COUNTIFS(OverEmp,$C223,OverEarn,G$2,OverDate,"&lt;"&amp;DATE(YEAR($AC223),MONTH($AC223)+1,1),OverEnd,"&gt;="&amp;DATE(YEAR($AC223),MONTH($AC223),1))&gt;0,SUMIFS(OverValue,OverEmp,$C223,OverEarn,G$2,OverDate,"&lt;"&amp;DATE(YEAR($AC223),MONTH($AC223)+1,1),OverEnd,"&gt;="&amp;DATE(YEAR($AC223),MONTH($AC223),1)),IF(AND($AC223&gt;=Setup!$E$10,SUMIFS(EmpIncrease,EmpCode,$C223)&gt;0),SUMIFS(EmpIncrease,EmpCode,$C223),SUMIFS(EmpSalary,EmpCode,$C223))))</f>
        <v>0</v>
      </c>
      <c r="H223" s="133" cm="1">
        <f t="array" aca="1" ref="H223" ca="1">IF($F223&lt;&gt;"Active",0,IF(COUNTIFS(OverEmp,$C223,OverEarn,H$2,OverDate,"&lt;"&amp;DATE(YEAR($AC223),MONTH($AC223)+1,1),OverEnd,"&gt;="&amp;DATE(YEAR($AC223),MONTH($AC223),1))&gt;0,SUMIFS(OverValue,OverEmp,$C223,OverEarn,H$2,OverDate,"&lt;"&amp;DATE(YEAR($AC223),MONTH($AC223)+1,1),OverEnd,"&gt;="&amp;DATE(YEAR($AC223),MONTH($AC223),1)),0))</f>
        <v>0</v>
      </c>
      <c r="I223" s="133" cm="1">
        <f t="array" aca="1" ref="I223" ca="1">IF($F223&lt;&gt;"Active",0,IF(COUNTIFS(OverEmp,$C223,OverEarn,I$2,OverDate,"&lt;"&amp;DATE(YEAR($AC223),MONTH($AC223)+1,1),OverEnd,"&gt;="&amp;DATE(YEAR($AC223),MONTH($AC223),1))&gt;0,SUMIFS(OverValue,OverEmp,$C223,OverEarn,I$2,OverDate,"&lt;"&amp;DATE(YEAR($AC223),MONTH($AC223)+1,1),OverEnd,"&gt;="&amp;DATE(YEAR($AC223),MONTH($AC223),1)),IF(MONTH(B223)=Setup!$C$15,SUMIFS(EmpBonus,EmpCode,$C223),0)))</f>
        <v>0</v>
      </c>
      <c r="J223" s="133" cm="1">
        <f t="array" aca="1" ref="J223" ca="1">IF($F223&lt;&gt;"Active",0,IF(COUNTIFS(OverEmp,$C223,OverEarn,J$2,OverDate,"&lt;"&amp;DATE(YEAR($AC223),MONTH($AC223)+1,1),OverEnd,"&gt;="&amp;DATE(YEAR($AC223),MONTH($AC223),1))&gt;0,SUMIFS(OverValue,OverEmp,$C223,OverEarn,J$2,OverDate,"&lt;"&amp;DATE(YEAR($AC223),MONTH($AC223)+1,1),OverEnd,"&gt;="&amp;DATE(YEAR($AC223),MONTH($AC223),1)),0))</f>
        <v>0</v>
      </c>
      <c r="K223" s="133" cm="1">
        <f t="array" aca="1" ref="K223" ca="1">IF($F223&lt;&gt;"Active",0,IF(COUNTIFS(OverEmp,$C223,OverEarn,K$2,OverDate,"&lt;"&amp;DATE(YEAR($AC223),MONTH($AC223)+1,1),OverEnd,"&gt;="&amp;DATE(YEAR($AC223),MONTH($AC223),1))&gt;0,SUMIFS(OverValue,OverEmp,$C223,OverEarn,K$2,OverDate,"&lt;"&amp;DATE(YEAR($AC223),MONTH($AC223)+1,1),OverEnd,"&gt;="&amp;DATE(YEAR($AC223),MONTH($AC223),1)),0))</f>
        <v>0</v>
      </c>
      <c r="L223" s="185">
        <f t="shared" ca="1" si="124"/>
        <v>0</v>
      </c>
      <c r="M223" s="182" cm="1">
        <f t="array" aca="1" ref="M223" ca="1">IF(COUNTIFS(OverEmp,$C223,OverTax,M$5,OverDate,"&lt;"&amp;DATE(YEAR($AC223),MONTH($AC223)+1,1),OverEnd,"&gt;="&amp;DATE(YEAR($AC223),MONTH($AC223),1))&gt;0,SUMIFS(OverValue,OverEmp,$C223,OverTax,M$5,OverDate,"&lt;"&amp;DATE(YEAR($AC223),MONTH($AC223)+1,1),OverEnd,"&gt;="&amp;DATE(YEAR($AC223),MONTH($AC223),1)),(($BA223/12*$AA223)+(BB223*IF(1-$BC223=0,0,BD223/(1-$BC223))))-IF($F223="Terminated",0,SUMIFS(PayTaxDeduct,PayDate,"&lt;"&amp;$AC223,PayEmp,$C223)))</f>
        <v>0</v>
      </c>
      <c r="N223" s="133" cm="1">
        <f t="array" aca="1" ref="N223" ca="1">IF($F223="Terminated",0,IF($AA223=0,0,IF(ISNA(MATCH(N$5,DedListItem,0)),0,IF(COUNTIFS(OverEmp,$C223,OverDeduct,N$5,OverDate,"&lt;"&amp;DATE(YEAR($AC223),MONTH($AC223)+1,1),OverEnd,"&gt;="&amp;DATE(YEAR($AC223),MONTH($AC223),1))&gt;0,SUMIFS(OverValue,OverEmp,$C223,OverDeduct,N$5,OverDate,"&lt;"&amp;DATE(YEAR($AC223),MONTH($AC223)+1,1),OverEnd,"&gt;="&amp;DATE(YEAR($AC223),MONTH($AC223),1)),IF(OR(N$2="Fixed",N$2="Not Used"),(IF(COUNTIFS(EmpNo,$C223,OFFSET(Emp!$R$4,1,MATCH(N$5,DedListItem,0)-1,EmpCount,1),"&lt;&gt;")&gt;0,VLOOKUP($C223,EmpAll,COLUMN(Emp!$R$4)+MATCH(N$5,DedListItem,0)-1,0),OFFSET(Setup!$E$73,MATCH(N$5,DedListItem,0),0,1,1))*$AA223)-SUMIFS(OFFSET(N$6,1,0,PayCount,1),PayDate,"&lt;"&amp;$AC223,PayEmp,$C223),IF(ISNA(MATCH(N$2,EarnListItem,0))=FALSE,IF(OFFSET(Setup!$G$73,MATCH(N$5,DedListItem,0),0,1,1)="Taxable",SUMPRODUCT((PayEmp=$C223)*(PayDate&lt;=$AC223)*(PayEarnCode=N$2)*(PayEarnTax)*(PayEarnValues)),SUMPRODUCT((PayEmp=$C223)*(PayDate&lt;=$AC223)*(PayEarnCode=N$2)*(PayEarnValues)))*IF(COUNTIFS(EmpNo,$C223,OFFSET(Emp!$R$4,1,MATCH(N$5,DedListItem,0)-1,EmpCount,1),"&lt;&gt;")&gt;0,VLOOKUP($C223,EmpAll,COLUMN(Emp!$R$4)+MATCH(N$5,DedListItem,0)-1,0),OFFSET(Setup!$E$73,MATCH(N$5,DedListItem,0),0,1,1)),(MIN(IF(OFFSET(Setup!$G$73,MATCH(N$5,DedListItem,0),0,1,1)="Taxable",SUMPRODUCT((PayEmp=$C223)*(PayDate&lt;=$AC223)*(ISERROR(SEARCH(PayEarnCode,N$4)))*(PayEarnTax)*(PayEarnValues)),SUMPRODUCT((PayEmp=$C223)*(PayDate&lt;=$AC223)*(ISERROR(SEARCH(PayEarnCode,N$4)))*(PayEarnValues))),IF(ISNUMBER(N$3),N$3/12*$AA223,IgnoreMin)))*IF(COUNTIFS(EmpNo,$C223,OFFSET(Emp!$R$4,1,MATCH(N$5,DedListItem,0)-1,EmpCount,1),"&lt;&gt;")&gt;0,VLOOKUP($C223,EmpAll,COLUMN(Emp!$R$4)+MATCH(N$5,DedListItem,0)-1,0),OFFSET(Setup!$E$73,MATCH(N$5,DedListItem,0),0,1,1)))-SUMIFS(OFFSET(N$6,1,0,PayCount,1),PayDate,"&lt;"&amp;$AC223,PayEmp,$C223))))))</f>
        <v>0</v>
      </c>
      <c r="O223" s="133" cm="1">
        <f t="array" aca="1" ref="O223" ca="1">IF($F223="Terminated",0,IF($AA223=0,0,IF(ISNA(MATCH(O$5,DedListItem,0)),0,IF(COUNTIFS(OverEmp,$C223,OverDeduct,O$5,OverDate,"&lt;"&amp;DATE(YEAR($AC223),MONTH($AC223)+1,1),OverEnd,"&gt;="&amp;DATE(YEAR($AC223),MONTH($AC223),1))&gt;0,SUMIFS(OverValue,OverEmp,$C223,OverDeduct,O$5,OverDate,"&lt;"&amp;DATE(YEAR($AC223),MONTH($AC223)+1,1),OverEnd,"&gt;="&amp;DATE(YEAR($AC223),MONTH($AC223),1)),IF(OR(O$2="Fixed",O$2="Not Used"),(IF(COUNTIFS(EmpNo,$C223,OFFSET(Emp!$R$4,1,MATCH(O$5,DedListItem,0)-1,EmpCount,1),"&lt;&gt;")&gt;0,VLOOKUP($C223,EmpAll,COLUMN(Emp!$R$4)+MATCH(O$5,DedListItem,0)-1,0),OFFSET(Setup!$E$73,MATCH(O$5,DedListItem,0),0,1,1))*$AA223)-SUMIFS(OFFSET(O$6,1,0,PayCount,1),PayDate,"&lt;"&amp;$AC223,PayEmp,$C223),IF(ISNA(MATCH(O$2,EarnListItem,0))=FALSE,IF(OFFSET(Setup!$G$73,MATCH(O$5,DedListItem,0),0,1,1)="Taxable",SUMPRODUCT((PayEmp=$C223)*(PayDate&lt;=$AC223)*(PayEarnCode=O$2)*(PayEarnTax)*(PayEarnValues)),SUMPRODUCT((PayEmp=$C223)*(PayDate&lt;=$AC223)*(PayEarnCode=O$2)*(PayEarnValues)))*IF(COUNTIFS(EmpNo,$C223,OFFSET(Emp!$R$4,1,MATCH(O$5,DedListItem,0)-1,EmpCount,1),"&lt;&gt;")&gt;0,VLOOKUP($C223,EmpAll,COLUMN(Emp!$R$4)+MATCH(O$5,DedListItem,0)-1,0),OFFSET(Setup!$E$73,MATCH(O$5,DedListItem,0),0,1,1)),(MIN(IF(OFFSET(Setup!$G$73,MATCH(O$5,DedListItem,0),0,1,1)="Taxable",SUMPRODUCT((PayEmp=$C223)*(PayDate&lt;=$AC223)*(ISERROR(SEARCH(PayEarnCode,O$4)))*(PayEarnTax)*(PayEarnValues)),SUMPRODUCT((PayEmp=$C223)*(PayDate&lt;=$AC223)*(ISERROR(SEARCH(PayEarnCode,O$4)))*(PayEarnValues))),IF(ISNUMBER(O$3),O$3/12*$AA223,IgnoreMin)))*IF(COUNTIFS(EmpNo,$C223,OFFSET(Emp!$R$4,1,MATCH(O$5,DedListItem,0)-1,EmpCount,1),"&lt;&gt;")&gt;0,VLOOKUP($C223,EmpAll,COLUMN(Emp!$R$4)+MATCH(O$5,DedListItem,0)-1,0),OFFSET(Setup!$E$73,MATCH(O$5,DedListItem,0),0,1,1)))-SUMIFS(OFFSET(O$6,1,0,PayCount,1),PayDate,"&lt;"&amp;$AC223,PayEmp,$C223))))))</f>
        <v>0</v>
      </c>
      <c r="P223" s="133" cm="1">
        <f t="array" aca="1" ref="P223" ca="1">IF($F223="Terminated",0,IF($AA223=0,0,IF(ISNA(MATCH(P$5,DedListItem,0)),0,IF(COUNTIFS(OverEmp,$C223,OverDeduct,P$5,OverDate,"&lt;"&amp;DATE(YEAR($AC223),MONTH($AC223)+1,1),OverEnd,"&gt;="&amp;DATE(YEAR($AC223),MONTH($AC223),1))&gt;0,SUMIFS(OverValue,OverEmp,$C223,OverDeduct,P$5,OverDate,"&lt;"&amp;DATE(YEAR($AC223),MONTH($AC223)+1,1),OverEnd,"&gt;="&amp;DATE(YEAR($AC223),MONTH($AC223),1)),IF(OR(P$2="Fixed",P$2="Not Used"),(IF(COUNTIFS(EmpNo,$C223,OFFSET(Emp!$R$4,1,MATCH(P$5,DedListItem,0)-1,EmpCount,1),"&lt;&gt;")&gt;0,VLOOKUP($C223,EmpAll,COLUMN(Emp!$R$4)+MATCH(P$5,DedListItem,0)-1,0),OFFSET(Setup!$E$73,MATCH(P$5,DedListItem,0),0,1,1))*$AA223)-SUMIFS(OFFSET(P$6,1,0,PayCount,1),PayDate,"&lt;"&amp;$AC223,PayEmp,$C223),IF(ISNA(MATCH(P$2,EarnListItem,0))=FALSE,IF(OFFSET(Setup!$G$73,MATCH(P$5,DedListItem,0),0,1,1)="Taxable",SUMPRODUCT((PayEmp=$C223)*(PayDate&lt;=$AC223)*(PayEarnCode=P$2)*(PayEarnTax)*(PayEarnValues)),SUMPRODUCT((PayEmp=$C223)*(PayDate&lt;=$AC223)*(PayEarnCode=P$2)*(PayEarnValues)))*IF(COUNTIFS(EmpNo,$C223,OFFSET(Emp!$R$4,1,MATCH(P$5,DedListItem,0)-1,EmpCount,1),"&lt;&gt;")&gt;0,VLOOKUP($C223,EmpAll,COLUMN(Emp!$R$4)+MATCH(P$5,DedListItem,0)-1,0),OFFSET(Setup!$E$73,MATCH(P$5,DedListItem,0),0,1,1)),(MIN(IF(OFFSET(Setup!$G$73,MATCH(P$5,DedListItem,0),0,1,1)="Taxable",SUMPRODUCT((PayEmp=$C223)*(PayDate&lt;=$AC223)*(ISERROR(SEARCH(PayEarnCode,P$4)))*(PayEarnTax)*(PayEarnValues)),SUMPRODUCT((PayEmp=$C223)*(PayDate&lt;=$AC223)*(ISERROR(SEARCH(PayEarnCode,P$4)))*(PayEarnValues))),IF(ISNUMBER(P$3),P$3/12*$AA223,IgnoreMin)))*IF(COUNTIFS(EmpNo,$C223,OFFSET(Emp!$R$4,1,MATCH(P$5,DedListItem,0)-1,EmpCount,1),"&lt;&gt;")&gt;0,VLOOKUP($C223,EmpAll,COLUMN(Emp!$R$4)+MATCH(P$5,DedListItem,0)-1,0),OFFSET(Setup!$E$73,MATCH(P$5,DedListItem,0),0,1,1)))-SUMIFS(OFFSET(P$6,1,0,PayCount,1),PayDate,"&lt;"&amp;$AC223,PayEmp,$C223))))))</f>
        <v>0</v>
      </c>
      <c r="Q223" s="133" cm="1">
        <f t="array" aca="1" ref="Q223" ca="1">IF($F223="Terminated",0,IF($AA223=0,0,IF(ISNA(MATCH(Q$5,DedListItem,0)),0,IF(COUNTIFS(OverEmp,$C223,OverDeduct,Q$5,OverDate,"&lt;"&amp;DATE(YEAR($AC223),MONTH($AC223)+1,1),OverEnd,"&gt;="&amp;DATE(YEAR($AC223),MONTH($AC223),1))&gt;0,SUMIFS(OverValue,OverEmp,$C223,OverDeduct,Q$5,OverDate,"&lt;"&amp;DATE(YEAR($AC223),MONTH($AC223)+1,1),OverEnd,"&gt;="&amp;DATE(YEAR($AC223),MONTH($AC223),1)),IF(OR(Q$2="Fixed",Q$2="Not Used"),(IF(COUNTIFS(EmpNo,$C223,OFFSET(Emp!$R$4,1,MATCH(Q$5,DedListItem,0)-1,EmpCount,1),"&lt;&gt;")&gt;0,VLOOKUP($C223,EmpAll,COLUMN(Emp!$R$4)+MATCH(Q$5,DedListItem,0)-1,0),OFFSET(Setup!$E$73,MATCH(Q$5,DedListItem,0),0,1,1))*$AA223)-SUMIFS(OFFSET(Q$6,1,0,PayCount,1),PayDate,"&lt;"&amp;$AC223,PayEmp,$C223),IF(ISNA(MATCH(Q$2,EarnListItem,0))=FALSE,IF(OFFSET(Setup!$G$73,MATCH(Q$5,DedListItem,0),0,1,1)="Taxable",SUMPRODUCT((PayEmp=$C223)*(PayDate&lt;=$AC223)*(PayEarnCode=Q$2)*(PayEarnTax)*(PayEarnValues)),SUMPRODUCT((PayEmp=$C223)*(PayDate&lt;=$AC223)*(PayEarnCode=Q$2)*(PayEarnValues)))*IF(COUNTIFS(EmpNo,$C223,OFFSET(Emp!$R$4,1,MATCH(Q$5,DedListItem,0)-1,EmpCount,1),"&lt;&gt;")&gt;0,VLOOKUP($C223,EmpAll,COLUMN(Emp!$R$4)+MATCH(Q$5,DedListItem,0)-1,0),OFFSET(Setup!$E$73,MATCH(Q$5,DedListItem,0),0,1,1)),(MIN(IF(OFFSET(Setup!$G$73,MATCH(Q$5,DedListItem,0),0,1,1)="Taxable",SUMPRODUCT((PayEmp=$C223)*(PayDate&lt;=$AC223)*(ISERROR(SEARCH(PayEarnCode,Q$4)))*(PayEarnTax)*(PayEarnValues)),SUMPRODUCT((PayEmp=$C223)*(PayDate&lt;=$AC223)*(ISERROR(SEARCH(PayEarnCode,Q$4)))*(PayEarnValues))),IF(ISNUMBER(Q$3),Q$3/12*$AA223,IgnoreMin)))*IF(COUNTIFS(EmpNo,$C223,OFFSET(Emp!$R$4,1,MATCH(Q$5,DedListItem,0)-1,EmpCount,1),"&lt;&gt;")&gt;0,VLOOKUP($C223,EmpAll,COLUMN(Emp!$R$4)+MATCH(Q$5,DedListItem,0)-1,0),OFFSET(Setup!$E$73,MATCH(Q$5,DedListItem,0),0,1,1)))-SUMIFS(OFFSET(Q$6,1,0,PayCount,1),PayDate,"&lt;"&amp;$AC223,PayEmp,$C223))))))</f>
        <v>0</v>
      </c>
      <c r="R223" s="185">
        <f t="shared" ca="1" si="125"/>
        <v>0</v>
      </c>
      <c r="S223" s="139">
        <f t="shared" ca="1" si="126"/>
        <v>0</v>
      </c>
      <c r="T223" s="133" cm="1">
        <f t="array" aca="1" ref="T223" ca="1">IF($F223="Terminated",0,IF($AA223=0,0,IF(ISNA(MATCH(T$5,CompListItem,0)),0,IF(COUNTIFS(OverEmp,$C223,OverComp,T$5,OverDate,"&lt;"&amp;DATE(YEAR($AC223),MONTH($AC223)+1,1),OverEnd,"&gt;="&amp;DATE(YEAR($AC223),MONTH($AC223),1))&gt;0,SUMIFS(OverValue,OverEmp,$C223,OverComp,T$5,OverDate,"&lt;"&amp;DATE(YEAR($AC223),MONTH($AC223)+1,1),OverEnd,"&gt;="&amp;DATE(YEAR($AC223),MONTH($AC223),1)),IF(OR(T$2="Fixed",T$2="Not Used"),(OFFSET(Setup!$E$81,MATCH(T$5,CompListItem,0),0,1,1)*$AA223)-SUMIFS(OFFSET(T$6,1,0,PayCount,1),PayDate,"&lt;"&amp;$AC223,PayEmp,$C223),IF(ISNA(MATCH(T$2,DedListItem,0))=FALSE,(SUMPRODUCT((PayEmp=$C223)*(PayDate&lt;=$AC223)*(PayDedList=T$2)*(PayDedValues))*OFFSET(Setup!$E$81,MATCH(T$5,CompListItem,0),0,1,1))-SUMIFS(OFFSET(T$6,1,0,PayCount,1),PayDate,"&lt;"&amp;$AC223,PayEmp,$C223),(MIN(IF(OFFSET(Setup!$G$81,MATCH(T$5,CompListItem,0),0,1,1)="Taxable",SUMPRODUCT((PayEmp=$C223)*(PayDate&lt;=$AC223)*(ISERROR(SEARCH(PayEarnCode,T$4)))*(PayEarnTax)*(PayEarnValues)),SUMPRODUCT((PayEmp=$C223)*(PayDate&lt;=$AC223)*(ISERROR(SEARCH(PayEarnCode,T$4)))*(PayEarnValues))),IF(ISNUMBER(T$3),T$3/12*$AA223,IgnoreMin)))*OFFSET(Setup!$E$81,MATCH(T$5,CompListItem,0),0,1,1)-SUMIFS(OFFSET(T$6,1,0,PayCount,1),PayDate,"&lt;"&amp;$AC223,PayEmp,$C223)))))))</f>
        <v>0</v>
      </c>
      <c r="U223" s="133" cm="1">
        <f t="array" aca="1" ref="U223" ca="1">IF($F223="Terminated",0,IF($AA223=0,0,IF(ISNA(MATCH(U$5,CompListItem,0)),0,IF(COUNTIFS(OverEmp,$C223,OverComp,U$5,OverDate,"&lt;"&amp;DATE(YEAR($AC223),MONTH($AC223)+1,1),OverEnd,"&gt;="&amp;DATE(YEAR($AC223),MONTH($AC223),1))&gt;0,SUMIFS(OverValue,OverEmp,$C223,OverComp,U$5,OverDate,"&lt;"&amp;DATE(YEAR($AC223),MONTH($AC223)+1,1),OverEnd,"&gt;="&amp;DATE(YEAR($AC223),MONTH($AC223),1)),IF(OR(U$2="Fixed",U$2="Not Used"),(OFFSET(Setup!$E$81,MATCH(U$5,CompListItem,0),0,1,1)*$AA223)-SUMIFS(OFFSET(U$6,1,0,PayCount,1),PayDate,"&lt;"&amp;$AC223,PayEmp,$C223),IF(ISNA(MATCH(U$2,DedListItem,0))=FALSE,(SUMPRODUCT((PayEmp=$C223)*(PayDate&lt;=$AC223)*(PayDedList=U$2)*(PayDedValues))*OFFSET(Setup!$E$81,MATCH(U$5,CompListItem,0),0,1,1))-SUMIFS(OFFSET(U$6,1,0,PayCount,1),PayDate,"&lt;"&amp;$AC223,PayEmp,$C223),(MIN(IF(OFFSET(Setup!$G$81,MATCH(U$5,CompListItem,0),0,1,1)="Taxable",SUMPRODUCT((PayEmp=$C223)*(PayDate&lt;=$AC223)*(ISERROR(SEARCH(PayEarnCode,U$4)))*(PayEarnTax)*(PayEarnValues)),SUMPRODUCT((PayEmp=$C223)*(PayDate&lt;=$AC223)*(ISERROR(SEARCH(PayEarnCode,U$4)))*(PayEarnValues))),IF(ISNUMBER(U$3),U$3/12*$AA223,IgnoreMin)))*OFFSET(Setup!$E$81,MATCH(U$5,CompListItem,0),0,1,1)-SUMIFS(OFFSET(U$6,1,0,PayCount,1),PayDate,"&lt;"&amp;$AC223,PayEmp,$C223)))))))</f>
        <v>0</v>
      </c>
      <c r="V223" s="133" cm="1">
        <f t="array" aca="1" ref="V223" ca="1">IF($F223="Terminated",0,IF($AA223=0,0,IF(ISNA(MATCH(V$5,CompListItem,0)),0,IF(COUNTIFS(OverEmp,$C223,OverComp,V$5,OverDate,"&lt;"&amp;DATE(YEAR($AC223),MONTH($AC223)+1,1),OverEnd,"&gt;="&amp;DATE(YEAR($AC223),MONTH($AC223),1))&gt;0,SUMIFS(OverValue,OverEmp,$C223,OverComp,V$5,OverDate,"&lt;"&amp;DATE(YEAR($AC223),MONTH($AC223)+1,1),OverEnd,"&gt;="&amp;DATE(YEAR($AC223),MONTH($AC223),1)),IF(OR(V$2="Fixed",V$2="Not Used"),(OFFSET(Setup!$E$81,MATCH(V$5,CompListItem,0),0,1,1)*$AA223)-SUMIFS(OFFSET(V$6,1,0,PayCount,1),PayDate,"&lt;"&amp;$AC223,PayEmp,$C223),IF(ISNA(MATCH(V$2,DedListItem,0))=FALSE,(SUMPRODUCT((PayEmp=$C223)*(PayDate&lt;=$AC223)*(PayDedList=V$2)*(PayDedValues))*OFFSET(Setup!$E$81,MATCH(V$5,CompListItem,0),0,1,1))-SUMIFS(OFFSET(V$6,1,0,PayCount,1),PayDate,"&lt;"&amp;$AC223,PayEmp,$C223),(MIN(IF(OFFSET(Setup!$G$81,MATCH(V$5,CompListItem,0),0,1,1)="Taxable",SUMPRODUCT((PayEmp=$C223)*(PayDate&lt;=$AC223)*(ISERROR(SEARCH(PayEarnCode,V$4)))*(PayEarnTax)*(PayEarnValues)),SUMPRODUCT((PayEmp=$C223)*(PayDate&lt;=$AC223)*(ISERROR(SEARCH(PayEarnCode,V$4)))*(PayEarnValues))),IF(ISNUMBER(V$3),V$3/12*$AA223,IgnoreMin)))*OFFSET(Setup!$E$81,MATCH(V$5,CompListItem,0),0,1,1)-SUMIFS(OFFSET(V$6,1,0,PayCount,1),PayDate,"&lt;"&amp;$AC223,PayEmp,$C223)))))))</f>
        <v>0</v>
      </c>
      <c r="W223" s="133" cm="1">
        <f t="array" aca="1" ref="W223" ca="1">IF($F223="Terminated",0,IF($AA223=0,0,IF(ISNA(MATCH(W$5,CompListItem,0)),0,IF(COUNTIFS(OverEmp,$C223,OverComp,W$5,OverDate,"&lt;"&amp;DATE(YEAR($AC223),MONTH($AC223)+1,1),OverEnd,"&gt;="&amp;DATE(YEAR($AC223),MONTH($AC223),1))&gt;0,SUMIFS(OverValue,OverEmp,$C223,OverComp,W$5,OverDate,"&lt;"&amp;DATE(YEAR($AC223),MONTH($AC223)+1,1),OverEnd,"&gt;="&amp;DATE(YEAR($AC223),MONTH($AC223),1)),IF(OR(W$2="Fixed",W$2="Not Used"),(OFFSET(Setup!$E$81,MATCH(W$5,CompListItem,0),0,1,1)*$AA223)-SUMIFS(OFFSET(W$6,1,0,PayCount,1),PayDate,"&lt;"&amp;$AC223,PayEmp,$C223),IF(ISNA(MATCH(W$2,DedListItem,0))=FALSE,(SUMPRODUCT((PayEmp=$C223)*(PayDate&lt;=$AC223)*(PayDedList=W$2)*(PayDedValues))*OFFSET(Setup!$E$81,MATCH(W$5,CompListItem,0),0,1,1))-SUMIFS(OFFSET(W$6,1,0,PayCount,1),PayDate,"&lt;"&amp;$AC223,PayEmp,$C223),(MIN(IF(OFFSET(Setup!$G$81,MATCH(W$5,CompListItem,0),0,1,1)="Taxable",SUMPRODUCT((PayEmp=$C223)*(PayDate&lt;=$AC223)*(ISERROR(SEARCH(PayEarnCode,W$4)))*(PayEarnTax)*(PayEarnValues)),SUMPRODUCT((PayEmp=$C223)*(PayDate&lt;=$AC223)*(ISERROR(SEARCH(PayEarnCode,W$4)))*(PayEarnValues))),IF(ISNUMBER(W$3),W$3/12*$AA223,IgnoreMin)))*OFFSET(Setup!$E$81,MATCH(W$5,CompListItem,0),0,1,1)-SUMIFS(OFFSET(W$6,1,0,PayCount,1),PayDate,"&lt;"&amp;$AC223,PayEmp,$C223)))))))</f>
        <v>0</v>
      </c>
      <c r="X223" s="185">
        <f t="shared" ca="1" si="127"/>
        <v>0</v>
      </c>
      <c r="Y223" s="139">
        <f t="shared" ca="1" si="128"/>
        <v>0</v>
      </c>
      <c r="Z223" s="139">
        <f t="shared" ca="1" si="129"/>
        <v>0</v>
      </c>
      <c r="AA223" s="146">
        <f ca="1">IF(OR($B223&lt;=Setup!$E$12,$B223&gt;=Setup!$D$12+1),0,IF($F223&lt;&gt;"Active",0,IF($AE223="Yes",$AB223,((YEAR($AC223)*12)+MONTH($AC223))-((YEAR($AD223)*12)+MONTH($AD223)-1))))</f>
        <v>0</v>
      </c>
      <c r="AB223" s="146">
        <f ca="1">IF(OR($B223&lt;=Setup!$E$12,$B223&gt;=Setup!$D$12+1),0,((YEAR($AC223)*12)+MONTH($AC223))-((YEAR(Setup!$E$12)*12)+MONTH(Setup!$E$12)))</f>
        <v>12</v>
      </c>
      <c r="AC223" s="186">
        <f t="shared" ca="1" si="130"/>
        <v>45351</v>
      </c>
      <c r="AD223" s="144">
        <f ca="1">IF(ISNA(VLOOKUP($C223,EmpAll,COLUMN(Emp!$E$4),0)),$AC223,IF(VLOOKUP($C223,EmpAll,COLUMN(Emp!$E$4),0)&lt;=Setup!$E$12,DATE(YEAR(Setup!$E$12),MONTH(Setup!$E$12)+1,1),VLOOKUP($C223,EmpAll,COLUMN(Emp!$E$4),0)))</f>
        <v>45351</v>
      </c>
      <c r="AE223" s="144" t="str">
        <f ca="1">IF(ISNA(VLOOKUP($C223,EmpAll,COLUMN(Emp!$G$1),0)),"-",IF(VLOOKUP($C223,EmpAll,COLUMN(Emp!$G$1),0)=0,"-",VLOOKUP($C223,EmpAll,COLUMN(Emp!$G$1),0)))</f>
        <v>-</v>
      </c>
      <c r="AF223" s="145">
        <f>IF(A223=PaySlip!$G$3,1,0)</f>
        <v>0</v>
      </c>
      <c r="AG223" s="130" cm="1">
        <f t="array" aca="1" ref="AG223" ca="1">IF(COUNTIFS(OverEmp,$C223,OverMed,"MED",OverDate,"&lt;"&amp;DATE(YEAR($AC223),MONTH($AC223)+1,1),OverEnd,"&gt;="&amp;DATE(YEAR($AC223),MONTH($AC223),1))&gt;0,SUMIFS(OverValue,OverEmp,$C223,OverMed,"MED",OverDate,"&lt;"&amp;DATE(YEAR($AC223),MONTH($AC223)+1,1),OverEnd,"&gt;="&amp;DATE(YEAR($AC223),MONTH($AC223),1)),IF(ISNA(VLOOKUP($C223,EmpAll,COLUMN(Emp!$N$4),0)),0,VLOOKUP($C223,EmpAll,COLUMN(Emp!$N$4),0)))</f>
        <v>0</v>
      </c>
      <c r="AH223" s="146">
        <f ca="1">VLOOKUP($AG223,MedList,COLUMN(Setup!$C$49),1)</f>
        <v>0</v>
      </c>
      <c r="AI223" s="146">
        <f t="shared" ca="1" si="107"/>
        <v>0</v>
      </c>
      <c r="AJ223" s="101" t="str">
        <f ca="1">IF(ISNA(VLOOKUP($C223,EmpAll,COLUMN(Emp!$L$4),0)),"None!",VLOOKUP($C223,EmpAll,COLUMN(Emp!$L$4),0))</f>
        <v>None!</v>
      </c>
      <c r="AK223" s="147">
        <f t="shared" ca="1" si="102"/>
        <v>17235</v>
      </c>
      <c r="AL223" s="101" t="str">
        <f ca="1">IF(ISNA(VLOOKUP($C223,Employees[],COLUMN(Emp!$M$4),0))=TRUE,"Error!",IF(VLOOKUP($C223,Employees[],COLUMN(Emp!$M$4),0)=0,"Yes",VLOOKUP($C223,Employees[],COLUMN(Emp!$M$4),0)))</f>
        <v>Error!</v>
      </c>
      <c r="AM223" s="148">
        <f t="shared" ca="1" si="108"/>
        <v>0</v>
      </c>
      <c r="AN223" s="148" cm="1">
        <f t="array" aca="1" ref="AN223" ca="1">-IF($F223="Terminated",0,IF($AA223=0,0,IF(ISNA(MATCH(AN$5,PayDedList,0)),0,MIN(IF(COUNTIFS(OverEmp,$C223,OverDeduct,AN$5,OverDate,"&lt;"&amp;DATE(YEAR($AC223),MONTH($AC223)+1,1),OverEnd,"&gt;="&amp;DATE(YEAR($AC223),MONTH($AC223),1))&gt;0,SUMPRODUCT((PayEmp=$C223)*(PayDate&lt;=$AC223)*(OFFSET($N$6,1,MATCH(AN$5,PayDedList,0)-1,PayCount,1)))/$AA223*12*AN$3,IF(OR(AN$1="Fixed",AN$1="Not Used"),SUMPRODUCT((PayEmp=$C223)*(PayDate&lt;=$AC223)*(OFFSET($N$6,1,MATCH(AN$5,PayDedList,0)-1,PayCount,1)))/$AA223*12*AN$3,IF(ISNA(MATCH(AN$1,EarnListItem,0))=FALSE,SUMPRODUCT((PayEmp=$C223)*(PayDate&lt;=$AC223)*(OFFSET($N$6,1,MATCH(AN$5,PayDedList,0)-1,PayCount,1)))/$AA223*12*AN$3,(MIN(((SUMPRODUCT((PayEmp=$C223)*(PayDate&lt;=$AC223)*(ISERROR(SEARCH(PayEarnCode,AN$2)))*(PayEarnType="Monthly")*(PayEarnValues))/$AA223*12)+(SUMPRODUCT((PayEmp=$C223)*(PayDate&lt;=$AC223)*(ISERROR(SEARCH(PayEarnCode,AN$2)))*(PayEarnType="Quarterly")*(PayEarnValues))/MAX(1,ROUNDDOWN($AB223/3,0))*4)+(SUMPRODUCT((PayEmp=$C223)*(PayDate&lt;=$AC223)*(ISERROR(SEARCH(PayEarnCode,AN$2)))*(PayEarnType="Bi-Annual")*(PayEarnValues))/MAX(1,ROUNDDOWN($AB223/6,0))*2)+(SUMPRODUCT((PayEmp=$C223)*(PayDate&lt;=$AC223)*(ISERROR(SEARCH(PayEarnCode,AN$2)))*(PayEarnType="Annual")*(PayEarnValues)))),IF(ISNUMBER(OFFSET($N$3,0,MATCH(AN$5,PayDedList,0)-1,1,1)),OFFSET($N$3,0,MATCH(AN$5,PayDedList,0)-1,1,1),IgnoreMin)))*IF(COUNTIFS(EmpNo,$C223,OFFSET(Emp!$R$4,1,MATCH(AN$5,DedListItem,0)-1,EmpCount,1),"&lt;&gt;")&gt;0,VLOOKUP($C223,EmpAll,COLUMN(Emp!$R$4)+MATCH(AN$5,DedListItem,0)-1,0),OFFSET(Setup!$E$73,MATCH(AN$5,DedListItem,0),0,1,1))*AN$3))),IF(ISNUMBER(AN$4),AN$4,IgnoreMin)))))</f>
        <v>0</v>
      </c>
      <c r="AO223" s="148" cm="1">
        <f t="array" aca="1" ref="AO223" ca="1">-IF($F223="Terminated",0,IF($AA223=0,0,IF(ISNA(MATCH(AO$5,PayDedList,0)),0,MIN(IF(COUNTIFS(OverEmp,$C223,OverDeduct,AO$5,OverDate,"&lt;"&amp;DATE(YEAR($AC223),MONTH($AC223)+1,1),OverEnd,"&gt;="&amp;DATE(YEAR($AC223),MONTH($AC223),1))&gt;0,SUMPRODUCT((PayEmp=$C223)*(PayDate&lt;=$AC223)*(OFFSET($N$6,1,MATCH(AO$5,PayDedList,0)-1,PayCount,1)))/$AA223*12*AO$3,IF(OR(AO$1="Fixed",AO$1="Not Used"),SUMPRODUCT((PayEmp=$C223)*(PayDate&lt;=$AC223)*(OFFSET($N$6,1,MATCH(AO$5,PayDedList,0)-1,PayCount,1)))/$AA223*12*AO$3,IF(ISNA(MATCH(AO$1,EarnListItem,0))=FALSE,SUMPRODUCT((PayEmp=$C223)*(PayDate&lt;=$AC223)*(OFFSET($N$6,1,MATCH(AO$5,PayDedList,0)-1,PayCount,1)))/$AA223*12*AO$3,(MIN(((SUMPRODUCT((PayEmp=$C223)*(PayDate&lt;=$AC223)*(ISERROR(SEARCH(PayEarnCode,AO$2)))*(PayEarnType="Monthly")*(PayEarnValues))/$AA223*12)+(SUMPRODUCT((PayEmp=$C223)*(PayDate&lt;=$AC223)*(ISERROR(SEARCH(PayEarnCode,AO$2)))*(PayEarnType="Quarterly")*(PayEarnValues))/MAX(1,ROUNDDOWN($AB223/3,0))*4)+(SUMPRODUCT((PayEmp=$C223)*(PayDate&lt;=$AC223)*(ISERROR(SEARCH(PayEarnCode,AO$2)))*(PayEarnType="Bi-Annual")*(PayEarnValues))/MAX(1,ROUNDDOWN($AB223/6,0))*2)+(SUMPRODUCT((PayEmp=$C223)*(PayDate&lt;=$AC223)*(ISERROR(SEARCH(PayEarnCode,AO$2)))*(PayEarnType="Annual")*(PayEarnValues)))),IF(ISNUMBER(OFFSET($N$3,0,MATCH(AO$5,PayDedList,0)-1,1,1)),OFFSET($N$3,0,MATCH(AO$5,PayDedList,0)-1,1,1),IgnoreMin)))*IF(COUNTIFS(EmpNo,$C223,OFFSET(Emp!$R$4,1,MATCH(AO$5,DedListItem,0)-1,EmpCount,1),"&lt;&gt;")&gt;0,VLOOKUP($C223,EmpAll,COLUMN(Emp!$R$4)+MATCH(AO$5,DedListItem,0)-1,0),OFFSET(Setup!$E$73,MATCH(AO$5,DedListItem,0),0,1,1))*AO$3))),IF(ISNUMBER(AO$4),AO$4,IgnoreMin)))))</f>
        <v>0</v>
      </c>
      <c r="AP223" s="148" cm="1">
        <f t="array" aca="1" ref="AP223" ca="1">-IF($F223="Terminated",0,IF($AA223=0,0,IF(ISNA(MATCH(AP$5,PayDedList,0)),0,MIN(IF(COUNTIFS(OverEmp,$C223,OverDeduct,AP$5,OverDate,"&lt;"&amp;DATE(YEAR($AC223),MONTH($AC223)+1,1),OverEnd,"&gt;="&amp;DATE(YEAR($AC223),MONTH($AC223),1))&gt;0,SUMPRODUCT((PayEmp=$C223)*(PayDate&lt;=$AC223)*(OFFSET($N$6,1,MATCH(AP$5,PayDedList,0)-1,PayCount,1)))/$AA223*12*AP$3,IF(OR(AP$1="Fixed",AP$1="Not Used"),SUMPRODUCT((PayEmp=$C223)*(PayDate&lt;=$AC223)*(OFFSET($N$6,1,MATCH(AP$5,PayDedList,0)-1,PayCount,1)))/$AA223*12*AP$3,IF(ISNA(MATCH(AP$1,EarnListItem,0))=FALSE,SUMPRODUCT((PayEmp=$C223)*(PayDate&lt;=$AC223)*(OFFSET($N$6,1,MATCH(AP$5,PayDedList,0)-1,PayCount,1)))/$AA223*12*AP$3,(MIN(((SUMPRODUCT((PayEmp=$C223)*(PayDate&lt;=$AC223)*(ISERROR(SEARCH(PayEarnCode,AP$2)))*(PayEarnType="Monthly")*(PayEarnValues))/$AA223*12)+(SUMPRODUCT((PayEmp=$C223)*(PayDate&lt;=$AC223)*(ISERROR(SEARCH(PayEarnCode,AP$2)))*(PayEarnType="Quarterly")*(PayEarnValues))/MAX(1,ROUNDDOWN($AB223/3,0))*4)+(SUMPRODUCT((PayEmp=$C223)*(PayDate&lt;=$AC223)*(ISERROR(SEARCH(PayEarnCode,AP$2)))*(PayEarnType="Bi-Annual")*(PayEarnValues))/MAX(1,ROUNDDOWN($AB223/6,0))*2)+(SUMPRODUCT((PayEmp=$C223)*(PayDate&lt;=$AC223)*(ISERROR(SEARCH(PayEarnCode,AP$2)))*(PayEarnType="Annual")*(PayEarnValues)))),IF(ISNUMBER(OFFSET($N$3,0,MATCH(AP$5,PayDedList,0)-1,1,1)),OFFSET($N$3,0,MATCH(AP$5,PayDedList,0)-1,1,1),IgnoreMin)))*IF(COUNTIFS(EmpNo,$C223,OFFSET(Emp!$R$4,1,MATCH(AP$5,DedListItem,0)-1,EmpCount,1),"&lt;&gt;")&gt;0,VLOOKUP($C223,EmpAll,COLUMN(Emp!$R$4)+MATCH(AP$5,DedListItem,0)-1,0),OFFSET(Setup!$E$73,MATCH(AP$5,DedListItem,0),0,1,1))*AP$3))),IF(ISNUMBER(AP$4),AP$4,IgnoreMin)))))</f>
        <v>0</v>
      </c>
      <c r="AQ223" s="148" cm="1">
        <f t="array" aca="1" ref="AQ223" ca="1">-IF($F223="Terminated",0,IF($AA223=0,0,IF(ISNA(MATCH(AQ$5,PayDedList,0)),0,MIN(IF(COUNTIFS(OverEmp,$C223,OverDeduct,AQ$5,OverDate,"&lt;"&amp;DATE(YEAR($AC223),MONTH($AC223)+1,1),OverEnd,"&gt;="&amp;DATE(YEAR($AC223),MONTH($AC223),1))&gt;0,SUMPRODUCT((PayEmp=$C223)*(PayDate&lt;=$AC223)*(OFFSET($N$6,1,MATCH(AQ$5,PayDedList,0)-1,PayCount,1)))/$AA223*12*AQ$3,IF(OR(AQ$1="Fixed",AQ$1="Not Used"),SUMPRODUCT((PayEmp=$C223)*(PayDate&lt;=$AC223)*(OFFSET($N$6,1,MATCH(AQ$5,PayDedList,0)-1,PayCount,1)))/$AA223*12*AQ$3,IF(ISNA(MATCH(AQ$1,EarnListItem,0))=FALSE,SUMPRODUCT((PayEmp=$C223)*(PayDate&lt;=$AC223)*(OFFSET($N$6,1,MATCH(AQ$5,PayDedList,0)-1,PayCount,1)))/$AA223*12*AQ$3,(MIN(((SUMPRODUCT((PayEmp=$C223)*(PayDate&lt;=$AC223)*(ISERROR(SEARCH(PayEarnCode,AQ$2)))*(PayEarnType="Monthly")*(PayEarnValues))/$AA223*12)+(SUMPRODUCT((PayEmp=$C223)*(PayDate&lt;=$AC223)*(ISERROR(SEARCH(PayEarnCode,AQ$2)))*(PayEarnType="Quarterly")*(PayEarnValues))/MAX(1,ROUNDDOWN($AB223/3,0))*4)+(SUMPRODUCT((PayEmp=$C223)*(PayDate&lt;=$AC223)*(ISERROR(SEARCH(PayEarnCode,AQ$2)))*(PayEarnType="Bi-Annual")*(PayEarnValues))/MAX(1,ROUNDDOWN($AB223/6,0))*2)+(SUMPRODUCT((PayEmp=$C223)*(PayDate&lt;=$AC223)*(ISERROR(SEARCH(PayEarnCode,AQ$2)))*(PayEarnType="Annual")*(PayEarnValues)))),IF(ISNUMBER(OFFSET($N$3,0,MATCH(AQ$5,PayDedList,0)-1,1,1)),OFFSET($N$3,0,MATCH(AQ$5,PayDedList,0)-1,1,1),IgnoreMin)))*IF(COUNTIFS(EmpNo,$C223,OFFSET(Emp!$R$4,1,MATCH(AQ$5,DedListItem,0)-1,EmpCount,1),"&lt;&gt;")&gt;0,VLOOKUP($C223,EmpAll,COLUMN(Emp!$R$4)+MATCH(AQ$5,DedListItem,0)-1,0),OFFSET(Setup!$E$73,MATCH(AQ$5,DedListItem,0),0,1,1))*AQ$3))),IF(ISNUMBER(AQ$4),AQ$4,IgnoreMin)))))</f>
        <v>0</v>
      </c>
      <c r="AR223" s="148">
        <f t="shared" ca="1" si="131"/>
        <v>0</v>
      </c>
      <c r="AS223" s="148">
        <f t="shared" ca="1" si="109"/>
        <v>0</v>
      </c>
      <c r="AT223" s="148" cm="1">
        <f t="array" aca="1" ref="AT223" ca="1">-IF($F223="Terminated",0,IF($AA223=0,0,IF(ISNA(MATCH(AT$5,PayDedList,0)),0,MIN(IF(COUNTIFS(OverEmp,$C223,OverDeduct,AT$5,OverDate,"&lt;"&amp;DATE(YEAR($AC223),MONTH($AC223)+1,1),OverEnd,"&gt;="&amp;DATE(YEAR($AC223),MONTH($AC223),1))&gt;0,SUMPRODUCT((PayEmp=$C223)*(PayDate&lt;=$AC223)*(OFFSET($N$6,1,MATCH(AT$5,PayDedList,0)-1,PayCount,1)))/$AA223*12*AT$3,IF(OR(AT$1="Fixed",AT$1="Not Used"),SUMPRODUCT((PayEmp=$C223)*(PayDate&lt;=$AC223)*(OFFSET($N$6,1,MATCH(AT$5,PayDedList,0)-1,PayCount,1)))/$AA223*12*AT$3,IF(ISNA(MATCH(OFFSET($N$2,0,MATCH(AT$5,PayDedList,0)-1,1,1),EarnListItem,0))=FALSE,SUMPRODUCT((PayEmp=$C223)*(PayDate&lt;=$AC223)*(OFFSET($N$6,1,MATCH(AT$5,PayDedList,0)-1,PayCount,1)))/$AA223*12*AT$3,(MIN(SUMPRODUCT((PayEmp=$C223)*(PayDate&lt;=$AC223)*(ISERROR(SEARCH(PayEarnCode,AT$2)))*(PayEarnType="Monthly")*(PayEarnValues))/$AA223*12,IF(ISNUMBER(OFFSET($N$3,0,MATCH(AT$5,PayDedList,0)-1,1,1)),OFFSET($N$3,0,MATCH(AT$5,PayDedList,0)-1,1,1),IgnoreMin)))*IF(COUNTIFS(EmpNo,$C223,OFFSET(Emp!$R$4,1,MATCH(AT$5,DedListItem,0)-1,EmpCount,1),"&lt;&gt;")&gt;0,VLOOKUP($C223,EmpAll,COLUMN(Emp!$R$4)+MATCH(AT$5,DedListItem,0)-1,0),OFFSET(Setup!$E$73,MATCH(AT$5,DedListItem,0),0,1,1))*AT$3))),IF(ISNUMBER(AT$4),AT$4,IgnoreMin)))))</f>
        <v>0</v>
      </c>
      <c r="AU223" s="148" cm="1">
        <f t="array" aca="1" ref="AU223" ca="1">-IF($F223="Terminated",0,IF($AA223=0,0,IF(ISNA(MATCH(AU$5,PayDedList,0)),0,MIN(IF(COUNTIFS(OverEmp,$C223,OverDeduct,AU$5,OverDate,"&lt;"&amp;DATE(YEAR($AC223),MONTH($AC223)+1,1),OverEnd,"&gt;="&amp;DATE(YEAR($AC223),MONTH($AC223),1))&gt;0,SUMPRODUCT((PayEmp=$C223)*(PayDate&lt;=$AC223)*(OFFSET($N$6,1,MATCH(AU$5,PayDedList,0)-1,PayCount,1)))/$AA223*12*AU$3,IF(OR(AU$1="Fixed",AU$1="Not Used"),SUMPRODUCT((PayEmp=$C223)*(PayDate&lt;=$AC223)*(OFFSET($N$6,1,MATCH(AU$5,PayDedList,0)-1,PayCount,1)))/$AA223*12*AU$3,IF(ISNA(MATCH(OFFSET($N$2,0,MATCH(AU$5,PayDedList,0)-1,1,1),EarnListItem,0))=FALSE,SUMPRODUCT((PayEmp=$C223)*(PayDate&lt;=$AC223)*(OFFSET($N$6,1,MATCH(AU$5,PayDedList,0)-1,PayCount,1)))/$AA223*12*AU$3,(MIN(SUMPRODUCT((PayEmp=$C223)*(PayDate&lt;=$AC223)*(ISERROR(SEARCH(PayEarnCode,AU$2)))*(PayEarnType="Monthly")*(PayEarnValues))/$AA223*12,IF(ISNUMBER(OFFSET($N$3,0,MATCH(AU$5,PayDedList,0)-1,1,1)),OFFSET($N$3,0,MATCH(AU$5,PayDedList,0)-1,1,1),IgnoreMin)))*IF(COUNTIFS(EmpNo,$C223,OFFSET(Emp!$R$4,1,MATCH(AU$5,DedListItem,0)-1,EmpCount,1),"&lt;&gt;")&gt;0,VLOOKUP($C223,EmpAll,COLUMN(Emp!$R$4)+MATCH(AU$5,DedListItem,0)-1,0),OFFSET(Setup!$E$73,MATCH(AU$5,DedListItem,0),0,1,1))*AU$3))),IF(ISNUMBER(AU$4),AU$4,IgnoreMin)))))</f>
        <v>0</v>
      </c>
      <c r="AV223" s="148" cm="1">
        <f t="array" aca="1" ref="AV223" ca="1">-IF($F223="Terminated",0,IF($AA223=0,0,IF(ISNA(MATCH(AV$5,PayDedList,0)),0,MIN(IF(COUNTIFS(OverEmp,$C223,OverDeduct,AV$5,OverDate,"&lt;"&amp;DATE(YEAR($AC223),MONTH($AC223)+1,1),OverEnd,"&gt;="&amp;DATE(YEAR($AC223),MONTH($AC223),1))&gt;0,SUMPRODUCT((PayEmp=$C223)*(PayDate&lt;=$AC223)*(OFFSET($N$6,1,MATCH(AV$5,PayDedList,0)-1,PayCount,1)))/$AA223*12*AV$3,IF(OR(AV$1="Fixed",AV$1="Not Used"),SUMPRODUCT((PayEmp=$C223)*(PayDate&lt;=$AC223)*(OFFSET($N$6,1,MATCH(AV$5,PayDedList,0)-1,PayCount,1)))/$AA223*12*AV$3,IF(ISNA(MATCH(OFFSET($N$2,0,MATCH(AV$5,PayDedList,0)-1,1,1),EarnListItem,0))=FALSE,SUMPRODUCT((PayEmp=$C223)*(PayDate&lt;=$AC223)*(OFFSET($N$6,1,MATCH(AV$5,PayDedList,0)-1,PayCount,1)))/$AA223*12*AV$3,(MIN(SUMPRODUCT((PayEmp=$C223)*(PayDate&lt;=$AC223)*(ISERROR(SEARCH(PayEarnCode,AV$2)))*(PayEarnType="Monthly")*(PayEarnValues))/$AA223*12,IF(ISNUMBER(OFFSET($N$3,0,MATCH(AV$5,PayDedList,0)-1,1,1)),OFFSET($N$3,0,MATCH(AV$5,PayDedList,0)-1,1,1),IgnoreMin)))*IF(COUNTIFS(EmpNo,$C223,OFFSET(Emp!$R$4,1,MATCH(AV$5,DedListItem,0)-1,EmpCount,1),"&lt;&gt;")&gt;0,VLOOKUP($C223,EmpAll,COLUMN(Emp!$R$4)+MATCH(AV$5,DedListItem,0)-1,0),OFFSET(Setup!$E$73,MATCH(AV$5,DedListItem,0),0,1,1))*AV$3))),IF(ISNUMBER(AV$4),AV$4,IgnoreMin)))))</f>
        <v>0</v>
      </c>
      <c r="AW223" s="148" cm="1">
        <f t="array" aca="1" ref="AW223" ca="1">-IF($F223="Terminated",0,IF($AA223=0,0,IF(ISNA(MATCH(AW$5,PayDedList,0)),0,MIN(IF(COUNTIFS(OverEmp,$C223,OverDeduct,AW$5,OverDate,"&lt;"&amp;DATE(YEAR($AC223),MONTH($AC223)+1,1),OverEnd,"&gt;="&amp;DATE(YEAR($AC223),MONTH($AC223),1))&gt;0,SUMPRODUCT((PayEmp=$C223)*(PayDate&lt;=$AC223)*(OFFSET($N$6,1,MATCH(AW$5,PayDedList,0)-1,PayCount,1)))/$AA223*12*AW$3,IF(OR(AW$1="Fixed",AW$1="Not Used"),SUMPRODUCT((PayEmp=$C223)*(PayDate&lt;=$AC223)*(OFFSET($N$6,1,MATCH(AW$5,PayDedList,0)-1,PayCount,1)))/$AA223*12*AW$3,IF(ISNA(MATCH(OFFSET($N$2,0,MATCH(AW$5,PayDedList,0)-1,1,1),EarnListItem,0))=FALSE,SUMPRODUCT((PayEmp=$C223)*(PayDate&lt;=$AC223)*(OFFSET($N$6,1,MATCH(AW$5,PayDedList,0)-1,PayCount,1)))/$AA223*12*AW$3,(MIN(SUMPRODUCT((PayEmp=$C223)*(PayDate&lt;=$AC223)*(ISERROR(SEARCH(PayEarnCode,AW$2)))*(PayEarnType="Monthly")*(PayEarnValues))/$AA223*12,IF(ISNUMBER(OFFSET($N$3,0,MATCH(AW$5,PayDedList,0)-1,1,1)),OFFSET($N$3,0,MATCH(AW$5,PayDedList,0)-1,1,1),IgnoreMin)))*IF(COUNTIFS(EmpNo,$C223,OFFSET(Emp!$R$4,1,MATCH(AW$5,DedListItem,0)-1,EmpCount,1),"&lt;&gt;")&gt;0,VLOOKUP($C223,EmpAll,COLUMN(Emp!$R$4)+MATCH(AW$5,DedListItem,0)-1,0),OFFSET(Setup!$E$73,MATCH(AW$5,DedListItem,0),0,1,1))*AW$3))),IF(ISNUMBER(AW$4),AW$4,IgnoreMin)))))</f>
        <v>0</v>
      </c>
      <c r="AX223" s="148">
        <f t="shared" ca="1" si="132"/>
        <v>0</v>
      </c>
      <c r="AY223" s="148">
        <f t="shared" ca="1" si="133"/>
        <v>0</v>
      </c>
      <c r="AZ223" s="148">
        <f ca="1">IF(ISNUMBER($AL223),($AR223*$AL223)-$AI223-$AK223,MAX(0,IF($AL223="B",IF($AR223&lt;Setup!$C$32,($AR223*Setup!$D$32)-$AI223-$AK223,(($AR223-VLOOKUP($AR223,TaxAll2,1,1))*OFFSET(Setup!$D$32,MATCH($AR223,TaxBracket2,1),0,1,1))+OFFSET(Setup!$E$31,MATCH($AR223,TaxBracket2,1),0,1,1)-$AI223-$AK223),IF($AR223&lt;Setup!$C$21,($AR223*Setup!$D$21)-$AI223-$AK223,(($AR223-VLOOKUP($AR223,TaxAll1,1,1))*OFFSET(Setup!$D$21,MATCH($AR223,TaxBracket1,1),0,1,1))+OFFSET(Setup!$E$20,MATCH($AR223,TaxBracket1,1),0,1,1)-$AI223-$AK223))))</f>
        <v>0</v>
      </c>
      <c r="BA223" s="148">
        <f ca="1">IF(ISNUMBER($AL223),($AX223*$AL223)-$AI223-$AK223,MAX(0,IF($AL223="B",IF($AX223&lt;Setup!$C$32,($AX223*Setup!$D$32)-$AI223-$AK223,(($AX223-VLOOKUP($AX223,TaxAll2,1,1))*OFFSET(Setup!$D$32,MATCH($AX223,TaxBracket2,1),0,1,1))+OFFSET(Setup!$E$31,MATCH($AX223,TaxBracket2,1),0,1,1)-$AI223-$AK223),IF($AX223&lt;Setup!$C$21,($AX223*Setup!$D$21)-$AI223-$AK223,(($AX223-VLOOKUP($AX223,TaxAll1,1,1))*OFFSET(Setup!$D$21,MATCH($AX223,TaxBracket1,1),0,1,1))+OFFSET(Setup!$E$20,MATCH($AX223,TaxBracket1,1),0,1,1)-$AI223-$AK223))))</f>
        <v>0</v>
      </c>
      <c r="BB223" s="148">
        <f t="shared" ca="1" si="134"/>
        <v>0</v>
      </c>
      <c r="BC223" s="150">
        <f t="shared" ca="1" si="110"/>
        <v>0</v>
      </c>
      <c r="BD223" s="150">
        <f t="shared" ca="1" si="111"/>
        <v>0</v>
      </c>
      <c r="BE223" s="148">
        <f t="shared" ca="1" si="112"/>
        <v>0</v>
      </c>
    </row>
    <row r="224" spans="1:57" ht="16.149999999999999" customHeight="1" x14ac:dyDescent="0.25">
      <c r="A224" s="10" t="str" cm="1">
        <f t="array" ref="A224">IF(ROW($A224)-ROW($A$6)&gt;EmpCount*12,"-",TEXT($B224,"yyyy")&amp;TEXT($B224,"mm")&amp;"-"&amp;$C224)</f>
        <v>-</v>
      </c>
      <c r="B224" s="137" cm="1">
        <f t="array" aca="1" ref="B224" ca="1">IF(ROW($A224)-ROW($A$6)&gt;EmpCount*12,Setup!$D$12,DATE(YEAR(Setup!$F$12),MONTH(Setup!$F$12)+ROUNDDOWN((ROW($A224)-ROW($A$6)-1)/EmpCount,0),IF(Setup!$C$14&gt;DAY(DATE(YEAR(Setup!$F$12),MONTH(Setup!$F$12)+ROUNDDOWN((ROW($A224)-ROW($A$6)-1)/EmpCount,0)+1,0)),DAY(DATE(YEAR(Setup!$F$12),MONTH(Setup!$F$12)+ROUNDDOWN((ROW($A224)-ROW($A$6)-1)/EmpCount,0)+1,0)),Setup!$C$14)))</f>
        <v>45351</v>
      </c>
      <c r="C224" s="101" t="str" cm="1">
        <f t="array" aca="1" ref="C224" ca="1">IF(ROW($A224)-ROW($A$6)&gt;EmpCount*12,"-",OFFSET(Emp!$A$4,ROW($A224)-ROW($A$6)-IF(ROW($A224)-ROW($A$6)&gt;EmpCount,ROUNDDOWN((ROW($A224)-ROW($A$6)-1)/EmpCount,0)*EmpCount,0),0,1,1))</f>
        <v>-</v>
      </c>
      <c r="D224" s="10" t="str">
        <f ca="1">IF(ISNA(VLOOKUP($C224,EmpAll,COLUMN(Emp!$B$4),0)),"-",VLOOKUP($C224,EmpAll,COLUMN(Emp!$B$4),0))</f>
        <v>-</v>
      </c>
      <c r="E224" s="145" t="str">
        <f ca="1">IF(ISNA(VLOOKUP($C224,EmpAll,COLUMN(Emp!$C$4),0)),"-",VLOOKUP($C224,EmpAll,COLUMN(Emp!$C$4),0))</f>
        <v>-</v>
      </c>
      <c r="F224" s="101" t="str">
        <f ca="1">IF(ISNA(VLOOKUP($C224,EmpAll,COLUMN(Emp!$A$4),0)),"-",IF(AND(VLOOKUP($C224,EmpAll,COLUMN(Emp!$E$4),0)&lt;&gt;0,VLOOKUP($C224,EmpAll,COLUMN(Emp!$E$4),0)&gt;=DATE(YEAR($AC224),MONTH($AC224)+1,0)),"Inactive",IF(AND(VLOOKUP($C224,EmpAll,COLUMN(Emp!$F$4),0)&lt;&gt;0,VLOOKUP($C224,EmpAll,COLUMN(Emp!$F$4),0)&lt;=DATE(YEAR($AC224),MONTH($AC224),0)),"Terminated","Active")))</f>
        <v>-</v>
      </c>
      <c r="G224" s="133" cm="1">
        <f t="array" aca="1" ref="G224" ca="1">IF($F224&lt;&gt;"Active",0,IF(COUNTIFS(OverEmp,$C224,OverEarn,G$2,OverDate,"&lt;"&amp;DATE(YEAR($AC224),MONTH($AC224)+1,1),OverEnd,"&gt;="&amp;DATE(YEAR($AC224),MONTH($AC224),1))&gt;0,SUMIFS(OverValue,OverEmp,$C224,OverEarn,G$2,OverDate,"&lt;"&amp;DATE(YEAR($AC224),MONTH($AC224)+1,1),OverEnd,"&gt;="&amp;DATE(YEAR($AC224),MONTH($AC224),1)),IF(AND($AC224&gt;=Setup!$E$10,SUMIFS(EmpIncrease,EmpCode,$C224)&gt;0),SUMIFS(EmpIncrease,EmpCode,$C224),SUMIFS(EmpSalary,EmpCode,$C224))))</f>
        <v>0</v>
      </c>
      <c r="H224" s="133" cm="1">
        <f t="array" aca="1" ref="H224" ca="1">IF($F224&lt;&gt;"Active",0,IF(COUNTIFS(OverEmp,$C224,OverEarn,H$2,OverDate,"&lt;"&amp;DATE(YEAR($AC224),MONTH($AC224)+1,1),OverEnd,"&gt;="&amp;DATE(YEAR($AC224),MONTH($AC224),1))&gt;0,SUMIFS(OverValue,OverEmp,$C224,OverEarn,H$2,OverDate,"&lt;"&amp;DATE(YEAR($AC224),MONTH($AC224)+1,1),OverEnd,"&gt;="&amp;DATE(YEAR($AC224),MONTH($AC224),1)),0))</f>
        <v>0</v>
      </c>
      <c r="I224" s="133" cm="1">
        <f t="array" aca="1" ref="I224" ca="1">IF($F224&lt;&gt;"Active",0,IF(COUNTIFS(OverEmp,$C224,OverEarn,I$2,OverDate,"&lt;"&amp;DATE(YEAR($AC224),MONTH($AC224)+1,1),OverEnd,"&gt;="&amp;DATE(YEAR($AC224),MONTH($AC224),1))&gt;0,SUMIFS(OverValue,OverEmp,$C224,OverEarn,I$2,OverDate,"&lt;"&amp;DATE(YEAR($AC224),MONTH($AC224)+1,1),OverEnd,"&gt;="&amp;DATE(YEAR($AC224),MONTH($AC224),1)),IF(MONTH(B224)=Setup!$C$15,SUMIFS(EmpBonus,EmpCode,$C224),0)))</f>
        <v>0</v>
      </c>
      <c r="J224" s="133" cm="1">
        <f t="array" aca="1" ref="J224" ca="1">IF($F224&lt;&gt;"Active",0,IF(COUNTIFS(OverEmp,$C224,OverEarn,J$2,OverDate,"&lt;"&amp;DATE(YEAR($AC224),MONTH($AC224)+1,1),OverEnd,"&gt;="&amp;DATE(YEAR($AC224),MONTH($AC224),1))&gt;0,SUMIFS(OverValue,OverEmp,$C224,OverEarn,J$2,OverDate,"&lt;"&amp;DATE(YEAR($AC224),MONTH($AC224)+1,1),OverEnd,"&gt;="&amp;DATE(YEAR($AC224),MONTH($AC224),1)),0))</f>
        <v>0</v>
      </c>
      <c r="K224" s="133" cm="1">
        <f t="array" aca="1" ref="K224" ca="1">IF($F224&lt;&gt;"Active",0,IF(COUNTIFS(OverEmp,$C224,OverEarn,K$2,OverDate,"&lt;"&amp;DATE(YEAR($AC224),MONTH($AC224)+1,1),OverEnd,"&gt;="&amp;DATE(YEAR($AC224),MONTH($AC224),1))&gt;0,SUMIFS(OverValue,OverEmp,$C224,OverEarn,K$2,OverDate,"&lt;"&amp;DATE(YEAR($AC224),MONTH($AC224)+1,1),OverEnd,"&gt;="&amp;DATE(YEAR($AC224),MONTH($AC224),1)),0))</f>
        <v>0</v>
      </c>
      <c r="L224" s="185">
        <f t="shared" ca="1" si="124"/>
        <v>0</v>
      </c>
      <c r="M224" s="182" cm="1">
        <f t="array" aca="1" ref="M224" ca="1">IF(COUNTIFS(OverEmp,$C224,OverTax,M$5,OverDate,"&lt;"&amp;DATE(YEAR($AC224),MONTH($AC224)+1,1),OverEnd,"&gt;="&amp;DATE(YEAR($AC224),MONTH($AC224),1))&gt;0,SUMIFS(OverValue,OverEmp,$C224,OverTax,M$5,OverDate,"&lt;"&amp;DATE(YEAR($AC224),MONTH($AC224)+1,1),OverEnd,"&gt;="&amp;DATE(YEAR($AC224),MONTH($AC224),1)),(($BA224/12*$AA224)+(BB224*IF(1-$BC224=0,0,BD224/(1-$BC224))))-IF($F224="Terminated",0,SUMIFS(PayTaxDeduct,PayDate,"&lt;"&amp;$AC224,PayEmp,$C224)))</f>
        <v>0</v>
      </c>
      <c r="N224" s="133" cm="1">
        <f t="array" aca="1" ref="N224" ca="1">IF($F224="Terminated",0,IF($AA224=0,0,IF(ISNA(MATCH(N$5,DedListItem,0)),0,IF(COUNTIFS(OverEmp,$C224,OverDeduct,N$5,OverDate,"&lt;"&amp;DATE(YEAR($AC224),MONTH($AC224)+1,1),OverEnd,"&gt;="&amp;DATE(YEAR($AC224),MONTH($AC224),1))&gt;0,SUMIFS(OverValue,OverEmp,$C224,OverDeduct,N$5,OverDate,"&lt;"&amp;DATE(YEAR($AC224),MONTH($AC224)+1,1),OverEnd,"&gt;="&amp;DATE(YEAR($AC224),MONTH($AC224),1)),IF(OR(N$2="Fixed",N$2="Not Used"),(IF(COUNTIFS(EmpNo,$C224,OFFSET(Emp!$R$4,1,MATCH(N$5,DedListItem,0)-1,EmpCount,1),"&lt;&gt;")&gt;0,VLOOKUP($C224,EmpAll,COLUMN(Emp!$R$4)+MATCH(N$5,DedListItem,0)-1,0),OFFSET(Setup!$E$73,MATCH(N$5,DedListItem,0),0,1,1))*$AA224)-SUMIFS(OFFSET(N$6,1,0,PayCount,1),PayDate,"&lt;"&amp;$AC224,PayEmp,$C224),IF(ISNA(MATCH(N$2,EarnListItem,0))=FALSE,IF(OFFSET(Setup!$G$73,MATCH(N$5,DedListItem,0),0,1,1)="Taxable",SUMPRODUCT((PayEmp=$C224)*(PayDate&lt;=$AC224)*(PayEarnCode=N$2)*(PayEarnTax)*(PayEarnValues)),SUMPRODUCT((PayEmp=$C224)*(PayDate&lt;=$AC224)*(PayEarnCode=N$2)*(PayEarnValues)))*IF(COUNTIFS(EmpNo,$C224,OFFSET(Emp!$R$4,1,MATCH(N$5,DedListItem,0)-1,EmpCount,1),"&lt;&gt;")&gt;0,VLOOKUP($C224,EmpAll,COLUMN(Emp!$R$4)+MATCH(N$5,DedListItem,0)-1,0),OFFSET(Setup!$E$73,MATCH(N$5,DedListItem,0),0,1,1)),(MIN(IF(OFFSET(Setup!$G$73,MATCH(N$5,DedListItem,0),0,1,1)="Taxable",SUMPRODUCT((PayEmp=$C224)*(PayDate&lt;=$AC224)*(ISERROR(SEARCH(PayEarnCode,N$4)))*(PayEarnTax)*(PayEarnValues)),SUMPRODUCT((PayEmp=$C224)*(PayDate&lt;=$AC224)*(ISERROR(SEARCH(PayEarnCode,N$4)))*(PayEarnValues))),IF(ISNUMBER(N$3),N$3/12*$AA224,IgnoreMin)))*IF(COUNTIFS(EmpNo,$C224,OFFSET(Emp!$R$4,1,MATCH(N$5,DedListItem,0)-1,EmpCount,1),"&lt;&gt;")&gt;0,VLOOKUP($C224,EmpAll,COLUMN(Emp!$R$4)+MATCH(N$5,DedListItem,0)-1,0),OFFSET(Setup!$E$73,MATCH(N$5,DedListItem,0),0,1,1)))-SUMIFS(OFFSET(N$6,1,0,PayCount,1),PayDate,"&lt;"&amp;$AC224,PayEmp,$C224))))))</f>
        <v>0</v>
      </c>
      <c r="O224" s="133" cm="1">
        <f t="array" aca="1" ref="O224" ca="1">IF($F224="Terminated",0,IF($AA224=0,0,IF(ISNA(MATCH(O$5,DedListItem,0)),0,IF(COUNTIFS(OverEmp,$C224,OverDeduct,O$5,OverDate,"&lt;"&amp;DATE(YEAR($AC224),MONTH($AC224)+1,1),OverEnd,"&gt;="&amp;DATE(YEAR($AC224),MONTH($AC224),1))&gt;0,SUMIFS(OverValue,OverEmp,$C224,OverDeduct,O$5,OverDate,"&lt;"&amp;DATE(YEAR($AC224),MONTH($AC224)+1,1),OverEnd,"&gt;="&amp;DATE(YEAR($AC224),MONTH($AC224),1)),IF(OR(O$2="Fixed",O$2="Not Used"),(IF(COUNTIFS(EmpNo,$C224,OFFSET(Emp!$R$4,1,MATCH(O$5,DedListItem,0)-1,EmpCount,1),"&lt;&gt;")&gt;0,VLOOKUP($C224,EmpAll,COLUMN(Emp!$R$4)+MATCH(O$5,DedListItem,0)-1,0),OFFSET(Setup!$E$73,MATCH(O$5,DedListItem,0),0,1,1))*$AA224)-SUMIFS(OFFSET(O$6,1,0,PayCount,1),PayDate,"&lt;"&amp;$AC224,PayEmp,$C224),IF(ISNA(MATCH(O$2,EarnListItem,0))=FALSE,IF(OFFSET(Setup!$G$73,MATCH(O$5,DedListItem,0),0,1,1)="Taxable",SUMPRODUCT((PayEmp=$C224)*(PayDate&lt;=$AC224)*(PayEarnCode=O$2)*(PayEarnTax)*(PayEarnValues)),SUMPRODUCT((PayEmp=$C224)*(PayDate&lt;=$AC224)*(PayEarnCode=O$2)*(PayEarnValues)))*IF(COUNTIFS(EmpNo,$C224,OFFSET(Emp!$R$4,1,MATCH(O$5,DedListItem,0)-1,EmpCount,1),"&lt;&gt;")&gt;0,VLOOKUP($C224,EmpAll,COLUMN(Emp!$R$4)+MATCH(O$5,DedListItem,0)-1,0),OFFSET(Setup!$E$73,MATCH(O$5,DedListItem,0),0,1,1)),(MIN(IF(OFFSET(Setup!$G$73,MATCH(O$5,DedListItem,0),0,1,1)="Taxable",SUMPRODUCT((PayEmp=$C224)*(PayDate&lt;=$AC224)*(ISERROR(SEARCH(PayEarnCode,O$4)))*(PayEarnTax)*(PayEarnValues)),SUMPRODUCT((PayEmp=$C224)*(PayDate&lt;=$AC224)*(ISERROR(SEARCH(PayEarnCode,O$4)))*(PayEarnValues))),IF(ISNUMBER(O$3),O$3/12*$AA224,IgnoreMin)))*IF(COUNTIFS(EmpNo,$C224,OFFSET(Emp!$R$4,1,MATCH(O$5,DedListItem,0)-1,EmpCount,1),"&lt;&gt;")&gt;0,VLOOKUP($C224,EmpAll,COLUMN(Emp!$R$4)+MATCH(O$5,DedListItem,0)-1,0),OFFSET(Setup!$E$73,MATCH(O$5,DedListItem,0),0,1,1)))-SUMIFS(OFFSET(O$6,1,0,PayCount,1),PayDate,"&lt;"&amp;$AC224,PayEmp,$C224))))))</f>
        <v>0</v>
      </c>
      <c r="P224" s="133" cm="1">
        <f t="array" aca="1" ref="P224" ca="1">IF($F224="Terminated",0,IF($AA224=0,0,IF(ISNA(MATCH(P$5,DedListItem,0)),0,IF(COUNTIFS(OverEmp,$C224,OverDeduct,P$5,OverDate,"&lt;"&amp;DATE(YEAR($AC224),MONTH($AC224)+1,1),OverEnd,"&gt;="&amp;DATE(YEAR($AC224),MONTH($AC224),1))&gt;0,SUMIFS(OverValue,OverEmp,$C224,OverDeduct,P$5,OverDate,"&lt;"&amp;DATE(YEAR($AC224),MONTH($AC224)+1,1),OverEnd,"&gt;="&amp;DATE(YEAR($AC224),MONTH($AC224),1)),IF(OR(P$2="Fixed",P$2="Not Used"),(IF(COUNTIFS(EmpNo,$C224,OFFSET(Emp!$R$4,1,MATCH(P$5,DedListItem,0)-1,EmpCount,1),"&lt;&gt;")&gt;0,VLOOKUP($C224,EmpAll,COLUMN(Emp!$R$4)+MATCH(P$5,DedListItem,0)-1,0),OFFSET(Setup!$E$73,MATCH(P$5,DedListItem,0),0,1,1))*$AA224)-SUMIFS(OFFSET(P$6,1,0,PayCount,1),PayDate,"&lt;"&amp;$AC224,PayEmp,$C224),IF(ISNA(MATCH(P$2,EarnListItem,0))=FALSE,IF(OFFSET(Setup!$G$73,MATCH(P$5,DedListItem,0),0,1,1)="Taxable",SUMPRODUCT((PayEmp=$C224)*(PayDate&lt;=$AC224)*(PayEarnCode=P$2)*(PayEarnTax)*(PayEarnValues)),SUMPRODUCT((PayEmp=$C224)*(PayDate&lt;=$AC224)*(PayEarnCode=P$2)*(PayEarnValues)))*IF(COUNTIFS(EmpNo,$C224,OFFSET(Emp!$R$4,1,MATCH(P$5,DedListItem,0)-1,EmpCount,1),"&lt;&gt;")&gt;0,VLOOKUP($C224,EmpAll,COLUMN(Emp!$R$4)+MATCH(P$5,DedListItem,0)-1,0),OFFSET(Setup!$E$73,MATCH(P$5,DedListItem,0),0,1,1)),(MIN(IF(OFFSET(Setup!$G$73,MATCH(P$5,DedListItem,0),0,1,1)="Taxable",SUMPRODUCT((PayEmp=$C224)*(PayDate&lt;=$AC224)*(ISERROR(SEARCH(PayEarnCode,P$4)))*(PayEarnTax)*(PayEarnValues)),SUMPRODUCT((PayEmp=$C224)*(PayDate&lt;=$AC224)*(ISERROR(SEARCH(PayEarnCode,P$4)))*(PayEarnValues))),IF(ISNUMBER(P$3),P$3/12*$AA224,IgnoreMin)))*IF(COUNTIFS(EmpNo,$C224,OFFSET(Emp!$R$4,1,MATCH(P$5,DedListItem,0)-1,EmpCount,1),"&lt;&gt;")&gt;0,VLOOKUP($C224,EmpAll,COLUMN(Emp!$R$4)+MATCH(P$5,DedListItem,0)-1,0),OFFSET(Setup!$E$73,MATCH(P$5,DedListItem,0),0,1,1)))-SUMIFS(OFFSET(P$6,1,0,PayCount,1),PayDate,"&lt;"&amp;$AC224,PayEmp,$C224))))))</f>
        <v>0</v>
      </c>
      <c r="Q224" s="133" cm="1">
        <f t="array" aca="1" ref="Q224" ca="1">IF($F224="Terminated",0,IF($AA224=0,0,IF(ISNA(MATCH(Q$5,DedListItem,0)),0,IF(COUNTIFS(OverEmp,$C224,OverDeduct,Q$5,OverDate,"&lt;"&amp;DATE(YEAR($AC224),MONTH($AC224)+1,1),OverEnd,"&gt;="&amp;DATE(YEAR($AC224),MONTH($AC224),1))&gt;0,SUMIFS(OverValue,OverEmp,$C224,OverDeduct,Q$5,OverDate,"&lt;"&amp;DATE(YEAR($AC224),MONTH($AC224)+1,1),OverEnd,"&gt;="&amp;DATE(YEAR($AC224),MONTH($AC224),1)),IF(OR(Q$2="Fixed",Q$2="Not Used"),(IF(COUNTIFS(EmpNo,$C224,OFFSET(Emp!$R$4,1,MATCH(Q$5,DedListItem,0)-1,EmpCount,1),"&lt;&gt;")&gt;0,VLOOKUP($C224,EmpAll,COLUMN(Emp!$R$4)+MATCH(Q$5,DedListItem,0)-1,0),OFFSET(Setup!$E$73,MATCH(Q$5,DedListItem,0),0,1,1))*$AA224)-SUMIFS(OFFSET(Q$6,1,0,PayCount,1),PayDate,"&lt;"&amp;$AC224,PayEmp,$C224),IF(ISNA(MATCH(Q$2,EarnListItem,0))=FALSE,IF(OFFSET(Setup!$G$73,MATCH(Q$5,DedListItem,0),0,1,1)="Taxable",SUMPRODUCT((PayEmp=$C224)*(PayDate&lt;=$AC224)*(PayEarnCode=Q$2)*(PayEarnTax)*(PayEarnValues)),SUMPRODUCT((PayEmp=$C224)*(PayDate&lt;=$AC224)*(PayEarnCode=Q$2)*(PayEarnValues)))*IF(COUNTIFS(EmpNo,$C224,OFFSET(Emp!$R$4,1,MATCH(Q$5,DedListItem,0)-1,EmpCount,1),"&lt;&gt;")&gt;0,VLOOKUP($C224,EmpAll,COLUMN(Emp!$R$4)+MATCH(Q$5,DedListItem,0)-1,0),OFFSET(Setup!$E$73,MATCH(Q$5,DedListItem,0),0,1,1)),(MIN(IF(OFFSET(Setup!$G$73,MATCH(Q$5,DedListItem,0),0,1,1)="Taxable",SUMPRODUCT((PayEmp=$C224)*(PayDate&lt;=$AC224)*(ISERROR(SEARCH(PayEarnCode,Q$4)))*(PayEarnTax)*(PayEarnValues)),SUMPRODUCT((PayEmp=$C224)*(PayDate&lt;=$AC224)*(ISERROR(SEARCH(PayEarnCode,Q$4)))*(PayEarnValues))),IF(ISNUMBER(Q$3),Q$3/12*$AA224,IgnoreMin)))*IF(COUNTIFS(EmpNo,$C224,OFFSET(Emp!$R$4,1,MATCH(Q$5,DedListItem,0)-1,EmpCount,1),"&lt;&gt;")&gt;0,VLOOKUP($C224,EmpAll,COLUMN(Emp!$R$4)+MATCH(Q$5,DedListItem,0)-1,0),OFFSET(Setup!$E$73,MATCH(Q$5,DedListItem,0),0,1,1)))-SUMIFS(OFFSET(Q$6,1,0,PayCount,1),PayDate,"&lt;"&amp;$AC224,PayEmp,$C224))))))</f>
        <v>0</v>
      </c>
      <c r="R224" s="185">
        <f t="shared" ca="1" si="125"/>
        <v>0</v>
      </c>
      <c r="S224" s="139">
        <f t="shared" ca="1" si="126"/>
        <v>0</v>
      </c>
      <c r="T224" s="133" cm="1">
        <f t="array" aca="1" ref="T224" ca="1">IF($F224="Terminated",0,IF($AA224=0,0,IF(ISNA(MATCH(T$5,CompListItem,0)),0,IF(COUNTIFS(OverEmp,$C224,OverComp,T$5,OverDate,"&lt;"&amp;DATE(YEAR($AC224),MONTH($AC224)+1,1),OverEnd,"&gt;="&amp;DATE(YEAR($AC224),MONTH($AC224),1))&gt;0,SUMIFS(OverValue,OverEmp,$C224,OverComp,T$5,OverDate,"&lt;"&amp;DATE(YEAR($AC224),MONTH($AC224)+1,1),OverEnd,"&gt;="&amp;DATE(YEAR($AC224),MONTH($AC224),1)),IF(OR(T$2="Fixed",T$2="Not Used"),(OFFSET(Setup!$E$81,MATCH(T$5,CompListItem,0),0,1,1)*$AA224)-SUMIFS(OFFSET(T$6,1,0,PayCount,1),PayDate,"&lt;"&amp;$AC224,PayEmp,$C224),IF(ISNA(MATCH(T$2,DedListItem,0))=FALSE,(SUMPRODUCT((PayEmp=$C224)*(PayDate&lt;=$AC224)*(PayDedList=T$2)*(PayDedValues))*OFFSET(Setup!$E$81,MATCH(T$5,CompListItem,0),0,1,1))-SUMIFS(OFFSET(T$6,1,0,PayCount,1),PayDate,"&lt;"&amp;$AC224,PayEmp,$C224),(MIN(IF(OFFSET(Setup!$G$81,MATCH(T$5,CompListItem,0),0,1,1)="Taxable",SUMPRODUCT((PayEmp=$C224)*(PayDate&lt;=$AC224)*(ISERROR(SEARCH(PayEarnCode,T$4)))*(PayEarnTax)*(PayEarnValues)),SUMPRODUCT((PayEmp=$C224)*(PayDate&lt;=$AC224)*(ISERROR(SEARCH(PayEarnCode,T$4)))*(PayEarnValues))),IF(ISNUMBER(T$3),T$3/12*$AA224,IgnoreMin)))*OFFSET(Setup!$E$81,MATCH(T$5,CompListItem,0),0,1,1)-SUMIFS(OFFSET(T$6,1,0,PayCount,1),PayDate,"&lt;"&amp;$AC224,PayEmp,$C224)))))))</f>
        <v>0</v>
      </c>
      <c r="U224" s="133" cm="1">
        <f t="array" aca="1" ref="U224" ca="1">IF($F224="Terminated",0,IF($AA224=0,0,IF(ISNA(MATCH(U$5,CompListItem,0)),0,IF(COUNTIFS(OverEmp,$C224,OverComp,U$5,OverDate,"&lt;"&amp;DATE(YEAR($AC224),MONTH($AC224)+1,1),OverEnd,"&gt;="&amp;DATE(YEAR($AC224),MONTH($AC224),1))&gt;0,SUMIFS(OverValue,OverEmp,$C224,OverComp,U$5,OverDate,"&lt;"&amp;DATE(YEAR($AC224),MONTH($AC224)+1,1),OverEnd,"&gt;="&amp;DATE(YEAR($AC224),MONTH($AC224),1)),IF(OR(U$2="Fixed",U$2="Not Used"),(OFFSET(Setup!$E$81,MATCH(U$5,CompListItem,0),0,1,1)*$AA224)-SUMIFS(OFFSET(U$6,1,0,PayCount,1),PayDate,"&lt;"&amp;$AC224,PayEmp,$C224),IF(ISNA(MATCH(U$2,DedListItem,0))=FALSE,(SUMPRODUCT((PayEmp=$C224)*(PayDate&lt;=$AC224)*(PayDedList=U$2)*(PayDedValues))*OFFSET(Setup!$E$81,MATCH(U$5,CompListItem,0),0,1,1))-SUMIFS(OFFSET(U$6,1,0,PayCount,1),PayDate,"&lt;"&amp;$AC224,PayEmp,$C224),(MIN(IF(OFFSET(Setup!$G$81,MATCH(U$5,CompListItem,0),0,1,1)="Taxable",SUMPRODUCT((PayEmp=$C224)*(PayDate&lt;=$AC224)*(ISERROR(SEARCH(PayEarnCode,U$4)))*(PayEarnTax)*(PayEarnValues)),SUMPRODUCT((PayEmp=$C224)*(PayDate&lt;=$AC224)*(ISERROR(SEARCH(PayEarnCode,U$4)))*(PayEarnValues))),IF(ISNUMBER(U$3),U$3/12*$AA224,IgnoreMin)))*OFFSET(Setup!$E$81,MATCH(U$5,CompListItem,0),0,1,1)-SUMIFS(OFFSET(U$6,1,0,PayCount,1),PayDate,"&lt;"&amp;$AC224,PayEmp,$C224)))))))</f>
        <v>0</v>
      </c>
      <c r="V224" s="133" cm="1">
        <f t="array" aca="1" ref="V224" ca="1">IF($F224="Terminated",0,IF($AA224=0,0,IF(ISNA(MATCH(V$5,CompListItem,0)),0,IF(COUNTIFS(OverEmp,$C224,OverComp,V$5,OverDate,"&lt;"&amp;DATE(YEAR($AC224),MONTH($AC224)+1,1),OverEnd,"&gt;="&amp;DATE(YEAR($AC224),MONTH($AC224),1))&gt;0,SUMIFS(OverValue,OverEmp,$C224,OverComp,V$5,OverDate,"&lt;"&amp;DATE(YEAR($AC224),MONTH($AC224)+1,1),OverEnd,"&gt;="&amp;DATE(YEAR($AC224),MONTH($AC224),1)),IF(OR(V$2="Fixed",V$2="Not Used"),(OFFSET(Setup!$E$81,MATCH(V$5,CompListItem,0),0,1,1)*$AA224)-SUMIFS(OFFSET(V$6,1,0,PayCount,1),PayDate,"&lt;"&amp;$AC224,PayEmp,$C224),IF(ISNA(MATCH(V$2,DedListItem,0))=FALSE,(SUMPRODUCT((PayEmp=$C224)*(PayDate&lt;=$AC224)*(PayDedList=V$2)*(PayDedValues))*OFFSET(Setup!$E$81,MATCH(V$5,CompListItem,0),0,1,1))-SUMIFS(OFFSET(V$6,1,0,PayCount,1),PayDate,"&lt;"&amp;$AC224,PayEmp,$C224),(MIN(IF(OFFSET(Setup!$G$81,MATCH(V$5,CompListItem,0),0,1,1)="Taxable",SUMPRODUCT((PayEmp=$C224)*(PayDate&lt;=$AC224)*(ISERROR(SEARCH(PayEarnCode,V$4)))*(PayEarnTax)*(PayEarnValues)),SUMPRODUCT((PayEmp=$C224)*(PayDate&lt;=$AC224)*(ISERROR(SEARCH(PayEarnCode,V$4)))*(PayEarnValues))),IF(ISNUMBER(V$3),V$3/12*$AA224,IgnoreMin)))*OFFSET(Setup!$E$81,MATCH(V$5,CompListItem,0),0,1,1)-SUMIFS(OFFSET(V$6,1,0,PayCount,1),PayDate,"&lt;"&amp;$AC224,PayEmp,$C224)))))))</f>
        <v>0</v>
      </c>
      <c r="W224" s="133" cm="1">
        <f t="array" aca="1" ref="W224" ca="1">IF($F224="Terminated",0,IF($AA224=0,0,IF(ISNA(MATCH(W$5,CompListItem,0)),0,IF(COUNTIFS(OverEmp,$C224,OverComp,W$5,OverDate,"&lt;"&amp;DATE(YEAR($AC224),MONTH($AC224)+1,1),OverEnd,"&gt;="&amp;DATE(YEAR($AC224),MONTH($AC224),1))&gt;0,SUMIFS(OverValue,OverEmp,$C224,OverComp,W$5,OverDate,"&lt;"&amp;DATE(YEAR($AC224),MONTH($AC224)+1,1),OverEnd,"&gt;="&amp;DATE(YEAR($AC224),MONTH($AC224),1)),IF(OR(W$2="Fixed",W$2="Not Used"),(OFFSET(Setup!$E$81,MATCH(W$5,CompListItem,0),0,1,1)*$AA224)-SUMIFS(OFFSET(W$6,1,0,PayCount,1),PayDate,"&lt;"&amp;$AC224,PayEmp,$C224),IF(ISNA(MATCH(W$2,DedListItem,0))=FALSE,(SUMPRODUCT((PayEmp=$C224)*(PayDate&lt;=$AC224)*(PayDedList=W$2)*(PayDedValues))*OFFSET(Setup!$E$81,MATCH(W$5,CompListItem,0),0,1,1))-SUMIFS(OFFSET(W$6,1,0,PayCount,1),PayDate,"&lt;"&amp;$AC224,PayEmp,$C224),(MIN(IF(OFFSET(Setup!$G$81,MATCH(W$5,CompListItem,0),0,1,1)="Taxable",SUMPRODUCT((PayEmp=$C224)*(PayDate&lt;=$AC224)*(ISERROR(SEARCH(PayEarnCode,W$4)))*(PayEarnTax)*(PayEarnValues)),SUMPRODUCT((PayEmp=$C224)*(PayDate&lt;=$AC224)*(ISERROR(SEARCH(PayEarnCode,W$4)))*(PayEarnValues))),IF(ISNUMBER(W$3),W$3/12*$AA224,IgnoreMin)))*OFFSET(Setup!$E$81,MATCH(W$5,CompListItem,0),0,1,1)-SUMIFS(OFFSET(W$6,1,0,PayCount,1),PayDate,"&lt;"&amp;$AC224,PayEmp,$C224)))))))</f>
        <v>0</v>
      </c>
      <c r="X224" s="185">
        <f t="shared" ca="1" si="127"/>
        <v>0</v>
      </c>
      <c r="Y224" s="139">
        <f t="shared" ca="1" si="128"/>
        <v>0</v>
      </c>
      <c r="Z224" s="139">
        <f t="shared" ca="1" si="129"/>
        <v>0</v>
      </c>
      <c r="AA224" s="146">
        <f ca="1">IF(OR($B224&lt;=Setup!$E$12,$B224&gt;=Setup!$D$12+1),0,IF($F224&lt;&gt;"Active",0,IF($AE224="Yes",$AB224,((YEAR($AC224)*12)+MONTH($AC224))-((YEAR($AD224)*12)+MONTH($AD224)-1))))</f>
        <v>0</v>
      </c>
      <c r="AB224" s="146">
        <f ca="1">IF(OR($B224&lt;=Setup!$E$12,$B224&gt;=Setup!$D$12+1),0,((YEAR($AC224)*12)+MONTH($AC224))-((YEAR(Setup!$E$12)*12)+MONTH(Setup!$E$12)))</f>
        <v>12</v>
      </c>
      <c r="AC224" s="186">
        <f t="shared" ca="1" si="130"/>
        <v>45351</v>
      </c>
      <c r="AD224" s="144">
        <f ca="1">IF(ISNA(VLOOKUP($C224,EmpAll,COLUMN(Emp!$E$4),0)),$AC224,IF(VLOOKUP($C224,EmpAll,COLUMN(Emp!$E$4),0)&lt;=Setup!$E$12,DATE(YEAR(Setup!$E$12),MONTH(Setup!$E$12)+1,1),VLOOKUP($C224,EmpAll,COLUMN(Emp!$E$4),0)))</f>
        <v>45351</v>
      </c>
      <c r="AE224" s="144" t="str">
        <f ca="1">IF(ISNA(VLOOKUP($C224,EmpAll,COLUMN(Emp!$G$1),0)),"-",IF(VLOOKUP($C224,EmpAll,COLUMN(Emp!$G$1),0)=0,"-",VLOOKUP($C224,EmpAll,COLUMN(Emp!$G$1),0)))</f>
        <v>-</v>
      </c>
      <c r="AF224" s="145">
        <f>IF(A224=PaySlip!$G$3,1,0)</f>
        <v>0</v>
      </c>
      <c r="AG224" s="130" cm="1">
        <f t="array" aca="1" ref="AG224" ca="1">IF(COUNTIFS(OverEmp,$C224,OverMed,"MED",OverDate,"&lt;"&amp;DATE(YEAR($AC224),MONTH($AC224)+1,1),OverEnd,"&gt;="&amp;DATE(YEAR($AC224),MONTH($AC224),1))&gt;0,SUMIFS(OverValue,OverEmp,$C224,OverMed,"MED",OverDate,"&lt;"&amp;DATE(YEAR($AC224),MONTH($AC224)+1,1),OverEnd,"&gt;="&amp;DATE(YEAR($AC224),MONTH($AC224),1)),IF(ISNA(VLOOKUP($C224,EmpAll,COLUMN(Emp!$N$4),0)),0,VLOOKUP($C224,EmpAll,COLUMN(Emp!$N$4),0)))</f>
        <v>0</v>
      </c>
      <c r="AH224" s="146">
        <f ca="1">VLOOKUP($AG224,MedList,COLUMN(Setup!$C$49),1)</f>
        <v>0</v>
      </c>
      <c r="AI224" s="146">
        <f t="shared" ca="1" si="107"/>
        <v>0</v>
      </c>
      <c r="AJ224" s="101" t="str">
        <f ca="1">IF(ISNA(VLOOKUP($C224,EmpAll,COLUMN(Emp!$L$4),0)),"None!",VLOOKUP($C224,EmpAll,COLUMN(Emp!$L$4),0))</f>
        <v>None!</v>
      </c>
      <c r="AK224" s="147">
        <f t="shared" ca="1" si="102"/>
        <v>17235</v>
      </c>
      <c r="AL224" s="101" t="str">
        <f ca="1">IF(ISNA(VLOOKUP($C224,Employees[],COLUMN(Emp!$M$4),0))=TRUE,"Error!",IF(VLOOKUP($C224,Employees[],COLUMN(Emp!$M$4),0)=0,"Yes",VLOOKUP($C224,Employees[],COLUMN(Emp!$M$4),0)))</f>
        <v>Error!</v>
      </c>
      <c r="AM224" s="148">
        <f t="shared" ca="1" si="108"/>
        <v>0</v>
      </c>
      <c r="AN224" s="148" cm="1">
        <f t="array" aca="1" ref="AN224" ca="1">-IF($F224="Terminated",0,IF($AA224=0,0,IF(ISNA(MATCH(AN$5,PayDedList,0)),0,MIN(IF(COUNTIFS(OverEmp,$C224,OverDeduct,AN$5,OverDate,"&lt;"&amp;DATE(YEAR($AC224),MONTH($AC224)+1,1),OverEnd,"&gt;="&amp;DATE(YEAR($AC224),MONTH($AC224),1))&gt;0,SUMPRODUCT((PayEmp=$C224)*(PayDate&lt;=$AC224)*(OFFSET($N$6,1,MATCH(AN$5,PayDedList,0)-1,PayCount,1)))/$AA224*12*AN$3,IF(OR(AN$1="Fixed",AN$1="Not Used"),SUMPRODUCT((PayEmp=$C224)*(PayDate&lt;=$AC224)*(OFFSET($N$6,1,MATCH(AN$5,PayDedList,0)-1,PayCount,1)))/$AA224*12*AN$3,IF(ISNA(MATCH(AN$1,EarnListItem,0))=FALSE,SUMPRODUCT((PayEmp=$C224)*(PayDate&lt;=$AC224)*(OFFSET($N$6,1,MATCH(AN$5,PayDedList,0)-1,PayCount,1)))/$AA224*12*AN$3,(MIN(((SUMPRODUCT((PayEmp=$C224)*(PayDate&lt;=$AC224)*(ISERROR(SEARCH(PayEarnCode,AN$2)))*(PayEarnType="Monthly")*(PayEarnValues))/$AA224*12)+(SUMPRODUCT((PayEmp=$C224)*(PayDate&lt;=$AC224)*(ISERROR(SEARCH(PayEarnCode,AN$2)))*(PayEarnType="Quarterly")*(PayEarnValues))/MAX(1,ROUNDDOWN($AB224/3,0))*4)+(SUMPRODUCT((PayEmp=$C224)*(PayDate&lt;=$AC224)*(ISERROR(SEARCH(PayEarnCode,AN$2)))*(PayEarnType="Bi-Annual")*(PayEarnValues))/MAX(1,ROUNDDOWN($AB224/6,0))*2)+(SUMPRODUCT((PayEmp=$C224)*(PayDate&lt;=$AC224)*(ISERROR(SEARCH(PayEarnCode,AN$2)))*(PayEarnType="Annual")*(PayEarnValues)))),IF(ISNUMBER(OFFSET($N$3,0,MATCH(AN$5,PayDedList,0)-1,1,1)),OFFSET($N$3,0,MATCH(AN$5,PayDedList,0)-1,1,1),IgnoreMin)))*IF(COUNTIFS(EmpNo,$C224,OFFSET(Emp!$R$4,1,MATCH(AN$5,DedListItem,0)-1,EmpCount,1),"&lt;&gt;")&gt;0,VLOOKUP($C224,EmpAll,COLUMN(Emp!$R$4)+MATCH(AN$5,DedListItem,0)-1,0),OFFSET(Setup!$E$73,MATCH(AN$5,DedListItem,0),0,1,1))*AN$3))),IF(ISNUMBER(AN$4),AN$4,IgnoreMin)))))</f>
        <v>0</v>
      </c>
      <c r="AO224" s="148" cm="1">
        <f t="array" aca="1" ref="AO224" ca="1">-IF($F224="Terminated",0,IF($AA224=0,0,IF(ISNA(MATCH(AO$5,PayDedList,0)),0,MIN(IF(COUNTIFS(OverEmp,$C224,OverDeduct,AO$5,OverDate,"&lt;"&amp;DATE(YEAR($AC224),MONTH($AC224)+1,1),OverEnd,"&gt;="&amp;DATE(YEAR($AC224),MONTH($AC224),1))&gt;0,SUMPRODUCT((PayEmp=$C224)*(PayDate&lt;=$AC224)*(OFFSET($N$6,1,MATCH(AO$5,PayDedList,0)-1,PayCount,1)))/$AA224*12*AO$3,IF(OR(AO$1="Fixed",AO$1="Not Used"),SUMPRODUCT((PayEmp=$C224)*(PayDate&lt;=$AC224)*(OFFSET($N$6,1,MATCH(AO$5,PayDedList,0)-1,PayCount,1)))/$AA224*12*AO$3,IF(ISNA(MATCH(AO$1,EarnListItem,0))=FALSE,SUMPRODUCT((PayEmp=$C224)*(PayDate&lt;=$AC224)*(OFFSET($N$6,1,MATCH(AO$5,PayDedList,0)-1,PayCount,1)))/$AA224*12*AO$3,(MIN(((SUMPRODUCT((PayEmp=$C224)*(PayDate&lt;=$AC224)*(ISERROR(SEARCH(PayEarnCode,AO$2)))*(PayEarnType="Monthly")*(PayEarnValues))/$AA224*12)+(SUMPRODUCT((PayEmp=$C224)*(PayDate&lt;=$AC224)*(ISERROR(SEARCH(PayEarnCode,AO$2)))*(PayEarnType="Quarterly")*(PayEarnValues))/MAX(1,ROUNDDOWN($AB224/3,0))*4)+(SUMPRODUCT((PayEmp=$C224)*(PayDate&lt;=$AC224)*(ISERROR(SEARCH(PayEarnCode,AO$2)))*(PayEarnType="Bi-Annual")*(PayEarnValues))/MAX(1,ROUNDDOWN($AB224/6,0))*2)+(SUMPRODUCT((PayEmp=$C224)*(PayDate&lt;=$AC224)*(ISERROR(SEARCH(PayEarnCode,AO$2)))*(PayEarnType="Annual")*(PayEarnValues)))),IF(ISNUMBER(OFFSET($N$3,0,MATCH(AO$5,PayDedList,0)-1,1,1)),OFFSET($N$3,0,MATCH(AO$5,PayDedList,0)-1,1,1),IgnoreMin)))*IF(COUNTIFS(EmpNo,$C224,OFFSET(Emp!$R$4,1,MATCH(AO$5,DedListItem,0)-1,EmpCount,1),"&lt;&gt;")&gt;0,VLOOKUP($C224,EmpAll,COLUMN(Emp!$R$4)+MATCH(AO$5,DedListItem,0)-1,0),OFFSET(Setup!$E$73,MATCH(AO$5,DedListItem,0),0,1,1))*AO$3))),IF(ISNUMBER(AO$4),AO$4,IgnoreMin)))))</f>
        <v>0</v>
      </c>
      <c r="AP224" s="148" cm="1">
        <f t="array" aca="1" ref="AP224" ca="1">-IF($F224="Terminated",0,IF($AA224=0,0,IF(ISNA(MATCH(AP$5,PayDedList,0)),0,MIN(IF(COUNTIFS(OverEmp,$C224,OverDeduct,AP$5,OverDate,"&lt;"&amp;DATE(YEAR($AC224),MONTH($AC224)+1,1),OverEnd,"&gt;="&amp;DATE(YEAR($AC224),MONTH($AC224),1))&gt;0,SUMPRODUCT((PayEmp=$C224)*(PayDate&lt;=$AC224)*(OFFSET($N$6,1,MATCH(AP$5,PayDedList,0)-1,PayCount,1)))/$AA224*12*AP$3,IF(OR(AP$1="Fixed",AP$1="Not Used"),SUMPRODUCT((PayEmp=$C224)*(PayDate&lt;=$AC224)*(OFFSET($N$6,1,MATCH(AP$5,PayDedList,0)-1,PayCount,1)))/$AA224*12*AP$3,IF(ISNA(MATCH(AP$1,EarnListItem,0))=FALSE,SUMPRODUCT((PayEmp=$C224)*(PayDate&lt;=$AC224)*(OFFSET($N$6,1,MATCH(AP$5,PayDedList,0)-1,PayCount,1)))/$AA224*12*AP$3,(MIN(((SUMPRODUCT((PayEmp=$C224)*(PayDate&lt;=$AC224)*(ISERROR(SEARCH(PayEarnCode,AP$2)))*(PayEarnType="Monthly")*(PayEarnValues))/$AA224*12)+(SUMPRODUCT((PayEmp=$C224)*(PayDate&lt;=$AC224)*(ISERROR(SEARCH(PayEarnCode,AP$2)))*(PayEarnType="Quarterly")*(PayEarnValues))/MAX(1,ROUNDDOWN($AB224/3,0))*4)+(SUMPRODUCT((PayEmp=$C224)*(PayDate&lt;=$AC224)*(ISERROR(SEARCH(PayEarnCode,AP$2)))*(PayEarnType="Bi-Annual")*(PayEarnValues))/MAX(1,ROUNDDOWN($AB224/6,0))*2)+(SUMPRODUCT((PayEmp=$C224)*(PayDate&lt;=$AC224)*(ISERROR(SEARCH(PayEarnCode,AP$2)))*(PayEarnType="Annual")*(PayEarnValues)))),IF(ISNUMBER(OFFSET($N$3,0,MATCH(AP$5,PayDedList,0)-1,1,1)),OFFSET($N$3,0,MATCH(AP$5,PayDedList,0)-1,1,1),IgnoreMin)))*IF(COUNTIFS(EmpNo,$C224,OFFSET(Emp!$R$4,1,MATCH(AP$5,DedListItem,0)-1,EmpCount,1),"&lt;&gt;")&gt;0,VLOOKUP($C224,EmpAll,COLUMN(Emp!$R$4)+MATCH(AP$5,DedListItem,0)-1,0),OFFSET(Setup!$E$73,MATCH(AP$5,DedListItem,0),0,1,1))*AP$3))),IF(ISNUMBER(AP$4),AP$4,IgnoreMin)))))</f>
        <v>0</v>
      </c>
      <c r="AQ224" s="148" cm="1">
        <f t="array" aca="1" ref="AQ224" ca="1">-IF($F224="Terminated",0,IF($AA224=0,0,IF(ISNA(MATCH(AQ$5,PayDedList,0)),0,MIN(IF(COUNTIFS(OverEmp,$C224,OverDeduct,AQ$5,OverDate,"&lt;"&amp;DATE(YEAR($AC224),MONTH($AC224)+1,1),OverEnd,"&gt;="&amp;DATE(YEAR($AC224),MONTH($AC224),1))&gt;0,SUMPRODUCT((PayEmp=$C224)*(PayDate&lt;=$AC224)*(OFFSET($N$6,1,MATCH(AQ$5,PayDedList,0)-1,PayCount,1)))/$AA224*12*AQ$3,IF(OR(AQ$1="Fixed",AQ$1="Not Used"),SUMPRODUCT((PayEmp=$C224)*(PayDate&lt;=$AC224)*(OFFSET($N$6,1,MATCH(AQ$5,PayDedList,0)-1,PayCount,1)))/$AA224*12*AQ$3,IF(ISNA(MATCH(AQ$1,EarnListItem,0))=FALSE,SUMPRODUCT((PayEmp=$C224)*(PayDate&lt;=$AC224)*(OFFSET($N$6,1,MATCH(AQ$5,PayDedList,0)-1,PayCount,1)))/$AA224*12*AQ$3,(MIN(((SUMPRODUCT((PayEmp=$C224)*(PayDate&lt;=$AC224)*(ISERROR(SEARCH(PayEarnCode,AQ$2)))*(PayEarnType="Monthly")*(PayEarnValues))/$AA224*12)+(SUMPRODUCT((PayEmp=$C224)*(PayDate&lt;=$AC224)*(ISERROR(SEARCH(PayEarnCode,AQ$2)))*(PayEarnType="Quarterly")*(PayEarnValues))/MAX(1,ROUNDDOWN($AB224/3,0))*4)+(SUMPRODUCT((PayEmp=$C224)*(PayDate&lt;=$AC224)*(ISERROR(SEARCH(PayEarnCode,AQ$2)))*(PayEarnType="Bi-Annual")*(PayEarnValues))/MAX(1,ROUNDDOWN($AB224/6,0))*2)+(SUMPRODUCT((PayEmp=$C224)*(PayDate&lt;=$AC224)*(ISERROR(SEARCH(PayEarnCode,AQ$2)))*(PayEarnType="Annual")*(PayEarnValues)))),IF(ISNUMBER(OFFSET($N$3,0,MATCH(AQ$5,PayDedList,0)-1,1,1)),OFFSET($N$3,0,MATCH(AQ$5,PayDedList,0)-1,1,1),IgnoreMin)))*IF(COUNTIFS(EmpNo,$C224,OFFSET(Emp!$R$4,1,MATCH(AQ$5,DedListItem,0)-1,EmpCount,1),"&lt;&gt;")&gt;0,VLOOKUP($C224,EmpAll,COLUMN(Emp!$R$4)+MATCH(AQ$5,DedListItem,0)-1,0),OFFSET(Setup!$E$73,MATCH(AQ$5,DedListItem,0),0,1,1))*AQ$3))),IF(ISNUMBER(AQ$4),AQ$4,IgnoreMin)))))</f>
        <v>0</v>
      </c>
      <c r="AR224" s="148">
        <f t="shared" ca="1" si="131"/>
        <v>0</v>
      </c>
      <c r="AS224" s="148">
        <f t="shared" ca="1" si="109"/>
        <v>0</v>
      </c>
      <c r="AT224" s="148" cm="1">
        <f t="array" aca="1" ref="AT224" ca="1">-IF($F224="Terminated",0,IF($AA224=0,0,IF(ISNA(MATCH(AT$5,PayDedList,0)),0,MIN(IF(COUNTIFS(OverEmp,$C224,OverDeduct,AT$5,OverDate,"&lt;"&amp;DATE(YEAR($AC224),MONTH($AC224)+1,1),OverEnd,"&gt;="&amp;DATE(YEAR($AC224),MONTH($AC224),1))&gt;0,SUMPRODUCT((PayEmp=$C224)*(PayDate&lt;=$AC224)*(OFFSET($N$6,1,MATCH(AT$5,PayDedList,0)-1,PayCount,1)))/$AA224*12*AT$3,IF(OR(AT$1="Fixed",AT$1="Not Used"),SUMPRODUCT((PayEmp=$C224)*(PayDate&lt;=$AC224)*(OFFSET($N$6,1,MATCH(AT$5,PayDedList,0)-1,PayCount,1)))/$AA224*12*AT$3,IF(ISNA(MATCH(OFFSET($N$2,0,MATCH(AT$5,PayDedList,0)-1,1,1),EarnListItem,0))=FALSE,SUMPRODUCT((PayEmp=$C224)*(PayDate&lt;=$AC224)*(OFFSET($N$6,1,MATCH(AT$5,PayDedList,0)-1,PayCount,1)))/$AA224*12*AT$3,(MIN(SUMPRODUCT((PayEmp=$C224)*(PayDate&lt;=$AC224)*(ISERROR(SEARCH(PayEarnCode,AT$2)))*(PayEarnType="Monthly")*(PayEarnValues))/$AA224*12,IF(ISNUMBER(OFFSET($N$3,0,MATCH(AT$5,PayDedList,0)-1,1,1)),OFFSET($N$3,0,MATCH(AT$5,PayDedList,0)-1,1,1),IgnoreMin)))*IF(COUNTIFS(EmpNo,$C224,OFFSET(Emp!$R$4,1,MATCH(AT$5,DedListItem,0)-1,EmpCount,1),"&lt;&gt;")&gt;0,VLOOKUP($C224,EmpAll,COLUMN(Emp!$R$4)+MATCH(AT$5,DedListItem,0)-1,0),OFFSET(Setup!$E$73,MATCH(AT$5,DedListItem,0),0,1,1))*AT$3))),IF(ISNUMBER(AT$4),AT$4,IgnoreMin)))))</f>
        <v>0</v>
      </c>
      <c r="AU224" s="148" cm="1">
        <f t="array" aca="1" ref="AU224" ca="1">-IF($F224="Terminated",0,IF($AA224=0,0,IF(ISNA(MATCH(AU$5,PayDedList,0)),0,MIN(IF(COUNTIFS(OverEmp,$C224,OverDeduct,AU$5,OverDate,"&lt;"&amp;DATE(YEAR($AC224),MONTH($AC224)+1,1),OverEnd,"&gt;="&amp;DATE(YEAR($AC224),MONTH($AC224),1))&gt;0,SUMPRODUCT((PayEmp=$C224)*(PayDate&lt;=$AC224)*(OFFSET($N$6,1,MATCH(AU$5,PayDedList,0)-1,PayCount,1)))/$AA224*12*AU$3,IF(OR(AU$1="Fixed",AU$1="Not Used"),SUMPRODUCT((PayEmp=$C224)*(PayDate&lt;=$AC224)*(OFFSET($N$6,1,MATCH(AU$5,PayDedList,0)-1,PayCount,1)))/$AA224*12*AU$3,IF(ISNA(MATCH(OFFSET($N$2,0,MATCH(AU$5,PayDedList,0)-1,1,1),EarnListItem,0))=FALSE,SUMPRODUCT((PayEmp=$C224)*(PayDate&lt;=$AC224)*(OFFSET($N$6,1,MATCH(AU$5,PayDedList,0)-1,PayCount,1)))/$AA224*12*AU$3,(MIN(SUMPRODUCT((PayEmp=$C224)*(PayDate&lt;=$AC224)*(ISERROR(SEARCH(PayEarnCode,AU$2)))*(PayEarnType="Monthly")*(PayEarnValues))/$AA224*12,IF(ISNUMBER(OFFSET($N$3,0,MATCH(AU$5,PayDedList,0)-1,1,1)),OFFSET($N$3,0,MATCH(AU$5,PayDedList,0)-1,1,1),IgnoreMin)))*IF(COUNTIFS(EmpNo,$C224,OFFSET(Emp!$R$4,1,MATCH(AU$5,DedListItem,0)-1,EmpCount,1),"&lt;&gt;")&gt;0,VLOOKUP($C224,EmpAll,COLUMN(Emp!$R$4)+MATCH(AU$5,DedListItem,0)-1,0),OFFSET(Setup!$E$73,MATCH(AU$5,DedListItem,0),0,1,1))*AU$3))),IF(ISNUMBER(AU$4),AU$4,IgnoreMin)))))</f>
        <v>0</v>
      </c>
      <c r="AV224" s="148" cm="1">
        <f t="array" aca="1" ref="AV224" ca="1">-IF($F224="Terminated",0,IF($AA224=0,0,IF(ISNA(MATCH(AV$5,PayDedList,0)),0,MIN(IF(COUNTIFS(OverEmp,$C224,OverDeduct,AV$5,OverDate,"&lt;"&amp;DATE(YEAR($AC224),MONTH($AC224)+1,1),OverEnd,"&gt;="&amp;DATE(YEAR($AC224),MONTH($AC224),1))&gt;0,SUMPRODUCT((PayEmp=$C224)*(PayDate&lt;=$AC224)*(OFFSET($N$6,1,MATCH(AV$5,PayDedList,0)-1,PayCount,1)))/$AA224*12*AV$3,IF(OR(AV$1="Fixed",AV$1="Not Used"),SUMPRODUCT((PayEmp=$C224)*(PayDate&lt;=$AC224)*(OFFSET($N$6,1,MATCH(AV$5,PayDedList,0)-1,PayCount,1)))/$AA224*12*AV$3,IF(ISNA(MATCH(OFFSET($N$2,0,MATCH(AV$5,PayDedList,0)-1,1,1),EarnListItem,0))=FALSE,SUMPRODUCT((PayEmp=$C224)*(PayDate&lt;=$AC224)*(OFFSET($N$6,1,MATCH(AV$5,PayDedList,0)-1,PayCount,1)))/$AA224*12*AV$3,(MIN(SUMPRODUCT((PayEmp=$C224)*(PayDate&lt;=$AC224)*(ISERROR(SEARCH(PayEarnCode,AV$2)))*(PayEarnType="Monthly")*(PayEarnValues))/$AA224*12,IF(ISNUMBER(OFFSET($N$3,0,MATCH(AV$5,PayDedList,0)-1,1,1)),OFFSET($N$3,0,MATCH(AV$5,PayDedList,0)-1,1,1),IgnoreMin)))*IF(COUNTIFS(EmpNo,$C224,OFFSET(Emp!$R$4,1,MATCH(AV$5,DedListItem,0)-1,EmpCount,1),"&lt;&gt;")&gt;0,VLOOKUP($C224,EmpAll,COLUMN(Emp!$R$4)+MATCH(AV$5,DedListItem,0)-1,0),OFFSET(Setup!$E$73,MATCH(AV$5,DedListItem,0),0,1,1))*AV$3))),IF(ISNUMBER(AV$4),AV$4,IgnoreMin)))))</f>
        <v>0</v>
      </c>
      <c r="AW224" s="148" cm="1">
        <f t="array" aca="1" ref="AW224" ca="1">-IF($F224="Terminated",0,IF($AA224=0,0,IF(ISNA(MATCH(AW$5,PayDedList,0)),0,MIN(IF(COUNTIFS(OverEmp,$C224,OverDeduct,AW$5,OverDate,"&lt;"&amp;DATE(YEAR($AC224),MONTH($AC224)+1,1),OverEnd,"&gt;="&amp;DATE(YEAR($AC224),MONTH($AC224),1))&gt;0,SUMPRODUCT((PayEmp=$C224)*(PayDate&lt;=$AC224)*(OFFSET($N$6,1,MATCH(AW$5,PayDedList,0)-1,PayCount,1)))/$AA224*12*AW$3,IF(OR(AW$1="Fixed",AW$1="Not Used"),SUMPRODUCT((PayEmp=$C224)*(PayDate&lt;=$AC224)*(OFFSET($N$6,1,MATCH(AW$5,PayDedList,0)-1,PayCount,1)))/$AA224*12*AW$3,IF(ISNA(MATCH(OFFSET($N$2,0,MATCH(AW$5,PayDedList,0)-1,1,1),EarnListItem,0))=FALSE,SUMPRODUCT((PayEmp=$C224)*(PayDate&lt;=$AC224)*(OFFSET($N$6,1,MATCH(AW$5,PayDedList,0)-1,PayCount,1)))/$AA224*12*AW$3,(MIN(SUMPRODUCT((PayEmp=$C224)*(PayDate&lt;=$AC224)*(ISERROR(SEARCH(PayEarnCode,AW$2)))*(PayEarnType="Monthly")*(PayEarnValues))/$AA224*12,IF(ISNUMBER(OFFSET($N$3,0,MATCH(AW$5,PayDedList,0)-1,1,1)),OFFSET($N$3,0,MATCH(AW$5,PayDedList,0)-1,1,1),IgnoreMin)))*IF(COUNTIFS(EmpNo,$C224,OFFSET(Emp!$R$4,1,MATCH(AW$5,DedListItem,0)-1,EmpCount,1),"&lt;&gt;")&gt;0,VLOOKUP($C224,EmpAll,COLUMN(Emp!$R$4)+MATCH(AW$5,DedListItem,0)-1,0),OFFSET(Setup!$E$73,MATCH(AW$5,DedListItem,0),0,1,1))*AW$3))),IF(ISNUMBER(AW$4),AW$4,IgnoreMin)))))</f>
        <v>0</v>
      </c>
      <c r="AX224" s="148">
        <f t="shared" ca="1" si="132"/>
        <v>0</v>
      </c>
      <c r="AY224" s="148">
        <f t="shared" ca="1" si="133"/>
        <v>0</v>
      </c>
      <c r="AZ224" s="148">
        <f ca="1">IF(ISNUMBER($AL224),($AR224*$AL224)-$AI224-$AK224,MAX(0,IF($AL224="B",IF($AR224&lt;Setup!$C$32,($AR224*Setup!$D$32)-$AI224-$AK224,(($AR224-VLOOKUP($AR224,TaxAll2,1,1))*OFFSET(Setup!$D$32,MATCH($AR224,TaxBracket2,1),0,1,1))+OFFSET(Setup!$E$31,MATCH($AR224,TaxBracket2,1),0,1,1)-$AI224-$AK224),IF($AR224&lt;Setup!$C$21,($AR224*Setup!$D$21)-$AI224-$AK224,(($AR224-VLOOKUP($AR224,TaxAll1,1,1))*OFFSET(Setup!$D$21,MATCH($AR224,TaxBracket1,1),0,1,1))+OFFSET(Setup!$E$20,MATCH($AR224,TaxBracket1,1),0,1,1)-$AI224-$AK224))))</f>
        <v>0</v>
      </c>
      <c r="BA224" s="148">
        <f ca="1">IF(ISNUMBER($AL224),($AX224*$AL224)-$AI224-$AK224,MAX(0,IF($AL224="B",IF($AX224&lt;Setup!$C$32,($AX224*Setup!$D$32)-$AI224-$AK224,(($AX224-VLOOKUP($AX224,TaxAll2,1,1))*OFFSET(Setup!$D$32,MATCH($AX224,TaxBracket2,1),0,1,1))+OFFSET(Setup!$E$31,MATCH($AX224,TaxBracket2,1),0,1,1)-$AI224-$AK224),IF($AX224&lt;Setup!$C$21,($AX224*Setup!$D$21)-$AI224-$AK224,(($AX224-VLOOKUP($AX224,TaxAll1,1,1))*OFFSET(Setup!$D$21,MATCH($AX224,TaxBracket1,1),0,1,1))+OFFSET(Setup!$E$20,MATCH($AX224,TaxBracket1,1),0,1,1)-$AI224-$AK224))))</f>
        <v>0</v>
      </c>
      <c r="BB224" s="148">
        <f t="shared" ca="1" si="134"/>
        <v>0</v>
      </c>
      <c r="BC224" s="150">
        <f t="shared" ca="1" si="110"/>
        <v>0</v>
      </c>
      <c r="BD224" s="150">
        <f t="shared" ca="1" si="111"/>
        <v>0</v>
      </c>
      <c r="BE224" s="148">
        <f t="shared" ca="1" si="112"/>
        <v>0</v>
      </c>
    </row>
    <row r="225" spans="1:57" ht="16.149999999999999" customHeight="1" x14ac:dyDescent="0.25">
      <c r="A225" s="10" t="str" cm="1">
        <f t="array" ref="A225">IF(ROW($A225)-ROW($A$6)&gt;EmpCount*12,"-",TEXT($B225,"yyyy")&amp;TEXT($B225,"mm")&amp;"-"&amp;$C225)</f>
        <v>-</v>
      </c>
      <c r="B225" s="137" cm="1">
        <f t="array" aca="1" ref="B225" ca="1">IF(ROW($A225)-ROW($A$6)&gt;EmpCount*12,Setup!$D$12,DATE(YEAR(Setup!$F$12),MONTH(Setup!$F$12)+ROUNDDOWN((ROW($A225)-ROW($A$6)-1)/EmpCount,0),IF(Setup!$C$14&gt;DAY(DATE(YEAR(Setup!$F$12),MONTH(Setup!$F$12)+ROUNDDOWN((ROW($A225)-ROW($A$6)-1)/EmpCount,0)+1,0)),DAY(DATE(YEAR(Setup!$F$12),MONTH(Setup!$F$12)+ROUNDDOWN((ROW($A225)-ROW($A$6)-1)/EmpCount,0)+1,0)),Setup!$C$14)))</f>
        <v>45351</v>
      </c>
      <c r="C225" s="101" t="str" cm="1">
        <f t="array" aca="1" ref="C225" ca="1">IF(ROW($A225)-ROW($A$6)&gt;EmpCount*12,"-",OFFSET(Emp!$A$4,ROW($A225)-ROW($A$6)-IF(ROW($A225)-ROW($A$6)&gt;EmpCount,ROUNDDOWN((ROW($A225)-ROW($A$6)-1)/EmpCount,0)*EmpCount,0),0,1,1))</f>
        <v>-</v>
      </c>
      <c r="D225" s="10" t="str">
        <f ca="1">IF(ISNA(VLOOKUP($C225,EmpAll,COLUMN(Emp!$B$4),0)),"-",VLOOKUP($C225,EmpAll,COLUMN(Emp!$B$4),0))</f>
        <v>-</v>
      </c>
      <c r="E225" s="145" t="str">
        <f ca="1">IF(ISNA(VLOOKUP($C225,EmpAll,COLUMN(Emp!$C$4),0)),"-",VLOOKUP($C225,EmpAll,COLUMN(Emp!$C$4),0))</f>
        <v>-</v>
      </c>
      <c r="F225" s="101" t="str">
        <f ca="1">IF(ISNA(VLOOKUP($C225,EmpAll,COLUMN(Emp!$A$4),0)),"-",IF(AND(VLOOKUP($C225,EmpAll,COLUMN(Emp!$E$4),0)&lt;&gt;0,VLOOKUP($C225,EmpAll,COLUMN(Emp!$E$4),0)&gt;=DATE(YEAR($AC225),MONTH($AC225)+1,0)),"Inactive",IF(AND(VLOOKUP($C225,EmpAll,COLUMN(Emp!$F$4),0)&lt;&gt;0,VLOOKUP($C225,EmpAll,COLUMN(Emp!$F$4),0)&lt;=DATE(YEAR($AC225),MONTH($AC225),0)),"Terminated","Active")))</f>
        <v>-</v>
      </c>
      <c r="G225" s="133" cm="1">
        <f t="array" aca="1" ref="G225" ca="1">IF($F225&lt;&gt;"Active",0,IF(COUNTIFS(OverEmp,$C225,OverEarn,G$2,OverDate,"&lt;"&amp;DATE(YEAR($AC225),MONTH($AC225)+1,1),OverEnd,"&gt;="&amp;DATE(YEAR($AC225),MONTH($AC225),1))&gt;0,SUMIFS(OverValue,OverEmp,$C225,OverEarn,G$2,OverDate,"&lt;"&amp;DATE(YEAR($AC225),MONTH($AC225)+1,1),OverEnd,"&gt;="&amp;DATE(YEAR($AC225),MONTH($AC225),1)),IF(AND($AC225&gt;=Setup!$E$10,SUMIFS(EmpIncrease,EmpCode,$C225)&gt;0),SUMIFS(EmpIncrease,EmpCode,$C225),SUMIFS(EmpSalary,EmpCode,$C225))))</f>
        <v>0</v>
      </c>
      <c r="H225" s="133" cm="1">
        <f t="array" aca="1" ref="H225" ca="1">IF($F225&lt;&gt;"Active",0,IF(COUNTIFS(OverEmp,$C225,OverEarn,H$2,OverDate,"&lt;"&amp;DATE(YEAR($AC225),MONTH($AC225)+1,1),OverEnd,"&gt;="&amp;DATE(YEAR($AC225),MONTH($AC225),1))&gt;0,SUMIFS(OverValue,OverEmp,$C225,OverEarn,H$2,OverDate,"&lt;"&amp;DATE(YEAR($AC225),MONTH($AC225)+1,1),OverEnd,"&gt;="&amp;DATE(YEAR($AC225),MONTH($AC225),1)),0))</f>
        <v>0</v>
      </c>
      <c r="I225" s="133" cm="1">
        <f t="array" aca="1" ref="I225" ca="1">IF($F225&lt;&gt;"Active",0,IF(COUNTIFS(OverEmp,$C225,OverEarn,I$2,OverDate,"&lt;"&amp;DATE(YEAR($AC225),MONTH($AC225)+1,1),OverEnd,"&gt;="&amp;DATE(YEAR($AC225),MONTH($AC225),1))&gt;0,SUMIFS(OverValue,OverEmp,$C225,OverEarn,I$2,OverDate,"&lt;"&amp;DATE(YEAR($AC225),MONTH($AC225)+1,1),OverEnd,"&gt;="&amp;DATE(YEAR($AC225),MONTH($AC225),1)),IF(MONTH(B225)=Setup!$C$15,SUMIFS(EmpBonus,EmpCode,$C225),0)))</f>
        <v>0</v>
      </c>
      <c r="J225" s="133" cm="1">
        <f t="array" aca="1" ref="J225" ca="1">IF($F225&lt;&gt;"Active",0,IF(COUNTIFS(OverEmp,$C225,OverEarn,J$2,OverDate,"&lt;"&amp;DATE(YEAR($AC225),MONTH($AC225)+1,1),OverEnd,"&gt;="&amp;DATE(YEAR($AC225),MONTH($AC225),1))&gt;0,SUMIFS(OverValue,OverEmp,$C225,OverEarn,J$2,OverDate,"&lt;"&amp;DATE(YEAR($AC225),MONTH($AC225)+1,1),OverEnd,"&gt;="&amp;DATE(YEAR($AC225),MONTH($AC225),1)),0))</f>
        <v>0</v>
      </c>
      <c r="K225" s="133" cm="1">
        <f t="array" aca="1" ref="K225" ca="1">IF($F225&lt;&gt;"Active",0,IF(COUNTIFS(OverEmp,$C225,OverEarn,K$2,OverDate,"&lt;"&amp;DATE(YEAR($AC225),MONTH($AC225)+1,1),OverEnd,"&gt;="&amp;DATE(YEAR($AC225),MONTH($AC225),1))&gt;0,SUMIFS(OverValue,OverEmp,$C225,OverEarn,K$2,OverDate,"&lt;"&amp;DATE(YEAR($AC225),MONTH($AC225)+1,1),OverEnd,"&gt;="&amp;DATE(YEAR($AC225),MONTH($AC225),1)),0))</f>
        <v>0</v>
      </c>
      <c r="L225" s="185">
        <f t="shared" ca="1" si="124"/>
        <v>0</v>
      </c>
      <c r="M225" s="182" cm="1">
        <f t="array" aca="1" ref="M225" ca="1">IF(COUNTIFS(OverEmp,$C225,OverTax,M$5,OverDate,"&lt;"&amp;DATE(YEAR($AC225),MONTH($AC225)+1,1),OverEnd,"&gt;="&amp;DATE(YEAR($AC225),MONTH($AC225),1))&gt;0,SUMIFS(OverValue,OverEmp,$C225,OverTax,M$5,OverDate,"&lt;"&amp;DATE(YEAR($AC225),MONTH($AC225)+1,1),OverEnd,"&gt;="&amp;DATE(YEAR($AC225),MONTH($AC225),1)),(($BA225/12*$AA225)+(BB225*IF(1-$BC225=0,0,BD225/(1-$BC225))))-IF($F225="Terminated",0,SUMIFS(PayTaxDeduct,PayDate,"&lt;"&amp;$AC225,PayEmp,$C225)))</f>
        <v>0</v>
      </c>
      <c r="N225" s="133" cm="1">
        <f t="array" aca="1" ref="N225" ca="1">IF($F225="Terminated",0,IF($AA225=0,0,IF(ISNA(MATCH(N$5,DedListItem,0)),0,IF(COUNTIFS(OverEmp,$C225,OverDeduct,N$5,OverDate,"&lt;"&amp;DATE(YEAR($AC225),MONTH($AC225)+1,1),OverEnd,"&gt;="&amp;DATE(YEAR($AC225),MONTH($AC225),1))&gt;0,SUMIFS(OverValue,OverEmp,$C225,OverDeduct,N$5,OverDate,"&lt;"&amp;DATE(YEAR($AC225),MONTH($AC225)+1,1),OverEnd,"&gt;="&amp;DATE(YEAR($AC225),MONTH($AC225),1)),IF(OR(N$2="Fixed",N$2="Not Used"),(IF(COUNTIFS(EmpNo,$C225,OFFSET(Emp!$R$4,1,MATCH(N$5,DedListItem,0)-1,EmpCount,1),"&lt;&gt;")&gt;0,VLOOKUP($C225,EmpAll,COLUMN(Emp!$R$4)+MATCH(N$5,DedListItem,0)-1,0),OFFSET(Setup!$E$73,MATCH(N$5,DedListItem,0),0,1,1))*$AA225)-SUMIFS(OFFSET(N$6,1,0,PayCount,1),PayDate,"&lt;"&amp;$AC225,PayEmp,$C225),IF(ISNA(MATCH(N$2,EarnListItem,0))=FALSE,IF(OFFSET(Setup!$G$73,MATCH(N$5,DedListItem,0),0,1,1)="Taxable",SUMPRODUCT((PayEmp=$C225)*(PayDate&lt;=$AC225)*(PayEarnCode=N$2)*(PayEarnTax)*(PayEarnValues)),SUMPRODUCT((PayEmp=$C225)*(PayDate&lt;=$AC225)*(PayEarnCode=N$2)*(PayEarnValues)))*IF(COUNTIFS(EmpNo,$C225,OFFSET(Emp!$R$4,1,MATCH(N$5,DedListItem,0)-1,EmpCount,1),"&lt;&gt;")&gt;0,VLOOKUP($C225,EmpAll,COLUMN(Emp!$R$4)+MATCH(N$5,DedListItem,0)-1,0),OFFSET(Setup!$E$73,MATCH(N$5,DedListItem,0),0,1,1)),(MIN(IF(OFFSET(Setup!$G$73,MATCH(N$5,DedListItem,0),0,1,1)="Taxable",SUMPRODUCT((PayEmp=$C225)*(PayDate&lt;=$AC225)*(ISERROR(SEARCH(PayEarnCode,N$4)))*(PayEarnTax)*(PayEarnValues)),SUMPRODUCT((PayEmp=$C225)*(PayDate&lt;=$AC225)*(ISERROR(SEARCH(PayEarnCode,N$4)))*(PayEarnValues))),IF(ISNUMBER(N$3),N$3/12*$AA225,IgnoreMin)))*IF(COUNTIFS(EmpNo,$C225,OFFSET(Emp!$R$4,1,MATCH(N$5,DedListItem,0)-1,EmpCount,1),"&lt;&gt;")&gt;0,VLOOKUP($C225,EmpAll,COLUMN(Emp!$R$4)+MATCH(N$5,DedListItem,0)-1,0),OFFSET(Setup!$E$73,MATCH(N$5,DedListItem,0),0,1,1)))-SUMIFS(OFFSET(N$6,1,0,PayCount,1),PayDate,"&lt;"&amp;$AC225,PayEmp,$C225))))))</f>
        <v>0</v>
      </c>
      <c r="O225" s="133" cm="1">
        <f t="array" aca="1" ref="O225" ca="1">IF($F225="Terminated",0,IF($AA225=0,0,IF(ISNA(MATCH(O$5,DedListItem,0)),0,IF(COUNTIFS(OverEmp,$C225,OverDeduct,O$5,OverDate,"&lt;"&amp;DATE(YEAR($AC225),MONTH($AC225)+1,1),OverEnd,"&gt;="&amp;DATE(YEAR($AC225),MONTH($AC225),1))&gt;0,SUMIFS(OverValue,OverEmp,$C225,OverDeduct,O$5,OverDate,"&lt;"&amp;DATE(YEAR($AC225),MONTH($AC225)+1,1),OverEnd,"&gt;="&amp;DATE(YEAR($AC225),MONTH($AC225),1)),IF(OR(O$2="Fixed",O$2="Not Used"),(IF(COUNTIFS(EmpNo,$C225,OFFSET(Emp!$R$4,1,MATCH(O$5,DedListItem,0)-1,EmpCount,1),"&lt;&gt;")&gt;0,VLOOKUP($C225,EmpAll,COLUMN(Emp!$R$4)+MATCH(O$5,DedListItem,0)-1,0),OFFSET(Setup!$E$73,MATCH(O$5,DedListItem,0),0,1,1))*$AA225)-SUMIFS(OFFSET(O$6,1,0,PayCount,1),PayDate,"&lt;"&amp;$AC225,PayEmp,$C225),IF(ISNA(MATCH(O$2,EarnListItem,0))=FALSE,IF(OFFSET(Setup!$G$73,MATCH(O$5,DedListItem,0),0,1,1)="Taxable",SUMPRODUCT((PayEmp=$C225)*(PayDate&lt;=$AC225)*(PayEarnCode=O$2)*(PayEarnTax)*(PayEarnValues)),SUMPRODUCT((PayEmp=$C225)*(PayDate&lt;=$AC225)*(PayEarnCode=O$2)*(PayEarnValues)))*IF(COUNTIFS(EmpNo,$C225,OFFSET(Emp!$R$4,1,MATCH(O$5,DedListItem,0)-1,EmpCount,1),"&lt;&gt;")&gt;0,VLOOKUP($C225,EmpAll,COLUMN(Emp!$R$4)+MATCH(O$5,DedListItem,0)-1,0),OFFSET(Setup!$E$73,MATCH(O$5,DedListItem,0),0,1,1)),(MIN(IF(OFFSET(Setup!$G$73,MATCH(O$5,DedListItem,0),0,1,1)="Taxable",SUMPRODUCT((PayEmp=$C225)*(PayDate&lt;=$AC225)*(ISERROR(SEARCH(PayEarnCode,O$4)))*(PayEarnTax)*(PayEarnValues)),SUMPRODUCT((PayEmp=$C225)*(PayDate&lt;=$AC225)*(ISERROR(SEARCH(PayEarnCode,O$4)))*(PayEarnValues))),IF(ISNUMBER(O$3),O$3/12*$AA225,IgnoreMin)))*IF(COUNTIFS(EmpNo,$C225,OFFSET(Emp!$R$4,1,MATCH(O$5,DedListItem,0)-1,EmpCount,1),"&lt;&gt;")&gt;0,VLOOKUP($C225,EmpAll,COLUMN(Emp!$R$4)+MATCH(O$5,DedListItem,0)-1,0),OFFSET(Setup!$E$73,MATCH(O$5,DedListItem,0),0,1,1)))-SUMIFS(OFFSET(O$6,1,0,PayCount,1),PayDate,"&lt;"&amp;$AC225,PayEmp,$C225))))))</f>
        <v>0</v>
      </c>
      <c r="P225" s="133" cm="1">
        <f t="array" aca="1" ref="P225" ca="1">IF($F225="Terminated",0,IF($AA225=0,0,IF(ISNA(MATCH(P$5,DedListItem,0)),0,IF(COUNTIFS(OverEmp,$C225,OverDeduct,P$5,OverDate,"&lt;"&amp;DATE(YEAR($AC225),MONTH($AC225)+1,1),OverEnd,"&gt;="&amp;DATE(YEAR($AC225),MONTH($AC225),1))&gt;0,SUMIFS(OverValue,OverEmp,$C225,OverDeduct,P$5,OverDate,"&lt;"&amp;DATE(YEAR($AC225),MONTH($AC225)+1,1),OverEnd,"&gt;="&amp;DATE(YEAR($AC225),MONTH($AC225),1)),IF(OR(P$2="Fixed",P$2="Not Used"),(IF(COUNTIFS(EmpNo,$C225,OFFSET(Emp!$R$4,1,MATCH(P$5,DedListItem,0)-1,EmpCount,1),"&lt;&gt;")&gt;0,VLOOKUP($C225,EmpAll,COLUMN(Emp!$R$4)+MATCH(P$5,DedListItem,0)-1,0),OFFSET(Setup!$E$73,MATCH(P$5,DedListItem,0),0,1,1))*$AA225)-SUMIFS(OFFSET(P$6,1,0,PayCount,1),PayDate,"&lt;"&amp;$AC225,PayEmp,$C225),IF(ISNA(MATCH(P$2,EarnListItem,0))=FALSE,IF(OFFSET(Setup!$G$73,MATCH(P$5,DedListItem,0),0,1,1)="Taxable",SUMPRODUCT((PayEmp=$C225)*(PayDate&lt;=$AC225)*(PayEarnCode=P$2)*(PayEarnTax)*(PayEarnValues)),SUMPRODUCT((PayEmp=$C225)*(PayDate&lt;=$AC225)*(PayEarnCode=P$2)*(PayEarnValues)))*IF(COUNTIFS(EmpNo,$C225,OFFSET(Emp!$R$4,1,MATCH(P$5,DedListItem,0)-1,EmpCount,1),"&lt;&gt;")&gt;0,VLOOKUP($C225,EmpAll,COLUMN(Emp!$R$4)+MATCH(P$5,DedListItem,0)-1,0),OFFSET(Setup!$E$73,MATCH(P$5,DedListItem,0),0,1,1)),(MIN(IF(OFFSET(Setup!$G$73,MATCH(P$5,DedListItem,0),0,1,1)="Taxable",SUMPRODUCT((PayEmp=$C225)*(PayDate&lt;=$AC225)*(ISERROR(SEARCH(PayEarnCode,P$4)))*(PayEarnTax)*(PayEarnValues)),SUMPRODUCT((PayEmp=$C225)*(PayDate&lt;=$AC225)*(ISERROR(SEARCH(PayEarnCode,P$4)))*(PayEarnValues))),IF(ISNUMBER(P$3),P$3/12*$AA225,IgnoreMin)))*IF(COUNTIFS(EmpNo,$C225,OFFSET(Emp!$R$4,1,MATCH(P$5,DedListItem,0)-1,EmpCount,1),"&lt;&gt;")&gt;0,VLOOKUP($C225,EmpAll,COLUMN(Emp!$R$4)+MATCH(P$5,DedListItem,0)-1,0),OFFSET(Setup!$E$73,MATCH(P$5,DedListItem,0),0,1,1)))-SUMIFS(OFFSET(P$6,1,0,PayCount,1),PayDate,"&lt;"&amp;$AC225,PayEmp,$C225))))))</f>
        <v>0</v>
      </c>
      <c r="Q225" s="133" cm="1">
        <f t="array" aca="1" ref="Q225" ca="1">IF($F225="Terminated",0,IF($AA225=0,0,IF(ISNA(MATCH(Q$5,DedListItem,0)),0,IF(COUNTIFS(OverEmp,$C225,OverDeduct,Q$5,OverDate,"&lt;"&amp;DATE(YEAR($AC225),MONTH($AC225)+1,1),OverEnd,"&gt;="&amp;DATE(YEAR($AC225),MONTH($AC225),1))&gt;0,SUMIFS(OverValue,OverEmp,$C225,OverDeduct,Q$5,OverDate,"&lt;"&amp;DATE(YEAR($AC225),MONTH($AC225)+1,1),OverEnd,"&gt;="&amp;DATE(YEAR($AC225),MONTH($AC225),1)),IF(OR(Q$2="Fixed",Q$2="Not Used"),(IF(COUNTIFS(EmpNo,$C225,OFFSET(Emp!$R$4,1,MATCH(Q$5,DedListItem,0)-1,EmpCount,1),"&lt;&gt;")&gt;0,VLOOKUP($C225,EmpAll,COLUMN(Emp!$R$4)+MATCH(Q$5,DedListItem,0)-1,0),OFFSET(Setup!$E$73,MATCH(Q$5,DedListItem,0),0,1,1))*$AA225)-SUMIFS(OFFSET(Q$6,1,0,PayCount,1),PayDate,"&lt;"&amp;$AC225,PayEmp,$C225),IF(ISNA(MATCH(Q$2,EarnListItem,0))=FALSE,IF(OFFSET(Setup!$G$73,MATCH(Q$5,DedListItem,0),0,1,1)="Taxable",SUMPRODUCT((PayEmp=$C225)*(PayDate&lt;=$AC225)*(PayEarnCode=Q$2)*(PayEarnTax)*(PayEarnValues)),SUMPRODUCT((PayEmp=$C225)*(PayDate&lt;=$AC225)*(PayEarnCode=Q$2)*(PayEarnValues)))*IF(COUNTIFS(EmpNo,$C225,OFFSET(Emp!$R$4,1,MATCH(Q$5,DedListItem,0)-1,EmpCount,1),"&lt;&gt;")&gt;0,VLOOKUP($C225,EmpAll,COLUMN(Emp!$R$4)+MATCH(Q$5,DedListItem,0)-1,0),OFFSET(Setup!$E$73,MATCH(Q$5,DedListItem,0),0,1,1)),(MIN(IF(OFFSET(Setup!$G$73,MATCH(Q$5,DedListItem,0),0,1,1)="Taxable",SUMPRODUCT((PayEmp=$C225)*(PayDate&lt;=$AC225)*(ISERROR(SEARCH(PayEarnCode,Q$4)))*(PayEarnTax)*(PayEarnValues)),SUMPRODUCT((PayEmp=$C225)*(PayDate&lt;=$AC225)*(ISERROR(SEARCH(PayEarnCode,Q$4)))*(PayEarnValues))),IF(ISNUMBER(Q$3),Q$3/12*$AA225,IgnoreMin)))*IF(COUNTIFS(EmpNo,$C225,OFFSET(Emp!$R$4,1,MATCH(Q$5,DedListItem,0)-1,EmpCount,1),"&lt;&gt;")&gt;0,VLOOKUP($C225,EmpAll,COLUMN(Emp!$R$4)+MATCH(Q$5,DedListItem,0)-1,0),OFFSET(Setup!$E$73,MATCH(Q$5,DedListItem,0),0,1,1)))-SUMIFS(OFFSET(Q$6,1,0,PayCount,1),PayDate,"&lt;"&amp;$AC225,PayEmp,$C225))))))</f>
        <v>0</v>
      </c>
      <c r="R225" s="185">
        <f t="shared" ca="1" si="125"/>
        <v>0</v>
      </c>
      <c r="S225" s="139">
        <f t="shared" ca="1" si="126"/>
        <v>0</v>
      </c>
      <c r="T225" s="133" cm="1">
        <f t="array" aca="1" ref="T225" ca="1">IF($F225="Terminated",0,IF($AA225=0,0,IF(ISNA(MATCH(T$5,CompListItem,0)),0,IF(COUNTIFS(OverEmp,$C225,OverComp,T$5,OverDate,"&lt;"&amp;DATE(YEAR($AC225),MONTH($AC225)+1,1),OverEnd,"&gt;="&amp;DATE(YEAR($AC225),MONTH($AC225),1))&gt;0,SUMIFS(OverValue,OverEmp,$C225,OverComp,T$5,OverDate,"&lt;"&amp;DATE(YEAR($AC225),MONTH($AC225)+1,1),OverEnd,"&gt;="&amp;DATE(YEAR($AC225),MONTH($AC225),1)),IF(OR(T$2="Fixed",T$2="Not Used"),(OFFSET(Setup!$E$81,MATCH(T$5,CompListItem,0),0,1,1)*$AA225)-SUMIFS(OFFSET(T$6,1,0,PayCount,1),PayDate,"&lt;"&amp;$AC225,PayEmp,$C225),IF(ISNA(MATCH(T$2,DedListItem,0))=FALSE,(SUMPRODUCT((PayEmp=$C225)*(PayDate&lt;=$AC225)*(PayDedList=T$2)*(PayDedValues))*OFFSET(Setup!$E$81,MATCH(T$5,CompListItem,0),0,1,1))-SUMIFS(OFFSET(T$6,1,0,PayCount,1),PayDate,"&lt;"&amp;$AC225,PayEmp,$C225),(MIN(IF(OFFSET(Setup!$G$81,MATCH(T$5,CompListItem,0),0,1,1)="Taxable",SUMPRODUCT((PayEmp=$C225)*(PayDate&lt;=$AC225)*(ISERROR(SEARCH(PayEarnCode,T$4)))*(PayEarnTax)*(PayEarnValues)),SUMPRODUCT((PayEmp=$C225)*(PayDate&lt;=$AC225)*(ISERROR(SEARCH(PayEarnCode,T$4)))*(PayEarnValues))),IF(ISNUMBER(T$3),T$3/12*$AA225,IgnoreMin)))*OFFSET(Setup!$E$81,MATCH(T$5,CompListItem,0),0,1,1)-SUMIFS(OFFSET(T$6,1,0,PayCount,1),PayDate,"&lt;"&amp;$AC225,PayEmp,$C225)))))))</f>
        <v>0</v>
      </c>
      <c r="U225" s="133" cm="1">
        <f t="array" aca="1" ref="U225" ca="1">IF($F225="Terminated",0,IF($AA225=0,0,IF(ISNA(MATCH(U$5,CompListItem,0)),0,IF(COUNTIFS(OverEmp,$C225,OverComp,U$5,OverDate,"&lt;"&amp;DATE(YEAR($AC225),MONTH($AC225)+1,1),OverEnd,"&gt;="&amp;DATE(YEAR($AC225),MONTH($AC225),1))&gt;0,SUMIFS(OverValue,OverEmp,$C225,OverComp,U$5,OverDate,"&lt;"&amp;DATE(YEAR($AC225),MONTH($AC225)+1,1),OverEnd,"&gt;="&amp;DATE(YEAR($AC225),MONTH($AC225),1)),IF(OR(U$2="Fixed",U$2="Not Used"),(OFFSET(Setup!$E$81,MATCH(U$5,CompListItem,0),0,1,1)*$AA225)-SUMIFS(OFFSET(U$6,1,0,PayCount,1),PayDate,"&lt;"&amp;$AC225,PayEmp,$C225),IF(ISNA(MATCH(U$2,DedListItem,0))=FALSE,(SUMPRODUCT((PayEmp=$C225)*(PayDate&lt;=$AC225)*(PayDedList=U$2)*(PayDedValues))*OFFSET(Setup!$E$81,MATCH(U$5,CompListItem,0),0,1,1))-SUMIFS(OFFSET(U$6,1,0,PayCount,1),PayDate,"&lt;"&amp;$AC225,PayEmp,$C225),(MIN(IF(OFFSET(Setup!$G$81,MATCH(U$5,CompListItem,0),0,1,1)="Taxable",SUMPRODUCT((PayEmp=$C225)*(PayDate&lt;=$AC225)*(ISERROR(SEARCH(PayEarnCode,U$4)))*(PayEarnTax)*(PayEarnValues)),SUMPRODUCT((PayEmp=$C225)*(PayDate&lt;=$AC225)*(ISERROR(SEARCH(PayEarnCode,U$4)))*(PayEarnValues))),IF(ISNUMBER(U$3),U$3/12*$AA225,IgnoreMin)))*OFFSET(Setup!$E$81,MATCH(U$5,CompListItem,0),0,1,1)-SUMIFS(OFFSET(U$6,1,0,PayCount,1),PayDate,"&lt;"&amp;$AC225,PayEmp,$C225)))))))</f>
        <v>0</v>
      </c>
      <c r="V225" s="133" cm="1">
        <f t="array" aca="1" ref="V225" ca="1">IF($F225="Terminated",0,IF($AA225=0,0,IF(ISNA(MATCH(V$5,CompListItem,0)),0,IF(COUNTIFS(OverEmp,$C225,OverComp,V$5,OverDate,"&lt;"&amp;DATE(YEAR($AC225),MONTH($AC225)+1,1),OverEnd,"&gt;="&amp;DATE(YEAR($AC225),MONTH($AC225),1))&gt;0,SUMIFS(OverValue,OverEmp,$C225,OverComp,V$5,OverDate,"&lt;"&amp;DATE(YEAR($AC225),MONTH($AC225)+1,1),OverEnd,"&gt;="&amp;DATE(YEAR($AC225),MONTH($AC225),1)),IF(OR(V$2="Fixed",V$2="Not Used"),(OFFSET(Setup!$E$81,MATCH(V$5,CompListItem,0),0,1,1)*$AA225)-SUMIFS(OFFSET(V$6,1,0,PayCount,1),PayDate,"&lt;"&amp;$AC225,PayEmp,$C225),IF(ISNA(MATCH(V$2,DedListItem,0))=FALSE,(SUMPRODUCT((PayEmp=$C225)*(PayDate&lt;=$AC225)*(PayDedList=V$2)*(PayDedValues))*OFFSET(Setup!$E$81,MATCH(V$5,CompListItem,0),0,1,1))-SUMIFS(OFFSET(V$6,1,0,PayCount,1),PayDate,"&lt;"&amp;$AC225,PayEmp,$C225),(MIN(IF(OFFSET(Setup!$G$81,MATCH(V$5,CompListItem,0),0,1,1)="Taxable",SUMPRODUCT((PayEmp=$C225)*(PayDate&lt;=$AC225)*(ISERROR(SEARCH(PayEarnCode,V$4)))*(PayEarnTax)*(PayEarnValues)),SUMPRODUCT((PayEmp=$C225)*(PayDate&lt;=$AC225)*(ISERROR(SEARCH(PayEarnCode,V$4)))*(PayEarnValues))),IF(ISNUMBER(V$3),V$3/12*$AA225,IgnoreMin)))*OFFSET(Setup!$E$81,MATCH(V$5,CompListItem,0),0,1,1)-SUMIFS(OFFSET(V$6,1,0,PayCount,1),PayDate,"&lt;"&amp;$AC225,PayEmp,$C225)))))))</f>
        <v>0</v>
      </c>
      <c r="W225" s="133" cm="1">
        <f t="array" aca="1" ref="W225" ca="1">IF($F225="Terminated",0,IF($AA225=0,0,IF(ISNA(MATCH(W$5,CompListItem,0)),0,IF(COUNTIFS(OverEmp,$C225,OverComp,W$5,OverDate,"&lt;"&amp;DATE(YEAR($AC225),MONTH($AC225)+1,1),OverEnd,"&gt;="&amp;DATE(YEAR($AC225),MONTH($AC225),1))&gt;0,SUMIFS(OverValue,OverEmp,$C225,OverComp,W$5,OverDate,"&lt;"&amp;DATE(YEAR($AC225),MONTH($AC225)+1,1),OverEnd,"&gt;="&amp;DATE(YEAR($AC225),MONTH($AC225),1)),IF(OR(W$2="Fixed",W$2="Not Used"),(OFFSET(Setup!$E$81,MATCH(W$5,CompListItem,0),0,1,1)*$AA225)-SUMIFS(OFFSET(W$6,1,0,PayCount,1),PayDate,"&lt;"&amp;$AC225,PayEmp,$C225),IF(ISNA(MATCH(W$2,DedListItem,0))=FALSE,(SUMPRODUCT((PayEmp=$C225)*(PayDate&lt;=$AC225)*(PayDedList=W$2)*(PayDedValues))*OFFSET(Setup!$E$81,MATCH(W$5,CompListItem,0),0,1,1))-SUMIFS(OFFSET(W$6,1,0,PayCount,1),PayDate,"&lt;"&amp;$AC225,PayEmp,$C225),(MIN(IF(OFFSET(Setup!$G$81,MATCH(W$5,CompListItem,0),0,1,1)="Taxable",SUMPRODUCT((PayEmp=$C225)*(PayDate&lt;=$AC225)*(ISERROR(SEARCH(PayEarnCode,W$4)))*(PayEarnTax)*(PayEarnValues)),SUMPRODUCT((PayEmp=$C225)*(PayDate&lt;=$AC225)*(ISERROR(SEARCH(PayEarnCode,W$4)))*(PayEarnValues))),IF(ISNUMBER(W$3),W$3/12*$AA225,IgnoreMin)))*OFFSET(Setup!$E$81,MATCH(W$5,CompListItem,0),0,1,1)-SUMIFS(OFFSET(W$6,1,0,PayCount,1),PayDate,"&lt;"&amp;$AC225,PayEmp,$C225)))))))</f>
        <v>0</v>
      </c>
      <c r="X225" s="185">
        <f t="shared" ca="1" si="127"/>
        <v>0</v>
      </c>
      <c r="Y225" s="139">
        <f t="shared" ca="1" si="128"/>
        <v>0</v>
      </c>
      <c r="Z225" s="139">
        <f t="shared" ca="1" si="129"/>
        <v>0</v>
      </c>
      <c r="AA225" s="146">
        <f ca="1">IF(OR($B225&lt;=Setup!$E$12,$B225&gt;=Setup!$D$12+1),0,IF($F225&lt;&gt;"Active",0,IF($AE225="Yes",$AB225,((YEAR($AC225)*12)+MONTH($AC225))-((YEAR($AD225)*12)+MONTH($AD225)-1))))</f>
        <v>0</v>
      </c>
      <c r="AB225" s="146">
        <f ca="1">IF(OR($B225&lt;=Setup!$E$12,$B225&gt;=Setup!$D$12+1),0,((YEAR($AC225)*12)+MONTH($AC225))-((YEAR(Setup!$E$12)*12)+MONTH(Setup!$E$12)))</f>
        <v>12</v>
      </c>
      <c r="AC225" s="186">
        <f t="shared" ca="1" si="130"/>
        <v>45351</v>
      </c>
      <c r="AD225" s="144">
        <f ca="1">IF(ISNA(VLOOKUP($C225,EmpAll,COLUMN(Emp!$E$4),0)),$AC225,IF(VLOOKUP($C225,EmpAll,COLUMN(Emp!$E$4),0)&lt;=Setup!$E$12,DATE(YEAR(Setup!$E$12),MONTH(Setup!$E$12)+1,1),VLOOKUP($C225,EmpAll,COLUMN(Emp!$E$4),0)))</f>
        <v>45351</v>
      </c>
      <c r="AE225" s="144" t="str">
        <f ca="1">IF(ISNA(VLOOKUP($C225,EmpAll,COLUMN(Emp!$G$1),0)),"-",IF(VLOOKUP($C225,EmpAll,COLUMN(Emp!$G$1),0)=0,"-",VLOOKUP($C225,EmpAll,COLUMN(Emp!$G$1),0)))</f>
        <v>-</v>
      </c>
      <c r="AF225" s="145">
        <f>IF(A225=PaySlip!$G$3,1,0)</f>
        <v>0</v>
      </c>
      <c r="AG225" s="130" cm="1">
        <f t="array" aca="1" ref="AG225" ca="1">IF(COUNTIFS(OverEmp,$C225,OverMed,"MED",OverDate,"&lt;"&amp;DATE(YEAR($AC225),MONTH($AC225)+1,1),OverEnd,"&gt;="&amp;DATE(YEAR($AC225),MONTH($AC225),1))&gt;0,SUMIFS(OverValue,OverEmp,$C225,OverMed,"MED",OverDate,"&lt;"&amp;DATE(YEAR($AC225),MONTH($AC225)+1,1),OverEnd,"&gt;="&amp;DATE(YEAR($AC225),MONTH($AC225),1)),IF(ISNA(VLOOKUP($C225,EmpAll,COLUMN(Emp!$N$4),0)),0,VLOOKUP($C225,EmpAll,COLUMN(Emp!$N$4),0)))</f>
        <v>0</v>
      </c>
      <c r="AH225" s="146">
        <f ca="1">VLOOKUP($AG225,MedList,COLUMN(Setup!$C$49),1)</f>
        <v>0</v>
      </c>
      <c r="AI225" s="146">
        <f t="shared" ca="1" si="107"/>
        <v>0</v>
      </c>
      <c r="AJ225" s="101" t="str">
        <f ca="1">IF(ISNA(VLOOKUP($C225,EmpAll,COLUMN(Emp!$L$4),0)),"None!",VLOOKUP($C225,EmpAll,COLUMN(Emp!$L$4),0))</f>
        <v>None!</v>
      </c>
      <c r="AK225" s="147">
        <f t="shared" ca="1" si="102"/>
        <v>17235</v>
      </c>
      <c r="AL225" s="101" t="str">
        <f ca="1">IF(ISNA(VLOOKUP($C225,Employees[],COLUMN(Emp!$M$4),0))=TRUE,"Error!",IF(VLOOKUP($C225,Employees[],COLUMN(Emp!$M$4),0)=0,"Yes",VLOOKUP($C225,Employees[],COLUMN(Emp!$M$4),0)))</f>
        <v>Error!</v>
      </c>
      <c r="AM225" s="148">
        <f t="shared" ca="1" si="108"/>
        <v>0</v>
      </c>
      <c r="AN225" s="148" cm="1">
        <f t="array" aca="1" ref="AN225" ca="1">-IF($F225="Terminated",0,IF($AA225=0,0,IF(ISNA(MATCH(AN$5,PayDedList,0)),0,MIN(IF(COUNTIFS(OverEmp,$C225,OverDeduct,AN$5,OverDate,"&lt;"&amp;DATE(YEAR($AC225),MONTH($AC225)+1,1),OverEnd,"&gt;="&amp;DATE(YEAR($AC225),MONTH($AC225),1))&gt;0,SUMPRODUCT((PayEmp=$C225)*(PayDate&lt;=$AC225)*(OFFSET($N$6,1,MATCH(AN$5,PayDedList,0)-1,PayCount,1)))/$AA225*12*AN$3,IF(OR(AN$1="Fixed",AN$1="Not Used"),SUMPRODUCT((PayEmp=$C225)*(PayDate&lt;=$AC225)*(OFFSET($N$6,1,MATCH(AN$5,PayDedList,0)-1,PayCount,1)))/$AA225*12*AN$3,IF(ISNA(MATCH(AN$1,EarnListItem,0))=FALSE,SUMPRODUCT((PayEmp=$C225)*(PayDate&lt;=$AC225)*(OFFSET($N$6,1,MATCH(AN$5,PayDedList,0)-1,PayCount,1)))/$AA225*12*AN$3,(MIN(((SUMPRODUCT((PayEmp=$C225)*(PayDate&lt;=$AC225)*(ISERROR(SEARCH(PayEarnCode,AN$2)))*(PayEarnType="Monthly")*(PayEarnValues))/$AA225*12)+(SUMPRODUCT((PayEmp=$C225)*(PayDate&lt;=$AC225)*(ISERROR(SEARCH(PayEarnCode,AN$2)))*(PayEarnType="Quarterly")*(PayEarnValues))/MAX(1,ROUNDDOWN($AB225/3,0))*4)+(SUMPRODUCT((PayEmp=$C225)*(PayDate&lt;=$AC225)*(ISERROR(SEARCH(PayEarnCode,AN$2)))*(PayEarnType="Bi-Annual")*(PayEarnValues))/MAX(1,ROUNDDOWN($AB225/6,0))*2)+(SUMPRODUCT((PayEmp=$C225)*(PayDate&lt;=$AC225)*(ISERROR(SEARCH(PayEarnCode,AN$2)))*(PayEarnType="Annual")*(PayEarnValues)))),IF(ISNUMBER(OFFSET($N$3,0,MATCH(AN$5,PayDedList,0)-1,1,1)),OFFSET($N$3,0,MATCH(AN$5,PayDedList,0)-1,1,1),IgnoreMin)))*IF(COUNTIFS(EmpNo,$C225,OFFSET(Emp!$R$4,1,MATCH(AN$5,DedListItem,0)-1,EmpCount,1),"&lt;&gt;")&gt;0,VLOOKUP($C225,EmpAll,COLUMN(Emp!$R$4)+MATCH(AN$5,DedListItem,0)-1,0),OFFSET(Setup!$E$73,MATCH(AN$5,DedListItem,0),0,1,1))*AN$3))),IF(ISNUMBER(AN$4),AN$4,IgnoreMin)))))</f>
        <v>0</v>
      </c>
      <c r="AO225" s="148" cm="1">
        <f t="array" aca="1" ref="AO225" ca="1">-IF($F225="Terminated",0,IF($AA225=0,0,IF(ISNA(MATCH(AO$5,PayDedList,0)),0,MIN(IF(COUNTIFS(OverEmp,$C225,OverDeduct,AO$5,OverDate,"&lt;"&amp;DATE(YEAR($AC225),MONTH($AC225)+1,1),OverEnd,"&gt;="&amp;DATE(YEAR($AC225),MONTH($AC225),1))&gt;0,SUMPRODUCT((PayEmp=$C225)*(PayDate&lt;=$AC225)*(OFFSET($N$6,1,MATCH(AO$5,PayDedList,0)-1,PayCount,1)))/$AA225*12*AO$3,IF(OR(AO$1="Fixed",AO$1="Not Used"),SUMPRODUCT((PayEmp=$C225)*(PayDate&lt;=$AC225)*(OFFSET($N$6,1,MATCH(AO$5,PayDedList,0)-1,PayCount,1)))/$AA225*12*AO$3,IF(ISNA(MATCH(AO$1,EarnListItem,0))=FALSE,SUMPRODUCT((PayEmp=$C225)*(PayDate&lt;=$AC225)*(OFFSET($N$6,1,MATCH(AO$5,PayDedList,0)-1,PayCount,1)))/$AA225*12*AO$3,(MIN(((SUMPRODUCT((PayEmp=$C225)*(PayDate&lt;=$AC225)*(ISERROR(SEARCH(PayEarnCode,AO$2)))*(PayEarnType="Monthly")*(PayEarnValues))/$AA225*12)+(SUMPRODUCT((PayEmp=$C225)*(PayDate&lt;=$AC225)*(ISERROR(SEARCH(PayEarnCode,AO$2)))*(PayEarnType="Quarterly")*(PayEarnValues))/MAX(1,ROUNDDOWN($AB225/3,0))*4)+(SUMPRODUCT((PayEmp=$C225)*(PayDate&lt;=$AC225)*(ISERROR(SEARCH(PayEarnCode,AO$2)))*(PayEarnType="Bi-Annual")*(PayEarnValues))/MAX(1,ROUNDDOWN($AB225/6,0))*2)+(SUMPRODUCT((PayEmp=$C225)*(PayDate&lt;=$AC225)*(ISERROR(SEARCH(PayEarnCode,AO$2)))*(PayEarnType="Annual")*(PayEarnValues)))),IF(ISNUMBER(OFFSET($N$3,0,MATCH(AO$5,PayDedList,0)-1,1,1)),OFFSET($N$3,0,MATCH(AO$5,PayDedList,0)-1,1,1),IgnoreMin)))*IF(COUNTIFS(EmpNo,$C225,OFFSET(Emp!$R$4,1,MATCH(AO$5,DedListItem,0)-1,EmpCount,1),"&lt;&gt;")&gt;0,VLOOKUP($C225,EmpAll,COLUMN(Emp!$R$4)+MATCH(AO$5,DedListItem,0)-1,0),OFFSET(Setup!$E$73,MATCH(AO$5,DedListItem,0),0,1,1))*AO$3))),IF(ISNUMBER(AO$4),AO$4,IgnoreMin)))))</f>
        <v>0</v>
      </c>
      <c r="AP225" s="148" cm="1">
        <f t="array" aca="1" ref="AP225" ca="1">-IF($F225="Terminated",0,IF($AA225=0,0,IF(ISNA(MATCH(AP$5,PayDedList,0)),0,MIN(IF(COUNTIFS(OverEmp,$C225,OverDeduct,AP$5,OverDate,"&lt;"&amp;DATE(YEAR($AC225),MONTH($AC225)+1,1),OverEnd,"&gt;="&amp;DATE(YEAR($AC225),MONTH($AC225),1))&gt;0,SUMPRODUCT((PayEmp=$C225)*(PayDate&lt;=$AC225)*(OFFSET($N$6,1,MATCH(AP$5,PayDedList,0)-1,PayCount,1)))/$AA225*12*AP$3,IF(OR(AP$1="Fixed",AP$1="Not Used"),SUMPRODUCT((PayEmp=$C225)*(PayDate&lt;=$AC225)*(OFFSET($N$6,1,MATCH(AP$5,PayDedList,0)-1,PayCount,1)))/$AA225*12*AP$3,IF(ISNA(MATCH(AP$1,EarnListItem,0))=FALSE,SUMPRODUCT((PayEmp=$C225)*(PayDate&lt;=$AC225)*(OFFSET($N$6,1,MATCH(AP$5,PayDedList,0)-1,PayCount,1)))/$AA225*12*AP$3,(MIN(((SUMPRODUCT((PayEmp=$C225)*(PayDate&lt;=$AC225)*(ISERROR(SEARCH(PayEarnCode,AP$2)))*(PayEarnType="Monthly")*(PayEarnValues))/$AA225*12)+(SUMPRODUCT((PayEmp=$C225)*(PayDate&lt;=$AC225)*(ISERROR(SEARCH(PayEarnCode,AP$2)))*(PayEarnType="Quarterly")*(PayEarnValues))/MAX(1,ROUNDDOWN($AB225/3,0))*4)+(SUMPRODUCT((PayEmp=$C225)*(PayDate&lt;=$AC225)*(ISERROR(SEARCH(PayEarnCode,AP$2)))*(PayEarnType="Bi-Annual")*(PayEarnValues))/MAX(1,ROUNDDOWN($AB225/6,0))*2)+(SUMPRODUCT((PayEmp=$C225)*(PayDate&lt;=$AC225)*(ISERROR(SEARCH(PayEarnCode,AP$2)))*(PayEarnType="Annual")*(PayEarnValues)))),IF(ISNUMBER(OFFSET($N$3,0,MATCH(AP$5,PayDedList,0)-1,1,1)),OFFSET($N$3,0,MATCH(AP$5,PayDedList,0)-1,1,1),IgnoreMin)))*IF(COUNTIFS(EmpNo,$C225,OFFSET(Emp!$R$4,1,MATCH(AP$5,DedListItem,0)-1,EmpCount,1),"&lt;&gt;")&gt;0,VLOOKUP($C225,EmpAll,COLUMN(Emp!$R$4)+MATCH(AP$5,DedListItem,0)-1,0),OFFSET(Setup!$E$73,MATCH(AP$5,DedListItem,0),0,1,1))*AP$3))),IF(ISNUMBER(AP$4),AP$4,IgnoreMin)))))</f>
        <v>0</v>
      </c>
      <c r="AQ225" s="148" cm="1">
        <f t="array" aca="1" ref="AQ225" ca="1">-IF($F225="Terminated",0,IF($AA225=0,0,IF(ISNA(MATCH(AQ$5,PayDedList,0)),0,MIN(IF(COUNTIFS(OverEmp,$C225,OverDeduct,AQ$5,OverDate,"&lt;"&amp;DATE(YEAR($AC225),MONTH($AC225)+1,1),OverEnd,"&gt;="&amp;DATE(YEAR($AC225),MONTH($AC225),1))&gt;0,SUMPRODUCT((PayEmp=$C225)*(PayDate&lt;=$AC225)*(OFFSET($N$6,1,MATCH(AQ$5,PayDedList,0)-1,PayCount,1)))/$AA225*12*AQ$3,IF(OR(AQ$1="Fixed",AQ$1="Not Used"),SUMPRODUCT((PayEmp=$C225)*(PayDate&lt;=$AC225)*(OFFSET($N$6,1,MATCH(AQ$5,PayDedList,0)-1,PayCount,1)))/$AA225*12*AQ$3,IF(ISNA(MATCH(AQ$1,EarnListItem,0))=FALSE,SUMPRODUCT((PayEmp=$C225)*(PayDate&lt;=$AC225)*(OFFSET($N$6,1,MATCH(AQ$5,PayDedList,0)-1,PayCount,1)))/$AA225*12*AQ$3,(MIN(((SUMPRODUCT((PayEmp=$C225)*(PayDate&lt;=$AC225)*(ISERROR(SEARCH(PayEarnCode,AQ$2)))*(PayEarnType="Monthly")*(PayEarnValues))/$AA225*12)+(SUMPRODUCT((PayEmp=$C225)*(PayDate&lt;=$AC225)*(ISERROR(SEARCH(PayEarnCode,AQ$2)))*(PayEarnType="Quarterly")*(PayEarnValues))/MAX(1,ROUNDDOWN($AB225/3,0))*4)+(SUMPRODUCT((PayEmp=$C225)*(PayDate&lt;=$AC225)*(ISERROR(SEARCH(PayEarnCode,AQ$2)))*(PayEarnType="Bi-Annual")*(PayEarnValues))/MAX(1,ROUNDDOWN($AB225/6,0))*2)+(SUMPRODUCT((PayEmp=$C225)*(PayDate&lt;=$AC225)*(ISERROR(SEARCH(PayEarnCode,AQ$2)))*(PayEarnType="Annual")*(PayEarnValues)))),IF(ISNUMBER(OFFSET($N$3,0,MATCH(AQ$5,PayDedList,0)-1,1,1)),OFFSET($N$3,0,MATCH(AQ$5,PayDedList,0)-1,1,1),IgnoreMin)))*IF(COUNTIFS(EmpNo,$C225,OFFSET(Emp!$R$4,1,MATCH(AQ$5,DedListItem,0)-1,EmpCount,1),"&lt;&gt;")&gt;0,VLOOKUP($C225,EmpAll,COLUMN(Emp!$R$4)+MATCH(AQ$5,DedListItem,0)-1,0),OFFSET(Setup!$E$73,MATCH(AQ$5,DedListItem,0),0,1,1))*AQ$3))),IF(ISNUMBER(AQ$4),AQ$4,IgnoreMin)))))</f>
        <v>0</v>
      </c>
      <c r="AR225" s="148">
        <f t="shared" ca="1" si="131"/>
        <v>0</v>
      </c>
      <c r="AS225" s="148">
        <f t="shared" ca="1" si="109"/>
        <v>0</v>
      </c>
      <c r="AT225" s="148" cm="1">
        <f t="array" aca="1" ref="AT225" ca="1">-IF($F225="Terminated",0,IF($AA225=0,0,IF(ISNA(MATCH(AT$5,PayDedList,0)),0,MIN(IF(COUNTIFS(OverEmp,$C225,OverDeduct,AT$5,OverDate,"&lt;"&amp;DATE(YEAR($AC225),MONTH($AC225)+1,1),OverEnd,"&gt;="&amp;DATE(YEAR($AC225),MONTH($AC225),1))&gt;0,SUMPRODUCT((PayEmp=$C225)*(PayDate&lt;=$AC225)*(OFFSET($N$6,1,MATCH(AT$5,PayDedList,0)-1,PayCount,1)))/$AA225*12*AT$3,IF(OR(AT$1="Fixed",AT$1="Not Used"),SUMPRODUCT((PayEmp=$C225)*(PayDate&lt;=$AC225)*(OFFSET($N$6,1,MATCH(AT$5,PayDedList,0)-1,PayCount,1)))/$AA225*12*AT$3,IF(ISNA(MATCH(OFFSET($N$2,0,MATCH(AT$5,PayDedList,0)-1,1,1),EarnListItem,0))=FALSE,SUMPRODUCT((PayEmp=$C225)*(PayDate&lt;=$AC225)*(OFFSET($N$6,1,MATCH(AT$5,PayDedList,0)-1,PayCount,1)))/$AA225*12*AT$3,(MIN(SUMPRODUCT((PayEmp=$C225)*(PayDate&lt;=$AC225)*(ISERROR(SEARCH(PayEarnCode,AT$2)))*(PayEarnType="Monthly")*(PayEarnValues))/$AA225*12,IF(ISNUMBER(OFFSET($N$3,0,MATCH(AT$5,PayDedList,0)-1,1,1)),OFFSET($N$3,0,MATCH(AT$5,PayDedList,0)-1,1,1),IgnoreMin)))*IF(COUNTIFS(EmpNo,$C225,OFFSET(Emp!$R$4,1,MATCH(AT$5,DedListItem,0)-1,EmpCount,1),"&lt;&gt;")&gt;0,VLOOKUP($C225,EmpAll,COLUMN(Emp!$R$4)+MATCH(AT$5,DedListItem,0)-1,0),OFFSET(Setup!$E$73,MATCH(AT$5,DedListItem,0),0,1,1))*AT$3))),IF(ISNUMBER(AT$4),AT$4,IgnoreMin)))))</f>
        <v>0</v>
      </c>
      <c r="AU225" s="148" cm="1">
        <f t="array" aca="1" ref="AU225" ca="1">-IF($F225="Terminated",0,IF($AA225=0,0,IF(ISNA(MATCH(AU$5,PayDedList,0)),0,MIN(IF(COUNTIFS(OverEmp,$C225,OverDeduct,AU$5,OverDate,"&lt;"&amp;DATE(YEAR($AC225),MONTH($AC225)+1,1),OverEnd,"&gt;="&amp;DATE(YEAR($AC225),MONTH($AC225),1))&gt;0,SUMPRODUCT((PayEmp=$C225)*(PayDate&lt;=$AC225)*(OFFSET($N$6,1,MATCH(AU$5,PayDedList,0)-1,PayCount,1)))/$AA225*12*AU$3,IF(OR(AU$1="Fixed",AU$1="Not Used"),SUMPRODUCT((PayEmp=$C225)*(PayDate&lt;=$AC225)*(OFFSET($N$6,1,MATCH(AU$5,PayDedList,0)-1,PayCount,1)))/$AA225*12*AU$3,IF(ISNA(MATCH(OFFSET($N$2,0,MATCH(AU$5,PayDedList,0)-1,1,1),EarnListItem,0))=FALSE,SUMPRODUCT((PayEmp=$C225)*(PayDate&lt;=$AC225)*(OFFSET($N$6,1,MATCH(AU$5,PayDedList,0)-1,PayCount,1)))/$AA225*12*AU$3,(MIN(SUMPRODUCT((PayEmp=$C225)*(PayDate&lt;=$AC225)*(ISERROR(SEARCH(PayEarnCode,AU$2)))*(PayEarnType="Monthly")*(PayEarnValues))/$AA225*12,IF(ISNUMBER(OFFSET($N$3,0,MATCH(AU$5,PayDedList,0)-1,1,1)),OFFSET($N$3,0,MATCH(AU$5,PayDedList,0)-1,1,1),IgnoreMin)))*IF(COUNTIFS(EmpNo,$C225,OFFSET(Emp!$R$4,1,MATCH(AU$5,DedListItem,0)-1,EmpCount,1),"&lt;&gt;")&gt;0,VLOOKUP($C225,EmpAll,COLUMN(Emp!$R$4)+MATCH(AU$5,DedListItem,0)-1,0),OFFSET(Setup!$E$73,MATCH(AU$5,DedListItem,0),0,1,1))*AU$3))),IF(ISNUMBER(AU$4),AU$4,IgnoreMin)))))</f>
        <v>0</v>
      </c>
      <c r="AV225" s="148" cm="1">
        <f t="array" aca="1" ref="AV225" ca="1">-IF($F225="Terminated",0,IF($AA225=0,0,IF(ISNA(MATCH(AV$5,PayDedList,0)),0,MIN(IF(COUNTIFS(OverEmp,$C225,OverDeduct,AV$5,OverDate,"&lt;"&amp;DATE(YEAR($AC225),MONTH($AC225)+1,1),OverEnd,"&gt;="&amp;DATE(YEAR($AC225),MONTH($AC225),1))&gt;0,SUMPRODUCT((PayEmp=$C225)*(PayDate&lt;=$AC225)*(OFFSET($N$6,1,MATCH(AV$5,PayDedList,0)-1,PayCount,1)))/$AA225*12*AV$3,IF(OR(AV$1="Fixed",AV$1="Not Used"),SUMPRODUCT((PayEmp=$C225)*(PayDate&lt;=$AC225)*(OFFSET($N$6,1,MATCH(AV$5,PayDedList,0)-1,PayCount,1)))/$AA225*12*AV$3,IF(ISNA(MATCH(OFFSET($N$2,0,MATCH(AV$5,PayDedList,0)-1,1,1),EarnListItem,0))=FALSE,SUMPRODUCT((PayEmp=$C225)*(PayDate&lt;=$AC225)*(OFFSET($N$6,1,MATCH(AV$5,PayDedList,0)-1,PayCount,1)))/$AA225*12*AV$3,(MIN(SUMPRODUCT((PayEmp=$C225)*(PayDate&lt;=$AC225)*(ISERROR(SEARCH(PayEarnCode,AV$2)))*(PayEarnType="Monthly")*(PayEarnValues))/$AA225*12,IF(ISNUMBER(OFFSET($N$3,0,MATCH(AV$5,PayDedList,0)-1,1,1)),OFFSET($N$3,0,MATCH(AV$5,PayDedList,0)-1,1,1),IgnoreMin)))*IF(COUNTIFS(EmpNo,$C225,OFFSET(Emp!$R$4,1,MATCH(AV$5,DedListItem,0)-1,EmpCount,1),"&lt;&gt;")&gt;0,VLOOKUP($C225,EmpAll,COLUMN(Emp!$R$4)+MATCH(AV$5,DedListItem,0)-1,0),OFFSET(Setup!$E$73,MATCH(AV$5,DedListItem,0),0,1,1))*AV$3))),IF(ISNUMBER(AV$4),AV$4,IgnoreMin)))))</f>
        <v>0</v>
      </c>
      <c r="AW225" s="148" cm="1">
        <f t="array" aca="1" ref="AW225" ca="1">-IF($F225="Terminated",0,IF($AA225=0,0,IF(ISNA(MATCH(AW$5,PayDedList,0)),0,MIN(IF(COUNTIFS(OverEmp,$C225,OverDeduct,AW$5,OverDate,"&lt;"&amp;DATE(YEAR($AC225),MONTH($AC225)+1,1),OverEnd,"&gt;="&amp;DATE(YEAR($AC225),MONTH($AC225),1))&gt;0,SUMPRODUCT((PayEmp=$C225)*(PayDate&lt;=$AC225)*(OFFSET($N$6,1,MATCH(AW$5,PayDedList,0)-1,PayCount,1)))/$AA225*12*AW$3,IF(OR(AW$1="Fixed",AW$1="Not Used"),SUMPRODUCT((PayEmp=$C225)*(PayDate&lt;=$AC225)*(OFFSET($N$6,1,MATCH(AW$5,PayDedList,0)-1,PayCount,1)))/$AA225*12*AW$3,IF(ISNA(MATCH(OFFSET($N$2,0,MATCH(AW$5,PayDedList,0)-1,1,1),EarnListItem,0))=FALSE,SUMPRODUCT((PayEmp=$C225)*(PayDate&lt;=$AC225)*(OFFSET($N$6,1,MATCH(AW$5,PayDedList,0)-1,PayCount,1)))/$AA225*12*AW$3,(MIN(SUMPRODUCT((PayEmp=$C225)*(PayDate&lt;=$AC225)*(ISERROR(SEARCH(PayEarnCode,AW$2)))*(PayEarnType="Monthly")*(PayEarnValues))/$AA225*12,IF(ISNUMBER(OFFSET($N$3,0,MATCH(AW$5,PayDedList,0)-1,1,1)),OFFSET($N$3,0,MATCH(AW$5,PayDedList,0)-1,1,1),IgnoreMin)))*IF(COUNTIFS(EmpNo,$C225,OFFSET(Emp!$R$4,1,MATCH(AW$5,DedListItem,0)-1,EmpCount,1),"&lt;&gt;")&gt;0,VLOOKUP($C225,EmpAll,COLUMN(Emp!$R$4)+MATCH(AW$5,DedListItem,0)-1,0),OFFSET(Setup!$E$73,MATCH(AW$5,DedListItem,0),0,1,1))*AW$3))),IF(ISNUMBER(AW$4),AW$4,IgnoreMin)))))</f>
        <v>0</v>
      </c>
      <c r="AX225" s="148">
        <f t="shared" ca="1" si="132"/>
        <v>0</v>
      </c>
      <c r="AY225" s="148">
        <f t="shared" ca="1" si="133"/>
        <v>0</v>
      </c>
      <c r="AZ225" s="148">
        <f ca="1">IF(ISNUMBER($AL225),($AR225*$AL225)-$AI225-$AK225,MAX(0,IF($AL225="B",IF($AR225&lt;Setup!$C$32,($AR225*Setup!$D$32)-$AI225-$AK225,(($AR225-VLOOKUP($AR225,TaxAll2,1,1))*OFFSET(Setup!$D$32,MATCH($AR225,TaxBracket2,1),0,1,1))+OFFSET(Setup!$E$31,MATCH($AR225,TaxBracket2,1),0,1,1)-$AI225-$AK225),IF($AR225&lt;Setup!$C$21,($AR225*Setup!$D$21)-$AI225-$AK225,(($AR225-VLOOKUP($AR225,TaxAll1,1,1))*OFFSET(Setup!$D$21,MATCH($AR225,TaxBracket1,1),0,1,1))+OFFSET(Setup!$E$20,MATCH($AR225,TaxBracket1,1),0,1,1)-$AI225-$AK225))))</f>
        <v>0</v>
      </c>
      <c r="BA225" s="148">
        <f ca="1">IF(ISNUMBER($AL225),($AX225*$AL225)-$AI225-$AK225,MAX(0,IF($AL225="B",IF($AX225&lt;Setup!$C$32,($AX225*Setup!$D$32)-$AI225-$AK225,(($AX225-VLOOKUP($AX225,TaxAll2,1,1))*OFFSET(Setup!$D$32,MATCH($AX225,TaxBracket2,1),0,1,1))+OFFSET(Setup!$E$31,MATCH($AX225,TaxBracket2,1),0,1,1)-$AI225-$AK225),IF($AX225&lt;Setup!$C$21,($AX225*Setup!$D$21)-$AI225-$AK225,(($AX225-VLOOKUP($AX225,TaxAll1,1,1))*OFFSET(Setup!$D$21,MATCH($AX225,TaxBracket1,1),0,1,1))+OFFSET(Setup!$E$20,MATCH($AX225,TaxBracket1,1),0,1,1)-$AI225-$AK225))))</f>
        <v>0</v>
      </c>
      <c r="BB225" s="148">
        <f t="shared" ca="1" si="134"/>
        <v>0</v>
      </c>
      <c r="BC225" s="150">
        <f t="shared" ca="1" si="110"/>
        <v>0</v>
      </c>
      <c r="BD225" s="150">
        <f t="shared" ca="1" si="111"/>
        <v>0</v>
      </c>
      <c r="BE225" s="148">
        <f t="shared" ca="1" si="112"/>
        <v>0</v>
      </c>
    </row>
    <row r="226" spans="1:57" ht="16.149999999999999" customHeight="1" x14ac:dyDescent="0.25">
      <c r="A226" s="10" t="str" cm="1">
        <f t="array" ref="A226">IF(ROW($A226)-ROW($A$6)&gt;EmpCount*12,"-",TEXT($B226,"yyyy")&amp;TEXT($B226,"mm")&amp;"-"&amp;$C226)</f>
        <v>-</v>
      </c>
      <c r="B226" s="137" cm="1">
        <f t="array" aca="1" ref="B226" ca="1">IF(ROW($A226)-ROW($A$6)&gt;EmpCount*12,Setup!$D$12,DATE(YEAR(Setup!$F$12),MONTH(Setup!$F$12)+ROUNDDOWN((ROW($A226)-ROW($A$6)-1)/EmpCount,0),IF(Setup!$C$14&gt;DAY(DATE(YEAR(Setup!$F$12),MONTH(Setup!$F$12)+ROUNDDOWN((ROW($A226)-ROW($A$6)-1)/EmpCount,0)+1,0)),DAY(DATE(YEAR(Setup!$F$12),MONTH(Setup!$F$12)+ROUNDDOWN((ROW($A226)-ROW($A$6)-1)/EmpCount,0)+1,0)),Setup!$C$14)))</f>
        <v>45351</v>
      </c>
      <c r="C226" s="101" t="str" cm="1">
        <f t="array" aca="1" ref="C226" ca="1">IF(ROW($A226)-ROW($A$6)&gt;EmpCount*12,"-",OFFSET(Emp!$A$4,ROW($A226)-ROW($A$6)-IF(ROW($A226)-ROW($A$6)&gt;EmpCount,ROUNDDOWN((ROW($A226)-ROW($A$6)-1)/EmpCount,0)*EmpCount,0),0,1,1))</f>
        <v>-</v>
      </c>
      <c r="D226" s="10" t="str">
        <f ca="1">IF(ISNA(VLOOKUP($C226,EmpAll,COLUMN(Emp!$B$4),0)),"-",VLOOKUP($C226,EmpAll,COLUMN(Emp!$B$4),0))</f>
        <v>-</v>
      </c>
      <c r="E226" s="145" t="str">
        <f ca="1">IF(ISNA(VLOOKUP($C226,EmpAll,COLUMN(Emp!$C$4),0)),"-",VLOOKUP($C226,EmpAll,COLUMN(Emp!$C$4),0))</f>
        <v>-</v>
      </c>
      <c r="F226" s="101" t="str">
        <f ca="1">IF(ISNA(VLOOKUP($C226,EmpAll,COLUMN(Emp!$A$4),0)),"-",IF(AND(VLOOKUP($C226,EmpAll,COLUMN(Emp!$E$4),0)&lt;&gt;0,VLOOKUP($C226,EmpAll,COLUMN(Emp!$E$4),0)&gt;=DATE(YEAR($AC226),MONTH($AC226)+1,0)),"Inactive",IF(AND(VLOOKUP($C226,EmpAll,COLUMN(Emp!$F$4),0)&lt;&gt;0,VLOOKUP($C226,EmpAll,COLUMN(Emp!$F$4),0)&lt;=DATE(YEAR($AC226),MONTH($AC226),0)),"Terminated","Active")))</f>
        <v>-</v>
      </c>
      <c r="G226" s="133" cm="1">
        <f t="array" aca="1" ref="G226" ca="1">IF($F226&lt;&gt;"Active",0,IF(COUNTIFS(OverEmp,$C226,OverEarn,G$2,OverDate,"&lt;"&amp;DATE(YEAR($AC226),MONTH($AC226)+1,1),OverEnd,"&gt;="&amp;DATE(YEAR($AC226),MONTH($AC226),1))&gt;0,SUMIFS(OverValue,OverEmp,$C226,OverEarn,G$2,OverDate,"&lt;"&amp;DATE(YEAR($AC226),MONTH($AC226)+1,1),OverEnd,"&gt;="&amp;DATE(YEAR($AC226),MONTH($AC226),1)),IF(AND($AC226&gt;=Setup!$E$10,SUMIFS(EmpIncrease,EmpCode,$C226)&gt;0),SUMIFS(EmpIncrease,EmpCode,$C226),SUMIFS(EmpSalary,EmpCode,$C226))))</f>
        <v>0</v>
      </c>
      <c r="H226" s="133" cm="1">
        <f t="array" aca="1" ref="H226" ca="1">IF($F226&lt;&gt;"Active",0,IF(COUNTIFS(OverEmp,$C226,OverEarn,H$2,OverDate,"&lt;"&amp;DATE(YEAR($AC226),MONTH($AC226)+1,1),OverEnd,"&gt;="&amp;DATE(YEAR($AC226),MONTH($AC226),1))&gt;0,SUMIFS(OverValue,OverEmp,$C226,OverEarn,H$2,OverDate,"&lt;"&amp;DATE(YEAR($AC226),MONTH($AC226)+1,1),OverEnd,"&gt;="&amp;DATE(YEAR($AC226),MONTH($AC226),1)),0))</f>
        <v>0</v>
      </c>
      <c r="I226" s="133" cm="1">
        <f t="array" aca="1" ref="I226" ca="1">IF($F226&lt;&gt;"Active",0,IF(COUNTIFS(OverEmp,$C226,OverEarn,I$2,OverDate,"&lt;"&amp;DATE(YEAR($AC226),MONTH($AC226)+1,1),OverEnd,"&gt;="&amp;DATE(YEAR($AC226),MONTH($AC226),1))&gt;0,SUMIFS(OverValue,OverEmp,$C226,OverEarn,I$2,OverDate,"&lt;"&amp;DATE(YEAR($AC226),MONTH($AC226)+1,1),OverEnd,"&gt;="&amp;DATE(YEAR($AC226),MONTH($AC226),1)),IF(MONTH(B226)=Setup!$C$15,SUMIFS(EmpBonus,EmpCode,$C226),0)))</f>
        <v>0</v>
      </c>
      <c r="J226" s="133" cm="1">
        <f t="array" aca="1" ref="J226" ca="1">IF($F226&lt;&gt;"Active",0,IF(COUNTIFS(OverEmp,$C226,OverEarn,J$2,OverDate,"&lt;"&amp;DATE(YEAR($AC226),MONTH($AC226)+1,1),OverEnd,"&gt;="&amp;DATE(YEAR($AC226),MONTH($AC226),1))&gt;0,SUMIFS(OverValue,OverEmp,$C226,OverEarn,J$2,OverDate,"&lt;"&amp;DATE(YEAR($AC226),MONTH($AC226)+1,1),OverEnd,"&gt;="&amp;DATE(YEAR($AC226),MONTH($AC226),1)),0))</f>
        <v>0</v>
      </c>
      <c r="K226" s="133" cm="1">
        <f t="array" aca="1" ref="K226" ca="1">IF($F226&lt;&gt;"Active",0,IF(COUNTIFS(OverEmp,$C226,OverEarn,K$2,OverDate,"&lt;"&amp;DATE(YEAR($AC226),MONTH($AC226)+1,1),OverEnd,"&gt;="&amp;DATE(YEAR($AC226),MONTH($AC226),1))&gt;0,SUMIFS(OverValue,OverEmp,$C226,OverEarn,K$2,OverDate,"&lt;"&amp;DATE(YEAR($AC226),MONTH($AC226)+1,1),OverEnd,"&gt;="&amp;DATE(YEAR($AC226),MONTH($AC226),1)),0))</f>
        <v>0</v>
      </c>
      <c r="L226" s="185">
        <f t="shared" ref="L226:L234" ca="1" si="135">IF($AA226=0,0,SUM(OFFSET($G226,0,0,1,COLUMN($L$6)-COLUMN($G$6))))</f>
        <v>0</v>
      </c>
      <c r="M226" s="182" cm="1">
        <f t="array" aca="1" ref="M226" ca="1">IF(COUNTIFS(OverEmp,$C226,OverTax,M$5,OverDate,"&lt;"&amp;DATE(YEAR($AC226),MONTH($AC226)+1,1),OverEnd,"&gt;="&amp;DATE(YEAR($AC226),MONTH($AC226),1))&gt;0,SUMIFS(OverValue,OverEmp,$C226,OverTax,M$5,OverDate,"&lt;"&amp;DATE(YEAR($AC226),MONTH($AC226)+1,1),OverEnd,"&gt;="&amp;DATE(YEAR($AC226),MONTH($AC226),1)),(($BA226/12*$AA226)+(BB226*IF(1-$BC226=0,0,BD226/(1-$BC226))))-IF($F226="Terminated",0,SUMIFS(PayTaxDeduct,PayDate,"&lt;"&amp;$AC226,PayEmp,$C226)))</f>
        <v>0</v>
      </c>
      <c r="N226" s="133" cm="1">
        <f t="array" aca="1" ref="N226" ca="1">IF($F226="Terminated",0,IF($AA226=0,0,IF(ISNA(MATCH(N$5,DedListItem,0)),0,IF(COUNTIFS(OverEmp,$C226,OverDeduct,N$5,OverDate,"&lt;"&amp;DATE(YEAR($AC226),MONTH($AC226)+1,1),OverEnd,"&gt;="&amp;DATE(YEAR($AC226),MONTH($AC226),1))&gt;0,SUMIFS(OverValue,OverEmp,$C226,OverDeduct,N$5,OverDate,"&lt;"&amp;DATE(YEAR($AC226),MONTH($AC226)+1,1),OverEnd,"&gt;="&amp;DATE(YEAR($AC226),MONTH($AC226),1)),IF(OR(N$2="Fixed",N$2="Not Used"),(IF(COUNTIFS(EmpNo,$C226,OFFSET(Emp!$R$4,1,MATCH(N$5,DedListItem,0)-1,EmpCount,1),"&lt;&gt;")&gt;0,VLOOKUP($C226,EmpAll,COLUMN(Emp!$R$4)+MATCH(N$5,DedListItem,0)-1,0),OFFSET(Setup!$E$73,MATCH(N$5,DedListItem,0),0,1,1))*$AA226)-SUMIFS(OFFSET(N$6,1,0,PayCount,1),PayDate,"&lt;"&amp;$AC226,PayEmp,$C226),IF(ISNA(MATCH(N$2,EarnListItem,0))=FALSE,IF(OFFSET(Setup!$G$73,MATCH(N$5,DedListItem,0),0,1,1)="Taxable",SUMPRODUCT((PayEmp=$C226)*(PayDate&lt;=$AC226)*(PayEarnCode=N$2)*(PayEarnTax)*(PayEarnValues)),SUMPRODUCT((PayEmp=$C226)*(PayDate&lt;=$AC226)*(PayEarnCode=N$2)*(PayEarnValues)))*IF(COUNTIFS(EmpNo,$C226,OFFSET(Emp!$R$4,1,MATCH(N$5,DedListItem,0)-1,EmpCount,1),"&lt;&gt;")&gt;0,VLOOKUP($C226,EmpAll,COLUMN(Emp!$R$4)+MATCH(N$5,DedListItem,0)-1,0),OFFSET(Setup!$E$73,MATCH(N$5,DedListItem,0),0,1,1)),(MIN(IF(OFFSET(Setup!$G$73,MATCH(N$5,DedListItem,0),0,1,1)="Taxable",SUMPRODUCT((PayEmp=$C226)*(PayDate&lt;=$AC226)*(ISERROR(SEARCH(PayEarnCode,N$4)))*(PayEarnTax)*(PayEarnValues)),SUMPRODUCT((PayEmp=$C226)*(PayDate&lt;=$AC226)*(ISERROR(SEARCH(PayEarnCode,N$4)))*(PayEarnValues))),IF(ISNUMBER(N$3),N$3/12*$AA226,IgnoreMin)))*IF(COUNTIFS(EmpNo,$C226,OFFSET(Emp!$R$4,1,MATCH(N$5,DedListItem,0)-1,EmpCount,1),"&lt;&gt;")&gt;0,VLOOKUP($C226,EmpAll,COLUMN(Emp!$R$4)+MATCH(N$5,DedListItem,0)-1,0),OFFSET(Setup!$E$73,MATCH(N$5,DedListItem,0),0,1,1)))-SUMIFS(OFFSET(N$6,1,0,PayCount,1),PayDate,"&lt;"&amp;$AC226,PayEmp,$C226))))))</f>
        <v>0</v>
      </c>
      <c r="O226" s="133" cm="1">
        <f t="array" aca="1" ref="O226" ca="1">IF($F226="Terminated",0,IF($AA226=0,0,IF(ISNA(MATCH(O$5,DedListItem,0)),0,IF(COUNTIFS(OverEmp,$C226,OverDeduct,O$5,OverDate,"&lt;"&amp;DATE(YEAR($AC226),MONTH($AC226)+1,1),OverEnd,"&gt;="&amp;DATE(YEAR($AC226),MONTH($AC226),1))&gt;0,SUMIFS(OverValue,OverEmp,$C226,OverDeduct,O$5,OverDate,"&lt;"&amp;DATE(YEAR($AC226),MONTH($AC226)+1,1),OverEnd,"&gt;="&amp;DATE(YEAR($AC226),MONTH($AC226),1)),IF(OR(O$2="Fixed",O$2="Not Used"),(IF(COUNTIFS(EmpNo,$C226,OFFSET(Emp!$R$4,1,MATCH(O$5,DedListItem,0)-1,EmpCount,1),"&lt;&gt;")&gt;0,VLOOKUP($C226,EmpAll,COLUMN(Emp!$R$4)+MATCH(O$5,DedListItem,0)-1,0),OFFSET(Setup!$E$73,MATCH(O$5,DedListItem,0),0,1,1))*$AA226)-SUMIFS(OFFSET(O$6,1,0,PayCount,1),PayDate,"&lt;"&amp;$AC226,PayEmp,$C226),IF(ISNA(MATCH(O$2,EarnListItem,0))=FALSE,IF(OFFSET(Setup!$G$73,MATCH(O$5,DedListItem,0),0,1,1)="Taxable",SUMPRODUCT((PayEmp=$C226)*(PayDate&lt;=$AC226)*(PayEarnCode=O$2)*(PayEarnTax)*(PayEarnValues)),SUMPRODUCT((PayEmp=$C226)*(PayDate&lt;=$AC226)*(PayEarnCode=O$2)*(PayEarnValues)))*IF(COUNTIFS(EmpNo,$C226,OFFSET(Emp!$R$4,1,MATCH(O$5,DedListItem,0)-1,EmpCount,1),"&lt;&gt;")&gt;0,VLOOKUP($C226,EmpAll,COLUMN(Emp!$R$4)+MATCH(O$5,DedListItem,0)-1,0),OFFSET(Setup!$E$73,MATCH(O$5,DedListItem,0),0,1,1)),(MIN(IF(OFFSET(Setup!$G$73,MATCH(O$5,DedListItem,0),0,1,1)="Taxable",SUMPRODUCT((PayEmp=$C226)*(PayDate&lt;=$AC226)*(ISERROR(SEARCH(PayEarnCode,O$4)))*(PayEarnTax)*(PayEarnValues)),SUMPRODUCT((PayEmp=$C226)*(PayDate&lt;=$AC226)*(ISERROR(SEARCH(PayEarnCode,O$4)))*(PayEarnValues))),IF(ISNUMBER(O$3),O$3/12*$AA226,IgnoreMin)))*IF(COUNTIFS(EmpNo,$C226,OFFSET(Emp!$R$4,1,MATCH(O$5,DedListItem,0)-1,EmpCount,1),"&lt;&gt;")&gt;0,VLOOKUP($C226,EmpAll,COLUMN(Emp!$R$4)+MATCH(O$5,DedListItem,0)-1,0),OFFSET(Setup!$E$73,MATCH(O$5,DedListItem,0),0,1,1)))-SUMIFS(OFFSET(O$6,1,0,PayCount,1),PayDate,"&lt;"&amp;$AC226,PayEmp,$C226))))))</f>
        <v>0</v>
      </c>
      <c r="P226" s="133" cm="1">
        <f t="array" aca="1" ref="P226" ca="1">IF($F226="Terminated",0,IF($AA226=0,0,IF(ISNA(MATCH(P$5,DedListItem,0)),0,IF(COUNTIFS(OverEmp,$C226,OverDeduct,P$5,OverDate,"&lt;"&amp;DATE(YEAR($AC226),MONTH($AC226)+1,1),OverEnd,"&gt;="&amp;DATE(YEAR($AC226),MONTH($AC226),1))&gt;0,SUMIFS(OverValue,OverEmp,$C226,OverDeduct,P$5,OverDate,"&lt;"&amp;DATE(YEAR($AC226),MONTH($AC226)+1,1),OverEnd,"&gt;="&amp;DATE(YEAR($AC226),MONTH($AC226),1)),IF(OR(P$2="Fixed",P$2="Not Used"),(IF(COUNTIFS(EmpNo,$C226,OFFSET(Emp!$R$4,1,MATCH(P$5,DedListItem,0)-1,EmpCount,1),"&lt;&gt;")&gt;0,VLOOKUP($C226,EmpAll,COLUMN(Emp!$R$4)+MATCH(P$5,DedListItem,0)-1,0),OFFSET(Setup!$E$73,MATCH(P$5,DedListItem,0),0,1,1))*$AA226)-SUMIFS(OFFSET(P$6,1,0,PayCount,1),PayDate,"&lt;"&amp;$AC226,PayEmp,$C226),IF(ISNA(MATCH(P$2,EarnListItem,0))=FALSE,IF(OFFSET(Setup!$G$73,MATCH(P$5,DedListItem,0),0,1,1)="Taxable",SUMPRODUCT((PayEmp=$C226)*(PayDate&lt;=$AC226)*(PayEarnCode=P$2)*(PayEarnTax)*(PayEarnValues)),SUMPRODUCT((PayEmp=$C226)*(PayDate&lt;=$AC226)*(PayEarnCode=P$2)*(PayEarnValues)))*IF(COUNTIFS(EmpNo,$C226,OFFSET(Emp!$R$4,1,MATCH(P$5,DedListItem,0)-1,EmpCount,1),"&lt;&gt;")&gt;0,VLOOKUP($C226,EmpAll,COLUMN(Emp!$R$4)+MATCH(P$5,DedListItem,0)-1,0),OFFSET(Setup!$E$73,MATCH(P$5,DedListItem,0),0,1,1)),(MIN(IF(OFFSET(Setup!$G$73,MATCH(P$5,DedListItem,0),0,1,1)="Taxable",SUMPRODUCT((PayEmp=$C226)*(PayDate&lt;=$AC226)*(ISERROR(SEARCH(PayEarnCode,P$4)))*(PayEarnTax)*(PayEarnValues)),SUMPRODUCT((PayEmp=$C226)*(PayDate&lt;=$AC226)*(ISERROR(SEARCH(PayEarnCode,P$4)))*(PayEarnValues))),IF(ISNUMBER(P$3),P$3/12*$AA226,IgnoreMin)))*IF(COUNTIFS(EmpNo,$C226,OFFSET(Emp!$R$4,1,MATCH(P$5,DedListItem,0)-1,EmpCount,1),"&lt;&gt;")&gt;0,VLOOKUP($C226,EmpAll,COLUMN(Emp!$R$4)+MATCH(P$5,DedListItem,0)-1,0),OFFSET(Setup!$E$73,MATCH(P$5,DedListItem,0),0,1,1)))-SUMIFS(OFFSET(P$6,1,0,PayCount,1),PayDate,"&lt;"&amp;$AC226,PayEmp,$C226))))))</f>
        <v>0</v>
      </c>
      <c r="Q226" s="133" cm="1">
        <f t="array" aca="1" ref="Q226" ca="1">IF($F226="Terminated",0,IF($AA226=0,0,IF(ISNA(MATCH(Q$5,DedListItem,0)),0,IF(COUNTIFS(OverEmp,$C226,OverDeduct,Q$5,OverDate,"&lt;"&amp;DATE(YEAR($AC226),MONTH($AC226)+1,1),OverEnd,"&gt;="&amp;DATE(YEAR($AC226),MONTH($AC226),1))&gt;0,SUMIFS(OverValue,OverEmp,$C226,OverDeduct,Q$5,OverDate,"&lt;"&amp;DATE(YEAR($AC226),MONTH($AC226)+1,1),OverEnd,"&gt;="&amp;DATE(YEAR($AC226),MONTH($AC226),1)),IF(OR(Q$2="Fixed",Q$2="Not Used"),(IF(COUNTIFS(EmpNo,$C226,OFFSET(Emp!$R$4,1,MATCH(Q$5,DedListItem,0)-1,EmpCount,1),"&lt;&gt;")&gt;0,VLOOKUP($C226,EmpAll,COLUMN(Emp!$R$4)+MATCH(Q$5,DedListItem,0)-1,0),OFFSET(Setup!$E$73,MATCH(Q$5,DedListItem,0),0,1,1))*$AA226)-SUMIFS(OFFSET(Q$6,1,0,PayCount,1),PayDate,"&lt;"&amp;$AC226,PayEmp,$C226),IF(ISNA(MATCH(Q$2,EarnListItem,0))=FALSE,IF(OFFSET(Setup!$G$73,MATCH(Q$5,DedListItem,0),0,1,1)="Taxable",SUMPRODUCT((PayEmp=$C226)*(PayDate&lt;=$AC226)*(PayEarnCode=Q$2)*(PayEarnTax)*(PayEarnValues)),SUMPRODUCT((PayEmp=$C226)*(PayDate&lt;=$AC226)*(PayEarnCode=Q$2)*(PayEarnValues)))*IF(COUNTIFS(EmpNo,$C226,OFFSET(Emp!$R$4,1,MATCH(Q$5,DedListItem,0)-1,EmpCount,1),"&lt;&gt;")&gt;0,VLOOKUP($C226,EmpAll,COLUMN(Emp!$R$4)+MATCH(Q$5,DedListItem,0)-1,0),OFFSET(Setup!$E$73,MATCH(Q$5,DedListItem,0),0,1,1)),(MIN(IF(OFFSET(Setup!$G$73,MATCH(Q$5,DedListItem,0),0,1,1)="Taxable",SUMPRODUCT((PayEmp=$C226)*(PayDate&lt;=$AC226)*(ISERROR(SEARCH(PayEarnCode,Q$4)))*(PayEarnTax)*(PayEarnValues)),SUMPRODUCT((PayEmp=$C226)*(PayDate&lt;=$AC226)*(ISERROR(SEARCH(PayEarnCode,Q$4)))*(PayEarnValues))),IF(ISNUMBER(Q$3),Q$3/12*$AA226,IgnoreMin)))*IF(COUNTIFS(EmpNo,$C226,OFFSET(Emp!$R$4,1,MATCH(Q$5,DedListItem,0)-1,EmpCount,1),"&lt;&gt;")&gt;0,VLOOKUP($C226,EmpAll,COLUMN(Emp!$R$4)+MATCH(Q$5,DedListItem,0)-1,0),OFFSET(Setup!$E$73,MATCH(Q$5,DedListItem,0),0,1,1)))-SUMIFS(OFFSET(Q$6,1,0,PayCount,1),PayDate,"&lt;"&amp;$AC226,PayEmp,$C226))))))</f>
        <v>0</v>
      </c>
      <c r="R226" s="185">
        <f t="shared" ref="R226:R234" ca="1" si="136">SUM(OFFSET(M226,0,0,1,COLUMN($R$6)-COLUMN($M$6)))</f>
        <v>0</v>
      </c>
      <c r="S226" s="139">
        <f t="shared" ref="S226:S234" ca="1" si="137">ROUND(SUM(L226,-R226),2)</f>
        <v>0</v>
      </c>
      <c r="T226" s="133" cm="1">
        <f t="array" aca="1" ref="T226" ca="1">IF($F226="Terminated",0,IF($AA226=0,0,IF(ISNA(MATCH(T$5,CompListItem,0)),0,IF(COUNTIFS(OverEmp,$C226,OverComp,T$5,OverDate,"&lt;"&amp;DATE(YEAR($AC226),MONTH($AC226)+1,1),OverEnd,"&gt;="&amp;DATE(YEAR($AC226),MONTH($AC226),1))&gt;0,SUMIFS(OverValue,OverEmp,$C226,OverComp,T$5,OverDate,"&lt;"&amp;DATE(YEAR($AC226),MONTH($AC226)+1,1),OverEnd,"&gt;="&amp;DATE(YEAR($AC226),MONTH($AC226),1)),IF(OR(T$2="Fixed",T$2="Not Used"),(OFFSET(Setup!$E$81,MATCH(T$5,CompListItem,0),0,1,1)*$AA226)-SUMIFS(OFFSET(T$6,1,0,PayCount,1),PayDate,"&lt;"&amp;$AC226,PayEmp,$C226),IF(ISNA(MATCH(T$2,DedListItem,0))=FALSE,(SUMPRODUCT((PayEmp=$C226)*(PayDate&lt;=$AC226)*(PayDedList=T$2)*(PayDedValues))*OFFSET(Setup!$E$81,MATCH(T$5,CompListItem,0),0,1,1))-SUMIFS(OFFSET(T$6,1,0,PayCount,1),PayDate,"&lt;"&amp;$AC226,PayEmp,$C226),(MIN(IF(OFFSET(Setup!$G$81,MATCH(T$5,CompListItem,0),0,1,1)="Taxable",SUMPRODUCT((PayEmp=$C226)*(PayDate&lt;=$AC226)*(ISERROR(SEARCH(PayEarnCode,T$4)))*(PayEarnTax)*(PayEarnValues)),SUMPRODUCT((PayEmp=$C226)*(PayDate&lt;=$AC226)*(ISERROR(SEARCH(PayEarnCode,T$4)))*(PayEarnValues))),IF(ISNUMBER(T$3),T$3/12*$AA226,IgnoreMin)))*OFFSET(Setup!$E$81,MATCH(T$5,CompListItem,0),0,1,1)-SUMIFS(OFFSET(T$6,1,0,PayCount,1),PayDate,"&lt;"&amp;$AC226,PayEmp,$C226)))))))</f>
        <v>0</v>
      </c>
      <c r="U226" s="133" cm="1">
        <f t="array" aca="1" ref="U226" ca="1">IF($F226="Terminated",0,IF($AA226=0,0,IF(ISNA(MATCH(U$5,CompListItem,0)),0,IF(COUNTIFS(OverEmp,$C226,OverComp,U$5,OverDate,"&lt;"&amp;DATE(YEAR($AC226),MONTH($AC226)+1,1),OverEnd,"&gt;="&amp;DATE(YEAR($AC226),MONTH($AC226),1))&gt;0,SUMIFS(OverValue,OverEmp,$C226,OverComp,U$5,OverDate,"&lt;"&amp;DATE(YEAR($AC226),MONTH($AC226)+1,1),OverEnd,"&gt;="&amp;DATE(YEAR($AC226),MONTH($AC226),1)),IF(OR(U$2="Fixed",U$2="Not Used"),(OFFSET(Setup!$E$81,MATCH(U$5,CompListItem,0),0,1,1)*$AA226)-SUMIFS(OFFSET(U$6,1,0,PayCount,1),PayDate,"&lt;"&amp;$AC226,PayEmp,$C226),IF(ISNA(MATCH(U$2,DedListItem,0))=FALSE,(SUMPRODUCT((PayEmp=$C226)*(PayDate&lt;=$AC226)*(PayDedList=U$2)*(PayDedValues))*OFFSET(Setup!$E$81,MATCH(U$5,CompListItem,0),0,1,1))-SUMIFS(OFFSET(U$6,1,0,PayCount,1),PayDate,"&lt;"&amp;$AC226,PayEmp,$C226),(MIN(IF(OFFSET(Setup!$G$81,MATCH(U$5,CompListItem,0),0,1,1)="Taxable",SUMPRODUCT((PayEmp=$C226)*(PayDate&lt;=$AC226)*(ISERROR(SEARCH(PayEarnCode,U$4)))*(PayEarnTax)*(PayEarnValues)),SUMPRODUCT((PayEmp=$C226)*(PayDate&lt;=$AC226)*(ISERROR(SEARCH(PayEarnCode,U$4)))*(PayEarnValues))),IF(ISNUMBER(U$3),U$3/12*$AA226,IgnoreMin)))*OFFSET(Setup!$E$81,MATCH(U$5,CompListItem,0),0,1,1)-SUMIFS(OFFSET(U$6,1,0,PayCount,1),PayDate,"&lt;"&amp;$AC226,PayEmp,$C226)))))))</f>
        <v>0</v>
      </c>
      <c r="V226" s="133" cm="1">
        <f t="array" aca="1" ref="V226" ca="1">IF($F226="Terminated",0,IF($AA226=0,0,IF(ISNA(MATCH(V$5,CompListItem,0)),0,IF(COUNTIFS(OverEmp,$C226,OverComp,V$5,OverDate,"&lt;"&amp;DATE(YEAR($AC226),MONTH($AC226)+1,1),OverEnd,"&gt;="&amp;DATE(YEAR($AC226),MONTH($AC226),1))&gt;0,SUMIFS(OverValue,OverEmp,$C226,OverComp,V$5,OverDate,"&lt;"&amp;DATE(YEAR($AC226),MONTH($AC226)+1,1),OverEnd,"&gt;="&amp;DATE(YEAR($AC226),MONTH($AC226),1)),IF(OR(V$2="Fixed",V$2="Not Used"),(OFFSET(Setup!$E$81,MATCH(V$5,CompListItem,0),0,1,1)*$AA226)-SUMIFS(OFFSET(V$6,1,0,PayCount,1),PayDate,"&lt;"&amp;$AC226,PayEmp,$C226),IF(ISNA(MATCH(V$2,DedListItem,0))=FALSE,(SUMPRODUCT((PayEmp=$C226)*(PayDate&lt;=$AC226)*(PayDedList=V$2)*(PayDedValues))*OFFSET(Setup!$E$81,MATCH(V$5,CompListItem,0),0,1,1))-SUMIFS(OFFSET(V$6,1,0,PayCount,1),PayDate,"&lt;"&amp;$AC226,PayEmp,$C226),(MIN(IF(OFFSET(Setup!$G$81,MATCH(V$5,CompListItem,0),0,1,1)="Taxable",SUMPRODUCT((PayEmp=$C226)*(PayDate&lt;=$AC226)*(ISERROR(SEARCH(PayEarnCode,V$4)))*(PayEarnTax)*(PayEarnValues)),SUMPRODUCT((PayEmp=$C226)*(PayDate&lt;=$AC226)*(ISERROR(SEARCH(PayEarnCode,V$4)))*(PayEarnValues))),IF(ISNUMBER(V$3),V$3/12*$AA226,IgnoreMin)))*OFFSET(Setup!$E$81,MATCH(V$5,CompListItem,0),0,1,1)-SUMIFS(OFFSET(V$6,1,0,PayCount,1),PayDate,"&lt;"&amp;$AC226,PayEmp,$C226)))))))</f>
        <v>0</v>
      </c>
      <c r="W226" s="133" cm="1">
        <f t="array" aca="1" ref="W226" ca="1">IF($F226="Terminated",0,IF($AA226=0,0,IF(ISNA(MATCH(W$5,CompListItem,0)),0,IF(COUNTIFS(OverEmp,$C226,OverComp,W$5,OverDate,"&lt;"&amp;DATE(YEAR($AC226),MONTH($AC226)+1,1),OverEnd,"&gt;="&amp;DATE(YEAR($AC226),MONTH($AC226),1))&gt;0,SUMIFS(OverValue,OverEmp,$C226,OverComp,W$5,OverDate,"&lt;"&amp;DATE(YEAR($AC226),MONTH($AC226)+1,1),OverEnd,"&gt;="&amp;DATE(YEAR($AC226),MONTH($AC226),1)),IF(OR(W$2="Fixed",W$2="Not Used"),(OFFSET(Setup!$E$81,MATCH(W$5,CompListItem,0),0,1,1)*$AA226)-SUMIFS(OFFSET(W$6,1,0,PayCount,1),PayDate,"&lt;"&amp;$AC226,PayEmp,$C226),IF(ISNA(MATCH(W$2,DedListItem,0))=FALSE,(SUMPRODUCT((PayEmp=$C226)*(PayDate&lt;=$AC226)*(PayDedList=W$2)*(PayDedValues))*OFFSET(Setup!$E$81,MATCH(W$5,CompListItem,0),0,1,1))-SUMIFS(OFFSET(W$6,1,0,PayCount,1),PayDate,"&lt;"&amp;$AC226,PayEmp,$C226),(MIN(IF(OFFSET(Setup!$G$81,MATCH(W$5,CompListItem,0),0,1,1)="Taxable",SUMPRODUCT((PayEmp=$C226)*(PayDate&lt;=$AC226)*(ISERROR(SEARCH(PayEarnCode,W$4)))*(PayEarnTax)*(PayEarnValues)),SUMPRODUCT((PayEmp=$C226)*(PayDate&lt;=$AC226)*(ISERROR(SEARCH(PayEarnCode,W$4)))*(PayEarnValues))),IF(ISNUMBER(W$3),W$3/12*$AA226,IgnoreMin)))*OFFSET(Setup!$E$81,MATCH(W$5,CompListItem,0),0,1,1)-SUMIFS(OFFSET(W$6,1,0,PayCount,1),PayDate,"&lt;"&amp;$AC226,PayEmp,$C226)))))))</f>
        <v>0</v>
      </c>
      <c r="X226" s="185">
        <f t="shared" ref="X226:X234" ca="1" si="138">SUM(OFFSET($T226,0,0,1,COLUMN($X$6)-COLUMN($T$7)))</f>
        <v>0</v>
      </c>
      <c r="Y226" s="139">
        <f t="shared" ref="Y226:Y234" ca="1" si="139">L226+X226</f>
        <v>0</v>
      </c>
      <c r="Z226" s="139">
        <f t="shared" ref="Z226:Z234" ca="1" si="140">ROUND(SUM(R226,X226),2)</f>
        <v>0</v>
      </c>
      <c r="AA226" s="146">
        <f ca="1">IF(OR($B226&lt;=Setup!$E$12,$B226&gt;=Setup!$D$12+1),0,IF($F226&lt;&gt;"Active",0,IF($AE226="Yes",$AB226,((YEAR($AC226)*12)+MONTH($AC226))-((YEAR($AD226)*12)+MONTH($AD226)-1))))</f>
        <v>0</v>
      </c>
      <c r="AB226" s="146">
        <f ca="1">IF(OR($B226&lt;=Setup!$E$12,$B226&gt;=Setup!$D$12+1),0,((YEAR($AC226)*12)+MONTH($AC226))-((YEAR(Setup!$E$12)*12)+MONTH(Setup!$E$12)))</f>
        <v>12</v>
      </c>
      <c r="AC226" s="186">
        <f t="shared" ref="AC226:AC234" ca="1" si="141">DATE(YEAR($B226),MONTH($B226),DAY($B226))</f>
        <v>45351</v>
      </c>
      <c r="AD226" s="144">
        <f ca="1">IF(ISNA(VLOOKUP($C226,EmpAll,COLUMN(Emp!$E$4),0)),$AC226,IF(VLOOKUP($C226,EmpAll,COLUMN(Emp!$E$4),0)&lt;=Setup!$E$12,DATE(YEAR(Setup!$E$12),MONTH(Setup!$E$12)+1,1),VLOOKUP($C226,EmpAll,COLUMN(Emp!$E$4),0)))</f>
        <v>45351</v>
      </c>
      <c r="AE226" s="144" t="str">
        <f ca="1">IF(ISNA(VLOOKUP($C226,EmpAll,COLUMN(Emp!$G$1),0)),"-",IF(VLOOKUP($C226,EmpAll,COLUMN(Emp!$G$1),0)=0,"-",VLOOKUP($C226,EmpAll,COLUMN(Emp!$G$1),0)))</f>
        <v>-</v>
      </c>
      <c r="AF226" s="145">
        <f>IF(A226=PaySlip!$G$3,1,0)</f>
        <v>0</v>
      </c>
      <c r="AG226" s="130" cm="1">
        <f t="array" aca="1" ref="AG226" ca="1">IF(COUNTIFS(OverEmp,$C226,OverMed,"MED",OverDate,"&lt;"&amp;DATE(YEAR($AC226),MONTH($AC226)+1,1),OverEnd,"&gt;="&amp;DATE(YEAR($AC226),MONTH($AC226),1))&gt;0,SUMIFS(OverValue,OverEmp,$C226,OverMed,"MED",OverDate,"&lt;"&amp;DATE(YEAR($AC226),MONTH($AC226)+1,1),OverEnd,"&gt;="&amp;DATE(YEAR($AC226),MONTH($AC226),1)),IF(ISNA(VLOOKUP($C226,EmpAll,COLUMN(Emp!$N$4),0)),0,VLOOKUP($C226,EmpAll,COLUMN(Emp!$N$4),0)))</f>
        <v>0</v>
      </c>
      <c r="AH226" s="146">
        <f ca="1">VLOOKUP($AG226,MedList,COLUMN(Setup!$C$49),1)</f>
        <v>0</v>
      </c>
      <c r="AI226" s="146">
        <f t="shared" ca="1" si="107"/>
        <v>0</v>
      </c>
      <c r="AJ226" s="101" t="str">
        <f ca="1">IF(ISNA(VLOOKUP($C226,EmpAll,COLUMN(Emp!$L$4),0)),"None!",VLOOKUP($C226,EmpAll,COLUMN(Emp!$L$4),0))</f>
        <v>None!</v>
      </c>
      <c r="AK226" s="147">
        <f t="shared" ca="1" si="102"/>
        <v>17235</v>
      </c>
      <c r="AL226" s="101" t="str">
        <f ca="1">IF(ISNA(VLOOKUP($C226,Employees[],COLUMN(Emp!$M$4),0))=TRUE,"Error!",IF(VLOOKUP($C226,Employees[],COLUMN(Emp!$M$4),0)=0,"Yes",VLOOKUP($C226,Employees[],COLUMN(Emp!$M$4),0)))</f>
        <v>Error!</v>
      </c>
      <c r="AM226" s="148">
        <f t="shared" ca="1" si="108"/>
        <v>0</v>
      </c>
      <c r="AN226" s="148" cm="1">
        <f t="array" aca="1" ref="AN226" ca="1">-IF($F226="Terminated",0,IF($AA226=0,0,IF(ISNA(MATCH(AN$5,PayDedList,0)),0,MIN(IF(COUNTIFS(OverEmp,$C226,OverDeduct,AN$5,OverDate,"&lt;"&amp;DATE(YEAR($AC226),MONTH($AC226)+1,1),OverEnd,"&gt;="&amp;DATE(YEAR($AC226),MONTH($AC226),1))&gt;0,SUMPRODUCT((PayEmp=$C226)*(PayDate&lt;=$AC226)*(OFFSET($N$6,1,MATCH(AN$5,PayDedList,0)-1,PayCount,1)))/$AA226*12*AN$3,IF(OR(AN$1="Fixed",AN$1="Not Used"),SUMPRODUCT((PayEmp=$C226)*(PayDate&lt;=$AC226)*(OFFSET($N$6,1,MATCH(AN$5,PayDedList,0)-1,PayCount,1)))/$AA226*12*AN$3,IF(ISNA(MATCH(AN$1,EarnListItem,0))=FALSE,SUMPRODUCT((PayEmp=$C226)*(PayDate&lt;=$AC226)*(OFFSET($N$6,1,MATCH(AN$5,PayDedList,0)-1,PayCount,1)))/$AA226*12*AN$3,(MIN(((SUMPRODUCT((PayEmp=$C226)*(PayDate&lt;=$AC226)*(ISERROR(SEARCH(PayEarnCode,AN$2)))*(PayEarnType="Monthly")*(PayEarnValues))/$AA226*12)+(SUMPRODUCT((PayEmp=$C226)*(PayDate&lt;=$AC226)*(ISERROR(SEARCH(PayEarnCode,AN$2)))*(PayEarnType="Quarterly")*(PayEarnValues))/MAX(1,ROUNDDOWN($AB226/3,0))*4)+(SUMPRODUCT((PayEmp=$C226)*(PayDate&lt;=$AC226)*(ISERROR(SEARCH(PayEarnCode,AN$2)))*(PayEarnType="Bi-Annual")*(PayEarnValues))/MAX(1,ROUNDDOWN($AB226/6,0))*2)+(SUMPRODUCT((PayEmp=$C226)*(PayDate&lt;=$AC226)*(ISERROR(SEARCH(PayEarnCode,AN$2)))*(PayEarnType="Annual")*(PayEarnValues)))),IF(ISNUMBER(OFFSET($N$3,0,MATCH(AN$5,PayDedList,0)-1,1,1)),OFFSET($N$3,0,MATCH(AN$5,PayDedList,0)-1,1,1),IgnoreMin)))*IF(COUNTIFS(EmpNo,$C226,OFFSET(Emp!$R$4,1,MATCH(AN$5,DedListItem,0)-1,EmpCount,1),"&lt;&gt;")&gt;0,VLOOKUP($C226,EmpAll,COLUMN(Emp!$R$4)+MATCH(AN$5,DedListItem,0)-1,0),OFFSET(Setup!$E$73,MATCH(AN$5,DedListItem,0),0,1,1))*AN$3))),IF(ISNUMBER(AN$4),AN$4,IgnoreMin)))))</f>
        <v>0</v>
      </c>
      <c r="AO226" s="148" cm="1">
        <f t="array" aca="1" ref="AO226" ca="1">-IF($F226="Terminated",0,IF($AA226=0,0,IF(ISNA(MATCH(AO$5,PayDedList,0)),0,MIN(IF(COUNTIFS(OverEmp,$C226,OverDeduct,AO$5,OverDate,"&lt;"&amp;DATE(YEAR($AC226),MONTH($AC226)+1,1),OverEnd,"&gt;="&amp;DATE(YEAR($AC226),MONTH($AC226),1))&gt;0,SUMPRODUCT((PayEmp=$C226)*(PayDate&lt;=$AC226)*(OFFSET($N$6,1,MATCH(AO$5,PayDedList,0)-1,PayCount,1)))/$AA226*12*AO$3,IF(OR(AO$1="Fixed",AO$1="Not Used"),SUMPRODUCT((PayEmp=$C226)*(PayDate&lt;=$AC226)*(OFFSET($N$6,1,MATCH(AO$5,PayDedList,0)-1,PayCount,1)))/$AA226*12*AO$3,IF(ISNA(MATCH(AO$1,EarnListItem,0))=FALSE,SUMPRODUCT((PayEmp=$C226)*(PayDate&lt;=$AC226)*(OFFSET($N$6,1,MATCH(AO$5,PayDedList,0)-1,PayCount,1)))/$AA226*12*AO$3,(MIN(((SUMPRODUCT((PayEmp=$C226)*(PayDate&lt;=$AC226)*(ISERROR(SEARCH(PayEarnCode,AO$2)))*(PayEarnType="Monthly")*(PayEarnValues))/$AA226*12)+(SUMPRODUCT((PayEmp=$C226)*(PayDate&lt;=$AC226)*(ISERROR(SEARCH(PayEarnCode,AO$2)))*(PayEarnType="Quarterly")*(PayEarnValues))/MAX(1,ROUNDDOWN($AB226/3,0))*4)+(SUMPRODUCT((PayEmp=$C226)*(PayDate&lt;=$AC226)*(ISERROR(SEARCH(PayEarnCode,AO$2)))*(PayEarnType="Bi-Annual")*(PayEarnValues))/MAX(1,ROUNDDOWN($AB226/6,0))*2)+(SUMPRODUCT((PayEmp=$C226)*(PayDate&lt;=$AC226)*(ISERROR(SEARCH(PayEarnCode,AO$2)))*(PayEarnType="Annual")*(PayEarnValues)))),IF(ISNUMBER(OFFSET($N$3,0,MATCH(AO$5,PayDedList,0)-1,1,1)),OFFSET($N$3,0,MATCH(AO$5,PayDedList,0)-1,1,1),IgnoreMin)))*IF(COUNTIFS(EmpNo,$C226,OFFSET(Emp!$R$4,1,MATCH(AO$5,DedListItem,0)-1,EmpCount,1),"&lt;&gt;")&gt;0,VLOOKUP($C226,EmpAll,COLUMN(Emp!$R$4)+MATCH(AO$5,DedListItem,0)-1,0),OFFSET(Setup!$E$73,MATCH(AO$5,DedListItem,0),0,1,1))*AO$3))),IF(ISNUMBER(AO$4),AO$4,IgnoreMin)))))</f>
        <v>0</v>
      </c>
      <c r="AP226" s="148" cm="1">
        <f t="array" aca="1" ref="AP226" ca="1">-IF($F226="Terminated",0,IF($AA226=0,0,IF(ISNA(MATCH(AP$5,PayDedList,0)),0,MIN(IF(COUNTIFS(OverEmp,$C226,OverDeduct,AP$5,OverDate,"&lt;"&amp;DATE(YEAR($AC226),MONTH($AC226)+1,1),OverEnd,"&gt;="&amp;DATE(YEAR($AC226),MONTH($AC226),1))&gt;0,SUMPRODUCT((PayEmp=$C226)*(PayDate&lt;=$AC226)*(OFFSET($N$6,1,MATCH(AP$5,PayDedList,0)-1,PayCount,1)))/$AA226*12*AP$3,IF(OR(AP$1="Fixed",AP$1="Not Used"),SUMPRODUCT((PayEmp=$C226)*(PayDate&lt;=$AC226)*(OFFSET($N$6,1,MATCH(AP$5,PayDedList,0)-1,PayCount,1)))/$AA226*12*AP$3,IF(ISNA(MATCH(AP$1,EarnListItem,0))=FALSE,SUMPRODUCT((PayEmp=$C226)*(PayDate&lt;=$AC226)*(OFFSET($N$6,1,MATCH(AP$5,PayDedList,0)-1,PayCount,1)))/$AA226*12*AP$3,(MIN(((SUMPRODUCT((PayEmp=$C226)*(PayDate&lt;=$AC226)*(ISERROR(SEARCH(PayEarnCode,AP$2)))*(PayEarnType="Monthly")*(PayEarnValues))/$AA226*12)+(SUMPRODUCT((PayEmp=$C226)*(PayDate&lt;=$AC226)*(ISERROR(SEARCH(PayEarnCode,AP$2)))*(PayEarnType="Quarterly")*(PayEarnValues))/MAX(1,ROUNDDOWN($AB226/3,0))*4)+(SUMPRODUCT((PayEmp=$C226)*(PayDate&lt;=$AC226)*(ISERROR(SEARCH(PayEarnCode,AP$2)))*(PayEarnType="Bi-Annual")*(PayEarnValues))/MAX(1,ROUNDDOWN($AB226/6,0))*2)+(SUMPRODUCT((PayEmp=$C226)*(PayDate&lt;=$AC226)*(ISERROR(SEARCH(PayEarnCode,AP$2)))*(PayEarnType="Annual")*(PayEarnValues)))),IF(ISNUMBER(OFFSET($N$3,0,MATCH(AP$5,PayDedList,0)-1,1,1)),OFFSET($N$3,0,MATCH(AP$5,PayDedList,0)-1,1,1),IgnoreMin)))*IF(COUNTIFS(EmpNo,$C226,OFFSET(Emp!$R$4,1,MATCH(AP$5,DedListItem,0)-1,EmpCount,1),"&lt;&gt;")&gt;0,VLOOKUP($C226,EmpAll,COLUMN(Emp!$R$4)+MATCH(AP$5,DedListItem,0)-1,0),OFFSET(Setup!$E$73,MATCH(AP$5,DedListItem,0),0,1,1))*AP$3))),IF(ISNUMBER(AP$4),AP$4,IgnoreMin)))))</f>
        <v>0</v>
      </c>
      <c r="AQ226" s="148" cm="1">
        <f t="array" aca="1" ref="AQ226" ca="1">-IF($F226="Terminated",0,IF($AA226=0,0,IF(ISNA(MATCH(AQ$5,PayDedList,0)),0,MIN(IF(COUNTIFS(OverEmp,$C226,OverDeduct,AQ$5,OverDate,"&lt;"&amp;DATE(YEAR($AC226),MONTH($AC226)+1,1),OverEnd,"&gt;="&amp;DATE(YEAR($AC226),MONTH($AC226),1))&gt;0,SUMPRODUCT((PayEmp=$C226)*(PayDate&lt;=$AC226)*(OFFSET($N$6,1,MATCH(AQ$5,PayDedList,0)-1,PayCount,1)))/$AA226*12*AQ$3,IF(OR(AQ$1="Fixed",AQ$1="Not Used"),SUMPRODUCT((PayEmp=$C226)*(PayDate&lt;=$AC226)*(OFFSET($N$6,1,MATCH(AQ$5,PayDedList,0)-1,PayCount,1)))/$AA226*12*AQ$3,IF(ISNA(MATCH(AQ$1,EarnListItem,0))=FALSE,SUMPRODUCT((PayEmp=$C226)*(PayDate&lt;=$AC226)*(OFFSET($N$6,1,MATCH(AQ$5,PayDedList,0)-1,PayCount,1)))/$AA226*12*AQ$3,(MIN(((SUMPRODUCT((PayEmp=$C226)*(PayDate&lt;=$AC226)*(ISERROR(SEARCH(PayEarnCode,AQ$2)))*(PayEarnType="Monthly")*(PayEarnValues))/$AA226*12)+(SUMPRODUCT((PayEmp=$C226)*(PayDate&lt;=$AC226)*(ISERROR(SEARCH(PayEarnCode,AQ$2)))*(PayEarnType="Quarterly")*(PayEarnValues))/MAX(1,ROUNDDOWN($AB226/3,0))*4)+(SUMPRODUCT((PayEmp=$C226)*(PayDate&lt;=$AC226)*(ISERROR(SEARCH(PayEarnCode,AQ$2)))*(PayEarnType="Bi-Annual")*(PayEarnValues))/MAX(1,ROUNDDOWN($AB226/6,0))*2)+(SUMPRODUCT((PayEmp=$C226)*(PayDate&lt;=$AC226)*(ISERROR(SEARCH(PayEarnCode,AQ$2)))*(PayEarnType="Annual")*(PayEarnValues)))),IF(ISNUMBER(OFFSET($N$3,0,MATCH(AQ$5,PayDedList,0)-1,1,1)),OFFSET($N$3,0,MATCH(AQ$5,PayDedList,0)-1,1,1),IgnoreMin)))*IF(COUNTIFS(EmpNo,$C226,OFFSET(Emp!$R$4,1,MATCH(AQ$5,DedListItem,0)-1,EmpCount,1),"&lt;&gt;")&gt;0,VLOOKUP($C226,EmpAll,COLUMN(Emp!$R$4)+MATCH(AQ$5,DedListItem,0)-1,0),OFFSET(Setup!$E$73,MATCH(AQ$5,DedListItem,0),0,1,1))*AQ$3))),IF(ISNUMBER(AQ$4),AQ$4,IgnoreMin)))))</f>
        <v>0</v>
      </c>
      <c r="AR226" s="148">
        <f t="shared" ref="AR226:AR234" ca="1" si="142">$AM226+SUM(OFFSET($AM226,0,1,1,COLUMN($AR$2)-COLUMN($AM$2)-1))</f>
        <v>0</v>
      </c>
      <c r="AS226" s="148">
        <f t="shared" ca="1" si="109"/>
        <v>0</v>
      </c>
      <c r="AT226" s="148" cm="1">
        <f t="array" aca="1" ref="AT226" ca="1">-IF($F226="Terminated",0,IF($AA226=0,0,IF(ISNA(MATCH(AT$5,PayDedList,0)),0,MIN(IF(COUNTIFS(OverEmp,$C226,OverDeduct,AT$5,OverDate,"&lt;"&amp;DATE(YEAR($AC226),MONTH($AC226)+1,1),OverEnd,"&gt;="&amp;DATE(YEAR($AC226),MONTH($AC226),1))&gt;0,SUMPRODUCT((PayEmp=$C226)*(PayDate&lt;=$AC226)*(OFFSET($N$6,1,MATCH(AT$5,PayDedList,0)-1,PayCount,1)))/$AA226*12*AT$3,IF(OR(AT$1="Fixed",AT$1="Not Used"),SUMPRODUCT((PayEmp=$C226)*(PayDate&lt;=$AC226)*(OFFSET($N$6,1,MATCH(AT$5,PayDedList,0)-1,PayCount,1)))/$AA226*12*AT$3,IF(ISNA(MATCH(OFFSET($N$2,0,MATCH(AT$5,PayDedList,0)-1,1,1),EarnListItem,0))=FALSE,SUMPRODUCT((PayEmp=$C226)*(PayDate&lt;=$AC226)*(OFFSET($N$6,1,MATCH(AT$5,PayDedList,0)-1,PayCount,1)))/$AA226*12*AT$3,(MIN(SUMPRODUCT((PayEmp=$C226)*(PayDate&lt;=$AC226)*(ISERROR(SEARCH(PayEarnCode,AT$2)))*(PayEarnType="Monthly")*(PayEarnValues))/$AA226*12,IF(ISNUMBER(OFFSET($N$3,0,MATCH(AT$5,PayDedList,0)-1,1,1)),OFFSET($N$3,0,MATCH(AT$5,PayDedList,0)-1,1,1),IgnoreMin)))*IF(COUNTIFS(EmpNo,$C226,OFFSET(Emp!$R$4,1,MATCH(AT$5,DedListItem,0)-1,EmpCount,1),"&lt;&gt;")&gt;0,VLOOKUP($C226,EmpAll,COLUMN(Emp!$R$4)+MATCH(AT$5,DedListItem,0)-1,0),OFFSET(Setup!$E$73,MATCH(AT$5,DedListItem,0),0,1,1))*AT$3))),IF(ISNUMBER(AT$4),AT$4,IgnoreMin)))))</f>
        <v>0</v>
      </c>
      <c r="AU226" s="148" cm="1">
        <f t="array" aca="1" ref="AU226" ca="1">-IF($F226="Terminated",0,IF($AA226=0,0,IF(ISNA(MATCH(AU$5,PayDedList,0)),0,MIN(IF(COUNTIFS(OverEmp,$C226,OverDeduct,AU$5,OverDate,"&lt;"&amp;DATE(YEAR($AC226),MONTH($AC226)+1,1),OverEnd,"&gt;="&amp;DATE(YEAR($AC226),MONTH($AC226),1))&gt;0,SUMPRODUCT((PayEmp=$C226)*(PayDate&lt;=$AC226)*(OFFSET($N$6,1,MATCH(AU$5,PayDedList,0)-1,PayCount,1)))/$AA226*12*AU$3,IF(OR(AU$1="Fixed",AU$1="Not Used"),SUMPRODUCT((PayEmp=$C226)*(PayDate&lt;=$AC226)*(OFFSET($N$6,1,MATCH(AU$5,PayDedList,0)-1,PayCount,1)))/$AA226*12*AU$3,IF(ISNA(MATCH(OFFSET($N$2,0,MATCH(AU$5,PayDedList,0)-1,1,1),EarnListItem,0))=FALSE,SUMPRODUCT((PayEmp=$C226)*(PayDate&lt;=$AC226)*(OFFSET($N$6,1,MATCH(AU$5,PayDedList,0)-1,PayCount,1)))/$AA226*12*AU$3,(MIN(SUMPRODUCT((PayEmp=$C226)*(PayDate&lt;=$AC226)*(ISERROR(SEARCH(PayEarnCode,AU$2)))*(PayEarnType="Monthly")*(PayEarnValues))/$AA226*12,IF(ISNUMBER(OFFSET($N$3,0,MATCH(AU$5,PayDedList,0)-1,1,1)),OFFSET($N$3,0,MATCH(AU$5,PayDedList,0)-1,1,1),IgnoreMin)))*IF(COUNTIFS(EmpNo,$C226,OFFSET(Emp!$R$4,1,MATCH(AU$5,DedListItem,0)-1,EmpCount,1),"&lt;&gt;")&gt;0,VLOOKUP($C226,EmpAll,COLUMN(Emp!$R$4)+MATCH(AU$5,DedListItem,0)-1,0),OFFSET(Setup!$E$73,MATCH(AU$5,DedListItem,0),0,1,1))*AU$3))),IF(ISNUMBER(AU$4),AU$4,IgnoreMin)))))</f>
        <v>0</v>
      </c>
      <c r="AV226" s="148" cm="1">
        <f t="array" aca="1" ref="AV226" ca="1">-IF($F226="Terminated",0,IF($AA226=0,0,IF(ISNA(MATCH(AV$5,PayDedList,0)),0,MIN(IF(COUNTIFS(OverEmp,$C226,OverDeduct,AV$5,OverDate,"&lt;"&amp;DATE(YEAR($AC226),MONTH($AC226)+1,1),OverEnd,"&gt;="&amp;DATE(YEAR($AC226),MONTH($AC226),1))&gt;0,SUMPRODUCT((PayEmp=$C226)*(PayDate&lt;=$AC226)*(OFFSET($N$6,1,MATCH(AV$5,PayDedList,0)-1,PayCount,1)))/$AA226*12*AV$3,IF(OR(AV$1="Fixed",AV$1="Not Used"),SUMPRODUCT((PayEmp=$C226)*(PayDate&lt;=$AC226)*(OFFSET($N$6,1,MATCH(AV$5,PayDedList,0)-1,PayCount,1)))/$AA226*12*AV$3,IF(ISNA(MATCH(OFFSET($N$2,0,MATCH(AV$5,PayDedList,0)-1,1,1),EarnListItem,0))=FALSE,SUMPRODUCT((PayEmp=$C226)*(PayDate&lt;=$AC226)*(OFFSET($N$6,1,MATCH(AV$5,PayDedList,0)-1,PayCount,1)))/$AA226*12*AV$3,(MIN(SUMPRODUCT((PayEmp=$C226)*(PayDate&lt;=$AC226)*(ISERROR(SEARCH(PayEarnCode,AV$2)))*(PayEarnType="Monthly")*(PayEarnValues))/$AA226*12,IF(ISNUMBER(OFFSET($N$3,0,MATCH(AV$5,PayDedList,0)-1,1,1)),OFFSET($N$3,0,MATCH(AV$5,PayDedList,0)-1,1,1),IgnoreMin)))*IF(COUNTIFS(EmpNo,$C226,OFFSET(Emp!$R$4,1,MATCH(AV$5,DedListItem,0)-1,EmpCount,1),"&lt;&gt;")&gt;0,VLOOKUP($C226,EmpAll,COLUMN(Emp!$R$4)+MATCH(AV$5,DedListItem,0)-1,0),OFFSET(Setup!$E$73,MATCH(AV$5,DedListItem,0),0,1,1))*AV$3))),IF(ISNUMBER(AV$4),AV$4,IgnoreMin)))))</f>
        <v>0</v>
      </c>
      <c r="AW226" s="148" cm="1">
        <f t="array" aca="1" ref="AW226" ca="1">-IF($F226="Terminated",0,IF($AA226=0,0,IF(ISNA(MATCH(AW$5,PayDedList,0)),0,MIN(IF(COUNTIFS(OverEmp,$C226,OverDeduct,AW$5,OverDate,"&lt;"&amp;DATE(YEAR($AC226),MONTH($AC226)+1,1),OverEnd,"&gt;="&amp;DATE(YEAR($AC226),MONTH($AC226),1))&gt;0,SUMPRODUCT((PayEmp=$C226)*(PayDate&lt;=$AC226)*(OFFSET($N$6,1,MATCH(AW$5,PayDedList,0)-1,PayCount,1)))/$AA226*12*AW$3,IF(OR(AW$1="Fixed",AW$1="Not Used"),SUMPRODUCT((PayEmp=$C226)*(PayDate&lt;=$AC226)*(OFFSET($N$6,1,MATCH(AW$5,PayDedList,0)-1,PayCount,1)))/$AA226*12*AW$3,IF(ISNA(MATCH(OFFSET($N$2,0,MATCH(AW$5,PayDedList,0)-1,1,1),EarnListItem,0))=FALSE,SUMPRODUCT((PayEmp=$C226)*(PayDate&lt;=$AC226)*(OFFSET($N$6,1,MATCH(AW$5,PayDedList,0)-1,PayCount,1)))/$AA226*12*AW$3,(MIN(SUMPRODUCT((PayEmp=$C226)*(PayDate&lt;=$AC226)*(ISERROR(SEARCH(PayEarnCode,AW$2)))*(PayEarnType="Monthly")*(PayEarnValues))/$AA226*12,IF(ISNUMBER(OFFSET($N$3,0,MATCH(AW$5,PayDedList,0)-1,1,1)),OFFSET($N$3,0,MATCH(AW$5,PayDedList,0)-1,1,1),IgnoreMin)))*IF(COUNTIFS(EmpNo,$C226,OFFSET(Emp!$R$4,1,MATCH(AW$5,DedListItem,0)-1,EmpCount,1),"&lt;&gt;")&gt;0,VLOOKUP($C226,EmpAll,COLUMN(Emp!$R$4)+MATCH(AW$5,DedListItem,0)-1,0),OFFSET(Setup!$E$73,MATCH(AW$5,DedListItem,0),0,1,1))*AW$3))),IF(ISNUMBER(AW$4),AW$4,IgnoreMin)))))</f>
        <v>0</v>
      </c>
      <c r="AX226" s="148">
        <f t="shared" ref="AX226:AX234" ca="1" si="143">$AS226+SUM(OFFSET($AT226,0,0,1,COLUMN($AX$2)-COLUMN($AT$2)))</f>
        <v>0</v>
      </c>
      <c r="AY226" s="148">
        <f t="shared" ref="AY226:AY234" ca="1" si="144">AR226-AX226</f>
        <v>0</v>
      </c>
      <c r="AZ226" s="148">
        <f ca="1">IF(ISNUMBER($AL226),($AR226*$AL226)-$AI226-$AK226,MAX(0,IF($AL226="B",IF($AR226&lt;Setup!$C$32,($AR226*Setup!$D$32)-$AI226-$AK226,(($AR226-VLOOKUP($AR226,TaxAll2,1,1))*OFFSET(Setup!$D$32,MATCH($AR226,TaxBracket2,1),0,1,1))+OFFSET(Setup!$E$31,MATCH($AR226,TaxBracket2,1),0,1,1)-$AI226-$AK226),IF($AR226&lt;Setup!$C$21,($AR226*Setup!$D$21)-$AI226-$AK226,(($AR226-VLOOKUP($AR226,TaxAll1,1,1))*OFFSET(Setup!$D$21,MATCH($AR226,TaxBracket1,1),0,1,1))+OFFSET(Setup!$E$20,MATCH($AR226,TaxBracket1,1),0,1,1)-$AI226-$AK226))))</f>
        <v>0</v>
      </c>
      <c r="BA226" s="148">
        <f ca="1">IF(ISNUMBER($AL226),($AX226*$AL226)-$AI226-$AK226,MAX(0,IF($AL226="B",IF($AX226&lt;Setup!$C$32,($AX226*Setup!$D$32)-$AI226-$AK226,(($AX226-VLOOKUP($AX226,TaxAll2,1,1))*OFFSET(Setup!$D$32,MATCH($AX226,TaxBracket2,1),0,1,1))+OFFSET(Setup!$E$31,MATCH($AX226,TaxBracket2,1),0,1,1)-$AI226-$AK226),IF($AX226&lt;Setup!$C$21,($AX226*Setup!$D$21)-$AI226-$AK226,(($AX226-VLOOKUP($AX226,TaxAll1,1,1))*OFFSET(Setup!$D$21,MATCH($AX226,TaxBracket1,1),0,1,1))+OFFSET(Setup!$E$20,MATCH($AX226,TaxBracket1,1),0,1,1)-$AI226-$AK226))))</f>
        <v>0</v>
      </c>
      <c r="BB226" s="148">
        <f t="shared" ref="BB226:BB234" ca="1" si="145">AZ226-BA226</f>
        <v>0</v>
      </c>
      <c r="BC226" s="150">
        <f t="shared" ca="1" si="110"/>
        <v>0</v>
      </c>
      <c r="BD226" s="150">
        <f t="shared" ca="1" si="111"/>
        <v>0</v>
      </c>
      <c r="BE226" s="148">
        <f t="shared" ca="1" si="112"/>
        <v>0</v>
      </c>
    </row>
    <row r="227" spans="1:57" ht="16.149999999999999" customHeight="1" x14ac:dyDescent="0.25">
      <c r="A227" s="10" t="str" cm="1">
        <f t="array" ref="A227">IF(ROW($A227)-ROW($A$6)&gt;EmpCount*12,"-",TEXT($B227,"yyyy")&amp;TEXT($B227,"mm")&amp;"-"&amp;$C227)</f>
        <v>-</v>
      </c>
      <c r="B227" s="137" cm="1">
        <f t="array" aca="1" ref="B227" ca="1">IF(ROW($A227)-ROW($A$6)&gt;EmpCount*12,Setup!$D$12,DATE(YEAR(Setup!$F$12),MONTH(Setup!$F$12)+ROUNDDOWN((ROW($A227)-ROW($A$6)-1)/EmpCount,0),IF(Setup!$C$14&gt;DAY(DATE(YEAR(Setup!$F$12),MONTH(Setup!$F$12)+ROUNDDOWN((ROW($A227)-ROW($A$6)-1)/EmpCount,0)+1,0)),DAY(DATE(YEAR(Setup!$F$12),MONTH(Setup!$F$12)+ROUNDDOWN((ROW($A227)-ROW($A$6)-1)/EmpCount,0)+1,0)),Setup!$C$14)))</f>
        <v>45351</v>
      </c>
      <c r="C227" s="101" t="str" cm="1">
        <f t="array" aca="1" ref="C227" ca="1">IF(ROW($A227)-ROW($A$6)&gt;EmpCount*12,"-",OFFSET(Emp!$A$4,ROW($A227)-ROW($A$6)-IF(ROW($A227)-ROW($A$6)&gt;EmpCount,ROUNDDOWN((ROW($A227)-ROW($A$6)-1)/EmpCount,0)*EmpCount,0),0,1,1))</f>
        <v>-</v>
      </c>
      <c r="D227" s="10" t="str">
        <f ca="1">IF(ISNA(VLOOKUP($C227,EmpAll,COLUMN(Emp!$B$4),0)),"-",VLOOKUP($C227,EmpAll,COLUMN(Emp!$B$4),0))</f>
        <v>-</v>
      </c>
      <c r="E227" s="145" t="str">
        <f ca="1">IF(ISNA(VLOOKUP($C227,EmpAll,COLUMN(Emp!$C$4),0)),"-",VLOOKUP($C227,EmpAll,COLUMN(Emp!$C$4),0))</f>
        <v>-</v>
      </c>
      <c r="F227" s="101" t="str">
        <f ca="1">IF(ISNA(VLOOKUP($C227,EmpAll,COLUMN(Emp!$A$4),0)),"-",IF(AND(VLOOKUP($C227,EmpAll,COLUMN(Emp!$E$4),0)&lt;&gt;0,VLOOKUP($C227,EmpAll,COLUMN(Emp!$E$4),0)&gt;=DATE(YEAR($AC227),MONTH($AC227)+1,0)),"Inactive",IF(AND(VLOOKUP($C227,EmpAll,COLUMN(Emp!$F$4),0)&lt;&gt;0,VLOOKUP($C227,EmpAll,COLUMN(Emp!$F$4),0)&lt;=DATE(YEAR($AC227),MONTH($AC227),0)),"Terminated","Active")))</f>
        <v>-</v>
      </c>
      <c r="G227" s="133" cm="1">
        <f t="array" aca="1" ref="G227" ca="1">IF($F227&lt;&gt;"Active",0,IF(COUNTIFS(OverEmp,$C227,OverEarn,G$2,OverDate,"&lt;"&amp;DATE(YEAR($AC227),MONTH($AC227)+1,1),OverEnd,"&gt;="&amp;DATE(YEAR($AC227),MONTH($AC227),1))&gt;0,SUMIFS(OverValue,OverEmp,$C227,OverEarn,G$2,OverDate,"&lt;"&amp;DATE(YEAR($AC227),MONTH($AC227)+1,1),OverEnd,"&gt;="&amp;DATE(YEAR($AC227),MONTH($AC227),1)),IF(AND($AC227&gt;=Setup!$E$10,SUMIFS(EmpIncrease,EmpCode,$C227)&gt;0),SUMIFS(EmpIncrease,EmpCode,$C227),SUMIFS(EmpSalary,EmpCode,$C227))))</f>
        <v>0</v>
      </c>
      <c r="H227" s="133" cm="1">
        <f t="array" aca="1" ref="H227" ca="1">IF($F227&lt;&gt;"Active",0,IF(COUNTIFS(OverEmp,$C227,OverEarn,H$2,OverDate,"&lt;"&amp;DATE(YEAR($AC227),MONTH($AC227)+1,1),OverEnd,"&gt;="&amp;DATE(YEAR($AC227),MONTH($AC227),1))&gt;0,SUMIFS(OverValue,OverEmp,$C227,OverEarn,H$2,OverDate,"&lt;"&amp;DATE(YEAR($AC227),MONTH($AC227)+1,1),OverEnd,"&gt;="&amp;DATE(YEAR($AC227),MONTH($AC227),1)),0))</f>
        <v>0</v>
      </c>
      <c r="I227" s="133" cm="1">
        <f t="array" aca="1" ref="I227" ca="1">IF($F227&lt;&gt;"Active",0,IF(COUNTIFS(OverEmp,$C227,OverEarn,I$2,OverDate,"&lt;"&amp;DATE(YEAR($AC227),MONTH($AC227)+1,1),OverEnd,"&gt;="&amp;DATE(YEAR($AC227),MONTH($AC227),1))&gt;0,SUMIFS(OverValue,OverEmp,$C227,OverEarn,I$2,OverDate,"&lt;"&amp;DATE(YEAR($AC227),MONTH($AC227)+1,1),OverEnd,"&gt;="&amp;DATE(YEAR($AC227),MONTH($AC227),1)),IF(MONTH(B227)=Setup!$C$15,SUMIFS(EmpBonus,EmpCode,$C227),0)))</f>
        <v>0</v>
      </c>
      <c r="J227" s="133" cm="1">
        <f t="array" aca="1" ref="J227" ca="1">IF($F227&lt;&gt;"Active",0,IF(COUNTIFS(OverEmp,$C227,OverEarn,J$2,OverDate,"&lt;"&amp;DATE(YEAR($AC227),MONTH($AC227)+1,1),OverEnd,"&gt;="&amp;DATE(YEAR($AC227),MONTH($AC227),1))&gt;0,SUMIFS(OverValue,OverEmp,$C227,OverEarn,J$2,OverDate,"&lt;"&amp;DATE(YEAR($AC227),MONTH($AC227)+1,1),OverEnd,"&gt;="&amp;DATE(YEAR($AC227),MONTH($AC227),1)),0))</f>
        <v>0</v>
      </c>
      <c r="K227" s="133" cm="1">
        <f t="array" aca="1" ref="K227" ca="1">IF($F227&lt;&gt;"Active",0,IF(COUNTIFS(OverEmp,$C227,OverEarn,K$2,OverDate,"&lt;"&amp;DATE(YEAR($AC227),MONTH($AC227)+1,1),OverEnd,"&gt;="&amp;DATE(YEAR($AC227),MONTH($AC227),1))&gt;0,SUMIFS(OverValue,OverEmp,$C227,OverEarn,K$2,OverDate,"&lt;"&amp;DATE(YEAR($AC227),MONTH($AC227)+1,1),OverEnd,"&gt;="&amp;DATE(YEAR($AC227),MONTH($AC227),1)),0))</f>
        <v>0</v>
      </c>
      <c r="L227" s="185">
        <f t="shared" ca="1" si="135"/>
        <v>0</v>
      </c>
      <c r="M227" s="182" cm="1">
        <f t="array" aca="1" ref="M227" ca="1">IF(COUNTIFS(OverEmp,$C227,OverTax,M$5,OverDate,"&lt;"&amp;DATE(YEAR($AC227),MONTH($AC227)+1,1),OverEnd,"&gt;="&amp;DATE(YEAR($AC227),MONTH($AC227),1))&gt;0,SUMIFS(OverValue,OverEmp,$C227,OverTax,M$5,OverDate,"&lt;"&amp;DATE(YEAR($AC227),MONTH($AC227)+1,1),OverEnd,"&gt;="&amp;DATE(YEAR($AC227),MONTH($AC227),1)),(($BA227/12*$AA227)+(BB227*IF(1-$BC227=0,0,BD227/(1-$BC227))))-IF($F227="Terminated",0,SUMIFS(PayTaxDeduct,PayDate,"&lt;"&amp;$AC227,PayEmp,$C227)))</f>
        <v>0</v>
      </c>
      <c r="N227" s="133" cm="1">
        <f t="array" aca="1" ref="N227" ca="1">IF($F227="Terminated",0,IF($AA227=0,0,IF(ISNA(MATCH(N$5,DedListItem,0)),0,IF(COUNTIFS(OverEmp,$C227,OverDeduct,N$5,OverDate,"&lt;"&amp;DATE(YEAR($AC227),MONTH($AC227)+1,1),OverEnd,"&gt;="&amp;DATE(YEAR($AC227),MONTH($AC227),1))&gt;0,SUMIFS(OverValue,OverEmp,$C227,OverDeduct,N$5,OverDate,"&lt;"&amp;DATE(YEAR($AC227),MONTH($AC227)+1,1),OverEnd,"&gt;="&amp;DATE(YEAR($AC227),MONTH($AC227),1)),IF(OR(N$2="Fixed",N$2="Not Used"),(IF(COUNTIFS(EmpNo,$C227,OFFSET(Emp!$R$4,1,MATCH(N$5,DedListItem,0)-1,EmpCount,1),"&lt;&gt;")&gt;0,VLOOKUP($C227,EmpAll,COLUMN(Emp!$R$4)+MATCH(N$5,DedListItem,0)-1,0),OFFSET(Setup!$E$73,MATCH(N$5,DedListItem,0),0,1,1))*$AA227)-SUMIFS(OFFSET(N$6,1,0,PayCount,1),PayDate,"&lt;"&amp;$AC227,PayEmp,$C227),IF(ISNA(MATCH(N$2,EarnListItem,0))=FALSE,IF(OFFSET(Setup!$G$73,MATCH(N$5,DedListItem,0),0,1,1)="Taxable",SUMPRODUCT((PayEmp=$C227)*(PayDate&lt;=$AC227)*(PayEarnCode=N$2)*(PayEarnTax)*(PayEarnValues)),SUMPRODUCT((PayEmp=$C227)*(PayDate&lt;=$AC227)*(PayEarnCode=N$2)*(PayEarnValues)))*IF(COUNTIFS(EmpNo,$C227,OFFSET(Emp!$R$4,1,MATCH(N$5,DedListItem,0)-1,EmpCount,1),"&lt;&gt;")&gt;0,VLOOKUP($C227,EmpAll,COLUMN(Emp!$R$4)+MATCH(N$5,DedListItem,0)-1,0),OFFSET(Setup!$E$73,MATCH(N$5,DedListItem,0),0,1,1)),(MIN(IF(OFFSET(Setup!$G$73,MATCH(N$5,DedListItem,0),0,1,1)="Taxable",SUMPRODUCT((PayEmp=$C227)*(PayDate&lt;=$AC227)*(ISERROR(SEARCH(PayEarnCode,N$4)))*(PayEarnTax)*(PayEarnValues)),SUMPRODUCT((PayEmp=$C227)*(PayDate&lt;=$AC227)*(ISERROR(SEARCH(PayEarnCode,N$4)))*(PayEarnValues))),IF(ISNUMBER(N$3),N$3/12*$AA227,IgnoreMin)))*IF(COUNTIFS(EmpNo,$C227,OFFSET(Emp!$R$4,1,MATCH(N$5,DedListItem,0)-1,EmpCount,1),"&lt;&gt;")&gt;0,VLOOKUP($C227,EmpAll,COLUMN(Emp!$R$4)+MATCH(N$5,DedListItem,0)-1,0),OFFSET(Setup!$E$73,MATCH(N$5,DedListItem,0),0,1,1)))-SUMIFS(OFFSET(N$6,1,0,PayCount,1),PayDate,"&lt;"&amp;$AC227,PayEmp,$C227))))))</f>
        <v>0</v>
      </c>
      <c r="O227" s="133" cm="1">
        <f t="array" aca="1" ref="O227" ca="1">IF($F227="Terminated",0,IF($AA227=0,0,IF(ISNA(MATCH(O$5,DedListItem,0)),0,IF(COUNTIFS(OverEmp,$C227,OverDeduct,O$5,OverDate,"&lt;"&amp;DATE(YEAR($AC227),MONTH($AC227)+1,1),OverEnd,"&gt;="&amp;DATE(YEAR($AC227),MONTH($AC227),1))&gt;0,SUMIFS(OverValue,OverEmp,$C227,OverDeduct,O$5,OverDate,"&lt;"&amp;DATE(YEAR($AC227),MONTH($AC227)+1,1),OverEnd,"&gt;="&amp;DATE(YEAR($AC227),MONTH($AC227),1)),IF(OR(O$2="Fixed",O$2="Not Used"),(IF(COUNTIFS(EmpNo,$C227,OFFSET(Emp!$R$4,1,MATCH(O$5,DedListItem,0)-1,EmpCount,1),"&lt;&gt;")&gt;0,VLOOKUP($C227,EmpAll,COLUMN(Emp!$R$4)+MATCH(O$5,DedListItem,0)-1,0),OFFSET(Setup!$E$73,MATCH(O$5,DedListItem,0),0,1,1))*$AA227)-SUMIFS(OFFSET(O$6,1,0,PayCount,1),PayDate,"&lt;"&amp;$AC227,PayEmp,$C227),IF(ISNA(MATCH(O$2,EarnListItem,0))=FALSE,IF(OFFSET(Setup!$G$73,MATCH(O$5,DedListItem,0),0,1,1)="Taxable",SUMPRODUCT((PayEmp=$C227)*(PayDate&lt;=$AC227)*(PayEarnCode=O$2)*(PayEarnTax)*(PayEarnValues)),SUMPRODUCT((PayEmp=$C227)*(PayDate&lt;=$AC227)*(PayEarnCode=O$2)*(PayEarnValues)))*IF(COUNTIFS(EmpNo,$C227,OFFSET(Emp!$R$4,1,MATCH(O$5,DedListItem,0)-1,EmpCount,1),"&lt;&gt;")&gt;0,VLOOKUP($C227,EmpAll,COLUMN(Emp!$R$4)+MATCH(O$5,DedListItem,0)-1,0),OFFSET(Setup!$E$73,MATCH(O$5,DedListItem,0),0,1,1)),(MIN(IF(OFFSET(Setup!$G$73,MATCH(O$5,DedListItem,0),0,1,1)="Taxable",SUMPRODUCT((PayEmp=$C227)*(PayDate&lt;=$AC227)*(ISERROR(SEARCH(PayEarnCode,O$4)))*(PayEarnTax)*(PayEarnValues)),SUMPRODUCT((PayEmp=$C227)*(PayDate&lt;=$AC227)*(ISERROR(SEARCH(PayEarnCode,O$4)))*(PayEarnValues))),IF(ISNUMBER(O$3),O$3/12*$AA227,IgnoreMin)))*IF(COUNTIFS(EmpNo,$C227,OFFSET(Emp!$R$4,1,MATCH(O$5,DedListItem,0)-1,EmpCount,1),"&lt;&gt;")&gt;0,VLOOKUP($C227,EmpAll,COLUMN(Emp!$R$4)+MATCH(O$5,DedListItem,0)-1,0),OFFSET(Setup!$E$73,MATCH(O$5,DedListItem,0),0,1,1)))-SUMIFS(OFFSET(O$6,1,0,PayCount,1),PayDate,"&lt;"&amp;$AC227,PayEmp,$C227))))))</f>
        <v>0</v>
      </c>
      <c r="P227" s="133" cm="1">
        <f t="array" aca="1" ref="P227" ca="1">IF($F227="Terminated",0,IF($AA227=0,0,IF(ISNA(MATCH(P$5,DedListItem,0)),0,IF(COUNTIFS(OverEmp,$C227,OverDeduct,P$5,OverDate,"&lt;"&amp;DATE(YEAR($AC227),MONTH($AC227)+1,1),OverEnd,"&gt;="&amp;DATE(YEAR($AC227),MONTH($AC227),1))&gt;0,SUMIFS(OverValue,OverEmp,$C227,OverDeduct,P$5,OverDate,"&lt;"&amp;DATE(YEAR($AC227),MONTH($AC227)+1,1),OverEnd,"&gt;="&amp;DATE(YEAR($AC227),MONTH($AC227),1)),IF(OR(P$2="Fixed",P$2="Not Used"),(IF(COUNTIFS(EmpNo,$C227,OFFSET(Emp!$R$4,1,MATCH(P$5,DedListItem,0)-1,EmpCount,1),"&lt;&gt;")&gt;0,VLOOKUP($C227,EmpAll,COLUMN(Emp!$R$4)+MATCH(P$5,DedListItem,0)-1,0),OFFSET(Setup!$E$73,MATCH(P$5,DedListItem,0),0,1,1))*$AA227)-SUMIFS(OFFSET(P$6,1,0,PayCount,1),PayDate,"&lt;"&amp;$AC227,PayEmp,$C227),IF(ISNA(MATCH(P$2,EarnListItem,0))=FALSE,IF(OFFSET(Setup!$G$73,MATCH(P$5,DedListItem,0),0,1,1)="Taxable",SUMPRODUCT((PayEmp=$C227)*(PayDate&lt;=$AC227)*(PayEarnCode=P$2)*(PayEarnTax)*(PayEarnValues)),SUMPRODUCT((PayEmp=$C227)*(PayDate&lt;=$AC227)*(PayEarnCode=P$2)*(PayEarnValues)))*IF(COUNTIFS(EmpNo,$C227,OFFSET(Emp!$R$4,1,MATCH(P$5,DedListItem,0)-1,EmpCount,1),"&lt;&gt;")&gt;0,VLOOKUP($C227,EmpAll,COLUMN(Emp!$R$4)+MATCH(P$5,DedListItem,0)-1,0),OFFSET(Setup!$E$73,MATCH(P$5,DedListItem,0),0,1,1)),(MIN(IF(OFFSET(Setup!$G$73,MATCH(P$5,DedListItem,0),0,1,1)="Taxable",SUMPRODUCT((PayEmp=$C227)*(PayDate&lt;=$AC227)*(ISERROR(SEARCH(PayEarnCode,P$4)))*(PayEarnTax)*(PayEarnValues)),SUMPRODUCT((PayEmp=$C227)*(PayDate&lt;=$AC227)*(ISERROR(SEARCH(PayEarnCode,P$4)))*(PayEarnValues))),IF(ISNUMBER(P$3),P$3/12*$AA227,IgnoreMin)))*IF(COUNTIFS(EmpNo,$C227,OFFSET(Emp!$R$4,1,MATCH(P$5,DedListItem,0)-1,EmpCount,1),"&lt;&gt;")&gt;0,VLOOKUP($C227,EmpAll,COLUMN(Emp!$R$4)+MATCH(P$5,DedListItem,0)-1,0),OFFSET(Setup!$E$73,MATCH(P$5,DedListItem,0),0,1,1)))-SUMIFS(OFFSET(P$6,1,0,PayCount,1),PayDate,"&lt;"&amp;$AC227,PayEmp,$C227))))))</f>
        <v>0</v>
      </c>
      <c r="Q227" s="133" cm="1">
        <f t="array" aca="1" ref="Q227" ca="1">IF($F227="Terminated",0,IF($AA227=0,0,IF(ISNA(MATCH(Q$5,DedListItem,0)),0,IF(COUNTIFS(OverEmp,$C227,OverDeduct,Q$5,OverDate,"&lt;"&amp;DATE(YEAR($AC227),MONTH($AC227)+1,1),OverEnd,"&gt;="&amp;DATE(YEAR($AC227),MONTH($AC227),1))&gt;0,SUMIFS(OverValue,OverEmp,$C227,OverDeduct,Q$5,OverDate,"&lt;"&amp;DATE(YEAR($AC227),MONTH($AC227)+1,1),OverEnd,"&gt;="&amp;DATE(YEAR($AC227),MONTH($AC227),1)),IF(OR(Q$2="Fixed",Q$2="Not Used"),(IF(COUNTIFS(EmpNo,$C227,OFFSET(Emp!$R$4,1,MATCH(Q$5,DedListItem,0)-1,EmpCount,1),"&lt;&gt;")&gt;0,VLOOKUP($C227,EmpAll,COLUMN(Emp!$R$4)+MATCH(Q$5,DedListItem,0)-1,0),OFFSET(Setup!$E$73,MATCH(Q$5,DedListItem,0),0,1,1))*$AA227)-SUMIFS(OFFSET(Q$6,1,0,PayCount,1),PayDate,"&lt;"&amp;$AC227,PayEmp,$C227),IF(ISNA(MATCH(Q$2,EarnListItem,0))=FALSE,IF(OFFSET(Setup!$G$73,MATCH(Q$5,DedListItem,0),0,1,1)="Taxable",SUMPRODUCT((PayEmp=$C227)*(PayDate&lt;=$AC227)*(PayEarnCode=Q$2)*(PayEarnTax)*(PayEarnValues)),SUMPRODUCT((PayEmp=$C227)*(PayDate&lt;=$AC227)*(PayEarnCode=Q$2)*(PayEarnValues)))*IF(COUNTIFS(EmpNo,$C227,OFFSET(Emp!$R$4,1,MATCH(Q$5,DedListItem,0)-1,EmpCount,1),"&lt;&gt;")&gt;0,VLOOKUP($C227,EmpAll,COLUMN(Emp!$R$4)+MATCH(Q$5,DedListItem,0)-1,0),OFFSET(Setup!$E$73,MATCH(Q$5,DedListItem,0),0,1,1)),(MIN(IF(OFFSET(Setup!$G$73,MATCH(Q$5,DedListItem,0),0,1,1)="Taxable",SUMPRODUCT((PayEmp=$C227)*(PayDate&lt;=$AC227)*(ISERROR(SEARCH(PayEarnCode,Q$4)))*(PayEarnTax)*(PayEarnValues)),SUMPRODUCT((PayEmp=$C227)*(PayDate&lt;=$AC227)*(ISERROR(SEARCH(PayEarnCode,Q$4)))*(PayEarnValues))),IF(ISNUMBER(Q$3),Q$3/12*$AA227,IgnoreMin)))*IF(COUNTIFS(EmpNo,$C227,OFFSET(Emp!$R$4,1,MATCH(Q$5,DedListItem,0)-1,EmpCount,1),"&lt;&gt;")&gt;0,VLOOKUP($C227,EmpAll,COLUMN(Emp!$R$4)+MATCH(Q$5,DedListItem,0)-1,0),OFFSET(Setup!$E$73,MATCH(Q$5,DedListItem,0),0,1,1)))-SUMIFS(OFFSET(Q$6,1,0,PayCount,1),PayDate,"&lt;"&amp;$AC227,PayEmp,$C227))))))</f>
        <v>0</v>
      </c>
      <c r="R227" s="185">
        <f t="shared" ca="1" si="136"/>
        <v>0</v>
      </c>
      <c r="S227" s="139">
        <f t="shared" ca="1" si="137"/>
        <v>0</v>
      </c>
      <c r="T227" s="133" cm="1">
        <f t="array" aca="1" ref="T227" ca="1">IF($F227="Terminated",0,IF($AA227=0,0,IF(ISNA(MATCH(T$5,CompListItem,0)),0,IF(COUNTIFS(OverEmp,$C227,OverComp,T$5,OverDate,"&lt;"&amp;DATE(YEAR($AC227),MONTH($AC227)+1,1),OverEnd,"&gt;="&amp;DATE(YEAR($AC227),MONTH($AC227),1))&gt;0,SUMIFS(OverValue,OverEmp,$C227,OverComp,T$5,OverDate,"&lt;"&amp;DATE(YEAR($AC227),MONTH($AC227)+1,1),OverEnd,"&gt;="&amp;DATE(YEAR($AC227),MONTH($AC227),1)),IF(OR(T$2="Fixed",T$2="Not Used"),(OFFSET(Setup!$E$81,MATCH(T$5,CompListItem,0),0,1,1)*$AA227)-SUMIFS(OFFSET(T$6,1,0,PayCount,1),PayDate,"&lt;"&amp;$AC227,PayEmp,$C227),IF(ISNA(MATCH(T$2,DedListItem,0))=FALSE,(SUMPRODUCT((PayEmp=$C227)*(PayDate&lt;=$AC227)*(PayDedList=T$2)*(PayDedValues))*OFFSET(Setup!$E$81,MATCH(T$5,CompListItem,0),0,1,1))-SUMIFS(OFFSET(T$6,1,0,PayCount,1),PayDate,"&lt;"&amp;$AC227,PayEmp,$C227),(MIN(IF(OFFSET(Setup!$G$81,MATCH(T$5,CompListItem,0),0,1,1)="Taxable",SUMPRODUCT((PayEmp=$C227)*(PayDate&lt;=$AC227)*(ISERROR(SEARCH(PayEarnCode,T$4)))*(PayEarnTax)*(PayEarnValues)),SUMPRODUCT((PayEmp=$C227)*(PayDate&lt;=$AC227)*(ISERROR(SEARCH(PayEarnCode,T$4)))*(PayEarnValues))),IF(ISNUMBER(T$3),T$3/12*$AA227,IgnoreMin)))*OFFSET(Setup!$E$81,MATCH(T$5,CompListItem,0),0,1,1)-SUMIFS(OFFSET(T$6,1,0,PayCount,1),PayDate,"&lt;"&amp;$AC227,PayEmp,$C227)))))))</f>
        <v>0</v>
      </c>
      <c r="U227" s="133" cm="1">
        <f t="array" aca="1" ref="U227" ca="1">IF($F227="Terminated",0,IF($AA227=0,0,IF(ISNA(MATCH(U$5,CompListItem,0)),0,IF(COUNTIFS(OverEmp,$C227,OverComp,U$5,OverDate,"&lt;"&amp;DATE(YEAR($AC227),MONTH($AC227)+1,1),OverEnd,"&gt;="&amp;DATE(YEAR($AC227),MONTH($AC227),1))&gt;0,SUMIFS(OverValue,OverEmp,$C227,OverComp,U$5,OverDate,"&lt;"&amp;DATE(YEAR($AC227),MONTH($AC227)+1,1),OverEnd,"&gt;="&amp;DATE(YEAR($AC227),MONTH($AC227),1)),IF(OR(U$2="Fixed",U$2="Not Used"),(OFFSET(Setup!$E$81,MATCH(U$5,CompListItem,0),0,1,1)*$AA227)-SUMIFS(OFFSET(U$6,1,0,PayCount,1),PayDate,"&lt;"&amp;$AC227,PayEmp,$C227),IF(ISNA(MATCH(U$2,DedListItem,0))=FALSE,(SUMPRODUCT((PayEmp=$C227)*(PayDate&lt;=$AC227)*(PayDedList=U$2)*(PayDedValues))*OFFSET(Setup!$E$81,MATCH(U$5,CompListItem,0),0,1,1))-SUMIFS(OFFSET(U$6,1,0,PayCount,1),PayDate,"&lt;"&amp;$AC227,PayEmp,$C227),(MIN(IF(OFFSET(Setup!$G$81,MATCH(U$5,CompListItem,0),0,1,1)="Taxable",SUMPRODUCT((PayEmp=$C227)*(PayDate&lt;=$AC227)*(ISERROR(SEARCH(PayEarnCode,U$4)))*(PayEarnTax)*(PayEarnValues)),SUMPRODUCT((PayEmp=$C227)*(PayDate&lt;=$AC227)*(ISERROR(SEARCH(PayEarnCode,U$4)))*(PayEarnValues))),IF(ISNUMBER(U$3),U$3/12*$AA227,IgnoreMin)))*OFFSET(Setup!$E$81,MATCH(U$5,CompListItem,0),0,1,1)-SUMIFS(OFFSET(U$6,1,0,PayCount,1),PayDate,"&lt;"&amp;$AC227,PayEmp,$C227)))))))</f>
        <v>0</v>
      </c>
      <c r="V227" s="133" cm="1">
        <f t="array" aca="1" ref="V227" ca="1">IF($F227="Terminated",0,IF($AA227=0,0,IF(ISNA(MATCH(V$5,CompListItem,0)),0,IF(COUNTIFS(OverEmp,$C227,OverComp,V$5,OverDate,"&lt;"&amp;DATE(YEAR($AC227),MONTH($AC227)+1,1),OverEnd,"&gt;="&amp;DATE(YEAR($AC227),MONTH($AC227),1))&gt;0,SUMIFS(OverValue,OverEmp,$C227,OverComp,V$5,OverDate,"&lt;"&amp;DATE(YEAR($AC227),MONTH($AC227)+1,1),OverEnd,"&gt;="&amp;DATE(YEAR($AC227),MONTH($AC227),1)),IF(OR(V$2="Fixed",V$2="Not Used"),(OFFSET(Setup!$E$81,MATCH(V$5,CompListItem,0),0,1,1)*$AA227)-SUMIFS(OFFSET(V$6,1,0,PayCount,1),PayDate,"&lt;"&amp;$AC227,PayEmp,$C227),IF(ISNA(MATCH(V$2,DedListItem,0))=FALSE,(SUMPRODUCT((PayEmp=$C227)*(PayDate&lt;=$AC227)*(PayDedList=V$2)*(PayDedValues))*OFFSET(Setup!$E$81,MATCH(V$5,CompListItem,0),0,1,1))-SUMIFS(OFFSET(V$6,1,0,PayCount,1),PayDate,"&lt;"&amp;$AC227,PayEmp,$C227),(MIN(IF(OFFSET(Setup!$G$81,MATCH(V$5,CompListItem,0),0,1,1)="Taxable",SUMPRODUCT((PayEmp=$C227)*(PayDate&lt;=$AC227)*(ISERROR(SEARCH(PayEarnCode,V$4)))*(PayEarnTax)*(PayEarnValues)),SUMPRODUCT((PayEmp=$C227)*(PayDate&lt;=$AC227)*(ISERROR(SEARCH(PayEarnCode,V$4)))*(PayEarnValues))),IF(ISNUMBER(V$3),V$3/12*$AA227,IgnoreMin)))*OFFSET(Setup!$E$81,MATCH(V$5,CompListItem,0),0,1,1)-SUMIFS(OFFSET(V$6,1,0,PayCount,1),PayDate,"&lt;"&amp;$AC227,PayEmp,$C227)))))))</f>
        <v>0</v>
      </c>
      <c r="W227" s="133" cm="1">
        <f t="array" aca="1" ref="W227" ca="1">IF($F227="Terminated",0,IF($AA227=0,0,IF(ISNA(MATCH(W$5,CompListItem,0)),0,IF(COUNTIFS(OverEmp,$C227,OverComp,W$5,OverDate,"&lt;"&amp;DATE(YEAR($AC227),MONTH($AC227)+1,1),OverEnd,"&gt;="&amp;DATE(YEAR($AC227),MONTH($AC227),1))&gt;0,SUMIFS(OverValue,OverEmp,$C227,OverComp,W$5,OverDate,"&lt;"&amp;DATE(YEAR($AC227),MONTH($AC227)+1,1),OverEnd,"&gt;="&amp;DATE(YEAR($AC227),MONTH($AC227),1)),IF(OR(W$2="Fixed",W$2="Not Used"),(OFFSET(Setup!$E$81,MATCH(W$5,CompListItem,0),0,1,1)*$AA227)-SUMIFS(OFFSET(W$6,1,0,PayCount,1),PayDate,"&lt;"&amp;$AC227,PayEmp,$C227),IF(ISNA(MATCH(W$2,DedListItem,0))=FALSE,(SUMPRODUCT((PayEmp=$C227)*(PayDate&lt;=$AC227)*(PayDedList=W$2)*(PayDedValues))*OFFSET(Setup!$E$81,MATCH(W$5,CompListItem,0),0,1,1))-SUMIFS(OFFSET(W$6,1,0,PayCount,1),PayDate,"&lt;"&amp;$AC227,PayEmp,$C227),(MIN(IF(OFFSET(Setup!$G$81,MATCH(W$5,CompListItem,0),0,1,1)="Taxable",SUMPRODUCT((PayEmp=$C227)*(PayDate&lt;=$AC227)*(ISERROR(SEARCH(PayEarnCode,W$4)))*(PayEarnTax)*(PayEarnValues)),SUMPRODUCT((PayEmp=$C227)*(PayDate&lt;=$AC227)*(ISERROR(SEARCH(PayEarnCode,W$4)))*(PayEarnValues))),IF(ISNUMBER(W$3),W$3/12*$AA227,IgnoreMin)))*OFFSET(Setup!$E$81,MATCH(W$5,CompListItem,0),0,1,1)-SUMIFS(OFFSET(W$6,1,0,PayCount,1),PayDate,"&lt;"&amp;$AC227,PayEmp,$C227)))))))</f>
        <v>0</v>
      </c>
      <c r="X227" s="185">
        <f t="shared" ca="1" si="138"/>
        <v>0</v>
      </c>
      <c r="Y227" s="139">
        <f t="shared" ca="1" si="139"/>
        <v>0</v>
      </c>
      <c r="Z227" s="139">
        <f t="shared" ca="1" si="140"/>
        <v>0</v>
      </c>
      <c r="AA227" s="146">
        <f ca="1">IF(OR($B227&lt;=Setup!$E$12,$B227&gt;=Setup!$D$12+1),0,IF($F227&lt;&gt;"Active",0,IF($AE227="Yes",$AB227,((YEAR($AC227)*12)+MONTH($AC227))-((YEAR($AD227)*12)+MONTH($AD227)-1))))</f>
        <v>0</v>
      </c>
      <c r="AB227" s="146">
        <f ca="1">IF(OR($B227&lt;=Setup!$E$12,$B227&gt;=Setup!$D$12+1),0,((YEAR($AC227)*12)+MONTH($AC227))-((YEAR(Setup!$E$12)*12)+MONTH(Setup!$E$12)))</f>
        <v>12</v>
      </c>
      <c r="AC227" s="186">
        <f t="shared" ca="1" si="141"/>
        <v>45351</v>
      </c>
      <c r="AD227" s="144">
        <f ca="1">IF(ISNA(VLOOKUP($C227,EmpAll,COLUMN(Emp!$E$4),0)),$AC227,IF(VLOOKUP($C227,EmpAll,COLUMN(Emp!$E$4),0)&lt;=Setup!$E$12,DATE(YEAR(Setup!$E$12),MONTH(Setup!$E$12)+1,1),VLOOKUP($C227,EmpAll,COLUMN(Emp!$E$4),0)))</f>
        <v>45351</v>
      </c>
      <c r="AE227" s="144" t="str">
        <f ca="1">IF(ISNA(VLOOKUP($C227,EmpAll,COLUMN(Emp!$G$1),0)),"-",IF(VLOOKUP($C227,EmpAll,COLUMN(Emp!$G$1),0)=0,"-",VLOOKUP($C227,EmpAll,COLUMN(Emp!$G$1),0)))</f>
        <v>-</v>
      </c>
      <c r="AF227" s="145">
        <f>IF(A227=PaySlip!$G$3,1,0)</f>
        <v>0</v>
      </c>
      <c r="AG227" s="130" cm="1">
        <f t="array" aca="1" ref="AG227" ca="1">IF(COUNTIFS(OverEmp,$C227,OverMed,"MED",OverDate,"&lt;"&amp;DATE(YEAR($AC227),MONTH($AC227)+1,1),OverEnd,"&gt;="&amp;DATE(YEAR($AC227),MONTH($AC227),1))&gt;0,SUMIFS(OverValue,OverEmp,$C227,OverMed,"MED",OverDate,"&lt;"&amp;DATE(YEAR($AC227),MONTH($AC227)+1,1),OverEnd,"&gt;="&amp;DATE(YEAR($AC227),MONTH($AC227),1)),IF(ISNA(VLOOKUP($C227,EmpAll,COLUMN(Emp!$N$4),0)),0,VLOOKUP($C227,EmpAll,COLUMN(Emp!$N$4),0)))</f>
        <v>0</v>
      </c>
      <c r="AH227" s="146">
        <f ca="1">VLOOKUP($AG227,MedList,COLUMN(Setup!$C$49),1)</f>
        <v>0</v>
      </c>
      <c r="AI227" s="146">
        <f t="shared" ca="1" si="107"/>
        <v>0</v>
      </c>
      <c r="AJ227" s="101" t="str">
        <f ca="1">IF(ISNA(VLOOKUP($C227,EmpAll,COLUMN(Emp!$L$4),0)),"None!",VLOOKUP($C227,EmpAll,COLUMN(Emp!$L$4),0))</f>
        <v>None!</v>
      </c>
      <c r="AK227" s="147">
        <f t="shared" ca="1" si="102"/>
        <v>17235</v>
      </c>
      <c r="AL227" s="101" t="str">
        <f ca="1">IF(ISNA(VLOOKUP($C227,Employees[],COLUMN(Emp!$M$4),0))=TRUE,"Error!",IF(VLOOKUP($C227,Employees[],COLUMN(Emp!$M$4),0)=0,"Yes",VLOOKUP($C227,Employees[],COLUMN(Emp!$M$4),0)))</f>
        <v>Error!</v>
      </c>
      <c r="AM227" s="148">
        <f t="shared" ca="1" si="108"/>
        <v>0</v>
      </c>
      <c r="AN227" s="148" cm="1">
        <f t="array" aca="1" ref="AN227" ca="1">-IF($F227="Terminated",0,IF($AA227=0,0,IF(ISNA(MATCH(AN$5,PayDedList,0)),0,MIN(IF(COUNTIFS(OverEmp,$C227,OverDeduct,AN$5,OverDate,"&lt;"&amp;DATE(YEAR($AC227),MONTH($AC227)+1,1),OverEnd,"&gt;="&amp;DATE(YEAR($AC227),MONTH($AC227),1))&gt;0,SUMPRODUCT((PayEmp=$C227)*(PayDate&lt;=$AC227)*(OFFSET($N$6,1,MATCH(AN$5,PayDedList,0)-1,PayCount,1)))/$AA227*12*AN$3,IF(OR(AN$1="Fixed",AN$1="Not Used"),SUMPRODUCT((PayEmp=$C227)*(PayDate&lt;=$AC227)*(OFFSET($N$6,1,MATCH(AN$5,PayDedList,0)-1,PayCount,1)))/$AA227*12*AN$3,IF(ISNA(MATCH(AN$1,EarnListItem,0))=FALSE,SUMPRODUCT((PayEmp=$C227)*(PayDate&lt;=$AC227)*(OFFSET($N$6,1,MATCH(AN$5,PayDedList,0)-1,PayCount,1)))/$AA227*12*AN$3,(MIN(((SUMPRODUCT((PayEmp=$C227)*(PayDate&lt;=$AC227)*(ISERROR(SEARCH(PayEarnCode,AN$2)))*(PayEarnType="Monthly")*(PayEarnValues))/$AA227*12)+(SUMPRODUCT((PayEmp=$C227)*(PayDate&lt;=$AC227)*(ISERROR(SEARCH(PayEarnCode,AN$2)))*(PayEarnType="Quarterly")*(PayEarnValues))/MAX(1,ROUNDDOWN($AB227/3,0))*4)+(SUMPRODUCT((PayEmp=$C227)*(PayDate&lt;=$AC227)*(ISERROR(SEARCH(PayEarnCode,AN$2)))*(PayEarnType="Bi-Annual")*(PayEarnValues))/MAX(1,ROUNDDOWN($AB227/6,0))*2)+(SUMPRODUCT((PayEmp=$C227)*(PayDate&lt;=$AC227)*(ISERROR(SEARCH(PayEarnCode,AN$2)))*(PayEarnType="Annual")*(PayEarnValues)))),IF(ISNUMBER(OFFSET($N$3,0,MATCH(AN$5,PayDedList,0)-1,1,1)),OFFSET($N$3,0,MATCH(AN$5,PayDedList,0)-1,1,1),IgnoreMin)))*IF(COUNTIFS(EmpNo,$C227,OFFSET(Emp!$R$4,1,MATCH(AN$5,DedListItem,0)-1,EmpCount,1),"&lt;&gt;")&gt;0,VLOOKUP($C227,EmpAll,COLUMN(Emp!$R$4)+MATCH(AN$5,DedListItem,0)-1,0),OFFSET(Setup!$E$73,MATCH(AN$5,DedListItem,0),0,1,1))*AN$3))),IF(ISNUMBER(AN$4),AN$4,IgnoreMin)))))</f>
        <v>0</v>
      </c>
      <c r="AO227" s="148" cm="1">
        <f t="array" aca="1" ref="AO227" ca="1">-IF($F227="Terminated",0,IF($AA227=0,0,IF(ISNA(MATCH(AO$5,PayDedList,0)),0,MIN(IF(COUNTIFS(OverEmp,$C227,OverDeduct,AO$5,OverDate,"&lt;"&amp;DATE(YEAR($AC227),MONTH($AC227)+1,1),OverEnd,"&gt;="&amp;DATE(YEAR($AC227),MONTH($AC227),1))&gt;0,SUMPRODUCT((PayEmp=$C227)*(PayDate&lt;=$AC227)*(OFFSET($N$6,1,MATCH(AO$5,PayDedList,0)-1,PayCount,1)))/$AA227*12*AO$3,IF(OR(AO$1="Fixed",AO$1="Not Used"),SUMPRODUCT((PayEmp=$C227)*(PayDate&lt;=$AC227)*(OFFSET($N$6,1,MATCH(AO$5,PayDedList,0)-1,PayCount,1)))/$AA227*12*AO$3,IF(ISNA(MATCH(AO$1,EarnListItem,0))=FALSE,SUMPRODUCT((PayEmp=$C227)*(PayDate&lt;=$AC227)*(OFFSET($N$6,1,MATCH(AO$5,PayDedList,0)-1,PayCount,1)))/$AA227*12*AO$3,(MIN(((SUMPRODUCT((PayEmp=$C227)*(PayDate&lt;=$AC227)*(ISERROR(SEARCH(PayEarnCode,AO$2)))*(PayEarnType="Monthly")*(PayEarnValues))/$AA227*12)+(SUMPRODUCT((PayEmp=$C227)*(PayDate&lt;=$AC227)*(ISERROR(SEARCH(PayEarnCode,AO$2)))*(PayEarnType="Quarterly")*(PayEarnValues))/MAX(1,ROUNDDOWN($AB227/3,0))*4)+(SUMPRODUCT((PayEmp=$C227)*(PayDate&lt;=$AC227)*(ISERROR(SEARCH(PayEarnCode,AO$2)))*(PayEarnType="Bi-Annual")*(PayEarnValues))/MAX(1,ROUNDDOWN($AB227/6,0))*2)+(SUMPRODUCT((PayEmp=$C227)*(PayDate&lt;=$AC227)*(ISERROR(SEARCH(PayEarnCode,AO$2)))*(PayEarnType="Annual")*(PayEarnValues)))),IF(ISNUMBER(OFFSET($N$3,0,MATCH(AO$5,PayDedList,0)-1,1,1)),OFFSET($N$3,0,MATCH(AO$5,PayDedList,0)-1,1,1),IgnoreMin)))*IF(COUNTIFS(EmpNo,$C227,OFFSET(Emp!$R$4,1,MATCH(AO$5,DedListItem,0)-1,EmpCount,1),"&lt;&gt;")&gt;0,VLOOKUP($C227,EmpAll,COLUMN(Emp!$R$4)+MATCH(AO$5,DedListItem,0)-1,0),OFFSET(Setup!$E$73,MATCH(AO$5,DedListItem,0),0,1,1))*AO$3))),IF(ISNUMBER(AO$4),AO$4,IgnoreMin)))))</f>
        <v>0</v>
      </c>
      <c r="AP227" s="148" cm="1">
        <f t="array" aca="1" ref="AP227" ca="1">-IF($F227="Terminated",0,IF($AA227=0,0,IF(ISNA(MATCH(AP$5,PayDedList,0)),0,MIN(IF(COUNTIFS(OverEmp,$C227,OverDeduct,AP$5,OverDate,"&lt;"&amp;DATE(YEAR($AC227),MONTH($AC227)+1,1),OverEnd,"&gt;="&amp;DATE(YEAR($AC227),MONTH($AC227),1))&gt;0,SUMPRODUCT((PayEmp=$C227)*(PayDate&lt;=$AC227)*(OFFSET($N$6,1,MATCH(AP$5,PayDedList,0)-1,PayCount,1)))/$AA227*12*AP$3,IF(OR(AP$1="Fixed",AP$1="Not Used"),SUMPRODUCT((PayEmp=$C227)*(PayDate&lt;=$AC227)*(OFFSET($N$6,1,MATCH(AP$5,PayDedList,0)-1,PayCount,1)))/$AA227*12*AP$3,IF(ISNA(MATCH(AP$1,EarnListItem,0))=FALSE,SUMPRODUCT((PayEmp=$C227)*(PayDate&lt;=$AC227)*(OFFSET($N$6,1,MATCH(AP$5,PayDedList,0)-1,PayCount,1)))/$AA227*12*AP$3,(MIN(((SUMPRODUCT((PayEmp=$C227)*(PayDate&lt;=$AC227)*(ISERROR(SEARCH(PayEarnCode,AP$2)))*(PayEarnType="Monthly")*(PayEarnValues))/$AA227*12)+(SUMPRODUCT((PayEmp=$C227)*(PayDate&lt;=$AC227)*(ISERROR(SEARCH(PayEarnCode,AP$2)))*(PayEarnType="Quarterly")*(PayEarnValues))/MAX(1,ROUNDDOWN($AB227/3,0))*4)+(SUMPRODUCT((PayEmp=$C227)*(PayDate&lt;=$AC227)*(ISERROR(SEARCH(PayEarnCode,AP$2)))*(PayEarnType="Bi-Annual")*(PayEarnValues))/MAX(1,ROUNDDOWN($AB227/6,0))*2)+(SUMPRODUCT((PayEmp=$C227)*(PayDate&lt;=$AC227)*(ISERROR(SEARCH(PayEarnCode,AP$2)))*(PayEarnType="Annual")*(PayEarnValues)))),IF(ISNUMBER(OFFSET($N$3,0,MATCH(AP$5,PayDedList,0)-1,1,1)),OFFSET($N$3,0,MATCH(AP$5,PayDedList,0)-1,1,1),IgnoreMin)))*IF(COUNTIFS(EmpNo,$C227,OFFSET(Emp!$R$4,1,MATCH(AP$5,DedListItem,0)-1,EmpCount,1),"&lt;&gt;")&gt;0,VLOOKUP($C227,EmpAll,COLUMN(Emp!$R$4)+MATCH(AP$5,DedListItem,0)-1,0),OFFSET(Setup!$E$73,MATCH(AP$5,DedListItem,0),0,1,1))*AP$3))),IF(ISNUMBER(AP$4),AP$4,IgnoreMin)))))</f>
        <v>0</v>
      </c>
      <c r="AQ227" s="148" cm="1">
        <f t="array" aca="1" ref="AQ227" ca="1">-IF($F227="Terminated",0,IF($AA227=0,0,IF(ISNA(MATCH(AQ$5,PayDedList,0)),0,MIN(IF(COUNTIFS(OverEmp,$C227,OverDeduct,AQ$5,OverDate,"&lt;"&amp;DATE(YEAR($AC227),MONTH($AC227)+1,1),OverEnd,"&gt;="&amp;DATE(YEAR($AC227),MONTH($AC227),1))&gt;0,SUMPRODUCT((PayEmp=$C227)*(PayDate&lt;=$AC227)*(OFFSET($N$6,1,MATCH(AQ$5,PayDedList,0)-1,PayCount,1)))/$AA227*12*AQ$3,IF(OR(AQ$1="Fixed",AQ$1="Not Used"),SUMPRODUCT((PayEmp=$C227)*(PayDate&lt;=$AC227)*(OFFSET($N$6,1,MATCH(AQ$5,PayDedList,0)-1,PayCount,1)))/$AA227*12*AQ$3,IF(ISNA(MATCH(AQ$1,EarnListItem,0))=FALSE,SUMPRODUCT((PayEmp=$C227)*(PayDate&lt;=$AC227)*(OFFSET($N$6,1,MATCH(AQ$5,PayDedList,0)-1,PayCount,1)))/$AA227*12*AQ$3,(MIN(((SUMPRODUCT((PayEmp=$C227)*(PayDate&lt;=$AC227)*(ISERROR(SEARCH(PayEarnCode,AQ$2)))*(PayEarnType="Monthly")*(PayEarnValues))/$AA227*12)+(SUMPRODUCT((PayEmp=$C227)*(PayDate&lt;=$AC227)*(ISERROR(SEARCH(PayEarnCode,AQ$2)))*(PayEarnType="Quarterly")*(PayEarnValues))/MAX(1,ROUNDDOWN($AB227/3,0))*4)+(SUMPRODUCT((PayEmp=$C227)*(PayDate&lt;=$AC227)*(ISERROR(SEARCH(PayEarnCode,AQ$2)))*(PayEarnType="Bi-Annual")*(PayEarnValues))/MAX(1,ROUNDDOWN($AB227/6,0))*2)+(SUMPRODUCT((PayEmp=$C227)*(PayDate&lt;=$AC227)*(ISERROR(SEARCH(PayEarnCode,AQ$2)))*(PayEarnType="Annual")*(PayEarnValues)))),IF(ISNUMBER(OFFSET($N$3,0,MATCH(AQ$5,PayDedList,0)-1,1,1)),OFFSET($N$3,0,MATCH(AQ$5,PayDedList,0)-1,1,1),IgnoreMin)))*IF(COUNTIFS(EmpNo,$C227,OFFSET(Emp!$R$4,1,MATCH(AQ$5,DedListItem,0)-1,EmpCount,1),"&lt;&gt;")&gt;0,VLOOKUP($C227,EmpAll,COLUMN(Emp!$R$4)+MATCH(AQ$5,DedListItem,0)-1,0),OFFSET(Setup!$E$73,MATCH(AQ$5,DedListItem,0),0,1,1))*AQ$3))),IF(ISNUMBER(AQ$4),AQ$4,IgnoreMin)))))</f>
        <v>0</v>
      </c>
      <c r="AR227" s="148">
        <f t="shared" ca="1" si="142"/>
        <v>0</v>
      </c>
      <c r="AS227" s="148">
        <f t="shared" ca="1" si="109"/>
        <v>0</v>
      </c>
      <c r="AT227" s="148" cm="1">
        <f t="array" aca="1" ref="AT227" ca="1">-IF($F227="Terminated",0,IF($AA227=0,0,IF(ISNA(MATCH(AT$5,PayDedList,0)),0,MIN(IF(COUNTIFS(OverEmp,$C227,OverDeduct,AT$5,OverDate,"&lt;"&amp;DATE(YEAR($AC227),MONTH($AC227)+1,1),OverEnd,"&gt;="&amp;DATE(YEAR($AC227),MONTH($AC227),1))&gt;0,SUMPRODUCT((PayEmp=$C227)*(PayDate&lt;=$AC227)*(OFFSET($N$6,1,MATCH(AT$5,PayDedList,0)-1,PayCount,1)))/$AA227*12*AT$3,IF(OR(AT$1="Fixed",AT$1="Not Used"),SUMPRODUCT((PayEmp=$C227)*(PayDate&lt;=$AC227)*(OFFSET($N$6,1,MATCH(AT$5,PayDedList,0)-1,PayCount,1)))/$AA227*12*AT$3,IF(ISNA(MATCH(OFFSET($N$2,0,MATCH(AT$5,PayDedList,0)-1,1,1),EarnListItem,0))=FALSE,SUMPRODUCT((PayEmp=$C227)*(PayDate&lt;=$AC227)*(OFFSET($N$6,1,MATCH(AT$5,PayDedList,0)-1,PayCount,1)))/$AA227*12*AT$3,(MIN(SUMPRODUCT((PayEmp=$C227)*(PayDate&lt;=$AC227)*(ISERROR(SEARCH(PayEarnCode,AT$2)))*(PayEarnType="Monthly")*(PayEarnValues))/$AA227*12,IF(ISNUMBER(OFFSET($N$3,0,MATCH(AT$5,PayDedList,0)-1,1,1)),OFFSET($N$3,0,MATCH(AT$5,PayDedList,0)-1,1,1),IgnoreMin)))*IF(COUNTIFS(EmpNo,$C227,OFFSET(Emp!$R$4,1,MATCH(AT$5,DedListItem,0)-1,EmpCount,1),"&lt;&gt;")&gt;0,VLOOKUP($C227,EmpAll,COLUMN(Emp!$R$4)+MATCH(AT$5,DedListItem,0)-1,0),OFFSET(Setup!$E$73,MATCH(AT$5,DedListItem,0),0,1,1))*AT$3))),IF(ISNUMBER(AT$4),AT$4,IgnoreMin)))))</f>
        <v>0</v>
      </c>
      <c r="AU227" s="148" cm="1">
        <f t="array" aca="1" ref="AU227" ca="1">-IF($F227="Terminated",0,IF($AA227=0,0,IF(ISNA(MATCH(AU$5,PayDedList,0)),0,MIN(IF(COUNTIFS(OverEmp,$C227,OverDeduct,AU$5,OverDate,"&lt;"&amp;DATE(YEAR($AC227),MONTH($AC227)+1,1),OverEnd,"&gt;="&amp;DATE(YEAR($AC227),MONTH($AC227),1))&gt;0,SUMPRODUCT((PayEmp=$C227)*(PayDate&lt;=$AC227)*(OFFSET($N$6,1,MATCH(AU$5,PayDedList,0)-1,PayCount,1)))/$AA227*12*AU$3,IF(OR(AU$1="Fixed",AU$1="Not Used"),SUMPRODUCT((PayEmp=$C227)*(PayDate&lt;=$AC227)*(OFFSET($N$6,1,MATCH(AU$5,PayDedList,0)-1,PayCount,1)))/$AA227*12*AU$3,IF(ISNA(MATCH(OFFSET($N$2,0,MATCH(AU$5,PayDedList,0)-1,1,1),EarnListItem,0))=FALSE,SUMPRODUCT((PayEmp=$C227)*(PayDate&lt;=$AC227)*(OFFSET($N$6,1,MATCH(AU$5,PayDedList,0)-1,PayCount,1)))/$AA227*12*AU$3,(MIN(SUMPRODUCT((PayEmp=$C227)*(PayDate&lt;=$AC227)*(ISERROR(SEARCH(PayEarnCode,AU$2)))*(PayEarnType="Monthly")*(PayEarnValues))/$AA227*12,IF(ISNUMBER(OFFSET($N$3,0,MATCH(AU$5,PayDedList,0)-1,1,1)),OFFSET($N$3,0,MATCH(AU$5,PayDedList,0)-1,1,1),IgnoreMin)))*IF(COUNTIFS(EmpNo,$C227,OFFSET(Emp!$R$4,1,MATCH(AU$5,DedListItem,0)-1,EmpCount,1),"&lt;&gt;")&gt;0,VLOOKUP($C227,EmpAll,COLUMN(Emp!$R$4)+MATCH(AU$5,DedListItem,0)-1,0),OFFSET(Setup!$E$73,MATCH(AU$5,DedListItem,0),0,1,1))*AU$3))),IF(ISNUMBER(AU$4),AU$4,IgnoreMin)))))</f>
        <v>0</v>
      </c>
      <c r="AV227" s="148" cm="1">
        <f t="array" aca="1" ref="AV227" ca="1">-IF($F227="Terminated",0,IF($AA227=0,0,IF(ISNA(MATCH(AV$5,PayDedList,0)),0,MIN(IF(COUNTIFS(OverEmp,$C227,OverDeduct,AV$5,OverDate,"&lt;"&amp;DATE(YEAR($AC227),MONTH($AC227)+1,1),OverEnd,"&gt;="&amp;DATE(YEAR($AC227),MONTH($AC227),1))&gt;0,SUMPRODUCT((PayEmp=$C227)*(PayDate&lt;=$AC227)*(OFFSET($N$6,1,MATCH(AV$5,PayDedList,0)-1,PayCount,1)))/$AA227*12*AV$3,IF(OR(AV$1="Fixed",AV$1="Not Used"),SUMPRODUCT((PayEmp=$C227)*(PayDate&lt;=$AC227)*(OFFSET($N$6,1,MATCH(AV$5,PayDedList,0)-1,PayCount,1)))/$AA227*12*AV$3,IF(ISNA(MATCH(OFFSET($N$2,0,MATCH(AV$5,PayDedList,0)-1,1,1),EarnListItem,0))=FALSE,SUMPRODUCT((PayEmp=$C227)*(PayDate&lt;=$AC227)*(OFFSET($N$6,1,MATCH(AV$5,PayDedList,0)-1,PayCount,1)))/$AA227*12*AV$3,(MIN(SUMPRODUCT((PayEmp=$C227)*(PayDate&lt;=$AC227)*(ISERROR(SEARCH(PayEarnCode,AV$2)))*(PayEarnType="Monthly")*(PayEarnValues))/$AA227*12,IF(ISNUMBER(OFFSET($N$3,0,MATCH(AV$5,PayDedList,0)-1,1,1)),OFFSET($N$3,0,MATCH(AV$5,PayDedList,0)-1,1,1),IgnoreMin)))*IF(COUNTIFS(EmpNo,$C227,OFFSET(Emp!$R$4,1,MATCH(AV$5,DedListItem,0)-1,EmpCount,1),"&lt;&gt;")&gt;0,VLOOKUP($C227,EmpAll,COLUMN(Emp!$R$4)+MATCH(AV$5,DedListItem,0)-1,0),OFFSET(Setup!$E$73,MATCH(AV$5,DedListItem,0),0,1,1))*AV$3))),IF(ISNUMBER(AV$4),AV$4,IgnoreMin)))))</f>
        <v>0</v>
      </c>
      <c r="AW227" s="148" cm="1">
        <f t="array" aca="1" ref="AW227" ca="1">-IF($F227="Terminated",0,IF($AA227=0,0,IF(ISNA(MATCH(AW$5,PayDedList,0)),0,MIN(IF(COUNTIFS(OverEmp,$C227,OverDeduct,AW$5,OverDate,"&lt;"&amp;DATE(YEAR($AC227),MONTH($AC227)+1,1),OverEnd,"&gt;="&amp;DATE(YEAR($AC227),MONTH($AC227),1))&gt;0,SUMPRODUCT((PayEmp=$C227)*(PayDate&lt;=$AC227)*(OFFSET($N$6,1,MATCH(AW$5,PayDedList,0)-1,PayCount,1)))/$AA227*12*AW$3,IF(OR(AW$1="Fixed",AW$1="Not Used"),SUMPRODUCT((PayEmp=$C227)*(PayDate&lt;=$AC227)*(OFFSET($N$6,1,MATCH(AW$5,PayDedList,0)-1,PayCount,1)))/$AA227*12*AW$3,IF(ISNA(MATCH(OFFSET($N$2,0,MATCH(AW$5,PayDedList,0)-1,1,1),EarnListItem,0))=FALSE,SUMPRODUCT((PayEmp=$C227)*(PayDate&lt;=$AC227)*(OFFSET($N$6,1,MATCH(AW$5,PayDedList,0)-1,PayCount,1)))/$AA227*12*AW$3,(MIN(SUMPRODUCT((PayEmp=$C227)*(PayDate&lt;=$AC227)*(ISERROR(SEARCH(PayEarnCode,AW$2)))*(PayEarnType="Monthly")*(PayEarnValues))/$AA227*12,IF(ISNUMBER(OFFSET($N$3,0,MATCH(AW$5,PayDedList,0)-1,1,1)),OFFSET($N$3,0,MATCH(AW$5,PayDedList,0)-1,1,1),IgnoreMin)))*IF(COUNTIFS(EmpNo,$C227,OFFSET(Emp!$R$4,1,MATCH(AW$5,DedListItem,0)-1,EmpCount,1),"&lt;&gt;")&gt;0,VLOOKUP($C227,EmpAll,COLUMN(Emp!$R$4)+MATCH(AW$5,DedListItem,0)-1,0),OFFSET(Setup!$E$73,MATCH(AW$5,DedListItem,0),0,1,1))*AW$3))),IF(ISNUMBER(AW$4),AW$4,IgnoreMin)))))</f>
        <v>0</v>
      </c>
      <c r="AX227" s="148">
        <f t="shared" ca="1" si="143"/>
        <v>0</v>
      </c>
      <c r="AY227" s="148">
        <f t="shared" ca="1" si="144"/>
        <v>0</v>
      </c>
      <c r="AZ227" s="148">
        <f ca="1">IF(ISNUMBER($AL227),($AR227*$AL227)-$AI227-$AK227,MAX(0,IF($AL227="B",IF($AR227&lt;Setup!$C$32,($AR227*Setup!$D$32)-$AI227-$AK227,(($AR227-VLOOKUP($AR227,TaxAll2,1,1))*OFFSET(Setup!$D$32,MATCH($AR227,TaxBracket2,1),0,1,1))+OFFSET(Setup!$E$31,MATCH($AR227,TaxBracket2,1),0,1,1)-$AI227-$AK227),IF($AR227&lt;Setup!$C$21,($AR227*Setup!$D$21)-$AI227-$AK227,(($AR227-VLOOKUP($AR227,TaxAll1,1,1))*OFFSET(Setup!$D$21,MATCH($AR227,TaxBracket1,1),0,1,1))+OFFSET(Setup!$E$20,MATCH($AR227,TaxBracket1,1),0,1,1)-$AI227-$AK227))))</f>
        <v>0</v>
      </c>
      <c r="BA227" s="148">
        <f ca="1">IF(ISNUMBER($AL227),($AX227*$AL227)-$AI227-$AK227,MAX(0,IF($AL227="B",IF($AX227&lt;Setup!$C$32,($AX227*Setup!$D$32)-$AI227-$AK227,(($AX227-VLOOKUP($AX227,TaxAll2,1,1))*OFFSET(Setup!$D$32,MATCH($AX227,TaxBracket2,1),0,1,1))+OFFSET(Setup!$E$31,MATCH($AX227,TaxBracket2,1),0,1,1)-$AI227-$AK227),IF($AX227&lt;Setup!$C$21,($AX227*Setup!$D$21)-$AI227-$AK227,(($AX227-VLOOKUP($AX227,TaxAll1,1,1))*OFFSET(Setup!$D$21,MATCH($AX227,TaxBracket1,1),0,1,1))+OFFSET(Setup!$E$20,MATCH($AX227,TaxBracket1,1),0,1,1)-$AI227-$AK227))))</f>
        <v>0</v>
      </c>
      <c r="BB227" s="148">
        <f t="shared" ca="1" si="145"/>
        <v>0</v>
      </c>
      <c r="BC227" s="150">
        <f t="shared" ca="1" si="110"/>
        <v>0</v>
      </c>
      <c r="BD227" s="150">
        <f t="shared" ca="1" si="111"/>
        <v>0</v>
      </c>
      <c r="BE227" s="148">
        <f t="shared" ca="1" si="112"/>
        <v>0</v>
      </c>
    </row>
    <row r="228" spans="1:57" ht="16.149999999999999" customHeight="1" x14ac:dyDescent="0.25">
      <c r="A228" s="10" t="str" cm="1">
        <f t="array" ref="A228">IF(ROW($A228)-ROW($A$6)&gt;EmpCount*12,"-",TEXT($B228,"yyyy")&amp;TEXT($B228,"mm")&amp;"-"&amp;$C228)</f>
        <v>-</v>
      </c>
      <c r="B228" s="137" cm="1">
        <f t="array" aca="1" ref="B228" ca="1">IF(ROW($A228)-ROW($A$6)&gt;EmpCount*12,Setup!$D$12,DATE(YEAR(Setup!$F$12),MONTH(Setup!$F$12)+ROUNDDOWN((ROW($A228)-ROW($A$6)-1)/EmpCount,0),IF(Setup!$C$14&gt;DAY(DATE(YEAR(Setup!$F$12),MONTH(Setup!$F$12)+ROUNDDOWN((ROW($A228)-ROW($A$6)-1)/EmpCount,0)+1,0)),DAY(DATE(YEAR(Setup!$F$12),MONTH(Setup!$F$12)+ROUNDDOWN((ROW($A228)-ROW($A$6)-1)/EmpCount,0)+1,0)),Setup!$C$14)))</f>
        <v>45351</v>
      </c>
      <c r="C228" s="101" t="str" cm="1">
        <f t="array" aca="1" ref="C228" ca="1">IF(ROW($A228)-ROW($A$6)&gt;EmpCount*12,"-",OFFSET(Emp!$A$4,ROW($A228)-ROW($A$6)-IF(ROW($A228)-ROW($A$6)&gt;EmpCount,ROUNDDOWN((ROW($A228)-ROW($A$6)-1)/EmpCount,0)*EmpCount,0),0,1,1))</f>
        <v>-</v>
      </c>
      <c r="D228" s="10" t="str">
        <f ca="1">IF(ISNA(VLOOKUP($C228,EmpAll,COLUMN(Emp!$B$4),0)),"-",VLOOKUP($C228,EmpAll,COLUMN(Emp!$B$4),0))</f>
        <v>-</v>
      </c>
      <c r="E228" s="145" t="str">
        <f ca="1">IF(ISNA(VLOOKUP($C228,EmpAll,COLUMN(Emp!$C$4),0)),"-",VLOOKUP($C228,EmpAll,COLUMN(Emp!$C$4),0))</f>
        <v>-</v>
      </c>
      <c r="F228" s="101" t="str">
        <f ca="1">IF(ISNA(VLOOKUP($C228,EmpAll,COLUMN(Emp!$A$4),0)),"-",IF(AND(VLOOKUP($C228,EmpAll,COLUMN(Emp!$E$4),0)&lt;&gt;0,VLOOKUP($C228,EmpAll,COLUMN(Emp!$E$4),0)&gt;=DATE(YEAR($AC228),MONTH($AC228)+1,0)),"Inactive",IF(AND(VLOOKUP($C228,EmpAll,COLUMN(Emp!$F$4),0)&lt;&gt;0,VLOOKUP($C228,EmpAll,COLUMN(Emp!$F$4),0)&lt;=DATE(YEAR($AC228),MONTH($AC228),0)),"Terminated","Active")))</f>
        <v>-</v>
      </c>
      <c r="G228" s="133" cm="1">
        <f t="array" aca="1" ref="G228" ca="1">IF($F228&lt;&gt;"Active",0,IF(COUNTIFS(OverEmp,$C228,OverEarn,G$2,OverDate,"&lt;"&amp;DATE(YEAR($AC228),MONTH($AC228)+1,1),OverEnd,"&gt;="&amp;DATE(YEAR($AC228),MONTH($AC228),1))&gt;0,SUMIFS(OverValue,OverEmp,$C228,OverEarn,G$2,OverDate,"&lt;"&amp;DATE(YEAR($AC228),MONTH($AC228)+1,1),OverEnd,"&gt;="&amp;DATE(YEAR($AC228),MONTH($AC228),1)),IF(AND($AC228&gt;=Setup!$E$10,SUMIFS(EmpIncrease,EmpCode,$C228)&gt;0),SUMIFS(EmpIncrease,EmpCode,$C228),SUMIFS(EmpSalary,EmpCode,$C228))))</f>
        <v>0</v>
      </c>
      <c r="H228" s="133" cm="1">
        <f t="array" aca="1" ref="H228" ca="1">IF($F228&lt;&gt;"Active",0,IF(COUNTIFS(OverEmp,$C228,OverEarn,H$2,OverDate,"&lt;"&amp;DATE(YEAR($AC228),MONTH($AC228)+1,1),OverEnd,"&gt;="&amp;DATE(YEAR($AC228),MONTH($AC228),1))&gt;0,SUMIFS(OverValue,OverEmp,$C228,OverEarn,H$2,OverDate,"&lt;"&amp;DATE(YEAR($AC228),MONTH($AC228)+1,1),OverEnd,"&gt;="&amp;DATE(YEAR($AC228),MONTH($AC228),1)),0))</f>
        <v>0</v>
      </c>
      <c r="I228" s="133" cm="1">
        <f t="array" aca="1" ref="I228" ca="1">IF($F228&lt;&gt;"Active",0,IF(COUNTIFS(OverEmp,$C228,OverEarn,I$2,OverDate,"&lt;"&amp;DATE(YEAR($AC228),MONTH($AC228)+1,1),OverEnd,"&gt;="&amp;DATE(YEAR($AC228),MONTH($AC228),1))&gt;0,SUMIFS(OverValue,OverEmp,$C228,OverEarn,I$2,OverDate,"&lt;"&amp;DATE(YEAR($AC228),MONTH($AC228)+1,1),OverEnd,"&gt;="&amp;DATE(YEAR($AC228),MONTH($AC228),1)),IF(MONTH(B228)=Setup!$C$15,SUMIFS(EmpBonus,EmpCode,$C228),0)))</f>
        <v>0</v>
      </c>
      <c r="J228" s="133" cm="1">
        <f t="array" aca="1" ref="J228" ca="1">IF($F228&lt;&gt;"Active",0,IF(COUNTIFS(OverEmp,$C228,OverEarn,J$2,OverDate,"&lt;"&amp;DATE(YEAR($AC228),MONTH($AC228)+1,1),OverEnd,"&gt;="&amp;DATE(YEAR($AC228),MONTH($AC228),1))&gt;0,SUMIFS(OverValue,OverEmp,$C228,OverEarn,J$2,OverDate,"&lt;"&amp;DATE(YEAR($AC228),MONTH($AC228)+1,1),OverEnd,"&gt;="&amp;DATE(YEAR($AC228),MONTH($AC228),1)),0))</f>
        <v>0</v>
      </c>
      <c r="K228" s="133" cm="1">
        <f t="array" aca="1" ref="K228" ca="1">IF($F228&lt;&gt;"Active",0,IF(COUNTIFS(OverEmp,$C228,OverEarn,K$2,OverDate,"&lt;"&amp;DATE(YEAR($AC228),MONTH($AC228)+1,1),OverEnd,"&gt;="&amp;DATE(YEAR($AC228),MONTH($AC228),1))&gt;0,SUMIFS(OverValue,OverEmp,$C228,OverEarn,K$2,OverDate,"&lt;"&amp;DATE(YEAR($AC228),MONTH($AC228)+1,1),OverEnd,"&gt;="&amp;DATE(YEAR($AC228),MONTH($AC228),1)),0))</f>
        <v>0</v>
      </c>
      <c r="L228" s="185">
        <f t="shared" ca="1" si="135"/>
        <v>0</v>
      </c>
      <c r="M228" s="182" cm="1">
        <f t="array" aca="1" ref="M228" ca="1">IF(COUNTIFS(OverEmp,$C228,OverTax,M$5,OverDate,"&lt;"&amp;DATE(YEAR($AC228),MONTH($AC228)+1,1),OverEnd,"&gt;="&amp;DATE(YEAR($AC228),MONTH($AC228),1))&gt;0,SUMIFS(OverValue,OverEmp,$C228,OverTax,M$5,OverDate,"&lt;"&amp;DATE(YEAR($AC228),MONTH($AC228)+1,1),OverEnd,"&gt;="&amp;DATE(YEAR($AC228),MONTH($AC228),1)),(($BA228/12*$AA228)+(BB228*IF(1-$BC228=0,0,BD228/(1-$BC228))))-IF($F228="Terminated",0,SUMIFS(PayTaxDeduct,PayDate,"&lt;"&amp;$AC228,PayEmp,$C228)))</f>
        <v>0</v>
      </c>
      <c r="N228" s="133" cm="1">
        <f t="array" aca="1" ref="N228" ca="1">IF($F228="Terminated",0,IF($AA228=0,0,IF(ISNA(MATCH(N$5,DedListItem,0)),0,IF(COUNTIFS(OverEmp,$C228,OverDeduct,N$5,OverDate,"&lt;"&amp;DATE(YEAR($AC228),MONTH($AC228)+1,1),OverEnd,"&gt;="&amp;DATE(YEAR($AC228),MONTH($AC228),1))&gt;0,SUMIFS(OverValue,OverEmp,$C228,OverDeduct,N$5,OverDate,"&lt;"&amp;DATE(YEAR($AC228),MONTH($AC228)+1,1),OverEnd,"&gt;="&amp;DATE(YEAR($AC228),MONTH($AC228),1)),IF(OR(N$2="Fixed",N$2="Not Used"),(IF(COUNTIFS(EmpNo,$C228,OFFSET(Emp!$R$4,1,MATCH(N$5,DedListItem,0)-1,EmpCount,1),"&lt;&gt;")&gt;0,VLOOKUP($C228,EmpAll,COLUMN(Emp!$R$4)+MATCH(N$5,DedListItem,0)-1,0),OFFSET(Setup!$E$73,MATCH(N$5,DedListItem,0),0,1,1))*$AA228)-SUMIFS(OFFSET(N$6,1,0,PayCount,1),PayDate,"&lt;"&amp;$AC228,PayEmp,$C228),IF(ISNA(MATCH(N$2,EarnListItem,0))=FALSE,IF(OFFSET(Setup!$G$73,MATCH(N$5,DedListItem,0),0,1,1)="Taxable",SUMPRODUCT((PayEmp=$C228)*(PayDate&lt;=$AC228)*(PayEarnCode=N$2)*(PayEarnTax)*(PayEarnValues)),SUMPRODUCT((PayEmp=$C228)*(PayDate&lt;=$AC228)*(PayEarnCode=N$2)*(PayEarnValues)))*IF(COUNTIFS(EmpNo,$C228,OFFSET(Emp!$R$4,1,MATCH(N$5,DedListItem,0)-1,EmpCount,1),"&lt;&gt;")&gt;0,VLOOKUP($C228,EmpAll,COLUMN(Emp!$R$4)+MATCH(N$5,DedListItem,0)-1,0),OFFSET(Setup!$E$73,MATCH(N$5,DedListItem,0),0,1,1)),(MIN(IF(OFFSET(Setup!$G$73,MATCH(N$5,DedListItem,0),0,1,1)="Taxable",SUMPRODUCT((PayEmp=$C228)*(PayDate&lt;=$AC228)*(ISERROR(SEARCH(PayEarnCode,N$4)))*(PayEarnTax)*(PayEarnValues)),SUMPRODUCT((PayEmp=$C228)*(PayDate&lt;=$AC228)*(ISERROR(SEARCH(PayEarnCode,N$4)))*(PayEarnValues))),IF(ISNUMBER(N$3),N$3/12*$AA228,IgnoreMin)))*IF(COUNTIFS(EmpNo,$C228,OFFSET(Emp!$R$4,1,MATCH(N$5,DedListItem,0)-1,EmpCount,1),"&lt;&gt;")&gt;0,VLOOKUP($C228,EmpAll,COLUMN(Emp!$R$4)+MATCH(N$5,DedListItem,0)-1,0),OFFSET(Setup!$E$73,MATCH(N$5,DedListItem,0),0,1,1)))-SUMIFS(OFFSET(N$6,1,0,PayCount,1),PayDate,"&lt;"&amp;$AC228,PayEmp,$C228))))))</f>
        <v>0</v>
      </c>
      <c r="O228" s="133" cm="1">
        <f t="array" aca="1" ref="O228" ca="1">IF($F228="Terminated",0,IF($AA228=0,0,IF(ISNA(MATCH(O$5,DedListItem,0)),0,IF(COUNTIFS(OverEmp,$C228,OverDeduct,O$5,OverDate,"&lt;"&amp;DATE(YEAR($AC228),MONTH($AC228)+1,1),OverEnd,"&gt;="&amp;DATE(YEAR($AC228),MONTH($AC228),1))&gt;0,SUMIFS(OverValue,OverEmp,$C228,OverDeduct,O$5,OverDate,"&lt;"&amp;DATE(YEAR($AC228),MONTH($AC228)+1,1),OverEnd,"&gt;="&amp;DATE(YEAR($AC228),MONTH($AC228),1)),IF(OR(O$2="Fixed",O$2="Not Used"),(IF(COUNTIFS(EmpNo,$C228,OFFSET(Emp!$R$4,1,MATCH(O$5,DedListItem,0)-1,EmpCount,1),"&lt;&gt;")&gt;0,VLOOKUP($C228,EmpAll,COLUMN(Emp!$R$4)+MATCH(O$5,DedListItem,0)-1,0),OFFSET(Setup!$E$73,MATCH(O$5,DedListItem,0),0,1,1))*$AA228)-SUMIFS(OFFSET(O$6,1,0,PayCount,1),PayDate,"&lt;"&amp;$AC228,PayEmp,$C228),IF(ISNA(MATCH(O$2,EarnListItem,0))=FALSE,IF(OFFSET(Setup!$G$73,MATCH(O$5,DedListItem,0),0,1,1)="Taxable",SUMPRODUCT((PayEmp=$C228)*(PayDate&lt;=$AC228)*(PayEarnCode=O$2)*(PayEarnTax)*(PayEarnValues)),SUMPRODUCT((PayEmp=$C228)*(PayDate&lt;=$AC228)*(PayEarnCode=O$2)*(PayEarnValues)))*IF(COUNTIFS(EmpNo,$C228,OFFSET(Emp!$R$4,1,MATCH(O$5,DedListItem,0)-1,EmpCount,1),"&lt;&gt;")&gt;0,VLOOKUP($C228,EmpAll,COLUMN(Emp!$R$4)+MATCH(O$5,DedListItem,0)-1,0),OFFSET(Setup!$E$73,MATCH(O$5,DedListItem,0),0,1,1)),(MIN(IF(OFFSET(Setup!$G$73,MATCH(O$5,DedListItem,0),0,1,1)="Taxable",SUMPRODUCT((PayEmp=$C228)*(PayDate&lt;=$AC228)*(ISERROR(SEARCH(PayEarnCode,O$4)))*(PayEarnTax)*(PayEarnValues)),SUMPRODUCT((PayEmp=$C228)*(PayDate&lt;=$AC228)*(ISERROR(SEARCH(PayEarnCode,O$4)))*(PayEarnValues))),IF(ISNUMBER(O$3),O$3/12*$AA228,IgnoreMin)))*IF(COUNTIFS(EmpNo,$C228,OFFSET(Emp!$R$4,1,MATCH(O$5,DedListItem,0)-1,EmpCount,1),"&lt;&gt;")&gt;0,VLOOKUP($C228,EmpAll,COLUMN(Emp!$R$4)+MATCH(O$5,DedListItem,0)-1,0),OFFSET(Setup!$E$73,MATCH(O$5,DedListItem,0),0,1,1)))-SUMIFS(OFFSET(O$6,1,0,PayCount,1),PayDate,"&lt;"&amp;$AC228,PayEmp,$C228))))))</f>
        <v>0</v>
      </c>
      <c r="P228" s="133" cm="1">
        <f t="array" aca="1" ref="P228" ca="1">IF($F228="Terminated",0,IF($AA228=0,0,IF(ISNA(MATCH(P$5,DedListItem,0)),0,IF(COUNTIFS(OverEmp,$C228,OverDeduct,P$5,OverDate,"&lt;"&amp;DATE(YEAR($AC228),MONTH($AC228)+1,1),OverEnd,"&gt;="&amp;DATE(YEAR($AC228),MONTH($AC228),1))&gt;0,SUMIFS(OverValue,OverEmp,$C228,OverDeduct,P$5,OverDate,"&lt;"&amp;DATE(YEAR($AC228),MONTH($AC228)+1,1),OverEnd,"&gt;="&amp;DATE(YEAR($AC228),MONTH($AC228),1)),IF(OR(P$2="Fixed",P$2="Not Used"),(IF(COUNTIFS(EmpNo,$C228,OFFSET(Emp!$R$4,1,MATCH(P$5,DedListItem,0)-1,EmpCount,1),"&lt;&gt;")&gt;0,VLOOKUP($C228,EmpAll,COLUMN(Emp!$R$4)+MATCH(P$5,DedListItem,0)-1,0),OFFSET(Setup!$E$73,MATCH(P$5,DedListItem,0),0,1,1))*$AA228)-SUMIFS(OFFSET(P$6,1,0,PayCount,1),PayDate,"&lt;"&amp;$AC228,PayEmp,$C228),IF(ISNA(MATCH(P$2,EarnListItem,0))=FALSE,IF(OFFSET(Setup!$G$73,MATCH(P$5,DedListItem,0),0,1,1)="Taxable",SUMPRODUCT((PayEmp=$C228)*(PayDate&lt;=$AC228)*(PayEarnCode=P$2)*(PayEarnTax)*(PayEarnValues)),SUMPRODUCT((PayEmp=$C228)*(PayDate&lt;=$AC228)*(PayEarnCode=P$2)*(PayEarnValues)))*IF(COUNTIFS(EmpNo,$C228,OFFSET(Emp!$R$4,1,MATCH(P$5,DedListItem,0)-1,EmpCount,1),"&lt;&gt;")&gt;0,VLOOKUP($C228,EmpAll,COLUMN(Emp!$R$4)+MATCH(P$5,DedListItem,0)-1,0),OFFSET(Setup!$E$73,MATCH(P$5,DedListItem,0),0,1,1)),(MIN(IF(OFFSET(Setup!$G$73,MATCH(P$5,DedListItem,0),0,1,1)="Taxable",SUMPRODUCT((PayEmp=$C228)*(PayDate&lt;=$AC228)*(ISERROR(SEARCH(PayEarnCode,P$4)))*(PayEarnTax)*(PayEarnValues)),SUMPRODUCT((PayEmp=$C228)*(PayDate&lt;=$AC228)*(ISERROR(SEARCH(PayEarnCode,P$4)))*(PayEarnValues))),IF(ISNUMBER(P$3),P$3/12*$AA228,IgnoreMin)))*IF(COUNTIFS(EmpNo,$C228,OFFSET(Emp!$R$4,1,MATCH(P$5,DedListItem,0)-1,EmpCount,1),"&lt;&gt;")&gt;0,VLOOKUP($C228,EmpAll,COLUMN(Emp!$R$4)+MATCH(P$5,DedListItem,0)-1,0),OFFSET(Setup!$E$73,MATCH(P$5,DedListItem,0),0,1,1)))-SUMIFS(OFFSET(P$6,1,0,PayCount,1),PayDate,"&lt;"&amp;$AC228,PayEmp,$C228))))))</f>
        <v>0</v>
      </c>
      <c r="Q228" s="133" cm="1">
        <f t="array" aca="1" ref="Q228" ca="1">IF($F228="Terminated",0,IF($AA228=0,0,IF(ISNA(MATCH(Q$5,DedListItem,0)),0,IF(COUNTIFS(OverEmp,$C228,OverDeduct,Q$5,OverDate,"&lt;"&amp;DATE(YEAR($AC228),MONTH($AC228)+1,1),OverEnd,"&gt;="&amp;DATE(YEAR($AC228),MONTH($AC228),1))&gt;0,SUMIFS(OverValue,OverEmp,$C228,OverDeduct,Q$5,OverDate,"&lt;"&amp;DATE(YEAR($AC228),MONTH($AC228)+1,1),OverEnd,"&gt;="&amp;DATE(YEAR($AC228),MONTH($AC228),1)),IF(OR(Q$2="Fixed",Q$2="Not Used"),(IF(COUNTIFS(EmpNo,$C228,OFFSET(Emp!$R$4,1,MATCH(Q$5,DedListItem,0)-1,EmpCount,1),"&lt;&gt;")&gt;0,VLOOKUP($C228,EmpAll,COLUMN(Emp!$R$4)+MATCH(Q$5,DedListItem,0)-1,0),OFFSET(Setup!$E$73,MATCH(Q$5,DedListItem,0),0,1,1))*$AA228)-SUMIFS(OFFSET(Q$6,1,0,PayCount,1),PayDate,"&lt;"&amp;$AC228,PayEmp,$C228),IF(ISNA(MATCH(Q$2,EarnListItem,0))=FALSE,IF(OFFSET(Setup!$G$73,MATCH(Q$5,DedListItem,0),0,1,1)="Taxable",SUMPRODUCT((PayEmp=$C228)*(PayDate&lt;=$AC228)*(PayEarnCode=Q$2)*(PayEarnTax)*(PayEarnValues)),SUMPRODUCT((PayEmp=$C228)*(PayDate&lt;=$AC228)*(PayEarnCode=Q$2)*(PayEarnValues)))*IF(COUNTIFS(EmpNo,$C228,OFFSET(Emp!$R$4,1,MATCH(Q$5,DedListItem,0)-1,EmpCount,1),"&lt;&gt;")&gt;0,VLOOKUP($C228,EmpAll,COLUMN(Emp!$R$4)+MATCH(Q$5,DedListItem,0)-1,0),OFFSET(Setup!$E$73,MATCH(Q$5,DedListItem,0),0,1,1)),(MIN(IF(OFFSET(Setup!$G$73,MATCH(Q$5,DedListItem,0),0,1,1)="Taxable",SUMPRODUCT((PayEmp=$C228)*(PayDate&lt;=$AC228)*(ISERROR(SEARCH(PayEarnCode,Q$4)))*(PayEarnTax)*(PayEarnValues)),SUMPRODUCT((PayEmp=$C228)*(PayDate&lt;=$AC228)*(ISERROR(SEARCH(PayEarnCode,Q$4)))*(PayEarnValues))),IF(ISNUMBER(Q$3),Q$3/12*$AA228,IgnoreMin)))*IF(COUNTIFS(EmpNo,$C228,OFFSET(Emp!$R$4,1,MATCH(Q$5,DedListItem,0)-1,EmpCount,1),"&lt;&gt;")&gt;0,VLOOKUP($C228,EmpAll,COLUMN(Emp!$R$4)+MATCH(Q$5,DedListItem,0)-1,0),OFFSET(Setup!$E$73,MATCH(Q$5,DedListItem,0),0,1,1)))-SUMIFS(OFFSET(Q$6,1,0,PayCount,1),PayDate,"&lt;"&amp;$AC228,PayEmp,$C228))))))</f>
        <v>0</v>
      </c>
      <c r="R228" s="185">
        <f t="shared" ca="1" si="136"/>
        <v>0</v>
      </c>
      <c r="S228" s="139">
        <f t="shared" ca="1" si="137"/>
        <v>0</v>
      </c>
      <c r="T228" s="133" cm="1">
        <f t="array" aca="1" ref="T228" ca="1">IF($F228="Terminated",0,IF($AA228=0,0,IF(ISNA(MATCH(T$5,CompListItem,0)),0,IF(COUNTIFS(OverEmp,$C228,OverComp,T$5,OverDate,"&lt;"&amp;DATE(YEAR($AC228),MONTH($AC228)+1,1),OverEnd,"&gt;="&amp;DATE(YEAR($AC228),MONTH($AC228),1))&gt;0,SUMIFS(OverValue,OverEmp,$C228,OverComp,T$5,OverDate,"&lt;"&amp;DATE(YEAR($AC228),MONTH($AC228)+1,1),OverEnd,"&gt;="&amp;DATE(YEAR($AC228),MONTH($AC228),1)),IF(OR(T$2="Fixed",T$2="Not Used"),(OFFSET(Setup!$E$81,MATCH(T$5,CompListItem,0),0,1,1)*$AA228)-SUMIFS(OFFSET(T$6,1,0,PayCount,1),PayDate,"&lt;"&amp;$AC228,PayEmp,$C228),IF(ISNA(MATCH(T$2,DedListItem,0))=FALSE,(SUMPRODUCT((PayEmp=$C228)*(PayDate&lt;=$AC228)*(PayDedList=T$2)*(PayDedValues))*OFFSET(Setup!$E$81,MATCH(T$5,CompListItem,0),0,1,1))-SUMIFS(OFFSET(T$6,1,0,PayCount,1),PayDate,"&lt;"&amp;$AC228,PayEmp,$C228),(MIN(IF(OFFSET(Setup!$G$81,MATCH(T$5,CompListItem,0),0,1,1)="Taxable",SUMPRODUCT((PayEmp=$C228)*(PayDate&lt;=$AC228)*(ISERROR(SEARCH(PayEarnCode,T$4)))*(PayEarnTax)*(PayEarnValues)),SUMPRODUCT((PayEmp=$C228)*(PayDate&lt;=$AC228)*(ISERROR(SEARCH(PayEarnCode,T$4)))*(PayEarnValues))),IF(ISNUMBER(T$3),T$3/12*$AA228,IgnoreMin)))*OFFSET(Setup!$E$81,MATCH(T$5,CompListItem,0),0,1,1)-SUMIFS(OFFSET(T$6,1,0,PayCount,1),PayDate,"&lt;"&amp;$AC228,PayEmp,$C228)))))))</f>
        <v>0</v>
      </c>
      <c r="U228" s="133" cm="1">
        <f t="array" aca="1" ref="U228" ca="1">IF($F228="Terminated",0,IF($AA228=0,0,IF(ISNA(MATCH(U$5,CompListItem,0)),0,IF(COUNTIFS(OverEmp,$C228,OverComp,U$5,OverDate,"&lt;"&amp;DATE(YEAR($AC228),MONTH($AC228)+1,1),OverEnd,"&gt;="&amp;DATE(YEAR($AC228),MONTH($AC228),1))&gt;0,SUMIFS(OverValue,OverEmp,$C228,OverComp,U$5,OverDate,"&lt;"&amp;DATE(YEAR($AC228),MONTH($AC228)+1,1),OverEnd,"&gt;="&amp;DATE(YEAR($AC228),MONTH($AC228),1)),IF(OR(U$2="Fixed",U$2="Not Used"),(OFFSET(Setup!$E$81,MATCH(U$5,CompListItem,0),0,1,1)*$AA228)-SUMIFS(OFFSET(U$6,1,0,PayCount,1),PayDate,"&lt;"&amp;$AC228,PayEmp,$C228),IF(ISNA(MATCH(U$2,DedListItem,0))=FALSE,(SUMPRODUCT((PayEmp=$C228)*(PayDate&lt;=$AC228)*(PayDedList=U$2)*(PayDedValues))*OFFSET(Setup!$E$81,MATCH(U$5,CompListItem,0),0,1,1))-SUMIFS(OFFSET(U$6,1,0,PayCount,1),PayDate,"&lt;"&amp;$AC228,PayEmp,$C228),(MIN(IF(OFFSET(Setup!$G$81,MATCH(U$5,CompListItem,0),0,1,1)="Taxable",SUMPRODUCT((PayEmp=$C228)*(PayDate&lt;=$AC228)*(ISERROR(SEARCH(PayEarnCode,U$4)))*(PayEarnTax)*(PayEarnValues)),SUMPRODUCT((PayEmp=$C228)*(PayDate&lt;=$AC228)*(ISERROR(SEARCH(PayEarnCode,U$4)))*(PayEarnValues))),IF(ISNUMBER(U$3),U$3/12*$AA228,IgnoreMin)))*OFFSET(Setup!$E$81,MATCH(U$5,CompListItem,0),0,1,1)-SUMIFS(OFFSET(U$6,1,0,PayCount,1),PayDate,"&lt;"&amp;$AC228,PayEmp,$C228)))))))</f>
        <v>0</v>
      </c>
      <c r="V228" s="133" cm="1">
        <f t="array" aca="1" ref="V228" ca="1">IF($F228="Terminated",0,IF($AA228=0,0,IF(ISNA(MATCH(V$5,CompListItem,0)),0,IF(COUNTIFS(OverEmp,$C228,OverComp,V$5,OverDate,"&lt;"&amp;DATE(YEAR($AC228),MONTH($AC228)+1,1),OverEnd,"&gt;="&amp;DATE(YEAR($AC228),MONTH($AC228),1))&gt;0,SUMIFS(OverValue,OverEmp,$C228,OverComp,V$5,OverDate,"&lt;"&amp;DATE(YEAR($AC228),MONTH($AC228)+1,1),OverEnd,"&gt;="&amp;DATE(YEAR($AC228),MONTH($AC228),1)),IF(OR(V$2="Fixed",V$2="Not Used"),(OFFSET(Setup!$E$81,MATCH(V$5,CompListItem,0),0,1,1)*$AA228)-SUMIFS(OFFSET(V$6,1,0,PayCount,1),PayDate,"&lt;"&amp;$AC228,PayEmp,$C228),IF(ISNA(MATCH(V$2,DedListItem,0))=FALSE,(SUMPRODUCT((PayEmp=$C228)*(PayDate&lt;=$AC228)*(PayDedList=V$2)*(PayDedValues))*OFFSET(Setup!$E$81,MATCH(V$5,CompListItem,0),0,1,1))-SUMIFS(OFFSET(V$6,1,0,PayCount,1),PayDate,"&lt;"&amp;$AC228,PayEmp,$C228),(MIN(IF(OFFSET(Setup!$G$81,MATCH(V$5,CompListItem,0),0,1,1)="Taxable",SUMPRODUCT((PayEmp=$C228)*(PayDate&lt;=$AC228)*(ISERROR(SEARCH(PayEarnCode,V$4)))*(PayEarnTax)*(PayEarnValues)),SUMPRODUCT((PayEmp=$C228)*(PayDate&lt;=$AC228)*(ISERROR(SEARCH(PayEarnCode,V$4)))*(PayEarnValues))),IF(ISNUMBER(V$3),V$3/12*$AA228,IgnoreMin)))*OFFSET(Setup!$E$81,MATCH(V$5,CompListItem,0),0,1,1)-SUMIFS(OFFSET(V$6,1,0,PayCount,1),PayDate,"&lt;"&amp;$AC228,PayEmp,$C228)))))))</f>
        <v>0</v>
      </c>
      <c r="W228" s="133" cm="1">
        <f t="array" aca="1" ref="W228" ca="1">IF($F228="Terminated",0,IF($AA228=0,0,IF(ISNA(MATCH(W$5,CompListItem,0)),0,IF(COUNTIFS(OverEmp,$C228,OverComp,W$5,OverDate,"&lt;"&amp;DATE(YEAR($AC228),MONTH($AC228)+1,1),OverEnd,"&gt;="&amp;DATE(YEAR($AC228),MONTH($AC228),1))&gt;0,SUMIFS(OverValue,OverEmp,$C228,OverComp,W$5,OverDate,"&lt;"&amp;DATE(YEAR($AC228),MONTH($AC228)+1,1),OverEnd,"&gt;="&amp;DATE(YEAR($AC228),MONTH($AC228),1)),IF(OR(W$2="Fixed",W$2="Not Used"),(OFFSET(Setup!$E$81,MATCH(W$5,CompListItem,0),0,1,1)*$AA228)-SUMIFS(OFFSET(W$6,1,0,PayCount,1),PayDate,"&lt;"&amp;$AC228,PayEmp,$C228),IF(ISNA(MATCH(W$2,DedListItem,0))=FALSE,(SUMPRODUCT((PayEmp=$C228)*(PayDate&lt;=$AC228)*(PayDedList=W$2)*(PayDedValues))*OFFSET(Setup!$E$81,MATCH(W$5,CompListItem,0),0,1,1))-SUMIFS(OFFSET(W$6,1,0,PayCount,1),PayDate,"&lt;"&amp;$AC228,PayEmp,$C228),(MIN(IF(OFFSET(Setup!$G$81,MATCH(W$5,CompListItem,0),0,1,1)="Taxable",SUMPRODUCT((PayEmp=$C228)*(PayDate&lt;=$AC228)*(ISERROR(SEARCH(PayEarnCode,W$4)))*(PayEarnTax)*(PayEarnValues)),SUMPRODUCT((PayEmp=$C228)*(PayDate&lt;=$AC228)*(ISERROR(SEARCH(PayEarnCode,W$4)))*(PayEarnValues))),IF(ISNUMBER(W$3),W$3/12*$AA228,IgnoreMin)))*OFFSET(Setup!$E$81,MATCH(W$5,CompListItem,0),0,1,1)-SUMIFS(OFFSET(W$6,1,0,PayCount,1),PayDate,"&lt;"&amp;$AC228,PayEmp,$C228)))))))</f>
        <v>0</v>
      </c>
      <c r="X228" s="185">
        <f t="shared" ca="1" si="138"/>
        <v>0</v>
      </c>
      <c r="Y228" s="139">
        <f t="shared" ca="1" si="139"/>
        <v>0</v>
      </c>
      <c r="Z228" s="139">
        <f t="shared" ca="1" si="140"/>
        <v>0</v>
      </c>
      <c r="AA228" s="146">
        <f ca="1">IF(OR($B228&lt;=Setup!$E$12,$B228&gt;=Setup!$D$12+1),0,IF($F228&lt;&gt;"Active",0,IF($AE228="Yes",$AB228,((YEAR($AC228)*12)+MONTH($AC228))-((YEAR($AD228)*12)+MONTH($AD228)-1))))</f>
        <v>0</v>
      </c>
      <c r="AB228" s="146">
        <f ca="1">IF(OR($B228&lt;=Setup!$E$12,$B228&gt;=Setup!$D$12+1),0,((YEAR($AC228)*12)+MONTH($AC228))-((YEAR(Setup!$E$12)*12)+MONTH(Setup!$E$12)))</f>
        <v>12</v>
      </c>
      <c r="AC228" s="186">
        <f t="shared" ca="1" si="141"/>
        <v>45351</v>
      </c>
      <c r="AD228" s="144">
        <f ca="1">IF(ISNA(VLOOKUP($C228,EmpAll,COLUMN(Emp!$E$4),0)),$AC228,IF(VLOOKUP($C228,EmpAll,COLUMN(Emp!$E$4),0)&lt;=Setup!$E$12,DATE(YEAR(Setup!$E$12),MONTH(Setup!$E$12)+1,1),VLOOKUP($C228,EmpAll,COLUMN(Emp!$E$4),0)))</f>
        <v>45351</v>
      </c>
      <c r="AE228" s="144" t="str">
        <f ca="1">IF(ISNA(VLOOKUP($C228,EmpAll,COLUMN(Emp!$G$1),0)),"-",IF(VLOOKUP($C228,EmpAll,COLUMN(Emp!$G$1),0)=0,"-",VLOOKUP($C228,EmpAll,COLUMN(Emp!$G$1),0)))</f>
        <v>-</v>
      </c>
      <c r="AF228" s="145">
        <f>IF(A228=PaySlip!$G$3,1,0)</f>
        <v>0</v>
      </c>
      <c r="AG228" s="130" cm="1">
        <f t="array" aca="1" ref="AG228" ca="1">IF(COUNTIFS(OverEmp,$C228,OverMed,"MED",OverDate,"&lt;"&amp;DATE(YEAR($AC228),MONTH($AC228)+1,1),OverEnd,"&gt;="&amp;DATE(YEAR($AC228),MONTH($AC228),1))&gt;0,SUMIFS(OverValue,OverEmp,$C228,OverMed,"MED",OverDate,"&lt;"&amp;DATE(YEAR($AC228),MONTH($AC228)+1,1),OverEnd,"&gt;="&amp;DATE(YEAR($AC228),MONTH($AC228),1)),IF(ISNA(VLOOKUP($C228,EmpAll,COLUMN(Emp!$N$4),0)),0,VLOOKUP($C228,EmpAll,COLUMN(Emp!$N$4),0)))</f>
        <v>0</v>
      </c>
      <c r="AH228" s="146">
        <f ca="1">VLOOKUP($AG228,MedList,COLUMN(Setup!$C$49),1)</f>
        <v>0</v>
      </c>
      <c r="AI228" s="146">
        <f t="shared" ca="1" si="107"/>
        <v>0</v>
      </c>
      <c r="AJ228" s="101" t="str">
        <f ca="1">IF(ISNA(VLOOKUP($C228,EmpAll,COLUMN(Emp!$L$4),0)),"None!",VLOOKUP($C228,EmpAll,COLUMN(Emp!$L$4),0))</f>
        <v>None!</v>
      </c>
      <c r="AK228" s="147">
        <f t="shared" ca="1" si="102"/>
        <v>17235</v>
      </c>
      <c r="AL228" s="101" t="str">
        <f ca="1">IF(ISNA(VLOOKUP($C228,Employees[],COLUMN(Emp!$M$4),0))=TRUE,"Error!",IF(VLOOKUP($C228,Employees[],COLUMN(Emp!$M$4),0)=0,"Yes",VLOOKUP($C228,Employees[],COLUMN(Emp!$M$4),0)))</f>
        <v>Error!</v>
      </c>
      <c r="AM228" s="148">
        <f t="shared" ca="1" si="108"/>
        <v>0</v>
      </c>
      <c r="AN228" s="148" cm="1">
        <f t="array" aca="1" ref="AN228" ca="1">-IF($F228="Terminated",0,IF($AA228=0,0,IF(ISNA(MATCH(AN$5,PayDedList,0)),0,MIN(IF(COUNTIFS(OverEmp,$C228,OverDeduct,AN$5,OverDate,"&lt;"&amp;DATE(YEAR($AC228),MONTH($AC228)+1,1),OverEnd,"&gt;="&amp;DATE(YEAR($AC228),MONTH($AC228),1))&gt;0,SUMPRODUCT((PayEmp=$C228)*(PayDate&lt;=$AC228)*(OFFSET($N$6,1,MATCH(AN$5,PayDedList,0)-1,PayCount,1)))/$AA228*12*AN$3,IF(OR(AN$1="Fixed",AN$1="Not Used"),SUMPRODUCT((PayEmp=$C228)*(PayDate&lt;=$AC228)*(OFFSET($N$6,1,MATCH(AN$5,PayDedList,0)-1,PayCount,1)))/$AA228*12*AN$3,IF(ISNA(MATCH(AN$1,EarnListItem,0))=FALSE,SUMPRODUCT((PayEmp=$C228)*(PayDate&lt;=$AC228)*(OFFSET($N$6,1,MATCH(AN$5,PayDedList,0)-1,PayCount,1)))/$AA228*12*AN$3,(MIN(((SUMPRODUCT((PayEmp=$C228)*(PayDate&lt;=$AC228)*(ISERROR(SEARCH(PayEarnCode,AN$2)))*(PayEarnType="Monthly")*(PayEarnValues))/$AA228*12)+(SUMPRODUCT((PayEmp=$C228)*(PayDate&lt;=$AC228)*(ISERROR(SEARCH(PayEarnCode,AN$2)))*(PayEarnType="Quarterly")*(PayEarnValues))/MAX(1,ROUNDDOWN($AB228/3,0))*4)+(SUMPRODUCT((PayEmp=$C228)*(PayDate&lt;=$AC228)*(ISERROR(SEARCH(PayEarnCode,AN$2)))*(PayEarnType="Bi-Annual")*(PayEarnValues))/MAX(1,ROUNDDOWN($AB228/6,0))*2)+(SUMPRODUCT((PayEmp=$C228)*(PayDate&lt;=$AC228)*(ISERROR(SEARCH(PayEarnCode,AN$2)))*(PayEarnType="Annual")*(PayEarnValues)))),IF(ISNUMBER(OFFSET($N$3,0,MATCH(AN$5,PayDedList,0)-1,1,1)),OFFSET($N$3,0,MATCH(AN$5,PayDedList,0)-1,1,1),IgnoreMin)))*IF(COUNTIFS(EmpNo,$C228,OFFSET(Emp!$R$4,1,MATCH(AN$5,DedListItem,0)-1,EmpCount,1),"&lt;&gt;")&gt;0,VLOOKUP($C228,EmpAll,COLUMN(Emp!$R$4)+MATCH(AN$5,DedListItem,0)-1,0),OFFSET(Setup!$E$73,MATCH(AN$5,DedListItem,0),0,1,1))*AN$3))),IF(ISNUMBER(AN$4),AN$4,IgnoreMin)))))</f>
        <v>0</v>
      </c>
      <c r="AO228" s="148" cm="1">
        <f t="array" aca="1" ref="AO228" ca="1">-IF($F228="Terminated",0,IF($AA228=0,0,IF(ISNA(MATCH(AO$5,PayDedList,0)),0,MIN(IF(COUNTIFS(OverEmp,$C228,OverDeduct,AO$5,OverDate,"&lt;"&amp;DATE(YEAR($AC228),MONTH($AC228)+1,1),OverEnd,"&gt;="&amp;DATE(YEAR($AC228),MONTH($AC228),1))&gt;0,SUMPRODUCT((PayEmp=$C228)*(PayDate&lt;=$AC228)*(OFFSET($N$6,1,MATCH(AO$5,PayDedList,0)-1,PayCount,1)))/$AA228*12*AO$3,IF(OR(AO$1="Fixed",AO$1="Not Used"),SUMPRODUCT((PayEmp=$C228)*(PayDate&lt;=$AC228)*(OFFSET($N$6,1,MATCH(AO$5,PayDedList,0)-1,PayCount,1)))/$AA228*12*AO$3,IF(ISNA(MATCH(AO$1,EarnListItem,0))=FALSE,SUMPRODUCT((PayEmp=$C228)*(PayDate&lt;=$AC228)*(OFFSET($N$6,1,MATCH(AO$5,PayDedList,0)-1,PayCount,1)))/$AA228*12*AO$3,(MIN(((SUMPRODUCT((PayEmp=$C228)*(PayDate&lt;=$AC228)*(ISERROR(SEARCH(PayEarnCode,AO$2)))*(PayEarnType="Monthly")*(PayEarnValues))/$AA228*12)+(SUMPRODUCT((PayEmp=$C228)*(PayDate&lt;=$AC228)*(ISERROR(SEARCH(PayEarnCode,AO$2)))*(PayEarnType="Quarterly")*(PayEarnValues))/MAX(1,ROUNDDOWN($AB228/3,0))*4)+(SUMPRODUCT((PayEmp=$C228)*(PayDate&lt;=$AC228)*(ISERROR(SEARCH(PayEarnCode,AO$2)))*(PayEarnType="Bi-Annual")*(PayEarnValues))/MAX(1,ROUNDDOWN($AB228/6,0))*2)+(SUMPRODUCT((PayEmp=$C228)*(PayDate&lt;=$AC228)*(ISERROR(SEARCH(PayEarnCode,AO$2)))*(PayEarnType="Annual")*(PayEarnValues)))),IF(ISNUMBER(OFFSET($N$3,0,MATCH(AO$5,PayDedList,0)-1,1,1)),OFFSET($N$3,0,MATCH(AO$5,PayDedList,0)-1,1,1),IgnoreMin)))*IF(COUNTIFS(EmpNo,$C228,OFFSET(Emp!$R$4,1,MATCH(AO$5,DedListItem,0)-1,EmpCount,1),"&lt;&gt;")&gt;0,VLOOKUP($C228,EmpAll,COLUMN(Emp!$R$4)+MATCH(AO$5,DedListItem,0)-1,0),OFFSET(Setup!$E$73,MATCH(AO$5,DedListItem,0),0,1,1))*AO$3))),IF(ISNUMBER(AO$4),AO$4,IgnoreMin)))))</f>
        <v>0</v>
      </c>
      <c r="AP228" s="148" cm="1">
        <f t="array" aca="1" ref="AP228" ca="1">-IF($F228="Terminated",0,IF($AA228=0,0,IF(ISNA(MATCH(AP$5,PayDedList,0)),0,MIN(IF(COUNTIFS(OverEmp,$C228,OverDeduct,AP$5,OverDate,"&lt;"&amp;DATE(YEAR($AC228),MONTH($AC228)+1,1),OverEnd,"&gt;="&amp;DATE(YEAR($AC228),MONTH($AC228),1))&gt;0,SUMPRODUCT((PayEmp=$C228)*(PayDate&lt;=$AC228)*(OFFSET($N$6,1,MATCH(AP$5,PayDedList,0)-1,PayCount,1)))/$AA228*12*AP$3,IF(OR(AP$1="Fixed",AP$1="Not Used"),SUMPRODUCT((PayEmp=$C228)*(PayDate&lt;=$AC228)*(OFFSET($N$6,1,MATCH(AP$5,PayDedList,0)-1,PayCount,1)))/$AA228*12*AP$3,IF(ISNA(MATCH(AP$1,EarnListItem,0))=FALSE,SUMPRODUCT((PayEmp=$C228)*(PayDate&lt;=$AC228)*(OFFSET($N$6,1,MATCH(AP$5,PayDedList,0)-1,PayCount,1)))/$AA228*12*AP$3,(MIN(((SUMPRODUCT((PayEmp=$C228)*(PayDate&lt;=$AC228)*(ISERROR(SEARCH(PayEarnCode,AP$2)))*(PayEarnType="Monthly")*(PayEarnValues))/$AA228*12)+(SUMPRODUCT((PayEmp=$C228)*(PayDate&lt;=$AC228)*(ISERROR(SEARCH(PayEarnCode,AP$2)))*(PayEarnType="Quarterly")*(PayEarnValues))/MAX(1,ROUNDDOWN($AB228/3,0))*4)+(SUMPRODUCT((PayEmp=$C228)*(PayDate&lt;=$AC228)*(ISERROR(SEARCH(PayEarnCode,AP$2)))*(PayEarnType="Bi-Annual")*(PayEarnValues))/MAX(1,ROUNDDOWN($AB228/6,0))*2)+(SUMPRODUCT((PayEmp=$C228)*(PayDate&lt;=$AC228)*(ISERROR(SEARCH(PayEarnCode,AP$2)))*(PayEarnType="Annual")*(PayEarnValues)))),IF(ISNUMBER(OFFSET($N$3,0,MATCH(AP$5,PayDedList,0)-1,1,1)),OFFSET($N$3,0,MATCH(AP$5,PayDedList,0)-1,1,1),IgnoreMin)))*IF(COUNTIFS(EmpNo,$C228,OFFSET(Emp!$R$4,1,MATCH(AP$5,DedListItem,0)-1,EmpCount,1),"&lt;&gt;")&gt;0,VLOOKUP($C228,EmpAll,COLUMN(Emp!$R$4)+MATCH(AP$5,DedListItem,0)-1,0),OFFSET(Setup!$E$73,MATCH(AP$5,DedListItem,0),0,1,1))*AP$3))),IF(ISNUMBER(AP$4),AP$4,IgnoreMin)))))</f>
        <v>0</v>
      </c>
      <c r="AQ228" s="148" cm="1">
        <f t="array" aca="1" ref="AQ228" ca="1">-IF($F228="Terminated",0,IF($AA228=0,0,IF(ISNA(MATCH(AQ$5,PayDedList,0)),0,MIN(IF(COUNTIFS(OverEmp,$C228,OverDeduct,AQ$5,OverDate,"&lt;"&amp;DATE(YEAR($AC228),MONTH($AC228)+1,1),OverEnd,"&gt;="&amp;DATE(YEAR($AC228),MONTH($AC228),1))&gt;0,SUMPRODUCT((PayEmp=$C228)*(PayDate&lt;=$AC228)*(OFFSET($N$6,1,MATCH(AQ$5,PayDedList,0)-1,PayCount,1)))/$AA228*12*AQ$3,IF(OR(AQ$1="Fixed",AQ$1="Not Used"),SUMPRODUCT((PayEmp=$C228)*(PayDate&lt;=$AC228)*(OFFSET($N$6,1,MATCH(AQ$5,PayDedList,0)-1,PayCount,1)))/$AA228*12*AQ$3,IF(ISNA(MATCH(AQ$1,EarnListItem,0))=FALSE,SUMPRODUCT((PayEmp=$C228)*(PayDate&lt;=$AC228)*(OFFSET($N$6,1,MATCH(AQ$5,PayDedList,0)-1,PayCount,1)))/$AA228*12*AQ$3,(MIN(((SUMPRODUCT((PayEmp=$C228)*(PayDate&lt;=$AC228)*(ISERROR(SEARCH(PayEarnCode,AQ$2)))*(PayEarnType="Monthly")*(PayEarnValues))/$AA228*12)+(SUMPRODUCT((PayEmp=$C228)*(PayDate&lt;=$AC228)*(ISERROR(SEARCH(PayEarnCode,AQ$2)))*(PayEarnType="Quarterly")*(PayEarnValues))/MAX(1,ROUNDDOWN($AB228/3,0))*4)+(SUMPRODUCT((PayEmp=$C228)*(PayDate&lt;=$AC228)*(ISERROR(SEARCH(PayEarnCode,AQ$2)))*(PayEarnType="Bi-Annual")*(PayEarnValues))/MAX(1,ROUNDDOWN($AB228/6,0))*2)+(SUMPRODUCT((PayEmp=$C228)*(PayDate&lt;=$AC228)*(ISERROR(SEARCH(PayEarnCode,AQ$2)))*(PayEarnType="Annual")*(PayEarnValues)))),IF(ISNUMBER(OFFSET($N$3,0,MATCH(AQ$5,PayDedList,0)-1,1,1)),OFFSET($N$3,0,MATCH(AQ$5,PayDedList,0)-1,1,1),IgnoreMin)))*IF(COUNTIFS(EmpNo,$C228,OFFSET(Emp!$R$4,1,MATCH(AQ$5,DedListItem,0)-1,EmpCount,1),"&lt;&gt;")&gt;0,VLOOKUP($C228,EmpAll,COLUMN(Emp!$R$4)+MATCH(AQ$5,DedListItem,0)-1,0),OFFSET(Setup!$E$73,MATCH(AQ$5,DedListItem,0),0,1,1))*AQ$3))),IF(ISNUMBER(AQ$4),AQ$4,IgnoreMin)))))</f>
        <v>0</v>
      </c>
      <c r="AR228" s="148">
        <f t="shared" ca="1" si="142"/>
        <v>0</v>
      </c>
      <c r="AS228" s="148">
        <f t="shared" ca="1" si="109"/>
        <v>0</v>
      </c>
      <c r="AT228" s="148" cm="1">
        <f t="array" aca="1" ref="AT228" ca="1">-IF($F228="Terminated",0,IF($AA228=0,0,IF(ISNA(MATCH(AT$5,PayDedList,0)),0,MIN(IF(COUNTIFS(OverEmp,$C228,OverDeduct,AT$5,OverDate,"&lt;"&amp;DATE(YEAR($AC228),MONTH($AC228)+1,1),OverEnd,"&gt;="&amp;DATE(YEAR($AC228),MONTH($AC228),1))&gt;0,SUMPRODUCT((PayEmp=$C228)*(PayDate&lt;=$AC228)*(OFFSET($N$6,1,MATCH(AT$5,PayDedList,0)-1,PayCount,1)))/$AA228*12*AT$3,IF(OR(AT$1="Fixed",AT$1="Not Used"),SUMPRODUCT((PayEmp=$C228)*(PayDate&lt;=$AC228)*(OFFSET($N$6,1,MATCH(AT$5,PayDedList,0)-1,PayCount,1)))/$AA228*12*AT$3,IF(ISNA(MATCH(OFFSET($N$2,0,MATCH(AT$5,PayDedList,0)-1,1,1),EarnListItem,0))=FALSE,SUMPRODUCT((PayEmp=$C228)*(PayDate&lt;=$AC228)*(OFFSET($N$6,1,MATCH(AT$5,PayDedList,0)-1,PayCount,1)))/$AA228*12*AT$3,(MIN(SUMPRODUCT((PayEmp=$C228)*(PayDate&lt;=$AC228)*(ISERROR(SEARCH(PayEarnCode,AT$2)))*(PayEarnType="Monthly")*(PayEarnValues))/$AA228*12,IF(ISNUMBER(OFFSET($N$3,0,MATCH(AT$5,PayDedList,0)-1,1,1)),OFFSET($N$3,0,MATCH(AT$5,PayDedList,0)-1,1,1),IgnoreMin)))*IF(COUNTIFS(EmpNo,$C228,OFFSET(Emp!$R$4,1,MATCH(AT$5,DedListItem,0)-1,EmpCount,1),"&lt;&gt;")&gt;0,VLOOKUP($C228,EmpAll,COLUMN(Emp!$R$4)+MATCH(AT$5,DedListItem,0)-1,0),OFFSET(Setup!$E$73,MATCH(AT$5,DedListItem,0),0,1,1))*AT$3))),IF(ISNUMBER(AT$4),AT$4,IgnoreMin)))))</f>
        <v>0</v>
      </c>
      <c r="AU228" s="148" cm="1">
        <f t="array" aca="1" ref="AU228" ca="1">-IF($F228="Terminated",0,IF($AA228=0,0,IF(ISNA(MATCH(AU$5,PayDedList,0)),0,MIN(IF(COUNTIFS(OverEmp,$C228,OverDeduct,AU$5,OverDate,"&lt;"&amp;DATE(YEAR($AC228),MONTH($AC228)+1,1),OverEnd,"&gt;="&amp;DATE(YEAR($AC228),MONTH($AC228),1))&gt;0,SUMPRODUCT((PayEmp=$C228)*(PayDate&lt;=$AC228)*(OFFSET($N$6,1,MATCH(AU$5,PayDedList,0)-1,PayCount,1)))/$AA228*12*AU$3,IF(OR(AU$1="Fixed",AU$1="Not Used"),SUMPRODUCT((PayEmp=$C228)*(PayDate&lt;=$AC228)*(OFFSET($N$6,1,MATCH(AU$5,PayDedList,0)-1,PayCount,1)))/$AA228*12*AU$3,IF(ISNA(MATCH(OFFSET($N$2,0,MATCH(AU$5,PayDedList,0)-1,1,1),EarnListItem,0))=FALSE,SUMPRODUCT((PayEmp=$C228)*(PayDate&lt;=$AC228)*(OFFSET($N$6,1,MATCH(AU$5,PayDedList,0)-1,PayCount,1)))/$AA228*12*AU$3,(MIN(SUMPRODUCT((PayEmp=$C228)*(PayDate&lt;=$AC228)*(ISERROR(SEARCH(PayEarnCode,AU$2)))*(PayEarnType="Monthly")*(PayEarnValues))/$AA228*12,IF(ISNUMBER(OFFSET($N$3,0,MATCH(AU$5,PayDedList,0)-1,1,1)),OFFSET($N$3,0,MATCH(AU$5,PayDedList,0)-1,1,1),IgnoreMin)))*IF(COUNTIFS(EmpNo,$C228,OFFSET(Emp!$R$4,1,MATCH(AU$5,DedListItem,0)-1,EmpCount,1),"&lt;&gt;")&gt;0,VLOOKUP($C228,EmpAll,COLUMN(Emp!$R$4)+MATCH(AU$5,DedListItem,0)-1,0),OFFSET(Setup!$E$73,MATCH(AU$5,DedListItem,0),0,1,1))*AU$3))),IF(ISNUMBER(AU$4),AU$4,IgnoreMin)))))</f>
        <v>0</v>
      </c>
      <c r="AV228" s="148" cm="1">
        <f t="array" aca="1" ref="AV228" ca="1">-IF($F228="Terminated",0,IF($AA228=0,0,IF(ISNA(MATCH(AV$5,PayDedList,0)),0,MIN(IF(COUNTIFS(OverEmp,$C228,OverDeduct,AV$5,OverDate,"&lt;"&amp;DATE(YEAR($AC228),MONTH($AC228)+1,1),OverEnd,"&gt;="&amp;DATE(YEAR($AC228),MONTH($AC228),1))&gt;0,SUMPRODUCT((PayEmp=$C228)*(PayDate&lt;=$AC228)*(OFFSET($N$6,1,MATCH(AV$5,PayDedList,0)-1,PayCount,1)))/$AA228*12*AV$3,IF(OR(AV$1="Fixed",AV$1="Not Used"),SUMPRODUCT((PayEmp=$C228)*(PayDate&lt;=$AC228)*(OFFSET($N$6,1,MATCH(AV$5,PayDedList,0)-1,PayCount,1)))/$AA228*12*AV$3,IF(ISNA(MATCH(OFFSET($N$2,0,MATCH(AV$5,PayDedList,0)-1,1,1),EarnListItem,0))=FALSE,SUMPRODUCT((PayEmp=$C228)*(PayDate&lt;=$AC228)*(OFFSET($N$6,1,MATCH(AV$5,PayDedList,0)-1,PayCount,1)))/$AA228*12*AV$3,(MIN(SUMPRODUCT((PayEmp=$C228)*(PayDate&lt;=$AC228)*(ISERROR(SEARCH(PayEarnCode,AV$2)))*(PayEarnType="Monthly")*(PayEarnValues))/$AA228*12,IF(ISNUMBER(OFFSET($N$3,0,MATCH(AV$5,PayDedList,0)-1,1,1)),OFFSET($N$3,0,MATCH(AV$5,PayDedList,0)-1,1,1),IgnoreMin)))*IF(COUNTIFS(EmpNo,$C228,OFFSET(Emp!$R$4,1,MATCH(AV$5,DedListItem,0)-1,EmpCount,1),"&lt;&gt;")&gt;0,VLOOKUP($C228,EmpAll,COLUMN(Emp!$R$4)+MATCH(AV$5,DedListItem,0)-1,0),OFFSET(Setup!$E$73,MATCH(AV$5,DedListItem,0),0,1,1))*AV$3))),IF(ISNUMBER(AV$4),AV$4,IgnoreMin)))))</f>
        <v>0</v>
      </c>
      <c r="AW228" s="148" cm="1">
        <f t="array" aca="1" ref="AW228" ca="1">-IF($F228="Terminated",0,IF($AA228=0,0,IF(ISNA(MATCH(AW$5,PayDedList,0)),0,MIN(IF(COUNTIFS(OverEmp,$C228,OverDeduct,AW$5,OverDate,"&lt;"&amp;DATE(YEAR($AC228),MONTH($AC228)+1,1),OverEnd,"&gt;="&amp;DATE(YEAR($AC228),MONTH($AC228),1))&gt;0,SUMPRODUCT((PayEmp=$C228)*(PayDate&lt;=$AC228)*(OFFSET($N$6,1,MATCH(AW$5,PayDedList,0)-1,PayCount,1)))/$AA228*12*AW$3,IF(OR(AW$1="Fixed",AW$1="Not Used"),SUMPRODUCT((PayEmp=$C228)*(PayDate&lt;=$AC228)*(OFFSET($N$6,1,MATCH(AW$5,PayDedList,0)-1,PayCount,1)))/$AA228*12*AW$3,IF(ISNA(MATCH(OFFSET($N$2,0,MATCH(AW$5,PayDedList,0)-1,1,1),EarnListItem,0))=FALSE,SUMPRODUCT((PayEmp=$C228)*(PayDate&lt;=$AC228)*(OFFSET($N$6,1,MATCH(AW$5,PayDedList,0)-1,PayCount,1)))/$AA228*12*AW$3,(MIN(SUMPRODUCT((PayEmp=$C228)*(PayDate&lt;=$AC228)*(ISERROR(SEARCH(PayEarnCode,AW$2)))*(PayEarnType="Monthly")*(PayEarnValues))/$AA228*12,IF(ISNUMBER(OFFSET($N$3,0,MATCH(AW$5,PayDedList,0)-1,1,1)),OFFSET($N$3,0,MATCH(AW$5,PayDedList,0)-1,1,1),IgnoreMin)))*IF(COUNTIFS(EmpNo,$C228,OFFSET(Emp!$R$4,1,MATCH(AW$5,DedListItem,0)-1,EmpCount,1),"&lt;&gt;")&gt;0,VLOOKUP($C228,EmpAll,COLUMN(Emp!$R$4)+MATCH(AW$5,DedListItem,0)-1,0),OFFSET(Setup!$E$73,MATCH(AW$5,DedListItem,0),0,1,1))*AW$3))),IF(ISNUMBER(AW$4),AW$4,IgnoreMin)))))</f>
        <v>0</v>
      </c>
      <c r="AX228" s="148">
        <f t="shared" ca="1" si="143"/>
        <v>0</v>
      </c>
      <c r="AY228" s="148">
        <f t="shared" ca="1" si="144"/>
        <v>0</v>
      </c>
      <c r="AZ228" s="148">
        <f ca="1">IF(ISNUMBER($AL228),($AR228*$AL228)-$AI228-$AK228,MAX(0,IF($AL228="B",IF($AR228&lt;Setup!$C$32,($AR228*Setup!$D$32)-$AI228-$AK228,(($AR228-VLOOKUP($AR228,TaxAll2,1,1))*OFFSET(Setup!$D$32,MATCH($AR228,TaxBracket2,1),0,1,1))+OFFSET(Setup!$E$31,MATCH($AR228,TaxBracket2,1),0,1,1)-$AI228-$AK228),IF($AR228&lt;Setup!$C$21,($AR228*Setup!$D$21)-$AI228-$AK228,(($AR228-VLOOKUP($AR228,TaxAll1,1,1))*OFFSET(Setup!$D$21,MATCH($AR228,TaxBracket1,1),0,1,1))+OFFSET(Setup!$E$20,MATCH($AR228,TaxBracket1,1),0,1,1)-$AI228-$AK228))))</f>
        <v>0</v>
      </c>
      <c r="BA228" s="148">
        <f ca="1">IF(ISNUMBER($AL228),($AX228*$AL228)-$AI228-$AK228,MAX(0,IF($AL228="B",IF($AX228&lt;Setup!$C$32,($AX228*Setup!$D$32)-$AI228-$AK228,(($AX228-VLOOKUP($AX228,TaxAll2,1,1))*OFFSET(Setup!$D$32,MATCH($AX228,TaxBracket2,1),0,1,1))+OFFSET(Setup!$E$31,MATCH($AX228,TaxBracket2,1),0,1,1)-$AI228-$AK228),IF($AX228&lt;Setup!$C$21,($AX228*Setup!$D$21)-$AI228-$AK228,(($AX228-VLOOKUP($AX228,TaxAll1,1,1))*OFFSET(Setup!$D$21,MATCH($AX228,TaxBracket1,1),0,1,1))+OFFSET(Setup!$E$20,MATCH($AX228,TaxBracket1,1),0,1,1)-$AI228-$AK228))))</f>
        <v>0</v>
      </c>
      <c r="BB228" s="148">
        <f t="shared" ca="1" si="145"/>
        <v>0</v>
      </c>
      <c r="BC228" s="150">
        <f t="shared" ca="1" si="110"/>
        <v>0</v>
      </c>
      <c r="BD228" s="150">
        <f t="shared" ca="1" si="111"/>
        <v>0</v>
      </c>
      <c r="BE228" s="148">
        <f t="shared" ca="1" si="112"/>
        <v>0</v>
      </c>
    </row>
    <row r="229" spans="1:57" ht="16.149999999999999" customHeight="1" x14ac:dyDescent="0.25">
      <c r="A229" s="10" t="str" cm="1">
        <f t="array" ref="A229">IF(ROW($A229)-ROW($A$6)&gt;EmpCount*12,"-",TEXT($B229,"yyyy")&amp;TEXT($B229,"mm")&amp;"-"&amp;$C229)</f>
        <v>-</v>
      </c>
      <c r="B229" s="137" cm="1">
        <f t="array" aca="1" ref="B229" ca="1">IF(ROW($A229)-ROW($A$6)&gt;EmpCount*12,Setup!$D$12,DATE(YEAR(Setup!$F$12),MONTH(Setup!$F$12)+ROUNDDOWN((ROW($A229)-ROW($A$6)-1)/EmpCount,0),IF(Setup!$C$14&gt;DAY(DATE(YEAR(Setup!$F$12),MONTH(Setup!$F$12)+ROUNDDOWN((ROW($A229)-ROW($A$6)-1)/EmpCount,0)+1,0)),DAY(DATE(YEAR(Setup!$F$12),MONTH(Setup!$F$12)+ROUNDDOWN((ROW($A229)-ROW($A$6)-1)/EmpCount,0)+1,0)),Setup!$C$14)))</f>
        <v>45351</v>
      </c>
      <c r="C229" s="101" t="str" cm="1">
        <f t="array" aca="1" ref="C229" ca="1">IF(ROW($A229)-ROW($A$6)&gt;EmpCount*12,"-",OFFSET(Emp!$A$4,ROW($A229)-ROW($A$6)-IF(ROW($A229)-ROW($A$6)&gt;EmpCount,ROUNDDOWN((ROW($A229)-ROW($A$6)-1)/EmpCount,0)*EmpCount,0),0,1,1))</f>
        <v>-</v>
      </c>
      <c r="D229" s="10" t="str">
        <f ca="1">IF(ISNA(VLOOKUP($C229,EmpAll,COLUMN(Emp!$B$4),0)),"-",VLOOKUP($C229,EmpAll,COLUMN(Emp!$B$4),0))</f>
        <v>-</v>
      </c>
      <c r="E229" s="145" t="str">
        <f ca="1">IF(ISNA(VLOOKUP($C229,EmpAll,COLUMN(Emp!$C$4),0)),"-",VLOOKUP($C229,EmpAll,COLUMN(Emp!$C$4),0))</f>
        <v>-</v>
      </c>
      <c r="F229" s="101" t="str">
        <f ca="1">IF(ISNA(VLOOKUP($C229,EmpAll,COLUMN(Emp!$A$4),0)),"-",IF(AND(VLOOKUP($C229,EmpAll,COLUMN(Emp!$E$4),0)&lt;&gt;0,VLOOKUP($C229,EmpAll,COLUMN(Emp!$E$4),0)&gt;=DATE(YEAR($AC229),MONTH($AC229)+1,0)),"Inactive",IF(AND(VLOOKUP($C229,EmpAll,COLUMN(Emp!$F$4),0)&lt;&gt;0,VLOOKUP($C229,EmpAll,COLUMN(Emp!$F$4),0)&lt;=DATE(YEAR($AC229),MONTH($AC229),0)),"Terminated","Active")))</f>
        <v>-</v>
      </c>
      <c r="G229" s="133" cm="1">
        <f t="array" aca="1" ref="G229" ca="1">IF($F229&lt;&gt;"Active",0,IF(COUNTIFS(OverEmp,$C229,OverEarn,G$2,OverDate,"&lt;"&amp;DATE(YEAR($AC229),MONTH($AC229)+1,1),OverEnd,"&gt;="&amp;DATE(YEAR($AC229),MONTH($AC229),1))&gt;0,SUMIFS(OverValue,OverEmp,$C229,OverEarn,G$2,OverDate,"&lt;"&amp;DATE(YEAR($AC229),MONTH($AC229)+1,1),OverEnd,"&gt;="&amp;DATE(YEAR($AC229),MONTH($AC229),1)),IF(AND($AC229&gt;=Setup!$E$10,SUMIFS(EmpIncrease,EmpCode,$C229)&gt;0),SUMIFS(EmpIncrease,EmpCode,$C229),SUMIFS(EmpSalary,EmpCode,$C229))))</f>
        <v>0</v>
      </c>
      <c r="H229" s="133" cm="1">
        <f t="array" aca="1" ref="H229" ca="1">IF($F229&lt;&gt;"Active",0,IF(COUNTIFS(OverEmp,$C229,OverEarn,H$2,OverDate,"&lt;"&amp;DATE(YEAR($AC229),MONTH($AC229)+1,1),OverEnd,"&gt;="&amp;DATE(YEAR($AC229),MONTH($AC229),1))&gt;0,SUMIFS(OverValue,OverEmp,$C229,OverEarn,H$2,OverDate,"&lt;"&amp;DATE(YEAR($AC229),MONTH($AC229)+1,1),OverEnd,"&gt;="&amp;DATE(YEAR($AC229),MONTH($AC229),1)),0))</f>
        <v>0</v>
      </c>
      <c r="I229" s="133" cm="1">
        <f t="array" aca="1" ref="I229" ca="1">IF($F229&lt;&gt;"Active",0,IF(COUNTIFS(OverEmp,$C229,OverEarn,I$2,OverDate,"&lt;"&amp;DATE(YEAR($AC229),MONTH($AC229)+1,1),OverEnd,"&gt;="&amp;DATE(YEAR($AC229),MONTH($AC229),1))&gt;0,SUMIFS(OverValue,OverEmp,$C229,OverEarn,I$2,OverDate,"&lt;"&amp;DATE(YEAR($AC229),MONTH($AC229)+1,1),OverEnd,"&gt;="&amp;DATE(YEAR($AC229),MONTH($AC229),1)),IF(MONTH(B229)=Setup!$C$15,SUMIFS(EmpBonus,EmpCode,$C229),0)))</f>
        <v>0</v>
      </c>
      <c r="J229" s="133" cm="1">
        <f t="array" aca="1" ref="J229" ca="1">IF($F229&lt;&gt;"Active",0,IF(COUNTIFS(OverEmp,$C229,OverEarn,J$2,OverDate,"&lt;"&amp;DATE(YEAR($AC229),MONTH($AC229)+1,1),OverEnd,"&gt;="&amp;DATE(YEAR($AC229),MONTH($AC229),1))&gt;0,SUMIFS(OverValue,OverEmp,$C229,OverEarn,J$2,OverDate,"&lt;"&amp;DATE(YEAR($AC229),MONTH($AC229)+1,1),OverEnd,"&gt;="&amp;DATE(YEAR($AC229),MONTH($AC229),1)),0))</f>
        <v>0</v>
      </c>
      <c r="K229" s="133" cm="1">
        <f t="array" aca="1" ref="K229" ca="1">IF($F229&lt;&gt;"Active",0,IF(COUNTIFS(OverEmp,$C229,OverEarn,K$2,OverDate,"&lt;"&amp;DATE(YEAR($AC229),MONTH($AC229)+1,1),OverEnd,"&gt;="&amp;DATE(YEAR($AC229),MONTH($AC229),1))&gt;0,SUMIFS(OverValue,OverEmp,$C229,OverEarn,K$2,OverDate,"&lt;"&amp;DATE(YEAR($AC229),MONTH($AC229)+1,1),OverEnd,"&gt;="&amp;DATE(YEAR($AC229),MONTH($AC229),1)),0))</f>
        <v>0</v>
      </c>
      <c r="L229" s="185">
        <f t="shared" ca="1" si="135"/>
        <v>0</v>
      </c>
      <c r="M229" s="182" cm="1">
        <f t="array" aca="1" ref="M229" ca="1">IF(COUNTIFS(OverEmp,$C229,OverTax,M$5,OverDate,"&lt;"&amp;DATE(YEAR($AC229),MONTH($AC229)+1,1),OverEnd,"&gt;="&amp;DATE(YEAR($AC229),MONTH($AC229),1))&gt;0,SUMIFS(OverValue,OverEmp,$C229,OverTax,M$5,OverDate,"&lt;"&amp;DATE(YEAR($AC229),MONTH($AC229)+1,1),OverEnd,"&gt;="&amp;DATE(YEAR($AC229),MONTH($AC229),1)),(($BA229/12*$AA229)+(BB229*IF(1-$BC229=0,0,BD229/(1-$BC229))))-IF($F229="Terminated",0,SUMIFS(PayTaxDeduct,PayDate,"&lt;"&amp;$AC229,PayEmp,$C229)))</f>
        <v>0</v>
      </c>
      <c r="N229" s="133" cm="1">
        <f t="array" aca="1" ref="N229" ca="1">IF($F229="Terminated",0,IF($AA229=0,0,IF(ISNA(MATCH(N$5,DedListItem,0)),0,IF(COUNTIFS(OverEmp,$C229,OverDeduct,N$5,OverDate,"&lt;"&amp;DATE(YEAR($AC229),MONTH($AC229)+1,1),OverEnd,"&gt;="&amp;DATE(YEAR($AC229),MONTH($AC229),1))&gt;0,SUMIFS(OverValue,OverEmp,$C229,OverDeduct,N$5,OverDate,"&lt;"&amp;DATE(YEAR($AC229),MONTH($AC229)+1,1),OverEnd,"&gt;="&amp;DATE(YEAR($AC229),MONTH($AC229),1)),IF(OR(N$2="Fixed",N$2="Not Used"),(IF(COUNTIFS(EmpNo,$C229,OFFSET(Emp!$R$4,1,MATCH(N$5,DedListItem,0)-1,EmpCount,1),"&lt;&gt;")&gt;0,VLOOKUP($C229,EmpAll,COLUMN(Emp!$R$4)+MATCH(N$5,DedListItem,0)-1,0),OFFSET(Setup!$E$73,MATCH(N$5,DedListItem,0),0,1,1))*$AA229)-SUMIFS(OFFSET(N$6,1,0,PayCount,1),PayDate,"&lt;"&amp;$AC229,PayEmp,$C229),IF(ISNA(MATCH(N$2,EarnListItem,0))=FALSE,IF(OFFSET(Setup!$G$73,MATCH(N$5,DedListItem,0),0,1,1)="Taxable",SUMPRODUCT((PayEmp=$C229)*(PayDate&lt;=$AC229)*(PayEarnCode=N$2)*(PayEarnTax)*(PayEarnValues)),SUMPRODUCT((PayEmp=$C229)*(PayDate&lt;=$AC229)*(PayEarnCode=N$2)*(PayEarnValues)))*IF(COUNTIFS(EmpNo,$C229,OFFSET(Emp!$R$4,1,MATCH(N$5,DedListItem,0)-1,EmpCount,1),"&lt;&gt;")&gt;0,VLOOKUP($C229,EmpAll,COLUMN(Emp!$R$4)+MATCH(N$5,DedListItem,0)-1,0),OFFSET(Setup!$E$73,MATCH(N$5,DedListItem,0),0,1,1)),(MIN(IF(OFFSET(Setup!$G$73,MATCH(N$5,DedListItem,0),0,1,1)="Taxable",SUMPRODUCT((PayEmp=$C229)*(PayDate&lt;=$AC229)*(ISERROR(SEARCH(PayEarnCode,N$4)))*(PayEarnTax)*(PayEarnValues)),SUMPRODUCT((PayEmp=$C229)*(PayDate&lt;=$AC229)*(ISERROR(SEARCH(PayEarnCode,N$4)))*(PayEarnValues))),IF(ISNUMBER(N$3),N$3/12*$AA229,IgnoreMin)))*IF(COUNTIFS(EmpNo,$C229,OFFSET(Emp!$R$4,1,MATCH(N$5,DedListItem,0)-1,EmpCount,1),"&lt;&gt;")&gt;0,VLOOKUP($C229,EmpAll,COLUMN(Emp!$R$4)+MATCH(N$5,DedListItem,0)-1,0),OFFSET(Setup!$E$73,MATCH(N$5,DedListItem,0),0,1,1)))-SUMIFS(OFFSET(N$6,1,0,PayCount,1),PayDate,"&lt;"&amp;$AC229,PayEmp,$C229))))))</f>
        <v>0</v>
      </c>
      <c r="O229" s="133" cm="1">
        <f t="array" aca="1" ref="O229" ca="1">IF($F229="Terminated",0,IF($AA229=0,0,IF(ISNA(MATCH(O$5,DedListItem,0)),0,IF(COUNTIFS(OverEmp,$C229,OverDeduct,O$5,OverDate,"&lt;"&amp;DATE(YEAR($AC229),MONTH($AC229)+1,1),OverEnd,"&gt;="&amp;DATE(YEAR($AC229),MONTH($AC229),1))&gt;0,SUMIFS(OverValue,OverEmp,$C229,OverDeduct,O$5,OverDate,"&lt;"&amp;DATE(YEAR($AC229),MONTH($AC229)+1,1),OverEnd,"&gt;="&amp;DATE(YEAR($AC229),MONTH($AC229),1)),IF(OR(O$2="Fixed",O$2="Not Used"),(IF(COUNTIFS(EmpNo,$C229,OFFSET(Emp!$R$4,1,MATCH(O$5,DedListItem,0)-1,EmpCount,1),"&lt;&gt;")&gt;0,VLOOKUP($C229,EmpAll,COLUMN(Emp!$R$4)+MATCH(O$5,DedListItem,0)-1,0),OFFSET(Setup!$E$73,MATCH(O$5,DedListItem,0),0,1,1))*$AA229)-SUMIFS(OFFSET(O$6,1,0,PayCount,1),PayDate,"&lt;"&amp;$AC229,PayEmp,$C229),IF(ISNA(MATCH(O$2,EarnListItem,0))=FALSE,IF(OFFSET(Setup!$G$73,MATCH(O$5,DedListItem,0),0,1,1)="Taxable",SUMPRODUCT((PayEmp=$C229)*(PayDate&lt;=$AC229)*(PayEarnCode=O$2)*(PayEarnTax)*(PayEarnValues)),SUMPRODUCT((PayEmp=$C229)*(PayDate&lt;=$AC229)*(PayEarnCode=O$2)*(PayEarnValues)))*IF(COUNTIFS(EmpNo,$C229,OFFSET(Emp!$R$4,1,MATCH(O$5,DedListItem,0)-1,EmpCount,1),"&lt;&gt;")&gt;0,VLOOKUP($C229,EmpAll,COLUMN(Emp!$R$4)+MATCH(O$5,DedListItem,0)-1,0),OFFSET(Setup!$E$73,MATCH(O$5,DedListItem,0),0,1,1)),(MIN(IF(OFFSET(Setup!$G$73,MATCH(O$5,DedListItem,0),0,1,1)="Taxable",SUMPRODUCT((PayEmp=$C229)*(PayDate&lt;=$AC229)*(ISERROR(SEARCH(PayEarnCode,O$4)))*(PayEarnTax)*(PayEarnValues)),SUMPRODUCT((PayEmp=$C229)*(PayDate&lt;=$AC229)*(ISERROR(SEARCH(PayEarnCode,O$4)))*(PayEarnValues))),IF(ISNUMBER(O$3),O$3/12*$AA229,IgnoreMin)))*IF(COUNTIFS(EmpNo,$C229,OFFSET(Emp!$R$4,1,MATCH(O$5,DedListItem,0)-1,EmpCount,1),"&lt;&gt;")&gt;0,VLOOKUP($C229,EmpAll,COLUMN(Emp!$R$4)+MATCH(O$5,DedListItem,0)-1,0),OFFSET(Setup!$E$73,MATCH(O$5,DedListItem,0),0,1,1)))-SUMIFS(OFFSET(O$6,1,0,PayCount,1),PayDate,"&lt;"&amp;$AC229,PayEmp,$C229))))))</f>
        <v>0</v>
      </c>
      <c r="P229" s="133" cm="1">
        <f t="array" aca="1" ref="P229" ca="1">IF($F229="Terminated",0,IF($AA229=0,0,IF(ISNA(MATCH(P$5,DedListItem,0)),0,IF(COUNTIFS(OverEmp,$C229,OverDeduct,P$5,OverDate,"&lt;"&amp;DATE(YEAR($AC229),MONTH($AC229)+1,1),OverEnd,"&gt;="&amp;DATE(YEAR($AC229),MONTH($AC229),1))&gt;0,SUMIFS(OverValue,OverEmp,$C229,OverDeduct,P$5,OverDate,"&lt;"&amp;DATE(YEAR($AC229),MONTH($AC229)+1,1),OverEnd,"&gt;="&amp;DATE(YEAR($AC229),MONTH($AC229),1)),IF(OR(P$2="Fixed",P$2="Not Used"),(IF(COUNTIFS(EmpNo,$C229,OFFSET(Emp!$R$4,1,MATCH(P$5,DedListItem,0)-1,EmpCount,1),"&lt;&gt;")&gt;0,VLOOKUP($C229,EmpAll,COLUMN(Emp!$R$4)+MATCH(P$5,DedListItem,0)-1,0),OFFSET(Setup!$E$73,MATCH(P$5,DedListItem,0),0,1,1))*$AA229)-SUMIFS(OFFSET(P$6,1,0,PayCount,1),PayDate,"&lt;"&amp;$AC229,PayEmp,$C229),IF(ISNA(MATCH(P$2,EarnListItem,0))=FALSE,IF(OFFSET(Setup!$G$73,MATCH(P$5,DedListItem,0),0,1,1)="Taxable",SUMPRODUCT((PayEmp=$C229)*(PayDate&lt;=$AC229)*(PayEarnCode=P$2)*(PayEarnTax)*(PayEarnValues)),SUMPRODUCT((PayEmp=$C229)*(PayDate&lt;=$AC229)*(PayEarnCode=P$2)*(PayEarnValues)))*IF(COUNTIFS(EmpNo,$C229,OFFSET(Emp!$R$4,1,MATCH(P$5,DedListItem,0)-1,EmpCount,1),"&lt;&gt;")&gt;0,VLOOKUP($C229,EmpAll,COLUMN(Emp!$R$4)+MATCH(P$5,DedListItem,0)-1,0),OFFSET(Setup!$E$73,MATCH(P$5,DedListItem,0),0,1,1)),(MIN(IF(OFFSET(Setup!$G$73,MATCH(P$5,DedListItem,0),0,1,1)="Taxable",SUMPRODUCT((PayEmp=$C229)*(PayDate&lt;=$AC229)*(ISERROR(SEARCH(PayEarnCode,P$4)))*(PayEarnTax)*(PayEarnValues)),SUMPRODUCT((PayEmp=$C229)*(PayDate&lt;=$AC229)*(ISERROR(SEARCH(PayEarnCode,P$4)))*(PayEarnValues))),IF(ISNUMBER(P$3),P$3/12*$AA229,IgnoreMin)))*IF(COUNTIFS(EmpNo,$C229,OFFSET(Emp!$R$4,1,MATCH(P$5,DedListItem,0)-1,EmpCount,1),"&lt;&gt;")&gt;0,VLOOKUP($C229,EmpAll,COLUMN(Emp!$R$4)+MATCH(P$5,DedListItem,0)-1,0),OFFSET(Setup!$E$73,MATCH(P$5,DedListItem,0),0,1,1)))-SUMIFS(OFFSET(P$6,1,0,PayCount,1),PayDate,"&lt;"&amp;$AC229,PayEmp,$C229))))))</f>
        <v>0</v>
      </c>
      <c r="Q229" s="133" cm="1">
        <f t="array" aca="1" ref="Q229" ca="1">IF($F229="Terminated",0,IF($AA229=0,0,IF(ISNA(MATCH(Q$5,DedListItem,0)),0,IF(COUNTIFS(OverEmp,$C229,OverDeduct,Q$5,OverDate,"&lt;"&amp;DATE(YEAR($AC229),MONTH($AC229)+1,1),OverEnd,"&gt;="&amp;DATE(YEAR($AC229),MONTH($AC229),1))&gt;0,SUMIFS(OverValue,OverEmp,$C229,OverDeduct,Q$5,OverDate,"&lt;"&amp;DATE(YEAR($AC229),MONTH($AC229)+1,1),OverEnd,"&gt;="&amp;DATE(YEAR($AC229),MONTH($AC229),1)),IF(OR(Q$2="Fixed",Q$2="Not Used"),(IF(COUNTIFS(EmpNo,$C229,OFFSET(Emp!$R$4,1,MATCH(Q$5,DedListItem,0)-1,EmpCount,1),"&lt;&gt;")&gt;0,VLOOKUP($C229,EmpAll,COLUMN(Emp!$R$4)+MATCH(Q$5,DedListItem,0)-1,0),OFFSET(Setup!$E$73,MATCH(Q$5,DedListItem,0),0,1,1))*$AA229)-SUMIFS(OFFSET(Q$6,1,0,PayCount,1),PayDate,"&lt;"&amp;$AC229,PayEmp,$C229),IF(ISNA(MATCH(Q$2,EarnListItem,0))=FALSE,IF(OFFSET(Setup!$G$73,MATCH(Q$5,DedListItem,0),0,1,1)="Taxable",SUMPRODUCT((PayEmp=$C229)*(PayDate&lt;=$AC229)*(PayEarnCode=Q$2)*(PayEarnTax)*(PayEarnValues)),SUMPRODUCT((PayEmp=$C229)*(PayDate&lt;=$AC229)*(PayEarnCode=Q$2)*(PayEarnValues)))*IF(COUNTIFS(EmpNo,$C229,OFFSET(Emp!$R$4,1,MATCH(Q$5,DedListItem,0)-1,EmpCount,1),"&lt;&gt;")&gt;0,VLOOKUP($C229,EmpAll,COLUMN(Emp!$R$4)+MATCH(Q$5,DedListItem,0)-1,0),OFFSET(Setup!$E$73,MATCH(Q$5,DedListItem,0),0,1,1)),(MIN(IF(OFFSET(Setup!$G$73,MATCH(Q$5,DedListItem,0),0,1,1)="Taxable",SUMPRODUCT((PayEmp=$C229)*(PayDate&lt;=$AC229)*(ISERROR(SEARCH(PayEarnCode,Q$4)))*(PayEarnTax)*(PayEarnValues)),SUMPRODUCT((PayEmp=$C229)*(PayDate&lt;=$AC229)*(ISERROR(SEARCH(PayEarnCode,Q$4)))*(PayEarnValues))),IF(ISNUMBER(Q$3),Q$3/12*$AA229,IgnoreMin)))*IF(COUNTIFS(EmpNo,$C229,OFFSET(Emp!$R$4,1,MATCH(Q$5,DedListItem,0)-1,EmpCount,1),"&lt;&gt;")&gt;0,VLOOKUP($C229,EmpAll,COLUMN(Emp!$R$4)+MATCH(Q$5,DedListItem,0)-1,0),OFFSET(Setup!$E$73,MATCH(Q$5,DedListItem,0),0,1,1)))-SUMIFS(OFFSET(Q$6,1,0,PayCount,1),PayDate,"&lt;"&amp;$AC229,PayEmp,$C229))))))</f>
        <v>0</v>
      </c>
      <c r="R229" s="185">
        <f t="shared" ca="1" si="136"/>
        <v>0</v>
      </c>
      <c r="S229" s="139">
        <f t="shared" ca="1" si="137"/>
        <v>0</v>
      </c>
      <c r="T229" s="133" cm="1">
        <f t="array" aca="1" ref="T229" ca="1">IF($F229="Terminated",0,IF($AA229=0,0,IF(ISNA(MATCH(T$5,CompListItem,0)),0,IF(COUNTIFS(OverEmp,$C229,OverComp,T$5,OverDate,"&lt;"&amp;DATE(YEAR($AC229),MONTH($AC229)+1,1),OverEnd,"&gt;="&amp;DATE(YEAR($AC229),MONTH($AC229),1))&gt;0,SUMIFS(OverValue,OverEmp,$C229,OverComp,T$5,OverDate,"&lt;"&amp;DATE(YEAR($AC229),MONTH($AC229)+1,1),OverEnd,"&gt;="&amp;DATE(YEAR($AC229),MONTH($AC229),1)),IF(OR(T$2="Fixed",T$2="Not Used"),(OFFSET(Setup!$E$81,MATCH(T$5,CompListItem,0),0,1,1)*$AA229)-SUMIFS(OFFSET(T$6,1,0,PayCount,1),PayDate,"&lt;"&amp;$AC229,PayEmp,$C229),IF(ISNA(MATCH(T$2,DedListItem,0))=FALSE,(SUMPRODUCT((PayEmp=$C229)*(PayDate&lt;=$AC229)*(PayDedList=T$2)*(PayDedValues))*OFFSET(Setup!$E$81,MATCH(T$5,CompListItem,0),0,1,1))-SUMIFS(OFFSET(T$6,1,0,PayCount,1),PayDate,"&lt;"&amp;$AC229,PayEmp,$C229),(MIN(IF(OFFSET(Setup!$G$81,MATCH(T$5,CompListItem,0),0,1,1)="Taxable",SUMPRODUCT((PayEmp=$C229)*(PayDate&lt;=$AC229)*(ISERROR(SEARCH(PayEarnCode,T$4)))*(PayEarnTax)*(PayEarnValues)),SUMPRODUCT((PayEmp=$C229)*(PayDate&lt;=$AC229)*(ISERROR(SEARCH(PayEarnCode,T$4)))*(PayEarnValues))),IF(ISNUMBER(T$3),T$3/12*$AA229,IgnoreMin)))*OFFSET(Setup!$E$81,MATCH(T$5,CompListItem,0),0,1,1)-SUMIFS(OFFSET(T$6,1,0,PayCount,1),PayDate,"&lt;"&amp;$AC229,PayEmp,$C229)))))))</f>
        <v>0</v>
      </c>
      <c r="U229" s="133" cm="1">
        <f t="array" aca="1" ref="U229" ca="1">IF($F229="Terminated",0,IF($AA229=0,0,IF(ISNA(MATCH(U$5,CompListItem,0)),0,IF(COUNTIFS(OverEmp,$C229,OverComp,U$5,OverDate,"&lt;"&amp;DATE(YEAR($AC229),MONTH($AC229)+1,1),OverEnd,"&gt;="&amp;DATE(YEAR($AC229),MONTH($AC229),1))&gt;0,SUMIFS(OverValue,OverEmp,$C229,OverComp,U$5,OverDate,"&lt;"&amp;DATE(YEAR($AC229),MONTH($AC229)+1,1),OverEnd,"&gt;="&amp;DATE(YEAR($AC229),MONTH($AC229),1)),IF(OR(U$2="Fixed",U$2="Not Used"),(OFFSET(Setup!$E$81,MATCH(U$5,CompListItem,0),0,1,1)*$AA229)-SUMIFS(OFFSET(U$6,1,0,PayCount,1),PayDate,"&lt;"&amp;$AC229,PayEmp,$C229),IF(ISNA(MATCH(U$2,DedListItem,0))=FALSE,(SUMPRODUCT((PayEmp=$C229)*(PayDate&lt;=$AC229)*(PayDedList=U$2)*(PayDedValues))*OFFSET(Setup!$E$81,MATCH(U$5,CompListItem,0),0,1,1))-SUMIFS(OFFSET(U$6,1,0,PayCount,1),PayDate,"&lt;"&amp;$AC229,PayEmp,$C229),(MIN(IF(OFFSET(Setup!$G$81,MATCH(U$5,CompListItem,0),0,1,1)="Taxable",SUMPRODUCT((PayEmp=$C229)*(PayDate&lt;=$AC229)*(ISERROR(SEARCH(PayEarnCode,U$4)))*(PayEarnTax)*(PayEarnValues)),SUMPRODUCT((PayEmp=$C229)*(PayDate&lt;=$AC229)*(ISERROR(SEARCH(PayEarnCode,U$4)))*(PayEarnValues))),IF(ISNUMBER(U$3),U$3/12*$AA229,IgnoreMin)))*OFFSET(Setup!$E$81,MATCH(U$5,CompListItem,0),0,1,1)-SUMIFS(OFFSET(U$6,1,0,PayCount,1),PayDate,"&lt;"&amp;$AC229,PayEmp,$C229)))))))</f>
        <v>0</v>
      </c>
      <c r="V229" s="133" cm="1">
        <f t="array" aca="1" ref="V229" ca="1">IF($F229="Terminated",0,IF($AA229=0,0,IF(ISNA(MATCH(V$5,CompListItem,0)),0,IF(COUNTIFS(OverEmp,$C229,OverComp,V$5,OverDate,"&lt;"&amp;DATE(YEAR($AC229),MONTH($AC229)+1,1),OverEnd,"&gt;="&amp;DATE(YEAR($AC229),MONTH($AC229),1))&gt;0,SUMIFS(OverValue,OverEmp,$C229,OverComp,V$5,OverDate,"&lt;"&amp;DATE(YEAR($AC229),MONTH($AC229)+1,1),OverEnd,"&gt;="&amp;DATE(YEAR($AC229),MONTH($AC229),1)),IF(OR(V$2="Fixed",V$2="Not Used"),(OFFSET(Setup!$E$81,MATCH(V$5,CompListItem,0),0,1,1)*$AA229)-SUMIFS(OFFSET(V$6,1,0,PayCount,1),PayDate,"&lt;"&amp;$AC229,PayEmp,$C229),IF(ISNA(MATCH(V$2,DedListItem,0))=FALSE,(SUMPRODUCT((PayEmp=$C229)*(PayDate&lt;=$AC229)*(PayDedList=V$2)*(PayDedValues))*OFFSET(Setup!$E$81,MATCH(V$5,CompListItem,0),0,1,1))-SUMIFS(OFFSET(V$6,1,0,PayCount,1),PayDate,"&lt;"&amp;$AC229,PayEmp,$C229),(MIN(IF(OFFSET(Setup!$G$81,MATCH(V$5,CompListItem,0),0,1,1)="Taxable",SUMPRODUCT((PayEmp=$C229)*(PayDate&lt;=$AC229)*(ISERROR(SEARCH(PayEarnCode,V$4)))*(PayEarnTax)*(PayEarnValues)),SUMPRODUCT((PayEmp=$C229)*(PayDate&lt;=$AC229)*(ISERROR(SEARCH(PayEarnCode,V$4)))*(PayEarnValues))),IF(ISNUMBER(V$3),V$3/12*$AA229,IgnoreMin)))*OFFSET(Setup!$E$81,MATCH(V$5,CompListItem,0),0,1,1)-SUMIFS(OFFSET(V$6,1,0,PayCount,1),PayDate,"&lt;"&amp;$AC229,PayEmp,$C229)))))))</f>
        <v>0</v>
      </c>
      <c r="W229" s="133" cm="1">
        <f t="array" aca="1" ref="W229" ca="1">IF($F229="Terminated",0,IF($AA229=0,0,IF(ISNA(MATCH(W$5,CompListItem,0)),0,IF(COUNTIFS(OverEmp,$C229,OverComp,W$5,OverDate,"&lt;"&amp;DATE(YEAR($AC229),MONTH($AC229)+1,1),OverEnd,"&gt;="&amp;DATE(YEAR($AC229),MONTH($AC229),1))&gt;0,SUMIFS(OverValue,OverEmp,$C229,OverComp,W$5,OverDate,"&lt;"&amp;DATE(YEAR($AC229),MONTH($AC229)+1,1),OverEnd,"&gt;="&amp;DATE(YEAR($AC229),MONTH($AC229),1)),IF(OR(W$2="Fixed",W$2="Not Used"),(OFFSET(Setup!$E$81,MATCH(W$5,CompListItem,0),0,1,1)*$AA229)-SUMIFS(OFFSET(W$6,1,0,PayCount,1),PayDate,"&lt;"&amp;$AC229,PayEmp,$C229),IF(ISNA(MATCH(W$2,DedListItem,0))=FALSE,(SUMPRODUCT((PayEmp=$C229)*(PayDate&lt;=$AC229)*(PayDedList=W$2)*(PayDedValues))*OFFSET(Setup!$E$81,MATCH(W$5,CompListItem,0),0,1,1))-SUMIFS(OFFSET(W$6,1,0,PayCount,1),PayDate,"&lt;"&amp;$AC229,PayEmp,$C229),(MIN(IF(OFFSET(Setup!$G$81,MATCH(W$5,CompListItem,0),0,1,1)="Taxable",SUMPRODUCT((PayEmp=$C229)*(PayDate&lt;=$AC229)*(ISERROR(SEARCH(PayEarnCode,W$4)))*(PayEarnTax)*(PayEarnValues)),SUMPRODUCT((PayEmp=$C229)*(PayDate&lt;=$AC229)*(ISERROR(SEARCH(PayEarnCode,W$4)))*(PayEarnValues))),IF(ISNUMBER(W$3),W$3/12*$AA229,IgnoreMin)))*OFFSET(Setup!$E$81,MATCH(W$5,CompListItem,0),0,1,1)-SUMIFS(OFFSET(W$6,1,0,PayCount,1),PayDate,"&lt;"&amp;$AC229,PayEmp,$C229)))))))</f>
        <v>0</v>
      </c>
      <c r="X229" s="185">
        <f t="shared" ca="1" si="138"/>
        <v>0</v>
      </c>
      <c r="Y229" s="139">
        <f t="shared" ca="1" si="139"/>
        <v>0</v>
      </c>
      <c r="Z229" s="139">
        <f t="shared" ca="1" si="140"/>
        <v>0</v>
      </c>
      <c r="AA229" s="146">
        <f ca="1">IF(OR($B229&lt;=Setup!$E$12,$B229&gt;=Setup!$D$12+1),0,IF($F229&lt;&gt;"Active",0,IF($AE229="Yes",$AB229,((YEAR($AC229)*12)+MONTH($AC229))-((YEAR($AD229)*12)+MONTH($AD229)-1))))</f>
        <v>0</v>
      </c>
      <c r="AB229" s="146">
        <f ca="1">IF(OR($B229&lt;=Setup!$E$12,$B229&gt;=Setup!$D$12+1),0,((YEAR($AC229)*12)+MONTH($AC229))-((YEAR(Setup!$E$12)*12)+MONTH(Setup!$E$12)))</f>
        <v>12</v>
      </c>
      <c r="AC229" s="186">
        <f t="shared" ca="1" si="141"/>
        <v>45351</v>
      </c>
      <c r="AD229" s="144">
        <f ca="1">IF(ISNA(VLOOKUP($C229,EmpAll,COLUMN(Emp!$E$4),0)),$AC229,IF(VLOOKUP($C229,EmpAll,COLUMN(Emp!$E$4),0)&lt;=Setup!$E$12,DATE(YEAR(Setup!$E$12),MONTH(Setup!$E$12)+1,1),VLOOKUP($C229,EmpAll,COLUMN(Emp!$E$4),0)))</f>
        <v>45351</v>
      </c>
      <c r="AE229" s="144" t="str">
        <f ca="1">IF(ISNA(VLOOKUP($C229,EmpAll,COLUMN(Emp!$G$1),0)),"-",IF(VLOOKUP($C229,EmpAll,COLUMN(Emp!$G$1),0)=0,"-",VLOOKUP($C229,EmpAll,COLUMN(Emp!$G$1),0)))</f>
        <v>-</v>
      </c>
      <c r="AF229" s="145">
        <f>IF(A229=PaySlip!$G$3,1,0)</f>
        <v>0</v>
      </c>
      <c r="AG229" s="130" cm="1">
        <f t="array" aca="1" ref="AG229" ca="1">IF(COUNTIFS(OverEmp,$C229,OverMed,"MED",OverDate,"&lt;"&amp;DATE(YEAR($AC229),MONTH($AC229)+1,1),OverEnd,"&gt;="&amp;DATE(YEAR($AC229),MONTH($AC229),1))&gt;0,SUMIFS(OverValue,OverEmp,$C229,OverMed,"MED",OverDate,"&lt;"&amp;DATE(YEAR($AC229),MONTH($AC229)+1,1),OverEnd,"&gt;="&amp;DATE(YEAR($AC229),MONTH($AC229),1)),IF(ISNA(VLOOKUP($C229,EmpAll,COLUMN(Emp!$N$4),0)),0,VLOOKUP($C229,EmpAll,COLUMN(Emp!$N$4),0)))</f>
        <v>0</v>
      </c>
      <c r="AH229" s="146">
        <f ca="1">VLOOKUP($AG229,MedList,COLUMN(Setup!$C$49),1)</f>
        <v>0</v>
      </c>
      <c r="AI229" s="146">
        <f t="shared" ca="1" si="107"/>
        <v>0</v>
      </c>
      <c r="AJ229" s="101" t="str">
        <f ca="1">IF(ISNA(VLOOKUP($C229,EmpAll,COLUMN(Emp!$L$4),0)),"None!",VLOOKUP($C229,EmpAll,COLUMN(Emp!$L$4),0))</f>
        <v>None!</v>
      </c>
      <c r="AK229" s="147">
        <f t="shared" ca="1" si="102"/>
        <v>17235</v>
      </c>
      <c r="AL229" s="101" t="str">
        <f ca="1">IF(ISNA(VLOOKUP($C229,Employees[],COLUMN(Emp!$M$4),0))=TRUE,"Error!",IF(VLOOKUP($C229,Employees[],COLUMN(Emp!$M$4),0)=0,"Yes",VLOOKUP($C229,Employees[],COLUMN(Emp!$M$4),0)))</f>
        <v>Error!</v>
      </c>
      <c r="AM229" s="148">
        <f t="shared" ca="1" si="108"/>
        <v>0</v>
      </c>
      <c r="AN229" s="148" cm="1">
        <f t="array" aca="1" ref="AN229" ca="1">-IF($F229="Terminated",0,IF($AA229=0,0,IF(ISNA(MATCH(AN$5,PayDedList,0)),0,MIN(IF(COUNTIFS(OverEmp,$C229,OverDeduct,AN$5,OverDate,"&lt;"&amp;DATE(YEAR($AC229),MONTH($AC229)+1,1),OverEnd,"&gt;="&amp;DATE(YEAR($AC229),MONTH($AC229),1))&gt;0,SUMPRODUCT((PayEmp=$C229)*(PayDate&lt;=$AC229)*(OFFSET($N$6,1,MATCH(AN$5,PayDedList,0)-1,PayCount,1)))/$AA229*12*AN$3,IF(OR(AN$1="Fixed",AN$1="Not Used"),SUMPRODUCT((PayEmp=$C229)*(PayDate&lt;=$AC229)*(OFFSET($N$6,1,MATCH(AN$5,PayDedList,0)-1,PayCount,1)))/$AA229*12*AN$3,IF(ISNA(MATCH(AN$1,EarnListItem,0))=FALSE,SUMPRODUCT((PayEmp=$C229)*(PayDate&lt;=$AC229)*(OFFSET($N$6,1,MATCH(AN$5,PayDedList,0)-1,PayCount,1)))/$AA229*12*AN$3,(MIN(((SUMPRODUCT((PayEmp=$C229)*(PayDate&lt;=$AC229)*(ISERROR(SEARCH(PayEarnCode,AN$2)))*(PayEarnType="Monthly")*(PayEarnValues))/$AA229*12)+(SUMPRODUCT((PayEmp=$C229)*(PayDate&lt;=$AC229)*(ISERROR(SEARCH(PayEarnCode,AN$2)))*(PayEarnType="Quarterly")*(PayEarnValues))/MAX(1,ROUNDDOWN($AB229/3,0))*4)+(SUMPRODUCT((PayEmp=$C229)*(PayDate&lt;=$AC229)*(ISERROR(SEARCH(PayEarnCode,AN$2)))*(PayEarnType="Bi-Annual")*(PayEarnValues))/MAX(1,ROUNDDOWN($AB229/6,0))*2)+(SUMPRODUCT((PayEmp=$C229)*(PayDate&lt;=$AC229)*(ISERROR(SEARCH(PayEarnCode,AN$2)))*(PayEarnType="Annual")*(PayEarnValues)))),IF(ISNUMBER(OFFSET($N$3,0,MATCH(AN$5,PayDedList,0)-1,1,1)),OFFSET($N$3,0,MATCH(AN$5,PayDedList,0)-1,1,1),IgnoreMin)))*IF(COUNTIFS(EmpNo,$C229,OFFSET(Emp!$R$4,1,MATCH(AN$5,DedListItem,0)-1,EmpCount,1),"&lt;&gt;")&gt;0,VLOOKUP($C229,EmpAll,COLUMN(Emp!$R$4)+MATCH(AN$5,DedListItem,0)-1,0),OFFSET(Setup!$E$73,MATCH(AN$5,DedListItem,0),0,1,1))*AN$3))),IF(ISNUMBER(AN$4),AN$4,IgnoreMin)))))</f>
        <v>0</v>
      </c>
      <c r="AO229" s="148" cm="1">
        <f t="array" aca="1" ref="AO229" ca="1">-IF($F229="Terminated",0,IF($AA229=0,0,IF(ISNA(MATCH(AO$5,PayDedList,0)),0,MIN(IF(COUNTIFS(OverEmp,$C229,OverDeduct,AO$5,OverDate,"&lt;"&amp;DATE(YEAR($AC229),MONTH($AC229)+1,1),OverEnd,"&gt;="&amp;DATE(YEAR($AC229),MONTH($AC229),1))&gt;0,SUMPRODUCT((PayEmp=$C229)*(PayDate&lt;=$AC229)*(OFFSET($N$6,1,MATCH(AO$5,PayDedList,0)-1,PayCount,1)))/$AA229*12*AO$3,IF(OR(AO$1="Fixed",AO$1="Not Used"),SUMPRODUCT((PayEmp=$C229)*(PayDate&lt;=$AC229)*(OFFSET($N$6,1,MATCH(AO$5,PayDedList,0)-1,PayCount,1)))/$AA229*12*AO$3,IF(ISNA(MATCH(AO$1,EarnListItem,0))=FALSE,SUMPRODUCT((PayEmp=$C229)*(PayDate&lt;=$AC229)*(OFFSET($N$6,1,MATCH(AO$5,PayDedList,0)-1,PayCount,1)))/$AA229*12*AO$3,(MIN(((SUMPRODUCT((PayEmp=$C229)*(PayDate&lt;=$AC229)*(ISERROR(SEARCH(PayEarnCode,AO$2)))*(PayEarnType="Monthly")*(PayEarnValues))/$AA229*12)+(SUMPRODUCT((PayEmp=$C229)*(PayDate&lt;=$AC229)*(ISERROR(SEARCH(PayEarnCode,AO$2)))*(PayEarnType="Quarterly")*(PayEarnValues))/MAX(1,ROUNDDOWN($AB229/3,0))*4)+(SUMPRODUCT((PayEmp=$C229)*(PayDate&lt;=$AC229)*(ISERROR(SEARCH(PayEarnCode,AO$2)))*(PayEarnType="Bi-Annual")*(PayEarnValues))/MAX(1,ROUNDDOWN($AB229/6,0))*2)+(SUMPRODUCT((PayEmp=$C229)*(PayDate&lt;=$AC229)*(ISERROR(SEARCH(PayEarnCode,AO$2)))*(PayEarnType="Annual")*(PayEarnValues)))),IF(ISNUMBER(OFFSET($N$3,0,MATCH(AO$5,PayDedList,0)-1,1,1)),OFFSET($N$3,0,MATCH(AO$5,PayDedList,0)-1,1,1),IgnoreMin)))*IF(COUNTIFS(EmpNo,$C229,OFFSET(Emp!$R$4,1,MATCH(AO$5,DedListItem,0)-1,EmpCount,1),"&lt;&gt;")&gt;0,VLOOKUP($C229,EmpAll,COLUMN(Emp!$R$4)+MATCH(AO$5,DedListItem,0)-1,0),OFFSET(Setup!$E$73,MATCH(AO$5,DedListItem,0),0,1,1))*AO$3))),IF(ISNUMBER(AO$4),AO$4,IgnoreMin)))))</f>
        <v>0</v>
      </c>
      <c r="AP229" s="148" cm="1">
        <f t="array" aca="1" ref="AP229" ca="1">-IF($F229="Terminated",0,IF($AA229=0,0,IF(ISNA(MATCH(AP$5,PayDedList,0)),0,MIN(IF(COUNTIFS(OverEmp,$C229,OverDeduct,AP$5,OverDate,"&lt;"&amp;DATE(YEAR($AC229),MONTH($AC229)+1,1),OverEnd,"&gt;="&amp;DATE(YEAR($AC229),MONTH($AC229),1))&gt;0,SUMPRODUCT((PayEmp=$C229)*(PayDate&lt;=$AC229)*(OFFSET($N$6,1,MATCH(AP$5,PayDedList,0)-1,PayCount,1)))/$AA229*12*AP$3,IF(OR(AP$1="Fixed",AP$1="Not Used"),SUMPRODUCT((PayEmp=$C229)*(PayDate&lt;=$AC229)*(OFFSET($N$6,1,MATCH(AP$5,PayDedList,0)-1,PayCount,1)))/$AA229*12*AP$3,IF(ISNA(MATCH(AP$1,EarnListItem,0))=FALSE,SUMPRODUCT((PayEmp=$C229)*(PayDate&lt;=$AC229)*(OFFSET($N$6,1,MATCH(AP$5,PayDedList,0)-1,PayCount,1)))/$AA229*12*AP$3,(MIN(((SUMPRODUCT((PayEmp=$C229)*(PayDate&lt;=$AC229)*(ISERROR(SEARCH(PayEarnCode,AP$2)))*(PayEarnType="Monthly")*(PayEarnValues))/$AA229*12)+(SUMPRODUCT((PayEmp=$C229)*(PayDate&lt;=$AC229)*(ISERROR(SEARCH(PayEarnCode,AP$2)))*(PayEarnType="Quarterly")*(PayEarnValues))/MAX(1,ROUNDDOWN($AB229/3,0))*4)+(SUMPRODUCT((PayEmp=$C229)*(PayDate&lt;=$AC229)*(ISERROR(SEARCH(PayEarnCode,AP$2)))*(PayEarnType="Bi-Annual")*(PayEarnValues))/MAX(1,ROUNDDOWN($AB229/6,0))*2)+(SUMPRODUCT((PayEmp=$C229)*(PayDate&lt;=$AC229)*(ISERROR(SEARCH(PayEarnCode,AP$2)))*(PayEarnType="Annual")*(PayEarnValues)))),IF(ISNUMBER(OFFSET($N$3,0,MATCH(AP$5,PayDedList,0)-1,1,1)),OFFSET($N$3,0,MATCH(AP$5,PayDedList,0)-1,1,1),IgnoreMin)))*IF(COUNTIFS(EmpNo,$C229,OFFSET(Emp!$R$4,1,MATCH(AP$5,DedListItem,0)-1,EmpCount,1),"&lt;&gt;")&gt;0,VLOOKUP($C229,EmpAll,COLUMN(Emp!$R$4)+MATCH(AP$5,DedListItem,0)-1,0),OFFSET(Setup!$E$73,MATCH(AP$5,DedListItem,0),0,1,1))*AP$3))),IF(ISNUMBER(AP$4),AP$4,IgnoreMin)))))</f>
        <v>0</v>
      </c>
      <c r="AQ229" s="148" cm="1">
        <f t="array" aca="1" ref="AQ229" ca="1">-IF($F229="Terminated",0,IF($AA229=0,0,IF(ISNA(MATCH(AQ$5,PayDedList,0)),0,MIN(IF(COUNTIFS(OverEmp,$C229,OverDeduct,AQ$5,OverDate,"&lt;"&amp;DATE(YEAR($AC229),MONTH($AC229)+1,1),OverEnd,"&gt;="&amp;DATE(YEAR($AC229),MONTH($AC229),1))&gt;0,SUMPRODUCT((PayEmp=$C229)*(PayDate&lt;=$AC229)*(OFFSET($N$6,1,MATCH(AQ$5,PayDedList,0)-1,PayCount,1)))/$AA229*12*AQ$3,IF(OR(AQ$1="Fixed",AQ$1="Not Used"),SUMPRODUCT((PayEmp=$C229)*(PayDate&lt;=$AC229)*(OFFSET($N$6,1,MATCH(AQ$5,PayDedList,0)-1,PayCount,1)))/$AA229*12*AQ$3,IF(ISNA(MATCH(AQ$1,EarnListItem,0))=FALSE,SUMPRODUCT((PayEmp=$C229)*(PayDate&lt;=$AC229)*(OFFSET($N$6,1,MATCH(AQ$5,PayDedList,0)-1,PayCount,1)))/$AA229*12*AQ$3,(MIN(((SUMPRODUCT((PayEmp=$C229)*(PayDate&lt;=$AC229)*(ISERROR(SEARCH(PayEarnCode,AQ$2)))*(PayEarnType="Monthly")*(PayEarnValues))/$AA229*12)+(SUMPRODUCT((PayEmp=$C229)*(PayDate&lt;=$AC229)*(ISERROR(SEARCH(PayEarnCode,AQ$2)))*(PayEarnType="Quarterly")*(PayEarnValues))/MAX(1,ROUNDDOWN($AB229/3,0))*4)+(SUMPRODUCT((PayEmp=$C229)*(PayDate&lt;=$AC229)*(ISERROR(SEARCH(PayEarnCode,AQ$2)))*(PayEarnType="Bi-Annual")*(PayEarnValues))/MAX(1,ROUNDDOWN($AB229/6,0))*2)+(SUMPRODUCT((PayEmp=$C229)*(PayDate&lt;=$AC229)*(ISERROR(SEARCH(PayEarnCode,AQ$2)))*(PayEarnType="Annual")*(PayEarnValues)))),IF(ISNUMBER(OFFSET($N$3,0,MATCH(AQ$5,PayDedList,0)-1,1,1)),OFFSET($N$3,0,MATCH(AQ$5,PayDedList,0)-1,1,1),IgnoreMin)))*IF(COUNTIFS(EmpNo,$C229,OFFSET(Emp!$R$4,1,MATCH(AQ$5,DedListItem,0)-1,EmpCount,1),"&lt;&gt;")&gt;0,VLOOKUP($C229,EmpAll,COLUMN(Emp!$R$4)+MATCH(AQ$5,DedListItem,0)-1,0),OFFSET(Setup!$E$73,MATCH(AQ$5,DedListItem,0),0,1,1))*AQ$3))),IF(ISNUMBER(AQ$4),AQ$4,IgnoreMin)))))</f>
        <v>0</v>
      </c>
      <c r="AR229" s="148">
        <f t="shared" ca="1" si="142"/>
        <v>0</v>
      </c>
      <c r="AS229" s="148">
        <f t="shared" ca="1" si="109"/>
        <v>0</v>
      </c>
      <c r="AT229" s="148" cm="1">
        <f t="array" aca="1" ref="AT229" ca="1">-IF($F229="Terminated",0,IF($AA229=0,0,IF(ISNA(MATCH(AT$5,PayDedList,0)),0,MIN(IF(COUNTIFS(OverEmp,$C229,OverDeduct,AT$5,OverDate,"&lt;"&amp;DATE(YEAR($AC229),MONTH($AC229)+1,1),OverEnd,"&gt;="&amp;DATE(YEAR($AC229),MONTH($AC229),1))&gt;0,SUMPRODUCT((PayEmp=$C229)*(PayDate&lt;=$AC229)*(OFFSET($N$6,1,MATCH(AT$5,PayDedList,0)-1,PayCount,1)))/$AA229*12*AT$3,IF(OR(AT$1="Fixed",AT$1="Not Used"),SUMPRODUCT((PayEmp=$C229)*(PayDate&lt;=$AC229)*(OFFSET($N$6,1,MATCH(AT$5,PayDedList,0)-1,PayCount,1)))/$AA229*12*AT$3,IF(ISNA(MATCH(OFFSET($N$2,0,MATCH(AT$5,PayDedList,0)-1,1,1),EarnListItem,0))=FALSE,SUMPRODUCT((PayEmp=$C229)*(PayDate&lt;=$AC229)*(OFFSET($N$6,1,MATCH(AT$5,PayDedList,0)-1,PayCount,1)))/$AA229*12*AT$3,(MIN(SUMPRODUCT((PayEmp=$C229)*(PayDate&lt;=$AC229)*(ISERROR(SEARCH(PayEarnCode,AT$2)))*(PayEarnType="Monthly")*(PayEarnValues))/$AA229*12,IF(ISNUMBER(OFFSET($N$3,0,MATCH(AT$5,PayDedList,0)-1,1,1)),OFFSET($N$3,0,MATCH(AT$5,PayDedList,0)-1,1,1),IgnoreMin)))*IF(COUNTIFS(EmpNo,$C229,OFFSET(Emp!$R$4,1,MATCH(AT$5,DedListItem,0)-1,EmpCount,1),"&lt;&gt;")&gt;0,VLOOKUP($C229,EmpAll,COLUMN(Emp!$R$4)+MATCH(AT$5,DedListItem,0)-1,0),OFFSET(Setup!$E$73,MATCH(AT$5,DedListItem,0),0,1,1))*AT$3))),IF(ISNUMBER(AT$4),AT$4,IgnoreMin)))))</f>
        <v>0</v>
      </c>
      <c r="AU229" s="148" cm="1">
        <f t="array" aca="1" ref="AU229" ca="1">-IF($F229="Terminated",0,IF($AA229=0,0,IF(ISNA(MATCH(AU$5,PayDedList,0)),0,MIN(IF(COUNTIFS(OverEmp,$C229,OverDeduct,AU$5,OverDate,"&lt;"&amp;DATE(YEAR($AC229),MONTH($AC229)+1,1),OverEnd,"&gt;="&amp;DATE(YEAR($AC229),MONTH($AC229),1))&gt;0,SUMPRODUCT((PayEmp=$C229)*(PayDate&lt;=$AC229)*(OFFSET($N$6,1,MATCH(AU$5,PayDedList,0)-1,PayCount,1)))/$AA229*12*AU$3,IF(OR(AU$1="Fixed",AU$1="Not Used"),SUMPRODUCT((PayEmp=$C229)*(PayDate&lt;=$AC229)*(OFFSET($N$6,1,MATCH(AU$5,PayDedList,0)-1,PayCount,1)))/$AA229*12*AU$3,IF(ISNA(MATCH(OFFSET($N$2,0,MATCH(AU$5,PayDedList,0)-1,1,1),EarnListItem,0))=FALSE,SUMPRODUCT((PayEmp=$C229)*(PayDate&lt;=$AC229)*(OFFSET($N$6,1,MATCH(AU$5,PayDedList,0)-1,PayCount,1)))/$AA229*12*AU$3,(MIN(SUMPRODUCT((PayEmp=$C229)*(PayDate&lt;=$AC229)*(ISERROR(SEARCH(PayEarnCode,AU$2)))*(PayEarnType="Monthly")*(PayEarnValues))/$AA229*12,IF(ISNUMBER(OFFSET($N$3,0,MATCH(AU$5,PayDedList,0)-1,1,1)),OFFSET($N$3,0,MATCH(AU$5,PayDedList,0)-1,1,1),IgnoreMin)))*IF(COUNTIFS(EmpNo,$C229,OFFSET(Emp!$R$4,1,MATCH(AU$5,DedListItem,0)-1,EmpCount,1),"&lt;&gt;")&gt;0,VLOOKUP($C229,EmpAll,COLUMN(Emp!$R$4)+MATCH(AU$5,DedListItem,0)-1,0),OFFSET(Setup!$E$73,MATCH(AU$5,DedListItem,0),0,1,1))*AU$3))),IF(ISNUMBER(AU$4),AU$4,IgnoreMin)))))</f>
        <v>0</v>
      </c>
      <c r="AV229" s="148" cm="1">
        <f t="array" aca="1" ref="AV229" ca="1">-IF($F229="Terminated",0,IF($AA229=0,0,IF(ISNA(MATCH(AV$5,PayDedList,0)),0,MIN(IF(COUNTIFS(OverEmp,$C229,OverDeduct,AV$5,OverDate,"&lt;"&amp;DATE(YEAR($AC229),MONTH($AC229)+1,1),OverEnd,"&gt;="&amp;DATE(YEAR($AC229),MONTH($AC229),1))&gt;0,SUMPRODUCT((PayEmp=$C229)*(PayDate&lt;=$AC229)*(OFFSET($N$6,1,MATCH(AV$5,PayDedList,0)-1,PayCount,1)))/$AA229*12*AV$3,IF(OR(AV$1="Fixed",AV$1="Not Used"),SUMPRODUCT((PayEmp=$C229)*(PayDate&lt;=$AC229)*(OFFSET($N$6,1,MATCH(AV$5,PayDedList,0)-1,PayCount,1)))/$AA229*12*AV$3,IF(ISNA(MATCH(OFFSET($N$2,0,MATCH(AV$5,PayDedList,0)-1,1,1),EarnListItem,0))=FALSE,SUMPRODUCT((PayEmp=$C229)*(PayDate&lt;=$AC229)*(OFFSET($N$6,1,MATCH(AV$5,PayDedList,0)-1,PayCount,1)))/$AA229*12*AV$3,(MIN(SUMPRODUCT((PayEmp=$C229)*(PayDate&lt;=$AC229)*(ISERROR(SEARCH(PayEarnCode,AV$2)))*(PayEarnType="Monthly")*(PayEarnValues))/$AA229*12,IF(ISNUMBER(OFFSET($N$3,0,MATCH(AV$5,PayDedList,0)-1,1,1)),OFFSET($N$3,0,MATCH(AV$5,PayDedList,0)-1,1,1),IgnoreMin)))*IF(COUNTIFS(EmpNo,$C229,OFFSET(Emp!$R$4,1,MATCH(AV$5,DedListItem,0)-1,EmpCount,1),"&lt;&gt;")&gt;0,VLOOKUP($C229,EmpAll,COLUMN(Emp!$R$4)+MATCH(AV$5,DedListItem,0)-1,0),OFFSET(Setup!$E$73,MATCH(AV$5,DedListItem,0),0,1,1))*AV$3))),IF(ISNUMBER(AV$4),AV$4,IgnoreMin)))))</f>
        <v>0</v>
      </c>
      <c r="AW229" s="148" cm="1">
        <f t="array" aca="1" ref="AW229" ca="1">-IF($F229="Terminated",0,IF($AA229=0,0,IF(ISNA(MATCH(AW$5,PayDedList,0)),0,MIN(IF(COUNTIFS(OverEmp,$C229,OverDeduct,AW$5,OverDate,"&lt;"&amp;DATE(YEAR($AC229),MONTH($AC229)+1,1),OverEnd,"&gt;="&amp;DATE(YEAR($AC229),MONTH($AC229),1))&gt;0,SUMPRODUCT((PayEmp=$C229)*(PayDate&lt;=$AC229)*(OFFSET($N$6,1,MATCH(AW$5,PayDedList,0)-1,PayCount,1)))/$AA229*12*AW$3,IF(OR(AW$1="Fixed",AW$1="Not Used"),SUMPRODUCT((PayEmp=$C229)*(PayDate&lt;=$AC229)*(OFFSET($N$6,1,MATCH(AW$5,PayDedList,0)-1,PayCount,1)))/$AA229*12*AW$3,IF(ISNA(MATCH(OFFSET($N$2,0,MATCH(AW$5,PayDedList,0)-1,1,1),EarnListItem,0))=FALSE,SUMPRODUCT((PayEmp=$C229)*(PayDate&lt;=$AC229)*(OFFSET($N$6,1,MATCH(AW$5,PayDedList,0)-1,PayCount,1)))/$AA229*12*AW$3,(MIN(SUMPRODUCT((PayEmp=$C229)*(PayDate&lt;=$AC229)*(ISERROR(SEARCH(PayEarnCode,AW$2)))*(PayEarnType="Monthly")*(PayEarnValues))/$AA229*12,IF(ISNUMBER(OFFSET($N$3,0,MATCH(AW$5,PayDedList,0)-1,1,1)),OFFSET($N$3,0,MATCH(AW$5,PayDedList,0)-1,1,1),IgnoreMin)))*IF(COUNTIFS(EmpNo,$C229,OFFSET(Emp!$R$4,1,MATCH(AW$5,DedListItem,0)-1,EmpCount,1),"&lt;&gt;")&gt;0,VLOOKUP($C229,EmpAll,COLUMN(Emp!$R$4)+MATCH(AW$5,DedListItem,0)-1,0),OFFSET(Setup!$E$73,MATCH(AW$5,DedListItem,0),0,1,1))*AW$3))),IF(ISNUMBER(AW$4),AW$4,IgnoreMin)))))</f>
        <v>0</v>
      </c>
      <c r="AX229" s="148">
        <f t="shared" ca="1" si="143"/>
        <v>0</v>
      </c>
      <c r="AY229" s="148">
        <f t="shared" ca="1" si="144"/>
        <v>0</v>
      </c>
      <c r="AZ229" s="148">
        <f ca="1">IF(ISNUMBER($AL229),($AR229*$AL229)-$AI229-$AK229,MAX(0,IF($AL229="B",IF($AR229&lt;Setup!$C$32,($AR229*Setup!$D$32)-$AI229-$AK229,(($AR229-VLOOKUP($AR229,TaxAll2,1,1))*OFFSET(Setup!$D$32,MATCH($AR229,TaxBracket2,1),0,1,1))+OFFSET(Setup!$E$31,MATCH($AR229,TaxBracket2,1),0,1,1)-$AI229-$AK229),IF($AR229&lt;Setup!$C$21,($AR229*Setup!$D$21)-$AI229-$AK229,(($AR229-VLOOKUP($AR229,TaxAll1,1,1))*OFFSET(Setup!$D$21,MATCH($AR229,TaxBracket1,1),0,1,1))+OFFSET(Setup!$E$20,MATCH($AR229,TaxBracket1,1),0,1,1)-$AI229-$AK229))))</f>
        <v>0</v>
      </c>
      <c r="BA229" s="148">
        <f ca="1">IF(ISNUMBER($AL229),($AX229*$AL229)-$AI229-$AK229,MAX(0,IF($AL229="B",IF($AX229&lt;Setup!$C$32,($AX229*Setup!$D$32)-$AI229-$AK229,(($AX229-VLOOKUP($AX229,TaxAll2,1,1))*OFFSET(Setup!$D$32,MATCH($AX229,TaxBracket2,1),0,1,1))+OFFSET(Setup!$E$31,MATCH($AX229,TaxBracket2,1),0,1,1)-$AI229-$AK229),IF($AX229&lt;Setup!$C$21,($AX229*Setup!$D$21)-$AI229-$AK229,(($AX229-VLOOKUP($AX229,TaxAll1,1,1))*OFFSET(Setup!$D$21,MATCH($AX229,TaxBracket1,1),0,1,1))+OFFSET(Setup!$E$20,MATCH($AX229,TaxBracket1,1),0,1,1)-$AI229-$AK229))))</f>
        <v>0</v>
      </c>
      <c r="BB229" s="148">
        <f t="shared" ca="1" si="145"/>
        <v>0</v>
      </c>
      <c r="BC229" s="150">
        <f t="shared" ca="1" si="110"/>
        <v>0</v>
      </c>
      <c r="BD229" s="150">
        <f t="shared" ca="1" si="111"/>
        <v>0</v>
      </c>
      <c r="BE229" s="148">
        <f t="shared" ca="1" si="112"/>
        <v>0</v>
      </c>
    </row>
    <row r="230" spans="1:57" ht="16.149999999999999" customHeight="1" x14ac:dyDescent="0.25">
      <c r="A230" s="10" t="str" cm="1">
        <f t="array" ref="A230">IF(ROW($A230)-ROW($A$6)&gt;EmpCount*12,"-",TEXT($B230,"yyyy")&amp;TEXT($B230,"mm")&amp;"-"&amp;$C230)</f>
        <v>-</v>
      </c>
      <c r="B230" s="137" cm="1">
        <f t="array" aca="1" ref="B230" ca="1">IF(ROW($A230)-ROW($A$6)&gt;EmpCount*12,Setup!$D$12,DATE(YEAR(Setup!$F$12),MONTH(Setup!$F$12)+ROUNDDOWN((ROW($A230)-ROW($A$6)-1)/EmpCount,0),IF(Setup!$C$14&gt;DAY(DATE(YEAR(Setup!$F$12),MONTH(Setup!$F$12)+ROUNDDOWN((ROW($A230)-ROW($A$6)-1)/EmpCount,0)+1,0)),DAY(DATE(YEAR(Setup!$F$12),MONTH(Setup!$F$12)+ROUNDDOWN((ROW($A230)-ROW($A$6)-1)/EmpCount,0)+1,0)),Setup!$C$14)))</f>
        <v>45351</v>
      </c>
      <c r="C230" s="101" t="str" cm="1">
        <f t="array" aca="1" ref="C230" ca="1">IF(ROW($A230)-ROW($A$6)&gt;EmpCount*12,"-",OFFSET(Emp!$A$4,ROW($A230)-ROW($A$6)-IF(ROW($A230)-ROW($A$6)&gt;EmpCount,ROUNDDOWN((ROW($A230)-ROW($A$6)-1)/EmpCount,0)*EmpCount,0),0,1,1))</f>
        <v>-</v>
      </c>
      <c r="D230" s="10" t="str">
        <f ca="1">IF(ISNA(VLOOKUP($C230,EmpAll,COLUMN(Emp!$B$4),0)),"-",VLOOKUP($C230,EmpAll,COLUMN(Emp!$B$4),0))</f>
        <v>-</v>
      </c>
      <c r="E230" s="145" t="str">
        <f ca="1">IF(ISNA(VLOOKUP($C230,EmpAll,COLUMN(Emp!$C$4),0)),"-",VLOOKUP($C230,EmpAll,COLUMN(Emp!$C$4),0))</f>
        <v>-</v>
      </c>
      <c r="F230" s="101" t="str">
        <f ca="1">IF(ISNA(VLOOKUP($C230,EmpAll,COLUMN(Emp!$A$4),0)),"-",IF(AND(VLOOKUP($C230,EmpAll,COLUMN(Emp!$E$4),0)&lt;&gt;0,VLOOKUP($C230,EmpAll,COLUMN(Emp!$E$4),0)&gt;=DATE(YEAR($AC230),MONTH($AC230)+1,0)),"Inactive",IF(AND(VLOOKUP($C230,EmpAll,COLUMN(Emp!$F$4),0)&lt;&gt;0,VLOOKUP($C230,EmpAll,COLUMN(Emp!$F$4),0)&lt;=DATE(YEAR($AC230),MONTH($AC230),0)),"Terminated","Active")))</f>
        <v>-</v>
      </c>
      <c r="G230" s="133" cm="1">
        <f t="array" aca="1" ref="G230" ca="1">IF($F230&lt;&gt;"Active",0,IF(COUNTIFS(OverEmp,$C230,OverEarn,G$2,OverDate,"&lt;"&amp;DATE(YEAR($AC230),MONTH($AC230)+1,1),OverEnd,"&gt;="&amp;DATE(YEAR($AC230),MONTH($AC230),1))&gt;0,SUMIFS(OverValue,OverEmp,$C230,OverEarn,G$2,OverDate,"&lt;"&amp;DATE(YEAR($AC230),MONTH($AC230)+1,1),OverEnd,"&gt;="&amp;DATE(YEAR($AC230),MONTH($AC230),1)),IF(AND($AC230&gt;=Setup!$E$10,SUMIFS(EmpIncrease,EmpCode,$C230)&gt;0),SUMIFS(EmpIncrease,EmpCode,$C230),SUMIFS(EmpSalary,EmpCode,$C230))))</f>
        <v>0</v>
      </c>
      <c r="H230" s="133" cm="1">
        <f t="array" aca="1" ref="H230" ca="1">IF($F230&lt;&gt;"Active",0,IF(COUNTIFS(OverEmp,$C230,OverEarn,H$2,OverDate,"&lt;"&amp;DATE(YEAR($AC230),MONTH($AC230)+1,1),OverEnd,"&gt;="&amp;DATE(YEAR($AC230),MONTH($AC230),1))&gt;0,SUMIFS(OverValue,OverEmp,$C230,OverEarn,H$2,OverDate,"&lt;"&amp;DATE(YEAR($AC230),MONTH($AC230)+1,1),OverEnd,"&gt;="&amp;DATE(YEAR($AC230),MONTH($AC230),1)),0))</f>
        <v>0</v>
      </c>
      <c r="I230" s="133" cm="1">
        <f t="array" aca="1" ref="I230" ca="1">IF($F230&lt;&gt;"Active",0,IF(COUNTIFS(OverEmp,$C230,OverEarn,I$2,OverDate,"&lt;"&amp;DATE(YEAR($AC230),MONTH($AC230)+1,1),OverEnd,"&gt;="&amp;DATE(YEAR($AC230),MONTH($AC230),1))&gt;0,SUMIFS(OverValue,OverEmp,$C230,OverEarn,I$2,OverDate,"&lt;"&amp;DATE(YEAR($AC230),MONTH($AC230)+1,1),OverEnd,"&gt;="&amp;DATE(YEAR($AC230),MONTH($AC230),1)),IF(MONTH(B230)=Setup!$C$15,SUMIFS(EmpBonus,EmpCode,$C230),0)))</f>
        <v>0</v>
      </c>
      <c r="J230" s="133" cm="1">
        <f t="array" aca="1" ref="J230" ca="1">IF($F230&lt;&gt;"Active",0,IF(COUNTIFS(OverEmp,$C230,OverEarn,J$2,OverDate,"&lt;"&amp;DATE(YEAR($AC230),MONTH($AC230)+1,1),OverEnd,"&gt;="&amp;DATE(YEAR($AC230),MONTH($AC230),1))&gt;0,SUMIFS(OverValue,OverEmp,$C230,OverEarn,J$2,OverDate,"&lt;"&amp;DATE(YEAR($AC230),MONTH($AC230)+1,1),OverEnd,"&gt;="&amp;DATE(YEAR($AC230),MONTH($AC230),1)),0))</f>
        <v>0</v>
      </c>
      <c r="K230" s="133" cm="1">
        <f t="array" aca="1" ref="K230" ca="1">IF($F230&lt;&gt;"Active",0,IF(COUNTIFS(OverEmp,$C230,OverEarn,K$2,OverDate,"&lt;"&amp;DATE(YEAR($AC230),MONTH($AC230)+1,1),OverEnd,"&gt;="&amp;DATE(YEAR($AC230),MONTH($AC230),1))&gt;0,SUMIFS(OverValue,OverEmp,$C230,OverEarn,K$2,OverDate,"&lt;"&amp;DATE(YEAR($AC230),MONTH($AC230)+1,1),OverEnd,"&gt;="&amp;DATE(YEAR($AC230),MONTH($AC230),1)),0))</f>
        <v>0</v>
      </c>
      <c r="L230" s="185">
        <f t="shared" ca="1" si="135"/>
        <v>0</v>
      </c>
      <c r="M230" s="182" cm="1">
        <f t="array" aca="1" ref="M230" ca="1">IF(COUNTIFS(OverEmp,$C230,OverTax,M$5,OverDate,"&lt;"&amp;DATE(YEAR($AC230),MONTH($AC230)+1,1),OverEnd,"&gt;="&amp;DATE(YEAR($AC230),MONTH($AC230),1))&gt;0,SUMIFS(OverValue,OverEmp,$C230,OverTax,M$5,OverDate,"&lt;"&amp;DATE(YEAR($AC230),MONTH($AC230)+1,1),OverEnd,"&gt;="&amp;DATE(YEAR($AC230),MONTH($AC230),1)),(($BA230/12*$AA230)+(BB230*IF(1-$BC230=0,0,BD230/(1-$BC230))))-IF($F230="Terminated",0,SUMIFS(PayTaxDeduct,PayDate,"&lt;"&amp;$AC230,PayEmp,$C230)))</f>
        <v>0</v>
      </c>
      <c r="N230" s="133" cm="1">
        <f t="array" aca="1" ref="N230" ca="1">IF($F230="Terminated",0,IF($AA230=0,0,IF(ISNA(MATCH(N$5,DedListItem,0)),0,IF(COUNTIFS(OverEmp,$C230,OverDeduct,N$5,OverDate,"&lt;"&amp;DATE(YEAR($AC230),MONTH($AC230)+1,1),OverEnd,"&gt;="&amp;DATE(YEAR($AC230),MONTH($AC230),1))&gt;0,SUMIFS(OverValue,OverEmp,$C230,OverDeduct,N$5,OverDate,"&lt;"&amp;DATE(YEAR($AC230),MONTH($AC230)+1,1),OverEnd,"&gt;="&amp;DATE(YEAR($AC230),MONTH($AC230),1)),IF(OR(N$2="Fixed",N$2="Not Used"),(IF(COUNTIFS(EmpNo,$C230,OFFSET(Emp!$R$4,1,MATCH(N$5,DedListItem,0)-1,EmpCount,1),"&lt;&gt;")&gt;0,VLOOKUP($C230,EmpAll,COLUMN(Emp!$R$4)+MATCH(N$5,DedListItem,0)-1,0),OFFSET(Setup!$E$73,MATCH(N$5,DedListItem,0),0,1,1))*$AA230)-SUMIFS(OFFSET(N$6,1,0,PayCount,1),PayDate,"&lt;"&amp;$AC230,PayEmp,$C230),IF(ISNA(MATCH(N$2,EarnListItem,0))=FALSE,IF(OFFSET(Setup!$G$73,MATCH(N$5,DedListItem,0),0,1,1)="Taxable",SUMPRODUCT((PayEmp=$C230)*(PayDate&lt;=$AC230)*(PayEarnCode=N$2)*(PayEarnTax)*(PayEarnValues)),SUMPRODUCT((PayEmp=$C230)*(PayDate&lt;=$AC230)*(PayEarnCode=N$2)*(PayEarnValues)))*IF(COUNTIFS(EmpNo,$C230,OFFSET(Emp!$R$4,1,MATCH(N$5,DedListItem,0)-1,EmpCount,1),"&lt;&gt;")&gt;0,VLOOKUP($C230,EmpAll,COLUMN(Emp!$R$4)+MATCH(N$5,DedListItem,0)-1,0),OFFSET(Setup!$E$73,MATCH(N$5,DedListItem,0),0,1,1)),(MIN(IF(OFFSET(Setup!$G$73,MATCH(N$5,DedListItem,0),0,1,1)="Taxable",SUMPRODUCT((PayEmp=$C230)*(PayDate&lt;=$AC230)*(ISERROR(SEARCH(PayEarnCode,N$4)))*(PayEarnTax)*(PayEarnValues)),SUMPRODUCT((PayEmp=$C230)*(PayDate&lt;=$AC230)*(ISERROR(SEARCH(PayEarnCode,N$4)))*(PayEarnValues))),IF(ISNUMBER(N$3),N$3/12*$AA230,IgnoreMin)))*IF(COUNTIFS(EmpNo,$C230,OFFSET(Emp!$R$4,1,MATCH(N$5,DedListItem,0)-1,EmpCount,1),"&lt;&gt;")&gt;0,VLOOKUP($C230,EmpAll,COLUMN(Emp!$R$4)+MATCH(N$5,DedListItem,0)-1,0),OFFSET(Setup!$E$73,MATCH(N$5,DedListItem,0),0,1,1)))-SUMIFS(OFFSET(N$6,1,0,PayCount,1),PayDate,"&lt;"&amp;$AC230,PayEmp,$C230))))))</f>
        <v>0</v>
      </c>
      <c r="O230" s="133" cm="1">
        <f t="array" aca="1" ref="O230" ca="1">IF($F230="Terminated",0,IF($AA230=0,0,IF(ISNA(MATCH(O$5,DedListItem,0)),0,IF(COUNTIFS(OverEmp,$C230,OverDeduct,O$5,OverDate,"&lt;"&amp;DATE(YEAR($AC230),MONTH($AC230)+1,1),OverEnd,"&gt;="&amp;DATE(YEAR($AC230),MONTH($AC230),1))&gt;0,SUMIFS(OverValue,OverEmp,$C230,OverDeduct,O$5,OverDate,"&lt;"&amp;DATE(YEAR($AC230),MONTH($AC230)+1,1),OverEnd,"&gt;="&amp;DATE(YEAR($AC230),MONTH($AC230),1)),IF(OR(O$2="Fixed",O$2="Not Used"),(IF(COUNTIFS(EmpNo,$C230,OFFSET(Emp!$R$4,1,MATCH(O$5,DedListItem,0)-1,EmpCount,1),"&lt;&gt;")&gt;0,VLOOKUP($C230,EmpAll,COLUMN(Emp!$R$4)+MATCH(O$5,DedListItem,0)-1,0),OFFSET(Setup!$E$73,MATCH(O$5,DedListItem,0),0,1,1))*$AA230)-SUMIFS(OFFSET(O$6,1,0,PayCount,1),PayDate,"&lt;"&amp;$AC230,PayEmp,$C230),IF(ISNA(MATCH(O$2,EarnListItem,0))=FALSE,IF(OFFSET(Setup!$G$73,MATCH(O$5,DedListItem,0),0,1,1)="Taxable",SUMPRODUCT((PayEmp=$C230)*(PayDate&lt;=$AC230)*(PayEarnCode=O$2)*(PayEarnTax)*(PayEarnValues)),SUMPRODUCT((PayEmp=$C230)*(PayDate&lt;=$AC230)*(PayEarnCode=O$2)*(PayEarnValues)))*IF(COUNTIFS(EmpNo,$C230,OFFSET(Emp!$R$4,1,MATCH(O$5,DedListItem,0)-1,EmpCount,1),"&lt;&gt;")&gt;0,VLOOKUP($C230,EmpAll,COLUMN(Emp!$R$4)+MATCH(O$5,DedListItem,0)-1,0),OFFSET(Setup!$E$73,MATCH(O$5,DedListItem,0),0,1,1)),(MIN(IF(OFFSET(Setup!$G$73,MATCH(O$5,DedListItem,0),0,1,1)="Taxable",SUMPRODUCT((PayEmp=$C230)*(PayDate&lt;=$AC230)*(ISERROR(SEARCH(PayEarnCode,O$4)))*(PayEarnTax)*(PayEarnValues)),SUMPRODUCT((PayEmp=$C230)*(PayDate&lt;=$AC230)*(ISERROR(SEARCH(PayEarnCode,O$4)))*(PayEarnValues))),IF(ISNUMBER(O$3),O$3/12*$AA230,IgnoreMin)))*IF(COUNTIFS(EmpNo,$C230,OFFSET(Emp!$R$4,1,MATCH(O$5,DedListItem,0)-1,EmpCount,1),"&lt;&gt;")&gt;0,VLOOKUP($C230,EmpAll,COLUMN(Emp!$R$4)+MATCH(O$5,DedListItem,0)-1,0),OFFSET(Setup!$E$73,MATCH(O$5,DedListItem,0),0,1,1)))-SUMIFS(OFFSET(O$6,1,0,PayCount,1),PayDate,"&lt;"&amp;$AC230,PayEmp,$C230))))))</f>
        <v>0</v>
      </c>
      <c r="P230" s="133" cm="1">
        <f t="array" aca="1" ref="P230" ca="1">IF($F230="Terminated",0,IF($AA230=0,0,IF(ISNA(MATCH(P$5,DedListItem,0)),0,IF(COUNTIFS(OverEmp,$C230,OverDeduct,P$5,OverDate,"&lt;"&amp;DATE(YEAR($AC230),MONTH($AC230)+1,1),OverEnd,"&gt;="&amp;DATE(YEAR($AC230),MONTH($AC230),1))&gt;0,SUMIFS(OverValue,OverEmp,$C230,OverDeduct,P$5,OverDate,"&lt;"&amp;DATE(YEAR($AC230),MONTH($AC230)+1,1),OverEnd,"&gt;="&amp;DATE(YEAR($AC230),MONTH($AC230),1)),IF(OR(P$2="Fixed",P$2="Not Used"),(IF(COUNTIFS(EmpNo,$C230,OFFSET(Emp!$R$4,1,MATCH(P$5,DedListItem,0)-1,EmpCount,1),"&lt;&gt;")&gt;0,VLOOKUP($C230,EmpAll,COLUMN(Emp!$R$4)+MATCH(P$5,DedListItem,0)-1,0),OFFSET(Setup!$E$73,MATCH(P$5,DedListItem,0),0,1,1))*$AA230)-SUMIFS(OFFSET(P$6,1,0,PayCount,1),PayDate,"&lt;"&amp;$AC230,PayEmp,$C230),IF(ISNA(MATCH(P$2,EarnListItem,0))=FALSE,IF(OFFSET(Setup!$G$73,MATCH(P$5,DedListItem,0),0,1,1)="Taxable",SUMPRODUCT((PayEmp=$C230)*(PayDate&lt;=$AC230)*(PayEarnCode=P$2)*(PayEarnTax)*(PayEarnValues)),SUMPRODUCT((PayEmp=$C230)*(PayDate&lt;=$AC230)*(PayEarnCode=P$2)*(PayEarnValues)))*IF(COUNTIFS(EmpNo,$C230,OFFSET(Emp!$R$4,1,MATCH(P$5,DedListItem,0)-1,EmpCount,1),"&lt;&gt;")&gt;0,VLOOKUP($C230,EmpAll,COLUMN(Emp!$R$4)+MATCH(P$5,DedListItem,0)-1,0),OFFSET(Setup!$E$73,MATCH(P$5,DedListItem,0),0,1,1)),(MIN(IF(OFFSET(Setup!$G$73,MATCH(P$5,DedListItem,0),0,1,1)="Taxable",SUMPRODUCT((PayEmp=$C230)*(PayDate&lt;=$AC230)*(ISERROR(SEARCH(PayEarnCode,P$4)))*(PayEarnTax)*(PayEarnValues)),SUMPRODUCT((PayEmp=$C230)*(PayDate&lt;=$AC230)*(ISERROR(SEARCH(PayEarnCode,P$4)))*(PayEarnValues))),IF(ISNUMBER(P$3),P$3/12*$AA230,IgnoreMin)))*IF(COUNTIFS(EmpNo,$C230,OFFSET(Emp!$R$4,1,MATCH(P$5,DedListItem,0)-1,EmpCount,1),"&lt;&gt;")&gt;0,VLOOKUP($C230,EmpAll,COLUMN(Emp!$R$4)+MATCH(P$5,DedListItem,0)-1,0),OFFSET(Setup!$E$73,MATCH(P$5,DedListItem,0),0,1,1)))-SUMIFS(OFFSET(P$6,1,0,PayCount,1),PayDate,"&lt;"&amp;$AC230,PayEmp,$C230))))))</f>
        <v>0</v>
      </c>
      <c r="Q230" s="133" cm="1">
        <f t="array" aca="1" ref="Q230" ca="1">IF($F230="Terminated",0,IF($AA230=0,0,IF(ISNA(MATCH(Q$5,DedListItem,0)),0,IF(COUNTIFS(OverEmp,$C230,OverDeduct,Q$5,OverDate,"&lt;"&amp;DATE(YEAR($AC230),MONTH($AC230)+1,1),OverEnd,"&gt;="&amp;DATE(YEAR($AC230),MONTH($AC230),1))&gt;0,SUMIFS(OverValue,OverEmp,$C230,OverDeduct,Q$5,OverDate,"&lt;"&amp;DATE(YEAR($AC230),MONTH($AC230)+1,1),OverEnd,"&gt;="&amp;DATE(YEAR($AC230),MONTH($AC230),1)),IF(OR(Q$2="Fixed",Q$2="Not Used"),(IF(COUNTIFS(EmpNo,$C230,OFFSET(Emp!$R$4,1,MATCH(Q$5,DedListItem,0)-1,EmpCount,1),"&lt;&gt;")&gt;0,VLOOKUP($C230,EmpAll,COLUMN(Emp!$R$4)+MATCH(Q$5,DedListItem,0)-1,0),OFFSET(Setup!$E$73,MATCH(Q$5,DedListItem,0),0,1,1))*$AA230)-SUMIFS(OFFSET(Q$6,1,0,PayCount,1),PayDate,"&lt;"&amp;$AC230,PayEmp,$C230),IF(ISNA(MATCH(Q$2,EarnListItem,0))=FALSE,IF(OFFSET(Setup!$G$73,MATCH(Q$5,DedListItem,0),0,1,1)="Taxable",SUMPRODUCT((PayEmp=$C230)*(PayDate&lt;=$AC230)*(PayEarnCode=Q$2)*(PayEarnTax)*(PayEarnValues)),SUMPRODUCT((PayEmp=$C230)*(PayDate&lt;=$AC230)*(PayEarnCode=Q$2)*(PayEarnValues)))*IF(COUNTIFS(EmpNo,$C230,OFFSET(Emp!$R$4,1,MATCH(Q$5,DedListItem,0)-1,EmpCount,1),"&lt;&gt;")&gt;0,VLOOKUP($C230,EmpAll,COLUMN(Emp!$R$4)+MATCH(Q$5,DedListItem,0)-1,0),OFFSET(Setup!$E$73,MATCH(Q$5,DedListItem,0),0,1,1)),(MIN(IF(OFFSET(Setup!$G$73,MATCH(Q$5,DedListItem,0),0,1,1)="Taxable",SUMPRODUCT((PayEmp=$C230)*(PayDate&lt;=$AC230)*(ISERROR(SEARCH(PayEarnCode,Q$4)))*(PayEarnTax)*(PayEarnValues)),SUMPRODUCT((PayEmp=$C230)*(PayDate&lt;=$AC230)*(ISERROR(SEARCH(PayEarnCode,Q$4)))*(PayEarnValues))),IF(ISNUMBER(Q$3),Q$3/12*$AA230,IgnoreMin)))*IF(COUNTIFS(EmpNo,$C230,OFFSET(Emp!$R$4,1,MATCH(Q$5,DedListItem,0)-1,EmpCount,1),"&lt;&gt;")&gt;0,VLOOKUP($C230,EmpAll,COLUMN(Emp!$R$4)+MATCH(Q$5,DedListItem,0)-1,0),OFFSET(Setup!$E$73,MATCH(Q$5,DedListItem,0),0,1,1)))-SUMIFS(OFFSET(Q$6,1,0,PayCount,1),PayDate,"&lt;"&amp;$AC230,PayEmp,$C230))))))</f>
        <v>0</v>
      </c>
      <c r="R230" s="185">
        <f t="shared" ca="1" si="136"/>
        <v>0</v>
      </c>
      <c r="S230" s="139">
        <f t="shared" ca="1" si="137"/>
        <v>0</v>
      </c>
      <c r="T230" s="133" cm="1">
        <f t="array" aca="1" ref="T230" ca="1">IF($F230="Terminated",0,IF($AA230=0,0,IF(ISNA(MATCH(T$5,CompListItem,0)),0,IF(COUNTIFS(OverEmp,$C230,OverComp,T$5,OverDate,"&lt;"&amp;DATE(YEAR($AC230),MONTH($AC230)+1,1),OverEnd,"&gt;="&amp;DATE(YEAR($AC230),MONTH($AC230),1))&gt;0,SUMIFS(OverValue,OverEmp,$C230,OverComp,T$5,OverDate,"&lt;"&amp;DATE(YEAR($AC230),MONTH($AC230)+1,1),OverEnd,"&gt;="&amp;DATE(YEAR($AC230),MONTH($AC230),1)),IF(OR(T$2="Fixed",T$2="Not Used"),(OFFSET(Setup!$E$81,MATCH(T$5,CompListItem,0),0,1,1)*$AA230)-SUMIFS(OFFSET(T$6,1,0,PayCount,1),PayDate,"&lt;"&amp;$AC230,PayEmp,$C230),IF(ISNA(MATCH(T$2,DedListItem,0))=FALSE,(SUMPRODUCT((PayEmp=$C230)*(PayDate&lt;=$AC230)*(PayDedList=T$2)*(PayDedValues))*OFFSET(Setup!$E$81,MATCH(T$5,CompListItem,0),0,1,1))-SUMIFS(OFFSET(T$6,1,0,PayCount,1),PayDate,"&lt;"&amp;$AC230,PayEmp,$C230),(MIN(IF(OFFSET(Setup!$G$81,MATCH(T$5,CompListItem,0),0,1,1)="Taxable",SUMPRODUCT((PayEmp=$C230)*(PayDate&lt;=$AC230)*(ISERROR(SEARCH(PayEarnCode,T$4)))*(PayEarnTax)*(PayEarnValues)),SUMPRODUCT((PayEmp=$C230)*(PayDate&lt;=$AC230)*(ISERROR(SEARCH(PayEarnCode,T$4)))*(PayEarnValues))),IF(ISNUMBER(T$3),T$3/12*$AA230,IgnoreMin)))*OFFSET(Setup!$E$81,MATCH(T$5,CompListItem,0),0,1,1)-SUMIFS(OFFSET(T$6,1,0,PayCount,1),PayDate,"&lt;"&amp;$AC230,PayEmp,$C230)))))))</f>
        <v>0</v>
      </c>
      <c r="U230" s="133" cm="1">
        <f t="array" aca="1" ref="U230" ca="1">IF($F230="Terminated",0,IF($AA230=0,0,IF(ISNA(MATCH(U$5,CompListItem,0)),0,IF(COUNTIFS(OverEmp,$C230,OverComp,U$5,OverDate,"&lt;"&amp;DATE(YEAR($AC230),MONTH($AC230)+1,1),OverEnd,"&gt;="&amp;DATE(YEAR($AC230),MONTH($AC230),1))&gt;0,SUMIFS(OverValue,OverEmp,$C230,OverComp,U$5,OverDate,"&lt;"&amp;DATE(YEAR($AC230),MONTH($AC230)+1,1),OverEnd,"&gt;="&amp;DATE(YEAR($AC230),MONTH($AC230),1)),IF(OR(U$2="Fixed",U$2="Not Used"),(OFFSET(Setup!$E$81,MATCH(U$5,CompListItem,0),0,1,1)*$AA230)-SUMIFS(OFFSET(U$6,1,0,PayCount,1),PayDate,"&lt;"&amp;$AC230,PayEmp,$C230),IF(ISNA(MATCH(U$2,DedListItem,0))=FALSE,(SUMPRODUCT((PayEmp=$C230)*(PayDate&lt;=$AC230)*(PayDedList=U$2)*(PayDedValues))*OFFSET(Setup!$E$81,MATCH(U$5,CompListItem,0),0,1,1))-SUMIFS(OFFSET(U$6,1,0,PayCount,1),PayDate,"&lt;"&amp;$AC230,PayEmp,$C230),(MIN(IF(OFFSET(Setup!$G$81,MATCH(U$5,CompListItem,0),0,1,1)="Taxable",SUMPRODUCT((PayEmp=$C230)*(PayDate&lt;=$AC230)*(ISERROR(SEARCH(PayEarnCode,U$4)))*(PayEarnTax)*(PayEarnValues)),SUMPRODUCT((PayEmp=$C230)*(PayDate&lt;=$AC230)*(ISERROR(SEARCH(PayEarnCode,U$4)))*(PayEarnValues))),IF(ISNUMBER(U$3),U$3/12*$AA230,IgnoreMin)))*OFFSET(Setup!$E$81,MATCH(U$5,CompListItem,0),0,1,1)-SUMIFS(OFFSET(U$6,1,0,PayCount,1),PayDate,"&lt;"&amp;$AC230,PayEmp,$C230)))))))</f>
        <v>0</v>
      </c>
      <c r="V230" s="133" cm="1">
        <f t="array" aca="1" ref="V230" ca="1">IF($F230="Terminated",0,IF($AA230=0,0,IF(ISNA(MATCH(V$5,CompListItem,0)),0,IF(COUNTIFS(OverEmp,$C230,OverComp,V$5,OverDate,"&lt;"&amp;DATE(YEAR($AC230),MONTH($AC230)+1,1),OverEnd,"&gt;="&amp;DATE(YEAR($AC230),MONTH($AC230),1))&gt;0,SUMIFS(OverValue,OverEmp,$C230,OverComp,V$5,OverDate,"&lt;"&amp;DATE(YEAR($AC230),MONTH($AC230)+1,1),OverEnd,"&gt;="&amp;DATE(YEAR($AC230),MONTH($AC230),1)),IF(OR(V$2="Fixed",V$2="Not Used"),(OFFSET(Setup!$E$81,MATCH(V$5,CompListItem,0),0,1,1)*$AA230)-SUMIFS(OFFSET(V$6,1,0,PayCount,1),PayDate,"&lt;"&amp;$AC230,PayEmp,$C230),IF(ISNA(MATCH(V$2,DedListItem,0))=FALSE,(SUMPRODUCT((PayEmp=$C230)*(PayDate&lt;=$AC230)*(PayDedList=V$2)*(PayDedValues))*OFFSET(Setup!$E$81,MATCH(V$5,CompListItem,0),0,1,1))-SUMIFS(OFFSET(V$6,1,0,PayCount,1),PayDate,"&lt;"&amp;$AC230,PayEmp,$C230),(MIN(IF(OFFSET(Setup!$G$81,MATCH(V$5,CompListItem,0),0,1,1)="Taxable",SUMPRODUCT((PayEmp=$C230)*(PayDate&lt;=$AC230)*(ISERROR(SEARCH(PayEarnCode,V$4)))*(PayEarnTax)*(PayEarnValues)),SUMPRODUCT((PayEmp=$C230)*(PayDate&lt;=$AC230)*(ISERROR(SEARCH(PayEarnCode,V$4)))*(PayEarnValues))),IF(ISNUMBER(V$3),V$3/12*$AA230,IgnoreMin)))*OFFSET(Setup!$E$81,MATCH(V$5,CompListItem,0),0,1,1)-SUMIFS(OFFSET(V$6,1,0,PayCount,1),PayDate,"&lt;"&amp;$AC230,PayEmp,$C230)))))))</f>
        <v>0</v>
      </c>
      <c r="W230" s="133" cm="1">
        <f t="array" aca="1" ref="W230" ca="1">IF($F230="Terminated",0,IF($AA230=0,0,IF(ISNA(MATCH(W$5,CompListItem,0)),0,IF(COUNTIFS(OverEmp,$C230,OverComp,W$5,OverDate,"&lt;"&amp;DATE(YEAR($AC230),MONTH($AC230)+1,1),OverEnd,"&gt;="&amp;DATE(YEAR($AC230),MONTH($AC230),1))&gt;0,SUMIFS(OverValue,OverEmp,$C230,OverComp,W$5,OverDate,"&lt;"&amp;DATE(YEAR($AC230),MONTH($AC230)+1,1),OverEnd,"&gt;="&amp;DATE(YEAR($AC230),MONTH($AC230),1)),IF(OR(W$2="Fixed",W$2="Not Used"),(OFFSET(Setup!$E$81,MATCH(W$5,CompListItem,0),0,1,1)*$AA230)-SUMIFS(OFFSET(W$6,1,0,PayCount,1),PayDate,"&lt;"&amp;$AC230,PayEmp,$C230),IF(ISNA(MATCH(W$2,DedListItem,0))=FALSE,(SUMPRODUCT((PayEmp=$C230)*(PayDate&lt;=$AC230)*(PayDedList=W$2)*(PayDedValues))*OFFSET(Setup!$E$81,MATCH(W$5,CompListItem,0),0,1,1))-SUMIFS(OFFSET(W$6,1,0,PayCount,1),PayDate,"&lt;"&amp;$AC230,PayEmp,$C230),(MIN(IF(OFFSET(Setup!$G$81,MATCH(W$5,CompListItem,0),0,1,1)="Taxable",SUMPRODUCT((PayEmp=$C230)*(PayDate&lt;=$AC230)*(ISERROR(SEARCH(PayEarnCode,W$4)))*(PayEarnTax)*(PayEarnValues)),SUMPRODUCT((PayEmp=$C230)*(PayDate&lt;=$AC230)*(ISERROR(SEARCH(PayEarnCode,W$4)))*(PayEarnValues))),IF(ISNUMBER(W$3),W$3/12*$AA230,IgnoreMin)))*OFFSET(Setup!$E$81,MATCH(W$5,CompListItem,0),0,1,1)-SUMIFS(OFFSET(W$6,1,0,PayCount,1),PayDate,"&lt;"&amp;$AC230,PayEmp,$C230)))))))</f>
        <v>0</v>
      </c>
      <c r="X230" s="185">
        <f t="shared" ca="1" si="138"/>
        <v>0</v>
      </c>
      <c r="Y230" s="139">
        <f t="shared" ca="1" si="139"/>
        <v>0</v>
      </c>
      <c r="Z230" s="139">
        <f t="shared" ca="1" si="140"/>
        <v>0</v>
      </c>
      <c r="AA230" s="146">
        <f ca="1">IF(OR($B230&lt;=Setup!$E$12,$B230&gt;=Setup!$D$12+1),0,IF($F230&lt;&gt;"Active",0,IF($AE230="Yes",$AB230,((YEAR($AC230)*12)+MONTH($AC230))-((YEAR($AD230)*12)+MONTH($AD230)-1))))</f>
        <v>0</v>
      </c>
      <c r="AB230" s="146">
        <f ca="1">IF(OR($B230&lt;=Setup!$E$12,$B230&gt;=Setup!$D$12+1),0,((YEAR($AC230)*12)+MONTH($AC230))-((YEAR(Setup!$E$12)*12)+MONTH(Setup!$E$12)))</f>
        <v>12</v>
      </c>
      <c r="AC230" s="186">
        <f t="shared" ca="1" si="141"/>
        <v>45351</v>
      </c>
      <c r="AD230" s="144">
        <f ca="1">IF(ISNA(VLOOKUP($C230,EmpAll,COLUMN(Emp!$E$4),0)),$AC230,IF(VLOOKUP($C230,EmpAll,COLUMN(Emp!$E$4),0)&lt;=Setup!$E$12,DATE(YEAR(Setup!$E$12),MONTH(Setup!$E$12)+1,1),VLOOKUP($C230,EmpAll,COLUMN(Emp!$E$4),0)))</f>
        <v>45351</v>
      </c>
      <c r="AE230" s="144" t="str">
        <f ca="1">IF(ISNA(VLOOKUP($C230,EmpAll,COLUMN(Emp!$G$1),0)),"-",IF(VLOOKUP($C230,EmpAll,COLUMN(Emp!$G$1),0)=0,"-",VLOOKUP($C230,EmpAll,COLUMN(Emp!$G$1),0)))</f>
        <v>-</v>
      </c>
      <c r="AF230" s="145">
        <f>IF(A230=PaySlip!$G$3,1,0)</f>
        <v>0</v>
      </c>
      <c r="AG230" s="130" cm="1">
        <f t="array" aca="1" ref="AG230" ca="1">IF(COUNTIFS(OverEmp,$C230,OverMed,"MED",OverDate,"&lt;"&amp;DATE(YEAR($AC230),MONTH($AC230)+1,1),OverEnd,"&gt;="&amp;DATE(YEAR($AC230),MONTH($AC230),1))&gt;0,SUMIFS(OverValue,OverEmp,$C230,OverMed,"MED",OverDate,"&lt;"&amp;DATE(YEAR($AC230),MONTH($AC230)+1,1),OverEnd,"&gt;="&amp;DATE(YEAR($AC230),MONTH($AC230),1)),IF(ISNA(VLOOKUP($C230,EmpAll,COLUMN(Emp!$N$4),0)),0,VLOOKUP($C230,EmpAll,COLUMN(Emp!$N$4),0)))</f>
        <v>0</v>
      </c>
      <c r="AH230" s="146">
        <f ca="1">VLOOKUP($AG230,MedList,COLUMN(Setup!$C$49),1)</f>
        <v>0</v>
      </c>
      <c r="AI230" s="146">
        <f t="shared" ca="1" si="107"/>
        <v>0</v>
      </c>
      <c r="AJ230" s="101" t="str">
        <f ca="1">IF(ISNA(VLOOKUP($C230,EmpAll,COLUMN(Emp!$L$4),0)),"None!",VLOOKUP($C230,EmpAll,COLUMN(Emp!$L$4),0))</f>
        <v>None!</v>
      </c>
      <c r="AK230" s="147">
        <f t="shared" ca="1" si="102"/>
        <v>17235</v>
      </c>
      <c r="AL230" s="101" t="str">
        <f ca="1">IF(ISNA(VLOOKUP($C230,Employees[],COLUMN(Emp!$M$4),0))=TRUE,"Error!",IF(VLOOKUP($C230,Employees[],COLUMN(Emp!$M$4),0)=0,"Yes",VLOOKUP($C230,Employees[],COLUMN(Emp!$M$4),0)))</f>
        <v>Error!</v>
      </c>
      <c r="AM230" s="148">
        <f t="shared" ca="1" si="108"/>
        <v>0</v>
      </c>
      <c r="AN230" s="148" cm="1">
        <f t="array" aca="1" ref="AN230" ca="1">-IF($F230="Terminated",0,IF($AA230=0,0,IF(ISNA(MATCH(AN$5,PayDedList,0)),0,MIN(IF(COUNTIFS(OverEmp,$C230,OverDeduct,AN$5,OverDate,"&lt;"&amp;DATE(YEAR($AC230),MONTH($AC230)+1,1),OverEnd,"&gt;="&amp;DATE(YEAR($AC230),MONTH($AC230),1))&gt;0,SUMPRODUCT((PayEmp=$C230)*(PayDate&lt;=$AC230)*(OFFSET($N$6,1,MATCH(AN$5,PayDedList,0)-1,PayCount,1)))/$AA230*12*AN$3,IF(OR(AN$1="Fixed",AN$1="Not Used"),SUMPRODUCT((PayEmp=$C230)*(PayDate&lt;=$AC230)*(OFFSET($N$6,1,MATCH(AN$5,PayDedList,0)-1,PayCount,1)))/$AA230*12*AN$3,IF(ISNA(MATCH(AN$1,EarnListItem,0))=FALSE,SUMPRODUCT((PayEmp=$C230)*(PayDate&lt;=$AC230)*(OFFSET($N$6,1,MATCH(AN$5,PayDedList,0)-1,PayCount,1)))/$AA230*12*AN$3,(MIN(((SUMPRODUCT((PayEmp=$C230)*(PayDate&lt;=$AC230)*(ISERROR(SEARCH(PayEarnCode,AN$2)))*(PayEarnType="Monthly")*(PayEarnValues))/$AA230*12)+(SUMPRODUCT((PayEmp=$C230)*(PayDate&lt;=$AC230)*(ISERROR(SEARCH(PayEarnCode,AN$2)))*(PayEarnType="Quarterly")*(PayEarnValues))/MAX(1,ROUNDDOWN($AB230/3,0))*4)+(SUMPRODUCT((PayEmp=$C230)*(PayDate&lt;=$AC230)*(ISERROR(SEARCH(PayEarnCode,AN$2)))*(PayEarnType="Bi-Annual")*(PayEarnValues))/MAX(1,ROUNDDOWN($AB230/6,0))*2)+(SUMPRODUCT((PayEmp=$C230)*(PayDate&lt;=$AC230)*(ISERROR(SEARCH(PayEarnCode,AN$2)))*(PayEarnType="Annual")*(PayEarnValues)))),IF(ISNUMBER(OFFSET($N$3,0,MATCH(AN$5,PayDedList,0)-1,1,1)),OFFSET($N$3,0,MATCH(AN$5,PayDedList,0)-1,1,1),IgnoreMin)))*IF(COUNTIFS(EmpNo,$C230,OFFSET(Emp!$R$4,1,MATCH(AN$5,DedListItem,0)-1,EmpCount,1),"&lt;&gt;")&gt;0,VLOOKUP($C230,EmpAll,COLUMN(Emp!$R$4)+MATCH(AN$5,DedListItem,0)-1,0),OFFSET(Setup!$E$73,MATCH(AN$5,DedListItem,0),0,1,1))*AN$3))),IF(ISNUMBER(AN$4),AN$4,IgnoreMin)))))</f>
        <v>0</v>
      </c>
      <c r="AO230" s="148" cm="1">
        <f t="array" aca="1" ref="AO230" ca="1">-IF($F230="Terminated",0,IF($AA230=0,0,IF(ISNA(MATCH(AO$5,PayDedList,0)),0,MIN(IF(COUNTIFS(OverEmp,$C230,OverDeduct,AO$5,OverDate,"&lt;"&amp;DATE(YEAR($AC230),MONTH($AC230)+1,1),OverEnd,"&gt;="&amp;DATE(YEAR($AC230),MONTH($AC230),1))&gt;0,SUMPRODUCT((PayEmp=$C230)*(PayDate&lt;=$AC230)*(OFFSET($N$6,1,MATCH(AO$5,PayDedList,0)-1,PayCount,1)))/$AA230*12*AO$3,IF(OR(AO$1="Fixed",AO$1="Not Used"),SUMPRODUCT((PayEmp=$C230)*(PayDate&lt;=$AC230)*(OFFSET($N$6,1,MATCH(AO$5,PayDedList,0)-1,PayCount,1)))/$AA230*12*AO$3,IF(ISNA(MATCH(AO$1,EarnListItem,0))=FALSE,SUMPRODUCT((PayEmp=$C230)*(PayDate&lt;=$AC230)*(OFFSET($N$6,1,MATCH(AO$5,PayDedList,0)-1,PayCount,1)))/$AA230*12*AO$3,(MIN(((SUMPRODUCT((PayEmp=$C230)*(PayDate&lt;=$AC230)*(ISERROR(SEARCH(PayEarnCode,AO$2)))*(PayEarnType="Monthly")*(PayEarnValues))/$AA230*12)+(SUMPRODUCT((PayEmp=$C230)*(PayDate&lt;=$AC230)*(ISERROR(SEARCH(PayEarnCode,AO$2)))*(PayEarnType="Quarterly")*(PayEarnValues))/MAX(1,ROUNDDOWN($AB230/3,0))*4)+(SUMPRODUCT((PayEmp=$C230)*(PayDate&lt;=$AC230)*(ISERROR(SEARCH(PayEarnCode,AO$2)))*(PayEarnType="Bi-Annual")*(PayEarnValues))/MAX(1,ROUNDDOWN($AB230/6,0))*2)+(SUMPRODUCT((PayEmp=$C230)*(PayDate&lt;=$AC230)*(ISERROR(SEARCH(PayEarnCode,AO$2)))*(PayEarnType="Annual")*(PayEarnValues)))),IF(ISNUMBER(OFFSET($N$3,0,MATCH(AO$5,PayDedList,0)-1,1,1)),OFFSET($N$3,0,MATCH(AO$5,PayDedList,0)-1,1,1),IgnoreMin)))*IF(COUNTIFS(EmpNo,$C230,OFFSET(Emp!$R$4,1,MATCH(AO$5,DedListItem,0)-1,EmpCount,1),"&lt;&gt;")&gt;0,VLOOKUP($C230,EmpAll,COLUMN(Emp!$R$4)+MATCH(AO$5,DedListItem,0)-1,0),OFFSET(Setup!$E$73,MATCH(AO$5,DedListItem,0),0,1,1))*AO$3))),IF(ISNUMBER(AO$4),AO$4,IgnoreMin)))))</f>
        <v>0</v>
      </c>
      <c r="AP230" s="148" cm="1">
        <f t="array" aca="1" ref="AP230" ca="1">-IF($F230="Terminated",0,IF($AA230=0,0,IF(ISNA(MATCH(AP$5,PayDedList,0)),0,MIN(IF(COUNTIFS(OverEmp,$C230,OverDeduct,AP$5,OverDate,"&lt;"&amp;DATE(YEAR($AC230),MONTH($AC230)+1,1),OverEnd,"&gt;="&amp;DATE(YEAR($AC230),MONTH($AC230),1))&gt;0,SUMPRODUCT((PayEmp=$C230)*(PayDate&lt;=$AC230)*(OFFSET($N$6,1,MATCH(AP$5,PayDedList,0)-1,PayCount,1)))/$AA230*12*AP$3,IF(OR(AP$1="Fixed",AP$1="Not Used"),SUMPRODUCT((PayEmp=$C230)*(PayDate&lt;=$AC230)*(OFFSET($N$6,1,MATCH(AP$5,PayDedList,0)-1,PayCount,1)))/$AA230*12*AP$3,IF(ISNA(MATCH(AP$1,EarnListItem,0))=FALSE,SUMPRODUCT((PayEmp=$C230)*(PayDate&lt;=$AC230)*(OFFSET($N$6,1,MATCH(AP$5,PayDedList,0)-1,PayCount,1)))/$AA230*12*AP$3,(MIN(((SUMPRODUCT((PayEmp=$C230)*(PayDate&lt;=$AC230)*(ISERROR(SEARCH(PayEarnCode,AP$2)))*(PayEarnType="Monthly")*(PayEarnValues))/$AA230*12)+(SUMPRODUCT((PayEmp=$C230)*(PayDate&lt;=$AC230)*(ISERROR(SEARCH(PayEarnCode,AP$2)))*(PayEarnType="Quarterly")*(PayEarnValues))/MAX(1,ROUNDDOWN($AB230/3,0))*4)+(SUMPRODUCT((PayEmp=$C230)*(PayDate&lt;=$AC230)*(ISERROR(SEARCH(PayEarnCode,AP$2)))*(PayEarnType="Bi-Annual")*(PayEarnValues))/MAX(1,ROUNDDOWN($AB230/6,0))*2)+(SUMPRODUCT((PayEmp=$C230)*(PayDate&lt;=$AC230)*(ISERROR(SEARCH(PayEarnCode,AP$2)))*(PayEarnType="Annual")*(PayEarnValues)))),IF(ISNUMBER(OFFSET($N$3,0,MATCH(AP$5,PayDedList,0)-1,1,1)),OFFSET($N$3,0,MATCH(AP$5,PayDedList,0)-1,1,1),IgnoreMin)))*IF(COUNTIFS(EmpNo,$C230,OFFSET(Emp!$R$4,1,MATCH(AP$5,DedListItem,0)-1,EmpCount,1),"&lt;&gt;")&gt;0,VLOOKUP($C230,EmpAll,COLUMN(Emp!$R$4)+MATCH(AP$5,DedListItem,0)-1,0),OFFSET(Setup!$E$73,MATCH(AP$5,DedListItem,0),0,1,1))*AP$3))),IF(ISNUMBER(AP$4),AP$4,IgnoreMin)))))</f>
        <v>0</v>
      </c>
      <c r="AQ230" s="148" cm="1">
        <f t="array" aca="1" ref="AQ230" ca="1">-IF($F230="Terminated",0,IF($AA230=0,0,IF(ISNA(MATCH(AQ$5,PayDedList,0)),0,MIN(IF(COUNTIFS(OverEmp,$C230,OverDeduct,AQ$5,OverDate,"&lt;"&amp;DATE(YEAR($AC230),MONTH($AC230)+1,1),OverEnd,"&gt;="&amp;DATE(YEAR($AC230),MONTH($AC230),1))&gt;0,SUMPRODUCT((PayEmp=$C230)*(PayDate&lt;=$AC230)*(OFFSET($N$6,1,MATCH(AQ$5,PayDedList,0)-1,PayCount,1)))/$AA230*12*AQ$3,IF(OR(AQ$1="Fixed",AQ$1="Not Used"),SUMPRODUCT((PayEmp=$C230)*(PayDate&lt;=$AC230)*(OFFSET($N$6,1,MATCH(AQ$5,PayDedList,0)-1,PayCount,1)))/$AA230*12*AQ$3,IF(ISNA(MATCH(AQ$1,EarnListItem,0))=FALSE,SUMPRODUCT((PayEmp=$C230)*(PayDate&lt;=$AC230)*(OFFSET($N$6,1,MATCH(AQ$5,PayDedList,0)-1,PayCount,1)))/$AA230*12*AQ$3,(MIN(((SUMPRODUCT((PayEmp=$C230)*(PayDate&lt;=$AC230)*(ISERROR(SEARCH(PayEarnCode,AQ$2)))*(PayEarnType="Monthly")*(PayEarnValues))/$AA230*12)+(SUMPRODUCT((PayEmp=$C230)*(PayDate&lt;=$AC230)*(ISERROR(SEARCH(PayEarnCode,AQ$2)))*(PayEarnType="Quarterly")*(PayEarnValues))/MAX(1,ROUNDDOWN($AB230/3,0))*4)+(SUMPRODUCT((PayEmp=$C230)*(PayDate&lt;=$AC230)*(ISERROR(SEARCH(PayEarnCode,AQ$2)))*(PayEarnType="Bi-Annual")*(PayEarnValues))/MAX(1,ROUNDDOWN($AB230/6,0))*2)+(SUMPRODUCT((PayEmp=$C230)*(PayDate&lt;=$AC230)*(ISERROR(SEARCH(PayEarnCode,AQ$2)))*(PayEarnType="Annual")*(PayEarnValues)))),IF(ISNUMBER(OFFSET($N$3,0,MATCH(AQ$5,PayDedList,0)-1,1,1)),OFFSET($N$3,0,MATCH(AQ$5,PayDedList,0)-1,1,1),IgnoreMin)))*IF(COUNTIFS(EmpNo,$C230,OFFSET(Emp!$R$4,1,MATCH(AQ$5,DedListItem,0)-1,EmpCount,1),"&lt;&gt;")&gt;0,VLOOKUP($C230,EmpAll,COLUMN(Emp!$R$4)+MATCH(AQ$5,DedListItem,0)-1,0),OFFSET(Setup!$E$73,MATCH(AQ$5,DedListItem,0),0,1,1))*AQ$3))),IF(ISNUMBER(AQ$4),AQ$4,IgnoreMin)))))</f>
        <v>0</v>
      </c>
      <c r="AR230" s="148">
        <f t="shared" ca="1" si="142"/>
        <v>0</v>
      </c>
      <c r="AS230" s="148">
        <f t="shared" ca="1" si="109"/>
        <v>0</v>
      </c>
      <c r="AT230" s="148" cm="1">
        <f t="array" aca="1" ref="AT230" ca="1">-IF($F230="Terminated",0,IF($AA230=0,0,IF(ISNA(MATCH(AT$5,PayDedList,0)),0,MIN(IF(COUNTIFS(OverEmp,$C230,OverDeduct,AT$5,OverDate,"&lt;"&amp;DATE(YEAR($AC230),MONTH($AC230)+1,1),OverEnd,"&gt;="&amp;DATE(YEAR($AC230),MONTH($AC230),1))&gt;0,SUMPRODUCT((PayEmp=$C230)*(PayDate&lt;=$AC230)*(OFFSET($N$6,1,MATCH(AT$5,PayDedList,0)-1,PayCount,1)))/$AA230*12*AT$3,IF(OR(AT$1="Fixed",AT$1="Not Used"),SUMPRODUCT((PayEmp=$C230)*(PayDate&lt;=$AC230)*(OFFSET($N$6,1,MATCH(AT$5,PayDedList,0)-1,PayCount,1)))/$AA230*12*AT$3,IF(ISNA(MATCH(OFFSET($N$2,0,MATCH(AT$5,PayDedList,0)-1,1,1),EarnListItem,0))=FALSE,SUMPRODUCT((PayEmp=$C230)*(PayDate&lt;=$AC230)*(OFFSET($N$6,1,MATCH(AT$5,PayDedList,0)-1,PayCount,1)))/$AA230*12*AT$3,(MIN(SUMPRODUCT((PayEmp=$C230)*(PayDate&lt;=$AC230)*(ISERROR(SEARCH(PayEarnCode,AT$2)))*(PayEarnType="Monthly")*(PayEarnValues))/$AA230*12,IF(ISNUMBER(OFFSET($N$3,0,MATCH(AT$5,PayDedList,0)-1,1,1)),OFFSET($N$3,0,MATCH(AT$5,PayDedList,0)-1,1,1),IgnoreMin)))*IF(COUNTIFS(EmpNo,$C230,OFFSET(Emp!$R$4,1,MATCH(AT$5,DedListItem,0)-1,EmpCount,1),"&lt;&gt;")&gt;0,VLOOKUP($C230,EmpAll,COLUMN(Emp!$R$4)+MATCH(AT$5,DedListItem,0)-1,0),OFFSET(Setup!$E$73,MATCH(AT$5,DedListItem,0),0,1,1))*AT$3))),IF(ISNUMBER(AT$4),AT$4,IgnoreMin)))))</f>
        <v>0</v>
      </c>
      <c r="AU230" s="148" cm="1">
        <f t="array" aca="1" ref="AU230" ca="1">-IF($F230="Terminated",0,IF($AA230=0,0,IF(ISNA(MATCH(AU$5,PayDedList,0)),0,MIN(IF(COUNTIFS(OverEmp,$C230,OverDeduct,AU$5,OverDate,"&lt;"&amp;DATE(YEAR($AC230),MONTH($AC230)+1,1),OverEnd,"&gt;="&amp;DATE(YEAR($AC230),MONTH($AC230),1))&gt;0,SUMPRODUCT((PayEmp=$C230)*(PayDate&lt;=$AC230)*(OFFSET($N$6,1,MATCH(AU$5,PayDedList,0)-1,PayCount,1)))/$AA230*12*AU$3,IF(OR(AU$1="Fixed",AU$1="Not Used"),SUMPRODUCT((PayEmp=$C230)*(PayDate&lt;=$AC230)*(OFFSET($N$6,1,MATCH(AU$5,PayDedList,0)-1,PayCount,1)))/$AA230*12*AU$3,IF(ISNA(MATCH(OFFSET($N$2,0,MATCH(AU$5,PayDedList,0)-1,1,1),EarnListItem,0))=FALSE,SUMPRODUCT((PayEmp=$C230)*(PayDate&lt;=$AC230)*(OFFSET($N$6,1,MATCH(AU$5,PayDedList,0)-1,PayCount,1)))/$AA230*12*AU$3,(MIN(SUMPRODUCT((PayEmp=$C230)*(PayDate&lt;=$AC230)*(ISERROR(SEARCH(PayEarnCode,AU$2)))*(PayEarnType="Monthly")*(PayEarnValues))/$AA230*12,IF(ISNUMBER(OFFSET($N$3,0,MATCH(AU$5,PayDedList,0)-1,1,1)),OFFSET($N$3,0,MATCH(AU$5,PayDedList,0)-1,1,1),IgnoreMin)))*IF(COUNTIFS(EmpNo,$C230,OFFSET(Emp!$R$4,1,MATCH(AU$5,DedListItem,0)-1,EmpCount,1),"&lt;&gt;")&gt;0,VLOOKUP($C230,EmpAll,COLUMN(Emp!$R$4)+MATCH(AU$5,DedListItem,0)-1,0),OFFSET(Setup!$E$73,MATCH(AU$5,DedListItem,0),0,1,1))*AU$3))),IF(ISNUMBER(AU$4),AU$4,IgnoreMin)))))</f>
        <v>0</v>
      </c>
      <c r="AV230" s="148" cm="1">
        <f t="array" aca="1" ref="AV230" ca="1">-IF($F230="Terminated",0,IF($AA230=0,0,IF(ISNA(MATCH(AV$5,PayDedList,0)),0,MIN(IF(COUNTIFS(OverEmp,$C230,OverDeduct,AV$5,OverDate,"&lt;"&amp;DATE(YEAR($AC230),MONTH($AC230)+1,1),OverEnd,"&gt;="&amp;DATE(YEAR($AC230),MONTH($AC230),1))&gt;0,SUMPRODUCT((PayEmp=$C230)*(PayDate&lt;=$AC230)*(OFFSET($N$6,1,MATCH(AV$5,PayDedList,0)-1,PayCount,1)))/$AA230*12*AV$3,IF(OR(AV$1="Fixed",AV$1="Not Used"),SUMPRODUCT((PayEmp=$C230)*(PayDate&lt;=$AC230)*(OFFSET($N$6,1,MATCH(AV$5,PayDedList,0)-1,PayCount,1)))/$AA230*12*AV$3,IF(ISNA(MATCH(OFFSET($N$2,0,MATCH(AV$5,PayDedList,0)-1,1,1),EarnListItem,0))=FALSE,SUMPRODUCT((PayEmp=$C230)*(PayDate&lt;=$AC230)*(OFFSET($N$6,1,MATCH(AV$5,PayDedList,0)-1,PayCount,1)))/$AA230*12*AV$3,(MIN(SUMPRODUCT((PayEmp=$C230)*(PayDate&lt;=$AC230)*(ISERROR(SEARCH(PayEarnCode,AV$2)))*(PayEarnType="Monthly")*(PayEarnValues))/$AA230*12,IF(ISNUMBER(OFFSET($N$3,0,MATCH(AV$5,PayDedList,0)-1,1,1)),OFFSET($N$3,0,MATCH(AV$5,PayDedList,0)-1,1,1),IgnoreMin)))*IF(COUNTIFS(EmpNo,$C230,OFFSET(Emp!$R$4,1,MATCH(AV$5,DedListItem,0)-1,EmpCount,1),"&lt;&gt;")&gt;0,VLOOKUP($C230,EmpAll,COLUMN(Emp!$R$4)+MATCH(AV$5,DedListItem,0)-1,0),OFFSET(Setup!$E$73,MATCH(AV$5,DedListItem,0),0,1,1))*AV$3))),IF(ISNUMBER(AV$4),AV$4,IgnoreMin)))))</f>
        <v>0</v>
      </c>
      <c r="AW230" s="148" cm="1">
        <f t="array" aca="1" ref="AW230" ca="1">-IF($F230="Terminated",0,IF($AA230=0,0,IF(ISNA(MATCH(AW$5,PayDedList,0)),0,MIN(IF(COUNTIFS(OverEmp,$C230,OverDeduct,AW$5,OverDate,"&lt;"&amp;DATE(YEAR($AC230),MONTH($AC230)+1,1),OverEnd,"&gt;="&amp;DATE(YEAR($AC230),MONTH($AC230),1))&gt;0,SUMPRODUCT((PayEmp=$C230)*(PayDate&lt;=$AC230)*(OFFSET($N$6,1,MATCH(AW$5,PayDedList,0)-1,PayCount,1)))/$AA230*12*AW$3,IF(OR(AW$1="Fixed",AW$1="Not Used"),SUMPRODUCT((PayEmp=$C230)*(PayDate&lt;=$AC230)*(OFFSET($N$6,1,MATCH(AW$5,PayDedList,0)-1,PayCount,1)))/$AA230*12*AW$3,IF(ISNA(MATCH(OFFSET($N$2,0,MATCH(AW$5,PayDedList,0)-1,1,1),EarnListItem,0))=FALSE,SUMPRODUCT((PayEmp=$C230)*(PayDate&lt;=$AC230)*(OFFSET($N$6,1,MATCH(AW$5,PayDedList,0)-1,PayCount,1)))/$AA230*12*AW$3,(MIN(SUMPRODUCT((PayEmp=$C230)*(PayDate&lt;=$AC230)*(ISERROR(SEARCH(PayEarnCode,AW$2)))*(PayEarnType="Monthly")*(PayEarnValues))/$AA230*12,IF(ISNUMBER(OFFSET($N$3,0,MATCH(AW$5,PayDedList,0)-1,1,1)),OFFSET($N$3,0,MATCH(AW$5,PayDedList,0)-1,1,1),IgnoreMin)))*IF(COUNTIFS(EmpNo,$C230,OFFSET(Emp!$R$4,1,MATCH(AW$5,DedListItem,0)-1,EmpCount,1),"&lt;&gt;")&gt;0,VLOOKUP($C230,EmpAll,COLUMN(Emp!$R$4)+MATCH(AW$5,DedListItem,0)-1,0),OFFSET(Setup!$E$73,MATCH(AW$5,DedListItem,0),0,1,1))*AW$3))),IF(ISNUMBER(AW$4),AW$4,IgnoreMin)))))</f>
        <v>0</v>
      </c>
      <c r="AX230" s="148">
        <f t="shared" ca="1" si="143"/>
        <v>0</v>
      </c>
      <c r="AY230" s="148">
        <f t="shared" ca="1" si="144"/>
        <v>0</v>
      </c>
      <c r="AZ230" s="148">
        <f ca="1">IF(ISNUMBER($AL230),($AR230*$AL230)-$AI230-$AK230,MAX(0,IF($AL230="B",IF($AR230&lt;Setup!$C$32,($AR230*Setup!$D$32)-$AI230-$AK230,(($AR230-VLOOKUP($AR230,TaxAll2,1,1))*OFFSET(Setup!$D$32,MATCH($AR230,TaxBracket2,1),0,1,1))+OFFSET(Setup!$E$31,MATCH($AR230,TaxBracket2,1),0,1,1)-$AI230-$AK230),IF($AR230&lt;Setup!$C$21,($AR230*Setup!$D$21)-$AI230-$AK230,(($AR230-VLOOKUP($AR230,TaxAll1,1,1))*OFFSET(Setup!$D$21,MATCH($AR230,TaxBracket1,1),0,1,1))+OFFSET(Setup!$E$20,MATCH($AR230,TaxBracket1,1),0,1,1)-$AI230-$AK230))))</f>
        <v>0</v>
      </c>
      <c r="BA230" s="148">
        <f ca="1">IF(ISNUMBER($AL230),($AX230*$AL230)-$AI230-$AK230,MAX(0,IF($AL230="B",IF($AX230&lt;Setup!$C$32,($AX230*Setup!$D$32)-$AI230-$AK230,(($AX230-VLOOKUP($AX230,TaxAll2,1,1))*OFFSET(Setup!$D$32,MATCH($AX230,TaxBracket2,1),0,1,1))+OFFSET(Setup!$E$31,MATCH($AX230,TaxBracket2,1),0,1,1)-$AI230-$AK230),IF($AX230&lt;Setup!$C$21,($AX230*Setup!$D$21)-$AI230-$AK230,(($AX230-VLOOKUP($AX230,TaxAll1,1,1))*OFFSET(Setup!$D$21,MATCH($AX230,TaxBracket1,1),0,1,1))+OFFSET(Setup!$E$20,MATCH($AX230,TaxBracket1,1),0,1,1)-$AI230-$AK230))))</f>
        <v>0</v>
      </c>
      <c r="BB230" s="148">
        <f t="shared" ca="1" si="145"/>
        <v>0</v>
      </c>
      <c r="BC230" s="150">
        <f t="shared" ca="1" si="110"/>
        <v>0</v>
      </c>
      <c r="BD230" s="150">
        <f t="shared" ca="1" si="111"/>
        <v>0</v>
      </c>
      <c r="BE230" s="148">
        <f t="shared" ca="1" si="112"/>
        <v>0</v>
      </c>
    </row>
    <row r="231" spans="1:57" ht="16.149999999999999" customHeight="1" x14ac:dyDescent="0.25">
      <c r="A231" s="10" t="str" cm="1">
        <f t="array" ref="A231">IF(ROW($A231)-ROW($A$6)&gt;EmpCount*12,"-",TEXT($B231,"yyyy")&amp;TEXT($B231,"mm")&amp;"-"&amp;$C231)</f>
        <v>-</v>
      </c>
      <c r="B231" s="137" cm="1">
        <f t="array" aca="1" ref="B231" ca="1">IF(ROW($A231)-ROW($A$6)&gt;EmpCount*12,Setup!$D$12,DATE(YEAR(Setup!$F$12),MONTH(Setup!$F$12)+ROUNDDOWN((ROW($A231)-ROW($A$6)-1)/EmpCount,0),IF(Setup!$C$14&gt;DAY(DATE(YEAR(Setup!$F$12),MONTH(Setup!$F$12)+ROUNDDOWN((ROW($A231)-ROW($A$6)-1)/EmpCount,0)+1,0)),DAY(DATE(YEAR(Setup!$F$12),MONTH(Setup!$F$12)+ROUNDDOWN((ROW($A231)-ROW($A$6)-1)/EmpCount,0)+1,0)),Setup!$C$14)))</f>
        <v>45351</v>
      </c>
      <c r="C231" s="101" t="str" cm="1">
        <f t="array" aca="1" ref="C231" ca="1">IF(ROW($A231)-ROW($A$6)&gt;EmpCount*12,"-",OFFSET(Emp!$A$4,ROW($A231)-ROW($A$6)-IF(ROW($A231)-ROW($A$6)&gt;EmpCount,ROUNDDOWN((ROW($A231)-ROW($A$6)-1)/EmpCount,0)*EmpCount,0),0,1,1))</f>
        <v>-</v>
      </c>
      <c r="D231" s="10" t="str">
        <f ca="1">IF(ISNA(VLOOKUP($C231,EmpAll,COLUMN(Emp!$B$4),0)),"-",VLOOKUP($C231,EmpAll,COLUMN(Emp!$B$4),0))</f>
        <v>-</v>
      </c>
      <c r="E231" s="145" t="str">
        <f ca="1">IF(ISNA(VLOOKUP($C231,EmpAll,COLUMN(Emp!$C$4),0)),"-",VLOOKUP($C231,EmpAll,COLUMN(Emp!$C$4),0))</f>
        <v>-</v>
      </c>
      <c r="F231" s="101" t="str">
        <f ca="1">IF(ISNA(VLOOKUP($C231,EmpAll,COLUMN(Emp!$A$4),0)),"-",IF(AND(VLOOKUP($C231,EmpAll,COLUMN(Emp!$E$4),0)&lt;&gt;0,VLOOKUP($C231,EmpAll,COLUMN(Emp!$E$4),0)&gt;=DATE(YEAR($AC231),MONTH($AC231)+1,0)),"Inactive",IF(AND(VLOOKUP($C231,EmpAll,COLUMN(Emp!$F$4),0)&lt;&gt;0,VLOOKUP($C231,EmpAll,COLUMN(Emp!$F$4),0)&lt;=DATE(YEAR($AC231),MONTH($AC231),0)),"Terminated","Active")))</f>
        <v>-</v>
      </c>
      <c r="G231" s="133" cm="1">
        <f t="array" aca="1" ref="G231" ca="1">IF($F231&lt;&gt;"Active",0,IF(COUNTIFS(OverEmp,$C231,OverEarn,G$2,OverDate,"&lt;"&amp;DATE(YEAR($AC231),MONTH($AC231)+1,1),OverEnd,"&gt;="&amp;DATE(YEAR($AC231),MONTH($AC231),1))&gt;0,SUMIFS(OverValue,OverEmp,$C231,OverEarn,G$2,OverDate,"&lt;"&amp;DATE(YEAR($AC231),MONTH($AC231)+1,1),OverEnd,"&gt;="&amp;DATE(YEAR($AC231),MONTH($AC231),1)),IF(AND($AC231&gt;=Setup!$E$10,SUMIFS(EmpIncrease,EmpCode,$C231)&gt;0),SUMIFS(EmpIncrease,EmpCode,$C231),SUMIFS(EmpSalary,EmpCode,$C231))))</f>
        <v>0</v>
      </c>
      <c r="H231" s="133" cm="1">
        <f t="array" aca="1" ref="H231" ca="1">IF($F231&lt;&gt;"Active",0,IF(COUNTIFS(OverEmp,$C231,OverEarn,H$2,OverDate,"&lt;"&amp;DATE(YEAR($AC231),MONTH($AC231)+1,1),OverEnd,"&gt;="&amp;DATE(YEAR($AC231),MONTH($AC231),1))&gt;0,SUMIFS(OverValue,OverEmp,$C231,OverEarn,H$2,OverDate,"&lt;"&amp;DATE(YEAR($AC231),MONTH($AC231)+1,1),OverEnd,"&gt;="&amp;DATE(YEAR($AC231),MONTH($AC231),1)),0))</f>
        <v>0</v>
      </c>
      <c r="I231" s="133" cm="1">
        <f t="array" aca="1" ref="I231" ca="1">IF($F231&lt;&gt;"Active",0,IF(COUNTIFS(OverEmp,$C231,OverEarn,I$2,OverDate,"&lt;"&amp;DATE(YEAR($AC231),MONTH($AC231)+1,1),OverEnd,"&gt;="&amp;DATE(YEAR($AC231),MONTH($AC231),1))&gt;0,SUMIFS(OverValue,OverEmp,$C231,OverEarn,I$2,OverDate,"&lt;"&amp;DATE(YEAR($AC231),MONTH($AC231)+1,1),OverEnd,"&gt;="&amp;DATE(YEAR($AC231),MONTH($AC231),1)),IF(MONTH(B231)=Setup!$C$15,SUMIFS(EmpBonus,EmpCode,$C231),0)))</f>
        <v>0</v>
      </c>
      <c r="J231" s="133" cm="1">
        <f t="array" aca="1" ref="J231" ca="1">IF($F231&lt;&gt;"Active",0,IF(COUNTIFS(OverEmp,$C231,OverEarn,J$2,OverDate,"&lt;"&amp;DATE(YEAR($AC231),MONTH($AC231)+1,1),OverEnd,"&gt;="&amp;DATE(YEAR($AC231),MONTH($AC231),1))&gt;0,SUMIFS(OverValue,OverEmp,$C231,OverEarn,J$2,OverDate,"&lt;"&amp;DATE(YEAR($AC231),MONTH($AC231)+1,1),OverEnd,"&gt;="&amp;DATE(YEAR($AC231),MONTH($AC231),1)),0))</f>
        <v>0</v>
      </c>
      <c r="K231" s="133" cm="1">
        <f t="array" aca="1" ref="K231" ca="1">IF($F231&lt;&gt;"Active",0,IF(COUNTIFS(OverEmp,$C231,OverEarn,K$2,OverDate,"&lt;"&amp;DATE(YEAR($AC231),MONTH($AC231)+1,1),OverEnd,"&gt;="&amp;DATE(YEAR($AC231),MONTH($AC231),1))&gt;0,SUMIFS(OverValue,OverEmp,$C231,OverEarn,K$2,OverDate,"&lt;"&amp;DATE(YEAR($AC231),MONTH($AC231)+1,1),OverEnd,"&gt;="&amp;DATE(YEAR($AC231),MONTH($AC231),1)),0))</f>
        <v>0</v>
      </c>
      <c r="L231" s="185">
        <f t="shared" ca="1" si="135"/>
        <v>0</v>
      </c>
      <c r="M231" s="182" cm="1">
        <f t="array" aca="1" ref="M231" ca="1">IF(COUNTIFS(OverEmp,$C231,OverTax,M$5,OverDate,"&lt;"&amp;DATE(YEAR($AC231),MONTH($AC231)+1,1),OverEnd,"&gt;="&amp;DATE(YEAR($AC231),MONTH($AC231),1))&gt;0,SUMIFS(OverValue,OverEmp,$C231,OverTax,M$5,OverDate,"&lt;"&amp;DATE(YEAR($AC231),MONTH($AC231)+1,1),OverEnd,"&gt;="&amp;DATE(YEAR($AC231),MONTH($AC231),1)),(($BA231/12*$AA231)+(BB231*IF(1-$BC231=0,0,BD231/(1-$BC231))))-IF($F231="Terminated",0,SUMIFS(PayTaxDeduct,PayDate,"&lt;"&amp;$AC231,PayEmp,$C231)))</f>
        <v>0</v>
      </c>
      <c r="N231" s="133" cm="1">
        <f t="array" aca="1" ref="N231" ca="1">IF($F231="Terminated",0,IF($AA231=0,0,IF(ISNA(MATCH(N$5,DedListItem,0)),0,IF(COUNTIFS(OverEmp,$C231,OverDeduct,N$5,OverDate,"&lt;"&amp;DATE(YEAR($AC231),MONTH($AC231)+1,1),OverEnd,"&gt;="&amp;DATE(YEAR($AC231),MONTH($AC231),1))&gt;0,SUMIFS(OverValue,OverEmp,$C231,OverDeduct,N$5,OverDate,"&lt;"&amp;DATE(YEAR($AC231),MONTH($AC231)+1,1),OverEnd,"&gt;="&amp;DATE(YEAR($AC231),MONTH($AC231),1)),IF(OR(N$2="Fixed",N$2="Not Used"),(IF(COUNTIFS(EmpNo,$C231,OFFSET(Emp!$R$4,1,MATCH(N$5,DedListItem,0)-1,EmpCount,1),"&lt;&gt;")&gt;0,VLOOKUP($C231,EmpAll,COLUMN(Emp!$R$4)+MATCH(N$5,DedListItem,0)-1,0),OFFSET(Setup!$E$73,MATCH(N$5,DedListItem,0),0,1,1))*$AA231)-SUMIFS(OFFSET(N$6,1,0,PayCount,1),PayDate,"&lt;"&amp;$AC231,PayEmp,$C231),IF(ISNA(MATCH(N$2,EarnListItem,0))=FALSE,IF(OFFSET(Setup!$G$73,MATCH(N$5,DedListItem,0),0,1,1)="Taxable",SUMPRODUCT((PayEmp=$C231)*(PayDate&lt;=$AC231)*(PayEarnCode=N$2)*(PayEarnTax)*(PayEarnValues)),SUMPRODUCT((PayEmp=$C231)*(PayDate&lt;=$AC231)*(PayEarnCode=N$2)*(PayEarnValues)))*IF(COUNTIFS(EmpNo,$C231,OFFSET(Emp!$R$4,1,MATCH(N$5,DedListItem,0)-1,EmpCount,1),"&lt;&gt;")&gt;0,VLOOKUP($C231,EmpAll,COLUMN(Emp!$R$4)+MATCH(N$5,DedListItem,0)-1,0),OFFSET(Setup!$E$73,MATCH(N$5,DedListItem,0),0,1,1)),(MIN(IF(OFFSET(Setup!$G$73,MATCH(N$5,DedListItem,0),0,1,1)="Taxable",SUMPRODUCT((PayEmp=$C231)*(PayDate&lt;=$AC231)*(ISERROR(SEARCH(PayEarnCode,N$4)))*(PayEarnTax)*(PayEarnValues)),SUMPRODUCT((PayEmp=$C231)*(PayDate&lt;=$AC231)*(ISERROR(SEARCH(PayEarnCode,N$4)))*(PayEarnValues))),IF(ISNUMBER(N$3),N$3/12*$AA231,IgnoreMin)))*IF(COUNTIFS(EmpNo,$C231,OFFSET(Emp!$R$4,1,MATCH(N$5,DedListItem,0)-1,EmpCount,1),"&lt;&gt;")&gt;0,VLOOKUP($C231,EmpAll,COLUMN(Emp!$R$4)+MATCH(N$5,DedListItem,0)-1,0),OFFSET(Setup!$E$73,MATCH(N$5,DedListItem,0),0,1,1)))-SUMIFS(OFFSET(N$6,1,0,PayCount,1),PayDate,"&lt;"&amp;$AC231,PayEmp,$C231))))))</f>
        <v>0</v>
      </c>
      <c r="O231" s="133" cm="1">
        <f t="array" aca="1" ref="O231" ca="1">IF($F231="Terminated",0,IF($AA231=0,0,IF(ISNA(MATCH(O$5,DedListItem,0)),0,IF(COUNTIFS(OverEmp,$C231,OverDeduct,O$5,OverDate,"&lt;"&amp;DATE(YEAR($AC231),MONTH($AC231)+1,1),OverEnd,"&gt;="&amp;DATE(YEAR($AC231),MONTH($AC231),1))&gt;0,SUMIFS(OverValue,OverEmp,$C231,OverDeduct,O$5,OverDate,"&lt;"&amp;DATE(YEAR($AC231),MONTH($AC231)+1,1),OverEnd,"&gt;="&amp;DATE(YEAR($AC231),MONTH($AC231),1)),IF(OR(O$2="Fixed",O$2="Not Used"),(IF(COUNTIFS(EmpNo,$C231,OFFSET(Emp!$R$4,1,MATCH(O$5,DedListItem,0)-1,EmpCount,1),"&lt;&gt;")&gt;0,VLOOKUP($C231,EmpAll,COLUMN(Emp!$R$4)+MATCH(O$5,DedListItem,0)-1,0),OFFSET(Setup!$E$73,MATCH(O$5,DedListItem,0),0,1,1))*$AA231)-SUMIFS(OFFSET(O$6,1,0,PayCount,1),PayDate,"&lt;"&amp;$AC231,PayEmp,$C231),IF(ISNA(MATCH(O$2,EarnListItem,0))=FALSE,IF(OFFSET(Setup!$G$73,MATCH(O$5,DedListItem,0),0,1,1)="Taxable",SUMPRODUCT((PayEmp=$C231)*(PayDate&lt;=$AC231)*(PayEarnCode=O$2)*(PayEarnTax)*(PayEarnValues)),SUMPRODUCT((PayEmp=$C231)*(PayDate&lt;=$AC231)*(PayEarnCode=O$2)*(PayEarnValues)))*IF(COUNTIFS(EmpNo,$C231,OFFSET(Emp!$R$4,1,MATCH(O$5,DedListItem,0)-1,EmpCount,1),"&lt;&gt;")&gt;0,VLOOKUP($C231,EmpAll,COLUMN(Emp!$R$4)+MATCH(O$5,DedListItem,0)-1,0),OFFSET(Setup!$E$73,MATCH(O$5,DedListItem,0),0,1,1)),(MIN(IF(OFFSET(Setup!$G$73,MATCH(O$5,DedListItem,0),0,1,1)="Taxable",SUMPRODUCT((PayEmp=$C231)*(PayDate&lt;=$AC231)*(ISERROR(SEARCH(PayEarnCode,O$4)))*(PayEarnTax)*(PayEarnValues)),SUMPRODUCT((PayEmp=$C231)*(PayDate&lt;=$AC231)*(ISERROR(SEARCH(PayEarnCode,O$4)))*(PayEarnValues))),IF(ISNUMBER(O$3),O$3/12*$AA231,IgnoreMin)))*IF(COUNTIFS(EmpNo,$C231,OFFSET(Emp!$R$4,1,MATCH(O$5,DedListItem,0)-1,EmpCount,1),"&lt;&gt;")&gt;0,VLOOKUP($C231,EmpAll,COLUMN(Emp!$R$4)+MATCH(O$5,DedListItem,0)-1,0),OFFSET(Setup!$E$73,MATCH(O$5,DedListItem,0),0,1,1)))-SUMIFS(OFFSET(O$6,1,0,PayCount,1),PayDate,"&lt;"&amp;$AC231,PayEmp,$C231))))))</f>
        <v>0</v>
      </c>
      <c r="P231" s="133" cm="1">
        <f t="array" aca="1" ref="P231" ca="1">IF($F231="Terminated",0,IF($AA231=0,0,IF(ISNA(MATCH(P$5,DedListItem,0)),0,IF(COUNTIFS(OverEmp,$C231,OverDeduct,P$5,OverDate,"&lt;"&amp;DATE(YEAR($AC231),MONTH($AC231)+1,1),OverEnd,"&gt;="&amp;DATE(YEAR($AC231),MONTH($AC231),1))&gt;0,SUMIFS(OverValue,OverEmp,$C231,OverDeduct,P$5,OverDate,"&lt;"&amp;DATE(YEAR($AC231),MONTH($AC231)+1,1),OverEnd,"&gt;="&amp;DATE(YEAR($AC231),MONTH($AC231),1)),IF(OR(P$2="Fixed",P$2="Not Used"),(IF(COUNTIFS(EmpNo,$C231,OFFSET(Emp!$R$4,1,MATCH(P$5,DedListItem,0)-1,EmpCount,1),"&lt;&gt;")&gt;0,VLOOKUP($C231,EmpAll,COLUMN(Emp!$R$4)+MATCH(P$5,DedListItem,0)-1,0),OFFSET(Setup!$E$73,MATCH(P$5,DedListItem,0),0,1,1))*$AA231)-SUMIFS(OFFSET(P$6,1,0,PayCount,1),PayDate,"&lt;"&amp;$AC231,PayEmp,$C231),IF(ISNA(MATCH(P$2,EarnListItem,0))=FALSE,IF(OFFSET(Setup!$G$73,MATCH(P$5,DedListItem,0),0,1,1)="Taxable",SUMPRODUCT((PayEmp=$C231)*(PayDate&lt;=$AC231)*(PayEarnCode=P$2)*(PayEarnTax)*(PayEarnValues)),SUMPRODUCT((PayEmp=$C231)*(PayDate&lt;=$AC231)*(PayEarnCode=P$2)*(PayEarnValues)))*IF(COUNTIFS(EmpNo,$C231,OFFSET(Emp!$R$4,1,MATCH(P$5,DedListItem,0)-1,EmpCount,1),"&lt;&gt;")&gt;0,VLOOKUP($C231,EmpAll,COLUMN(Emp!$R$4)+MATCH(P$5,DedListItem,0)-1,0),OFFSET(Setup!$E$73,MATCH(P$5,DedListItem,0),0,1,1)),(MIN(IF(OFFSET(Setup!$G$73,MATCH(P$5,DedListItem,0),0,1,1)="Taxable",SUMPRODUCT((PayEmp=$C231)*(PayDate&lt;=$AC231)*(ISERROR(SEARCH(PayEarnCode,P$4)))*(PayEarnTax)*(PayEarnValues)),SUMPRODUCT((PayEmp=$C231)*(PayDate&lt;=$AC231)*(ISERROR(SEARCH(PayEarnCode,P$4)))*(PayEarnValues))),IF(ISNUMBER(P$3),P$3/12*$AA231,IgnoreMin)))*IF(COUNTIFS(EmpNo,$C231,OFFSET(Emp!$R$4,1,MATCH(P$5,DedListItem,0)-1,EmpCount,1),"&lt;&gt;")&gt;0,VLOOKUP($C231,EmpAll,COLUMN(Emp!$R$4)+MATCH(P$5,DedListItem,0)-1,0),OFFSET(Setup!$E$73,MATCH(P$5,DedListItem,0),0,1,1)))-SUMIFS(OFFSET(P$6,1,0,PayCount,1),PayDate,"&lt;"&amp;$AC231,PayEmp,$C231))))))</f>
        <v>0</v>
      </c>
      <c r="Q231" s="133" cm="1">
        <f t="array" aca="1" ref="Q231" ca="1">IF($F231="Terminated",0,IF($AA231=0,0,IF(ISNA(MATCH(Q$5,DedListItem,0)),0,IF(COUNTIFS(OverEmp,$C231,OverDeduct,Q$5,OverDate,"&lt;"&amp;DATE(YEAR($AC231),MONTH($AC231)+1,1),OverEnd,"&gt;="&amp;DATE(YEAR($AC231),MONTH($AC231),1))&gt;0,SUMIFS(OverValue,OverEmp,$C231,OverDeduct,Q$5,OverDate,"&lt;"&amp;DATE(YEAR($AC231),MONTH($AC231)+1,1),OverEnd,"&gt;="&amp;DATE(YEAR($AC231),MONTH($AC231),1)),IF(OR(Q$2="Fixed",Q$2="Not Used"),(IF(COUNTIFS(EmpNo,$C231,OFFSET(Emp!$R$4,1,MATCH(Q$5,DedListItem,0)-1,EmpCount,1),"&lt;&gt;")&gt;0,VLOOKUP($C231,EmpAll,COLUMN(Emp!$R$4)+MATCH(Q$5,DedListItem,0)-1,0),OFFSET(Setup!$E$73,MATCH(Q$5,DedListItem,0),0,1,1))*$AA231)-SUMIFS(OFFSET(Q$6,1,0,PayCount,1),PayDate,"&lt;"&amp;$AC231,PayEmp,$C231),IF(ISNA(MATCH(Q$2,EarnListItem,0))=FALSE,IF(OFFSET(Setup!$G$73,MATCH(Q$5,DedListItem,0),0,1,1)="Taxable",SUMPRODUCT((PayEmp=$C231)*(PayDate&lt;=$AC231)*(PayEarnCode=Q$2)*(PayEarnTax)*(PayEarnValues)),SUMPRODUCT((PayEmp=$C231)*(PayDate&lt;=$AC231)*(PayEarnCode=Q$2)*(PayEarnValues)))*IF(COUNTIFS(EmpNo,$C231,OFFSET(Emp!$R$4,1,MATCH(Q$5,DedListItem,0)-1,EmpCount,1),"&lt;&gt;")&gt;0,VLOOKUP($C231,EmpAll,COLUMN(Emp!$R$4)+MATCH(Q$5,DedListItem,0)-1,0),OFFSET(Setup!$E$73,MATCH(Q$5,DedListItem,0),0,1,1)),(MIN(IF(OFFSET(Setup!$G$73,MATCH(Q$5,DedListItem,0),0,1,1)="Taxable",SUMPRODUCT((PayEmp=$C231)*(PayDate&lt;=$AC231)*(ISERROR(SEARCH(PayEarnCode,Q$4)))*(PayEarnTax)*(PayEarnValues)),SUMPRODUCT((PayEmp=$C231)*(PayDate&lt;=$AC231)*(ISERROR(SEARCH(PayEarnCode,Q$4)))*(PayEarnValues))),IF(ISNUMBER(Q$3),Q$3/12*$AA231,IgnoreMin)))*IF(COUNTIFS(EmpNo,$C231,OFFSET(Emp!$R$4,1,MATCH(Q$5,DedListItem,0)-1,EmpCount,1),"&lt;&gt;")&gt;0,VLOOKUP($C231,EmpAll,COLUMN(Emp!$R$4)+MATCH(Q$5,DedListItem,0)-1,0),OFFSET(Setup!$E$73,MATCH(Q$5,DedListItem,0),0,1,1)))-SUMIFS(OFFSET(Q$6,1,0,PayCount,1),PayDate,"&lt;"&amp;$AC231,PayEmp,$C231))))))</f>
        <v>0</v>
      </c>
      <c r="R231" s="185">
        <f t="shared" ca="1" si="136"/>
        <v>0</v>
      </c>
      <c r="S231" s="139">
        <f t="shared" ca="1" si="137"/>
        <v>0</v>
      </c>
      <c r="T231" s="133" cm="1">
        <f t="array" aca="1" ref="T231" ca="1">IF($F231="Terminated",0,IF($AA231=0,0,IF(ISNA(MATCH(T$5,CompListItem,0)),0,IF(COUNTIFS(OverEmp,$C231,OverComp,T$5,OverDate,"&lt;"&amp;DATE(YEAR($AC231),MONTH($AC231)+1,1),OverEnd,"&gt;="&amp;DATE(YEAR($AC231),MONTH($AC231),1))&gt;0,SUMIFS(OverValue,OverEmp,$C231,OverComp,T$5,OverDate,"&lt;"&amp;DATE(YEAR($AC231),MONTH($AC231)+1,1),OverEnd,"&gt;="&amp;DATE(YEAR($AC231),MONTH($AC231),1)),IF(OR(T$2="Fixed",T$2="Not Used"),(OFFSET(Setup!$E$81,MATCH(T$5,CompListItem,0),0,1,1)*$AA231)-SUMIFS(OFFSET(T$6,1,0,PayCount,1),PayDate,"&lt;"&amp;$AC231,PayEmp,$C231),IF(ISNA(MATCH(T$2,DedListItem,0))=FALSE,(SUMPRODUCT((PayEmp=$C231)*(PayDate&lt;=$AC231)*(PayDedList=T$2)*(PayDedValues))*OFFSET(Setup!$E$81,MATCH(T$5,CompListItem,0),0,1,1))-SUMIFS(OFFSET(T$6,1,0,PayCount,1),PayDate,"&lt;"&amp;$AC231,PayEmp,$C231),(MIN(IF(OFFSET(Setup!$G$81,MATCH(T$5,CompListItem,0),0,1,1)="Taxable",SUMPRODUCT((PayEmp=$C231)*(PayDate&lt;=$AC231)*(ISERROR(SEARCH(PayEarnCode,T$4)))*(PayEarnTax)*(PayEarnValues)),SUMPRODUCT((PayEmp=$C231)*(PayDate&lt;=$AC231)*(ISERROR(SEARCH(PayEarnCode,T$4)))*(PayEarnValues))),IF(ISNUMBER(T$3),T$3/12*$AA231,IgnoreMin)))*OFFSET(Setup!$E$81,MATCH(T$5,CompListItem,0),0,1,1)-SUMIFS(OFFSET(T$6,1,0,PayCount,1),PayDate,"&lt;"&amp;$AC231,PayEmp,$C231)))))))</f>
        <v>0</v>
      </c>
      <c r="U231" s="133" cm="1">
        <f t="array" aca="1" ref="U231" ca="1">IF($F231="Terminated",0,IF($AA231=0,0,IF(ISNA(MATCH(U$5,CompListItem,0)),0,IF(COUNTIFS(OverEmp,$C231,OverComp,U$5,OverDate,"&lt;"&amp;DATE(YEAR($AC231),MONTH($AC231)+1,1),OverEnd,"&gt;="&amp;DATE(YEAR($AC231),MONTH($AC231),1))&gt;0,SUMIFS(OverValue,OverEmp,$C231,OverComp,U$5,OverDate,"&lt;"&amp;DATE(YEAR($AC231),MONTH($AC231)+1,1),OverEnd,"&gt;="&amp;DATE(YEAR($AC231),MONTH($AC231),1)),IF(OR(U$2="Fixed",U$2="Not Used"),(OFFSET(Setup!$E$81,MATCH(U$5,CompListItem,0),0,1,1)*$AA231)-SUMIFS(OFFSET(U$6,1,0,PayCount,1),PayDate,"&lt;"&amp;$AC231,PayEmp,$C231),IF(ISNA(MATCH(U$2,DedListItem,0))=FALSE,(SUMPRODUCT((PayEmp=$C231)*(PayDate&lt;=$AC231)*(PayDedList=U$2)*(PayDedValues))*OFFSET(Setup!$E$81,MATCH(U$5,CompListItem,0),0,1,1))-SUMIFS(OFFSET(U$6,1,0,PayCount,1),PayDate,"&lt;"&amp;$AC231,PayEmp,$C231),(MIN(IF(OFFSET(Setup!$G$81,MATCH(U$5,CompListItem,0),0,1,1)="Taxable",SUMPRODUCT((PayEmp=$C231)*(PayDate&lt;=$AC231)*(ISERROR(SEARCH(PayEarnCode,U$4)))*(PayEarnTax)*(PayEarnValues)),SUMPRODUCT((PayEmp=$C231)*(PayDate&lt;=$AC231)*(ISERROR(SEARCH(PayEarnCode,U$4)))*(PayEarnValues))),IF(ISNUMBER(U$3),U$3/12*$AA231,IgnoreMin)))*OFFSET(Setup!$E$81,MATCH(U$5,CompListItem,0),0,1,1)-SUMIFS(OFFSET(U$6,1,0,PayCount,1),PayDate,"&lt;"&amp;$AC231,PayEmp,$C231)))))))</f>
        <v>0</v>
      </c>
      <c r="V231" s="133" cm="1">
        <f t="array" aca="1" ref="V231" ca="1">IF($F231="Terminated",0,IF($AA231=0,0,IF(ISNA(MATCH(V$5,CompListItem,0)),0,IF(COUNTIFS(OverEmp,$C231,OverComp,V$5,OverDate,"&lt;"&amp;DATE(YEAR($AC231),MONTH($AC231)+1,1),OverEnd,"&gt;="&amp;DATE(YEAR($AC231),MONTH($AC231),1))&gt;0,SUMIFS(OverValue,OverEmp,$C231,OverComp,V$5,OverDate,"&lt;"&amp;DATE(YEAR($AC231),MONTH($AC231)+1,1),OverEnd,"&gt;="&amp;DATE(YEAR($AC231),MONTH($AC231),1)),IF(OR(V$2="Fixed",V$2="Not Used"),(OFFSET(Setup!$E$81,MATCH(V$5,CompListItem,0),0,1,1)*$AA231)-SUMIFS(OFFSET(V$6,1,0,PayCount,1),PayDate,"&lt;"&amp;$AC231,PayEmp,$C231),IF(ISNA(MATCH(V$2,DedListItem,0))=FALSE,(SUMPRODUCT((PayEmp=$C231)*(PayDate&lt;=$AC231)*(PayDedList=V$2)*(PayDedValues))*OFFSET(Setup!$E$81,MATCH(V$5,CompListItem,0),0,1,1))-SUMIFS(OFFSET(V$6,1,0,PayCount,1),PayDate,"&lt;"&amp;$AC231,PayEmp,$C231),(MIN(IF(OFFSET(Setup!$G$81,MATCH(V$5,CompListItem,0),0,1,1)="Taxable",SUMPRODUCT((PayEmp=$C231)*(PayDate&lt;=$AC231)*(ISERROR(SEARCH(PayEarnCode,V$4)))*(PayEarnTax)*(PayEarnValues)),SUMPRODUCT((PayEmp=$C231)*(PayDate&lt;=$AC231)*(ISERROR(SEARCH(PayEarnCode,V$4)))*(PayEarnValues))),IF(ISNUMBER(V$3),V$3/12*$AA231,IgnoreMin)))*OFFSET(Setup!$E$81,MATCH(V$5,CompListItem,0),0,1,1)-SUMIFS(OFFSET(V$6,1,0,PayCount,1),PayDate,"&lt;"&amp;$AC231,PayEmp,$C231)))))))</f>
        <v>0</v>
      </c>
      <c r="W231" s="133" cm="1">
        <f t="array" aca="1" ref="W231" ca="1">IF($F231="Terminated",0,IF($AA231=0,0,IF(ISNA(MATCH(W$5,CompListItem,0)),0,IF(COUNTIFS(OverEmp,$C231,OverComp,W$5,OverDate,"&lt;"&amp;DATE(YEAR($AC231),MONTH($AC231)+1,1),OverEnd,"&gt;="&amp;DATE(YEAR($AC231),MONTH($AC231),1))&gt;0,SUMIFS(OverValue,OverEmp,$C231,OverComp,W$5,OverDate,"&lt;"&amp;DATE(YEAR($AC231),MONTH($AC231)+1,1),OverEnd,"&gt;="&amp;DATE(YEAR($AC231),MONTH($AC231),1)),IF(OR(W$2="Fixed",W$2="Not Used"),(OFFSET(Setup!$E$81,MATCH(W$5,CompListItem,0),0,1,1)*$AA231)-SUMIFS(OFFSET(W$6,1,0,PayCount,1),PayDate,"&lt;"&amp;$AC231,PayEmp,$C231),IF(ISNA(MATCH(W$2,DedListItem,0))=FALSE,(SUMPRODUCT((PayEmp=$C231)*(PayDate&lt;=$AC231)*(PayDedList=W$2)*(PayDedValues))*OFFSET(Setup!$E$81,MATCH(W$5,CompListItem,0),0,1,1))-SUMIFS(OFFSET(W$6,1,0,PayCount,1),PayDate,"&lt;"&amp;$AC231,PayEmp,$C231),(MIN(IF(OFFSET(Setup!$G$81,MATCH(W$5,CompListItem,0),0,1,1)="Taxable",SUMPRODUCT((PayEmp=$C231)*(PayDate&lt;=$AC231)*(ISERROR(SEARCH(PayEarnCode,W$4)))*(PayEarnTax)*(PayEarnValues)),SUMPRODUCT((PayEmp=$C231)*(PayDate&lt;=$AC231)*(ISERROR(SEARCH(PayEarnCode,W$4)))*(PayEarnValues))),IF(ISNUMBER(W$3),W$3/12*$AA231,IgnoreMin)))*OFFSET(Setup!$E$81,MATCH(W$5,CompListItem,0),0,1,1)-SUMIFS(OFFSET(W$6,1,0,PayCount,1),PayDate,"&lt;"&amp;$AC231,PayEmp,$C231)))))))</f>
        <v>0</v>
      </c>
      <c r="X231" s="185">
        <f t="shared" ca="1" si="138"/>
        <v>0</v>
      </c>
      <c r="Y231" s="139">
        <f t="shared" ca="1" si="139"/>
        <v>0</v>
      </c>
      <c r="Z231" s="139">
        <f t="shared" ca="1" si="140"/>
        <v>0</v>
      </c>
      <c r="AA231" s="146">
        <f ca="1">IF(OR($B231&lt;=Setup!$E$12,$B231&gt;=Setup!$D$12+1),0,IF($F231&lt;&gt;"Active",0,IF($AE231="Yes",$AB231,((YEAR($AC231)*12)+MONTH($AC231))-((YEAR($AD231)*12)+MONTH($AD231)-1))))</f>
        <v>0</v>
      </c>
      <c r="AB231" s="146">
        <f ca="1">IF(OR($B231&lt;=Setup!$E$12,$B231&gt;=Setup!$D$12+1),0,((YEAR($AC231)*12)+MONTH($AC231))-((YEAR(Setup!$E$12)*12)+MONTH(Setup!$E$12)))</f>
        <v>12</v>
      </c>
      <c r="AC231" s="186">
        <f t="shared" ca="1" si="141"/>
        <v>45351</v>
      </c>
      <c r="AD231" s="144">
        <f ca="1">IF(ISNA(VLOOKUP($C231,EmpAll,COLUMN(Emp!$E$4),0)),$AC231,IF(VLOOKUP($C231,EmpAll,COLUMN(Emp!$E$4),0)&lt;=Setup!$E$12,DATE(YEAR(Setup!$E$12),MONTH(Setup!$E$12)+1,1),VLOOKUP($C231,EmpAll,COLUMN(Emp!$E$4),0)))</f>
        <v>45351</v>
      </c>
      <c r="AE231" s="144" t="str">
        <f ca="1">IF(ISNA(VLOOKUP($C231,EmpAll,COLUMN(Emp!$G$1),0)),"-",IF(VLOOKUP($C231,EmpAll,COLUMN(Emp!$G$1),0)=0,"-",VLOOKUP($C231,EmpAll,COLUMN(Emp!$G$1),0)))</f>
        <v>-</v>
      </c>
      <c r="AF231" s="145">
        <f>IF(A231=PaySlip!$G$3,1,0)</f>
        <v>0</v>
      </c>
      <c r="AG231" s="130" cm="1">
        <f t="array" aca="1" ref="AG231" ca="1">IF(COUNTIFS(OverEmp,$C231,OverMed,"MED",OverDate,"&lt;"&amp;DATE(YEAR($AC231),MONTH($AC231)+1,1),OverEnd,"&gt;="&amp;DATE(YEAR($AC231),MONTH($AC231),1))&gt;0,SUMIFS(OverValue,OverEmp,$C231,OverMed,"MED",OverDate,"&lt;"&amp;DATE(YEAR($AC231),MONTH($AC231)+1,1),OverEnd,"&gt;="&amp;DATE(YEAR($AC231),MONTH($AC231),1)),IF(ISNA(VLOOKUP($C231,EmpAll,COLUMN(Emp!$N$4),0)),0,VLOOKUP($C231,EmpAll,COLUMN(Emp!$N$4),0)))</f>
        <v>0</v>
      </c>
      <c r="AH231" s="146">
        <f ca="1">VLOOKUP($AG231,MedList,COLUMN(Setup!$C$49),1)</f>
        <v>0</v>
      </c>
      <c r="AI231" s="146">
        <f t="shared" ca="1" si="107"/>
        <v>0</v>
      </c>
      <c r="AJ231" s="101" t="str">
        <f ca="1">IF(ISNA(VLOOKUP($C231,EmpAll,COLUMN(Emp!$L$4),0)),"None!",VLOOKUP($C231,EmpAll,COLUMN(Emp!$L$4),0))</f>
        <v>None!</v>
      </c>
      <c r="AK231" s="147">
        <f t="shared" ca="1" si="102"/>
        <v>17235</v>
      </c>
      <c r="AL231" s="101" t="str">
        <f ca="1">IF(ISNA(VLOOKUP($C231,Employees[],COLUMN(Emp!$M$4),0))=TRUE,"Error!",IF(VLOOKUP($C231,Employees[],COLUMN(Emp!$M$4),0)=0,"Yes",VLOOKUP($C231,Employees[],COLUMN(Emp!$M$4),0)))</f>
        <v>Error!</v>
      </c>
      <c r="AM231" s="148">
        <f t="shared" ca="1" si="108"/>
        <v>0</v>
      </c>
      <c r="AN231" s="148" cm="1">
        <f t="array" aca="1" ref="AN231" ca="1">-IF($F231="Terminated",0,IF($AA231=0,0,IF(ISNA(MATCH(AN$5,PayDedList,0)),0,MIN(IF(COUNTIFS(OverEmp,$C231,OverDeduct,AN$5,OverDate,"&lt;"&amp;DATE(YEAR($AC231),MONTH($AC231)+1,1),OverEnd,"&gt;="&amp;DATE(YEAR($AC231),MONTH($AC231),1))&gt;0,SUMPRODUCT((PayEmp=$C231)*(PayDate&lt;=$AC231)*(OFFSET($N$6,1,MATCH(AN$5,PayDedList,0)-1,PayCount,1)))/$AA231*12*AN$3,IF(OR(AN$1="Fixed",AN$1="Not Used"),SUMPRODUCT((PayEmp=$C231)*(PayDate&lt;=$AC231)*(OFFSET($N$6,1,MATCH(AN$5,PayDedList,0)-1,PayCount,1)))/$AA231*12*AN$3,IF(ISNA(MATCH(AN$1,EarnListItem,0))=FALSE,SUMPRODUCT((PayEmp=$C231)*(PayDate&lt;=$AC231)*(OFFSET($N$6,1,MATCH(AN$5,PayDedList,0)-1,PayCount,1)))/$AA231*12*AN$3,(MIN(((SUMPRODUCT((PayEmp=$C231)*(PayDate&lt;=$AC231)*(ISERROR(SEARCH(PayEarnCode,AN$2)))*(PayEarnType="Monthly")*(PayEarnValues))/$AA231*12)+(SUMPRODUCT((PayEmp=$C231)*(PayDate&lt;=$AC231)*(ISERROR(SEARCH(PayEarnCode,AN$2)))*(PayEarnType="Quarterly")*(PayEarnValues))/MAX(1,ROUNDDOWN($AB231/3,0))*4)+(SUMPRODUCT((PayEmp=$C231)*(PayDate&lt;=$AC231)*(ISERROR(SEARCH(PayEarnCode,AN$2)))*(PayEarnType="Bi-Annual")*(PayEarnValues))/MAX(1,ROUNDDOWN($AB231/6,0))*2)+(SUMPRODUCT((PayEmp=$C231)*(PayDate&lt;=$AC231)*(ISERROR(SEARCH(PayEarnCode,AN$2)))*(PayEarnType="Annual")*(PayEarnValues)))),IF(ISNUMBER(OFFSET($N$3,0,MATCH(AN$5,PayDedList,0)-1,1,1)),OFFSET($N$3,0,MATCH(AN$5,PayDedList,0)-1,1,1),IgnoreMin)))*IF(COUNTIFS(EmpNo,$C231,OFFSET(Emp!$R$4,1,MATCH(AN$5,DedListItem,0)-1,EmpCount,1),"&lt;&gt;")&gt;0,VLOOKUP($C231,EmpAll,COLUMN(Emp!$R$4)+MATCH(AN$5,DedListItem,0)-1,0),OFFSET(Setup!$E$73,MATCH(AN$5,DedListItem,0),0,1,1))*AN$3))),IF(ISNUMBER(AN$4),AN$4,IgnoreMin)))))</f>
        <v>0</v>
      </c>
      <c r="AO231" s="148" cm="1">
        <f t="array" aca="1" ref="AO231" ca="1">-IF($F231="Terminated",0,IF($AA231=0,0,IF(ISNA(MATCH(AO$5,PayDedList,0)),0,MIN(IF(COUNTIFS(OverEmp,$C231,OverDeduct,AO$5,OverDate,"&lt;"&amp;DATE(YEAR($AC231),MONTH($AC231)+1,1),OverEnd,"&gt;="&amp;DATE(YEAR($AC231),MONTH($AC231),1))&gt;0,SUMPRODUCT((PayEmp=$C231)*(PayDate&lt;=$AC231)*(OFFSET($N$6,1,MATCH(AO$5,PayDedList,0)-1,PayCount,1)))/$AA231*12*AO$3,IF(OR(AO$1="Fixed",AO$1="Not Used"),SUMPRODUCT((PayEmp=$C231)*(PayDate&lt;=$AC231)*(OFFSET($N$6,1,MATCH(AO$5,PayDedList,0)-1,PayCount,1)))/$AA231*12*AO$3,IF(ISNA(MATCH(AO$1,EarnListItem,0))=FALSE,SUMPRODUCT((PayEmp=$C231)*(PayDate&lt;=$AC231)*(OFFSET($N$6,1,MATCH(AO$5,PayDedList,0)-1,PayCount,1)))/$AA231*12*AO$3,(MIN(((SUMPRODUCT((PayEmp=$C231)*(PayDate&lt;=$AC231)*(ISERROR(SEARCH(PayEarnCode,AO$2)))*(PayEarnType="Monthly")*(PayEarnValues))/$AA231*12)+(SUMPRODUCT((PayEmp=$C231)*(PayDate&lt;=$AC231)*(ISERROR(SEARCH(PayEarnCode,AO$2)))*(PayEarnType="Quarterly")*(PayEarnValues))/MAX(1,ROUNDDOWN($AB231/3,0))*4)+(SUMPRODUCT((PayEmp=$C231)*(PayDate&lt;=$AC231)*(ISERROR(SEARCH(PayEarnCode,AO$2)))*(PayEarnType="Bi-Annual")*(PayEarnValues))/MAX(1,ROUNDDOWN($AB231/6,0))*2)+(SUMPRODUCT((PayEmp=$C231)*(PayDate&lt;=$AC231)*(ISERROR(SEARCH(PayEarnCode,AO$2)))*(PayEarnType="Annual")*(PayEarnValues)))),IF(ISNUMBER(OFFSET($N$3,0,MATCH(AO$5,PayDedList,0)-1,1,1)),OFFSET($N$3,0,MATCH(AO$5,PayDedList,0)-1,1,1),IgnoreMin)))*IF(COUNTIFS(EmpNo,$C231,OFFSET(Emp!$R$4,1,MATCH(AO$5,DedListItem,0)-1,EmpCount,1),"&lt;&gt;")&gt;0,VLOOKUP($C231,EmpAll,COLUMN(Emp!$R$4)+MATCH(AO$5,DedListItem,0)-1,0),OFFSET(Setup!$E$73,MATCH(AO$5,DedListItem,0),0,1,1))*AO$3))),IF(ISNUMBER(AO$4),AO$4,IgnoreMin)))))</f>
        <v>0</v>
      </c>
      <c r="AP231" s="148" cm="1">
        <f t="array" aca="1" ref="AP231" ca="1">-IF($F231="Terminated",0,IF($AA231=0,0,IF(ISNA(MATCH(AP$5,PayDedList,0)),0,MIN(IF(COUNTIFS(OverEmp,$C231,OverDeduct,AP$5,OverDate,"&lt;"&amp;DATE(YEAR($AC231),MONTH($AC231)+1,1),OverEnd,"&gt;="&amp;DATE(YEAR($AC231),MONTH($AC231),1))&gt;0,SUMPRODUCT((PayEmp=$C231)*(PayDate&lt;=$AC231)*(OFFSET($N$6,1,MATCH(AP$5,PayDedList,0)-1,PayCount,1)))/$AA231*12*AP$3,IF(OR(AP$1="Fixed",AP$1="Not Used"),SUMPRODUCT((PayEmp=$C231)*(PayDate&lt;=$AC231)*(OFFSET($N$6,1,MATCH(AP$5,PayDedList,0)-1,PayCount,1)))/$AA231*12*AP$3,IF(ISNA(MATCH(AP$1,EarnListItem,0))=FALSE,SUMPRODUCT((PayEmp=$C231)*(PayDate&lt;=$AC231)*(OFFSET($N$6,1,MATCH(AP$5,PayDedList,0)-1,PayCount,1)))/$AA231*12*AP$3,(MIN(((SUMPRODUCT((PayEmp=$C231)*(PayDate&lt;=$AC231)*(ISERROR(SEARCH(PayEarnCode,AP$2)))*(PayEarnType="Monthly")*(PayEarnValues))/$AA231*12)+(SUMPRODUCT((PayEmp=$C231)*(PayDate&lt;=$AC231)*(ISERROR(SEARCH(PayEarnCode,AP$2)))*(PayEarnType="Quarterly")*(PayEarnValues))/MAX(1,ROUNDDOWN($AB231/3,0))*4)+(SUMPRODUCT((PayEmp=$C231)*(PayDate&lt;=$AC231)*(ISERROR(SEARCH(PayEarnCode,AP$2)))*(PayEarnType="Bi-Annual")*(PayEarnValues))/MAX(1,ROUNDDOWN($AB231/6,0))*2)+(SUMPRODUCT((PayEmp=$C231)*(PayDate&lt;=$AC231)*(ISERROR(SEARCH(PayEarnCode,AP$2)))*(PayEarnType="Annual")*(PayEarnValues)))),IF(ISNUMBER(OFFSET($N$3,0,MATCH(AP$5,PayDedList,0)-1,1,1)),OFFSET($N$3,0,MATCH(AP$5,PayDedList,0)-1,1,1),IgnoreMin)))*IF(COUNTIFS(EmpNo,$C231,OFFSET(Emp!$R$4,1,MATCH(AP$5,DedListItem,0)-1,EmpCount,1),"&lt;&gt;")&gt;0,VLOOKUP($C231,EmpAll,COLUMN(Emp!$R$4)+MATCH(AP$5,DedListItem,0)-1,0),OFFSET(Setup!$E$73,MATCH(AP$5,DedListItem,0),0,1,1))*AP$3))),IF(ISNUMBER(AP$4),AP$4,IgnoreMin)))))</f>
        <v>0</v>
      </c>
      <c r="AQ231" s="148" cm="1">
        <f t="array" aca="1" ref="AQ231" ca="1">-IF($F231="Terminated",0,IF($AA231=0,0,IF(ISNA(MATCH(AQ$5,PayDedList,0)),0,MIN(IF(COUNTIFS(OverEmp,$C231,OverDeduct,AQ$5,OverDate,"&lt;"&amp;DATE(YEAR($AC231),MONTH($AC231)+1,1),OverEnd,"&gt;="&amp;DATE(YEAR($AC231),MONTH($AC231),1))&gt;0,SUMPRODUCT((PayEmp=$C231)*(PayDate&lt;=$AC231)*(OFFSET($N$6,1,MATCH(AQ$5,PayDedList,0)-1,PayCount,1)))/$AA231*12*AQ$3,IF(OR(AQ$1="Fixed",AQ$1="Not Used"),SUMPRODUCT((PayEmp=$C231)*(PayDate&lt;=$AC231)*(OFFSET($N$6,1,MATCH(AQ$5,PayDedList,0)-1,PayCount,1)))/$AA231*12*AQ$3,IF(ISNA(MATCH(AQ$1,EarnListItem,0))=FALSE,SUMPRODUCT((PayEmp=$C231)*(PayDate&lt;=$AC231)*(OFFSET($N$6,1,MATCH(AQ$5,PayDedList,0)-1,PayCount,1)))/$AA231*12*AQ$3,(MIN(((SUMPRODUCT((PayEmp=$C231)*(PayDate&lt;=$AC231)*(ISERROR(SEARCH(PayEarnCode,AQ$2)))*(PayEarnType="Monthly")*(PayEarnValues))/$AA231*12)+(SUMPRODUCT((PayEmp=$C231)*(PayDate&lt;=$AC231)*(ISERROR(SEARCH(PayEarnCode,AQ$2)))*(PayEarnType="Quarterly")*(PayEarnValues))/MAX(1,ROUNDDOWN($AB231/3,0))*4)+(SUMPRODUCT((PayEmp=$C231)*(PayDate&lt;=$AC231)*(ISERROR(SEARCH(PayEarnCode,AQ$2)))*(PayEarnType="Bi-Annual")*(PayEarnValues))/MAX(1,ROUNDDOWN($AB231/6,0))*2)+(SUMPRODUCT((PayEmp=$C231)*(PayDate&lt;=$AC231)*(ISERROR(SEARCH(PayEarnCode,AQ$2)))*(PayEarnType="Annual")*(PayEarnValues)))),IF(ISNUMBER(OFFSET($N$3,0,MATCH(AQ$5,PayDedList,0)-1,1,1)),OFFSET($N$3,0,MATCH(AQ$5,PayDedList,0)-1,1,1),IgnoreMin)))*IF(COUNTIFS(EmpNo,$C231,OFFSET(Emp!$R$4,1,MATCH(AQ$5,DedListItem,0)-1,EmpCount,1),"&lt;&gt;")&gt;0,VLOOKUP($C231,EmpAll,COLUMN(Emp!$R$4)+MATCH(AQ$5,DedListItem,0)-1,0),OFFSET(Setup!$E$73,MATCH(AQ$5,DedListItem,0),0,1,1))*AQ$3))),IF(ISNUMBER(AQ$4),AQ$4,IgnoreMin)))))</f>
        <v>0</v>
      </c>
      <c r="AR231" s="148">
        <f t="shared" ca="1" si="142"/>
        <v>0</v>
      </c>
      <c r="AS231" s="148">
        <f t="shared" ca="1" si="109"/>
        <v>0</v>
      </c>
      <c r="AT231" s="148" cm="1">
        <f t="array" aca="1" ref="AT231" ca="1">-IF($F231="Terminated",0,IF($AA231=0,0,IF(ISNA(MATCH(AT$5,PayDedList,0)),0,MIN(IF(COUNTIFS(OverEmp,$C231,OverDeduct,AT$5,OverDate,"&lt;"&amp;DATE(YEAR($AC231),MONTH($AC231)+1,1),OverEnd,"&gt;="&amp;DATE(YEAR($AC231),MONTH($AC231),1))&gt;0,SUMPRODUCT((PayEmp=$C231)*(PayDate&lt;=$AC231)*(OFFSET($N$6,1,MATCH(AT$5,PayDedList,0)-1,PayCount,1)))/$AA231*12*AT$3,IF(OR(AT$1="Fixed",AT$1="Not Used"),SUMPRODUCT((PayEmp=$C231)*(PayDate&lt;=$AC231)*(OFFSET($N$6,1,MATCH(AT$5,PayDedList,0)-1,PayCount,1)))/$AA231*12*AT$3,IF(ISNA(MATCH(OFFSET($N$2,0,MATCH(AT$5,PayDedList,0)-1,1,1),EarnListItem,0))=FALSE,SUMPRODUCT((PayEmp=$C231)*(PayDate&lt;=$AC231)*(OFFSET($N$6,1,MATCH(AT$5,PayDedList,0)-1,PayCount,1)))/$AA231*12*AT$3,(MIN(SUMPRODUCT((PayEmp=$C231)*(PayDate&lt;=$AC231)*(ISERROR(SEARCH(PayEarnCode,AT$2)))*(PayEarnType="Monthly")*(PayEarnValues))/$AA231*12,IF(ISNUMBER(OFFSET($N$3,0,MATCH(AT$5,PayDedList,0)-1,1,1)),OFFSET($N$3,0,MATCH(AT$5,PayDedList,0)-1,1,1),IgnoreMin)))*IF(COUNTIFS(EmpNo,$C231,OFFSET(Emp!$R$4,1,MATCH(AT$5,DedListItem,0)-1,EmpCount,1),"&lt;&gt;")&gt;0,VLOOKUP($C231,EmpAll,COLUMN(Emp!$R$4)+MATCH(AT$5,DedListItem,0)-1,0),OFFSET(Setup!$E$73,MATCH(AT$5,DedListItem,0),0,1,1))*AT$3))),IF(ISNUMBER(AT$4),AT$4,IgnoreMin)))))</f>
        <v>0</v>
      </c>
      <c r="AU231" s="148" cm="1">
        <f t="array" aca="1" ref="AU231" ca="1">-IF($F231="Terminated",0,IF($AA231=0,0,IF(ISNA(MATCH(AU$5,PayDedList,0)),0,MIN(IF(COUNTIFS(OverEmp,$C231,OverDeduct,AU$5,OverDate,"&lt;"&amp;DATE(YEAR($AC231),MONTH($AC231)+1,1),OverEnd,"&gt;="&amp;DATE(YEAR($AC231),MONTH($AC231),1))&gt;0,SUMPRODUCT((PayEmp=$C231)*(PayDate&lt;=$AC231)*(OFFSET($N$6,1,MATCH(AU$5,PayDedList,0)-1,PayCount,1)))/$AA231*12*AU$3,IF(OR(AU$1="Fixed",AU$1="Not Used"),SUMPRODUCT((PayEmp=$C231)*(PayDate&lt;=$AC231)*(OFFSET($N$6,1,MATCH(AU$5,PayDedList,0)-1,PayCount,1)))/$AA231*12*AU$3,IF(ISNA(MATCH(OFFSET($N$2,0,MATCH(AU$5,PayDedList,0)-1,1,1),EarnListItem,0))=FALSE,SUMPRODUCT((PayEmp=$C231)*(PayDate&lt;=$AC231)*(OFFSET($N$6,1,MATCH(AU$5,PayDedList,0)-1,PayCount,1)))/$AA231*12*AU$3,(MIN(SUMPRODUCT((PayEmp=$C231)*(PayDate&lt;=$AC231)*(ISERROR(SEARCH(PayEarnCode,AU$2)))*(PayEarnType="Monthly")*(PayEarnValues))/$AA231*12,IF(ISNUMBER(OFFSET($N$3,0,MATCH(AU$5,PayDedList,0)-1,1,1)),OFFSET($N$3,0,MATCH(AU$5,PayDedList,0)-1,1,1),IgnoreMin)))*IF(COUNTIFS(EmpNo,$C231,OFFSET(Emp!$R$4,1,MATCH(AU$5,DedListItem,0)-1,EmpCount,1),"&lt;&gt;")&gt;0,VLOOKUP($C231,EmpAll,COLUMN(Emp!$R$4)+MATCH(AU$5,DedListItem,0)-1,0),OFFSET(Setup!$E$73,MATCH(AU$5,DedListItem,0),0,1,1))*AU$3))),IF(ISNUMBER(AU$4),AU$4,IgnoreMin)))))</f>
        <v>0</v>
      </c>
      <c r="AV231" s="148" cm="1">
        <f t="array" aca="1" ref="AV231" ca="1">-IF($F231="Terminated",0,IF($AA231=0,0,IF(ISNA(MATCH(AV$5,PayDedList,0)),0,MIN(IF(COUNTIFS(OverEmp,$C231,OverDeduct,AV$5,OverDate,"&lt;"&amp;DATE(YEAR($AC231),MONTH($AC231)+1,1),OverEnd,"&gt;="&amp;DATE(YEAR($AC231),MONTH($AC231),1))&gt;0,SUMPRODUCT((PayEmp=$C231)*(PayDate&lt;=$AC231)*(OFFSET($N$6,1,MATCH(AV$5,PayDedList,0)-1,PayCount,1)))/$AA231*12*AV$3,IF(OR(AV$1="Fixed",AV$1="Not Used"),SUMPRODUCT((PayEmp=$C231)*(PayDate&lt;=$AC231)*(OFFSET($N$6,1,MATCH(AV$5,PayDedList,0)-1,PayCount,1)))/$AA231*12*AV$3,IF(ISNA(MATCH(OFFSET($N$2,0,MATCH(AV$5,PayDedList,0)-1,1,1),EarnListItem,0))=FALSE,SUMPRODUCT((PayEmp=$C231)*(PayDate&lt;=$AC231)*(OFFSET($N$6,1,MATCH(AV$5,PayDedList,0)-1,PayCount,1)))/$AA231*12*AV$3,(MIN(SUMPRODUCT((PayEmp=$C231)*(PayDate&lt;=$AC231)*(ISERROR(SEARCH(PayEarnCode,AV$2)))*(PayEarnType="Monthly")*(PayEarnValues))/$AA231*12,IF(ISNUMBER(OFFSET($N$3,0,MATCH(AV$5,PayDedList,0)-1,1,1)),OFFSET($N$3,0,MATCH(AV$5,PayDedList,0)-1,1,1),IgnoreMin)))*IF(COUNTIFS(EmpNo,$C231,OFFSET(Emp!$R$4,1,MATCH(AV$5,DedListItem,0)-1,EmpCount,1),"&lt;&gt;")&gt;0,VLOOKUP($C231,EmpAll,COLUMN(Emp!$R$4)+MATCH(AV$5,DedListItem,0)-1,0),OFFSET(Setup!$E$73,MATCH(AV$5,DedListItem,0),0,1,1))*AV$3))),IF(ISNUMBER(AV$4),AV$4,IgnoreMin)))))</f>
        <v>0</v>
      </c>
      <c r="AW231" s="148" cm="1">
        <f t="array" aca="1" ref="AW231" ca="1">-IF($F231="Terminated",0,IF($AA231=0,0,IF(ISNA(MATCH(AW$5,PayDedList,0)),0,MIN(IF(COUNTIFS(OverEmp,$C231,OverDeduct,AW$5,OverDate,"&lt;"&amp;DATE(YEAR($AC231),MONTH($AC231)+1,1),OverEnd,"&gt;="&amp;DATE(YEAR($AC231),MONTH($AC231),1))&gt;0,SUMPRODUCT((PayEmp=$C231)*(PayDate&lt;=$AC231)*(OFFSET($N$6,1,MATCH(AW$5,PayDedList,0)-1,PayCount,1)))/$AA231*12*AW$3,IF(OR(AW$1="Fixed",AW$1="Not Used"),SUMPRODUCT((PayEmp=$C231)*(PayDate&lt;=$AC231)*(OFFSET($N$6,1,MATCH(AW$5,PayDedList,0)-1,PayCount,1)))/$AA231*12*AW$3,IF(ISNA(MATCH(OFFSET($N$2,0,MATCH(AW$5,PayDedList,0)-1,1,1),EarnListItem,0))=FALSE,SUMPRODUCT((PayEmp=$C231)*(PayDate&lt;=$AC231)*(OFFSET($N$6,1,MATCH(AW$5,PayDedList,0)-1,PayCount,1)))/$AA231*12*AW$3,(MIN(SUMPRODUCT((PayEmp=$C231)*(PayDate&lt;=$AC231)*(ISERROR(SEARCH(PayEarnCode,AW$2)))*(PayEarnType="Monthly")*(PayEarnValues))/$AA231*12,IF(ISNUMBER(OFFSET($N$3,0,MATCH(AW$5,PayDedList,0)-1,1,1)),OFFSET($N$3,0,MATCH(AW$5,PayDedList,0)-1,1,1),IgnoreMin)))*IF(COUNTIFS(EmpNo,$C231,OFFSET(Emp!$R$4,1,MATCH(AW$5,DedListItem,0)-1,EmpCount,1),"&lt;&gt;")&gt;0,VLOOKUP($C231,EmpAll,COLUMN(Emp!$R$4)+MATCH(AW$5,DedListItem,0)-1,0),OFFSET(Setup!$E$73,MATCH(AW$5,DedListItem,0),0,1,1))*AW$3))),IF(ISNUMBER(AW$4),AW$4,IgnoreMin)))))</f>
        <v>0</v>
      </c>
      <c r="AX231" s="148">
        <f t="shared" ca="1" si="143"/>
        <v>0</v>
      </c>
      <c r="AY231" s="148">
        <f t="shared" ca="1" si="144"/>
        <v>0</v>
      </c>
      <c r="AZ231" s="148">
        <f ca="1">IF(ISNUMBER($AL231),($AR231*$AL231)-$AI231-$AK231,MAX(0,IF($AL231="B",IF($AR231&lt;Setup!$C$32,($AR231*Setup!$D$32)-$AI231-$AK231,(($AR231-VLOOKUP($AR231,TaxAll2,1,1))*OFFSET(Setup!$D$32,MATCH($AR231,TaxBracket2,1),0,1,1))+OFFSET(Setup!$E$31,MATCH($AR231,TaxBracket2,1),0,1,1)-$AI231-$AK231),IF($AR231&lt;Setup!$C$21,($AR231*Setup!$D$21)-$AI231-$AK231,(($AR231-VLOOKUP($AR231,TaxAll1,1,1))*OFFSET(Setup!$D$21,MATCH($AR231,TaxBracket1,1),0,1,1))+OFFSET(Setup!$E$20,MATCH($AR231,TaxBracket1,1),0,1,1)-$AI231-$AK231))))</f>
        <v>0</v>
      </c>
      <c r="BA231" s="148">
        <f ca="1">IF(ISNUMBER($AL231),($AX231*$AL231)-$AI231-$AK231,MAX(0,IF($AL231="B",IF($AX231&lt;Setup!$C$32,($AX231*Setup!$D$32)-$AI231-$AK231,(($AX231-VLOOKUP($AX231,TaxAll2,1,1))*OFFSET(Setup!$D$32,MATCH($AX231,TaxBracket2,1),0,1,1))+OFFSET(Setup!$E$31,MATCH($AX231,TaxBracket2,1),0,1,1)-$AI231-$AK231),IF($AX231&lt;Setup!$C$21,($AX231*Setup!$D$21)-$AI231-$AK231,(($AX231-VLOOKUP($AX231,TaxAll1,1,1))*OFFSET(Setup!$D$21,MATCH($AX231,TaxBracket1,1),0,1,1))+OFFSET(Setup!$E$20,MATCH($AX231,TaxBracket1,1),0,1,1)-$AI231-$AK231))))</f>
        <v>0</v>
      </c>
      <c r="BB231" s="148">
        <f t="shared" ca="1" si="145"/>
        <v>0</v>
      </c>
      <c r="BC231" s="150">
        <f t="shared" ca="1" si="110"/>
        <v>0</v>
      </c>
      <c r="BD231" s="150">
        <f t="shared" ca="1" si="111"/>
        <v>0</v>
      </c>
      <c r="BE231" s="148">
        <f t="shared" ca="1" si="112"/>
        <v>0</v>
      </c>
    </row>
    <row r="232" spans="1:57" ht="16.149999999999999" customHeight="1" x14ac:dyDescent="0.25">
      <c r="A232" s="10" t="str" cm="1">
        <f t="array" ref="A232">IF(ROW($A232)-ROW($A$6)&gt;EmpCount*12,"-",TEXT($B232,"yyyy")&amp;TEXT($B232,"mm")&amp;"-"&amp;$C232)</f>
        <v>-</v>
      </c>
      <c r="B232" s="137" cm="1">
        <f t="array" aca="1" ref="B232" ca="1">IF(ROW($A232)-ROW($A$6)&gt;EmpCount*12,Setup!$D$12,DATE(YEAR(Setup!$F$12),MONTH(Setup!$F$12)+ROUNDDOWN((ROW($A232)-ROW($A$6)-1)/EmpCount,0),IF(Setup!$C$14&gt;DAY(DATE(YEAR(Setup!$F$12),MONTH(Setup!$F$12)+ROUNDDOWN((ROW($A232)-ROW($A$6)-1)/EmpCount,0)+1,0)),DAY(DATE(YEAR(Setup!$F$12),MONTH(Setup!$F$12)+ROUNDDOWN((ROW($A232)-ROW($A$6)-1)/EmpCount,0)+1,0)),Setup!$C$14)))</f>
        <v>45351</v>
      </c>
      <c r="C232" s="101" t="str" cm="1">
        <f t="array" aca="1" ref="C232" ca="1">IF(ROW($A232)-ROW($A$6)&gt;EmpCount*12,"-",OFFSET(Emp!$A$4,ROW($A232)-ROW($A$6)-IF(ROW($A232)-ROW($A$6)&gt;EmpCount,ROUNDDOWN((ROW($A232)-ROW($A$6)-1)/EmpCount,0)*EmpCount,0),0,1,1))</f>
        <v>-</v>
      </c>
      <c r="D232" s="10" t="str">
        <f ca="1">IF(ISNA(VLOOKUP($C232,EmpAll,COLUMN(Emp!$B$4),0)),"-",VLOOKUP($C232,EmpAll,COLUMN(Emp!$B$4),0))</f>
        <v>-</v>
      </c>
      <c r="E232" s="145" t="str">
        <f ca="1">IF(ISNA(VLOOKUP($C232,EmpAll,COLUMN(Emp!$C$4),0)),"-",VLOOKUP($C232,EmpAll,COLUMN(Emp!$C$4),0))</f>
        <v>-</v>
      </c>
      <c r="F232" s="101" t="str">
        <f ca="1">IF(ISNA(VLOOKUP($C232,EmpAll,COLUMN(Emp!$A$4),0)),"-",IF(AND(VLOOKUP($C232,EmpAll,COLUMN(Emp!$E$4),0)&lt;&gt;0,VLOOKUP($C232,EmpAll,COLUMN(Emp!$E$4),0)&gt;=DATE(YEAR($AC232),MONTH($AC232)+1,0)),"Inactive",IF(AND(VLOOKUP($C232,EmpAll,COLUMN(Emp!$F$4),0)&lt;&gt;0,VLOOKUP($C232,EmpAll,COLUMN(Emp!$F$4),0)&lt;=DATE(YEAR($AC232),MONTH($AC232),0)),"Terminated","Active")))</f>
        <v>-</v>
      </c>
      <c r="G232" s="133" cm="1">
        <f t="array" aca="1" ref="G232" ca="1">IF($F232&lt;&gt;"Active",0,IF(COUNTIFS(OverEmp,$C232,OverEarn,G$2,OverDate,"&lt;"&amp;DATE(YEAR($AC232),MONTH($AC232)+1,1),OverEnd,"&gt;="&amp;DATE(YEAR($AC232),MONTH($AC232),1))&gt;0,SUMIFS(OverValue,OverEmp,$C232,OverEarn,G$2,OverDate,"&lt;"&amp;DATE(YEAR($AC232),MONTH($AC232)+1,1),OverEnd,"&gt;="&amp;DATE(YEAR($AC232),MONTH($AC232),1)),IF(AND($AC232&gt;=Setup!$E$10,SUMIFS(EmpIncrease,EmpCode,$C232)&gt;0),SUMIFS(EmpIncrease,EmpCode,$C232),SUMIFS(EmpSalary,EmpCode,$C232))))</f>
        <v>0</v>
      </c>
      <c r="H232" s="133" cm="1">
        <f t="array" aca="1" ref="H232" ca="1">IF($F232&lt;&gt;"Active",0,IF(COUNTIFS(OverEmp,$C232,OverEarn,H$2,OverDate,"&lt;"&amp;DATE(YEAR($AC232),MONTH($AC232)+1,1),OverEnd,"&gt;="&amp;DATE(YEAR($AC232),MONTH($AC232),1))&gt;0,SUMIFS(OverValue,OverEmp,$C232,OverEarn,H$2,OverDate,"&lt;"&amp;DATE(YEAR($AC232),MONTH($AC232)+1,1),OverEnd,"&gt;="&amp;DATE(YEAR($AC232),MONTH($AC232),1)),0))</f>
        <v>0</v>
      </c>
      <c r="I232" s="133" cm="1">
        <f t="array" aca="1" ref="I232" ca="1">IF($F232&lt;&gt;"Active",0,IF(COUNTIFS(OverEmp,$C232,OverEarn,I$2,OverDate,"&lt;"&amp;DATE(YEAR($AC232),MONTH($AC232)+1,1),OverEnd,"&gt;="&amp;DATE(YEAR($AC232),MONTH($AC232),1))&gt;0,SUMIFS(OverValue,OverEmp,$C232,OverEarn,I$2,OverDate,"&lt;"&amp;DATE(YEAR($AC232),MONTH($AC232)+1,1),OverEnd,"&gt;="&amp;DATE(YEAR($AC232),MONTH($AC232),1)),IF(MONTH(B232)=Setup!$C$15,SUMIFS(EmpBonus,EmpCode,$C232),0)))</f>
        <v>0</v>
      </c>
      <c r="J232" s="133" cm="1">
        <f t="array" aca="1" ref="J232" ca="1">IF($F232&lt;&gt;"Active",0,IF(COUNTIFS(OverEmp,$C232,OverEarn,J$2,OverDate,"&lt;"&amp;DATE(YEAR($AC232),MONTH($AC232)+1,1),OverEnd,"&gt;="&amp;DATE(YEAR($AC232),MONTH($AC232),1))&gt;0,SUMIFS(OverValue,OverEmp,$C232,OverEarn,J$2,OverDate,"&lt;"&amp;DATE(YEAR($AC232),MONTH($AC232)+1,1),OverEnd,"&gt;="&amp;DATE(YEAR($AC232),MONTH($AC232),1)),0))</f>
        <v>0</v>
      </c>
      <c r="K232" s="133" cm="1">
        <f t="array" aca="1" ref="K232" ca="1">IF($F232&lt;&gt;"Active",0,IF(COUNTIFS(OverEmp,$C232,OverEarn,K$2,OverDate,"&lt;"&amp;DATE(YEAR($AC232),MONTH($AC232)+1,1),OverEnd,"&gt;="&amp;DATE(YEAR($AC232),MONTH($AC232),1))&gt;0,SUMIFS(OverValue,OverEmp,$C232,OverEarn,K$2,OverDate,"&lt;"&amp;DATE(YEAR($AC232),MONTH($AC232)+1,1),OverEnd,"&gt;="&amp;DATE(YEAR($AC232),MONTH($AC232),1)),0))</f>
        <v>0</v>
      </c>
      <c r="L232" s="185">
        <f t="shared" ca="1" si="135"/>
        <v>0</v>
      </c>
      <c r="M232" s="182" cm="1">
        <f t="array" aca="1" ref="M232" ca="1">IF(COUNTIFS(OverEmp,$C232,OverTax,M$5,OverDate,"&lt;"&amp;DATE(YEAR($AC232),MONTH($AC232)+1,1),OverEnd,"&gt;="&amp;DATE(YEAR($AC232),MONTH($AC232),1))&gt;0,SUMIFS(OverValue,OverEmp,$C232,OverTax,M$5,OverDate,"&lt;"&amp;DATE(YEAR($AC232),MONTH($AC232)+1,1),OverEnd,"&gt;="&amp;DATE(YEAR($AC232),MONTH($AC232),1)),(($BA232/12*$AA232)+(BB232*IF(1-$BC232=0,0,BD232/(1-$BC232))))-IF($F232="Terminated",0,SUMIFS(PayTaxDeduct,PayDate,"&lt;"&amp;$AC232,PayEmp,$C232)))</f>
        <v>0</v>
      </c>
      <c r="N232" s="133" cm="1">
        <f t="array" aca="1" ref="N232" ca="1">IF($F232="Terminated",0,IF($AA232=0,0,IF(ISNA(MATCH(N$5,DedListItem,0)),0,IF(COUNTIFS(OverEmp,$C232,OverDeduct,N$5,OverDate,"&lt;"&amp;DATE(YEAR($AC232),MONTH($AC232)+1,1),OverEnd,"&gt;="&amp;DATE(YEAR($AC232),MONTH($AC232),1))&gt;0,SUMIFS(OverValue,OverEmp,$C232,OverDeduct,N$5,OverDate,"&lt;"&amp;DATE(YEAR($AC232),MONTH($AC232)+1,1),OverEnd,"&gt;="&amp;DATE(YEAR($AC232),MONTH($AC232),1)),IF(OR(N$2="Fixed",N$2="Not Used"),(IF(COUNTIFS(EmpNo,$C232,OFFSET(Emp!$R$4,1,MATCH(N$5,DedListItem,0)-1,EmpCount,1),"&lt;&gt;")&gt;0,VLOOKUP($C232,EmpAll,COLUMN(Emp!$R$4)+MATCH(N$5,DedListItem,0)-1,0),OFFSET(Setup!$E$73,MATCH(N$5,DedListItem,0),0,1,1))*$AA232)-SUMIFS(OFFSET(N$6,1,0,PayCount,1),PayDate,"&lt;"&amp;$AC232,PayEmp,$C232),IF(ISNA(MATCH(N$2,EarnListItem,0))=FALSE,IF(OFFSET(Setup!$G$73,MATCH(N$5,DedListItem,0),0,1,1)="Taxable",SUMPRODUCT((PayEmp=$C232)*(PayDate&lt;=$AC232)*(PayEarnCode=N$2)*(PayEarnTax)*(PayEarnValues)),SUMPRODUCT((PayEmp=$C232)*(PayDate&lt;=$AC232)*(PayEarnCode=N$2)*(PayEarnValues)))*IF(COUNTIFS(EmpNo,$C232,OFFSET(Emp!$R$4,1,MATCH(N$5,DedListItem,0)-1,EmpCount,1),"&lt;&gt;")&gt;0,VLOOKUP($C232,EmpAll,COLUMN(Emp!$R$4)+MATCH(N$5,DedListItem,0)-1,0),OFFSET(Setup!$E$73,MATCH(N$5,DedListItem,0),0,1,1)),(MIN(IF(OFFSET(Setup!$G$73,MATCH(N$5,DedListItem,0),0,1,1)="Taxable",SUMPRODUCT((PayEmp=$C232)*(PayDate&lt;=$AC232)*(ISERROR(SEARCH(PayEarnCode,N$4)))*(PayEarnTax)*(PayEarnValues)),SUMPRODUCT((PayEmp=$C232)*(PayDate&lt;=$AC232)*(ISERROR(SEARCH(PayEarnCode,N$4)))*(PayEarnValues))),IF(ISNUMBER(N$3),N$3/12*$AA232,IgnoreMin)))*IF(COUNTIFS(EmpNo,$C232,OFFSET(Emp!$R$4,1,MATCH(N$5,DedListItem,0)-1,EmpCount,1),"&lt;&gt;")&gt;0,VLOOKUP($C232,EmpAll,COLUMN(Emp!$R$4)+MATCH(N$5,DedListItem,0)-1,0),OFFSET(Setup!$E$73,MATCH(N$5,DedListItem,0),0,1,1)))-SUMIFS(OFFSET(N$6,1,0,PayCount,1),PayDate,"&lt;"&amp;$AC232,PayEmp,$C232))))))</f>
        <v>0</v>
      </c>
      <c r="O232" s="133" cm="1">
        <f t="array" aca="1" ref="O232" ca="1">IF($F232="Terminated",0,IF($AA232=0,0,IF(ISNA(MATCH(O$5,DedListItem,0)),0,IF(COUNTIFS(OverEmp,$C232,OverDeduct,O$5,OverDate,"&lt;"&amp;DATE(YEAR($AC232),MONTH($AC232)+1,1),OverEnd,"&gt;="&amp;DATE(YEAR($AC232),MONTH($AC232),1))&gt;0,SUMIFS(OverValue,OverEmp,$C232,OverDeduct,O$5,OverDate,"&lt;"&amp;DATE(YEAR($AC232),MONTH($AC232)+1,1),OverEnd,"&gt;="&amp;DATE(YEAR($AC232),MONTH($AC232),1)),IF(OR(O$2="Fixed",O$2="Not Used"),(IF(COUNTIFS(EmpNo,$C232,OFFSET(Emp!$R$4,1,MATCH(O$5,DedListItem,0)-1,EmpCount,1),"&lt;&gt;")&gt;0,VLOOKUP($C232,EmpAll,COLUMN(Emp!$R$4)+MATCH(O$5,DedListItem,0)-1,0),OFFSET(Setup!$E$73,MATCH(O$5,DedListItem,0),0,1,1))*$AA232)-SUMIFS(OFFSET(O$6,1,0,PayCount,1),PayDate,"&lt;"&amp;$AC232,PayEmp,$C232),IF(ISNA(MATCH(O$2,EarnListItem,0))=FALSE,IF(OFFSET(Setup!$G$73,MATCH(O$5,DedListItem,0),0,1,1)="Taxable",SUMPRODUCT((PayEmp=$C232)*(PayDate&lt;=$AC232)*(PayEarnCode=O$2)*(PayEarnTax)*(PayEarnValues)),SUMPRODUCT((PayEmp=$C232)*(PayDate&lt;=$AC232)*(PayEarnCode=O$2)*(PayEarnValues)))*IF(COUNTIFS(EmpNo,$C232,OFFSET(Emp!$R$4,1,MATCH(O$5,DedListItem,0)-1,EmpCount,1),"&lt;&gt;")&gt;0,VLOOKUP($C232,EmpAll,COLUMN(Emp!$R$4)+MATCH(O$5,DedListItem,0)-1,0),OFFSET(Setup!$E$73,MATCH(O$5,DedListItem,0),0,1,1)),(MIN(IF(OFFSET(Setup!$G$73,MATCH(O$5,DedListItem,0),0,1,1)="Taxable",SUMPRODUCT((PayEmp=$C232)*(PayDate&lt;=$AC232)*(ISERROR(SEARCH(PayEarnCode,O$4)))*(PayEarnTax)*(PayEarnValues)),SUMPRODUCT((PayEmp=$C232)*(PayDate&lt;=$AC232)*(ISERROR(SEARCH(PayEarnCode,O$4)))*(PayEarnValues))),IF(ISNUMBER(O$3),O$3/12*$AA232,IgnoreMin)))*IF(COUNTIFS(EmpNo,$C232,OFFSET(Emp!$R$4,1,MATCH(O$5,DedListItem,0)-1,EmpCount,1),"&lt;&gt;")&gt;0,VLOOKUP($C232,EmpAll,COLUMN(Emp!$R$4)+MATCH(O$5,DedListItem,0)-1,0),OFFSET(Setup!$E$73,MATCH(O$5,DedListItem,0),0,1,1)))-SUMIFS(OFFSET(O$6,1,0,PayCount,1),PayDate,"&lt;"&amp;$AC232,PayEmp,$C232))))))</f>
        <v>0</v>
      </c>
      <c r="P232" s="133" cm="1">
        <f t="array" aca="1" ref="P232" ca="1">IF($F232="Terminated",0,IF($AA232=0,0,IF(ISNA(MATCH(P$5,DedListItem,0)),0,IF(COUNTIFS(OverEmp,$C232,OverDeduct,P$5,OverDate,"&lt;"&amp;DATE(YEAR($AC232),MONTH($AC232)+1,1),OverEnd,"&gt;="&amp;DATE(YEAR($AC232),MONTH($AC232),1))&gt;0,SUMIFS(OverValue,OverEmp,$C232,OverDeduct,P$5,OverDate,"&lt;"&amp;DATE(YEAR($AC232),MONTH($AC232)+1,1),OverEnd,"&gt;="&amp;DATE(YEAR($AC232),MONTH($AC232),1)),IF(OR(P$2="Fixed",P$2="Not Used"),(IF(COUNTIFS(EmpNo,$C232,OFFSET(Emp!$R$4,1,MATCH(P$5,DedListItem,0)-1,EmpCount,1),"&lt;&gt;")&gt;0,VLOOKUP($C232,EmpAll,COLUMN(Emp!$R$4)+MATCH(P$5,DedListItem,0)-1,0),OFFSET(Setup!$E$73,MATCH(P$5,DedListItem,0),0,1,1))*$AA232)-SUMIFS(OFFSET(P$6,1,0,PayCount,1),PayDate,"&lt;"&amp;$AC232,PayEmp,$C232),IF(ISNA(MATCH(P$2,EarnListItem,0))=FALSE,IF(OFFSET(Setup!$G$73,MATCH(P$5,DedListItem,0),0,1,1)="Taxable",SUMPRODUCT((PayEmp=$C232)*(PayDate&lt;=$AC232)*(PayEarnCode=P$2)*(PayEarnTax)*(PayEarnValues)),SUMPRODUCT((PayEmp=$C232)*(PayDate&lt;=$AC232)*(PayEarnCode=P$2)*(PayEarnValues)))*IF(COUNTIFS(EmpNo,$C232,OFFSET(Emp!$R$4,1,MATCH(P$5,DedListItem,0)-1,EmpCount,1),"&lt;&gt;")&gt;0,VLOOKUP($C232,EmpAll,COLUMN(Emp!$R$4)+MATCH(P$5,DedListItem,0)-1,0),OFFSET(Setup!$E$73,MATCH(P$5,DedListItem,0),0,1,1)),(MIN(IF(OFFSET(Setup!$G$73,MATCH(P$5,DedListItem,0),0,1,1)="Taxable",SUMPRODUCT((PayEmp=$C232)*(PayDate&lt;=$AC232)*(ISERROR(SEARCH(PayEarnCode,P$4)))*(PayEarnTax)*(PayEarnValues)),SUMPRODUCT((PayEmp=$C232)*(PayDate&lt;=$AC232)*(ISERROR(SEARCH(PayEarnCode,P$4)))*(PayEarnValues))),IF(ISNUMBER(P$3),P$3/12*$AA232,IgnoreMin)))*IF(COUNTIFS(EmpNo,$C232,OFFSET(Emp!$R$4,1,MATCH(P$5,DedListItem,0)-1,EmpCount,1),"&lt;&gt;")&gt;0,VLOOKUP($C232,EmpAll,COLUMN(Emp!$R$4)+MATCH(P$5,DedListItem,0)-1,0),OFFSET(Setup!$E$73,MATCH(P$5,DedListItem,0),0,1,1)))-SUMIFS(OFFSET(P$6,1,0,PayCount,1),PayDate,"&lt;"&amp;$AC232,PayEmp,$C232))))))</f>
        <v>0</v>
      </c>
      <c r="Q232" s="133" cm="1">
        <f t="array" aca="1" ref="Q232" ca="1">IF($F232="Terminated",0,IF($AA232=0,0,IF(ISNA(MATCH(Q$5,DedListItem,0)),0,IF(COUNTIFS(OverEmp,$C232,OverDeduct,Q$5,OverDate,"&lt;"&amp;DATE(YEAR($AC232),MONTH($AC232)+1,1),OverEnd,"&gt;="&amp;DATE(YEAR($AC232),MONTH($AC232),1))&gt;0,SUMIFS(OverValue,OverEmp,$C232,OverDeduct,Q$5,OverDate,"&lt;"&amp;DATE(YEAR($AC232),MONTH($AC232)+1,1),OverEnd,"&gt;="&amp;DATE(YEAR($AC232),MONTH($AC232),1)),IF(OR(Q$2="Fixed",Q$2="Not Used"),(IF(COUNTIFS(EmpNo,$C232,OFFSET(Emp!$R$4,1,MATCH(Q$5,DedListItem,0)-1,EmpCount,1),"&lt;&gt;")&gt;0,VLOOKUP($C232,EmpAll,COLUMN(Emp!$R$4)+MATCH(Q$5,DedListItem,0)-1,0),OFFSET(Setup!$E$73,MATCH(Q$5,DedListItem,0),0,1,1))*$AA232)-SUMIFS(OFFSET(Q$6,1,0,PayCount,1),PayDate,"&lt;"&amp;$AC232,PayEmp,$C232),IF(ISNA(MATCH(Q$2,EarnListItem,0))=FALSE,IF(OFFSET(Setup!$G$73,MATCH(Q$5,DedListItem,0),0,1,1)="Taxable",SUMPRODUCT((PayEmp=$C232)*(PayDate&lt;=$AC232)*(PayEarnCode=Q$2)*(PayEarnTax)*(PayEarnValues)),SUMPRODUCT((PayEmp=$C232)*(PayDate&lt;=$AC232)*(PayEarnCode=Q$2)*(PayEarnValues)))*IF(COUNTIFS(EmpNo,$C232,OFFSET(Emp!$R$4,1,MATCH(Q$5,DedListItem,0)-1,EmpCount,1),"&lt;&gt;")&gt;0,VLOOKUP($C232,EmpAll,COLUMN(Emp!$R$4)+MATCH(Q$5,DedListItem,0)-1,0),OFFSET(Setup!$E$73,MATCH(Q$5,DedListItem,0),0,1,1)),(MIN(IF(OFFSET(Setup!$G$73,MATCH(Q$5,DedListItem,0),0,1,1)="Taxable",SUMPRODUCT((PayEmp=$C232)*(PayDate&lt;=$AC232)*(ISERROR(SEARCH(PayEarnCode,Q$4)))*(PayEarnTax)*(PayEarnValues)),SUMPRODUCT((PayEmp=$C232)*(PayDate&lt;=$AC232)*(ISERROR(SEARCH(PayEarnCode,Q$4)))*(PayEarnValues))),IF(ISNUMBER(Q$3),Q$3/12*$AA232,IgnoreMin)))*IF(COUNTIFS(EmpNo,$C232,OFFSET(Emp!$R$4,1,MATCH(Q$5,DedListItem,0)-1,EmpCount,1),"&lt;&gt;")&gt;0,VLOOKUP($C232,EmpAll,COLUMN(Emp!$R$4)+MATCH(Q$5,DedListItem,0)-1,0),OFFSET(Setup!$E$73,MATCH(Q$5,DedListItem,0),0,1,1)))-SUMIFS(OFFSET(Q$6,1,0,PayCount,1),PayDate,"&lt;"&amp;$AC232,PayEmp,$C232))))))</f>
        <v>0</v>
      </c>
      <c r="R232" s="185">
        <f t="shared" ca="1" si="136"/>
        <v>0</v>
      </c>
      <c r="S232" s="139">
        <f t="shared" ca="1" si="137"/>
        <v>0</v>
      </c>
      <c r="T232" s="133" cm="1">
        <f t="array" aca="1" ref="T232" ca="1">IF($F232="Terminated",0,IF($AA232=0,0,IF(ISNA(MATCH(T$5,CompListItem,0)),0,IF(COUNTIFS(OverEmp,$C232,OverComp,T$5,OverDate,"&lt;"&amp;DATE(YEAR($AC232),MONTH($AC232)+1,1),OverEnd,"&gt;="&amp;DATE(YEAR($AC232),MONTH($AC232),1))&gt;0,SUMIFS(OverValue,OverEmp,$C232,OverComp,T$5,OverDate,"&lt;"&amp;DATE(YEAR($AC232),MONTH($AC232)+1,1),OverEnd,"&gt;="&amp;DATE(YEAR($AC232),MONTH($AC232),1)),IF(OR(T$2="Fixed",T$2="Not Used"),(OFFSET(Setup!$E$81,MATCH(T$5,CompListItem,0),0,1,1)*$AA232)-SUMIFS(OFFSET(T$6,1,0,PayCount,1),PayDate,"&lt;"&amp;$AC232,PayEmp,$C232),IF(ISNA(MATCH(T$2,DedListItem,0))=FALSE,(SUMPRODUCT((PayEmp=$C232)*(PayDate&lt;=$AC232)*(PayDedList=T$2)*(PayDedValues))*OFFSET(Setup!$E$81,MATCH(T$5,CompListItem,0),0,1,1))-SUMIFS(OFFSET(T$6,1,0,PayCount,1),PayDate,"&lt;"&amp;$AC232,PayEmp,$C232),(MIN(IF(OFFSET(Setup!$G$81,MATCH(T$5,CompListItem,0),0,1,1)="Taxable",SUMPRODUCT((PayEmp=$C232)*(PayDate&lt;=$AC232)*(ISERROR(SEARCH(PayEarnCode,T$4)))*(PayEarnTax)*(PayEarnValues)),SUMPRODUCT((PayEmp=$C232)*(PayDate&lt;=$AC232)*(ISERROR(SEARCH(PayEarnCode,T$4)))*(PayEarnValues))),IF(ISNUMBER(T$3),T$3/12*$AA232,IgnoreMin)))*OFFSET(Setup!$E$81,MATCH(T$5,CompListItem,0),0,1,1)-SUMIFS(OFFSET(T$6,1,0,PayCount,1),PayDate,"&lt;"&amp;$AC232,PayEmp,$C232)))))))</f>
        <v>0</v>
      </c>
      <c r="U232" s="133" cm="1">
        <f t="array" aca="1" ref="U232" ca="1">IF($F232="Terminated",0,IF($AA232=0,0,IF(ISNA(MATCH(U$5,CompListItem,0)),0,IF(COUNTIFS(OverEmp,$C232,OverComp,U$5,OverDate,"&lt;"&amp;DATE(YEAR($AC232),MONTH($AC232)+1,1),OverEnd,"&gt;="&amp;DATE(YEAR($AC232),MONTH($AC232),1))&gt;0,SUMIFS(OverValue,OverEmp,$C232,OverComp,U$5,OverDate,"&lt;"&amp;DATE(YEAR($AC232),MONTH($AC232)+1,1),OverEnd,"&gt;="&amp;DATE(YEAR($AC232),MONTH($AC232),1)),IF(OR(U$2="Fixed",U$2="Not Used"),(OFFSET(Setup!$E$81,MATCH(U$5,CompListItem,0),0,1,1)*$AA232)-SUMIFS(OFFSET(U$6,1,0,PayCount,1),PayDate,"&lt;"&amp;$AC232,PayEmp,$C232),IF(ISNA(MATCH(U$2,DedListItem,0))=FALSE,(SUMPRODUCT((PayEmp=$C232)*(PayDate&lt;=$AC232)*(PayDedList=U$2)*(PayDedValues))*OFFSET(Setup!$E$81,MATCH(U$5,CompListItem,0),0,1,1))-SUMIFS(OFFSET(U$6,1,0,PayCount,1),PayDate,"&lt;"&amp;$AC232,PayEmp,$C232),(MIN(IF(OFFSET(Setup!$G$81,MATCH(U$5,CompListItem,0),0,1,1)="Taxable",SUMPRODUCT((PayEmp=$C232)*(PayDate&lt;=$AC232)*(ISERROR(SEARCH(PayEarnCode,U$4)))*(PayEarnTax)*(PayEarnValues)),SUMPRODUCT((PayEmp=$C232)*(PayDate&lt;=$AC232)*(ISERROR(SEARCH(PayEarnCode,U$4)))*(PayEarnValues))),IF(ISNUMBER(U$3),U$3/12*$AA232,IgnoreMin)))*OFFSET(Setup!$E$81,MATCH(U$5,CompListItem,0),0,1,1)-SUMIFS(OFFSET(U$6,1,0,PayCount,1),PayDate,"&lt;"&amp;$AC232,PayEmp,$C232)))))))</f>
        <v>0</v>
      </c>
      <c r="V232" s="133" cm="1">
        <f t="array" aca="1" ref="V232" ca="1">IF($F232="Terminated",0,IF($AA232=0,0,IF(ISNA(MATCH(V$5,CompListItem,0)),0,IF(COUNTIFS(OverEmp,$C232,OverComp,V$5,OverDate,"&lt;"&amp;DATE(YEAR($AC232),MONTH($AC232)+1,1),OverEnd,"&gt;="&amp;DATE(YEAR($AC232),MONTH($AC232),1))&gt;0,SUMIFS(OverValue,OverEmp,$C232,OverComp,V$5,OverDate,"&lt;"&amp;DATE(YEAR($AC232),MONTH($AC232)+1,1),OverEnd,"&gt;="&amp;DATE(YEAR($AC232),MONTH($AC232),1)),IF(OR(V$2="Fixed",V$2="Not Used"),(OFFSET(Setup!$E$81,MATCH(V$5,CompListItem,0),0,1,1)*$AA232)-SUMIFS(OFFSET(V$6,1,0,PayCount,1),PayDate,"&lt;"&amp;$AC232,PayEmp,$C232),IF(ISNA(MATCH(V$2,DedListItem,0))=FALSE,(SUMPRODUCT((PayEmp=$C232)*(PayDate&lt;=$AC232)*(PayDedList=V$2)*(PayDedValues))*OFFSET(Setup!$E$81,MATCH(V$5,CompListItem,0),0,1,1))-SUMIFS(OFFSET(V$6,1,0,PayCount,1),PayDate,"&lt;"&amp;$AC232,PayEmp,$C232),(MIN(IF(OFFSET(Setup!$G$81,MATCH(V$5,CompListItem,0),0,1,1)="Taxable",SUMPRODUCT((PayEmp=$C232)*(PayDate&lt;=$AC232)*(ISERROR(SEARCH(PayEarnCode,V$4)))*(PayEarnTax)*(PayEarnValues)),SUMPRODUCT((PayEmp=$C232)*(PayDate&lt;=$AC232)*(ISERROR(SEARCH(PayEarnCode,V$4)))*(PayEarnValues))),IF(ISNUMBER(V$3),V$3/12*$AA232,IgnoreMin)))*OFFSET(Setup!$E$81,MATCH(V$5,CompListItem,0),0,1,1)-SUMIFS(OFFSET(V$6,1,0,PayCount,1),PayDate,"&lt;"&amp;$AC232,PayEmp,$C232)))))))</f>
        <v>0</v>
      </c>
      <c r="W232" s="133" cm="1">
        <f t="array" aca="1" ref="W232" ca="1">IF($F232="Terminated",0,IF($AA232=0,0,IF(ISNA(MATCH(W$5,CompListItem,0)),0,IF(COUNTIFS(OverEmp,$C232,OverComp,W$5,OverDate,"&lt;"&amp;DATE(YEAR($AC232),MONTH($AC232)+1,1),OverEnd,"&gt;="&amp;DATE(YEAR($AC232),MONTH($AC232),1))&gt;0,SUMIFS(OverValue,OverEmp,$C232,OverComp,W$5,OverDate,"&lt;"&amp;DATE(YEAR($AC232),MONTH($AC232)+1,1),OverEnd,"&gt;="&amp;DATE(YEAR($AC232),MONTH($AC232),1)),IF(OR(W$2="Fixed",W$2="Not Used"),(OFFSET(Setup!$E$81,MATCH(W$5,CompListItem,0),0,1,1)*$AA232)-SUMIFS(OFFSET(W$6,1,0,PayCount,1),PayDate,"&lt;"&amp;$AC232,PayEmp,$C232),IF(ISNA(MATCH(W$2,DedListItem,0))=FALSE,(SUMPRODUCT((PayEmp=$C232)*(PayDate&lt;=$AC232)*(PayDedList=W$2)*(PayDedValues))*OFFSET(Setup!$E$81,MATCH(W$5,CompListItem,0),0,1,1))-SUMIFS(OFFSET(W$6,1,0,PayCount,1),PayDate,"&lt;"&amp;$AC232,PayEmp,$C232),(MIN(IF(OFFSET(Setup!$G$81,MATCH(W$5,CompListItem,0),0,1,1)="Taxable",SUMPRODUCT((PayEmp=$C232)*(PayDate&lt;=$AC232)*(ISERROR(SEARCH(PayEarnCode,W$4)))*(PayEarnTax)*(PayEarnValues)),SUMPRODUCT((PayEmp=$C232)*(PayDate&lt;=$AC232)*(ISERROR(SEARCH(PayEarnCode,W$4)))*(PayEarnValues))),IF(ISNUMBER(W$3),W$3/12*$AA232,IgnoreMin)))*OFFSET(Setup!$E$81,MATCH(W$5,CompListItem,0),0,1,1)-SUMIFS(OFFSET(W$6,1,0,PayCount,1),PayDate,"&lt;"&amp;$AC232,PayEmp,$C232)))))))</f>
        <v>0</v>
      </c>
      <c r="X232" s="185">
        <f t="shared" ca="1" si="138"/>
        <v>0</v>
      </c>
      <c r="Y232" s="139">
        <f t="shared" ca="1" si="139"/>
        <v>0</v>
      </c>
      <c r="Z232" s="139">
        <f t="shared" ca="1" si="140"/>
        <v>0</v>
      </c>
      <c r="AA232" s="146">
        <f ca="1">IF(OR($B232&lt;=Setup!$E$12,$B232&gt;=Setup!$D$12+1),0,IF($F232&lt;&gt;"Active",0,IF($AE232="Yes",$AB232,((YEAR($AC232)*12)+MONTH($AC232))-((YEAR($AD232)*12)+MONTH($AD232)-1))))</f>
        <v>0</v>
      </c>
      <c r="AB232" s="146">
        <f ca="1">IF(OR($B232&lt;=Setup!$E$12,$B232&gt;=Setup!$D$12+1),0,((YEAR($AC232)*12)+MONTH($AC232))-((YEAR(Setup!$E$12)*12)+MONTH(Setup!$E$12)))</f>
        <v>12</v>
      </c>
      <c r="AC232" s="186">
        <f t="shared" ca="1" si="141"/>
        <v>45351</v>
      </c>
      <c r="AD232" s="144">
        <f ca="1">IF(ISNA(VLOOKUP($C232,EmpAll,COLUMN(Emp!$E$4),0)),$AC232,IF(VLOOKUP($C232,EmpAll,COLUMN(Emp!$E$4),0)&lt;=Setup!$E$12,DATE(YEAR(Setup!$E$12),MONTH(Setup!$E$12)+1,1),VLOOKUP($C232,EmpAll,COLUMN(Emp!$E$4),0)))</f>
        <v>45351</v>
      </c>
      <c r="AE232" s="144" t="str">
        <f ca="1">IF(ISNA(VLOOKUP($C232,EmpAll,COLUMN(Emp!$G$1),0)),"-",IF(VLOOKUP($C232,EmpAll,COLUMN(Emp!$G$1),0)=0,"-",VLOOKUP($C232,EmpAll,COLUMN(Emp!$G$1),0)))</f>
        <v>-</v>
      </c>
      <c r="AF232" s="145">
        <f>IF(A232=PaySlip!$G$3,1,0)</f>
        <v>0</v>
      </c>
      <c r="AG232" s="130" cm="1">
        <f t="array" aca="1" ref="AG232" ca="1">IF(COUNTIFS(OverEmp,$C232,OverMed,"MED",OverDate,"&lt;"&amp;DATE(YEAR($AC232),MONTH($AC232)+1,1),OverEnd,"&gt;="&amp;DATE(YEAR($AC232),MONTH($AC232),1))&gt;0,SUMIFS(OverValue,OverEmp,$C232,OverMed,"MED",OverDate,"&lt;"&amp;DATE(YEAR($AC232),MONTH($AC232)+1,1),OverEnd,"&gt;="&amp;DATE(YEAR($AC232),MONTH($AC232),1)),IF(ISNA(VLOOKUP($C232,EmpAll,COLUMN(Emp!$N$4),0)),0,VLOOKUP($C232,EmpAll,COLUMN(Emp!$N$4),0)))</f>
        <v>0</v>
      </c>
      <c r="AH232" s="146">
        <f ca="1">VLOOKUP($AG232,MedList,COLUMN(Setup!$C$49),1)</f>
        <v>0</v>
      </c>
      <c r="AI232" s="146">
        <f t="shared" ca="1" si="107"/>
        <v>0</v>
      </c>
      <c r="AJ232" s="101" t="str">
        <f ca="1">IF(ISNA(VLOOKUP($C232,EmpAll,COLUMN(Emp!$L$4),0)),"None!",VLOOKUP($C232,EmpAll,COLUMN(Emp!$L$4),0))</f>
        <v>None!</v>
      </c>
      <c r="AK232" s="147">
        <f t="shared" ca="1" si="102"/>
        <v>17235</v>
      </c>
      <c r="AL232" s="101" t="str">
        <f ca="1">IF(ISNA(VLOOKUP($C232,Employees[],COLUMN(Emp!$M$4),0))=TRUE,"Error!",IF(VLOOKUP($C232,Employees[],COLUMN(Emp!$M$4),0)=0,"Yes",VLOOKUP($C232,Employees[],COLUMN(Emp!$M$4),0)))</f>
        <v>Error!</v>
      </c>
      <c r="AM232" s="148">
        <f t="shared" ca="1" si="108"/>
        <v>0</v>
      </c>
      <c r="AN232" s="148" cm="1">
        <f t="array" aca="1" ref="AN232" ca="1">-IF($F232="Terminated",0,IF($AA232=0,0,IF(ISNA(MATCH(AN$5,PayDedList,0)),0,MIN(IF(COUNTIFS(OverEmp,$C232,OverDeduct,AN$5,OverDate,"&lt;"&amp;DATE(YEAR($AC232),MONTH($AC232)+1,1),OverEnd,"&gt;="&amp;DATE(YEAR($AC232),MONTH($AC232),1))&gt;0,SUMPRODUCT((PayEmp=$C232)*(PayDate&lt;=$AC232)*(OFFSET($N$6,1,MATCH(AN$5,PayDedList,0)-1,PayCount,1)))/$AA232*12*AN$3,IF(OR(AN$1="Fixed",AN$1="Not Used"),SUMPRODUCT((PayEmp=$C232)*(PayDate&lt;=$AC232)*(OFFSET($N$6,1,MATCH(AN$5,PayDedList,0)-1,PayCount,1)))/$AA232*12*AN$3,IF(ISNA(MATCH(AN$1,EarnListItem,0))=FALSE,SUMPRODUCT((PayEmp=$C232)*(PayDate&lt;=$AC232)*(OFFSET($N$6,1,MATCH(AN$5,PayDedList,0)-1,PayCount,1)))/$AA232*12*AN$3,(MIN(((SUMPRODUCT((PayEmp=$C232)*(PayDate&lt;=$AC232)*(ISERROR(SEARCH(PayEarnCode,AN$2)))*(PayEarnType="Monthly")*(PayEarnValues))/$AA232*12)+(SUMPRODUCT((PayEmp=$C232)*(PayDate&lt;=$AC232)*(ISERROR(SEARCH(PayEarnCode,AN$2)))*(PayEarnType="Quarterly")*(PayEarnValues))/MAX(1,ROUNDDOWN($AB232/3,0))*4)+(SUMPRODUCT((PayEmp=$C232)*(PayDate&lt;=$AC232)*(ISERROR(SEARCH(PayEarnCode,AN$2)))*(PayEarnType="Bi-Annual")*(PayEarnValues))/MAX(1,ROUNDDOWN($AB232/6,0))*2)+(SUMPRODUCT((PayEmp=$C232)*(PayDate&lt;=$AC232)*(ISERROR(SEARCH(PayEarnCode,AN$2)))*(PayEarnType="Annual")*(PayEarnValues)))),IF(ISNUMBER(OFFSET($N$3,0,MATCH(AN$5,PayDedList,0)-1,1,1)),OFFSET($N$3,0,MATCH(AN$5,PayDedList,0)-1,1,1),IgnoreMin)))*IF(COUNTIFS(EmpNo,$C232,OFFSET(Emp!$R$4,1,MATCH(AN$5,DedListItem,0)-1,EmpCount,1),"&lt;&gt;")&gt;0,VLOOKUP($C232,EmpAll,COLUMN(Emp!$R$4)+MATCH(AN$5,DedListItem,0)-1,0),OFFSET(Setup!$E$73,MATCH(AN$5,DedListItem,0),0,1,1))*AN$3))),IF(ISNUMBER(AN$4),AN$4,IgnoreMin)))))</f>
        <v>0</v>
      </c>
      <c r="AO232" s="148" cm="1">
        <f t="array" aca="1" ref="AO232" ca="1">-IF($F232="Terminated",0,IF($AA232=0,0,IF(ISNA(MATCH(AO$5,PayDedList,0)),0,MIN(IF(COUNTIFS(OverEmp,$C232,OverDeduct,AO$5,OverDate,"&lt;"&amp;DATE(YEAR($AC232),MONTH($AC232)+1,1),OverEnd,"&gt;="&amp;DATE(YEAR($AC232),MONTH($AC232),1))&gt;0,SUMPRODUCT((PayEmp=$C232)*(PayDate&lt;=$AC232)*(OFFSET($N$6,1,MATCH(AO$5,PayDedList,0)-1,PayCount,1)))/$AA232*12*AO$3,IF(OR(AO$1="Fixed",AO$1="Not Used"),SUMPRODUCT((PayEmp=$C232)*(PayDate&lt;=$AC232)*(OFFSET($N$6,1,MATCH(AO$5,PayDedList,0)-1,PayCount,1)))/$AA232*12*AO$3,IF(ISNA(MATCH(AO$1,EarnListItem,0))=FALSE,SUMPRODUCT((PayEmp=$C232)*(PayDate&lt;=$AC232)*(OFFSET($N$6,1,MATCH(AO$5,PayDedList,0)-1,PayCount,1)))/$AA232*12*AO$3,(MIN(((SUMPRODUCT((PayEmp=$C232)*(PayDate&lt;=$AC232)*(ISERROR(SEARCH(PayEarnCode,AO$2)))*(PayEarnType="Monthly")*(PayEarnValues))/$AA232*12)+(SUMPRODUCT((PayEmp=$C232)*(PayDate&lt;=$AC232)*(ISERROR(SEARCH(PayEarnCode,AO$2)))*(PayEarnType="Quarterly")*(PayEarnValues))/MAX(1,ROUNDDOWN($AB232/3,0))*4)+(SUMPRODUCT((PayEmp=$C232)*(PayDate&lt;=$AC232)*(ISERROR(SEARCH(PayEarnCode,AO$2)))*(PayEarnType="Bi-Annual")*(PayEarnValues))/MAX(1,ROUNDDOWN($AB232/6,0))*2)+(SUMPRODUCT((PayEmp=$C232)*(PayDate&lt;=$AC232)*(ISERROR(SEARCH(PayEarnCode,AO$2)))*(PayEarnType="Annual")*(PayEarnValues)))),IF(ISNUMBER(OFFSET($N$3,0,MATCH(AO$5,PayDedList,0)-1,1,1)),OFFSET($N$3,0,MATCH(AO$5,PayDedList,0)-1,1,1),IgnoreMin)))*IF(COUNTIFS(EmpNo,$C232,OFFSET(Emp!$R$4,1,MATCH(AO$5,DedListItem,0)-1,EmpCount,1),"&lt;&gt;")&gt;0,VLOOKUP($C232,EmpAll,COLUMN(Emp!$R$4)+MATCH(AO$5,DedListItem,0)-1,0),OFFSET(Setup!$E$73,MATCH(AO$5,DedListItem,0),0,1,1))*AO$3))),IF(ISNUMBER(AO$4),AO$4,IgnoreMin)))))</f>
        <v>0</v>
      </c>
      <c r="AP232" s="148" cm="1">
        <f t="array" aca="1" ref="AP232" ca="1">-IF($F232="Terminated",0,IF($AA232=0,0,IF(ISNA(MATCH(AP$5,PayDedList,0)),0,MIN(IF(COUNTIFS(OverEmp,$C232,OverDeduct,AP$5,OverDate,"&lt;"&amp;DATE(YEAR($AC232),MONTH($AC232)+1,1),OverEnd,"&gt;="&amp;DATE(YEAR($AC232),MONTH($AC232),1))&gt;0,SUMPRODUCT((PayEmp=$C232)*(PayDate&lt;=$AC232)*(OFFSET($N$6,1,MATCH(AP$5,PayDedList,0)-1,PayCount,1)))/$AA232*12*AP$3,IF(OR(AP$1="Fixed",AP$1="Not Used"),SUMPRODUCT((PayEmp=$C232)*(PayDate&lt;=$AC232)*(OFFSET($N$6,1,MATCH(AP$5,PayDedList,0)-1,PayCount,1)))/$AA232*12*AP$3,IF(ISNA(MATCH(AP$1,EarnListItem,0))=FALSE,SUMPRODUCT((PayEmp=$C232)*(PayDate&lt;=$AC232)*(OFFSET($N$6,1,MATCH(AP$5,PayDedList,0)-1,PayCount,1)))/$AA232*12*AP$3,(MIN(((SUMPRODUCT((PayEmp=$C232)*(PayDate&lt;=$AC232)*(ISERROR(SEARCH(PayEarnCode,AP$2)))*(PayEarnType="Monthly")*(PayEarnValues))/$AA232*12)+(SUMPRODUCT((PayEmp=$C232)*(PayDate&lt;=$AC232)*(ISERROR(SEARCH(PayEarnCode,AP$2)))*(PayEarnType="Quarterly")*(PayEarnValues))/MAX(1,ROUNDDOWN($AB232/3,0))*4)+(SUMPRODUCT((PayEmp=$C232)*(PayDate&lt;=$AC232)*(ISERROR(SEARCH(PayEarnCode,AP$2)))*(PayEarnType="Bi-Annual")*(PayEarnValues))/MAX(1,ROUNDDOWN($AB232/6,0))*2)+(SUMPRODUCT((PayEmp=$C232)*(PayDate&lt;=$AC232)*(ISERROR(SEARCH(PayEarnCode,AP$2)))*(PayEarnType="Annual")*(PayEarnValues)))),IF(ISNUMBER(OFFSET($N$3,0,MATCH(AP$5,PayDedList,0)-1,1,1)),OFFSET($N$3,0,MATCH(AP$5,PayDedList,0)-1,1,1),IgnoreMin)))*IF(COUNTIFS(EmpNo,$C232,OFFSET(Emp!$R$4,1,MATCH(AP$5,DedListItem,0)-1,EmpCount,1),"&lt;&gt;")&gt;0,VLOOKUP($C232,EmpAll,COLUMN(Emp!$R$4)+MATCH(AP$5,DedListItem,0)-1,0),OFFSET(Setup!$E$73,MATCH(AP$5,DedListItem,0),0,1,1))*AP$3))),IF(ISNUMBER(AP$4),AP$4,IgnoreMin)))))</f>
        <v>0</v>
      </c>
      <c r="AQ232" s="148" cm="1">
        <f t="array" aca="1" ref="AQ232" ca="1">-IF($F232="Terminated",0,IF($AA232=0,0,IF(ISNA(MATCH(AQ$5,PayDedList,0)),0,MIN(IF(COUNTIFS(OverEmp,$C232,OverDeduct,AQ$5,OverDate,"&lt;"&amp;DATE(YEAR($AC232),MONTH($AC232)+1,1),OverEnd,"&gt;="&amp;DATE(YEAR($AC232),MONTH($AC232),1))&gt;0,SUMPRODUCT((PayEmp=$C232)*(PayDate&lt;=$AC232)*(OFFSET($N$6,1,MATCH(AQ$5,PayDedList,0)-1,PayCount,1)))/$AA232*12*AQ$3,IF(OR(AQ$1="Fixed",AQ$1="Not Used"),SUMPRODUCT((PayEmp=$C232)*(PayDate&lt;=$AC232)*(OFFSET($N$6,1,MATCH(AQ$5,PayDedList,0)-1,PayCount,1)))/$AA232*12*AQ$3,IF(ISNA(MATCH(AQ$1,EarnListItem,0))=FALSE,SUMPRODUCT((PayEmp=$C232)*(PayDate&lt;=$AC232)*(OFFSET($N$6,1,MATCH(AQ$5,PayDedList,0)-1,PayCount,1)))/$AA232*12*AQ$3,(MIN(((SUMPRODUCT((PayEmp=$C232)*(PayDate&lt;=$AC232)*(ISERROR(SEARCH(PayEarnCode,AQ$2)))*(PayEarnType="Monthly")*(PayEarnValues))/$AA232*12)+(SUMPRODUCT((PayEmp=$C232)*(PayDate&lt;=$AC232)*(ISERROR(SEARCH(PayEarnCode,AQ$2)))*(PayEarnType="Quarterly")*(PayEarnValues))/MAX(1,ROUNDDOWN($AB232/3,0))*4)+(SUMPRODUCT((PayEmp=$C232)*(PayDate&lt;=$AC232)*(ISERROR(SEARCH(PayEarnCode,AQ$2)))*(PayEarnType="Bi-Annual")*(PayEarnValues))/MAX(1,ROUNDDOWN($AB232/6,0))*2)+(SUMPRODUCT((PayEmp=$C232)*(PayDate&lt;=$AC232)*(ISERROR(SEARCH(PayEarnCode,AQ$2)))*(PayEarnType="Annual")*(PayEarnValues)))),IF(ISNUMBER(OFFSET($N$3,0,MATCH(AQ$5,PayDedList,0)-1,1,1)),OFFSET($N$3,0,MATCH(AQ$5,PayDedList,0)-1,1,1),IgnoreMin)))*IF(COUNTIFS(EmpNo,$C232,OFFSET(Emp!$R$4,1,MATCH(AQ$5,DedListItem,0)-1,EmpCount,1),"&lt;&gt;")&gt;0,VLOOKUP($C232,EmpAll,COLUMN(Emp!$R$4)+MATCH(AQ$5,DedListItem,0)-1,0),OFFSET(Setup!$E$73,MATCH(AQ$5,DedListItem,0),0,1,1))*AQ$3))),IF(ISNUMBER(AQ$4),AQ$4,IgnoreMin)))))</f>
        <v>0</v>
      </c>
      <c r="AR232" s="148">
        <f t="shared" ca="1" si="142"/>
        <v>0</v>
      </c>
      <c r="AS232" s="148">
        <f t="shared" ca="1" si="109"/>
        <v>0</v>
      </c>
      <c r="AT232" s="148" cm="1">
        <f t="array" aca="1" ref="AT232" ca="1">-IF($F232="Terminated",0,IF($AA232=0,0,IF(ISNA(MATCH(AT$5,PayDedList,0)),0,MIN(IF(COUNTIFS(OverEmp,$C232,OverDeduct,AT$5,OverDate,"&lt;"&amp;DATE(YEAR($AC232),MONTH($AC232)+1,1),OverEnd,"&gt;="&amp;DATE(YEAR($AC232),MONTH($AC232),1))&gt;0,SUMPRODUCT((PayEmp=$C232)*(PayDate&lt;=$AC232)*(OFFSET($N$6,1,MATCH(AT$5,PayDedList,0)-1,PayCount,1)))/$AA232*12*AT$3,IF(OR(AT$1="Fixed",AT$1="Not Used"),SUMPRODUCT((PayEmp=$C232)*(PayDate&lt;=$AC232)*(OFFSET($N$6,1,MATCH(AT$5,PayDedList,0)-1,PayCount,1)))/$AA232*12*AT$3,IF(ISNA(MATCH(OFFSET($N$2,0,MATCH(AT$5,PayDedList,0)-1,1,1),EarnListItem,0))=FALSE,SUMPRODUCT((PayEmp=$C232)*(PayDate&lt;=$AC232)*(OFFSET($N$6,1,MATCH(AT$5,PayDedList,0)-1,PayCount,1)))/$AA232*12*AT$3,(MIN(SUMPRODUCT((PayEmp=$C232)*(PayDate&lt;=$AC232)*(ISERROR(SEARCH(PayEarnCode,AT$2)))*(PayEarnType="Monthly")*(PayEarnValues))/$AA232*12,IF(ISNUMBER(OFFSET($N$3,0,MATCH(AT$5,PayDedList,0)-1,1,1)),OFFSET($N$3,0,MATCH(AT$5,PayDedList,0)-1,1,1),IgnoreMin)))*IF(COUNTIFS(EmpNo,$C232,OFFSET(Emp!$R$4,1,MATCH(AT$5,DedListItem,0)-1,EmpCount,1),"&lt;&gt;")&gt;0,VLOOKUP($C232,EmpAll,COLUMN(Emp!$R$4)+MATCH(AT$5,DedListItem,0)-1,0),OFFSET(Setup!$E$73,MATCH(AT$5,DedListItem,0),0,1,1))*AT$3))),IF(ISNUMBER(AT$4),AT$4,IgnoreMin)))))</f>
        <v>0</v>
      </c>
      <c r="AU232" s="148" cm="1">
        <f t="array" aca="1" ref="AU232" ca="1">-IF($F232="Terminated",0,IF($AA232=0,0,IF(ISNA(MATCH(AU$5,PayDedList,0)),0,MIN(IF(COUNTIFS(OverEmp,$C232,OverDeduct,AU$5,OverDate,"&lt;"&amp;DATE(YEAR($AC232),MONTH($AC232)+1,1),OverEnd,"&gt;="&amp;DATE(YEAR($AC232),MONTH($AC232),1))&gt;0,SUMPRODUCT((PayEmp=$C232)*(PayDate&lt;=$AC232)*(OFFSET($N$6,1,MATCH(AU$5,PayDedList,0)-1,PayCount,1)))/$AA232*12*AU$3,IF(OR(AU$1="Fixed",AU$1="Not Used"),SUMPRODUCT((PayEmp=$C232)*(PayDate&lt;=$AC232)*(OFFSET($N$6,1,MATCH(AU$5,PayDedList,0)-1,PayCount,1)))/$AA232*12*AU$3,IF(ISNA(MATCH(OFFSET($N$2,0,MATCH(AU$5,PayDedList,0)-1,1,1),EarnListItem,0))=FALSE,SUMPRODUCT((PayEmp=$C232)*(PayDate&lt;=$AC232)*(OFFSET($N$6,1,MATCH(AU$5,PayDedList,0)-1,PayCount,1)))/$AA232*12*AU$3,(MIN(SUMPRODUCT((PayEmp=$C232)*(PayDate&lt;=$AC232)*(ISERROR(SEARCH(PayEarnCode,AU$2)))*(PayEarnType="Monthly")*(PayEarnValues))/$AA232*12,IF(ISNUMBER(OFFSET($N$3,0,MATCH(AU$5,PayDedList,0)-1,1,1)),OFFSET($N$3,0,MATCH(AU$5,PayDedList,0)-1,1,1),IgnoreMin)))*IF(COUNTIFS(EmpNo,$C232,OFFSET(Emp!$R$4,1,MATCH(AU$5,DedListItem,0)-1,EmpCount,1),"&lt;&gt;")&gt;0,VLOOKUP($C232,EmpAll,COLUMN(Emp!$R$4)+MATCH(AU$5,DedListItem,0)-1,0),OFFSET(Setup!$E$73,MATCH(AU$5,DedListItem,0),0,1,1))*AU$3))),IF(ISNUMBER(AU$4),AU$4,IgnoreMin)))))</f>
        <v>0</v>
      </c>
      <c r="AV232" s="148" cm="1">
        <f t="array" aca="1" ref="AV232" ca="1">-IF($F232="Terminated",0,IF($AA232=0,0,IF(ISNA(MATCH(AV$5,PayDedList,0)),0,MIN(IF(COUNTIFS(OverEmp,$C232,OverDeduct,AV$5,OverDate,"&lt;"&amp;DATE(YEAR($AC232),MONTH($AC232)+1,1),OverEnd,"&gt;="&amp;DATE(YEAR($AC232),MONTH($AC232),1))&gt;0,SUMPRODUCT((PayEmp=$C232)*(PayDate&lt;=$AC232)*(OFFSET($N$6,1,MATCH(AV$5,PayDedList,0)-1,PayCount,1)))/$AA232*12*AV$3,IF(OR(AV$1="Fixed",AV$1="Not Used"),SUMPRODUCT((PayEmp=$C232)*(PayDate&lt;=$AC232)*(OFFSET($N$6,1,MATCH(AV$5,PayDedList,0)-1,PayCount,1)))/$AA232*12*AV$3,IF(ISNA(MATCH(OFFSET($N$2,0,MATCH(AV$5,PayDedList,0)-1,1,1),EarnListItem,0))=FALSE,SUMPRODUCT((PayEmp=$C232)*(PayDate&lt;=$AC232)*(OFFSET($N$6,1,MATCH(AV$5,PayDedList,0)-1,PayCount,1)))/$AA232*12*AV$3,(MIN(SUMPRODUCT((PayEmp=$C232)*(PayDate&lt;=$AC232)*(ISERROR(SEARCH(PayEarnCode,AV$2)))*(PayEarnType="Monthly")*(PayEarnValues))/$AA232*12,IF(ISNUMBER(OFFSET($N$3,0,MATCH(AV$5,PayDedList,0)-1,1,1)),OFFSET($N$3,0,MATCH(AV$5,PayDedList,0)-1,1,1),IgnoreMin)))*IF(COUNTIFS(EmpNo,$C232,OFFSET(Emp!$R$4,1,MATCH(AV$5,DedListItem,0)-1,EmpCount,1),"&lt;&gt;")&gt;0,VLOOKUP($C232,EmpAll,COLUMN(Emp!$R$4)+MATCH(AV$5,DedListItem,0)-1,0),OFFSET(Setup!$E$73,MATCH(AV$5,DedListItem,0),0,1,1))*AV$3))),IF(ISNUMBER(AV$4),AV$4,IgnoreMin)))))</f>
        <v>0</v>
      </c>
      <c r="AW232" s="148" cm="1">
        <f t="array" aca="1" ref="AW232" ca="1">-IF($F232="Terminated",0,IF($AA232=0,0,IF(ISNA(MATCH(AW$5,PayDedList,0)),0,MIN(IF(COUNTIFS(OverEmp,$C232,OverDeduct,AW$5,OverDate,"&lt;"&amp;DATE(YEAR($AC232),MONTH($AC232)+1,1),OverEnd,"&gt;="&amp;DATE(YEAR($AC232),MONTH($AC232),1))&gt;0,SUMPRODUCT((PayEmp=$C232)*(PayDate&lt;=$AC232)*(OFFSET($N$6,1,MATCH(AW$5,PayDedList,0)-1,PayCount,1)))/$AA232*12*AW$3,IF(OR(AW$1="Fixed",AW$1="Not Used"),SUMPRODUCT((PayEmp=$C232)*(PayDate&lt;=$AC232)*(OFFSET($N$6,1,MATCH(AW$5,PayDedList,0)-1,PayCount,1)))/$AA232*12*AW$3,IF(ISNA(MATCH(OFFSET($N$2,0,MATCH(AW$5,PayDedList,0)-1,1,1),EarnListItem,0))=FALSE,SUMPRODUCT((PayEmp=$C232)*(PayDate&lt;=$AC232)*(OFFSET($N$6,1,MATCH(AW$5,PayDedList,0)-1,PayCount,1)))/$AA232*12*AW$3,(MIN(SUMPRODUCT((PayEmp=$C232)*(PayDate&lt;=$AC232)*(ISERROR(SEARCH(PayEarnCode,AW$2)))*(PayEarnType="Monthly")*(PayEarnValues))/$AA232*12,IF(ISNUMBER(OFFSET($N$3,0,MATCH(AW$5,PayDedList,0)-1,1,1)),OFFSET($N$3,0,MATCH(AW$5,PayDedList,0)-1,1,1),IgnoreMin)))*IF(COUNTIFS(EmpNo,$C232,OFFSET(Emp!$R$4,1,MATCH(AW$5,DedListItem,0)-1,EmpCount,1),"&lt;&gt;")&gt;0,VLOOKUP($C232,EmpAll,COLUMN(Emp!$R$4)+MATCH(AW$5,DedListItem,0)-1,0),OFFSET(Setup!$E$73,MATCH(AW$5,DedListItem,0),0,1,1))*AW$3))),IF(ISNUMBER(AW$4),AW$4,IgnoreMin)))))</f>
        <v>0</v>
      </c>
      <c r="AX232" s="148">
        <f t="shared" ca="1" si="143"/>
        <v>0</v>
      </c>
      <c r="AY232" s="148">
        <f t="shared" ca="1" si="144"/>
        <v>0</v>
      </c>
      <c r="AZ232" s="148">
        <f ca="1">IF(ISNUMBER($AL232),($AR232*$AL232)-$AI232-$AK232,MAX(0,IF($AL232="B",IF($AR232&lt;Setup!$C$32,($AR232*Setup!$D$32)-$AI232-$AK232,(($AR232-VLOOKUP($AR232,TaxAll2,1,1))*OFFSET(Setup!$D$32,MATCH($AR232,TaxBracket2,1),0,1,1))+OFFSET(Setup!$E$31,MATCH($AR232,TaxBracket2,1),0,1,1)-$AI232-$AK232),IF($AR232&lt;Setup!$C$21,($AR232*Setup!$D$21)-$AI232-$AK232,(($AR232-VLOOKUP($AR232,TaxAll1,1,1))*OFFSET(Setup!$D$21,MATCH($AR232,TaxBracket1,1),0,1,1))+OFFSET(Setup!$E$20,MATCH($AR232,TaxBracket1,1),0,1,1)-$AI232-$AK232))))</f>
        <v>0</v>
      </c>
      <c r="BA232" s="148">
        <f ca="1">IF(ISNUMBER($AL232),($AX232*$AL232)-$AI232-$AK232,MAX(0,IF($AL232="B",IF($AX232&lt;Setup!$C$32,($AX232*Setup!$D$32)-$AI232-$AK232,(($AX232-VLOOKUP($AX232,TaxAll2,1,1))*OFFSET(Setup!$D$32,MATCH($AX232,TaxBracket2,1),0,1,1))+OFFSET(Setup!$E$31,MATCH($AX232,TaxBracket2,1),0,1,1)-$AI232-$AK232),IF($AX232&lt;Setup!$C$21,($AX232*Setup!$D$21)-$AI232-$AK232,(($AX232-VLOOKUP($AX232,TaxAll1,1,1))*OFFSET(Setup!$D$21,MATCH($AX232,TaxBracket1,1),0,1,1))+OFFSET(Setup!$E$20,MATCH($AX232,TaxBracket1,1),0,1,1)-$AI232-$AK232))))</f>
        <v>0</v>
      </c>
      <c r="BB232" s="148">
        <f t="shared" ca="1" si="145"/>
        <v>0</v>
      </c>
      <c r="BC232" s="150">
        <f t="shared" ca="1" si="110"/>
        <v>0</v>
      </c>
      <c r="BD232" s="150">
        <f t="shared" ca="1" si="111"/>
        <v>0</v>
      </c>
      <c r="BE232" s="148">
        <f t="shared" ca="1" si="112"/>
        <v>0</v>
      </c>
    </row>
    <row r="233" spans="1:57" ht="16.149999999999999" customHeight="1" x14ac:dyDescent="0.25">
      <c r="A233" s="10" t="str" cm="1">
        <f t="array" ref="A233">IF(ROW($A233)-ROW($A$6)&gt;EmpCount*12,"-",TEXT($B233,"yyyy")&amp;TEXT($B233,"mm")&amp;"-"&amp;$C233)</f>
        <v>-</v>
      </c>
      <c r="B233" s="137" cm="1">
        <f t="array" aca="1" ref="B233" ca="1">IF(ROW($A233)-ROW($A$6)&gt;EmpCount*12,Setup!$D$12,DATE(YEAR(Setup!$F$12),MONTH(Setup!$F$12)+ROUNDDOWN((ROW($A233)-ROW($A$6)-1)/EmpCount,0),IF(Setup!$C$14&gt;DAY(DATE(YEAR(Setup!$F$12),MONTH(Setup!$F$12)+ROUNDDOWN((ROW($A233)-ROW($A$6)-1)/EmpCount,0)+1,0)),DAY(DATE(YEAR(Setup!$F$12),MONTH(Setup!$F$12)+ROUNDDOWN((ROW($A233)-ROW($A$6)-1)/EmpCount,0)+1,0)),Setup!$C$14)))</f>
        <v>45351</v>
      </c>
      <c r="C233" s="101" t="str" cm="1">
        <f t="array" aca="1" ref="C233" ca="1">IF(ROW($A233)-ROW($A$6)&gt;EmpCount*12,"-",OFFSET(Emp!$A$4,ROW($A233)-ROW($A$6)-IF(ROW($A233)-ROW($A$6)&gt;EmpCount,ROUNDDOWN((ROW($A233)-ROW($A$6)-1)/EmpCount,0)*EmpCount,0),0,1,1))</f>
        <v>-</v>
      </c>
      <c r="D233" s="10" t="str">
        <f ca="1">IF(ISNA(VLOOKUP($C233,EmpAll,COLUMN(Emp!$B$4),0)),"-",VLOOKUP($C233,EmpAll,COLUMN(Emp!$B$4),0))</f>
        <v>-</v>
      </c>
      <c r="E233" s="145" t="str">
        <f ca="1">IF(ISNA(VLOOKUP($C233,EmpAll,COLUMN(Emp!$C$4),0)),"-",VLOOKUP($C233,EmpAll,COLUMN(Emp!$C$4),0))</f>
        <v>-</v>
      </c>
      <c r="F233" s="101" t="str">
        <f ca="1">IF(ISNA(VLOOKUP($C233,EmpAll,COLUMN(Emp!$A$4),0)),"-",IF(AND(VLOOKUP($C233,EmpAll,COLUMN(Emp!$E$4),0)&lt;&gt;0,VLOOKUP($C233,EmpAll,COLUMN(Emp!$E$4),0)&gt;=DATE(YEAR($AC233),MONTH($AC233)+1,0)),"Inactive",IF(AND(VLOOKUP($C233,EmpAll,COLUMN(Emp!$F$4),0)&lt;&gt;0,VLOOKUP($C233,EmpAll,COLUMN(Emp!$F$4),0)&lt;=DATE(YEAR($AC233),MONTH($AC233),0)),"Terminated","Active")))</f>
        <v>-</v>
      </c>
      <c r="G233" s="133" cm="1">
        <f t="array" aca="1" ref="G233" ca="1">IF($F233&lt;&gt;"Active",0,IF(COUNTIFS(OverEmp,$C233,OverEarn,G$2,OverDate,"&lt;"&amp;DATE(YEAR($AC233),MONTH($AC233)+1,1),OverEnd,"&gt;="&amp;DATE(YEAR($AC233),MONTH($AC233),1))&gt;0,SUMIFS(OverValue,OverEmp,$C233,OverEarn,G$2,OverDate,"&lt;"&amp;DATE(YEAR($AC233),MONTH($AC233)+1,1),OverEnd,"&gt;="&amp;DATE(YEAR($AC233),MONTH($AC233),1)),IF(AND($AC233&gt;=Setup!$E$10,SUMIFS(EmpIncrease,EmpCode,$C233)&gt;0),SUMIFS(EmpIncrease,EmpCode,$C233),SUMIFS(EmpSalary,EmpCode,$C233))))</f>
        <v>0</v>
      </c>
      <c r="H233" s="133" cm="1">
        <f t="array" aca="1" ref="H233" ca="1">IF($F233&lt;&gt;"Active",0,IF(COUNTIFS(OverEmp,$C233,OverEarn,H$2,OverDate,"&lt;"&amp;DATE(YEAR($AC233),MONTH($AC233)+1,1),OverEnd,"&gt;="&amp;DATE(YEAR($AC233),MONTH($AC233),1))&gt;0,SUMIFS(OverValue,OverEmp,$C233,OverEarn,H$2,OverDate,"&lt;"&amp;DATE(YEAR($AC233),MONTH($AC233)+1,1),OverEnd,"&gt;="&amp;DATE(YEAR($AC233),MONTH($AC233),1)),0))</f>
        <v>0</v>
      </c>
      <c r="I233" s="133" cm="1">
        <f t="array" aca="1" ref="I233" ca="1">IF($F233&lt;&gt;"Active",0,IF(COUNTIFS(OverEmp,$C233,OverEarn,I$2,OverDate,"&lt;"&amp;DATE(YEAR($AC233),MONTH($AC233)+1,1),OverEnd,"&gt;="&amp;DATE(YEAR($AC233),MONTH($AC233),1))&gt;0,SUMIFS(OverValue,OverEmp,$C233,OverEarn,I$2,OverDate,"&lt;"&amp;DATE(YEAR($AC233),MONTH($AC233)+1,1),OverEnd,"&gt;="&amp;DATE(YEAR($AC233),MONTH($AC233),1)),IF(MONTH(B233)=Setup!$C$15,SUMIFS(EmpBonus,EmpCode,$C233),0)))</f>
        <v>0</v>
      </c>
      <c r="J233" s="133" cm="1">
        <f t="array" aca="1" ref="J233" ca="1">IF($F233&lt;&gt;"Active",0,IF(COUNTIFS(OverEmp,$C233,OverEarn,J$2,OverDate,"&lt;"&amp;DATE(YEAR($AC233),MONTH($AC233)+1,1),OverEnd,"&gt;="&amp;DATE(YEAR($AC233),MONTH($AC233),1))&gt;0,SUMIFS(OverValue,OverEmp,$C233,OverEarn,J$2,OverDate,"&lt;"&amp;DATE(YEAR($AC233),MONTH($AC233)+1,1),OverEnd,"&gt;="&amp;DATE(YEAR($AC233),MONTH($AC233),1)),0))</f>
        <v>0</v>
      </c>
      <c r="K233" s="133" cm="1">
        <f t="array" aca="1" ref="K233" ca="1">IF($F233&lt;&gt;"Active",0,IF(COUNTIFS(OverEmp,$C233,OverEarn,K$2,OverDate,"&lt;"&amp;DATE(YEAR($AC233),MONTH($AC233)+1,1),OverEnd,"&gt;="&amp;DATE(YEAR($AC233),MONTH($AC233),1))&gt;0,SUMIFS(OverValue,OverEmp,$C233,OverEarn,K$2,OverDate,"&lt;"&amp;DATE(YEAR($AC233),MONTH($AC233)+1,1),OverEnd,"&gt;="&amp;DATE(YEAR($AC233),MONTH($AC233),1)),0))</f>
        <v>0</v>
      </c>
      <c r="L233" s="185">
        <f t="shared" ca="1" si="135"/>
        <v>0</v>
      </c>
      <c r="M233" s="182" cm="1">
        <f t="array" aca="1" ref="M233" ca="1">IF(COUNTIFS(OverEmp,$C233,OverTax,M$5,OverDate,"&lt;"&amp;DATE(YEAR($AC233),MONTH($AC233)+1,1),OverEnd,"&gt;="&amp;DATE(YEAR($AC233),MONTH($AC233),1))&gt;0,SUMIFS(OverValue,OverEmp,$C233,OverTax,M$5,OverDate,"&lt;"&amp;DATE(YEAR($AC233),MONTH($AC233)+1,1),OverEnd,"&gt;="&amp;DATE(YEAR($AC233),MONTH($AC233),1)),(($BA233/12*$AA233)+(BB233*IF(1-$BC233=0,0,BD233/(1-$BC233))))-IF($F233="Terminated",0,SUMIFS(PayTaxDeduct,PayDate,"&lt;"&amp;$AC233,PayEmp,$C233)))</f>
        <v>0</v>
      </c>
      <c r="N233" s="133" cm="1">
        <f t="array" aca="1" ref="N233" ca="1">IF($F233="Terminated",0,IF($AA233=0,0,IF(ISNA(MATCH(N$5,DedListItem,0)),0,IF(COUNTIFS(OverEmp,$C233,OverDeduct,N$5,OverDate,"&lt;"&amp;DATE(YEAR($AC233),MONTH($AC233)+1,1),OverEnd,"&gt;="&amp;DATE(YEAR($AC233),MONTH($AC233),1))&gt;0,SUMIFS(OverValue,OverEmp,$C233,OverDeduct,N$5,OverDate,"&lt;"&amp;DATE(YEAR($AC233),MONTH($AC233)+1,1),OverEnd,"&gt;="&amp;DATE(YEAR($AC233),MONTH($AC233),1)),IF(OR(N$2="Fixed",N$2="Not Used"),(IF(COUNTIFS(EmpNo,$C233,OFFSET(Emp!$R$4,1,MATCH(N$5,DedListItem,0)-1,EmpCount,1),"&lt;&gt;")&gt;0,VLOOKUP($C233,EmpAll,COLUMN(Emp!$R$4)+MATCH(N$5,DedListItem,0)-1,0),OFFSET(Setup!$E$73,MATCH(N$5,DedListItem,0),0,1,1))*$AA233)-SUMIFS(OFFSET(N$6,1,0,PayCount,1),PayDate,"&lt;"&amp;$AC233,PayEmp,$C233),IF(ISNA(MATCH(N$2,EarnListItem,0))=FALSE,IF(OFFSET(Setup!$G$73,MATCH(N$5,DedListItem,0),0,1,1)="Taxable",SUMPRODUCT((PayEmp=$C233)*(PayDate&lt;=$AC233)*(PayEarnCode=N$2)*(PayEarnTax)*(PayEarnValues)),SUMPRODUCT((PayEmp=$C233)*(PayDate&lt;=$AC233)*(PayEarnCode=N$2)*(PayEarnValues)))*IF(COUNTIFS(EmpNo,$C233,OFFSET(Emp!$R$4,1,MATCH(N$5,DedListItem,0)-1,EmpCount,1),"&lt;&gt;")&gt;0,VLOOKUP($C233,EmpAll,COLUMN(Emp!$R$4)+MATCH(N$5,DedListItem,0)-1,0),OFFSET(Setup!$E$73,MATCH(N$5,DedListItem,0),0,1,1)),(MIN(IF(OFFSET(Setup!$G$73,MATCH(N$5,DedListItem,0),0,1,1)="Taxable",SUMPRODUCT((PayEmp=$C233)*(PayDate&lt;=$AC233)*(ISERROR(SEARCH(PayEarnCode,N$4)))*(PayEarnTax)*(PayEarnValues)),SUMPRODUCT((PayEmp=$C233)*(PayDate&lt;=$AC233)*(ISERROR(SEARCH(PayEarnCode,N$4)))*(PayEarnValues))),IF(ISNUMBER(N$3),N$3/12*$AA233,IgnoreMin)))*IF(COUNTIFS(EmpNo,$C233,OFFSET(Emp!$R$4,1,MATCH(N$5,DedListItem,0)-1,EmpCount,1),"&lt;&gt;")&gt;0,VLOOKUP($C233,EmpAll,COLUMN(Emp!$R$4)+MATCH(N$5,DedListItem,0)-1,0),OFFSET(Setup!$E$73,MATCH(N$5,DedListItem,0),0,1,1)))-SUMIFS(OFFSET(N$6,1,0,PayCount,1),PayDate,"&lt;"&amp;$AC233,PayEmp,$C233))))))</f>
        <v>0</v>
      </c>
      <c r="O233" s="133" cm="1">
        <f t="array" aca="1" ref="O233" ca="1">IF($F233="Terminated",0,IF($AA233=0,0,IF(ISNA(MATCH(O$5,DedListItem,0)),0,IF(COUNTIFS(OverEmp,$C233,OverDeduct,O$5,OverDate,"&lt;"&amp;DATE(YEAR($AC233),MONTH($AC233)+1,1),OverEnd,"&gt;="&amp;DATE(YEAR($AC233),MONTH($AC233),1))&gt;0,SUMIFS(OverValue,OverEmp,$C233,OverDeduct,O$5,OverDate,"&lt;"&amp;DATE(YEAR($AC233),MONTH($AC233)+1,1),OverEnd,"&gt;="&amp;DATE(YEAR($AC233),MONTH($AC233),1)),IF(OR(O$2="Fixed",O$2="Not Used"),(IF(COUNTIFS(EmpNo,$C233,OFFSET(Emp!$R$4,1,MATCH(O$5,DedListItem,0)-1,EmpCount,1),"&lt;&gt;")&gt;0,VLOOKUP($C233,EmpAll,COLUMN(Emp!$R$4)+MATCH(O$5,DedListItem,0)-1,0),OFFSET(Setup!$E$73,MATCH(O$5,DedListItem,0),0,1,1))*$AA233)-SUMIFS(OFFSET(O$6,1,0,PayCount,1),PayDate,"&lt;"&amp;$AC233,PayEmp,$C233),IF(ISNA(MATCH(O$2,EarnListItem,0))=FALSE,IF(OFFSET(Setup!$G$73,MATCH(O$5,DedListItem,0),0,1,1)="Taxable",SUMPRODUCT((PayEmp=$C233)*(PayDate&lt;=$AC233)*(PayEarnCode=O$2)*(PayEarnTax)*(PayEarnValues)),SUMPRODUCT((PayEmp=$C233)*(PayDate&lt;=$AC233)*(PayEarnCode=O$2)*(PayEarnValues)))*IF(COUNTIFS(EmpNo,$C233,OFFSET(Emp!$R$4,1,MATCH(O$5,DedListItem,0)-1,EmpCount,1),"&lt;&gt;")&gt;0,VLOOKUP($C233,EmpAll,COLUMN(Emp!$R$4)+MATCH(O$5,DedListItem,0)-1,0),OFFSET(Setup!$E$73,MATCH(O$5,DedListItem,0),0,1,1)),(MIN(IF(OFFSET(Setup!$G$73,MATCH(O$5,DedListItem,0),0,1,1)="Taxable",SUMPRODUCT((PayEmp=$C233)*(PayDate&lt;=$AC233)*(ISERROR(SEARCH(PayEarnCode,O$4)))*(PayEarnTax)*(PayEarnValues)),SUMPRODUCT((PayEmp=$C233)*(PayDate&lt;=$AC233)*(ISERROR(SEARCH(PayEarnCode,O$4)))*(PayEarnValues))),IF(ISNUMBER(O$3),O$3/12*$AA233,IgnoreMin)))*IF(COUNTIFS(EmpNo,$C233,OFFSET(Emp!$R$4,1,MATCH(O$5,DedListItem,0)-1,EmpCount,1),"&lt;&gt;")&gt;0,VLOOKUP($C233,EmpAll,COLUMN(Emp!$R$4)+MATCH(O$5,DedListItem,0)-1,0),OFFSET(Setup!$E$73,MATCH(O$5,DedListItem,0),0,1,1)))-SUMIFS(OFFSET(O$6,1,0,PayCount,1),PayDate,"&lt;"&amp;$AC233,PayEmp,$C233))))))</f>
        <v>0</v>
      </c>
      <c r="P233" s="133" cm="1">
        <f t="array" aca="1" ref="P233" ca="1">IF($F233="Terminated",0,IF($AA233=0,0,IF(ISNA(MATCH(P$5,DedListItem,0)),0,IF(COUNTIFS(OverEmp,$C233,OverDeduct,P$5,OverDate,"&lt;"&amp;DATE(YEAR($AC233),MONTH($AC233)+1,1),OverEnd,"&gt;="&amp;DATE(YEAR($AC233),MONTH($AC233),1))&gt;0,SUMIFS(OverValue,OverEmp,$C233,OverDeduct,P$5,OverDate,"&lt;"&amp;DATE(YEAR($AC233),MONTH($AC233)+1,1),OverEnd,"&gt;="&amp;DATE(YEAR($AC233),MONTH($AC233),1)),IF(OR(P$2="Fixed",P$2="Not Used"),(IF(COUNTIFS(EmpNo,$C233,OFFSET(Emp!$R$4,1,MATCH(P$5,DedListItem,0)-1,EmpCount,1),"&lt;&gt;")&gt;0,VLOOKUP($C233,EmpAll,COLUMN(Emp!$R$4)+MATCH(P$5,DedListItem,0)-1,0),OFFSET(Setup!$E$73,MATCH(P$5,DedListItem,0),0,1,1))*$AA233)-SUMIFS(OFFSET(P$6,1,0,PayCount,1),PayDate,"&lt;"&amp;$AC233,PayEmp,$C233),IF(ISNA(MATCH(P$2,EarnListItem,0))=FALSE,IF(OFFSET(Setup!$G$73,MATCH(P$5,DedListItem,0),0,1,1)="Taxable",SUMPRODUCT((PayEmp=$C233)*(PayDate&lt;=$AC233)*(PayEarnCode=P$2)*(PayEarnTax)*(PayEarnValues)),SUMPRODUCT((PayEmp=$C233)*(PayDate&lt;=$AC233)*(PayEarnCode=P$2)*(PayEarnValues)))*IF(COUNTIFS(EmpNo,$C233,OFFSET(Emp!$R$4,1,MATCH(P$5,DedListItem,0)-1,EmpCount,1),"&lt;&gt;")&gt;0,VLOOKUP($C233,EmpAll,COLUMN(Emp!$R$4)+MATCH(P$5,DedListItem,0)-1,0),OFFSET(Setup!$E$73,MATCH(P$5,DedListItem,0),0,1,1)),(MIN(IF(OFFSET(Setup!$G$73,MATCH(P$5,DedListItem,0),0,1,1)="Taxable",SUMPRODUCT((PayEmp=$C233)*(PayDate&lt;=$AC233)*(ISERROR(SEARCH(PayEarnCode,P$4)))*(PayEarnTax)*(PayEarnValues)),SUMPRODUCT((PayEmp=$C233)*(PayDate&lt;=$AC233)*(ISERROR(SEARCH(PayEarnCode,P$4)))*(PayEarnValues))),IF(ISNUMBER(P$3),P$3/12*$AA233,IgnoreMin)))*IF(COUNTIFS(EmpNo,$C233,OFFSET(Emp!$R$4,1,MATCH(P$5,DedListItem,0)-1,EmpCount,1),"&lt;&gt;")&gt;0,VLOOKUP($C233,EmpAll,COLUMN(Emp!$R$4)+MATCH(P$5,DedListItem,0)-1,0),OFFSET(Setup!$E$73,MATCH(P$5,DedListItem,0),0,1,1)))-SUMIFS(OFFSET(P$6,1,0,PayCount,1),PayDate,"&lt;"&amp;$AC233,PayEmp,$C233))))))</f>
        <v>0</v>
      </c>
      <c r="Q233" s="133" cm="1">
        <f t="array" aca="1" ref="Q233" ca="1">IF($F233="Terminated",0,IF($AA233=0,0,IF(ISNA(MATCH(Q$5,DedListItem,0)),0,IF(COUNTIFS(OverEmp,$C233,OverDeduct,Q$5,OverDate,"&lt;"&amp;DATE(YEAR($AC233),MONTH($AC233)+1,1),OverEnd,"&gt;="&amp;DATE(YEAR($AC233),MONTH($AC233),1))&gt;0,SUMIFS(OverValue,OverEmp,$C233,OverDeduct,Q$5,OverDate,"&lt;"&amp;DATE(YEAR($AC233),MONTH($AC233)+1,1),OverEnd,"&gt;="&amp;DATE(YEAR($AC233),MONTH($AC233),1)),IF(OR(Q$2="Fixed",Q$2="Not Used"),(IF(COUNTIFS(EmpNo,$C233,OFFSET(Emp!$R$4,1,MATCH(Q$5,DedListItem,0)-1,EmpCount,1),"&lt;&gt;")&gt;0,VLOOKUP($C233,EmpAll,COLUMN(Emp!$R$4)+MATCH(Q$5,DedListItem,0)-1,0),OFFSET(Setup!$E$73,MATCH(Q$5,DedListItem,0),0,1,1))*$AA233)-SUMIFS(OFFSET(Q$6,1,0,PayCount,1),PayDate,"&lt;"&amp;$AC233,PayEmp,$C233),IF(ISNA(MATCH(Q$2,EarnListItem,0))=FALSE,IF(OFFSET(Setup!$G$73,MATCH(Q$5,DedListItem,0),0,1,1)="Taxable",SUMPRODUCT((PayEmp=$C233)*(PayDate&lt;=$AC233)*(PayEarnCode=Q$2)*(PayEarnTax)*(PayEarnValues)),SUMPRODUCT((PayEmp=$C233)*(PayDate&lt;=$AC233)*(PayEarnCode=Q$2)*(PayEarnValues)))*IF(COUNTIFS(EmpNo,$C233,OFFSET(Emp!$R$4,1,MATCH(Q$5,DedListItem,0)-1,EmpCount,1),"&lt;&gt;")&gt;0,VLOOKUP($C233,EmpAll,COLUMN(Emp!$R$4)+MATCH(Q$5,DedListItem,0)-1,0),OFFSET(Setup!$E$73,MATCH(Q$5,DedListItem,0),0,1,1)),(MIN(IF(OFFSET(Setup!$G$73,MATCH(Q$5,DedListItem,0),0,1,1)="Taxable",SUMPRODUCT((PayEmp=$C233)*(PayDate&lt;=$AC233)*(ISERROR(SEARCH(PayEarnCode,Q$4)))*(PayEarnTax)*(PayEarnValues)),SUMPRODUCT((PayEmp=$C233)*(PayDate&lt;=$AC233)*(ISERROR(SEARCH(PayEarnCode,Q$4)))*(PayEarnValues))),IF(ISNUMBER(Q$3),Q$3/12*$AA233,IgnoreMin)))*IF(COUNTIFS(EmpNo,$C233,OFFSET(Emp!$R$4,1,MATCH(Q$5,DedListItem,0)-1,EmpCount,1),"&lt;&gt;")&gt;0,VLOOKUP($C233,EmpAll,COLUMN(Emp!$R$4)+MATCH(Q$5,DedListItem,0)-1,0),OFFSET(Setup!$E$73,MATCH(Q$5,DedListItem,0),0,1,1)))-SUMIFS(OFFSET(Q$6,1,0,PayCount,1),PayDate,"&lt;"&amp;$AC233,PayEmp,$C233))))))</f>
        <v>0</v>
      </c>
      <c r="R233" s="185">
        <f t="shared" ca="1" si="136"/>
        <v>0</v>
      </c>
      <c r="S233" s="139">
        <f t="shared" ca="1" si="137"/>
        <v>0</v>
      </c>
      <c r="T233" s="133" cm="1">
        <f t="array" aca="1" ref="T233" ca="1">IF($F233="Terminated",0,IF($AA233=0,0,IF(ISNA(MATCH(T$5,CompListItem,0)),0,IF(COUNTIFS(OverEmp,$C233,OverComp,T$5,OverDate,"&lt;"&amp;DATE(YEAR($AC233),MONTH($AC233)+1,1),OverEnd,"&gt;="&amp;DATE(YEAR($AC233),MONTH($AC233),1))&gt;0,SUMIFS(OverValue,OverEmp,$C233,OverComp,T$5,OverDate,"&lt;"&amp;DATE(YEAR($AC233),MONTH($AC233)+1,1),OverEnd,"&gt;="&amp;DATE(YEAR($AC233),MONTH($AC233),1)),IF(OR(T$2="Fixed",T$2="Not Used"),(OFFSET(Setup!$E$81,MATCH(T$5,CompListItem,0),0,1,1)*$AA233)-SUMIFS(OFFSET(T$6,1,0,PayCount,1),PayDate,"&lt;"&amp;$AC233,PayEmp,$C233),IF(ISNA(MATCH(T$2,DedListItem,0))=FALSE,(SUMPRODUCT((PayEmp=$C233)*(PayDate&lt;=$AC233)*(PayDedList=T$2)*(PayDedValues))*OFFSET(Setup!$E$81,MATCH(T$5,CompListItem,0),0,1,1))-SUMIFS(OFFSET(T$6,1,0,PayCount,1),PayDate,"&lt;"&amp;$AC233,PayEmp,$C233),(MIN(IF(OFFSET(Setup!$G$81,MATCH(T$5,CompListItem,0),0,1,1)="Taxable",SUMPRODUCT((PayEmp=$C233)*(PayDate&lt;=$AC233)*(ISERROR(SEARCH(PayEarnCode,T$4)))*(PayEarnTax)*(PayEarnValues)),SUMPRODUCT((PayEmp=$C233)*(PayDate&lt;=$AC233)*(ISERROR(SEARCH(PayEarnCode,T$4)))*(PayEarnValues))),IF(ISNUMBER(T$3),T$3/12*$AA233,IgnoreMin)))*OFFSET(Setup!$E$81,MATCH(T$5,CompListItem,0),0,1,1)-SUMIFS(OFFSET(T$6,1,0,PayCount,1),PayDate,"&lt;"&amp;$AC233,PayEmp,$C233)))))))</f>
        <v>0</v>
      </c>
      <c r="U233" s="133" cm="1">
        <f t="array" aca="1" ref="U233" ca="1">IF($F233="Terminated",0,IF($AA233=0,0,IF(ISNA(MATCH(U$5,CompListItem,0)),0,IF(COUNTIFS(OverEmp,$C233,OverComp,U$5,OverDate,"&lt;"&amp;DATE(YEAR($AC233),MONTH($AC233)+1,1),OverEnd,"&gt;="&amp;DATE(YEAR($AC233),MONTH($AC233),1))&gt;0,SUMIFS(OverValue,OverEmp,$C233,OverComp,U$5,OverDate,"&lt;"&amp;DATE(YEAR($AC233),MONTH($AC233)+1,1),OverEnd,"&gt;="&amp;DATE(YEAR($AC233),MONTH($AC233),1)),IF(OR(U$2="Fixed",U$2="Not Used"),(OFFSET(Setup!$E$81,MATCH(U$5,CompListItem,0),0,1,1)*$AA233)-SUMIFS(OFFSET(U$6,1,0,PayCount,1),PayDate,"&lt;"&amp;$AC233,PayEmp,$C233),IF(ISNA(MATCH(U$2,DedListItem,0))=FALSE,(SUMPRODUCT((PayEmp=$C233)*(PayDate&lt;=$AC233)*(PayDedList=U$2)*(PayDedValues))*OFFSET(Setup!$E$81,MATCH(U$5,CompListItem,0),0,1,1))-SUMIFS(OFFSET(U$6,1,0,PayCount,1),PayDate,"&lt;"&amp;$AC233,PayEmp,$C233),(MIN(IF(OFFSET(Setup!$G$81,MATCH(U$5,CompListItem,0),0,1,1)="Taxable",SUMPRODUCT((PayEmp=$C233)*(PayDate&lt;=$AC233)*(ISERROR(SEARCH(PayEarnCode,U$4)))*(PayEarnTax)*(PayEarnValues)),SUMPRODUCT((PayEmp=$C233)*(PayDate&lt;=$AC233)*(ISERROR(SEARCH(PayEarnCode,U$4)))*(PayEarnValues))),IF(ISNUMBER(U$3),U$3/12*$AA233,IgnoreMin)))*OFFSET(Setup!$E$81,MATCH(U$5,CompListItem,0),0,1,1)-SUMIFS(OFFSET(U$6,1,0,PayCount,1),PayDate,"&lt;"&amp;$AC233,PayEmp,$C233)))))))</f>
        <v>0</v>
      </c>
      <c r="V233" s="133" cm="1">
        <f t="array" aca="1" ref="V233" ca="1">IF($F233="Terminated",0,IF($AA233=0,0,IF(ISNA(MATCH(V$5,CompListItem,0)),0,IF(COUNTIFS(OverEmp,$C233,OverComp,V$5,OverDate,"&lt;"&amp;DATE(YEAR($AC233),MONTH($AC233)+1,1),OverEnd,"&gt;="&amp;DATE(YEAR($AC233),MONTH($AC233),1))&gt;0,SUMIFS(OverValue,OverEmp,$C233,OverComp,V$5,OverDate,"&lt;"&amp;DATE(YEAR($AC233),MONTH($AC233)+1,1),OverEnd,"&gt;="&amp;DATE(YEAR($AC233),MONTH($AC233),1)),IF(OR(V$2="Fixed",V$2="Not Used"),(OFFSET(Setup!$E$81,MATCH(V$5,CompListItem,0),0,1,1)*$AA233)-SUMIFS(OFFSET(V$6,1,0,PayCount,1),PayDate,"&lt;"&amp;$AC233,PayEmp,$C233),IF(ISNA(MATCH(V$2,DedListItem,0))=FALSE,(SUMPRODUCT((PayEmp=$C233)*(PayDate&lt;=$AC233)*(PayDedList=V$2)*(PayDedValues))*OFFSET(Setup!$E$81,MATCH(V$5,CompListItem,0),0,1,1))-SUMIFS(OFFSET(V$6,1,0,PayCount,1),PayDate,"&lt;"&amp;$AC233,PayEmp,$C233),(MIN(IF(OFFSET(Setup!$G$81,MATCH(V$5,CompListItem,0),0,1,1)="Taxable",SUMPRODUCT((PayEmp=$C233)*(PayDate&lt;=$AC233)*(ISERROR(SEARCH(PayEarnCode,V$4)))*(PayEarnTax)*(PayEarnValues)),SUMPRODUCT((PayEmp=$C233)*(PayDate&lt;=$AC233)*(ISERROR(SEARCH(PayEarnCode,V$4)))*(PayEarnValues))),IF(ISNUMBER(V$3),V$3/12*$AA233,IgnoreMin)))*OFFSET(Setup!$E$81,MATCH(V$5,CompListItem,0),0,1,1)-SUMIFS(OFFSET(V$6,1,0,PayCount,1),PayDate,"&lt;"&amp;$AC233,PayEmp,$C233)))))))</f>
        <v>0</v>
      </c>
      <c r="W233" s="133" cm="1">
        <f t="array" aca="1" ref="W233" ca="1">IF($F233="Terminated",0,IF($AA233=0,0,IF(ISNA(MATCH(W$5,CompListItem,0)),0,IF(COUNTIFS(OverEmp,$C233,OverComp,W$5,OverDate,"&lt;"&amp;DATE(YEAR($AC233),MONTH($AC233)+1,1),OverEnd,"&gt;="&amp;DATE(YEAR($AC233),MONTH($AC233),1))&gt;0,SUMIFS(OverValue,OverEmp,$C233,OverComp,W$5,OverDate,"&lt;"&amp;DATE(YEAR($AC233),MONTH($AC233)+1,1),OverEnd,"&gt;="&amp;DATE(YEAR($AC233),MONTH($AC233),1)),IF(OR(W$2="Fixed",W$2="Not Used"),(OFFSET(Setup!$E$81,MATCH(W$5,CompListItem,0),0,1,1)*$AA233)-SUMIFS(OFFSET(W$6,1,0,PayCount,1),PayDate,"&lt;"&amp;$AC233,PayEmp,$C233),IF(ISNA(MATCH(W$2,DedListItem,0))=FALSE,(SUMPRODUCT((PayEmp=$C233)*(PayDate&lt;=$AC233)*(PayDedList=W$2)*(PayDedValues))*OFFSET(Setup!$E$81,MATCH(W$5,CompListItem,0),0,1,1))-SUMIFS(OFFSET(W$6,1,0,PayCount,1),PayDate,"&lt;"&amp;$AC233,PayEmp,$C233),(MIN(IF(OFFSET(Setup!$G$81,MATCH(W$5,CompListItem,0),0,1,1)="Taxable",SUMPRODUCT((PayEmp=$C233)*(PayDate&lt;=$AC233)*(ISERROR(SEARCH(PayEarnCode,W$4)))*(PayEarnTax)*(PayEarnValues)),SUMPRODUCT((PayEmp=$C233)*(PayDate&lt;=$AC233)*(ISERROR(SEARCH(PayEarnCode,W$4)))*(PayEarnValues))),IF(ISNUMBER(W$3),W$3/12*$AA233,IgnoreMin)))*OFFSET(Setup!$E$81,MATCH(W$5,CompListItem,0),0,1,1)-SUMIFS(OFFSET(W$6,1,0,PayCount,1),PayDate,"&lt;"&amp;$AC233,PayEmp,$C233)))))))</f>
        <v>0</v>
      </c>
      <c r="X233" s="185">
        <f t="shared" ca="1" si="138"/>
        <v>0</v>
      </c>
      <c r="Y233" s="139">
        <f t="shared" ca="1" si="139"/>
        <v>0</v>
      </c>
      <c r="Z233" s="139">
        <f t="shared" ca="1" si="140"/>
        <v>0</v>
      </c>
      <c r="AA233" s="146">
        <f ca="1">IF(OR($B233&lt;=Setup!$E$12,$B233&gt;=Setup!$D$12+1),0,IF($F233&lt;&gt;"Active",0,IF($AE233="Yes",$AB233,((YEAR($AC233)*12)+MONTH($AC233))-((YEAR($AD233)*12)+MONTH($AD233)-1))))</f>
        <v>0</v>
      </c>
      <c r="AB233" s="146">
        <f ca="1">IF(OR($B233&lt;=Setup!$E$12,$B233&gt;=Setup!$D$12+1),0,((YEAR($AC233)*12)+MONTH($AC233))-((YEAR(Setup!$E$12)*12)+MONTH(Setup!$E$12)))</f>
        <v>12</v>
      </c>
      <c r="AC233" s="186">
        <f t="shared" ca="1" si="141"/>
        <v>45351</v>
      </c>
      <c r="AD233" s="144">
        <f ca="1">IF(ISNA(VLOOKUP($C233,EmpAll,COLUMN(Emp!$E$4),0)),$AC233,IF(VLOOKUP($C233,EmpAll,COLUMN(Emp!$E$4),0)&lt;=Setup!$E$12,DATE(YEAR(Setup!$E$12),MONTH(Setup!$E$12)+1,1),VLOOKUP($C233,EmpAll,COLUMN(Emp!$E$4),0)))</f>
        <v>45351</v>
      </c>
      <c r="AE233" s="144" t="str">
        <f ca="1">IF(ISNA(VLOOKUP($C233,EmpAll,COLUMN(Emp!$G$1),0)),"-",IF(VLOOKUP($C233,EmpAll,COLUMN(Emp!$G$1),0)=0,"-",VLOOKUP($C233,EmpAll,COLUMN(Emp!$G$1),0)))</f>
        <v>-</v>
      </c>
      <c r="AF233" s="145">
        <f>IF(A233=PaySlip!$G$3,1,0)</f>
        <v>0</v>
      </c>
      <c r="AG233" s="130" cm="1">
        <f t="array" aca="1" ref="AG233" ca="1">IF(COUNTIFS(OverEmp,$C233,OverMed,"MED",OverDate,"&lt;"&amp;DATE(YEAR($AC233),MONTH($AC233)+1,1),OverEnd,"&gt;="&amp;DATE(YEAR($AC233),MONTH($AC233),1))&gt;0,SUMIFS(OverValue,OverEmp,$C233,OverMed,"MED",OverDate,"&lt;"&amp;DATE(YEAR($AC233),MONTH($AC233)+1,1),OverEnd,"&gt;="&amp;DATE(YEAR($AC233),MONTH($AC233),1)),IF(ISNA(VLOOKUP($C233,EmpAll,COLUMN(Emp!$N$4),0)),0,VLOOKUP($C233,EmpAll,COLUMN(Emp!$N$4),0)))</f>
        <v>0</v>
      </c>
      <c r="AH233" s="146">
        <f ca="1">VLOOKUP($AG233,MedList,COLUMN(Setup!$C$49),1)</f>
        <v>0</v>
      </c>
      <c r="AI233" s="146">
        <f t="shared" ca="1" si="107"/>
        <v>0</v>
      </c>
      <c r="AJ233" s="101" t="str">
        <f ca="1">IF(ISNA(VLOOKUP($C233,EmpAll,COLUMN(Emp!$L$4),0)),"None!",VLOOKUP($C233,EmpAll,COLUMN(Emp!$L$4),0))</f>
        <v>None!</v>
      </c>
      <c r="AK233" s="147">
        <f t="shared" ca="1" si="102"/>
        <v>17235</v>
      </c>
      <c r="AL233" s="101" t="str">
        <f ca="1">IF(ISNA(VLOOKUP($C233,Employees[],COLUMN(Emp!$M$4),0))=TRUE,"Error!",IF(VLOOKUP($C233,Employees[],COLUMN(Emp!$M$4),0)=0,"Yes",VLOOKUP($C233,Employees[],COLUMN(Emp!$M$4),0)))</f>
        <v>Error!</v>
      </c>
      <c r="AM233" s="148">
        <f t="shared" ca="1" si="108"/>
        <v>0</v>
      </c>
      <c r="AN233" s="148" cm="1">
        <f t="array" aca="1" ref="AN233" ca="1">-IF($F233="Terminated",0,IF($AA233=0,0,IF(ISNA(MATCH(AN$5,PayDedList,0)),0,MIN(IF(COUNTIFS(OverEmp,$C233,OverDeduct,AN$5,OverDate,"&lt;"&amp;DATE(YEAR($AC233),MONTH($AC233)+1,1),OverEnd,"&gt;="&amp;DATE(YEAR($AC233),MONTH($AC233),1))&gt;0,SUMPRODUCT((PayEmp=$C233)*(PayDate&lt;=$AC233)*(OFFSET($N$6,1,MATCH(AN$5,PayDedList,0)-1,PayCount,1)))/$AA233*12*AN$3,IF(OR(AN$1="Fixed",AN$1="Not Used"),SUMPRODUCT((PayEmp=$C233)*(PayDate&lt;=$AC233)*(OFFSET($N$6,1,MATCH(AN$5,PayDedList,0)-1,PayCount,1)))/$AA233*12*AN$3,IF(ISNA(MATCH(AN$1,EarnListItem,0))=FALSE,SUMPRODUCT((PayEmp=$C233)*(PayDate&lt;=$AC233)*(OFFSET($N$6,1,MATCH(AN$5,PayDedList,0)-1,PayCount,1)))/$AA233*12*AN$3,(MIN(((SUMPRODUCT((PayEmp=$C233)*(PayDate&lt;=$AC233)*(ISERROR(SEARCH(PayEarnCode,AN$2)))*(PayEarnType="Monthly")*(PayEarnValues))/$AA233*12)+(SUMPRODUCT((PayEmp=$C233)*(PayDate&lt;=$AC233)*(ISERROR(SEARCH(PayEarnCode,AN$2)))*(PayEarnType="Quarterly")*(PayEarnValues))/MAX(1,ROUNDDOWN($AB233/3,0))*4)+(SUMPRODUCT((PayEmp=$C233)*(PayDate&lt;=$AC233)*(ISERROR(SEARCH(PayEarnCode,AN$2)))*(PayEarnType="Bi-Annual")*(PayEarnValues))/MAX(1,ROUNDDOWN($AB233/6,0))*2)+(SUMPRODUCT((PayEmp=$C233)*(PayDate&lt;=$AC233)*(ISERROR(SEARCH(PayEarnCode,AN$2)))*(PayEarnType="Annual")*(PayEarnValues)))),IF(ISNUMBER(OFFSET($N$3,0,MATCH(AN$5,PayDedList,0)-1,1,1)),OFFSET($N$3,0,MATCH(AN$5,PayDedList,0)-1,1,1),IgnoreMin)))*IF(COUNTIFS(EmpNo,$C233,OFFSET(Emp!$R$4,1,MATCH(AN$5,DedListItem,0)-1,EmpCount,1),"&lt;&gt;")&gt;0,VLOOKUP($C233,EmpAll,COLUMN(Emp!$R$4)+MATCH(AN$5,DedListItem,0)-1,0),OFFSET(Setup!$E$73,MATCH(AN$5,DedListItem,0),0,1,1))*AN$3))),IF(ISNUMBER(AN$4),AN$4,IgnoreMin)))))</f>
        <v>0</v>
      </c>
      <c r="AO233" s="148" cm="1">
        <f t="array" aca="1" ref="AO233" ca="1">-IF($F233="Terminated",0,IF($AA233=0,0,IF(ISNA(MATCH(AO$5,PayDedList,0)),0,MIN(IF(COUNTIFS(OverEmp,$C233,OverDeduct,AO$5,OverDate,"&lt;"&amp;DATE(YEAR($AC233),MONTH($AC233)+1,1),OverEnd,"&gt;="&amp;DATE(YEAR($AC233),MONTH($AC233),1))&gt;0,SUMPRODUCT((PayEmp=$C233)*(PayDate&lt;=$AC233)*(OFFSET($N$6,1,MATCH(AO$5,PayDedList,0)-1,PayCount,1)))/$AA233*12*AO$3,IF(OR(AO$1="Fixed",AO$1="Not Used"),SUMPRODUCT((PayEmp=$C233)*(PayDate&lt;=$AC233)*(OFFSET($N$6,1,MATCH(AO$5,PayDedList,0)-1,PayCount,1)))/$AA233*12*AO$3,IF(ISNA(MATCH(AO$1,EarnListItem,0))=FALSE,SUMPRODUCT((PayEmp=$C233)*(PayDate&lt;=$AC233)*(OFFSET($N$6,1,MATCH(AO$5,PayDedList,0)-1,PayCount,1)))/$AA233*12*AO$3,(MIN(((SUMPRODUCT((PayEmp=$C233)*(PayDate&lt;=$AC233)*(ISERROR(SEARCH(PayEarnCode,AO$2)))*(PayEarnType="Monthly")*(PayEarnValues))/$AA233*12)+(SUMPRODUCT((PayEmp=$C233)*(PayDate&lt;=$AC233)*(ISERROR(SEARCH(PayEarnCode,AO$2)))*(PayEarnType="Quarterly")*(PayEarnValues))/MAX(1,ROUNDDOWN($AB233/3,0))*4)+(SUMPRODUCT((PayEmp=$C233)*(PayDate&lt;=$AC233)*(ISERROR(SEARCH(PayEarnCode,AO$2)))*(PayEarnType="Bi-Annual")*(PayEarnValues))/MAX(1,ROUNDDOWN($AB233/6,0))*2)+(SUMPRODUCT((PayEmp=$C233)*(PayDate&lt;=$AC233)*(ISERROR(SEARCH(PayEarnCode,AO$2)))*(PayEarnType="Annual")*(PayEarnValues)))),IF(ISNUMBER(OFFSET($N$3,0,MATCH(AO$5,PayDedList,0)-1,1,1)),OFFSET($N$3,0,MATCH(AO$5,PayDedList,0)-1,1,1),IgnoreMin)))*IF(COUNTIFS(EmpNo,$C233,OFFSET(Emp!$R$4,1,MATCH(AO$5,DedListItem,0)-1,EmpCount,1),"&lt;&gt;")&gt;0,VLOOKUP($C233,EmpAll,COLUMN(Emp!$R$4)+MATCH(AO$5,DedListItem,0)-1,0),OFFSET(Setup!$E$73,MATCH(AO$5,DedListItem,0),0,1,1))*AO$3))),IF(ISNUMBER(AO$4),AO$4,IgnoreMin)))))</f>
        <v>0</v>
      </c>
      <c r="AP233" s="148" cm="1">
        <f t="array" aca="1" ref="AP233" ca="1">-IF($F233="Terminated",0,IF($AA233=0,0,IF(ISNA(MATCH(AP$5,PayDedList,0)),0,MIN(IF(COUNTIFS(OverEmp,$C233,OverDeduct,AP$5,OverDate,"&lt;"&amp;DATE(YEAR($AC233),MONTH($AC233)+1,1),OverEnd,"&gt;="&amp;DATE(YEAR($AC233),MONTH($AC233),1))&gt;0,SUMPRODUCT((PayEmp=$C233)*(PayDate&lt;=$AC233)*(OFFSET($N$6,1,MATCH(AP$5,PayDedList,0)-1,PayCount,1)))/$AA233*12*AP$3,IF(OR(AP$1="Fixed",AP$1="Not Used"),SUMPRODUCT((PayEmp=$C233)*(PayDate&lt;=$AC233)*(OFFSET($N$6,1,MATCH(AP$5,PayDedList,0)-1,PayCount,1)))/$AA233*12*AP$3,IF(ISNA(MATCH(AP$1,EarnListItem,0))=FALSE,SUMPRODUCT((PayEmp=$C233)*(PayDate&lt;=$AC233)*(OFFSET($N$6,1,MATCH(AP$5,PayDedList,0)-1,PayCount,1)))/$AA233*12*AP$3,(MIN(((SUMPRODUCT((PayEmp=$C233)*(PayDate&lt;=$AC233)*(ISERROR(SEARCH(PayEarnCode,AP$2)))*(PayEarnType="Monthly")*(PayEarnValues))/$AA233*12)+(SUMPRODUCT((PayEmp=$C233)*(PayDate&lt;=$AC233)*(ISERROR(SEARCH(PayEarnCode,AP$2)))*(PayEarnType="Quarterly")*(PayEarnValues))/MAX(1,ROUNDDOWN($AB233/3,0))*4)+(SUMPRODUCT((PayEmp=$C233)*(PayDate&lt;=$AC233)*(ISERROR(SEARCH(PayEarnCode,AP$2)))*(PayEarnType="Bi-Annual")*(PayEarnValues))/MAX(1,ROUNDDOWN($AB233/6,0))*2)+(SUMPRODUCT((PayEmp=$C233)*(PayDate&lt;=$AC233)*(ISERROR(SEARCH(PayEarnCode,AP$2)))*(PayEarnType="Annual")*(PayEarnValues)))),IF(ISNUMBER(OFFSET($N$3,0,MATCH(AP$5,PayDedList,0)-1,1,1)),OFFSET($N$3,0,MATCH(AP$5,PayDedList,0)-1,1,1),IgnoreMin)))*IF(COUNTIFS(EmpNo,$C233,OFFSET(Emp!$R$4,1,MATCH(AP$5,DedListItem,0)-1,EmpCount,1),"&lt;&gt;")&gt;0,VLOOKUP($C233,EmpAll,COLUMN(Emp!$R$4)+MATCH(AP$5,DedListItem,0)-1,0),OFFSET(Setup!$E$73,MATCH(AP$5,DedListItem,0),0,1,1))*AP$3))),IF(ISNUMBER(AP$4),AP$4,IgnoreMin)))))</f>
        <v>0</v>
      </c>
      <c r="AQ233" s="148" cm="1">
        <f t="array" aca="1" ref="AQ233" ca="1">-IF($F233="Terminated",0,IF($AA233=0,0,IF(ISNA(MATCH(AQ$5,PayDedList,0)),0,MIN(IF(COUNTIFS(OverEmp,$C233,OverDeduct,AQ$5,OverDate,"&lt;"&amp;DATE(YEAR($AC233),MONTH($AC233)+1,1),OverEnd,"&gt;="&amp;DATE(YEAR($AC233),MONTH($AC233),1))&gt;0,SUMPRODUCT((PayEmp=$C233)*(PayDate&lt;=$AC233)*(OFFSET($N$6,1,MATCH(AQ$5,PayDedList,0)-1,PayCount,1)))/$AA233*12*AQ$3,IF(OR(AQ$1="Fixed",AQ$1="Not Used"),SUMPRODUCT((PayEmp=$C233)*(PayDate&lt;=$AC233)*(OFFSET($N$6,1,MATCH(AQ$5,PayDedList,0)-1,PayCount,1)))/$AA233*12*AQ$3,IF(ISNA(MATCH(AQ$1,EarnListItem,0))=FALSE,SUMPRODUCT((PayEmp=$C233)*(PayDate&lt;=$AC233)*(OFFSET($N$6,1,MATCH(AQ$5,PayDedList,0)-1,PayCount,1)))/$AA233*12*AQ$3,(MIN(((SUMPRODUCT((PayEmp=$C233)*(PayDate&lt;=$AC233)*(ISERROR(SEARCH(PayEarnCode,AQ$2)))*(PayEarnType="Monthly")*(PayEarnValues))/$AA233*12)+(SUMPRODUCT((PayEmp=$C233)*(PayDate&lt;=$AC233)*(ISERROR(SEARCH(PayEarnCode,AQ$2)))*(PayEarnType="Quarterly")*(PayEarnValues))/MAX(1,ROUNDDOWN($AB233/3,0))*4)+(SUMPRODUCT((PayEmp=$C233)*(PayDate&lt;=$AC233)*(ISERROR(SEARCH(PayEarnCode,AQ$2)))*(PayEarnType="Bi-Annual")*(PayEarnValues))/MAX(1,ROUNDDOWN($AB233/6,0))*2)+(SUMPRODUCT((PayEmp=$C233)*(PayDate&lt;=$AC233)*(ISERROR(SEARCH(PayEarnCode,AQ$2)))*(PayEarnType="Annual")*(PayEarnValues)))),IF(ISNUMBER(OFFSET($N$3,0,MATCH(AQ$5,PayDedList,0)-1,1,1)),OFFSET($N$3,0,MATCH(AQ$5,PayDedList,0)-1,1,1),IgnoreMin)))*IF(COUNTIFS(EmpNo,$C233,OFFSET(Emp!$R$4,1,MATCH(AQ$5,DedListItem,0)-1,EmpCount,1),"&lt;&gt;")&gt;0,VLOOKUP($C233,EmpAll,COLUMN(Emp!$R$4)+MATCH(AQ$5,DedListItem,0)-1,0),OFFSET(Setup!$E$73,MATCH(AQ$5,DedListItem,0),0,1,1))*AQ$3))),IF(ISNUMBER(AQ$4),AQ$4,IgnoreMin)))))</f>
        <v>0</v>
      </c>
      <c r="AR233" s="148">
        <f t="shared" ca="1" si="142"/>
        <v>0</v>
      </c>
      <c r="AS233" s="148">
        <f t="shared" ca="1" si="109"/>
        <v>0</v>
      </c>
      <c r="AT233" s="148" cm="1">
        <f t="array" aca="1" ref="AT233" ca="1">-IF($F233="Terminated",0,IF($AA233=0,0,IF(ISNA(MATCH(AT$5,PayDedList,0)),0,MIN(IF(COUNTIFS(OverEmp,$C233,OverDeduct,AT$5,OverDate,"&lt;"&amp;DATE(YEAR($AC233),MONTH($AC233)+1,1),OverEnd,"&gt;="&amp;DATE(YEAR($AC233),MONTH($AC233),1))&gt;0,SUMPRODUCT((PayEmp=$C233)*(PayDate&lt;=$AC233)*(OFFSET($N$6,1,MATCH(AT$5,PayDedList,0)-1,PayCount,1)))/$AA233*12*AT$3,IF(OR(AT$1="Fixed",AT$1="Not Used"),SUMPRODUCT((PayEmp=$C233)*(PayDate&lt;=$AC233)*(OFFSET($N$6,1,MATCH(AT$5,PayDedList,0)-1,PayCount,1)))/$AA233*12*AT$3,IF(ISNA(MATCH(OFFSET($N$2,0,MATCH(AT$5,PayDedList,0)-1,1,1),EarnListItem,0))=FALSE,SUMPRODUCT((PayEmp=$C233)*(PayDate&lt;=$AC233)*(OFFSET($N$6,1,MATCH(AT$5,PayDedList,0)-1,PayCount,1)))/$AA233*12*AT$3,(MIN(SUMPRODUCT((PayEmp=$C233)*(PayDate&lt;=$AC233)*(ISERROR(SEARCH(PayEarnCode,AT$2)))*(PayEarnType="Monthly")*(PayEarnValues))/$AA233*12,IF(ISNUMBER(OFFSET($N$3,0,MATCH(AT$5,PayDedList,0)-1,1,1)),OFFSET($N$3,0,MATCH(AT$5,PayDedList,0)-1,1,1),IgnoreMin)))*IF(COUNTIFS(EmpNo,$C233,OFFSET(Emp!$R$4,1,MATCH(AT$5,DedListItem,0)-1,EmpCount,1),"&lt;&gt;")&gt;0,VLOOKUP($C233,EmpAll,COLUMN(Emp!$R$4)+MATCH(AT$5,DedListItem,0)-1,0),OFFSET(Setup!$E$73,MATCH(AT$5,DedListItem,0),0,1,1))*AT$3))),IF(ISNUMBER(AT$4),AT$4,IgnoreMin)))))</f>
        <v>0</v>
      </c>
      <c r="AU233" s="148" cm="1">
        <f t="array" aca="1" ref="AU233" ca="1">-IF($F233="Terminated",0,IF($AA233=0,0,IF(ISNA(MATCH(AU$5,PayDedList,0)),0,MIN(IF(COUNTIFS(OverEmp,$C233,OverDeduct,AU$5,OverDate,"&lt;"&amp;DATE(YEAR($AC233),MONTH($AC233)+1,1),OverEnd,"&gt;="&amp;DATE(YEAR($AC233),MONTH($AC233),1))&gt;0,SUMPRODUCT((PayEmp=$C233)*(PayDate&lt;=$AC233)*(OFFSET($N$6,1,MATCH(AU$5,PayDedList,0)-1,PayCount,1)))/$AA233*12*AU$3,IF(OR(AU$1="Fixed",AU$1="Not Used"),SUMPRODUCT((PayEmp=$C233)*(PayDate&lt;=$AC233)*(OFFSET($N$6,1,MATCH(AU$5,PayDedList,0)-1,PayCount,1)))/$AA233*12*AU$3,IF(ISNA(MATCH(OFFSET($N$2,0,MATCH(AU$5,PayDedList,0)-1,1,1),EarnListItem,0))=FALSE,SUMPRODUCT((PayEmp=$C233)*(PayDate&lt;=$AC233)*(OFFSET($N$6,1,MATCH(AU$5,PayDedList,0)-1,PayCount,1)))/$AA233*12*AU$3,(MIN(SUMPRODUCT((PayEmp=$C233)*(PayDate&lt;=$AC233)*(ISERROR(SEARCH(PayEarnCode,AU$2)))*(PayEarnType="Monthly")*(PayEarnValues))/$AA233*12,IF(ISNUMBER(OFFSET($N$3,0,MATCH(AU$5,PayDedList,0)-1,1,1)),OFFSET($N$3,0,MATCH(AU$5,PayDedList,0)-1,1,1),IgnoreMin)))*IF(COUNTIFS(EmpNo,$C233,OFFSET(Emp!$R$4,1,MATCH(AU$5,DedListItem,0)-1,EmpCount,1),"&lt;&gt;")&gt;0,VLOOKUP($C233,EmpAll,COLUMN(Emp!$R$4)+MATCH(AU$5,DedListItem,0)-1,0),OFFSET(Setup!$E$73,MATCH(AU$5,DedListItem,0),0,1,1))*AU$3))),IF(ISNUMBER(AU$4),AU$4,IgnoreMin)))))</f>
        <v>0</v>
      </c>
      <c r="AV233" s="148" cm="1">
        <f t="array" aca="1" ref="AV233" ca="1">-IF($F233="Terminated",0,IF($AA233=0,0,IF(ISNA(MATCH(AV$5,PayDedList,0)),0,MIN(IF(COUNTIFS(OverEmp,$C233,OverDeduct,AV$5,OverDate,"&lt;"&amp;DATE(YEAR($AC233),MONTH($AC233)+1,1),OverEnd,"&gt;="&amp;DATE(YEAR($AC233),MONTH($AC233),1))&gt;0,SUMPRODUCT((PayEmp=$C233)*(PayDate&lt;=$AC233)*(OFFSET($N$6,1,MATCH(AV$5,PayDedList,0)-1,PayCount,1)))/$AA233*12*AV$3,IF(OR(AV$1="Fixed",AV$1="Not Used"),SUMPRODUCT((PayEmp=$C233)*(PayDate&lt;=$AC233)*(OFFSET($N$6,1,MATCH(AV$5,PayDedList,0)-1,PayCount,1)))/$AA233*12*AV$3,IF(ISNA(MATCH(OFFSET($N$2,0,MATCH(AV$5,PayDedList,0)-1,1,1),EarnListItem,0))=FALSE,SUMPRODUCT((PayEmp=$C233)*(PayDate&lt;=$AC233)*(OFFSET($N$6,1,MATCH(AV$5,PayDedList,0)-1,PayCount,1)))/$AA233*12*AV$3,(MIN(SUMPRODUCT((PayEmp=$C233)*(PayDate&lt;=$AC233)*(ISERROR(SEARCH(PayEarnCode,AV$2)))*(PayEarnType="Monthly")*(PayEarnValues))/$AA233*12,IF(ISNUMBER(OFFSET($N$3,0,MATCH(AV$5,PayDedList,0)-1,1,1)),OFFSET($N$3,0,MATCH(AV$5,PayDedList,0)-1,1,1),IgnoreMin)))*IF(COUNTIFS(EmpNo,$C233,OFFSET(Emp!$R$4,1,MATCH(AV$5,DedListItem,0)-1,EmpCount,1),"&lt;&gt;")&gt;0,VLOOKUP($C233,EmpAll,COLUMN(Emp!$R$4)+MATCH(AV$5,DedListItem,0)-1,0),OFFSET(Setup!$E$73,MATCH(AV$5,DedListItem,0),0,1,1))*AV$3))),IF(ISNUMBER(AV$4),AV$4,IgnoreMin)))))</f>
        <v>0</v>
      </c>
      <c r="AW233" s="148" cm="1">
        <f t="array" aca="1" ref="AW233" ca="1">-IF($F233="Terminated",0,IF($AA233=0,0,IF(ISNA(MATCH(AW$5,PayDedList,0)),0,MIN(IF(COUNTIFS(OverEmp,$C233,OverDeduct,AW$5,OverDate,"&lt;"&amp;DATE(YEAR($AC233),MONTH($AC233)+1,1),OverEnd,"&gt;="&amp;DATE(YEAR($AC233),MONTH($AC233),1))&gt;0,SUMPRODUCT((PayEmp=$C233)*(PayDate&lt;=$AC233)*(OFFSET($N$6,1,MATCH(AW$5,PayDedList,0)-1,PayCount,1)))/$AA233*12*AW$3,IF(OR(AW$1="Fixed",AW$1="Not Used"),SUMPRODUCT((PayEmp=$C233)*(PayDate&lt;=$AC233)*(OFFSET($N$6,1,MATCH(AW$5,PayDedList,0)-1,PayCount,1)))/$AA233*12*AW$3,IF(ISNA(MATCH(OFFSET($N$2,0,MATCH(AW$5,PayDedList,0)-1,1,1),EarnListItem,0))=FALSE,SUMPRODUCT((PayEmp=$C233)*(PayDate&lt;=$AC233)*(OFFSET($N$6,1,MATCH(AW$5,PayDedList,0)-1,PayCount,1)))/$AA233*12*AW$3,(MIN(SUMPRODUCT((PayEmp=$C233)*(PayDate&lt;=$AC233)*(ISERROR(SEARCH(PayEarnCode,AW$2)))*(PayEarnType="Monthly")*(PayEarnValues))/$AA233*12,IF(ISNUMBER(OFFSET($N$3,0,MATCH(AW$5,PayDedList,0)-1,1,1)),OFFSET($N$3,0,MATCH(AW$5,PayDedList,0)-1,1,1),IgnoreMin)))*IF(COUNTIFS(EmpNo,$C233,OFFSET(Emp!$R$4,1,MATCH(AW$5,DedListItem,0)-1,EmpCount,1),"&lt;&gt;")&gt;0,VLOOKUP($C233,EmpAll,COLUMN(Emp!$R$4)+MATCH(AW$5,DedListItem,0)-1,0),OFFSET(Setup!$E$73,MATCH(AW$5,DedListItem,0),0,1,1))*AW$3))),IF(ISNUMBER(AW$4),AW$4,IgnoreMin)))))</f>
        <v>0</v>
      </c>
      <c r="AX233" s="148">
        <f t="shared" ca="1" si="143"/>
        <v>0</v>
      </c>
      <c r="AY233" s="148">
        <f t="shared" ca="1" si="144"/>
        <v>0</v>
      </c>
      <c r="AZ233" s="148">
        <f ca="1">IF(ISNUMBER($AL233),($AR233*$AL233)-$AI233-$AK233,MAX(0,IF($AL233="B",IF($AR233&lt;Setup!$C$32,($AR233*Setup!$D$32)-$AI233-$AK233,(($AR233-VLOOKUP($AR233,TaxAll2,1,1))*OFFSET(Setup!$D$32,MATCH($AR233,TaxBracket2,1),0,1,1))+OFFSET(Setup!$E$31,MATCH($AR233,TaxBracket2,1),0,1,1)-$AI233-$AK233),IF($AR233&lt;Setup!$C$21,($AR233*Setup!$D$21)-$AI233-$AK233,(($AR233-VLOOKUP($AR233,TaxAll1,1,1))*OFFSET(Setup!$D$21,MATCH($AR233,TaxBracket1,1),0,1,1))+OFFSET(Setup!$E$20,MATCH($AR233,TaxBracket1,1),0,1,1)-$AI233-$AK233))))</f>
        <v>0</v>
      </c>
      <c r="BA233" s="148">
        <f ca="1">IF(ISNUMBER($AL233),($AX233*$AL233)-$AI233-$AK233,MAX(0,IF($AL233="B",IF($AX233&lt;Setup!$C$32,($AX233*Setup!$D$32)-$AI233-$AK233,(($AX233-VLOOKUP($AX233,TaxAll2,1,1))*OFFSET(Setup!$D$32,MATCH($AX233,TaxBracket2,1),0,1,1))+OFFSET(Setup!$E$31,MATCH($AX233,TaxBracket2,1),0,1,1)-$AI233-$AK233),IF($AX233&lt;Setup!$C$21,($AX233*Setup!$D$21)-$AI233-$AK233,(($AX233-VLOOKUP($AX233,TaxAll1,1,1))*OFFSET(Setup!$D$21,MATCH($AX233,TaxBracket1,1),0,1,1))+OFFSET(Setup!$E$20,MATCH($AX233,TaxBracket1,1),0,1,1)-$AI233-$AK233))))</f>
        <v>0</v>
      </c>
      <c r="BB233" s="148">
        <f t="shared" ca="1" si="145"/>
        <v>0</v>
      </c>
      <c r="BC233" s="150">
        <f t="shared" ca="1" si="110"/>
        <v>0</v>
      </c>
      <c r="BD233" s="150">
        <f t="shared" ca="1" si="111"/>
        <v>0</v>
      </c>
      <c r="BE233" s="148">
        <f t="shared" ca="1" si="112"/>
        <v>0</v>
      </c>
    </row>
    <row r="234" spans="1:57" ht="16.149999999999999" customHeight="1" x14ac:dyDescent="0.25">
      <c r="A234" s="10" t="str" cm="1">
        <f t="array" ref="A234">IF(ROW($A234)-ROW($A$6)&gt;EmpCount*12,"-",TEXT($B234,"yyyy")&amp;TEXT($B234,"mm")&amp;"-"&amp;$C234)</f>
        <v>-</v>
      </c>
      <c r="B234" s="137" cm="1">
        <f t="array" aca="1" ref="B234" ca="1">IF(ROW($A234)-ROW($A$6)&gt;EmpCount*12,Setup!$D$12,DATE(YEAR(Setup!$F$12),MONTH(Setup!$F$12)+ROUNDDOWN((ROW($A234)-ROW($A$6)-1)/EmpCount,0),IF(Setup!$C$14&gt;DAY(DATE(YEAR(Setup!$F$12),MONTH(Setup!$F$12)+ROUNDDOWN((ROW($A234)-ROW($A$6)-1)/EmpCount,0)+1,0)),DAY(DATE(YEAR(Setup!$F$12),MONTH(Setup!$F$12)+ROUNDDOWN((ROW($A234)-ROW($A$6)-1)/EmpCount,0)+1,0)),Setup!$C$14)))</f>
        <v>45351</v>
      </c>
      <c r="C234" s="101" t="str" cm="1">
        <f t="array" aca="1" ref="C234" ca="1">IF(ROW($A234)-ROW($A$6)&gt;EmpCount*12,"-",OFFSET(Emp!$A$4,ROW($A234)-ROW($A$6)-IF(ROW($A234)-ROW($A$6)&gt;EmpCount,ROUNDDOWN((ROW($A234)-ROW($A$6)-1)/EmpCount,0)*EmpCount,0),0,1,1))</f>
        <v>-</v>
      </c>
      <c r="D234" s="10" t="str">
        <f ca="1">IF(ISNA(VLOOKUP($C234,EmpAll,COLUMN(Emp!$B$4),0)),"-",VLOOKUP($C234,EmpAll,COLUMN(Emp!$B$4),0))</f>
        <v>-</v>
      </c>
      <c r="E234" s="145" t="str">
        <f ca="1">IF(ISNA(VLOOKUP($C234,EmpAll,COLUMN(Emp!$C$4),0)),"-",VLOOKUP($C234,EmpAll,COLUMN(Emp!$C$4),0))</f>
        <v>-</v>
      </c>
      <c r="F234" s="101" t="str">
        <f ca="1">IF(ISNA(VLOOKUP($C234,EmpAll,COLUMN(Emp!$A$4),0)),"-",IF(AND(VLOOKUP($C234,EmpAll,COLUMN(Emp!$E$4),0)&lt;&gt;0,VLOOKUP($C234,EmpAll,COLUMN(Emp!$E$4),0)&gt;=DATE(YEAR($AC234),MONTH($AC234)+1,0)),"Inactive",IF(AND(VLOOKUP($C234,EmpAll,COLUMN(Emp!$F$4),0)&lt;&gt;0,VLOOKUP($C234,EmpAll,COLUMN(Emp!$F$4),0)&lt;=DATE(YEAR($AC234),MONTH($AC234),0)),"Terminated","Active")))</f>
        <v>-</v>
      </c>
      <c r="G234" s="133" cm="1">
        <f t="array" aca="1" ref="G234" ca="1">IF($F234&lt;&gt;"Active",0,IF(COUNTIFS(OverEmp,$C234,OverEarn,G$2,OverDate,"&lt;"&amp;DATE(YEAR($AC234),MONTH($AC234)+1,1),OverEnd,"&gt;="&amp;DATE(YEAR($AC234),MONTH($AC234),1))&gt;0,SUMIFS(OverValue,OverEmp,$C234,OverEarn,G$2,OverDate,"&lt;"&amp;DATE(YEAR($AC234),MONTH($AC234)+1,1),OverEnd,"&gt;="&amp;DATE(YEAR($AC234),MONTH($AC234),1)),IF(AND($AC234&gt;=Setup!$E$10,SUMIFS(EmpIncrease,EmpCode,$C234)&gt;0),SUMIFS(EmpIncrease,EmpCode,$C234),SUMIFS(EmpSalary,EmpCode,$C234))))</f>
        <v>0</v>
      </c>
      <c r="H234" s="133" cm="1">
        <f t="array" aca="1" ref="H234" ca="1">IF($F234&lt;&gt;"Active",0,IF(COUNTIFS(OverEmp,$C234,OverEarn,H$2,OverDate,"&lt;"&amp;DATE(YEAR($AC234),MONTH($AC234)+1,1),OverEnd,"&gt;="&amp;DATE(YEAR($AC234),MONTH($AC234),1))&gt;0,SUMIFS(OverValue,OverEmp,$C234,OverEarn,H$2,OverDate,"&lt;"&amp;DATE(YEAR($AC234),MONTH($AC234)+1,1),OverEnd,"&gt;="&amp;DATE(YEAR($AC234),MONTH($AC234),1)),0))</f>
        <v>0</v>
      </c>
      <c r="I234" s="133" cm="1">
        <f t="array" aca="1" ref="I234" ca="1">IF($F234&lt;&gt;"Active",0,IF(COUNTIFS(OverEmp,$C234,OverEarn,I$2,OverDate,"&lt;"&amp;DATE(YEAR($AC234),MONTH($AC234)+1,1),OverEnd,"&gt;="&amp;DATE(YEAR($AC234),MONTH($AC234),1))&gt;0,SUMIFS(OverValue,OverEmp,$C234,OverEarn,I$2,OverDate,"&lt;"&amp;DATE(YEAR($AC234),MONTH($AC234)+1,1),OverEnd,"&gt;="&amp;DATE(YEAR($AC234),MONTH($AC234),1)),IF(MONTH(B234)=Setup!$C$15,SUMIFS(EmpBonus,EmpCode,$C234),0)))</f>
        <v>0</v>
      </c>
      <c r="J234" s="133" cm="1">
        <f t="array" aca="1" ref="J234" ca="1">IF($F234&lt;&gt;"Active",0,IF(COUNTIFS(OverEmp,$C234,OverEarn,J$2,OverDate,"&lt;"&amp;DATE(YEAR($AC234),MONTH($AC234)+1,1),OverEnd,"&gt;="&amp;DATE(YEAR($AC234),MONTH($AC234),1))&gt;0,SUMIFS(OverValue,OverEmp,$C234,OverEarn,J$2,OverDate,"&lt;"&amp;DATE(YEAR($AC234),MONTH($AC234)+1,1),OverEnd,"&gt;="&amp;DATE(YEAR($AC234),MONTH($AC234),1)),0))</f>
        <v>0</v>
      </c>
      <c r="K234" s="133" cm="1">
        <f t="array" aca="1" ref="K234" ca="1">IF($F234&lt;&gt;"Active",0,IF(COUNTIFS(OverEmp,$C234,OverEarn,K$2,OverDate,"&lt;"&amp;DATE(YEAR($AC234),MONTH($AC234)+1,1),OverEnd,"&gt;="&amp;DATE(YEAR($AC234),MONTH($AC234),1))&gt;0,SUMIFS(OverValue,OverEmp,$C234,OverEarn,K$2,OverDate,"&lt;"&amp;DATE(YEAR($AC234),MONTH($AC234)+1,1),OverEnd,"&gt;="&amp;DATE(YEAR($AC234),MONTH($AC234),1)),0))</f>
        <v>0</v>
      </c>
      <c r="L234" s="185">
        <f t="shared" ca="1" si="135"/>
        <v>0</v>
      </c>
      <c r="M234" s="182" cm="1">
        <f t="array" aca="1" ref="M234" ca="1">IF(COUNTIFS(OverEmp,$C234,OverTax,M$5,OverDate,"&lt;"&amp;DATE(YEAR($AC234),MONTH($AC234)+1,1),OverEnd,"&gt;="&amp;DATE(YEAR($AC234),MONTH($AC234),1))&gt;0,SUMIFS(OverValue,OverEmp,$C234,OverTax,M$5,OverDate,"&lt;"&amp;DATE(YEAR($AC234),MONTH($AC234)+1,1),OverEnd,"&gt;="&amp;DATE(YEAR($AC234),MONTH($AC234),1)),(($BA234/12*$AA234)+(BB234*IF(1-$BC234=0,0,BD234/(1-$BC234))))-IF($F234="Terminated",0,SUMIFS(PayTaxDeduct,PayDate,"&lt;"&amp;$AC234,PayEmp,$C234)))</f>
        <v>0</v>
      </c>
      <c r="N234" s="133" cm="1">
        <f t="array" aca="1" ref="N234" ca="1">IF($F234="Terminated",0,IF($AA234=0,0,IF(ISNA(MATCH(N$5,DedListItem,0)),0,IF(COUNTIFS(OverEmp,$C234,OverDeduct,N$5,OverDate,"&lt;"&amp;DATE(YEAR($AC234),MONTH($AC234)+1,1),OverEnd,"&gt;="&amp;DATE(YEAR($AC234),MONTH($AC234),1))&gt;0,SUMIFS(OverValue,OverEmp,$C234,OverDeduct,N$5,OverDate,"&lt;"&amp;DATE(YEAR($AC234),MONTH($AC234)+1,1),OverEnd,"&gt;="&amp;DATE(YEAR($AC234),MONTH($AC234),1)),IF(OR(N$2="Fixed",N$2="Not Used"),(IF(COUNTIFS(EmpNo,$C234,OFFSET(Emp!$R$4,1,MATCH(N$5,DedListItem,0)-1,EmpCount,1),"&lt;&gt;")&gt;0,VLOOKUP($C234,EmpAll,COLUMN(Emp!$R$4)+MATCH(N$5,DedListItem,0)-1,0),OFFSET(Setup!$E$73,MATCH(N$5,DedListItem,0),0,1,1))*$AA234)-SUMIFS(OFFSET(N$6,1,0,PayCount,1),PayDate,"&lt;"&amp;$AC234,PayEmp,$C234),IF(ISNA(MATCH(N$2,EarnListItem,0))=FALSE,IF(OFFSET(Setup!$G$73,MATCH(N$5,DedListItem,0),0,1,1)="Taxable",SUMPRODUCT((PayEmp=$C234)*(PayDate&lt;=$AC234)*(PayEarnCode=N$2)*(PayEarnTax)*(PayEarnValues)),SUMPRODUCT((PayEmp=$C234)*(PayDate&lt;=$AC234)*(PayEarnCode=N$2)*(PayEarnValues)))*IF(COUNTIFS(EmpNo,$C234,OFFSET(Emp!$R$4,1,MATCH(N$5,DedListItem,0)-1,EmpCount,1),"&lt;&gt;")&gt;0,VLOOKUP($C234,EmpAll,COLUMN(Emp!$R$4)+MATCH(N$5,DedListItem,0)-1,0),OFFSET(Setup!$E$73,MATCH(N$5,DedListItem,0),0,1,1)),(MIN(IF(OFFSET(Setup!$G$73,MATCH(N$5,DedListItem,0),0,1,1)="Taxable",SUMPRODUCT((PayEmp=$C234)*(PayDate&lt;=$AC234)*(ISERROR(SEARCH(PayEarnCode,N$4)))*(PayEarnTax)*(PayEarnValues)),SUMPRODUCT((PayEmp=$C234)*(PayDate&lt;=$AC234)*(ISERROR(SEARCH(PayEarnCode,N$4)))*(PayEarnValues))),IF(ISNUMBER(N$3),N$3/12*$AA234,IgnoreMin)))*IF(COUNTIFS(EmpNo,$C234,OFFSET(Emp!$R$4,1,MATCH(N$5,DedListItem,0)-1,EmpCount,1),"&lt;&gt;")&gt;0,VLOOKUP($C234,EmpAll,COLUMN(Emp!$R$4)+MATCH(N$5,DedListItem,0)-1,0),OFFSET(Setup!$E$73,MATCH(N$5,DedListItem,0),0,1,1)))-SUMIFS(OFFSET(N$6,1,0,PayCount,1),PayDate,"&lt;"&amp;$AC234,PayEmp,$C234))))))</f>
        <v>0</v>
      </c>
      <c r="O234" s="133" cm="1">
        <f t="array" aca="1" ref="O234" ca="1">IF($F234="Terminated",0,IF($AA234=0,0,IF(ISNA(MATCH(O$5,DedListItem,0)),0,IF(COUNTIFS(OverEmp,$C234,OverDeduct,O$5,OverDate,"&lt;"&amp;DATE(YEAR($AC234),MONTH($AC234)+1,1),OverEnd,"&gt;="&amp;DATE(YEAR($AC234),MONTH($AC234),1))&gt;0,SUMIFS(OverValue,OverEmp,$C234,OverDeduct,O$5,OverDate,"&lt;"&amp;DATE(YEAR($AC234),MONTH($AC234)+1,1),OverEnd,"&gt;="&amp;DATE(YEAR($AC234),MONTH($AC234),1)),IF(OR(O$2="Fixed",O$2="Not Used"),(IF(COUNTIFS(EmpNo,$C234,OFFSET(Emp!$R$4,1,MATCH(O$5,DedListItem,0)-1,EmpCount,1),"&lt;&gt;")&gt;0,VLOOKUP($C234,EmpAll,COLUMN(Emp!$R$4)+MATCH(O$5,DedListItem,0)-1,0),OFFSET(Setup!$E$73,MATCH(O$5,DedListItem,0),0,1,1))*$AA234)-SUMIFS(OFFSET(O$6,1,0,PayCount,1),PayDate,"&lt;"&amp;$AC234,PayEmp,$C234),IF(ISNA(MATCH(O$2,EarnListItem,0))=FALSE,IF(OFFSET(Setup!$G$73,MATCH(O$5,DedListItem,0),0,1,1)="Taxable",SUMPRODUCT((PayEmp=$C234)*(PayDate&lt;=$AC234)*(PayEarnCode=O$2)*(PayEarnTax)*(PayEarnValues)),SUMPRODUCT((PayEmp=$C234)*(PayDate&lt;=$AC234)*(PayEarnCode=O$2)*(PayEarnValues)))*IF(COUNTIFS(EmpNo,$C234,OFFSET(Emp!$R$4,1,MATCH(O$5,DedListItem,0)-1,EmpCount,1),"&lt;&gt;")&gt;0,VLOOKUP($C234,EmpAll,COLUMN(Emp!$R$4)+MATCH(O$5,DedListItem,0)-1,0),OFFSET(Setup!$E$73,MATCH(O$5,DedListItem,0),0,1,1)),(MIN(IF(OFFSET(Setup!$G$73,MATCH(O$5,DedListItem,0),0,1,1)="Taxable",SUMPRODUCT((PayEmp=$C234)*(PayDate&lt;=$AC234)*(ISERROR(SEARCH(PayEarnCode,O$4)))*(PayEarnTax)*(PayEarnValues)),SUMPRODUCT((PayEmp=$C234)*(PayDate&lt;=$AC234)*(ISERROR(SEARCH(PayEarnCode,O$4)))*(PayEarnValues))),IF(ISNUMBER(O$3),O$3/12*$AA234,IgnoreMin)))*IF(COUNTIFS(EmpNo,$C234,OFFSET(Emp!$R$4,1,MATCH(O$5,DedListItem,0)-1,EmpCount,1),"&lt;&gt;")&gt;0,VLOOKUP($C234,EmpAll,COLUMN(Emp!$R$4)+MATCH(O$5,DedListItem,0)-1,0),OFFSET(Setup!$E$73,MATCH(O$5,DedListItem,0),0,1,1)))-SUMIFS(OFFSET(O$6,1,0,PayCount,1),PayDate,"&lt;"&amp;$AC234,PayEmp,$C234))))))</f>
        <v>0</v>
      </c>
      <c r="P234" s="133" cm="1">
        <f t="array" aca="1" ref="P234" ca="1">IF($F234="Terminated",0,IF($AA234=0,0,IF(ISNA(MATCH(P$5,DedListItem,0)),0,IF(COUNTIFS(OverEmp,$C234,OverDeduct,P$5,OverDate,"&lt;"&amp;DATE(YEAR($AC234),MONTH($AC234)+1,1),OverEnd,"&gt;="&amp;DATE(YEAR($AC234),MONTH($AC234),1))&gt;0,SUMIFS(OverValue,OverEmp,$C234,OverDeduct,P$5,OverDate,"&lt;"&amp;DATE(YEAR($AC234),MONTH($AC234)+1,1),OverEnd,"&gt;="&amp;DATE(YEAR($AC234),MONTH($AC234),1)),IF(OR(P$2="Fixed",P$2="Not Used"),(IF(COUNTIFS(EmpNo,$C234,OFFSET(Emp!$R$4,1,MATCH(P$5,DedListItem,0)-1,EmpCount,1),"&lt;&gt;")&gt;0,VLOOKUP($C234,EmpAll,COLUMN(Emp!$R$4)+MATCH(P$5,DedListItem,0)-1,0),OFFSET(Setup!$E$73,MATCH(P$5,DedListItem,0),0,1,1))*$AA234)-SUMIFS(OFFSET(P$6,1,0,PayCount,1),PayDate,"&lt;"&amp;$AC234,PayEmp,$C234),IF(ISNA(MATCH(P$2,EarnListItem,0))=FALSE,IF(OFFSET(Setup!$G$73,MATCH(P$5,DedListItem,0),0,1,1)="Taxable",SUMPRODUCT((PayEmp=$C234)*(PayDate&lt;=$AC234)*(PayEarnCode=P$2)*(PayEarnTax)*(PayEarnValues)),SUMPRODUCT((PayEmp=$C234)*(PayDate&lt;=$AC234)*(PayEarnCode=P$2)*(PayEarnValues)))*IF(COUNTIFS(EmpNo,$C234,OFFSET(Emp!$R$4,1,MATCH(P$5,DedListItem,0)-1,EmpCount,1),"&lt;&gt;")&gt;0,VLOOKUP($C234,EmpAll,COLUMN(Emp!$R$4)+MATCH(P$5,DedListItem,0)-1,0),OFFSET(Setup!$E$73,MATCH(P$5,DedListItem,0),0,1,1)),(MIN(IF(OFFSET(Setup!$G$73,MATCH(P$5,DedListItem,0),0,1,1)="Taxable",SUMPRODUCT((PayEmp=$C234)*(PayDate&lt;=$AC234)*(ISERROR(SEARCH(PayEarnCode,P$4)))*(PayEarnTax)*(PayEarnValues)),SUMPRODUCT((PayEmp=$C234)*(PayDate&lt;=$AC234)*(ISERROR(SEARCH(PayEarnCode,P$4)))*(PayEarnValues))),IF(ISNUMBER(P$3),P$3/12*$AA234,IgnoreMin)))*IF(COUNTIFS(EmpNo,$C234,OFFSET(Emp!$R$4,1,MATCH(P$5,DedListItem,0)-1,EmpCount,1),"&lt;&gt;")&gt;0,VLOOKUP($C234,EmpAll,COLUMN(Emp!$R$4)+MATCH(P$5,DedListItem,0)-1,0),OFFSET(Setup!$E$73,MATCH(P$5,DedListItem,0),0,1,1)))-SUMIFS(OFFSET(P$6,1,0,PayCount,1),PayDate,"&lt;"&amp;$AC234,PayEmp,$C234))))))</f>
        <v>0</v>
      </c>
      <c r="Q234" s="133" cm="1">
        <f t="array" aca="1" ref="Q234" ca="1">IF($F234="Terminated",0,IF($AA234=0,0,IF(ISNA(MATCH(Q$5,DedListItem,0)),0,IF(COUNTIFS(OverEmp,$C234,OverDeduct,Q$5,OverDate,"&lt;"&amp;DATE(YEAR($AC234),MONTH($AC234)+1,1),OverEnd,"&gt;="&amp;DATE(YEAR($AC234),MONTH($AC234),1))&gt;0,SUMIFS(OverValue,OverEmp,$C234,OverDeduct,Q$5,OverDate,"&lt;"&amp;DATE(YEAR($AC234),MONTH($AC234)+1,1),OverEnd,"&gt;="&amp;DATE(YEAR($AC234),MONTH($AC234),1)),IF(OR(Q$2="Fixed",Q$2="Not Used"),(IF(COUNTIFS(EmpNo,$C234,OFFSET(Emp!$R$4,1,MATCH(Q$5,DedListItem,0)-1,EmpCount,1),"&lt;&gt;")&gt;0,VLOOKUP($C234,EmpAll,COLUMN(Emp!$R$4)+MATCH(Q$5,DedListItem,0)-1,0),OFFSET(Setup!$E$73,MATCH(Q$5,DedListItem,0),0,1,1))*$AA234)-SUMIFS(OFFSET(Q$6,1,0,PayCount,1),PayDate,"&lt;"&amp;$AC234,PayEmp,$C234),IF(ISNA(MATCH(Q$2,EarnListItem,0))=FALSE,IF(OFFSET(Setup!$G$73,MATCH(Q$5,DedListItem,0),0,1,1)="Taxable",SUMPRODUCT((PayEmp=$C234)*(PayDate&lt;=$AC234)*(PayEarnCode=Q$2)*(PayEarnTax)*(PayEarnValues)),SUMPRODUCT((PayEmp=$C234)*(PayDate&lt;=$AC234)*(PayEarnCode=Q$2)*(PayEarnValues)))*IF(COUNTIFS(EmpNo,$C234,OFFSET(Emp!$R$4,1,MATCH(Q$5,DedListItem,0)-1,EmpCount,1),"&lt;&gt;")&gt;0,VLOOKUP($C234,EmpAll,COLUMN(Emp!$R$4)+MATCH(Q$5,DedListItem,0)-1,0),OFFSET(Setup!$E$73,MATCH(Q$5,DedListItem,0),0,1,1)),(MIN(IF(OFFSET(Setup!$G$73,MATCH(Q$5,DedListItem,0),0,1,1)="Taxable",SUMPRODUCT((PayEmp=$C234)*(PayDate&lt;=$AC234)*(ISERROR(SEARCH(PayEarnCode,Q$4)))*(PayEarnTax)*(PayEarnValues)),SUMPRODUCT((PayEmp=$C234)*(PayDate&lt;=$AC234)*(ISERROR(SEARCH(PayEarnCode,Q$4)))*(PayEarnValues))),IF(ISNUMBER(Q$3),Q$3/12*$AA234,IgnoreMin)))*IF(COUNTIFS(EmpNo,$C234,OFFSET(Emp!$R$4,1,MATCH(Q$5,DedListItem,0)-1,EmpCount,1),"&lt;&gt;")&gt;0,VLOOKUP($C234,EmpAll,COLUMN(Emp!$R$4)+MATCH(Q$5,DedListItem,0)-1,0),OFFSET(Setup!$E$73,MATCH(Q$5,DedListItem,0),0,1,1)))-SUMIFS(OFFSET(Q$6,1,0,PayCount,1),PayDate,"&lt;"&amp;$AC234,PayEmp,$C234))))))</f>
        <v>0</v>
      </c>
      <c r="R234" s="185">
        <f t="shared" ca="1" si="136"/>
        <v>0</v>
      </c>
      <c r="S234" s="139">
        <f t="shared" ca="1" si="137"/>
        <v>0</v>
      </c>
      <c r="T234" s="133" cm="1">
        <f t="array" aca="1" ref="T234" ca="1">IF($F234="Terminated",0,IF($AA234=0,0,IF(ISNA(MATCH(T$5,CompListItem,0)),0,IF(COUNTIFS(OverEmp,$C234,OverComp,T$5,OverDate,"&lt;"&amp;DATE(YEAR($AC234),MONTH($AC234)+1,1),OverEnd,"&gt;="&amp;DATE(YEAR($AC234),MONTH($AC234),1))&gt;0,SUMIFS(OverValue,OverEmp,$C234,OverComp,T$5,OverDate,"&lt;"&amp;DATE(YEAR($AC234),MONTH($AC234)+1,1),OverEnd,"&gt;="&amp;DATE(YEAR($AC234),MONTH($AC234),1)),IF(OR(T$2="Fixed",T$2="Not Used"),(OFFSET(Setup!$E$81,MATCH(T$5,CompListItem,0),0,1,1)*$AA234)-SUMIFS(OFFSET(T$6,1,0,PayCount,1),PayDate,"&lt;"&amp;$AC234,PayEmp,$C234),IF(ISNA(MATCH(T$2,DedListItem,0))=FALSE,(SUMPRODUCT((PayEmp=$C234)*(PayDate&lt;=$AC234)*(PayDedList=T$2)*(PayDedValues))*OFFSET(Setup!$E$81,MATCH(T$5,CompListItem,0),0,1,1))-SUMIFS(OFFSET(T$6,1,0,PayCount,1),PayDate,"&lt;"&amp;$AC234,PayEmp,$C234),(MIN(IF(OFFSET(Setup!$G$81,MATCH(T$5,CompListItem,0),0,1,1)="Taxable",SUMPRODUCT((PayEmp=$C234)*(PayDate&lt;=$AC234)*(ISERROR(SEARCH(PayEarnCode,T$4)))*(PayEarnTax)*(PayEarnValues)),SUMPRODUCT((PayEmp=$C234)*(PayDate&lt;=$AC234)*(ISERROR(SEARCH(PayEarnCode,T$4)))*(PayEarnValues))),IF(ISNUMBER(T$3),T$3/12*$AA234,IgnoreMin)))*OFFSET(Setup!$E$81,MATCH(T$5,CompListItem,0),0,1,1)-SUMIFS(OFFSET(T$6,1,0,PayCount,1),PayDate,"&lt;"&amp;$AC234,PayEmp,$C234)))))))</f>
        <v>0</v>
      </c>
      <c r="U234" s="133" cm="1">
        <f t="array" aca="1" ref="U234" ca="1">IF($F234="Terminated",0,IF($AA234=0,0,IF(ISNA(MATCH(U$5,CompListItem,0)),0,IF(COUNTIFS(OverEmp,$C234,OverComp,U$5,OverDate,"&lt;"&amp;DATE(YEAR($AC234),MONTH($AC234)+1,1),OverEnd,"&gt;="&amp;DATE(YEAR($AC234),MONTH($AC234),1))&gt;0,SUMIFS(OverValue,OverEmp,$C234,OverComp,U$5,OverDate,"&lt;"&amp;DATE(YEAR($AC234),MONTH($AC234)+1,1),OverEnd,"&gt;="&amp;DATE(YEAR($AC234),MONTH($AC234),1)),IF(OR(U$2="Fixed",U$2="Not Used"),(OFFSET(Setup!$E$81,MATCH(U$5,CompListItem,0),0,1,1)*$AA234)-SUMIFS(OFFSET(U$6,1,0,PayCount,1),PayDate,"&lt;"&amp;$AC234,PayEmp,$C234),IF(ISNA(MATCH(U$2,DedListItem,0))=FALSE,(SUMPRODUCT((PayEmp=$C234)*(PayDate&lt;=$AC234)*(PayDedList=U$2)*(PayDedValues))*OFFSET(Setup!$E$81,MATCH(U$5,CompListItem,0),0,1,1))-SUMIFS(OFFSET(U$6,1,0,PayCount,1),PayDate,"&lt;"&amp;$AC234,PayEmp,$C234),(MIN(IF(OFFSET(Setup!$G$81,MATCH(U$5,CompListItem,0),0,1,1)="Taxable",SUMPRODUCT((PayEmp=$C234)*(PayDate&lt;=$AC234)*(ISERROR(SEARCH(PayEarnCode,U$4)))*(PayEarnTax)*(PayEarnValues)),SUMPRODUCT((PayEmp=$C234)*(PayDate&lt;=$AC234)*(ISERROR(SEARCH(PayEarnCode,U$4)))*(PayEarnValues))),IF(ISNUMBER(U$3),U$3/12*$AA234,IgnoreMin)))*OFFSET(Setup!$E$81,MATCH(U$5,CompListItem,0),0,1,1)-SUMIFS(OFFSET(U$6,1,0,PayCount,1),PayDate,"&lt;"&amp;$AC234,PayEmp,$C234)))))))</f>
        <v>0</v>
      </c>
      <c r="V234" s="133" cm="1">
        <f t="array" aca="1" ref="V234" ca="1">IF($F234="Terminated",0,IF($AA234=0,0,IF(ISNA(MATCH(V$5,CompListItem,0)),0,IF(COUNTIFS(OverEmp,$C234,OverComp,V$5,OverDate,"&lt;"&amp;DATE(YEAR($AC234),MONTH($AC234)+1,1),OverEnd,"&gt;="&amp;DATE(YEAR($AC234),MONTH($AC234),1))&gt;0,SUMIFS(OverValue,OverEmp,$C234,OverComp,V$5,OverDate,"&lt;"&amp;DATE(YEAR($AC234),MONTH($AC234)+1,1),OverEnd,"&gt;="&amp;DATE(YEAR($AC234),MONTH($AC234),1)),IF(OR(V$2="Fixed",V$2="Not Used"),(OFFSET(Setup!$E$81,MATCH(V$5,CompListItem,0),0,1,1)*$AA234)-SUMIFS(OFFSET(V$6,1,0,PayCount,1),PayDate,"&lt;"&amp;$AC234,PayEmp,$C234),IF(ISNA(MATCH(V$2,DedListItem,0))=FALSE,(SUMPRODUCT((PayEmp=$C234)*(PayDate&lt;=$AC234)*(PayDedList=V$2)*(PayDedValues))*OFFSET(Setup!$E$81,MATCH(V$5,CompListItem,0),0,1,1))-SUMIFS(OFFSET(V$6,1,0,PayCount,1),PayDate,"&lt;"&amp;$AC234,PayEmp,$C234),(MIN(IF(OFFSET(Setup!$G$81,MATCH(V$5,CompListItem,0),0,1,1)="Taxable",SUMPRODUCT((PayEmp=$C234)*(PayDate&lt;=$AC234)*(ISERROR(SEARCH(PayEarnCode,V$4)))*(PayEarnTax)*(PayEarnValues)),SUMPRODUCT((PayEmp=$C234)*(PayDate&lt;=$AC234)*(ISERROR(SEARCH(PayEarnCode,V$4)))*(PayEarnValues))),IF(ISNUMBER(V$3),V$3/12*$AA234,IgnoreMin)))*OFFSET(Setup!$E$81,MATCH(V$5,CompListItem,0),0,1,1)-SUMIFS(OFFSET(V$6,1,0,PayCount,1),PayDate,"&lt;"&amp;$AC234,PayEmp,$C234)))))))</f>
        <v>0</v>
      </c>
      <c r="W234" s="133" cm="1">
        <f t="array" aca="1" ref="W234" ca="1">IF($F234="Terminated",0,IF($AA234=0,0,IF(ISNA(MATCH(W$5,CompListItem,0)),0,IF(COUNTIFS(OverEmp,$C234,OverComp,W$5,OverDate,"&lt;"&amp;DATE(YEAR($AC234),MONTH($AC234)+1,1),OverEnd,"&gt;="&amp;DATE(YEAR($AC234),MONTH($AC234),1))&gt;0,SUMIFS(OverValue,OverEmp,$C234,OverComp,W$5,OverDate,"&lt;"&amp;DATE(YEAR($AC234),MONTH($AC234)+1,1),OverEnd,"&gt;="&amp;DATE(YEAR($AC234),MONTH($AC234),1)),IF(OR(W$2="Fixed",W$2="Not Used"),(OFFSET(Setup!$E$81,MATCH(W$5,CompListItem,0),0,1,1)*$AA234)-SUMIFS(OFFSET(W$6,1,0,PayCount,1),PayDate,"&lt;"&amp;$AC234,PayEmp,$C234),IF(ISNA(MATCH(W$2,DedListItem,0))=FALSE,(SUMPRODUCT((PayEmp=$C234)*(PayDate&lt;=$AC234)*(PayDedList=W$2)*(PayDedValues))*OFFSET(Setup!$E$81,MATCH(W$5,CompListItem,0),0,1,1))-SUMIFS(OFFSET(W$6,1,0,PayCount,1),PayDate,"&lt;"&amp;$AC234,PayEmp,$C234),(MIN(IF(OFFSET(Setup!$G$81,MATCH(W$5,CompListItem,0),0,1,1)="Taxable",SUMPRODUCT((PayEmp=$C234)*(PayDate&lt;=$AC234)*(ISERROR(SEARCH(PayEarnCode,W$4)))*(PayEarnTax)*(PayEarnValues)),SUMPRODUCT((PayEmp=$C234)*(PayDate&lt;=$AC234)*(ISERROR(SEARCH(PayEarnCode,W$4)))*(PayEarnValues))),IF(ISNUMBER(W$3),W$3/12*$AA234,IgnoreMin)))*OFFSET(Setup!$E$81,MATCH(W$5,CompListItem,0),0,1,1)-SUMIFS(OFFSET(W$6,1,0,PayCount,1),PayDate,"&lt;"&amp;$AC234,PayEmp,$C234)))))))</f>
        <v>0</v>
      </c>
      <c r="X234" s="185">
        <f t="shared" ca="1" si="138"/>
        <v>0</v>
      </c>
      <c r="Y234" s="139">
        <f t="shared" ca="1" si="139"/>
        <v>0</v>
      </c>
      <c r="Z234" s="139">
        <f t="shared" ca="1" si="140"/>
        <v>0</v>
      </c>
      <c r="AA234" s="146">
        <f ca="1">IF(OR($B234&lt;=Setup!$E$12,$B234&gt;=Setup!$D$12+1),0,IF($F234&lt;&gt;"Active",0,IF($AE234="Yes",$AB234,((YEAR($AC234)*12)+MONTH($AC234))-((YEAR($AD234)*12)+MONTH($AD234)-1))))</f>
        <v>0</v>
      </c>
      <c r="AB234" s="146">
        <f ca="1">IF(OR($B234&lt;=Setup!$E$12,$B234&gt;=Setup!$D$12+1),0,((YEAR($AC234)*12)+MONTH($AC234))-((YEAR(Setup!$E$12)*12)+MONTH(Setup!$E$12)))</f>
        <v>12</v>
      </c>
      <c r="AC234" s="186">
        <f t="shared" ca="1" si="141"/>
        <v>45351</v>
      </c>
      <c r="AD234" s="144">
        <f ca="1">IF(ISNA(VLOOKUP($C234,EmpAll,COLUMN(Emp!$E$4),0)),$AC234,IF(VLOOKUP($C234,EmpAll,COLUMN(Emp!$E$4),0)&lt;=Setup!$E$12,DATE(YEAR(Setup!$E$12),MONTH(Setup!$E$12)+1,1),VLOOKUP($C234,EmpAll,COLUMN(Emp!$E$4),0)))</f>
        <v>45351</v>
      </c>
      <c r="AE234" s="144" t="str">
        <f ca="1">IF(ISNA(VLOOKUP($C234,EmpAll,COLUMN(Emp!$G$1),0)),"-",IF(VLOOKUP($C234,EmpAll,COLUMN(Emp!$G$1),0)=0,"-",VLOOKUP($C234,EmpAll,COLUMN(Emp!$G$1),0)))</f>
        <v>-</v>
      </c>
      <c r="AF234" s="145">
        <f>IF(A234=PaySlip!$G$3,1,0)</f>
        <v>0</v>
      </c>
      <c r="AG234" s="130" cm="1">
        <f t="array" aca="1" ref="AG234" ca="1">IF(COUNTIFS(OverEmp,$C234,OverMed,"MED",OverDate,"&lt;"&amp;DATE(YEAR($AC234),MONTH($AC234)+1,1),OverEnd,"&gt;="&amp;DATE(YEAR($AC234),MONTH($AC234),1))&gt;0,SUMIFS(OverValue,OverEmp,$C234,OverMed,"MED",OverDate,"&lt;"&amp;DATE(YEAR($AC234),MONTH($AC234)+1,1),OverEnd,"&gt;="&amp;DATE(YEAR($AC234),MONTH($AC234),1)),IF(ISNA(VLOOKUP($C234,EmpAll,COLUMN(Emp!$N$4),0)),0,VLOOKUP($C234,EmpAll,COLUMN(Emp!$N$4),0)))</f>
        <v>0</v>
      </c>
      <c r="AH234" s="146">
        <f ca="1">VLOOKUP($AG234,MedList,COLUMN(Setup!$C$49),1)</f>
        <v>0</v>
      </c>
      <c r="AI234" s="146">
        <f t="shared" ca="1" si="107"/>
        <v>0</v>
      </c>
      <c r="AJ234" s="101" t="str">
        <f ca="1">IF(ISNA(VLOOKUP($C234,EmpAll,COLUMN(Emp!$L$4),0)),"None!",VLOOKUP($C234,EmpAll,COLUMN(Emp!$L$4),0))</f>
        <v>None!</v>
      </c>
      <c r="AK234" s="147">
        <f t="shared" ca="1" si="102"/>
        <v>17235</v>
      </c>
      <c r="AL234" s="101" t="str">
        <f ca="1">IF(ISNA(VLOOKUP($C234,Employees[],COLUMN(Emp!$M$4),0))=TRUE,"Error!",IF(VLOOKUP($C234,Employees[],COLUMN(Emp!$M$4),0)=0,"Yes",VLOOKUP($C234,Employees[],COLUMN(Emp!$M$4),0)))</f>
        <v>Error!</v>
      </c>
      <c r="AM234" s="148">
        <f t="shared" ca="1" si="108"/>
        <v>0</v>
      </c>
      <c r="AN234" s="148" cm="1">
        <f t="array" aca="1" ref="AN234" ca="1">-IF($F234="Terminated",0,IF($AA234=0,0,IF(ISNA(MATCH(AN$5,PayDedList,0)),0,MIN(IF(COUNTIFS(OverEmp,$C234,OverDeduct,AN$5,OverDate,"&lt;"&amp;DATE(YEAR($AC234),MONTH($AC234)+1,1),OverEnd,"&gt;="&amp;DATE(YEAR($AC234),MONTH($AC234),1))&gt;0,SUMPRODUCT((PayEmp=$C234)*(PayDate&lt;=$AC234)*(OFFSET($N$6,1,MATCH(AN$5,PayDedList,0)-1,PayCount,1)))/$AA234*12*AN$3,IF(OR(AN$1="Fixed",AN$1="Not Used"),SUMPRODUCT((PayEmp=$C234)*(PayDate&lt;=$AC234)*(OFFSET($N$6,1,MATCH(AN$5,PayDedList,0)-1,PayCount,1)))/$AA234*12*AN$3,IF(ISNA(MATCH(AN$1,EarnListItem,0))=FALSE,SUMPRODUCT((PayEmp=$C234)*(PayDate&lt;=$AC234)*(OFFSET($N$6,1,MATCH(AN$5,PayDedList,0)-1,PayCount,1)))/$AA234*12*AN$3,(MIN(((SUMPRODUCT((PayEmp=$C234)*(PayDate&lt;=$AC234)*(ISERROR(SEARCH(PayEarnCode,AN$2)))*(PayEarnType="Monthly")*(PayEarnValues))/$AA234*12)+(SUMPRODUCT((PayEmp=$C234)*(PayDate&lt;=$AC234)*(ISERROR(SEARCH(PayEarnCode,AN$2)))*(PayEarnType="Quarterly")*(PayEarnValues))/MAX(1,ROUNDDOWN($AB234/3,0))*4)+(SUMPRODUCT((PayEmp=$C234)*(PayDate&lt;=$AC234)*(ISERROR(SEARCH(PayEarnCode,AN$2)))*(PayEarnType="Bi-Annual")*(PayEarnValues))/MAX(1,ROUNDDOWN($AB234/6,0))*2)+(SUMPRODUCT((PayEmp=$C234)*(PayDate&lt;=$AC234)*(ISERROR(SEARCH(PayEarnCode,AN$2)))*(PayEarnType="Annual")*(PayEarnValues)))),IF(ISNUMBER(OFFSET($N$3,0,MATCH(AN$5,PayDedList,0)-1,1,1)),OFFSET($N$3,0,MATCH(AN$5,PayDedList,0)-1,1,1),IgnoreMin)))*IF(COUNTIFS(EmpNo,$C234,OFFSET(Emp!$R$4,1,MATCH(AN$5,DedListItem,0)-1,EmpCount,1),"&lt;&gt;")&gt;0,VLOOKUP($C234,EmpAll,COLUMN(Emp!$R$4)+MATCH(AN$5,DedListItem,0)-1,0),OFFSET(Setup!$E$73,MATCH(AN$5,DedListItem,0),0,1,1))*AN$3))),IF(ISNUMBER(AN$4),AN$4,IgnoreMin)))))</f>
        <v>0</v>
      </c>
      <c r="AO234" s="148" cm="1">
        <f t="array" aca="1" ref="AO234" ca="1">-IF($F234="Terminated",0,IF($AA234=0,0,IF(ISNA(MATCH(AO$5,PayDedList,0)),0,MIN(IF(COUNTIFS(OverEmp,$C234,OverDeduct,AO$5,OverDate,"&lt;"&amp;DATE(YEAR($AC234),MONTH($AC234)+1,1),OverEnd,"&gt;="&amp;DATE(YEAR($AC234),MONTH($AC234),1))&gt;0,SUMPRODUCT((PayEmp=$C234)*(PayDate&lt;=$AC234)*(OFFSET($N$6,1,MATCH(AO$5,PayDedList,0)-1,PayCount,1)))/$AA234*12*AO$3,IF(OR(AO$1="Fixed",AO$1="Not Used"),SUMPRODUCT((PayEmp=$C234)*(PayDate&lt;=$AC234)*(OFFSET($N$6,1,MATCH(AO$5,PayDedList,0)-1,PayCount,1)))/$AA234*12*AO$3,IF(ISNA(MATCH(AO$1,EarnListItem,0))=FALSE,SUMPRODUCT((PayEmp=$C234)*(PayDate&lt;=$AC234)*(OFFSET($N$6,1,MATCH(AO$5,PayDedList,0)-1,PayCount,1)))/$AA234*12*AO$3,(MIN(((SUMPRODUCT((PayEmp=$C234)*(PayDate&lt;=$AC234)*(ISERROR(SEARCH(PayEarnCode,AO$2)))*(PayEarnType="Monthly")*(PayEarnValues))/$AA234*12)+(SUMPRODUCT((PayEmp=$C234)*(PayDate&lt;=$AC234)*(ISERROR(SEARCH(PayEarnCode,AO$2)))*(PayEarnType="Quarterly")*(PayEarnValues))/MAX(1,ROUNDDOWN($AB234/3,0))*4)+(SUMPRODUCT((PayEmp=$C234)*(PayDate&lt;=$AC234)*(ISERROR(SEARCH(PayEarnCode,AO$2)))*(PayEarnType="Bi-Annual")*(PayEarnValues))/MAX(1,ROUNDDOWN($AB234/6,0))*2)+(SUMPRODUCT((PayEmp=$C234)*(PayDate&lt;=$AC234)*(ISERROR(SEARCH(PayEarnCode,AO$2)))*(PayEarnType="Annual")*(PayEarnValues)))),IF(ISNUMBER(OFFSET($N$3,0,MATCH(AO$5,PayDedList,0)-1,1,1)),OFFSET($N$3,0,MATCH(AO$5,PayDedList,0)-1,1,1),IgnoreMin)))*IF(COUNTIFS(EmpNo,$C234,OFFSET(Emp!$R$4,1,MATCH(AO$5,DedListItem,0)-1,EmpCount,1),"&lt;&gt;")&gt;0,VLOOKUP($C234,EmpAll,COLUMN(Emp!$R$4)+MATCH(AO$5,DedListItem,0)-1,0),OFFSET(Setup!$E$73,MATCH(AO$5,DedListItem,0),0,1,1))*AO$3))),IF(ISNUMBER(AO$4),AO$4,IgnoreMin)))))</f>
        <v>0</v>
      </c>
      <c r="AP234" s="148" cm="1">
        <f t="array" aca="1" ref="AP234" ca="1">-IF($F234="Terminated",0,IF($AA234=0,0,IF(ISNA(MATCH(AP$5,PayDedList,0)),0,MIN(IF(COUNTIFS(OverEmp,$C234,OverDeduct,AP$5,OverDate,"&lt;"&amp;DATE(YEAR($AC234),MONTH($AC234)+1,1),OverEnd,"&gt;="&amp;DATE(YEAR($AC234),MONTH($AC234),1))&gt;0,SUMPRODUCT((PayEmp=$C234)*(PayDate&lt;=$AC234)*(OFFSET($N$6,1,MATCH(AP$5,PayDedList,0)-1,PayCount,1)))/$AA234*12*AP$3,IF(OR(AP$1="Fixed",AP$1="Not Used"),SUMPRODUCT((PayEmp=$C234)*(PayDate&lt;=$AC234)*(OFFSET($N$6,1,MATCH(AP$5,PayDedList,0)-1,PayCount,1)))/$AA234*12*AP$3,IF(ISNA(MATCH(AP$1,EarnListItem,0))=FALSE,SUMPRODUCT((PayEmp=$C234)*(PayDate&lt;=$AC234)*(OFFSET($N$6,1,MATCH(AP$5,PayDedList,0)-1,PayCount,1)))/$AA234*12*AP$3,(MIN(((SUMPRODUCT((PayEmp=$C234)*(PayDate&lt;=$AC234)*(ISERROR(SEARCH(PayEarnCode,AP$2)))*(PayEarnType="Monthly")*(PayEarnValues))/$AA234*12)+(SUMPRODUCT((PayEmp=$C234)*(PayDate&lt;=$AC234)*(ISERROR(SEARCH(PayEarnCode,AP$2)))*(PayEarnType="Quarterly")*(PayEarnValues))/MAX(1,ROUNDDOWN($AB234/3,0))*4)+(SUMPRODUCT((PayEmp=$C234)*(PayDate&lt;=$AC234)*(ISERROR(SEARCH(PayEarnCode,AP$2)))*(PayEarnType="Bi-Annual")*(PayEarnValues))/MAX(1,ROUNDDOWN($AB234/6,0))*2)+(SUMPRODUCT((PayEmp=$C234)*(PayDate&lt;=$AC234)*(ISERROR(SEARCH(PayEarnCode,AP$2)))*(PayEarnType="Annual")*(PayEarnValues)))),IF(ISNUMBER(OFFSET($N$3,0,MATCH(AP$5,PayDedList,0)-1,1,1)),OFFSET($N$3,0,MATCH(AP$5,PayDedList,0)-1,1,1),IgnoreMin)))*IF(COUNTIFS(EmpNo,$C234,OFFSET(Emp!$R$4,1,MATCH(AP$5,DedListItem,0)-1,EmpCount,1),"&lt;&gt;")&gt;0,VLOOKUP($C234,EmpAll,COLUMN(Emp!$R$4)+MATCH(AP$5,DedListItem,0)-1,0),OFFSET(Setup!$E$73,MATCH(AP$5,DedListItem,0),0,1,1))*AP$3))),IF(ISNUMBER(AP$4),AP$4,IgnoreMin)))))</f>
        <v>0</v>
      </c>
      <c r="AQ234" s="148" cm="1">
        <f t="array" aca="1" ref="AQ234" ca="1">-IF($F234="Terminated",0,IF($AA234=0,0,IF(ISNA(MATCH(AQ$5,PayDedList,0)),0,MIN(IF(COUNTIFS(OverEmp,$C234,OverDeduct,AQ$5,OverDate,"&lt;"&amp;DATE(YEAR($AC234),MONTH($AC234)+1,1),OverEnd,"&gt;="&amp;DATE(YEAR($AC234),MONTH($AC234),1))&gt;0,SUMPRODUCT((PayEmp=$C234)*(PayDate&lt;=$AC234)*(OFFSET($N$6,1,MATCH(AQ$5,PayDedList,0)-1,PayCount,1)))/$AA234*12*AQ$3,IF(OR(AQ$1="Fixed",AQ$1="Not Used"),SUMPRODUCT((PayEmp=$C234)*(PayDate&lt;=$AC234)*(OFFSET($N$6,1,MATCH(AQ$5,PayDedList,0)-1,PayCount,1)))/$AA234*12*AQ$3,IF(ISNA(MATCH(AQ$1,EarnListItem,0))=FALSE,SUMPRODUCT((PayEmp=$C234)*(PayDate&lt;=$AC234)*(OFFSET($N$6,1,MATCH(AQ$5,PayDedList,0)-1,PayCount,1)))/$AA234*12*AQ$3,(MIN(((SUMPRODUCT((PayEmp=$C234)*(PayDate&lt;=$AC234)*(ISERROR(SEARCH(PayEarnCode,AQ$2)))*(PayEarnType="Monthly")*(PayEarnValues))/$AA234*12)+(SUMPRODUCT((PayEmp=$C234)*(PayDate&lt;=$AC234)*(ISERROR(SEARCH(PayEarnCode,AQ$2)))*(PayEarnType="Quarterly")*(PayEarnValues))/MAX(1,ROUNDDOWN($AB234/3,0))*4)+(SUMPRODUCT((PayEmp=$C234)*(PayDate&lt;=$AC234)*(ISERROR(SEARCH(PayEarnCode,AQ$2)))*(PayEarnType="Bi-Annual")*(PayEarnValues))/MAX(1,ROUNDDOWN($AB234/6,0))*2)+(SUMPRODUCT((PayEmp=$C234)*(PayDate&lt;=$AC234)*(ISERROR(SEARCH(PayEarnCode,AQ$2)))*(PayEarnType="Annual")*(PayEarnValues)))),IF(ISNUMBER(OFFSET($N$3,0,MATCH(AQ$5,PayDedList,0)-1,1,1)),OFFSET($N$3,0,MATCH(AQ$5,PayDedList,0)-1,1,1),IgnoreMin)))*IF(COUNTIFS(EmpNo,$C234,OFFSET(Emp!$R$4,1,MATCH(AQ$5,DedListItem,0)-1,EmpCount,1),"&lt;&gt;")&gt;0,VLOOKUP($C234,EmpAll,COLUMN(Emp!$R$4)+MATCH(AQ$5,DedListItem,0)-1,0),OFFSET(Setup!$E$73,MATCH(AQ$5,DedListItem,0),0,1,1))*AQ$3))),IF(ISNUMBER(AQ$4),AQ$4,IgnoreMin)))))</f>
        <v>0</v>
      </c>
      <c r="AR234" s="148">
        <f t="shared" ca="1" si="142"/>
        <v>0</v>
      </c>
      <c r="AS234" s="148">
        <f t="shared" ca="1" si="109"/>
        <v>0</v>
      </c>
      <c r="AT234" s="148" cm="1">
        <f t="array" aca="1" ref="AT234" ca="1">-IF($F234="Terminated",0,IF($AA234=0,0,IF(ISNA(MATCH(AT$5,PayDedList,0)),0,MIN(IF(COUNTIFS(OverEmp,$C234,OverDeduct,AT$5,OverDate,"&lt;"&amp;DATE(YEAR($AC234),MONTH($AC234)+1,1),OverEnd,"&gt;="&amp;DATE(YEAR($AC234),MONTH($AC234),1))&gt;0,SUMPRODUCT((PayEmp=$C234)*(PayDate&lt;=$AC234)*(OFFSET($N$6,1,MATCH(AT$5,PayDedList,0)-1,PayCount,1)))/$AA234*12*AT$3,IF(OR(AT$1="Fixed",AT$1="Not Used"),SUMPRODUCT((PayEmp=$C234)*(PayDate&lt;=$AC234)*(OFFSET($N$6,1,MATCH(AT$5,PayDedList,0)-1,PayCount,1)))/$AA234*12*AT$3,IF(ISNA(MATCH(OFFSET($N$2,0,MATCH(AT$5,PayDedList,0)-1,1,1),EarnListItem,0))=FALSE,SUMPRODUCT((PayEmp=$C234)*(PayDate&lt;=$AC234)*(OFFSET($N$6,1,MATCH(AT$5,PayDedList,0)-1,PayCount,1)))/$AA234*12*AT$3,(MIN(SUMPRODUCT((PayEmp=$C234)*(PayDate&lt;=$AC234)*(ISERROR(SEARCH(PayEarnCode,AT$2)))*(PayEarnType="Monthly")*(PayEarnValues))/$AA234*12,IF(ISNUMBER(OFFSET($N$3,0,MATCH(AT$5,PayDedList,0)-1,1,1)),OFFSET($N$3,0,MATCH(AT$5,PayDedList,0)-1,1,1),IgnoreMin)))*IF(COUNTIFS(EmpNo,$C234,OFFSET(Emp!$R$4,1,MATCH(AT$5,DedListItem,0)-1,EmpCount,1),"&lt;&gt;")&gt;0,VLOOKUP($C234,EmpAll,COLUMN(Emp!$R$4)+MATCH(AT$5,DedListItem,0)-1,0),OFFSET(Setup!$E$73,MATCH(AT$5,DedListItem,0),0,1,1))*AT$3))),IF(ISNUMBER(AT$4),AT$4,IgnoreMin)))))</f>
        <v>0</v>
      </c>
      <c r="AU234" s="148" cm="1">
        <f t="array" aca="1" ref="AU234" ca="1">-IF($F234="Terminated",0,IF($AA234=0,0,IF(ISNA(MATCH(AU$5,PayDedList,0)),0,MIN(IF(COUNTIFS(OverEmp,$C234,OverDeduct,AU$5,OverDate,"&lt;"&amp;DATE(YEAR($AC234),MONTH($AC234)+1,1),OverEnd,"&gt;="&amp;DATE(YEAR($AC234),MONTH($AC234),1))&gt;0,SUMPRODUCT((PayEmp=$C234)*(PayDate&lt;=$AC234)*(OFFSET($N$6,1,MATCH(AU$5,PayDedList,0)-1,PayCount,1)))/$AA234*12*AU$3,IF(OR(AU$1="Fixed",AU$1="Not Used"),SUMPRODUCT((PayEmp=$C234)*(PayDate&lt;=$AC234)*(OFFSET($N$6,1,MATCH(AU$5,PayDedList,0)-1,PayCount,1)))/$AA234*12*AU$3,IF(ISNA(MATCH(OFFSET($N$2,0,MATCH(AU$5,PayDedList,0)-1,1,1),EarnListItem,0))=FALSE,SUMPRODUCT((PayEmp=$C234)*(PayDate&lt;=$AC234)*(OFFSET($N$6,1,MATCH(AU$5,PayDedList,0)-1,PayCount,1)))/$AA234*12*AU$3,(MIN(SUMPRODUCT((PayEmp=$C234)*(PayDate&lt;=$AC234)*(ISERROR(SEARCH(PayEarnCode,AU$2)))*(PayEarnType="Monthly")*(PayEarnValues))/$AA234*12,IF(ISNUMBER(OFFSET($N$3,0,MATCH(AU$5,PayDedList,0)-1,1,1)),OFFSET($N$3,0,MATCH(AU$5,PayDedList,0)-1,1,1),IgnoreMin)))*IF(COUNTIFS(EmpNo,$C234,OFFSET(Emp!$R$4,1,MATCH(AU$5,DedListItem,0)-1,EmpCount,1),"&lt;&gt;")&gt;0,VLOOKUP($C234,EmpAll,COLUMN(Emp!$R$4)+MATCH(AU$5,DedListItem,0)-1,0),OFFSET(Setup!$E$73,MATCH(AU$5,DedListItem,0),0,1,1))*AU$3))),IF(ISNUMBER(AU$4),AU$4,IgnoreMin)))))</f>
        <v>0</v>
      </c>
      <c r="AV234" s="148" cm="1">
        <f t="array" aca="1" ref="AV234" ca="1">-IF($F234="Terminated",0,IF($AA234=0,0,IF(ISNA(MATCH(AV$5,PayDedList,0)),0,MIN(IF(COUNTIFS(OverEmp,$C234,OverDeduct,AV$5,OverDate,"&lt;"&amp;DATE(YEAR($AC234),MONTH($AC234)+1,1),OverEnd,"&gt;="&amp;DATE(YEAR($AC234),MONTH($AC234),1))&gt;0,SUMPRODUCT((PayEmp=$C234)*(PayDate&lt;=$AC234)*(OFFSET($N$6,1,MATCH(AV$5,PayDedList,0)-1,PayCount,1)))/$AA234*12*AV$3,IF(OR(AV$1="Fixed",AV$1="Not Used"),SUMPRODUCT((PayEmp=$C234)*(PayDate&lt;=$AC234)*(OFFSET($N$6,1,MATCH(AV$5,PayDedList,0)-1,PayCount,1)))/$AA234*12*AV$3,IF(ISNA(MATCH(OFFSET($N$2,0,MATCH(AV$5,PayDedList,0)-1,1,1),EarnListItem,0))=FALSE,SUMPRODUCT((PayEmp=$C234)*(PayDate&lt;=$AC234)*(OFFSET($N$6,1,MATCH(AV$5,PayDedList,0)-1,PayCount,1)))/$AA234*12*AV$3,(MIN(SUMPRODUCT((PayEmp=$C234)*(PayDate&lt;=$AC234)*(ISERROR(SEARCH(PayEarnCode,AV$2)))*(PayEarnType="Monthly")*(PayEarnValues))/$AA234*12,IF(ISNUMBER(OFFSET($N$3,0,MATCH(AV$5,PayDedList,0)-1,1,1)),OFFSET($N$3,0,MATCH(AV$5,PayDedList,0)-1,1,1),IgnoreMin)))*IF(COUNTIFS(EmpNo,$C234,OFFSET(Emp!$R$4,1,MATCH(AV$5,DedListItem,0)-1,EmpCount,1),"&lt;&gt;")&gt;0,VLOOKUP($C234,EmpAll,COLUMN(Emp!$R$4)+MATCH(AV$5,DedListItem,0)-1,0),OFFSET(Setup!$E$73,MATCH(AV$5,DedListItem,0),0,1,1))*AV$3))),IF(ISNUMBER(AV$4),AV$4,IgnoreMin)))))</f>
        <v>0</v>
      </c>
      <c r="AW234" s="148" cm="1">
        <f t="array" aca="1" ref="AW234" ca="1">-IF($F234="Terminated",0,IF($AA234=0,0,IF(ISNA(MATCH(AW$5,PayDedList,0)),0,MIN(IF(COUNTIFS(OverEmp,$C234,OverDeduct,AW$5,OverDate,"&lt;"&amp;DATE(YEAR($AC234),MONTH($AC234)+1,1),OverEnd,"&gt;="&amp;DATE(YEAR($AC234),MONTH($AC234),1))&gt;0,SUMPRODUCT((PayEmp=$C234)*(PayDate&lt;=$AC234)*(OFFSET($N$6,1,MATCH(AW$5,PayDedList,0)-1,PayCount,1)))/$AA234*12*AW$3,IF(OR(AW$1="Fixed",AW$1="Not Used"),SUMPRODUCT((PayEmp=$C234)*(PayDate&lt;=$AC234)*(OFFSET($N$6,1,MATCH(AW$5,PayDedList,0)-1,PayCount,1)))/$AA234*12*AW$3,IF(ISNA(MATCH(OFFSET($N$2,0,MATCH(AW$5,PayDedList,0)-1,1,1),EarnListItem,0))=FALSE,SUMPRODUCT((PayEmp=$C234)*(PayDate&lt;=$AC234)*(OFFSET($N$6,1,MATCH(AW$5,PayDedList,0)-1,PayCount,1)))/$AA234*12*AW$3,(MIN(SUMPRODUCT((PayEmp=$C234)*(PayDate&lt;=$AC234)*(ISERROR(SEARCH(PayEarnCode,AW$2)))*(PayEarnType="Monthly")*(PayEarnValues))/$AA234*12,IF(ISNUMBER(OFFSET($N$3,0,MATCH(AW$5,PayDedList,0)-1,1,1)),OFFSET($N$3,0,MATCH(AW$5,PayDedList,0)-1,1,1),IgnoreMin)))*IF(COUNTIFS(EmpNo,$C234,OFFSET(Emp!$R$4,1,MATCH(AW$5,DedListItem,0)-1,EmpCount,1),"&lt;&gt;")&gt;0,VLOOKUP($C234,EmpAll,COLUMN(Emp!$R$4)+MATCH(AW$5,DedListItem,0)-1,0),OFFSET(Setup!$E$73,MATCH(AW$5,DedListItem,0),0,1,1))*AW$3))),IF(ISNUMBER(AW$4),AW$4,IgnoreMin)))))</f>
        <v>0</v>
      </c>
      <c r="AX234" s="148">
        <f t="shared" ca="1" si="143"/>
        <v>0</v>
      </c>
      <c r="AY234" s="148">
        <f t="shared" ca="1" si="144"/>
        <v>0</v>
      </c>
      <c r="AZ234" s="148">
        <f ca="1">IF(ISNUMBER($AL234),($AR234*$AL234)-$AI234-$AK234,MAX(0,IF($AL234="B",IF($AR234&lt;Setup!$C$32,($AR234*Setup!$D$32)-$AI234-$AK234,(($AR234-VLOOKUP($AR234,TaxAll2,1,1))*OFFSET(Setup!$D$32,MATCH($AR234,TaxBracket2,1),0,1,1))+OFFSET(Setup!$E$31,MATCH($AR234,TaxBracket2,1),0,1,1)-$AI234-$AK234),IF($AR234&lt;Setup!$C$21,($AR234*Setup!$D$21)-$AI234-$AK234,(($AR234-VLOOKUP($AR234,TaxAll1,1,1))*OFFSET(Setup!$D$21,MATCH($AR234,TaxBracket1,1),0,1,1))+OFFSET(Setup!$E$20,MATCH($AR234,TaxBracket1,1),0,1,1)-$AI234-$AK234))))</f>
        <v>0</v>
      </c>
      <c r="BA234" s="148">
        <f ca="1">IF(ISNUMBER($AL234),($AX234*$AL234)-$AI234-$AK234,MAX(0,IF($AL234="B",IF($AX234&lt;Setup!$C$32,($AX234*Setup!$D$32)-$AI234-$AK234,(($AX234-VLOOKUP($AX234,TaxAll2,1,1))*OFFSET(Setup!$D$32,MATCH($AX234,TaxBracket2,1),0,1,1))+OFFSET(Setup!$E$31,MATCH($AX234,TaxBracket2,1),0,1,1)-$AI234-$AK234),IF($AX234&lt;Setup!$C$21,($AX234*Setup!$D$21)-$AI234-$AK234,(($AX234-VLOOKUP($AX234,TaxAll1,1,1))*OFFSET(Setup!$D$21,MATCH($AX234,TaxBracket1,1),0,1,1))+OFFSET(Setup!$E$20,MATCH($AX234,TaxBracket1,1),0,1,1)-$AI234-$AK234))))</f>
        <v>0</v>
      </c>
      <c r="BB234" s="148">
        <f t="shared" ca="1" si="145"/>
        <v>0</v>
      </c>
      <c r="BC234" s="150">
        <f t="shared" ca="1" si="110"/>
        <v>0</v>
      </c>
      <c r="BD234" s="150">
        <f t="shared" ca="1" si="111"/>
        <v>0</v>
      </c>
      <c r="BE234" s="148">
        <f t="shared" ca="1" si="112"/>
        <v>0</v>
      </c>
    </row>
    <row r="235" spans="1:57" ht="16.149999999999999" customHeight="1" x14ac:dyDescent="0.25">
      <c r="A235" s="10" t="str" cm="1">
        <f t="array" ref="A235">IF(ROW($A235)-ROW($A$6)&gt;EmpCount*12,"-",TEXT($B235,"yyyy")&amp;TEXT($B235,"mm")&amp;"-"&amp;$C235)</f>
        <v>-</v>
      </c>
      <c r="B235" s="137" cm="1">
        <f t="array" aca="1" ref="B235" ca="1">IF(ROW($A235)-ROW($A$6)&gt;EmpCount*12,Setup!$D$12,DATE(YEAR(Setup!$F$12),MONTH(Setup!$F$12)+ROUNDDOWN((ROW($A235)-ROW($A$6)-1)/EmpCount,0),IF(Setup!$C$14&gt;DAY(DATE(YEAR(Setup!$F$12),MONTH(Setup!$F$12)+ROUNDDOWN((ROW($A235)-ROW($A$6)-1)/EmpCount,0)+1,0)),DAY(DATE(YEAR(Setup!$F$12),MONTH(Setup!$F$12)+ROUNDDOWN((ROW($A235)-ROW($A$6)-1)/EmpCount,0)+1,0)),Setup!$C$14)))</f>
        <v>45351</v>
      </c>
      <c r="C235" s="101" t="str" cm="1">
        <f t="array" aca="1" ref="C235" ca="1">IF(ROW($A235)-ROW($A$6)&gt;EmpCount*12,"-",OFFSET(Emp!$A$4,ROW($A235)-ROW($A$6)-IF(ROW($A235)-ROW($A$6)&gt;EmpCount,ROUNDDOWN((ROW($A235)-ROW($A$6)-1)/EmpCount,0)*EmpCount,0),0,1,1))</f>
        <v>-</v>
      </c>
      <c r="D235" s="10" t="str">
        <f ca="1">IF(ISNA(VLOOKUP($C235,EmpAll,COLUMN(Emp!$B$4),0)),"-",VLOOKUP($C235,EmpAll,COLUMN(Emp!$B$4),0))</f>
        <v>-</v>
      </c>
      <c r="E235" s="145" t="str">
        <f ca="1">IF(ISNA(VLOOKUP($C235,EmpAll,COLUMN(Emp!$C$4),0)),"-",VLOOKUP($C235,EmpAll,COLUMN(Emp!$C$4),0))</f>
        <v>-</v>
      </c>
      <c r="F235" s="101" t="str">
        <f ca="1">IF(ISNA(VLOOKUP($C235,EmpAll,COLUMN(Emp!$A$4),0)),"-",IF(AND(VLOOKUP($C235,EmpAll,COLUMN(Emp!$E$4),0)&lt;&gt;0,VLOOKUP($C235,EmpAll,COLUMN(Emp!$E$4),0)&gt;=DATE(YEAR($AC235),MONTH($AC235)+1,0)),"Inactive",IF(AND(VLOOKUP($C235,EmpAll,COLUMN(Emp!$F$4),0)&lt;&gt;0,VLOOKUP($C235,EmpAll,COLUMN(Emp!$F$4),0)&lt;=DATE(YEAR($AC235),MONTH($AC235),0)),"Terminated","Active")))</f>
        <v>-</v>
      </c>
      <c r="G235" s="133" cm="1">
        <f t="array" aca="1" ref="G235" ca="1">IF($F235&lt;&gt;"Active",0,IF(COUNTIFS(OverEmp,$C235,OverEarn,G$2,OverDate,"&lt;"&amp;DATE(YEAR($AC235),MONTH($AC235)+1,1),OverEnd,"&gt;="&amp;DATE(YEAR($AC235),MONTH($AC235),1))&gt;0,SUMIFS(OverValue,OverEmp,$C235,OverEarn,G$2,OverDate,"&lt;"&amp;DATE(YEAR($AC235),MONTH($AC235)+1,1),OverEnd,"&gt;="&amp;DATE(YEAR($AC235),MONTH($AC235),1)),IF(AND($AC235&gt;=Setup!$E$10,SUMIFS(EmpIncrease,EmpCode,$C235)&gt;0),SUMIFS(EmpIncrease,EmpCode,$C235),SUMIFS(EmpSalary,EmpCode,$C235))))</f>
        <v>0</v>
      </c>
      <c r="H235" s="133" cm="1">
        <f t="array" aca="1" ref="H235" ca="1">IF($F235&lt;&gt;"Active",0,IF(COUNTIFS(OverEmp,$C235,OverEarn,H$2,OverDate,"&lt;"&amp;DATE(YEAR($AC235),MONTH($AC235)+1,1),OverEnd,"&gt;="&amp;DATE(YEAR($AC235),MONTH($AC235),1))&gt;0,SUMIFS(OverValue,OverEmp,$C235,OverEarn,H$2,OverDate,"&lt;"&amp;DATE(YEAR($AC235),MONTH($AC235)+1,1),OverEnd,"&gt;="&amp;DATE(YEAR($AC235),MONTH($AC235),1)),0))</f>
        <v>0</v>
      </c>
      <c r="I235" s="133" cm="1">
        <f t="array" aca="1" ref="I235" ca="1">IF($F235&lt;&gt;"Active",0,IF(COUNTIFS(OverEmp,$C235,OverEarn,I$2,OverDate,"&lt;"&amp;DATE(YEAR($AC235),MONTH($AC235)+1,1),OverEnd,"&gt;="&amp;DATE(YEAR($AC235),MONTH($AC235),1))&gt;0,SUMIFS(OverValue,OverEmp,$C235,OverEarn,I$2,OverDate,"&lt;"&amp;DATE(YEAR($AC235),MONTH($AC235)+1,1),OverEnd,"&gt;="&amp;DATE(YEAR($AC235),MONTH($AC235),1)),IF(MONTH(B235)=Setup!$C$15,SUMIFS(EmpBonus,EmpCode,$C235),0)))</f>
        <v>0</v>
      </c>
      <c r="J235" s="133" cm="1">
        <f t="array" aca="1" ref="J235" ca="1">IF($F235&lt;&gt;"Active",0,IF(COUNTIFS(OverEmp,$C235,OverEarn,J$2,OverDate,"&lt;"&amp;DATE(YEAR($AC235),MONTH($AC235)+1,1),OverEnd,"&gt;="&amp;DATE(YEAR($AC235),MONTH($AC235),1))&gt;0,SUMIFS(OverValue,OverEmp,$C235,OverEarn,J$2,OverDate,"&lt;"&amp;DATE(YEAR($AC235),MONTH($AC235)+1,1),OverEnd,"&gt;="&amp;DATE(YEAR($AC235),MONTH($AC235),1)),0))</f>
        <v>0</v>
      </c>
      <c r="K235" s="133" cm="1">
        <f t="array" aca="1" ref="K235" ca="1">IF($F235&lt;&gt;"Active",0,IF(COUNTIFS(OverEmp,$C235,OverEarn,K$2,OverDate,"&lt;"&amp;DATE(YEAR($AC235),MONTH($AC235)+1,1),OverEnd,"&gt;="&amp;DATE(YEAR($AC235),MONTH($AC235),1))&gt;0,SUMIFS(OverValue,OverEmp,$C235,OverEarn,K$2,OverDate,"&lt;"&amp;DATE(YEAR($AC235),MONTH($AC235)+1,1),OverEnd,"&gt;="&amp;DATE(YEAR($AC235),MONTH($AC235),1)),0))</f>
        <v>0</v>
      </c>
      <c r="L235" s="185">
        <f t="shared" ref="L235:L243" ca="1" si="146">IF($AA235=0,0,SUM(OFFSET($G235,0,0,1,COLUMN($L$6)-COLUMN($G$6))))</f>
        <v>0</v>
      </c>
      <c r="M235" s="182" cm="1">
        <f t="array" aca="1" ref="M235" ca="1">IF(COUNTIFS(OverEmp,$C235,OverTax,M$5,OverDate,"&lt;"&amp;DATE(YEAR($AC235),MONTH($AC235)+1,1),OverEnd,"&gt;="&amp;DATE(YEAR($AC235),MONTH($AC235),1))&gt;0,SUMIFS(OverValue,OverEmp,$C235,OverTax,M$5,OverDate,"&lt;"&amp;DATE(YEAR($AC235),MONTH($AC235)+1,1),OverEnd,"&gt;="&amp;DATE(YEAR($AC235),MONTH($AC235),1)),(($BA235/12*$AA235)+(BB235*IF(1-$BC235=0,0,BD235/(1-$BC235))))-IF($F235="Terminated",0,SUMIFS(PayTaxDeduct,PayDate,"&lt;"&amp;$AC235,PayEmp,$C235)))</f>
        <v>0</v>
      </c>
      <c r="N235" s="133" cm="1">
        <f t="array" aca="1" ref="N235" ca="1">IF($F235="Terminated",0,IF($AA235=0,0,IF(ISNA(MATCH(N$5,DedListItem,0)),0,IF(COUNTIFS(OverEmp,$C235,OverDeduct,N$5,OverDate,"&lt;"&amp;DATE(YEAR($AC235),MONTH($AC235)+1,1),OverEnd,"&gt;="&amp;DATE(YEAR($AC235),MONTH($AC235),1))&gt;0,SUMIFS(OverValue,OverEmp,$C235,OverDeduct,N$5,OverDate,"&lt;"&amp;DATE(YEAR($AC235),MONTH($AC235)+1,1),OverEnd,"&gt;="&amp;DATE(YEAR($AC235),MONTH($AC235),1)),IF(OR(N$2="Fixed",N$2="Not Used"),(IF(COUNTIFS(EmpNo,$C235,OFFSET(Emp!$R$4,1,MATCH(N$5,DedListItem,0)-1,EmpCount,1),"&lt;&gt;")&gt;0,VLOOKUP($C235,EmpAll,COLUMN(Emp!$R$4)+MATCH(N$5,DedListItem,0)-1,0),OFFSET(Setup!$E$73,MATCH(N$5,DedListItem,0),0,1,1))*$AA235)-SUMIFS(OFFSET(N$6,1,0,PayCount,1),PayDate,"&lt;"&amp;$AC235,PayEmp,$C235),IF(ISNA(MATCH(N$2,EarnListItem,0))=FALSE,IF(OFFSET(Setup!$G$73,MATCH(N$5,DedListItem,0),0,1,1)="Taxable",SUMPRODUCT((PayEmp=$C235)*(PayDate&lt;=$AC235)*(PayEarnCode=N$2)*(PayEarnTax)*(PayEarnValues)),SUMPRODUCT((PayEmp=$C235)*(PayDate&lt;=$AC235)*(PayEarnCode=N$2)*(PayEarnValues)))*IF(COUNTIFS(EmpNo,$C235,OFFSET(Emp!$R$4,1,MATCH(N$5,DedListItem,0)-1,EmpCount,1),"&lt;&gt;")&gt;0,VLOOKUP($C235,EmpAll,COLUMN(Emp!$R$4)+MATCH(N$5,DedListItem,0)-1,0),OFFSET(Setup!$E$73,MATCH(N$5,DedListItem,0),0,1,1)),(MIN(IF(OFFSET(Setup!$G$73,MATCH(N$5,DedListItem,0),0,1,1)="Taxable",SUMPRODUCT((PayEmp=$C235)*(PayDate&lt;=$AC235)*(ISERROR(SEARCH(PayEarnCode,N$4)))*(PayEarnTax)*(PayEarnValues)),SUMPRODUCT((PayEmp=$C235)*(PayDate&lt;=$AC235)*(ISERROR(SEARCH(PayEarnCode,N$4)))*(PayEarnValues))),IF(ISNUMBER(N$3),N$3/12*$AA235,IgnoreMin)))*IF(COUNTIFS(EmpNo,$C235,OFFSET(Emp!$R$4,1,MATCH(N$5,DedListItem,0)-1,EmpCount,1),"&lt;&gt;")&gt;0,VLOOKUP($C235,EmpAll,COLUMN(Emp!$R$4)+MATCH(N$5,DedListItem,0)-1,0),OFFSET(Setup!$E$73,MATCH(N$5,DedListItem,0),0,1,1)))-SUMIFS(OFFSET(N$6,1,0,PayCount,1),PayDate,"&lt;"&amp;$AC235,PayEmp,$C235))))))</f>
        <v>0</v>
      </c>
      <c r="O235" s="133" cm="1">
        <f t="array" aca="1" ref="O235" ca="1">IF($F235="Terminated",0,IF($AA235=0,0,IF(ISNA(MATCH(O$5,DedListItem,0)),0,IF(COUNTIFS(OverEmp,$C235,OverDeduct,O$5,OverDate,"&lt;"&amp;DATE(YEAR($AC235),MONTH($AC235)+1,1),OverEnd,"&gt;="&amp;DATE(YEAR($AC235),MONTH($AC235),1))&gt;0,SUMIFS(OverValue,OverEmp,$C235,OverDeduct,O$5,OverDate,"&lt;"&amp;DATE(YEAR($AC235),MONTH($AC235)+1,1),OverEnd,"&gt;="&amp;DATE(YEAR($AC235),MONTH($AC235),1)),IF(OR(O$2="Fixed",O$2="Not Used"),(IF(COUNTIFS(EmpNo,$C235,OFFSET(Emp!$R$4,1,MATCH(O$5,DedListItem,0)-1,EmpCount,1),"&lt;&gt;")&gt;0,VLOOKUP($C235,EmpAll,COLUMN(Emp!$R$4)+MATCH(O$5,DedListItem,0)-1,0),OFFSET(Setup!$E$73,MATCH(O$5,DedListItem,0),0,1,1))*$AA235)-SUMIFS(OFFSET(O$6,1,0,PayCount,1),PayDate,"&lt;"&amp;$AC235,PayEmp,$C235),IF(ISNA(MATCH(O$2,EarnListItem,0))=FALSE,IF(OFFSET(Setup!$G$73,MATCH(O$5,DedListItem,0),0,1,1)="Taxable",SUMPRODUCT((PayEmp=$C235)*(PayDate&lt;=$AC235)*(PayEarnCode=O$2)*(PayEarnTax)*(PayEarnValues)),SUMPRODUCT((PayEmp=$C235)*(PayDate&lt;=$AC235)*(PayEarnCode=O$2)*(PayEarnValues)))*IF(COUNTIFS(EmpNo,$C235,OFFSET(Emp!$R$4,1,MATCH(O$5,DedListItem,0)-1,EmpCount,1),"&lt;&gt;")&gt;0,VLOOKUP($C235,EmpAll,COLUMN(Emp!$R$4)+MATCH(O$5,DedListItem,0)-1,0),OFFSET(Setup!$E$73,MATCH(O$5,DedListItem,0),0,1,1)),(MIN(IF(OFFSET(Setup!$G$73,MATCH(O$5,DedListItem,0),0,1,1)="Taxable",SUMPRODUCT((PayEmp=$C235)*(PayDate&lt;=$AC235)*(ISERROR(SEARCH(PayEarnCode,O$4)))*(PayEarnTax)*(PayEarnValues)),SUMPRODUCT((PayEmp=$C235)*(PayDate&lt;=$AC235)*(ISERROR(SEARCH(PayEarnCode,O$4)))*(PayEarnValues))),IF(ISNUMBER(O$3),O$3/12*$AA235,IgnoreMin)))*IF(COUNTIFS(EmpNo,$C235,OFFSET(Emp!$R$4,1,MATCH(O$5,DedListItem,0)-1,EmpCount,1),"&lt;&gt;")&gt;0,VLOOKUP($C235,EmpAll,COLUMN(Emp!$R$4)+MATCH(O$5,DedListItem,0)-1,0),OFFSET(Setup!$E$73,MATCH(O$5,DedListItem,0),0,1,1)))-SUMIFS(OFFSET(O$6,1,0,PayCount,1),PayDate,"&lt;"&amp;$AC235,PayEmp,$C235))))))</f>
        <v>0</v>
      </c>
      <c r="P235" s="133" cm="1">
        <f t="array" aca="1" ref="P235" ca="1">IF($F235="Terminated",0,IF($AA235=0,0,IF(ISNA(MATCH(P$5,DedListItem,0)),0,IF(COUNTIFS(OverEmp,$C235,OverDeduct,P$5,OverDate,"&lt;"&amp;DATE(YEAR($AC235),MONTH($AC235)+1,1),OverEnd,"&gt;="&amp;DATE(YEAR($AC235),MONTH($AC235),1))&gt;0,SUMIFS(OverValue,OverEmp,$C235,OverDeduct,P$5,OverDate,"&lt;"&amp;DATE(YEAR($AC235),MONTH($AC235)+1,1),OverEnd,"&gt;="&amp;DATE(YEAR($AC235),MONTH($AC235),1)),IF(OR(P$2="Fixed",P$2="Not Used"),(IF(COUNTIFS(EmpNo,$C235,OFFSET(Emp!$R$4,1,MATCH(P$5,DedListItem,0)-1,EmpCount,1),"&lt;&gt;")&gt;0,VLOOKUP($C235,EmpAll,COLUMN(Emp!$R$4)+MATCH(P$5,DedListItem,0)-1,0),OFFSET(Setup!$E$73,MATCH(P$5,DedListItem,0),0,1,1))*$AA235)-SUMIFS(OFFSET(P$6,1,0,PayCount,1),PayDate,"&lt;"&amp;$AC235,PayEmp,$C235),IF(ISNA(MATCH(P$2,EarnListItem,0))=FALSE,IF(OFFSET(Setup!$G$73,MATCH(P$5,DedListItem,0),0,1,1)="Taxable",SUMPRODUCT((PayEmp=$C235)*(PayDate&lt;=$AC235)*(PayEarnCode=P$2)*(PayEarnTax)*(PayEarnValues)),SUMPRODUCT((PayEmp=$C235)*(PayDate&lt;=$AC235)*(PayEarnCode=P$2)*(PayEarnValues)))*IF(COUNTIFS(EmpNo,$C235,OFFSET(Emp!$R$4,1,MATCH(P$5,DedListItem,0)-1,EmpCount,1),"&lt;&gt;")&gt;0,VLOOKUP($C235,EmpAll,COLUMN(Emp!$R$4)+MATCH(P$5,DedListItem,0)-1,0),OFFSET(Setup!$E$73,MATCH(P$5,DedListItem,0),0,1,1)),(MIN(IF(OFFSET(Setup!$G$73,MATCH(P$5,DedListItem,0),0,1,1)="Taxable",SUMPRODUCT((PayEmp=$C235)*(PayDate&lt;=$AC235)*(ISERROR(SEARCH(PayEarnCode,P$4)))*(PayEarnTax)*(PayEarnValues)),SUMPRODUCT((PayEmp=$C235)*(PayDate&lt;=$AC235)*(ISERROR(SEARCH(PayEarnCode,P$4)))*(PayEarnValues))),IF(ISNUMBER(P$3),P$3/12*$AA235,IgnoreMin)))*IF(COUNTIFS(EmpNo,$C235,OFFSET(Emp!$R$4,1,MATCH(P$5,DedListItem,0)-1,EmpCount,1),"&lt;&gt;")&gt;0,VLOOKUP($C235,EmpAll,COLUMN(Emp!$R$4)+MATCH(P$5,DedListItem,0)-1,0),OFFSET(Setup!$E$73,MATCH(P$5,DedListItem,0),0,1,1)))-SUMIFS(OFFSET(P$6,1,0,PayCount,1),PayDate,"&lt;"&amp;$AC235,PayEmp,$C235))))))</f>
        <v>0</v>
      </c>
      <c r="Q235" s="133" cm="1">
        <f t="array" aca="1" ref="Q235" ca="1">IF($F235="Terminated",0,IF($AA235=0,0,IF(ISNA(MATCH(Q$5,DedListItem,0)),0,IF(COUNTIFS(OverEmp,$C235,OverDeduct,Q$5,OverDate,"&lt;"&amp;DATE(YEAR($AC235),MONTH($AC235)+1,1),OverEnd,"&gt;="&amp;DATE(YEAR($AC235),MONTH($AC235),1))&gt;0,SUMIFS(OverValue,OverEmp,$C235,OverDeduct,Q$5,OverDate,"&lt;"&amp;DATE(YEAR($AC235),MONTH($AC235)+1,1),OverEnd,"&gt;="&amp;DATE(YEAR($AC235),MONTH($AC235),1)),IF(OR(Q$2="Fixed",Q$2="Not Used"),(IF(COUNTIFS(EmpNo,$C235,OFFSET(Emp!$R$4,1,MATCH(Q$5,DedListItem,0)-1,EmpCount,1),"&lt;&gt;")&gt;0,VLOOKUP($C235,EmpAll,COLUMN(Emp!$R$4)+MATCH(Q$5,DedListItem,0)-1,0),OFFSET(Setup!$E$73,MATCH(Q$5,DedListItem,0),0,1,1))*$AA235)-SUMIFS(OFFSET(Q$6,1,0,PayCount,1),PayDate,"&lt;"&amp;$AC235,PayEmp,$C235),IF(ISNA(MATCH(Q$2,EarnListItem,0))=FALSE,IF(OFFSET(Setup!$G$73,MATCH(Q$5,DedListItem,0),0,1,1)="Taxable",SUMPRODUCT((PayEmp=$C235)*(PayDate&lt;=$AC235)*(PayEarnCode=Q$2)*(PayEarnTax)*(PayEarnValues)),SUMPRODUCT((PayEmp=$C235)*(PayDate&lt;=$AC235)*(PayEarnCode=Q$2)*(PayEarnValues)))*IF(COUNTIFS(EmpNo,$C235,OFFSET(Emp!$R$4,1,MATCH(Q$5,DedListItem,0)-1,EmpCount,1),"&lt;&gt;")&gt;0,VLOOKUP($C235,EmpAll,COLUMN(Emp!$R$4)+MATCH(Q$5,DedListItem,0)-1,0),OFFSET(Setup!$E$73,MATCH(Q$5,DedListItem,0),0,1,1)),(MIN(IF(OFFSET(Setup!$G$73,MATCH(Q$5,DedListItem,0),0,1,1)="Taxable",SUMPRODUCT((PayEmp=$C235)*(PayDate&lt;=$AC235)*(ISERROR(SEARCH(PayEarnCode,Q$4)))*(PayEarnTax)*(PayEarnValues)),SUMPRODUCT((PayEmp=$C235)*(PayDate&lt;=$AC235)*(ISERROR(SEARCH(PayEarnCode,Q$4)))*(PayEarnValues))),IF(ISNUMBER(Q$3),Q$3/12*$AA235,IgnoreMin)))*IF(COUNTIFS(EmpNo,$C235,OFFSET(Emp!$R$4,1,MATCH(Q$5,DedListItem,0)-1,EmpCount,1),"&lt;&gt;")&gt;0,VLOOKUP($C235,EmpAll,COLUMN(Emp!$R$4)+MATCH(Q$5,DedListItem,0)-1,0),OFFSET(Setup!$E$73,MATCH(Q$5,DedListItem,0),0,1,1)))-SUMIFS(OFFSET(Q$6,1,0,PayCount,1),PayDate,"&lt;"&amp;$AC235,PayEmp,$C235))))))</f>
        <v>0</v>
      </c>
      <c r="R235" s="185">
        <f t="shared" ref="R235:R243" ca="1" si="147">SUM(OFFSET(M235,0,0,1,COLUMN($R$6)-COLUMN($M$6)))</f>
        <v>0</v>
      </c>
      <c r="S235" s="139">
        <f t="shared" ref="S235:S243" ca="1" si="148">ROUND(SUM(L235,-R235),2)</f>
        <v>0</v>
      </c>
      <c r="T235" s="133" cm="1">
        <f t="array" aca="1" ref="T235" ca="1">IF($F235="Terminated",0,IF($AA235=0,0,IF(ISNA(MATCH(T$5,CompListItem,0)),0,IF(COUNTIFS(OverEmp,$C235,OverComp,T$5,OverDate,"&lt;"&amp;DATE(YEAR($AC235),MONTH($AC235)+1,1),OverEnd,"&gt;="&amp;DATE(YEAR($AC235),MONTH($AC235),1))&gt;0,SUMIFS(OverValue,OverEmp,$C235,OverComp,T$5,OverDate,"&lt;"&amp;DATE(YEAR($AC235),MONTH($AC235)+1,1),OverEnd,"&gt;="&amp;DATE(YEAR($AC235),MONTH($AC235),1)),IF(OR(T$2="Fixed",T$2="Not Used"),(OFFSET(Setup!$E$81,MATCH(T$5,CompListItem,0),0,1,1)*$AA235)-SUMIFS(OFFSET(T$6,1,0,PayCount,1),PayDate,"&lt;"&amp;$AC235,PayEmp,$C235),IF(ISNA(MATCH(T$2,DedListItem,0))=FALSE,(SUMPRODUCT((PayEmp=$C235)*(PayDate&lt;=$AC235)*(PayDedList=T$2)*(PayDedValues))*OFFSET(Setup!$E$81,MATCH(T$5,CompListItem,0),0,1,1))-SUMIFS(OFFSET(T$6,1,0,PayCount,1),PayDate,"&lt;"&amp;$AC235,PayEmp,$C235),(MIN(IF(OFFSET(Setup!$G$81,MATCH(T$5,CompListItem,0),0,1,1)="Taxable",SUMPRODUCT((PayEmp=$C235)*(PayDate&lt;=$AC235)*(ISERROR(SEARCH(PayEarnCode,T$4)))*(PayEarnTax)*(PayEarnValues)),SUMPRODUCT((PayEmp=$C235)*(PayDate&lt;=$AC235)*(ISERROR(SEARCH(PayEarnCode,T$4)))*(PayEarnValues))),IF(ISNUMBER(T$3),T$3/12*$AA235,IgnoreMin)))*OFFSET(Setup!$E$81,MATCH(T$5,CompListItem,0),0,1,1)-SUMIFS(OFFSET(T$6,1,0,PayCount,1),PayDate,"&lt;"&amp;$AC235,PayEmp,$C235)))))))</f>
        <v>0</v>
      </c>
      <c r="U235" s="133" cm="1">
        <f t="array" aca="1" ref="U235" ca="1">IF($F235="Terminated",0,IF($AA235=0,0,IF(ISNA(MATCH(U$5,CompListItem,0)),0,IF(COUNTIFS(OverEmp,$C235,OverComp,U$5,OverDate,"&lt;"&amp;DATE(YEAR($AC235),MONTH($AC235)+1,1),OverEnd,"&gt;="&amp;DATE(YEAR($AC235),MONTH($AC235),1))&gt;0,SUMIFS(OverValue,OverEmp,$C235,OverComp,U$5,OverDate,"&lt;"&amp;DATE(YEAR($AC235),MONTH($AC235)+1,1),OverEnd,"&gt;="&amp;DATE(YEAR($AC235),MONTH($AC235),1)),IF(OR(U$2="Fixed",U$2="Not Used"),(OFFSET(Setup!$E$81,MATCH(U$5,CompListItem,0),0,1,1)*$AA235)-SUMIFS(OFFSET(U$6,1,0,PayCount,1),PayDate,"&lt;"&amp;$AC235,PayEmp,$C235),IF(ISNA(MATCH(U$2,DedListItem,0))=FALSE,(SUMPRODUCT((PayEmp=$C235)*(PayDate&lt;=$AC235)*(PayDedList=U$2)*(PayDedValues))*OFFSET(Setup!$E$81,MATCH(U$5,CompListItem,0),0,1,1))-SUMIFS(OFFSET(U$6,1,0,PayCount,1),PayDate,"&lt;"&amp;$AC235,PayEmp,$C235),(MIN(IF(OFFSET(Setup!$G$81,MATCH(U$5,CompListItem,0),0,1,1)="Taxable",SUMPRODUCT((PayEmp=$C235)*(PayDate&lt;=$AC235)*(ISERROR(SEARCH(PayEarnCode,U$4)))*(PayEarnTax)*(PayEarnValues)),SUMPRODUCT((PayEmp=$C235)*(PayDate&lt;=$AC235)*(ISERROR(SEARCH(PayEarnCode,U$4)))*(PayEarnValues))),IF(ISNUMBER(U$3),U$3/12*$AA235,IgnoreMin)))*OFFSET(Setup!$E$81,MATCH(U$5,CompListItem,0),0,1,1)-SUMIFS(OFFSET(U$6,1,0,PayCount,1),PayDate,"&lt;"&amp;$AC235,PayEmp,$C235)))))))</f>
        <v>0</v>
      </c>
      <c r="V235" s="133" cm="1">
        <f t="array" aca="1" ref="V235" ca="1">IF($F235="Terminated",0,IF($AA235=0,0,IF(ISNA(MATCH(V$5,CompListItem,0)),0,IF(COUNTIFS(OverEmp,$C235,OverComp,V$5,OverDate,"&lt;"&amp;DATE(YEAR($AC235),MONTH($AC235)+1,1),OverEnd,"&gt;="&amp;DATE(YEAR($AC235),MONTH($AC235),1))&gt;0,SUMIFS(OverValue,OverEmp,$C235,OverComp,V$5,OverDate,"&lt;"&amp;DATE(YEAR($AC235),MONTH($AC235)+1,1),OverEnd,"&gt;="&amp;DATE(YEAR($AC235),MONTH($AC235),1)),IF(OR(V$2="Fixed",V$2="Not Used"),(OFFSET(Setup!$E$81,MATCH(V$5,CompListItem,0),0,1,1)*$AA235)-SUMIFS(OFFSET(V$6,1,0,PayCount,1),PayDate,"&lt;"&amp;$AC235,PayEmp,$C235),IF(ISNA(MATCH(V$2,DedListItem,0))=FALSE,(SUMPRODUCT((PayEmp=$C235)*(PayDate&lt;=$AC235)*(PayDedList=V$2)*(PayDedValues))*OFFSET(Setup!$E$81,MATCH(V$5,CompListItem,0),0,1,1))-SUMIFS(OFFSET(V$6,1,0,PayCount,1),PayDate,"&lt;"&amp;$AC235,PayEmp,$C235),(MIN(IF(OFFSET(Setup!$G$81,MATCH(V$5,CompListItem,0),0,1,1)="Taxable",SUMPRODUCT((PayEmp=$C235)*(PayDate&lt;=$AC235)*(ISERROR(SEARCH(PayEarnCode,V$4)))*(PayEarnTax)*(PayEarnValues)),SUMPRODUCT((PayEmp=$C235)*(PayDate&lt;=$AC235)*(ISERROR(SEARCH(PayEarnCode,V$4)))*(PayEarnValues))),IF(ISNUMBER(V$3),V$3/12*$AA235,IgnoreMin)))*OFFSET(Setup!$E$81,MATCH(V$5,CompListItem,0),0,1,1)-SUMIFS(OFFSET(V$6,1,0,PayCount,1),PayDate,"&lt;"&amp;$AC235,PayEmp,$C235)))))))</f>
        <v>0</v>
      </c>
      <c r="W235" s="133" cm="1">
        <f t="array" aca="1" ref="W235" ca="1">IF($F235="Terminated",0,IF($AA235=0,0,IF(ISNA(MATCH(W$5,CompListItem,0)),0,IF(COUNTIFS(OverEmp,$C235,OverComp,W$5,OverDate,"&lt;"&amp;DATE(YEAR($AC235),MONTH($AC235)+1,1),OverEnd,"&gt;="&amp;DATE(YEAR($AC235),MONTH($AC235),1))&gt;0,SUMIFS(OverValue,OverEmp,$C235,OverComp,W$5,OverDate,"&lt;"&amp;DATE(YEAR($AC235),MONTH($AC235)+1,1),OverEnd,"&gt;="&amp;DATE(YEAR($AC235),MONTH($AC235),1)),IF(OR(W$2="Fixed",W$2="Not Used"),(OFFSET(Setup!$E$81,MATCH(W$5,CompListItem,0),0,1,1)*$AA235)-SUMIFS(OFFSET(W$6,1,0,PayCount,1),PayDate,"&lt;"&amp;$AC235,PayEmp,$C235),IF(ISNA(MATCH(W$2,DedListItem,0))=FALSE,(SUMPRODUCT((PayEmp=$C235)*(PayDate&lt;=$AC235)*(PayDedList=W$2)*(PayDedValues))*OFFSET(Setup!$E$81,MATCH(W$5,CompListItem,0),0,1,1))-SUMIFS(OFFSET(W$6,1,0,PayCount,1),PayDate,"&lt;"&amp;$AC235,PayEmp,$C235),(MIN(IF(OFFSET(Setup!$G$81,MATCH(W$5,CompListItem,0),0,1,1)="Taxable",SUMPRODUCT((PayEmp=$C235)*(PayDate&lt;=$AC235)*(ISERROR(SEARCH(PayEarnCode,W$4)))*(PayEarnTax)*(PayEarnValues)),SUMPRODUCT((PayEmp=$C235)*(PayDate&lt;=$AC235)*(ISERROR(SEARCH(PayEarnCode,W$4)))*(PayEarnValues))),IF(ISNUMBER(W$3),W$3/12*$AA235,IgnoreMin)))*OFFSET(Setup!$E$81,MATCH(W$5,CompListItem,0),0,1,1)-SUMIFS(OFFSET(W$6,1,0,PayCount,1),PayDate,"&lt;"&amp;$AC235,PayEmp,$C235)))))))</f>
        <v>0</v>
      </c>
      <c r="X235" s="185">
        <f t="shared" ca="1" si="90"/>
        <v>0</v>
      </c>
      <c r="Y235" s="139">
        <f t="shared" ref="Y235:Y243" ca="1" si="149">L235+X235</f>
        <v>0</v>
      </c>
      <c r="Z235" s="139">
        <f t="shared" ca="1" si="91"/>
        <v>0</v>
      </c>
      <c r="AA235" s="146">
        <f ca="1">IF(OR($B235&lt;=Setup!$E$12,$B235&gt;=Setup!$D$12+1),0,IF($F235&lt;&gt;"Active",0,IF($AE235="Yes",$AB235,((YEAR($AC235)*12)+MONTH($AC235))-((YEAR($AD235)*12)+MONTH($AD235)-1))))</f>
        <v>0</v>
      </c>
      <c r="AB235" s="146">
        <f ca="1">IF(OR($B235&lt;=Setup!$E$12,$B235&gt;=Setup!$D$12+1),0,((YEAR($AC235)*12)+MONTH($AC235))-((YEAR(Setup!$E$12)*12)+MONTH(Setup!$E$12)))</f>
        <v>12</v>
      </c>
      <c r="AC235" s="186">
        <f t="shared" ca="1" si="92"/>
        <v>45351</v>
      </c>
      <c r="AD235" s="144">
        <f ca="1">IF(ISNA(VLOOKUP($C235,EmpAll,COLUMN(Emp!$E$4),0)),$AC235,IF(VLOOKUP($C235,EmpAll,COLUMN(Emp!$E$4),0)&lt;=Setup!$E$12,DATE(YEAR(Setup!$E$12),MONTH(Setup!$E$12)+1,1),VLOOKUP($C235,EmpAll,COLUMN(Emp!$E$4),0)))</f>
        <v>45351</v>
      </c>
      <c r="AE235" s="144" t="str">
        <f ca="1">IF(ISNA(VLOOKUP($C235,EmpAll,COLUMN(Emp!$G$1),0)),"-",IF(VLOOKUP($C235,EmpAll,COLUMN(Emp!$G$1),0)=0,"-",VLOOKUP($C235,EmpAll,COLUMN(Emp!$G$1),0)))</f>
        <v>-</v>
      </c>
      <c r="AF235" s="145">
        <f>IF(A235=PaySlip!$G$3,1,0)</f>
        <v>0</v>
      </c>
      <c r="AG235" s="130" cm="1">
        <f t="array" aca="1" ref="AG235" ca="1">IF(COUNTIFS(OverEmp,$C235,OverMed,"MED",OverDate,"&lt;"&amp;DATE(YEAR($AC235),MONTH($AC235)+1,1),OverEnd,"&gt;="&amp;DATE(YEAR($AC235),MONTH($AC235),1))&gt;0,SUMIFS(OverValue,OverEmp,$C235,OverMed,"MED",OverDate,"&lt;"&amp;DATE(YEAR($AC235),MONTH($AC235)+1,1),OverEnd,"&gt;="&amp;DATE(YEAR($AC235),MONTH($AC235),1)),IF(ISNA(VLOOKUP($C235,EmpAll,COLUMN(Emp!$N$4),0)),0,VLOOKUP($C235,EmpAll,COLUMN(Emp!$N$4),0)))</f>
        <v>0</v>
      </c>
      <c r="AH235" s="146">
        <f ca="1">VLOOKUP($AG235,MedList,COLUMN(Setup!$C$49),1)</f>
        <v>0</v>
      </c>
      <c r="AI235" s="146">
        <f t="shared" ca="1" si="107"/>
        <v>0</v>
      </c>
      <c r="AJ235" s="101" t="str">
        <f ca="1">IF(ISNA(VLOOKUP($C235,EmpAll,COLUMN(Emp!$L$4),0)),"None!",VLOOKUP($C235,EmpAll,COLUMN(Emp!$L$4),0))</f>
        <v>None!</v>
      </c>
      <c r="AK235" s="147">
        <f t="shared" ca="1" si="80"/>
        <v>17235</v>
      </c>
      <c r="AL235" s="101" t="str">
        <f ca="1">IF(ISNA(VLOOKUP($C235,Employees[],COLUMN(Emp!$M$4),0))=TRUE,"Error!",IF(VLOOKUP($C235,Employees[],COLUMN(Emp!$M$4),0)=0,"Yes",VLOOKUP($C235,Employees[],COLUMN(Emp!$M$4),0)))</f>
        <v>Error!</v>
      </c>
      <c r="AM235" s="148">
        <f t="shared" ca="1" si="108"/>
        <v>0</v>
      </c>
      <c r="AN235" s="148" cm="1">
        <f t="array" aca="1" ref="AN235" ca="1">-IF($F235="Terminated",0,IF($AA235=0,0,IF(ISNA(MATCH(AN$5,PayDedList,0)),0,MIN(IF(COUNTIFS(OverEmp,$C235,OverDeduct,AN$5,OverDate,"&lt;"&amp;DATE(YEAR($AC235),MONTH($AC235)+1,1),OverEnd,"&gt;="&amp;DATE(YEAR($AC235),MONTH($AC235),1))&gt;0,SUMPRODUCT((PayEmp=$C235)*(PayDate&lt;=$AC235)*(OFFSET($N$6,1,MATCH(AN$5,PayDedList,0)-1,PayCount,1)))/$AA235*12*AN$3,IF(OR(AN$1="Fixed",AN$1="Not Used"),SUMPRODUCT((PayEmp=$C235)*(PayDate&lt;=$AC235)*(OFFSET($N$6,1,MATCH(AN$5,PayDedList,0)-1,PayCount,1)))/$AA235*12*AN$3,IF(ISNA(MATCH(AN$1,EarnListItem,0))=FALSE,SUMPRODUCT((PayEmp=$C235)*(PayDate&lt;=$AC235)*(OFFSET($N$6,1,MATCH(AN$5,PayDedList,0)-1,PayCount,1)))/$AA235*12*AN$3,(MIN(((SUMPRODUCT((PayEmp=$C235)*(PayDate&lt;=$AC235)*(ISERROR(SEARCH(PayEarnCode,AN$2)))*(PayEarnType="Monthly")*(PayEarnValues))/$AA235*12)+(SUMPRODUCT((PayEmp=$C235)*(PayDate&lt;=$AC235)*(ISERROR(SEARCH(PayEarnCode,AN$2)))*(PayEarnType="Quarterly")*(PayEarnValues))/MAX(1,ROUNDDOWN($AB235/3,0))*4)+(SUMPRODUCT((PayEmp=$C235)*(PayDate&lt;=$AC235)*(ISERROR(SEARCH(PayEarnCode,AN$2)))*(PayEarnType="Bi-Annual")*(PayEarnValues))/MAX(1,ROUNDDOWN($AB235/6,0))*2)+(SUMPRODUCT((PayEmp=$C235)*(PayDate&lt;=$AC235)*(ISERROR(SEARCH(PayEarnCode,AN$2)))*(PayEarnType="Annual")*(PayEarnValues)))),IF(ISNUMBER(OFFSET($N$3,0,MATCH(AN$5,PayDedList,0)-1,1,1)),OFFSET($N$3,0,MATCH(AN$5,PayDedList,0)-1,1,1),IgnoreMin)))*IF(COUNTIFS(EmpNo,$C235,OFFSET(Emp!$R$4,1,MATCH(AN$5,DedListItem,0)-1,EmpCount,1),"&lt;&gt;")&gt;0,VLOOKUP($C235,EmpAll,COLUMN(Emp!$R$4)+MATCH(AN$5,DedListItem,0)-1,0),OFFSET(Setup!$E$73,MATCH(AN$5,DedListItem,0),0,1,1))*AN$3))),IF(ISNUMBER(AN$4),AN$4,IgnoreMin)))))</f>
        <v>0</v>
      </c>
      <c r="AO235" s="148" cm="1">
        <f t="array" aca="1" ref="AO235" ca="1">-IF($F235="Terminated",0,IF($AA235=0,0,IF(ISNA(MATCH(AO$5,PayDedList,0)),0,MIN(IF(COUNTIFS(OverEmp,$C235,OverDeduct,AO$5,OverDate,"&lt;"&amp;DATE(YEAR($AC235),MONTH($AC235)+1,1),OverEnd,"&gt;="&amp;DATE(YEAR($AC235),MONTH($AC235),1))&gt;0,SUMPRODUCT((PayEmp=$C235)*(PayDate&lt;=$AC235)*(OFFSET($N$6,1,MATCH(AO$5,PayDedList,0)-1,PayCount,1)))/$AA235*12*AO$3,IF(OR(AO$1="Fixed",AO$1="Not Used"),SUMPRODUCT((PayEmp=$C235)*(PayDate&lt;=$AC235)*(OFFSET($N$6,1,MATCH(AO$5,PayDedList,0)-1,PayCount,1)))/$AA235*12*AO$3,IF(ISNA(MATCH(AO$1,EarnListItem,0))=FALSE,SUMPRODUCT((PayEmp=$C235)*(PayDate&lt;=$AC235)*(OFFSET($N$6,1,MATCH(AO$5,PayDedList,0)-1,PayCount,1)))/$AA235*12*AO$3,(MIN(((SUMPRODUCT((PayEmp=$C235)*(PayDate&lt;=$AC235)*(ISERROR(SEARCH(PayEarnCode,AO$2)))*(PayEarnType="Monthly")*(PayEarnValues))/$AA235*12)+(SUMPRODUCT((PayEmp=$C235)*(PayDate&lt;=$AC235)*(ISERROR(SEARCH(PayEarnCode,AO$2)))*(PayEarnType="Quarterly")*(PayEarnValues))/MAX(1,ROUNDDOWN($AB235/3,0))*4)+(SUMPRODUCT((PayEmp=$C235)*(PayDate&lt;=$AC235)*(ISERROR(SEARCH(PayEarnCode,AO$2)))*(PayEarnType="Bi-Annual")*(PayEarnValues))/MAX(1,ROUNDDOWN($AB235/6,0))*2)+(SUMPRODUCT((PayEmp=$C235)*(PayDate&lt;=$AC235)*(ISERROR(SEARCH(PayEarnCode,AO$2)))*(PayEarnType="Annual")*(PayEarnValues)))),IF(ISNUMBER(OFFSET($N$3,0,MATCH(AO$5,PayDedList,0)-1,1,1)),OFFSET($N$3,0,MATCH(AO$5,PayDedList,0)-1,1,1),IgnoreMin)))*IF(COUNTIFS(EmpNo,$C235,OFFSET(Emp!$R$4,1,MATCH(AO$5,DedListItem,0)-1,EmpCount,1),"&lt;&gt;")&gt;0,VLOOKUP($C235,EmpAll,COLUMN(Emp!$R$4)+MATCH(AO$5,DedListItem,0)-1,0),OFFSET(Setup!$E$73,MATCH(AO$5,DedListItem,0),0,1,1))*AO$3))),IF(ISNUMBER(AO$4),AO$4,IgnoreMin)))))</f>
        <v>0</v>
      </c>
      <c r="AP235" s="148" cm="1">
        <f t="array" aca="1" ref="AP235" ca="1">-IF($F235="Terminated",0,IF($AA235=0,0,IF(ISNA(MATCH(AP$5,PayDedList,0)),0,MIN(IF(COUNTIFS(OverEmp,$C235,OverDeduct,AP$5,OverDate,"&lt;"&amp;DATE(YEAR($AC235),MONTH($AC235)+1,1),OverEnd,"&gt;="&amp;DATE(YEAR($AC235),MONTH($AC235),1))&gt;0,SUMPRODUCT((PayEmp=$C235)*(PayDate&lt;=$AC235)*(OFFSET($N$6,1,MATCH(AP$5,PayDedList,0)-1,PayCount,1)))/$AA235*12*AP$3,IF(OR(AP$1="Fixed",AP$1="Not Used"),SUMPRODUCT((PayEmp=$C235)*(PayDate&lt;=$AC235)*(OFFSET($N$6,1,MATCH(AP$5,PayDedList,0)-1,PayCount,1)))/$AA235*12*AP$3,IF(ISNA(MATCH(AP$1,EarnListItem,0))=FALSE,SUMPRODUCT((PayEmp=$C235)*(PayDate&lt;=$AC235)*(OFFSET($N$6,1,MATCH(AP$5,PayDedList,0)-1,PayCount,1)))/$AA235*12*AP$3,(MIN(((SUMPRODUCT((PayEmp=$C235)*(PayDate&lt;=$AC235)*(ISERROR(SEARCH(PayEarnCode,AP$2)))*(PayEarnType="Monthly")*(PayEarnValues))/$AA235*12)+(SUMPRODUCT((PayEmp=$C235)*(PayDate&lt;=$AC235)*(ISERROR(SEARCH(PayEarnCode,AP$2)))*(PayEarnType="Quarterly")*(PayEarnValues))/MAX(1,ROUNDDOWN($AB235/3,0))*4)+(SUMPRODUCT((PayEmp=$C235)*(PayDate&lt;=$AC235)*(ISERROR(SEARCH(PayEarnCode,AP$2)))*(PayEarnType="Bi-Annual")*(PayEarnValues))/MAX(1,ROUNDDOWN($AB235/6,0))*2)+(SUMPRODUCT((PayEmp=$C235)*(PayDate&lt;=$AC235)*(ISERROR(SEARCH(PayEarnCode,AP$2)))*(PayEarnType="Annual")*(PayEarnValues)))),IF(ISNUMBER(OFFSET($N$3,0,MATCH(AP$5,PayDedList,0)-1,1,1)),OFFSET($N$3,0,MATCH(AP$5,PayDedList,0)-1,1,1),IgnoreMin)))*IF(COUNTIFS(EmpNo,$C235,OFFSET(Emp!$R$4,1,MATCH(AP$5,DedListItem,0)-1,EmpCount,1),"&lt;&gt;")&gt;0,VLOOKUP($C235,EmpAll,COLUMN(Emp!$R$4)+MATCH(AP$5,DedListItem,0)-1,0),OFFSET(Setup!$E$73,MATCH(AP$5,DedListItem,0),0,1,1))*AP$3))),IF(ISNUMBER(AP$4),AP$4,IgnoreMin)))))</f>
        <v>0</v>
      </c>
      <c r="AQ235" s="148" cm="1">
        <f t="array" aca="1" ref="AQ235" ca="1">-IF($F235="Terminated",0,IF($AA235=0,0,IF(ISNA(MATCH(AQ$5,PayDedList,0)),0,MIN(IF(COUNTIFS(OverEmp,$C235,OverDeduct,AQ$5,OverDate,"&lt;"&amp;DATE(YEAR($AC235),MONTH($AC235)+1,1),OverEnd,"&gt;="&amp;DATE(YEAR($AC235),MONTH($AC235),1))&gt;0,SUMPRODUCT((PayEmp=$C235)*(PayDate&lt;=$AC235)*(OFFSET($N$6,1,MATCH(AQ$5,PayDedList,0)-1,PayCount,1)))/$AA235*12*AQ$3,IF(OR(AQ$1="Fixed",AQ$1="Not Used"),SUMPRODUCT((PayEmp=$C235)*(PayDate&lt;=$AC235)*(OFFSET($N$6,1,MATCH(AQ$5,PayDedList,0)-1,PayCount,1)))/$AA235*12*AQ$3,IF(ISNA(MATCH(AQ$1,EarnListItem,0))=FALSE,SUMPRODUCT((PayEmp=$C235)*(PayDate&lt;=$AC235)*(OFFSET($N$6,1,MATCH(AQ$5,PayDedList,0)-1,PayCount,1)))/$AA235*12*AQ$3,(MIN(((SUMPRODUCT((PayEmp=$C235)*(PayDate&lt;=$AC235)*(ISERROR(SEARCH(PayEarnCode,AQ$2)))*(PayEarnType="Monthly")*(PayEarnValues))/$AA235*12)+(SUMPRODUCT((PayEmp=$C235)*(PayDate&lt;=$AC235)*(ISERROR(SEARCH(PayEarnCode,AQ$2)))*(PayEarnType="Quarterly")*(PayEarnValues))/MAX(1,ROUNDDOWN($AB235/3,0))*4)+(SUMPRODUCT((PayEmp=$C235)*(PayDate&lt;=$AC235)*(ISERROR(SEARCH(PayEarnCode,AQ$2)))*(PayEarnType="Bi-Annual")*(PayEarnValues))/MAX(1,ROUNDDOWN($AB235/6,0))*2)+(SUMPRODUCT((PayEmp=$C235)*(PayDate&lt;=$AC235)*(ISERROR(SEARCH(PayEarnCode,AQ$2)))*(PayEarnType="Annual")*(PayEarnValues)))),IF(ISNUMBER(OFFSET($N$3,0,MATCH(AQ$5,PayDedList,0)-1,1,1)),OFFSET($N$3,0,MATCH(AQ$5,PayDedList,0)-1,1,1),IgnoreMin)))*IF(COUNTIFS(EmpNo,$C235,OFFSET(Emp!$R$4,1,MATCH(AQ$5,DedListItem,0)-1,EmpCount,1),"&lt;&gt;")&gt;0,VLOOKUP($C235,EmpAll,COLUMN(Emp!$R$4)+MATCH(AQ$5,DedListItem,0)-1,0),OFFSET(Setup!$E$73,MATCH(AQ$5,DedListItem,0),0,1,1))*AQ$3))),IF(ISNUMBER(AQ$4),AQ$4,IgnoreMin)))))</f>
        <v>0</v>
      </c>
      <c r="AR235" s="148">
        <f t="shared" ca="1" si="93"/>
        <v>0</v>
      </c>
      <c r="AS235" s="148">
        <f t="shared" ca="1" si="109"/>
        <v>0</v>
      </c>
      <c r="AT235" s="148" cm="1">
        <f t="array" aca="1" ref="AT235" ca="1">-IF($F235="Terminated",0,IF($AA235=0,0,IF(ISNA(MATCH(AT$5,PayDedList,0)),0,MIN(IF(COUNTIFS(OverEmp,$C235,OverDeduct,AT$5,OverDate,"&lt;"&amp;DATE(YEAR($AC235),MONTH($AC235)+1,1),OverEnd,"&gt;="&amp;DATE(YEAR($AC235),MONTH($AC235),1))&gt;0,SUMPRODUCT((PayEmp=$C235)*(PayDate&lt;=$AC235)*(OFFSET($N$6,1,MATCH(AT$5,PayDedList,0)-1,PayCount,1)))/$AA235*12*AT$3,IF(OR(AT$1="Fixed",AT$1="Not Used"),SUMPRODUCT((PayEmp=$C235)*(PayDate&lt;=$AC235)*(OFFSET($N$6,1,MATCH(AT$5,PayDedList,0)-1,PayCount,1)))/$AA235*12*AT$3,IF(ISNA(MATCH(OFFSET($N$2,0,MATCH(AT$5,PayDedList,0)-1,1,1),EarnListItem,0))=FALSE,SUMPRODUCT((PayEmp=$C235)*(PayDate&lt;=$AC235)*(OFFSET($N$6,1,MATCH(AT$5,PayDedList,0)-1,PayCount,1)))/$AA235*12*AT$3,(MIN(SUMPRODUCT((PayEmp=$C235)*(PayDate&lt;=$AC235)*(ISERROR(SEARCH(PayEarnCode,AT$2)))*(PayEarnType="Monthly")*(PayEarnValues))/$AA235*12,IF(ISNUMBER(OFFSET($N$3,0,MATCH(AT$5,PayDedList,0)-1,1,1)),OFFSET($N$3,0,MATCH(AT$5,PayDedList,0)-1,1,1),IgnoreMin)))*IF(COUNTIFS(EmpNo,$C235,OFFSET(Emp!$R$4,1,MATCH(AT$5,DedListItem,0)-1,EmpCount,1),"&lt;&gt;")&gt;0,VLOOKUP($C235,EmpAll,COLUMN(Emp!$R$4)+MATCH(AT$5,DedListItem,0)-1,0),OFFSET(Setup!$E$73,MATCH(AT$5,DedListItem,0),0,1,1))*AT$3))),IF(ISNUMBER(AT$4),AT$4,IgnoreMin)))))</f>
        <v>0</v>
      </c>
      <c r="AU235" s="148" cm="1">
        <f t="array" aca="1" ref="AU235" ca="1">-IF($F235="Terminated",0,IF($AA235=0,0,IF(ISNA(MATCH(AU$5,PayDedList,0)),0,MIN(IF(COUNTIFS(OverEmp,$C235,OverDeduct,AU$5,OverDate,"&lt;"&amp;DATE(YEAR($AC235),MONTH($AC235)+1,1),OverEnd,"&gt;="&amp;DATE(YEAR($AC235),MONTH($AC235),1))&gt;0,SUMPRODUCT((PayEmp=$C235)*(PayDate&lt;=$AC235)*(OFFSET($N$6,1,MATCH(AU$5,PayDedList,0)-1,PayCount,1)))/$AA235*12*AU$3,IF(OR(AU$1="Fixed",AU$1="Not Used"),SUMPRODUCT((PayEmp=$C235)*(PayDate&lt;=$AC235)*(OFFSET($N$6,1,MATCH(AU$5,PayDedList,0)-1,PayCount,1)))/$AA235*12*AU$3,IF(ISNA(MATCH(OFFSET($N$2,0,MATCH(AU$5,PayDedList,0)-1,1,1),EarnListItem,0))=FALSE,SUMPRODUCT((PayEmp=$C235)*(PayDate&lt;=$AC235)*(OFFSET($N$6,1,MATCH(AU$5,PayDedList,0)-1,PayCount,1)))/$AA235*12*AU$3,(MIN(SUMPRODUCT((PayEmp=$C235)*(PayDate&lt;=$AC235)*(ISERROR(SEARCH(PayEarnCode,AU$2)))*(PayEarnType="Monthly")*(PayEarnValues))/$AA235*12,IF(ISNUMBER(OFFSET($N$3,0,MATCH(AU$5,PayDedList,0)-1,1,1)),OFFSET($N$3,0,MATCH(AU$5,PayDedList,0)-1,1,1),IgnoreMin)))*IF(COUNTIFS(EmpNo,$C235,OFFSET(Emp!$R$4,1,MATCH(AU$5,DedListItem,0)-1,EmpCount,1),"&lt;&gt;")&gt;0,VLOOKUP($C235,EmpAll,COLUMN(Emp!$R$4)+MATCH(AU$5,DedListItem,0)-1,0),OFFSET(Setup!$E$73,MATCH(AU$5,DedListItem,0),0,1,1))*AU$3))),IF(ISNUMBER(AU$4),AU$4,IgnoreMin)))))</f>
        <v>0</v>
      </c>
      <c r="AV235" s="148" cm="1">
        <f t="array" aca="1" ref="AV235" ca="1">-IF($F235="Terminated",0,IF($AA235=0,0,IF(ISNA(MATCH(AV$5,PayDedList,0)),0,MIN(IF(COUNTIFS(OverEmp,$C235,OverDeduct,AV$5,OverDate,"&lt;"&amp;DATE(YEAR($AC235),MONTH($AC235)+1,1),OverEnd,"&gt;="&amp;DATE(YEAR($AC235),MONTH($AC235),1))&gt;0,SUMPRODUCT((PayEmp=$C235)*(PayDate&lt;=$AC235)*(OFFSET($N$6,1,MATCH(AV$5,PayDedList,0)-1,PayCount,1)))/$AA235*12*AV$3,IF(OR(AV$1="Fixed",AV$1="Not Used"),SUMPRODUCT((PayEmp=$C235)*(PayDate&lt;=$AC235)*(OFFSET($N$6,1,MATCH(AV$5,PayDedList,0)-1,PayCount,1)))/$AA235*12*AV$3,IF(ISNA(MATCH(OFFSET($N$2,0,MATCH(AV$5,PayDedList,0)-1,1,1),EarnListItem,0))=FALSE,SUMPRODUCT((PayEmp=$C235)*(PayDate&lt;=$AC235)*(OFFSET($N$6,1,MATCH(AV$5,PayDedList,0)-1,PayCount,1)))/$AA235*12*AV$3,(MIN(SUMPRODUCT((PayEmp=$C235)*(PayDate&lt;=$AC235)*(ISERROR(SEARCH(PayEarnCode,AV$2)))*(PayEarnType="Monthly")*(PayEarnValues))/$AA235*12,IF(ISNUMBER(OFFSET($N$3,0,MATCH(AV$5,PayDedList,0)-1,1,1)),OFFSET($N$3,0,MATCH(AV$5,PayDedList,0)-1,1,1),IgnoreMin)))*IF(COUNTIFS(EmpNo,$C235,OFFSET(Emp!$R$4,1,MATCH(AV$5,DedListItem,0)-1,EmpCount,1),"&lt;&gt;")&gt;0,VLOOKUP($C235,EmpAll,COLUMN(Emp!$R$4)+MATCH(AV$5,DedListItem,0)-1,0),OFFSET(Setup!$E$73,MATCH(AV$5,DedListItem,0),0,1,1))*AV$3))),IF(ISNUMBER(AV$4),AV$4,IgnoreMin)))))</f>
        <v>0</v>
      </c>
      <c r="AW235" s="148" cm="1">
        <f t="array" aca="1" ref="AW235" ca="1">-IF($F235="Terminated",0,IF($AA235=0,0,IF(ISNA(MATCH(AW$5,PayDedList,0)),0,MIN(IF(COUNTIFS(OverEmp,$C235,OverDeduct,AW$5,OverDate,"&lt;"&amp;DATE(YEAR($AC235),MONTH($AC235)+1,1),OverEnd,"&gt;="&amp;DATE(YEAR($AC235),MONTH($AC235),1))&gt;0,SUMPRODUCT((PayEmp=$C235)*(PayDate&lt;=$AC235)*(OFFSET($N$6,1,MATCH(AW$5,PayDedList,0)-1,PayCount,1)))/$AA235*12*AW$3,IF(OR(AW$1="Fixed",AW$1="Not Used"),SUMPRODUCT((PayEmp=$C235)*(PayDate&lt;=$AC235)*(OFFSET($N$6,1,MATCH(AW$5,PayDedList,0)-1,PayCount,1)))/$AA235*12*AW$3,IF(ISNA(MATCH(OFFSET($N$2,0,MATCH(AW$5,PayDedList,0)-1,1,1),EarnListItem,0))=FALSE,SUMPRODUCT((PayEmp=$C235)*(PayDate&lt;=$AC235)*(OFFSET($N$6,1,MATCH(AW$5,PayDedList,0)-1,PayCount,1)))/$AA235*12*AW$3,(MIN(SUMPRODUCT((PayEmp=$C235)*(PayDate&lt;=$AC235)*(ISERROR(SEARCH(PayEarnCode,AW$2)))*(PayEarnType="Monthly")*(PayEarnValues))/$AA235*12,IF(ISNUMBER(OFFSET($N$3,0,MATCH(AW$5,PayDedList,0)-1,1,1)),OFFSET($N$3,0,MATCH(AW$5,PayDedList,0)-1,1,1),IgnoreMin)))*IF(COUNTIFS(EmpNo,$C235,OFFSET(Emp!$R$4,1,MATCH(AW$5,DedListItem,0)-1,EmpCount,1),"&lt;&gt;")&gt;0,VLOOKUP($C235,EmpAll,COLUMN(Emp!$R$4)+MATCH(AW$5,DedListItem,0)-1,0),OFFSET(Setup!$E$73,MATCH(AW$5,DedListItem,0),0,1,1))*AW$3))),IF(ISNUMBER(AW$4),AW$4,IgnoreMin)))))</f>
        <v>0</v>
      </c>
      <c r="AX235" s="148">
        <f t="shared" ref="AX235:AX243" ca="1" si="150">$AS235+SUM(OFFSET($AT235,0,0,1,COLUMN($AX$2)-COLUMN($AT$2)))</f>
        <v>0</v>
      </c>
      <c r="AY235" s="148">
        <f t="shared" ref="AY235:AY243" ca="1" si="151">AR235-AX235</f>
        <v>0</v>
      </c>
      <c r="AZ235" s="148">
        <f ca="1">IF(ISNUMBER($AL235),($AR235*$AL235)-$AI235-$AK235,MAX(0,IF($AL235="B",IF($AR235&lt;Setup!$C$32,($AR235*Setup!$D$32)-$AI235-$AK235,(($AR235-VLOOKUP($AR235,TaxAll2,1,1))*OFFSET(Setup!$D$32,MATCH($AR235,TaxBracket2,1),0,1,1))+OFFSET(Setup!$E$31,MATCH($AR235,TaxBracket2,1),0,1,1)-$AI235-$AK235),IF($AR235&lt;Setup!$C$21,($AR235*Setup!$D$21)-$AI235-$AK235,(($AR235-VLOOKUP($AR235,TaxAll1,1,1))*OFFSET(Setup!$D$21,MATCH($AR235,TaxBracket1,1),0,1,1))+OFFSET(Setup!$E$20,MATCH($AR235,TaxBracket1,1),0,1,1)-$AI235-$AK235))))</f>
        <v>0</v>
      </c>
      <c r="BA235" s="148">
        <f ca="1">IF(ISNUMBER($AL235),($AX235*$AL235)-$AI235-$AK235,MAX(0,IF($AL235="B",IF($AX235&lt;Setup!$C$32,($AX235*Setup!$D$32)-$AI235-$AK235,(($AX235-VLOOKUP($AX235,TaxAll2,1,1))*OFFSET(Setup!$D$32,MATCH($AX235,TaxBracket2,1),0,1,1))+OFFSET(Setup!$E$31,MATCH($AX235,TaxBracket2,1),0,1,1)-$AI235-$AK235),IF($AX235&lt;Setup!$C$21,($AX235*Setup!$D$21)-$AI235-$AK235,(($AX235-VLOOKUP($AX235,TaxAll1,1,1))*OFFSET(Setup!$D$21,MATCH($AX235,TaxBracket1,1),0,1,1))+OFFSET(Setup!$E$20,MATCH($AX235,TaxBracket1,1),0,1,1)-$AI235-$AK235))))</f>
        <v>0</v>
      </c>
      <c r="BB235" s="148">
        <f t="shared" ca="1" si="94"/>
        <v>0</v>
      </c>
      <c r="BC235" s="150">
        <f t="shared" ca="1" si="110"/>
        <v>0</v>
      </c>
      <c r="BD235" s="150">
        <f t="shared" ca="1" si="111"/>
        <v>0</v>
      </c>
      <c r="BE235" s="148">
        <f t="shared" ca="1" si="112"/>
        <v>0</v>
      </c>
    </row>
    <row r="236" spans="1:57" ht="16.149999999999999" customHeight="1" x14ac:dyDescent="0.25">
      <c r="A236" s="10" t="str" cm="1">
        <f t="array" ref="A236">IF(ROW($A236)-ROW($A$6)&gt;EmpCount*12,"-",TEXT($B236,"yyyy")&amp;TEXT($B236,"mm")&amp;"-"&amp;$C236)</f>
        <v>-</v>
      </c>
      <c r="B236" s="137" cm="1">
        <f t="array" aca="1" ref="B236" ca="1">IF(ROW($A236)-ROW($A$6)&gt;EmpCount*12,Setup!$D$12,DATE(YEAR(Setup!$F$12),MONTH(Setup!$F$12)+ROUNDDOWN((ROW($A236)-ROW($A$6)-1)/EmpCount,0),IF(Setup!$C$14&gt;DAY(DATE(YEAR(Setup!$F$12),MONTH(Setup!$F$12)+ROUNDDOWN((ROW($A236)-ROW($A$6)-1)/EmpCount,0)+1,0)),DAY(DATE(YEAR(Setup!$F$12),MONTH(Setup!$F$12)+ROUNDDOWN((ROW($A236)-ROW($A$6)-1)/EmpCount,0)+1,0)),Setup!$C$14)))</f>
        <v>45351</v>
      </c>
      <c r="C236" s="101" t="str" cm="1">
        <f t="array" aca="1" ref="C236" ca="1">IF(ROW($A236)-ROW($A$6)&gt;EmpCount*12,"-",OFFSET(Emp!$A$4,ROW($A236)-ROW($A$6)-IF(ROW($A236)-ROW($A$6)&gt;EmpCount,ROUNDDOWN((ROW($A236)-ROW($A$6)-1)/EmpCount,0)*EmpCount,0),0,1,1))</f>
        <v>-</v>
      </c>
      <c r="D236" s="10" t="str">
        <f ca="1">IF(ISNA(VLOOKUP($C236,EmpAll,COLUMN(Emp!$B$4),0)),"-",VLOOKUP($C236,EmpAll,COLUMN(Emp!$B$4),0))</f>
        <v>-</v>
      </c>
      <c r="E236" s="145" t="str">
        <f ca="1">IF(ISNA(VLOOKUP($C236,EmpAll,COLUMN(Emp!$C$4),0)),"-",VLOOKUP($C236,EmpAll,COLUMN(Emp!$C$4),0))</f>
        <v>-</v>
      </c>
      <c r="F236" s="101" t="str">
        <f ca="1">IF(ISNA(VLOOKUP($C236,EmpAll,COLUMN(Emp!$A$4),0)),"-",IF(AND(VLOOKUP($C236,EmpAll,COLUMN(Emp!$E$4),0)&lt;&gt;0,VLOOKUP($C236,EmpAll,COLUMN(Emp!$E$4),0)&gt;=DATE(YEAR($AC236),MONTH($AC236)+1,0)),"Inactive",IF(AND(VLOOKUP($C236,EmpAll,COLUMN(Emp!$F$4),0)&lt;&gt;0,VLOOKUP($C236,EmpAll,COLUMN(Emp!$F$4),0)&lt;=DATE(YEAR($AC236),MONTH($AC236),0)),"Terminated","Active")))</f>
        <v>-</v>
      </c>
      <c r="G236" s="133" cm="1">
        <f t="array" aca="1" ref="G236" ca="1">IF($F236&lt;&gt;"Active",0,IF(COUNTIFS(OverEmp,$C236,OverEarn,G$2,OverDate,"&lt;"&amp;DATE(YEAR($AC236),MONTH($AC236)+1,1),OverEnd,"&gt;="&amp;DATE(YEAR($AC236),MONTH($AC236),1))&gt;0,SUMIFS(OverValue,OverEmp,$C236,OverEarn,G$2,OverDate,"&lt;"&amp;DATE(YEAR($AC236),MONTH($AC236)+1,1),OverEnd,"&gt;="&amp;DATE(YEAR($AC236),MONTH($AC236),1)),IF(AND($AC236&gt;=Setup!$E$10,SUMIFS(EmpIncrease,EmpCode,$C236)&gt;0),SUMIFS(EmpIncrease,EmpCode,$C236),SUMIFS(EmpSalary,EmpCode,$C236))))</f>
        <v>0</v>
      </c>
      <c r="H236" s="133" cm="1">
        <f t="array" aca="1" ref="H236" ca="1">IF($F236&lt;&gt;"Active",0,IF(COUNTIFS(OverEmp,$C236,OverEarn,H$2,OverDate,"&lt;"&amp;DATE(YEAR($AC236),MONTH($AC236)+1,1),OverEnd,"&gt;="&amp;DATE(YEAR($AC236),MONTH($AC236),1))&gt;0,SUMIFS(OverValue,OverEmp,$C236,OverEarn,H$2,OverDate,"&lt;"&amp;DATE(YEAR($AC236),MONTH($AC236)+1,1),OverEnd,"&gt;="&amp;DATE(YEAR($AC236),MONTH($AC236),1)),0))</f>
        <v>0</v>
      </c>
      <c r="I236" s="133" cm="1">
        <f t="array" aca="1" ref="I236" ca="1">IF($F236&lt;&gt;"Active",0,IF(COUNTIFS(OverEmp,$C236,OverEarn,I$2,OverDate,"&lt;"&amp;DATE(YEAR($AC236),MONTH($AC236)+1,1),OverEnd,"&gt;="&amp;DATE(YEAR($AC236),MONTH($AC236),1))&gt;0,SUMIFS(OverValue,OverEmp,$C236,OverEarn,I$2,OverDate,"&lt;"&amp;DATE(YEAR($AC236),MONTH($AC236)+1,1),OverEnd,"&gt;="&amp;DATE(YEAR($AC236),MONTH($AC236),1)),IF(MONTH(B236)=Setup!$C$15,SUMIFS(EmpBonus,EmpCode,$C236),0)))</f>
        <v>0</v>
      </c>
      <c r="J236" s="133" cm="1">
        <f t="array" aca="1" ref="J236" ca="1">IF($F236&lt;&gt;"Active",0,IF(COUNTIFS(OverEmp,$C236,OverEarn,J$2,OverDate,"&lt;"&amp;DATE(YEAR($AC236),MONTH($AC236)+1,1),OverEnd,"&gt;="&amp;DATE(YEAR($AC236),MONTH($AC236),1))&gt;0,SUMIFS(OverValue,OverEmp,$C236,OverEarn,J$2,OverDate,"&lt;"&amp;DATE(YEAR($AC236),MONTH($AC236)+1,1),OverEnd,"&gt;="&amp;DATE(YEAR($AC236),MONTH($AC236),1)),0))</f>
        <v>0</v>
      </c>
      <c r="K236" s="133" cm="1">
        <f t="array" aca="1" ref="K236" ca="1">IF($F236&lt;&gt;"Active",0,IF(COUNTIFS(OverEmp,$C236,OverEarn,K$2,OverDate,"&lt;"&amp;DATE(YEAR($AC236),MONTH($AC236)+1,1),OverEnd,"&gt;="&amp;DATE(YEAR($AC236),MONTH($AC236),1))&gt;0,SUMIFS(OverValue,OverEmp,$C236,OverEarn,K$2,OverDate,"&lt;"&amp;DATE(YEAR($AC236),MONTH($AC236)+1,1),OverEnd,"&gt;="&amp;DATE(YEAR($AC236),MONTH($AC236),1)),0))</f>
        <v>0</v>
      </c>
      <c r="L236" s="185">
        <f t="shared" ca="1" si="146"/>
        <v>0</v>
      </c>
      <c r="M236" s="182" cm="1">
        <f t="array" aca="1" ref="M236" ca="1">IF(COUNTIFS(OverEmp,$C236,OverTax,M$5,OverDate,"&lt;"&amp;DATE(YEAR($AC236),MONTH($AC236)+1,1),OverEnd,"&gt;="&amp;DATE(YEAR($AC236),MONTH($AC236),1))&gt;0,SUMIFS(OverValue,OverEmp,$C236,OverTax,M$5,OverDate,"&lt;"&amp;DATE(YEAR($AC236),MONTH($AC236)+1,1),OverEnd,"&gt;="&amp;DATE(YEAR($AC236),MONTH($AC236),1)),(($BA236/12*$AA236)+(BB236*IF(1-$BC236=0,0,BD236/(1-$BC236))))-IF($F236="Terminated",0,SUMIFS(PayTaxDeduct,PayDate,"&lt;"&amp;$AC236,PayEmp,$C236)))</f>
        <v>0</v>
      </c>
      <c r="N236" s="133" cm="1">
        <f t="array" aca="1" ref="N236" ca="1">IF($F236="Terminated",0,IF($AA236=0,0,IF(ISNA(MATCH(N$5,DedListItem,0)),0,IF(COUNTIFS(OverEmp,$C236,OverDeduct,N$5,OverDate,"&lt;"&amp;DATE(YEAR($AC236),MONTH($AC236)+1,1),OverEnd,"&gt;="&amp;DATE(YEAR($AC236),MONTH($AC236),1))&gt;0,SUMIFS(OverValue,OverEmp,$C236,OverDeduct,N$5,OverDate,"&lt;"&amp;DATE(YEAR($AC236),MONTH($AC236)+1,1),OverEnd,"&gt;="&amp;DATE(YEAR($AC236),MONTH($AC236),1)),IF(OR(N$2="Fixed",N$2="Not Used"),(IF(COUNTIFS(EmpNo,$C236,OFFSET(Emp!$R$4,1,MATCH(N$5,DedListItem,0)-1,EmpCount,1),"&lt;&gt;")&gt;0,VLOOKUP($C236,EmpAll,COLUMN(Emp!$R$4)+MATCH(N$5,DedListItem,0)-1,0),OFFSET(Setup!$E$73,MATCH(N$5,DedListItem,0),0,1,1))*$AA236)-SUMIFS(OFFSET(N$6,1,0,PayCount,1),PayDate,"&lt;"&amp;$AC236,PayEmp,$C236),IF(ISNA(MATCH(N$2,EarnListItem,0))=FALSE,IF(OFFSET(Setup!$G$73,MATCH(N$5,DedListItem,0),0,1,1)="Taxable",SUMPRODUCT((PayEmp=$C236)*(PayDate&lt;=$AC236)*(PayEarnCode=N$2)*(PayEarnTax)*(PayEarnValues)),SUMPRODUCT((PayEmp=$C236)*(PayDate&lt;=$AC236)*(PayEarnCode=N$2)*(PayEarnValues)))*IF(COUNTIFS(EmpNo,$C236,OFFSET(Emp!$R$4,1,MATCH(N$5,DedListItem,0)-1,EmpCount,1),"&lt;&gt;")&gt;0,VLOOKUP($C236,EmpAll,COLUMN(Emp!$R$4)+MATCH(N$5,DedListItem,0)-1,0),OFFSET(Setup!$E$73,MATCH(N$5,DedListItem,0),0,1,1)),(MIN(IF(OFFSET(Setup!$G$73,MATCH(N$5,DedListItem,0),0,1,1)="Taxable",SUMPRODUCT((PayEmp=$C236)*(PayDate&lt;=$AC236)*(ISERROR(SEARCH(PayEarnCode,N$4)))*(PayEarnTax)*(PayEarnValues)),SUMPRODUCT((PayEmp=$C236)*(PayDate&lt;=$AC236)*(ISERROR(SEARCH(PayEarnCode,N$4)))*(PayEarnValues))),IF(ISNUMBER(N$3),N$3/12*$AA236,IgnoreMin)))*IF(COUNTIFS(EmpNo,$C236,OFFSET(Emp!$R$4,1,MATCH(N$5,DedListItem,0)-1,EmpCount,1),"&lt;&gt;")&gt;0,VLOOKUP($C236,EmpAll,COLUMN(Emp!$R$4)+MATCH(N$5,DedListItem,0)-1,0),OFFSET(Setup!$E$73,MATCH(N$5,DedListItem,0),0,1,1)))-SUMIFS(OFFSET(N$6,1,0,PayCount,1),PayDate,"&lt;"&amp;$AC236,PayEmp,$C236))))))</f>
        <v>0</v>
      </c>
      <c r="O236" s="133" cm="1">
        <f t="array" aca="1" ref="O236" ca="1">IF($F236="Terminated",0,IF($AA236=0,0,IF(ISNA(MATCH(O$5,DedListItem,0)),0,IF(COUNTIFS(OverEmp,$C236,OverDeduct,O$5,OverDate,"&lt;"&amp;DATE(YEAR($AC236),MONTH($AC236)+1,1),OverEnd,"&gt;="&amp;DATE(YEAR($AC236),MONTH($AC236),1))&gt;0,SUMIFS(OverValue,OverEmp,$C236,OverDeduct,O$5,OverDate,"&lt;"&amp;DATE(YEAR($AC236),MONTH($AC236)+1,1),OverEnd,"&gt;="&amp;DATE(YEAR($AC236),MONTH($AC236),1)),IF(OR(O$2="Fixed",O$2="Not Used"),(IF(COUNTIFS(EmpNo,$C236,OFFSET(Emp!$R$4,1,MATCH(O$5,DedListItem,0)-1,EmpCount,1),"&lt;&gt;")&gt;0,VLOOKUP($C236,EmpAll,COLUMN(Emp!$R$4)+MATCH(O$5,DedListItem,0)-1,0),OFFSET(Setup!$E$73,MATCH(O$5,DedListItem,0),0,1,1))*$AA236)-SUMIFS(OFFSET(O$6,1,0,PayCount,1),PayDate,"&lt;"&amp;$AC236,PayEmp,$C236),IF(ISNA(MATCH(O$2,EarnListItem,0))=FALSE,IF(OFFSET(Setup!$G$73,MATCH(O$5,DedListItem,0),0,1,1)="Taxable",SUMPRODUCT((PayEmp=$C236)*(PayDate&lt;=$AC236)*(PayEarnCode=O$2)*(PayEarnTax)*(PayEarnValues)),SUMPRODUCT((PayEmp=$C236)*(PayDate&lt;=$AC236)*(PayEarnCode=O$2)*(PayEarnValues)))*IF(COUNTIFS(EmpNo,$C236,OFFSET(Emp!$R$4,1,MATCH(O$5,DedListItem,0)-1,EmpCount,1),"&lt;&gt;")&gt;0,VLOOKUP($C236,EmpAll,COLUMN(Emp!$R$4)+MATCH(O$5,DedListItem,0)-1,0),OFFSET(Setup!$E$73,MATCH(O$5,DedListItem,0),0,1,1)),(MIN(IF(OFFSET(Setup!$G$73,MATCH(O$5,DedListItem,0),0,1,1)="Taxable",SUMPRODUCT((PayEmp=$C236)*(PayDate&lt;=$AC236)*(ISERROR(SEARCH(PayEarnCode,O$4)))*(PayEarnTax)*(PayEarnValues)),SUMPRODUCT((PayEmp=$C236)*(PayDate&lt;=$AC236)*(ISERROR(SEARCH(PayEarnCode,O$4)))*(PayEarnValues))),IF(ISNUMBER(O$3),O$3/12*$AA236,IgnoreMin)))*IF(COUNTIFS(EmpNo,$C236,OFFSET(Emp!$R$4,1,MATCH(O$5,DedListItem,0)-1,EmpCount,1),"&lt;&gt;")&gt;0,VLOOKUP($C236,EmpAll,COLUMN(Emp!$R$4)+MATCH(O$5,DedListItem,0)-1,0),OFFSET(Setup!$E$73,MATCH(O$5,DedListItem,0),0,1,1)))-SUMIFS(OFFSET(O$6,1,0,PayCount,1),PayDate,"&lt;"&amp;$AC236,PayEmp,$C236))))))</f>
        <v>0</v>
      </c>
      <c r="P236" s="133" cm="1">
        <f t="array" aca="1" ref="P236" ca="1">IF($F236="Terminated",0,IF($AA236=0,0,IF(ISNA(MATCH(P$5,DedListItem,0)),0,IF(COUNTIFS(OverEmp,$C236,OverDeduct,P$5,OverDate,"&lt;"&amp;DATE(YEAR($AC236),MONTH($AC236)+1,1),OverEnd,"&gt;="&amp;DATE(YEAR($AC236),MONTH($AC236),1))&gt;0,SUMIFS(OverValue,OverEmp,$C236,OverDeduct,P$5,OverDate,"&lt;"&amp;DATE(YEAR($AC236),MONTH($AC236)+1,1),OverEnd,"&gt;="&amp;DATE(YEAR($AC236),MONTH($AC236),1)),IF(OR(P$2="Fixed",P$2="Not Used"),(IF(COUNTIFS(EmpNo,$C236,OFFSET(Emp!$R$4,1,MATCH(P$5,DedListItem,0)-1,EmpCount,1),"&lt;&gt;")&gt;0,VLOOKUP($C236,EmpAll,COLUMN(Emp!$R$4)+MATCH(P$5,DedListItem,0)-1,0),OFFSET(Setup!$E$73,MATCH(P$5,DedListItem,0),0,1,1))*$AA236)-SUMIFS(OFFSET(P$6,1,0,PayCount,1),PayDate,"&lt;"&amp;$AC236,PayEmp,$C236),IF(ISNA(MATCH(P$2,EarnListItem,0))=FALSE,IF(OFFSET(Setup!$G$73,MATCH(P$5,DedListItem,0),0,1,1)="Taxable",SUMPRODUCT((PayEmp=$C236)*(PayDate&lt;=$AC236)*(PayEarnCode=P$2)*(PayEarnTax)*(PayEarnValues)),SUMPRODUCT((PayEmp=$C236)*(PayDate&lt;=$AC236)*(PayEarnCode=P$2)*(PayEarnValues)))*IF(COUNTIFS(EmpNo,$C236,OFFSET(Emp!$R$4,1,MATCH(P$5,DedListItem,0)-1,EmpCount,1),"&lt;&gt;")&gt;0,VLOOKUP($C236,EmpAll,COLUMN(Emp!$R$4)+MATCH(P$5,DedListItem,0)-1,0),OFFSET(Setup!$E$73,MATCH(P$5,DedListItem,0),0,1,1)),(MIN(IF(OFFSET(Setup!$G$73,MATCH(P$5,DedListItem,0),0,1,1)="Taxable",SUMPRODUCT((PayEmp=$C236)*(PayDate&lt;=$AC236)*(ISERROR(SEARCH(PayEarnCode,P$4)))*(PayEarnTax)*(PayEarnValues)),SUMPRODUCT((PayEmp=$C236)*(PayDate&lt;=$AC236)*(ISERROR(SEARCH(PayEarnCode,P$4)))*(PayEarnValues))),IF(ISNUMBER(P$3),P$3/12*$AA236,IgnoreMin)))*IF(COUNTIFS(EmpNo,$C236,OFFSET(Emp!$R$4,1,MATCH(P$5,DedListItem,0)-1,EmpCount,1),"&lt;&gt;")&gt;0,VLOOKUP($C236,EmpAll,COLUMN(Emp!$R$4)+MATCH(P$5,DedListItem,0)-1,0),OFFSET(Setup!$E$73,MATCH(P$5,DedListItem,0),0,1,1)))-SUMIFS(OFFSET(P$6,1,0,PayCount,1),PayDate,"&lt;"&amp;$AC236,PayEmp,$C236))))))</f>
        <v>0</v>
      </c>
      <c r="Q236" s="133" cm="1">
        <f t="array" aca="1" ref="Q236" ca="1">IF($F236="Terminated",0,IF($AA236=0,0,IF(ISNA(MATCH(Q$5,DedListItem,0)),0,IF(COUNTIFS(OverEmp,$C236,OverDeduct,Q$5,OverDate,"&lt;"&amp;DATE(YEAR($AC236),MONTH($AC236)+1,1),OverEnd,"&gt;="&amp;DATE(YEAR($AC236),MONTH($AC236),1))&gt;0,SUMIFS(OverValue,OverEmp,$C236,OverDeduct,Q$5,OverDate,"&lt;"&amp;DATE(YEAR($AC236),MONTH($AC236)+1,1),OverEnd,"&gt;="&amp;DATE(YEAR($AC236),MONTH($AC236),1)),IF(OR(Q$2="Fixed",Q$2="Not Used"),(IF(COUNTIFS(EmpNo,$C236,OFFSET(Emp!$R$4,1,MATCH(Q$5,DedListItem,0)-1,EmpCount,1),"&lt;&gt;")&gt;0,VLOOKUP($C236,EmpAll,COLUMN(Emp!$R$4)+MATCH(Q$5,DedListItem,0)-1,0),OFFSET(Setup!$E$73,MATCH(Q$5,DedListItem,0),0,1,1))*$AA236)-SUMIFS(OFFSET(Q$6,1,0,PayCount,1),PayDate,"&lt;"&amp;$AC236,PayEmp,$C236),IF(ISNA(MATCH(Q$2,EarnListItem,0))=FALSE,IF(OFFSET(Setup!$G$73,MATCH(Q$5,DedListItem,0),0,1,1)="Taxable",SUMPRODUCT((PayEmp=$C236)*(PayDate&lt;=$AC236)*(PayEarnCode=Q$2)*(PayEarnTax)*(PayEarnValues)),SUMPRODUCT((PayEmp=$C236)*(PayDate&lt;=$AC236)*(PayEarnCode=Q$2)*(PayEarnValues)))*IF(COUNTIFS(EmpNo,$C236,OFFSET(Emp!$R$4,1,MATCH(Q$5,DedListItem,0)-1,EmpCount,1),"&lt;&gt;")&gt;0,VLOOKUP($C236,EmpAll,COLUMN(Emp!$R$4)+MATCH(Q$5,DedListItem,0)-1,0),OFFSET(Setup!$E$73,MATCH(Q$5,DedListItem,0),0,1,1)),(MIN(IF(OFFSET(Setup!$G$73,MATCH(Q$5,DedListItem,0),0,1,1)="Taxable",SUMPRODUCT((PayEmp=$C236)*(PayDate&lt;=$AC236)*(ISERROR(SEARCH(PayEarnCode,Q$4)))*(PayEarnTax)*(PayEarnValues)),SUMPRODUCT((PayEmp=$C236)*(PayDate&lt;=$AC236)*(ISERROR(SEARCH(PayEarnCode,Q$4)))*(PayEarnValues))),IF(ISNUMBER(Q$3),Q$3/12*$AA236,IgnoreMin)))*IF(COUNTIFS(EmpNo,$C236,OFFSET(Emp!$R$4,1,MATCH(Q$5,DedListItem,0)-1,EmpCount,1),"&lt;&gt;")&gt;0,VLOOKUP($C236,EmpAll,COLUMN(Emp!$R$4)+MATCH(Q$5,DedListItem,0)-1,0),OFFSET(Setup!$E$73,MATCH(Q$5,DedListItem,0),0,1,1)))-SUMIFS(OFFSET(Q$6,1,0,PayCount,1),PayDate,"&lt;"&amp;$AC236,PayEmp,$C236))))))</f>
        <v>0</v>
      </c>
      <c r="R236" s="185">
        <f t="shared" ca="1" si="147"/>
        <v>0</v>
      </c>
      <c r="S236" s="139">
        <f t="shared" ca="1" si="148"/>
        <v>0</v>
      </c>
      <c r="T236" s="133" cm="1">
        <f t="array" aca="1" ref="T236" ca="1">IF($F236="Terminated",0,IF($AA236=0,0,IF(ISNA(MATCH(T$5,CompListItem,0)),0,IF(COUNTIFS(OverEmp,$C236,OverComp,T$5,OverDate,"&lt;"&amp;DATE(YEAR($AC236),MONTH($AC236)+1,1),OverEnd,"&gt;="&amp;DATE(YEAR($AC236),MONTH($AC236),1))&gt;0,SUMIFS(OverValue,OverEmp,$C236,OverComp,T$5,OverDate,"&lt;"&amp;DATE(YEAR($AC236),MONTH($AC236)+1,1),OverEnd,"&gt;="&amp;DATE(YEAR($AC236),MONTH($AC236),1)),IF(OR(T$2="Fixed",T$2="Not Used"),(OFFSET(Setup!$E$81,MATCH(T$5,CompListItem,0),0,1,1)*$AA236)-SUMIFS(OFFSET(T$6,1,0,PayCount,1),PayDate,"&lt;"&amp;$AC236,PayEmp,$C236),IF(ISNA(MATCH(T$2,DedListItem,0))=FALSE,(SUMPRODUCT((PayEmp=$C236)*(PayDate&lt;=$AC236)*(PayDedList=T$2)*(PayDedValues))*OFFSET(Setup!$E$81,MATCH(T$5,CompListItem,0),0,1,1))-SUMIFS(OFFSET(T$6,1,0,PayCount,1),PayDate,"&lt;"&amp;$AC236,PayEmp,$C236),(MIN(IF(OFFSET(Setup!$G$81,MATCH(T$5,CompListItem,0),0,1,1)="Taxable",SUMPRODUCT((PayEmp=$C236)*(PayDate&lt;=$AC236)*(ISERROR(SEARCH(PayEarnCode,T$4)))*(PayEarnTax)*(PayEarnValues)),SUMPRODUCT((PayEmp=$C236)*(PayDate&lt;=$AC236)*(ISERROR(SEARCH(PayEarnCode,T$4)))*(PayEarnValues))),IF(ISNUMBER(T$3),T$3/12*$AA236,IgnoreMin)))*OFFSET(Setup!$E$81,MATCH(T$5,CompListItem,0),0,1,1)-SUMIFS(OFFSET(T$6,1,0,PayCount,1),PayDate,"&lt;"&amp;$AC236,PayEmp,$C236)))))))</f>
        <v>0</v>
      </c>
      <c r="U236" s="133" cm="1">
        <f t="array" aca="1" ref="U236" ca="1">IF($F236="Terminated",0,IF($AA236=0,0,IF(ISNA(MATCH(U$5,CompListItem,0)),0,IF(COUNTIFS(OverEmp,$C236,OverComp,U$5,OverDate,"&lt;"&amp;DATE(YEAR($AC236),MONTH($AC236)+1,1),OverEnd,"&gt;="&amp;DATE(YEAR($AC236),MONTH($AC236),1))&gt;0,SUMIFS(OverValue,OverEmp,$C236,OverComp,U$5,OverDate,"&lt;"&amp;DATE(YEAR($AC236),MONTH($AC236)+1,1),OverEnd,"&gt;="&amp;DATE(YEAR($AC236),MONTH($AC236),1)),IF(OR(U$2="Fixed",U$2="Not Used"),(OFFSET(Setup!$E$81,MATCH(U$5,CompListItem,0),0,1,1)*$AA236)-SUMIFS(OFFSET(U$6,1,0,PayCount,1),PayDate,"&lt;"&amp;$AC236,PayEmp,$C236),IF(ISNA(MATCH(U$2,DedListItem,0))=FALSE,(SUMPRODUCT((PayEmp=$C236)*(PayDate&lt;=$AC236)*(PayDedList=U$2)*(PayDedValues))*OFFSET(Setup!$E$81,MATCH(U$5,CompListItem,0),0,1,1))-SUMIFS(OFFSET(U$6,1,0,PayCount,1),PayDate,"&lt;"&amp;$AC236,PayEmp,$C236),(MIN(IF(OFFSET(Setup!$G$81,MATCH(U$5,CompListItem,0),0,1,1)="Taxable",SUMPRODUCT((PayEmp=$C236)*(PayDate&lt;=$AC236)*(ISERROR(SEARCH(PayEarnCode,U$4)))*(PayEarnTax)*(PayEarnValues)),SUMPRODUCT((PayEmp=$C236)*(PayDate&lt;=$AC236)*(ISERROR(SEARCH(PayEarnCode,U$4)))*(PayEarnValues))),IF(ISNUMBER(U$3),U$3/12*$AA236,IgnoreMin)))*OFFSET(Setup!$E$81,MATCH(U$5,CompListItem,0),0,1,1)-SUMIFS(OFFSET(U$6,1,0,PayCount,1),PayDate,"&lt;"&amp;$AC236,PayEmp,$C236)))))))</f>
        <v>0</v>
      </c>
      <c r="V236" s="133" cm="1">
        <f t="array" aca="1" ref="V236" ca="1">IF($F236="Terminated",0,IF($AA236=0,0,IF(ISNA(MATCH(V$5,CompListItem,0)),0,IF(COUNTIFS(OverEmp,$C236,OverComp,V$5,OverDate,"&lt;"&amp;DATE(YEAR($AC236),MONTH($AC236)+1,1),OverEnd,"&gt;="&amp;DATE(YEAR($AC236),MONTH($AC236),1))&gt;0,SUMIFS(OverValue,OverEmp,$C236,OverComp,V$5,OverDate,"&lt;"&amp;DATE(YEAR($AC236),MONTH($AC236)+1,1),OverEnd,"&gt;="&amp;DATE(YEAR($AC236),MONTH($AC236),1)),IF(OR(V$2="Fixed",V$2="Not Used"),(OFFSET(Setup!$E$81,MATCH(V$5,CompListItem,0),0,1,1)*$AA236)-SUMIFS(OFFSET(V$6,1,0,PayCount,1),PayDate,"&lt;"&amp;$AC236,PayEmp,$C236),IF(ISNA(MATCH(V$2,DedListItem,0))=FALSE,(SUMPRODUCT((PayEmp=$C236)*(PayDate&lt;=$AC236)*(PayDedList=V$2)*(PayDedValues))*OFFSET(Setup!$E$81,MATCH(V$5,CompListItem,0),0,1,1))-SUMIFS(OFFSET(V$6,1,0,PayCount,1),PayDate,"&lt;"&amp;$AC236,PayEmp,$C236),(MIN(IF(OFFSET(Setup!$G$81,MATCH(V$5,CompListItem,0),0,1,1)="Taxable",SUMPRODUCT((PayEmp=$C236)*(PayDate&lt;=$AC236)*(ISERROR(SEARCH(PayEarnCode,V$4)))*(PayEarnTax)*(PayEarnValues)),SUMPRODUCT((PayEmp=$C236)*(PayDate&lt;=$AC236)*(ISERROR(SEARCH(PayEarnCode,V$4)))*(PayEarnValues))),IF(ISNUMBER(V$3),V$3/12*$AA236,IgnoreMin)))*OFFSET(Setup!$E$81,MATCH(V$5,CompListItem,0),0,1,1)-SUMIFS(OFFSET(V$6,1,0,PayCount,1),PayDate,"&lt;"&amp;$AC236,PayEmp,$C236)))))))</f>
        <v>0</v>
      </c>
      <c r="W236" s="133" cm="1">
        <f t="array" aca="1" ref="W236" ca="1">IF($F236="Terminated",0,IF($AA236=0,0,IF(ISNA(MATCH(W$5,CompListItem,0)),0,IF(COUNTIFS(OverEmp,$C236,OverComp,W$5,OverDate,"&lt;"&amp;DATE(YEAR($AC236),MONTH($AC236)+1,1),OverEnd,"&gt;="&amp;DATE(YEAR($AC236),MONTH($AC236),1))&gt;0,SUMIFS(OverValue,OverEmp,$C236,OverComp,W$5,OverDate,"&lt;"&amp;DATE(YEAR($AC236),MONTH($AC236)+1,1),OverEnd,"&gt;="&amp;DATE(YEAR($AC236),MONTH($AC236),1)),IF(OR(W$2="Fixed",W$2="Not Used"),(OFFSET(Setup!$E$81,MATCH(W$5,CompListItem,0),0,1,1)*$AA236)-SUMIFS(OFFSET(W$6,1,0,PayCount,1),PayDate,"&lt;"&amp;$AC236,PayEmp,$C236),IF(ISNA(MATCH(W$2,DedListItem,0))=FALSE,(SUMPRODUCT((PayEmp=$C236)*(PayDate&lt;=$AC236)*(PayDedList=W$2)*(PayDedValues))*OFFSET(Setup!$E$81,MATCH(W$5,CompListItem,0),0,1,1))-SUMIFS(OFFSET(W$6,1,0,PayCount,1),PayDate,"&lt;"&amp;$AC236,PayEmp,$C236),(MIN(IF(OFFSET(Setup!$G$81,MATCH(W$5,CompListItem,0),0,1,1)="Taxable",SUMPRODUCT((PayEmp=$C236)*(PayDate&lt;=$AC236)*(ISERROR(SEARCH(PayEarnCode,W$4)))*(PayEarnTax)*(PayEarnValues)),SUMPRODUCT((PayEmp=$C236)*(PayDate&lt;=$AC236)*(ISERROR(SEARCH(PayEarnCode,W$4)))*(PayEarnValues))),IF(ISNUMBER(W$3),W$3/12*$AA236,IgnoreMin)))*OFFSET(Setup!$E$81,MATCH(W$5,CompListItem,0),0,1,1)-SUMIFS(OFFSET(W$6,1,0,PayCount,1),PayDate,"&lt;"&amp;$AC236,PayEmp,$C236)))))))</f>
        <v>0</v>
      </c>
      <c r="X236" s="185">
        <f t="shared" ca="1" si="90"/>
        <v>0</v>
      </c>
      <c r="Y236" s="139">
        <f t="shared" ca="1" si="149"/>
        <v>0</v>
      </c>
      <c r="Z236" s="139">
        <f t="shared" ca="1" si="91"/>
        <v>0</v>
      </c>
      <c r="AA236" s="146">
        <f ca="1">IF(OR($B236&lt;=Setup!$E$12,$B236&gt;=Setup!$D$12+1),0,IF($F236&lt;&gt;"Active",0,IF($AE236="Yes",$AB236,((YEAR($AC236)*12)+MONTH($AC236))-((YEAR($AD236)*12)+MONTH($AD236)-1))))</f>
        <v>0</v>
      </c>
      <c r="AB236" s="146">
        <f ca="1">IF(OR($B236&lt;=Setup!$E$12,$B236&gt;=Setup!$D$12+1),0,((YEAR($AC236)*12)+MONTH($AC236))-((YEAR(Setup!$E$12)*12)+MONTH(Setup!$E$12)))</f>
        <v>12</v>
      </c>
      <c r="AC236" s="186">
        <f t="shared" ca="1" si="92"/>
        <v>45351</v>
      </c>
      <c r="AD236" s="144">
        <f ca="1">IF(ISNA(VLOOKUP($C236,EmpAll,COLUMN(Emp!$E$4),0)),$AC236,IF(VLOOKUP($C236,EmpAll,COLUMN(Emp!$E$4),0)&lt;=Setup!$E$12,DATE(YEAR(Setup!$E$12),MONTH(Setup!$E$12)+1,1),VLOOKUP($C236,EmpAll,COLUMN(Emp!$E$4),0)))</f>
        <v>45351</v>
      </c>
      <c r="AE236" s="144" t="str">
        <f ca="1">IF(ISNA(VLOOKUP($C236,EmpAll,COLUMN(Emp!$G$1),0)),"-",IF(VLOOKUP($C236,EmpAll,COLUMN(Emp!$G$1),0)=0,"-",VLOOKUP($C236,EmpAll,COLUMN(Emp!$G$1),0)))</f>
        <v>-</v>
      </c>
      <c r="AF236" s="145">
        <f>IF(A236=PaySlip!$G$3,1,0)</f>
        <v>0</v>
      </c>
      <c r="AG236" s="130" cm="1">
        <f t="array" aca="1" ref="AG236" ca="1">IF(COUNTIFS(OverEmp,$C236,OverMed,"MED",OverDate,"&lt;"&amp;DATE(YEAR($AC236),MONTH($AC236)+1,1),OverEnd,"&gt;="&amp;DATE(YEAR($AC236),MONTH($AC236),1))&gt;0,SUMIFS(OverValue,OverEmp,$C236,OverMed,"MED",OverDate,"&lt;"&amp;DATE(YEAR($AC236),MONTH($AC236)+1,1),OverEnd,"&gt;="&amp;DATE(YEAR($AC236),MONTH($AC236),1)),IF(ISNA(VLOOKUP($C236,EmpAll,COLUMN(Emp!$N$4),0)),0,VLOOKUP($C236,EmpAll,COLUMN(Emp!$N$4),0)))</f>
        <v>0</v>
      </c>
      <c r="AH236" s="146">
        <f ca="1">VLOOKUP($AG236,MedList,COLUMN(Setup!$C$49),1)</f>
        <v>0</v>
      </c>
      <c r="AI236" s="146">
        <f t="shared" ca="1" si="107"/>
        <v>0</v>
      </c>
      <c r="AJ236" s="101" t="str">
        <f ca="1">IF(ISNA(VLOOKUP($C236,EmpAll,COLUMN(Emp!$L$4),0)),"None!",VLOOKUP($C236,EmpAll,COLUMN(Emp!$L$4),0))</f>
        <v>None!</v>
      </c>
      <c r="AK236" s="147">
        <f t="shared" ca="1" si="80"/>
        <v>17235</v>
      </c>
      <c r="AL236" s="101" t="str">
        <f ca="1">IF(ISNA(VLOOKUP($C236,Employees[],COLUMN(Emp!$M$4),0))=TRUE,"Error!",IF(VLOOKUP($C236,Employees[],COLUMN(Emp!$M$4),0)=0,"Yes",VLOOKUP($C236,Employees[],COLUMN(Emp!$M$4),0)))</f>
        <v>Error!</v>
      </c>
      <c r="AM236" s="148">
        <f t="shared" ca="1" si="108"/>
        <v>0</v>
      </c>
      <c r="AN236" s="148" cm="1">
        <f t="array" aca="1" ref="AN236" ca="1">-IF($F236="Terminated",0,IF($AA236=0,0,IF(ISNA(MATCH(AN$5,PayDedList,0)),0,MIN(IF(COUNTIFS(OverEmp,$C236,OverDeduct,AN$5,OverDate,"&lt;"&amp;DATE(YEAR($AC236),MONTH($AC236)+1,1),OverEnd,"&gt;="&amp;DATE(YEAR($AC236),MONTH($AC236),1))&gt;0,SUMPRODUCT((PayEmp=$C236)*(PayDate&lt;=$AC236)*(OFFSET($N$6,1,MATCH(AN$5,PayDedList,0)-1,PayCount,1)))/$AA236*12*AN$3,IF(OR(AN$1="Fixed",AN$1="Not Used"),SUMPRODUCT((PayEmp=$C236)*(PayDate&lt;=$AC236)*(OFFSET($N$6,1,MATCH(AN$5,PayDedList,0)-1,PayCount,1)))/$AA236*12*AN$3,IF(ISNA(MATCH(AN$1,EarnListItem,0))=FALSE,SUMPRODUCT((PayEmp=$C236)*(PayDate&lt;=$AC236)*(OFFSET($N$6,1,MATCH(AN$5,PayDedList,0)-1,PayCount,1)))/$AA236*12*AN$3,(MIN(((SUMPRODUCT((PayEmp=$C236)*(PayDate&lt;=$AC236)*(ISERROR(SEARCH(PayEarnCode,AN$2)))*(PayEarnType="Monthly")*(PayEarnValues))/$AA236*12)+(SUMPRODUCT((PayEmp=$C236)*(PayDate&lt;=$AC236)*(ISERROR(SEARCH(PayEarnCode,AN$2)))*(PayEarnType="Quarterly")*(PayEarnValues))/MAX(1,ROUNDDOWN($AB236/3,0))*4)+(SUMPRODUCT((PayEmp=$C236)*(PayDate&lt;=$AC236)*(ISERROR(SEARCH(PayEarnCode,AN$2)))*(PayEarnType="Bi-Annual")*(PayEarnValues))/MAX(1,ROUNDDOWN($AB236/6,0))*2)+(SUMPRODUCT((PayEmp=$C236)*(PayDate&lt;=$AC236)*(ISERROR(SEARCH(PayEarnCode,AN$2)))*(PayEarnType="Annual")*(PayEarnValues)))),IF(ISNUMBER(OFFSET($N$3,0,MATCH(AN$5,PayDedList,0)-1,1,1)),OFFSET($N$3,0,MATCH(AN$5,PayDedList,0)-1,1,1),IgnoreMin)))*IF(COUNTIFS(EmpNo,$C236,OFFSET(Emp!$R$4,1,MATCH(AN$5,DedListItem,0)-1,EmpCount,1),"&lt;&gt;")&gt;0,VLOOKUP($C236,EmpAll,COLUMN(Emp!$R$4)+MATCH(AN$5,DedListItem,0)-1,0),OFFSET(Setup!$E$73,MATCH(AN$5,DedListItem,0),0,1,1))*AN$3))),IF(ISNUMBER(AN$4),AN$4,IgnoreMin)))))</f>
        <v>0</v>
      </c>
      <c r="AO236" s="148" cm="1">
        <f t="array" aca="1" ref="AO236" ca="1">-IF($F236="Terminated",0,IF($AA236=0,0,IF(ISNA(MATCH(AO$5,PayDedList,0)),0,MIN(IF(COUNTIFS(OverEmp,$C236,OverDeduct,AO$5,OverDate,"&lt;"&amp;DATE(YEAR($AC236),MONTH($AC236)+1,1),OverEnd,"&gt;="&amp;DATE(YEAR($AC236),MONTH($AC236),1))&gt;0,SUMPRODUCT((PayEmp=$C236)*(PayDate&lt;=$AC236)*(OFFSET($N$6,1,MATCH(AO$5,PayDedList,0)-1,PayCount,1)))/$AA236*12*AO$3,IF(OR(AO$1="Fixed",AO$1="Not Used"),SUMPRODUCT((PayEmp=$C236)*(PayDate&lt;=$AC236)*(OFFSET($N$6,1,MATCH(AO$5,PayDedList,0)-1,PayCount,1)))/$AA236*12*AO$3,IF(ISNA(MATCH(AO$1,EarnListItem,0))=FALSE,SUMPRODUCT((PayEmp=$C236)*(PayDate&lt;=$AC236)*(OFFSET($N$6,1,MATCH(AO$5,PayDedList,0)-1,PayCount,1)))/$AA236*12*AO$3,(MIN(((SUMPRODUCT((PayEmp=$C236)*(PayDate&lt;=$AC236)*(ISERROR(SEARCH(PayEarnCode,AO$2)))*(PayEarnType="Monthly")*(PayEarnValues))/$AA236*12)+(SUMPRODUCT((PayEmp=$C236)*(PayDate&lt;=$AC236)*(ISERROR(SEARCH(PayEarnCode,AO$2)))*(PayEarnType="Quarterly")*(PayEarnValues))/MAX(1,ROUNDDOWN($AB236/3,0))*4)+(SUMPRODUCT((PayEmp=$C236)*(PayDate&lt;=$AC236)*(ISERROR(SEARCH(PayEarnCode,AO$2)))*(PayEarnType="Bi-Annual")*(PayEarnValues))/MAX(1,ROUNDDOWN($AB236/6,0))*2)+(SUMPRODUCT((PayEmp=$C236)*(PayDate&lt;=$AC236)*(ISERROR(SEARCH(PayEarnCode,AO$2)))*(PayEarnType="Annual")*(PayEarnValues)))),IF(ISNUMBER(OFFSET($N$3,0,MATCH(AO$5,PayDedList,0)-1,1,1)),OFFSET($N$3,0,MATCH(AO$5,PayDedList,0)-1,1,1),IgnoreMin)))*IF(COUNTIFS(EmpNo,$C236,OFFSET(Emp!$R$4,1,MATCH(AO$5,DedListItem,0)-1,EmpCount,1),"&lt;&gt;")&gt;0,VLOOKUP($C236,EmpAll,COLUMN(Emp!$R$4)+MATCH(AO$5,DedListItem,0)-1,0),OFFSET(Setup!$E$73,MATCH(AO$5,DedListItem,0),0,1,1))*AO$3))),IF(ISNUMBER(AO$4),AO$4,IgnoreMin)))))</f>
        <v>0</v>
      </c>
      <c r="AP236" s="148" cm="1">
        <f t="array" aca="1" ref="AP236" ca="1">-IF($F236="Terminated",0,IF($AA236=0,0,IF(ISNA(MATCH(AP$5,PayDedList,0)),0,MIN(IF(COUNTIFS(OverEmp,$C236,OverDeduct,AP$5,OverDate,"&lt;"&amp;DATE(YEAR($AC236),MONTH($AC236)+1,1),OverEnd,"&gt;="&amp;DATE(YEAR($AC236),MONTH($AC236),1))&gt;0,SUMPRODUCT((PayEmp=$C236)*(PayDate&lt;=$AC236)*(OFFSET($N$6,1,MATCH(AP$5,PayDedList,0)-1,PayCount,1)))/$AA236*12*AP$3,IF(OR(AP$1="Fixed",AP$1="Not Used"),SUMPRODUCT((PayEmp=$C236)*(PayDate&lt;=$AC236)*(OFFSET($N$6,1,MATCH(AP$5,PayDedList,0)-1,PayCount,1)))/$AA236*12*AP$3,IF(ISNA(MATCH(AP$1,EarnListItem,0))=FALSE,SUMPRODUCT((PayEmp=$C236)*(PayDate&lt;=$AC236)*(OFFSET($N$6,1,MATCH(AP$5,PayDedList,0)-1,PayCount,1)))/$AA236*12*AP$3,(MIN(((SUMPRODUCT((PayEmp=$C236)*(PayDate&lt;=$AC236)*(ISERROR(SEARCH(PayEarnCode,AP$2)))*(PayEarnType="Monthly")*(PayEarnValues))/$AA236*12)+(SUMPRODUCT((PayEmp=$C236)*(PayDate&lt;=$AC236)*(ISERROR(SEARCH(PayEarnCode,AP$2)))*(PayEarnType="Quarterly")*(PayEarnValues))/MAX(1,ROUNDDOWN($AB236/3,0))*4)+(SUMPRODUCT((PayEmp=$C236)*(PayDate&lt;=$AC236)*(ISERROR(SEARCH(PayEarnCode,AP$2)))*(PayEarnType="Bi-Annual")*(PayEarnValues))/MAX(1,ROUNDDOWN($AB236/6,0))*2)+(SUMPRODUCT((PayEmp=$C236)*(PayDate&lt;=$AC236)*(ISERROR(SEARCH(PayEarnCode,AP$2)))*(PayEarnType="Annual")*(PayEarnValues)))),IF(ISNUMBER(OFFSET($N$3,0,MATCH(AP$5,PayDedList,0)-1,1,1)),OFFSET($N$3,0,MATCH(AP$5,PayDedList,0)-1,1,1),IgnoreMin)))*IF(COUNTIFS(EmpNo,$C236,OFFSET(Emp!$R$4,1,MATCH(AP$5,DedListItem,0)-1,EmpCount,1),"&lt;&gt;")&gt;0,VLOOKUP($C236,EmpAll,COLUMN(Emp!$R$4)+MATCH(AP$5,DedListItem,0)-1,0),OFFSET(Setup!$E$73,MATCH(AP$5,DedListItem,0),0,1,1))*AP$3))),IF(ISNUMBER(AP$4),AP$4,IgnoreMin)))))</f>
        <v>0</v>
      </c>
      <c r="AQ236" s="148" cm="1">
        <f t="array" aca="1" ref="AQ236" ca="1">-IF($F236="Terminated",0,IF($AA236=0,0,IF(ISNA(MATCH(AQ$5,PayDedList,0)),0,MIN(IF(COUNTIFS(OverEmp,$C236,OverDeduct,AQ$5,OverDate,"&lt;"&amp;DATE(YEAR($AC236),MONTH($AC236)+1,1),OverEnd,"&gt;="&amp;DATE(YEAR($AC236),MONTH($AC236),1))&gt;0,SUMPRODUCT((PayEmp=$C236)*(PayDate&lt;=$AC236)*(OFFSET($N$6,1,MATCH(AQ$5,PayDedList,0)-1,PayCount,1)))/$AA236*12*AQ$3,IF(OR(AQ$1="Fixed",AQ$1="Not Used"),SUMPRODUCT((PayEmp=$C236)*(PayDate&lt;=$AC236)*(OFFSET($N$6,1,MATCH(AQ$5,PayDedList,0)-1,PayCount,1)))/$AA236*12*AQ$3,IF(ISNA(MATCH(AQ$1,EarnListItem,0))=FALSE,SUMPRODUCT((PayEmp=$C236)*(PayDate&lt;=$AC236)*(OFFSET($N$6,1,MATCH(AQ$5,PayDedList,0)-1,PayCount,1)))/$AA236*12*AQ$3,(MIN(((SUMPRODUCT((PayEmp=$C236)*(PayDate&lt;=$AC236)*(ISERROR(SEARCH(PayEarnCode,AQ$2)))*(PayEarnType="Monthly")*(PayEarnValues))/$AA236*12)+(SUMPRODUCT((PayEmp=$C236)*(PayDate&lt;=$AC236)*(ISERROR(SEARCH(PayEarnCode,AQ$2)))*(PayEarnType="Quarterly")*(PayEarnValues))/MAX(1,ROUNDDOWN($AB236/3,0))*4)+(SUMPRODUCT((PayEmp=$C236)*(PayDate&lt;=$AC236)*(ISERROR(SEARCH(PayEarnCode,AQ$2)))*(PayEarnType="Bi-Annual")*(PayEarnValues))/MAX(1,ROUNDDOWN($AB236/6,0))*2)+(SUMPRODUCT((PayEmp=$C236)*(PayDate&lt;=$AC236)*(ISERROR(SEARCH(PayEarnCode,AQ$2)))*(PayEarnType="Annual")*(PayEarnValues)))),IF(ISNUMBER(OFFSET($N$3,0,MATCH(AQ$5,PayDedList,0)-1,1,1)),OFFSET($N$3,0,MATCH(AQ$5,PayDedList,0)-1,1,1),IgnoreMin)))*IF(COUNTIFS(EmpNo,$C236,OFFSET(Emp!$R$4,1,MATCH(AQ$5,DedListItem,0)-1,EmpCount,1),"&lt;&gt;")&gt;0,VLOOKUP($C236,EmpAll,COLUMN(Emp!$R$4)+MATCH(AQ$5,DedListItem,0)-1,0),OFFSET(Setup!$E$73,MATCH(AQ$5,DedListItem,0),0,1,1))*AQ$3))),IF(ISNUMBER(AQ$4),AQ$4,IgnoreMin)))))</f>
        <v>0</v>
      </c>
      <c r="AR236" s="148">
        <f t="shared" ca="1" si="93"/>
        <v>0</v>
      </c>
      <c r="AS236" s="148">
        <f t="shared" ca="1" si="109"/>
        <v>0</v>
      </c>
      <c r="AT236" s="148" cm="1">
        <f t="array" aca="1" ref="AT236" ca="1">-IF($F236="Terminated",0,IF($AA236=0,0,IF(ISNA(MATCH(AT$5,PayDedList,0)),0,MIN(IF(COUNTIFS(OverEmp,$C236,OverDeduct,AT$5,OverDate,"&lt;"&amp;DATE(YEAR($AC236),MONTH($AC236)+1,1),OverEnd,"&gt;="&amp;DATE(YEAR($AC236),MONTH($AC236),1))&gt;0,SUMPRODUCT((PayEmp=$C236)*(PayDate&lt;=$AC236)*(OFFSET($N$6,1,MATCH(AT$5,PayDedList,0)-1,PayCount,1)))/$AA236*12*AT$3,IF(OR(AT$1="Fixed",AT$1="Not Used"),SUMPRODUCT((PayEmp=$C236)*(PayDate&lt;=$AC236)*(OFFSET($N$6,1,MATCH(AT$5,PayDedList,0)-1,PayCount,1)))/$AA236*12*AT$3,IF(ISNA(MATCH(OFFSET($N$2,0,MATCH(AT$5,PayDedList,0)-1,1,1),EarnListItem,0))=FALSE,SUMPRODUCT((PayEmp=$C236)*(PayDate&lt;=$AC236)*(OFFSET($N$6,1,MATCH(AT$5,PayDedList,0)-1,PayCount,1)))/$AA236*12*AT$3,(MIN(SUMPRODUCT((PayEmp=$C236)*(PayDate&lt;=$AC236)*(ISERROR(SEARCH(PayEarnCode,AT$2)))*(PayEarnType="Monthly")*(PayEarnValues))/$AA236*12,IF(ISNUMBER(OFFSET($N$3,0,MATCH(AT$5,PayDedList,0)-1,1,1)),OFFSET($N$3,0,MATCH(AT$5,PayDedList,0)-1,1,1),IgnoreMin)))*IF(COUNTIFS(EmpNo,$C236,OFFSET(Emp!$R$4,1,MATCH(AT$5,DedListItem,0)-1,EmpCount,1),"&lt;&gt;")&gt;0,VLOOKUP($C236,EmpAll,COLUMN(Emp!$R$4)+MATCH(AT$5,DedListItem,0)-1,0),OFFSET(Setup!$E$73,MATCH(AT$5,DedListItem,0),0,1,1))*AT$3))),IF(ISNUMBER(AT$4),AT$4,IgnoreMin)))))</f>
        <v>0</v>
      </c>
      <c r="AU236" s="148" cm="1">
        <f t="array" aca="1" ref="AU236" ca="1">-IF($F236="Terminated",0,IF($AA236=0,0,IF(ISNA(MATCH(AU$5,PayDedList,0)),0,MIN(IF(COUNTIFS(OverEmp,$C236,OverDeduct,AU$5,OverDate,"&lt;"&amp;DATE(YEAR($AC236),MONTH($AC236)+1,1),OverEnd,"&gt;="&amp;DATE(YEAR($AC236),MONTH($AC236),1))&gt;0,SUMPRODUCT((PayEmp=$C236)*(PayDate&lt;=$AC236)*(OFFSET($N$6,1,MATCH(AU$5,PayDedList,0)-1,PayCount,1)))/$AA236*12*AU$3,IF(OR(AU$1="Fixed",AU$1="Not Used"),SUMPRODUCT((PayEmp=$C236)*(PayDate&lt;=$AC236)*(OFFSET($N$6,1,MATCH(AU$5,PayDedList,0)-1,PayCount,1)))/$AA236*12*AU$3,IF(ISNA(MATCH(OFFSET($N$2,0,MATCH(AU$5,PayDedList,0)-1,1,1),EarnListItem,0))=FALSE,SUMPRODUCT((PayEmp=$C236)*(PayDate&lt;=$AC236)*(OFFSET($N$6,1,MATCH(AU$5,PayDedList,0)-1,PayCount,1)))/$AA236*12*AU$3,(MIN(SUMPRODUCT((PayEmp=$C236)*(PayDate&lt;=$AC236)*(ISERROR(SEARCH(PayEarnCode,AU$2)))*(PayEarnType="Monthly")*(PayEarnValues))/$AA236*12,IF(ISNUMBER(OFFSET($N$3,0,MATCH(AU$5,PayDedList,0)-1,1,1)),OFFSET($N$3,0,MATCH(AU$5,PayDedList,0)-1,1,1),IgnoreMin)))*IF(COUNTIFS(EmpNo,$C236,OFFSET(Emp!$R$4,1,MATCH(AU$5,DedListItem,0)-1,EmpCount,1),"&lt;&gt;")&gt;0,VLOOKUP($C236,EmpAll,COLUMN(Emp!$R$4)+MATCH(AU$5,DedListItem,0)-1,0),OFFSET(Setup!$E$73,MATCH(AU$5,DedListItem,0),0,1,1))*AU$3))),IF(ISNUMBER(AU$4),AU$4,IgnoreMin)))))</f>
        <v>0</v>
      </c>
      <c r="AV236" s="148" cm="1">
        <f t="array" aca="1" ref="AV236" ca="1">-IF($F236="Terminated",0,IF($AA236=0,0,IF(ISNA(MATCH(AV$5,PayDedList,0)),0,MIN(IF(COUNTIFS(OverEmp,$C236,OverDeduct,AV$5,OverDate,"&lt;"&amp;DATE(YEAR($AC236),MONTH($AC236)+1,1),OverEnd,"&gt;="&amp;DATE(YEAR($AC236),MONTH($AC236),1))&gt;0,SUMPRODUCT((PayEmp=$C236)*(PayDate&lt;=$AC236)*(OFFSET($N$6,1,MATCH(AV$5,PayDedList,0)-1,PayCount,1)))/$AA236*12*AV$3,IF(OR(AV$1="Fixed",AV$1="Not Used"),SUMPRODUCT((PayEmp=$C236)*(PayDate&lt;=$AC236)*(OFFSET($N$6,1,MATCH(AV$5,PayDedList,0)-1,PayCount,1)))/$AA236*12*AV$3,IF(ISNA(MATCH(OFFSET($N$2,0,MATCH(AV$5,PayDedList,0)-1,1,1),EarnListItem,0))=FALSE,SUMPRODUCT((PayEmp=$C236)*(PayDate&lt;=$AC236)*(OFFSET($N$6,1,MATCH(AV$5,PayDedList,0)-1,PayCount,1)))/$AA236*12*AV$3,(MIN(SUMPRODUCT((PayEmp=$C236)*(PayDate&lt;=$AC236)*(ISERROR(SEARCH(PayEarnCode,AV$2)))*(PayEarnType="Monthly")*(PayEarnValues))/$AA236*12,IF(ISNUMBER(OFFSET($N$3,0,MATCH(AV$5,PayDedList,0)-1,1,1)),OFFSET($N$3,0,MATCH(AV$5,PayDedList,0)-1,1,1),IgnoreMin)))*IF(COUNTIFS(EmpNo,$C236,OFFSET(Emp!$R$4,1,MATCH(AV$5,DedListItem,0)-1,EmpCount,1),"&lt;&gt;")&gt;0,VLOOKUP($C236,EmpAll,COLUMN(Emp!$R$4)+MATCH(AV$5,DedListItem,0)-1,0),OFFSET(Setup!$E$73,MATCH(AV$5,DedListItem,0),0,1,1))*AV$3))),IF(ISNUMBER(AV$4),AV$4,IgnoreMin)))))</f>
        <v>0</v>
      </c>
      <c r="AW236" s="148" cm="1">
        <f t="array" aca="1" ref="AW236" ca="1">-IF($F236="Terminated",0,IF($AA236=0,0,IF(ISNA(MATCH(AW$5,PayDedList,0)),0,MIN(IF(COUNTIFS(OverEmp,$C236,OverDeduct,AW$5,OverDate,"&lt;"&amp;DATE(YEAR($AC236),MONTH($AC236)+1,1),OverEnd,"&gt;="&amp;DATE(YEAR($AC236),MONTH($AC236),1))&gt;0,SUMPRODUCT((PayEmp=$C236)*(PayDate&lt;=$AC236)*(OFFSET($N$6,1,MATCH(AW$5,PayDedList,0)-1,PayCount,1)))/$AA236*12*AW$3,IF(OR(AW$1="Fixed",AW$1="Not Used"),SUMPRODUCT((PayEmp=$C236)*(PayDate&lt;=$AC236)*(OFFSET($N$6,1,MATCH(AW$5,PayDedList,0)-1,PayCount,1)))/$AA236*12*AW$3,IF(ISNA(MATCH(OFFSET($N$2,0,MATCH(AW$5,PayDedList,0)-1,1,1),EarnListItem,0))=FALSE,SUMPRODUCT((PayEmp=$C236)*(PayDate&lt;=$AC236)*(OFFSET($N$6,1,MATCH(AW$5,PayDedList,0)-1,PayCount,1)))/$AA236*12*AW$3,(MIN(SUMPRODUCT((PayEmp=$C236)*(PayDate&lt;=$AC236)*(ISERROR(SEARCH(PayEarnCode,AW$2)))*(PayEarnType="Monthly")*(PayEarnValues))/$AA236*12,IF(ISNUMBER(OFFSET($N$3,0,MATCH(AW$5,PayDedList,0)-1,1,1)),OFFSET($N$3,0,MATCH(AW$5,PayDedList,0)-1,1,1),IgnoreMin)))*IF(COUNTIFS(EmpNo,$C236,OFFSET(Emp!$R$4,1,MATCH(AW$5,DedListItem,0)-1,EmpCount,1),"&lt;&gt;")&gt;0,VLOOKUP($C236,EmpAll,COLUMN(Emp!$R$4)+MATCH(AW$5,DedListItem,0)-1,0),OFFSET(Setup!$E$73,MATCH(AW$5,DedListItem,0),0,1,1))*AW$3))),IF(ISNUMBER(AW$4),AW$4,IgnoreMin)))))</f>
        <v>0</v>
      </c>
      <c r="AX236" s="148">
        <f t="shared" ca="1" si="150"/>
        <v>0</v>
      </c>
      <c r="AY236" s="148">
        <f t="shared" ca="1" si="151"/>
        <v>0</v>
      </c>
      <c r="AZ236" s="148">
        <f ca="1">IF(ISNUMBER($AL236),($AR236*$AL236)-$AI236-$AK236,MAX(0,IF($AL236="B",IF($AR236&lt;Setup!$C$32,($AR236*Setup!$D$32)-$AI236-$AK236,(($AR236-VLOOKUP($AR236,TaxAll2,1,1))*OFFSET(Setup!$D$32,MATCH($AR236,TaxBracket2,1),0,1,1))+OFFSET(Setup!$E$31,MATCH($AR236,TaxBracket2,1),0,1,1)-$AI236-$AK236),IF($AR236&lt;Setup!$C$21,($AR236*Setup!$D$21)-$AI236-$AK236,(($AR236-VLOOKUP($AR236,TaxAll1,1,1))*OFFSET(Setup!$D$21,MATCH($AR236,TaxBracket1,1),0,1,1))+OFFSET(Setup!$E$20,MATCH($AR236,TaxBracket1,1),0,1,1)-$AI236-$AK236))))</f>
        <v>0</v>
      </c>
      <c r="BA236" s="148">
        <f ca="1">IF(ISNUMBER($AL236),($AX236*$AL236)-$AI236-$AK236,MAX(0,IF($AL236="B",IF($AX236&lt;Setup!$C$32,($AX236*Setup!$D$32)-$AI236-$AK236,(($AX236-VLOOKUP($AX236,TaxAll2,1,1))*OFFSET(Setup!$D$32,MATCH($AX236,TaxBracket2,1),0,1,1))+OFFSET(Setup!$E$31,MATCH($AX236,TaxBracket2,1),0,1,1)-$AI236-$AK236),IF($AX236&lt;Setup!$C$21,($AX236*Setup!$D$21)-$AI236-$AK236,(($AX236-VLOOKUP($AX236,TaxAll1,1,1))*OFFSET(Setup!$D$21,MATCH($AX236,TaxBracket1,1),0,1,1))+OFFSET(Setup!$E$20,MATCH($AX236,TaxBracket1,1),0,1,1)-$AI236-$AK236))))</f>
        <v>0</v>
      </c>
      <c r="BB236" s="148">
        <f t="shared" ca="1" si="94"/>
        <v>0</v>
      </c>
      <c r="BC236" s="150">
        <f t="shared" ca="1" si="110"/>
        <v>0</v>
      </c>
      <c r="BD236" s="150">
        <f t="shared" ca="1" si="111"/>
        <v>0</v>
      </c>
      <c r="BE236" s="148">
        <f t="shared" ca="1" si="112"/>
        <v>0</v>
      </c>
    </row>
    <row r="237" spans="1:57" ht="16.149999999999999" customHeight="1" x14ac:dyDescent="0.25">
      <c r="A237" s="10" t="str" cm="1">
        <f t="array" ref="A237">IF(ROW($A237)-ROW($A$6)&gt;EmpCount*12,"-",TEXT($B237,"yyyy")&amp;TEXT($B237,"mm")&amp;"-"&amp;$C237)</f>
        <v>-</v>
      </c>
      <c r="B237" s="137" cm="1">
        <f t="array" aca="1" ref="B237" ca="1">IF(ROW($A237)-ROW($A$6)&gt;EmpCount*12,Setup!$D$12,DATE(YEAR(Setup!$F$12),MONTH(Setup!$F$12)+ROUNDDOWN((ROW($A237)-ROW($A$6)-1)/EmpCount,0),IF(Setup!$C$14&gt;DAY(DATE(YEAR(Setup!$F$12),MONTH(Setup!$F$12)+ROUNDDOWN((ROW($A237)-ROW($A$6)-1)/EmpCount,0)+1,0)),DAY(DATE(YEAR(Setup!$F$12),MONTH(Setup!$F$12)+ROUNDDOWN((ROW($A237)-ROW($A$6)-1)/EmpCount,0)+1,0)),Setup!$C$14)))</f>
        <v>45351</v>
      </c>
      <c r="C237" s="101" t="str" cm="1">
        <f t="array" aca="1" ref="C237" ca="1">IF(ROW($A237)-ROW($A$6)&gt;EmpCount*12,"-",OFFSET(Emp!$A$4,ROW($A237)-ROW($A$6)-IF(ROW($A237)-ROW($A$6)&gt;EmpCount,ROUNDDOWN((ROW($A237)-ROW($A$6)-1)/EmpCount,0)*EmpCount,0),0,1,1))</f>
        <v>-</v>
      </c>
      <c r="D237" s="10" t="str">
        <f ca="1">IF(ISNA(VLOOKUP($C237,EmpAll,COLUMN(Emp!$B$4),0)),"-",VLOOKUP($C237,EmpAll,COLUMN(Emp!$B$4),0))</f>
        <v>-</v>
      </c>
      <c r="E237" s="145" t="str">
        <f ca="1">IF(ISNA(VLOOKUP($C237,EmpAll,COLUMN(Emp!$C$4),0)),"-",VLOOKUP($C237,EmpAll,COLUMN(Emp!$C$4),0))</f>
        <v>-</v>
      </c>
      <c r="F237" s="101" t="str">
        <f ca="1">IF(ISNA(VLOOKUP($C237,EmpAll,COLUMN(Emp!$A$4),0)),"-",IF(AND(VLOOKUP($C237,EmpAll,COLUMN(Emp!$E$4),0)&lt;&gt;0,VLOOKUP($C237,EmpAll,COLUMN(Emp!$E$4),0)&gt;=DATE(YEAR($AC237),MONTH($AC237)+1,0)),"Inactive",IF(AND(VLOOKUP($C237,EmpAll,COLUMN(Emp!$F$4),0)&lt;&gt;0,VLOOKUP($C237,EmpAll,COLUMN(Emp!$F$4),0)&lt;=DATE(YEAR($AC237),MONTH($AC237),0)),"Terminated","Active")))</f>
        <v>-</v>
      </c>
      <c r="G237" s="133" cm="1">
        <f t="array" aca="1" ref="G237" ca="1">IF($F237&lt;&gt;"Active",0,IF(COUNTIFS(OverEmp,$C237,OverEarn,G$2,OverDate,"&lt;"&amp;DATE(YEAR($AC237),MONTH($AC237)+1,1),OverEnd,"&gt;="&amp;DATE(YEAR($AC237),MONTH($AC237),1))&gt;0,SUMIFS(OverValue,OverEmp,$C237,OverEarn,G$2,OverDate,"&lt;"&amp;DATE(YEAR($AC237),MONTH($AC237)+1,1),OverEnd,"&gt;="&amp;DATE(YEAR($AC237),MONTH($AC237),1)),IF(AND($AC237&gt;=Setup!$E$10,SUMIFS(EmpIncrease,EmpCode,$C237)&gt;0),SUMIFS(EmpIncrease,EmpCode,$C237),SUMIFS(EmpSalary,EmpCode,$C237))))</f>
        <v>0</v>
      </c>
      <c r="H237" s="133" cm="1">
        <f t="array" aca="1" ref="H237" ca="1">IF($F237&lt;&gt;"Active",0,IF(COUNTIFS(OverEmp,$C237,OverEarn,H$2,OverDate,"&lt;"&amp;DATE(YEAR($AC237),MONTH($AC237)+1,1),OverEnd,"&gt;="&amp;DATE(YEAR($AC237),MONTH($AC237),1))&gt;0,SUMIFS(OverValue,OverEmp,$C237,OverEarn,H$2,OverDate,"&lt;"&amp;DATE(YEAR($AC237),MONTH($AC237)+1,1),OverEnd,"&gt;="&amp;DATE(YEAR($AC237),MONTH($AC237),1)),0))</f>
        <v>0</v>
      </c>
      <c r="I237" s="133" cm="1">
        <f t="array" aca="1" ref="I237" ca="1">IF($F237&lt;&gt;"Active",0,IF(COUNTIFS(OverEmp,$C237,OverEarn,I$2,OverDate,"&lt;"&amp;DATE(YEAR($AC237),MONTH($AC237)+1,1),OverEnd,"&gt;="&amp;DATE(YEAR($AC237),MONTH($AC237),1))&gt;0,SUMIFS(OverValue,OverEmp,$C237,OverEarn,I$2,OverDate,"&lt;"&amp;DATE(YEAR($AC237),MONTH($AC237)+1,1),OverEnd,"&gt;="&amp;DATE(YEAR($AC237),MONTH($AC237),1)),IF(MONTH(B237)=Setup!$C$15,SUMIFS(EmpBonus,EmpCode,$C237),0)))</f>
        <v>0</v>
      </c>
      <c r="J237" s="133" cm="1">
        <f t="array" aca="1" ref="J237" ca="1">IF($F237&lt;&gt;"Active",0,IF(COUNTIFS(OverEmp,$C237,OverEarn,J$2,OverDate,"&lt;"&amp;DATE(YEAR($AC237),MONTH($AC237)+1,1),OverEnd,"&gt;="&amp;DATE(YEAR($AC237),MONTH($AC237),1))&gt;0,SUMIFS(OverValue,OverEmp,$C237,OverEarn,J$2,OverDate,"&lt;"&amp;DATE(YEAR($AC237),MONTH($AC237)+1,1),OverEnd,"&gt;="&amp;DATE(YEAR($AC237),MONTH($AC237),1)),0))</f>
        <v>0</v>
      </c>
      <c r="K237" s="133" cm="1">
        <f t="array" aca="1" ref="K237" ca="1">IF($F237&lt;&gt;"Active",0,IF(COUNTIFS(OverEmp,$C237,OverEarn,K$2,OverDate,"&lt;"&amp;DATE(YEAR($AC237),MONTH($AC237)+1,1),OverEnd,"&gt;="&amp;DATE(YEAR($AC237),MONTH($AC237),1))&gt;0,SUMIFS(OverValue,OverEmp,$C237,OverEarn,K$2,OverDate,"&lt;"&amp;DATE(YEAR($AC237),MONTH($AC237)+1,1),OverEnd,"&gt;="&amp;DATE(YEAR($AC237),MONTH($AC237),1)),0))</f>
        <v>0</v>
      </c>
      <c r="L237" s="185">
        <f t="shared" ca="1" si="146"/>
        <v>0</v>
      </c>
      <c r="M237" s="182" cm="1">
        <f t="array" aca="1" ref="M237" ca="1">IF(COUNTIFS(OverEmp,$C237,OverTax,M$5,OverDate,"&lt;"&amp;DATE(YEAR($AC237),MONTH($AC237)+1,1),OverEnd,"&gt;="&amp;DATE(YEAR($AC237),MONTH($AC237),1))&gt;0,SUMIFS(OverValue,OverEmp,$C237,OverTax,M$5,OverDate,"&lt;"&amp;DATE(YEAR($AC237),MONTH($AC237)+1,1),OverEnd,"&gt;="&amp;DATE(YEAR($AC237),MONTH($AC237),1)),(($BA237/12*$AA237)+(BB237*IF(1-$BC237=0,0,BD237/(1-$BC237))))-IF($F237="Terminated",0,SUMIFS(PayTaxDeduct,PayDate,"&lt;"&amp;$AC237,PayEmp,$C237)))</f>
        <v>0</v>
      </c>
      <c r="N237" s="133" cm="1">
        <f t="array" aca="1" ref="N237" ca="1">IF($F237="Terminated",0,IF($AA237=0,0,IF(ISNA(MATCH(N$5,DedListItem,0)),0,IF(COUNTIFS(OverEmp,$C237,OverDeduct,N$5,OverDate,"&lt;"&amp;DATE(YEAR($AC237),MONTH($AC237)+1,1),OverEnd,"&gt;="&amp;DATE(YEAR($AC237),MONTH($AC237),1))&gt;0,SUMIFS(OverValue,OverEmp,$C237,OverDeduct,N$5,OverDate,"&lt;"&amp;DATE(YEAR($AC237),MONTH($AC237)+1,1),OverEnd,"&gt;="&amp;DATE(YEAR($AC237),MONTH($AC237),1)),IF(OR(N$2="Fixed",N$2="Not Used"),(IF(COUNTIFS(EmpNo,$C237,OFFSET(Emp!$R$4,1,MATCH(N$5,DedListItem,0)-1,EmpCount,1),"&lt;&gt;")&gt;0,VLOOKUP($C237,EmpAll,COLUMN(Emp!$R$4)+MATCH(N$5,DedListItem,0)-1,0),OFFSET(Setup!$E$73,MATCH(N$5,DedListItem,0),0,1,1))*$AA237)-SUMIFS(OFFSET(N$6,1,0,PayCount,1),PayDate,"&lt;"&amp;$AC237,PayEmp,$C237),IF(ISNA(MATCH(N$2,EarnListItem,0))=FALSE,IF(OFFSET(Setup!$G$73,MATCH(N$5,DedListItem,0),0,1,1)="Taxable",SUMPRODUCT((PayEmp=$C237)*(PayDate&lt;=$AC237)*(PayEarnCode=N$2)*(PayEarnTax)*(PayEarnValues)),SUMPRODUCT((PayEmp=$C237)*(PayDate&lt;=$AC237)*(PayEarnCode=N$2)*(PayEarnValues)))*IF(COUNTIFS(EmpNo,$C237,OFFSET(Emp!$R$4,1,MATCH(N$5,DedListItem,0)-1,EmpCount,1),"&lt;&gt;")&gt;0,VLOOKUP($C237,EmpAll,COLUMN(Emp!$R$4)+MATCH(N$5,DedListItem,0)-1,0),OFFSET(Setup!$E$73,MATCH(N$5,DedListItem,0),0,1,1)),(MIN(IF(OFFSET(Setup!$G$73,MATCH(N$5,DedListItem,0),0,1,1)="Taxable",SUMPRODUCT((PayEmp=$C237)*(PayDate&lt;=$AC237)*(ISERROR(SEARCH(PayEarnCode,N$4)))*(PayEarnTax)*(PayEarnValues)),SUMPRODUCT((PayEmp=$C237)*(PayDate&lt;=$AC237)*(ISERROR(SEARCH(PayEarnCode,N$4)))*(PayEarnValues))),IF(ISNUMBER(N$3),N$3/12*$AA237,IgnoreMin)))*IF(COUNTIFS(EmpNo,$C237,OFFSET(Emp!$R$4,1,MATCH(N$5,DedListItem,0)-1,EmpCount,1),"&lt;&gt;")&gt;0,VLOOKUP($C237,EmpAll,COLUMN(Emp!$R$4)+MATCH(N$5,DedListItem,0)-1,0),OFFSET(Setup!$E$73,MATCH(N$5,DedListItem,0),0,1,1)))-SUMIFS(OFFSET(N$6,1,0,PayCount,1),PayDate,"&lt;"&amp;$AC237,PayEmp,$C237))))))</f>
        <v>0</v>
      </c>
      <c r="O237" s="133" cm="1">
        <f t="array" aca="1" ref="O237" ca="1">IF($F237="Terminated",0,IF($AA237=0,0,IF(ISNA(MATCH(O$5,DedListItem,0)),0,IF(COUNTIFS(OverEmp,$C237,OverDeduct,O$5,OverDate,"&lt;"&amp;DATE(YEAR($AC237),MONTH($AC237)+1,1),OverEnd,"&gt;="&amp;DATE(YEAR($AC237),MONTH($AC237),1))&gt;0,SUMIFS(OverValue,OverEmp,$C237,OverDeduct,O$5,OverDate,"&lt;"&amp;DATE(YEAR($AC237),MONTH($AC237)+1,1),OverEnd,"&gt;="&amp;DATE(YEAR($AC237),MONTH($AC237),1)),IF(OR(O$2="Fixed",O$2="Not Used"),(IF(COUNTIFS(EmpNo,$C237,OFFSET(Emp!$R$4,1,MATCH(O$5,DedListItem,0)-1,EmpCount,1),"&lt;&gt;")&gt;0,VLOOKUP($C237,EmpAll,COLUMN(Emp!$R$4)+MATCH(O$5,DedListItem,0)-1,0),OFFSET(Setup!$E$73,MATCH(O$5,DedListItem,0),0,1,1))*$AA237)-SUMIFS(OFFSET(O$6,1,0,PayCount,1),PayDate,"&lt;"&amp;$AC237,PayEmp,$C237),IF(ISNA(MATCH(O$2,EarnListItem,0))=FALSE,IF(OFFSET(Setup!$G$73,MATCH(O$5,DedListItem,0),0,1,1)="Taxable",SUMPRODUCT((PayEmp=$C237)*(PayDate&lt;=$AC237)*(PayEarnCode=O$2)*(PayEarnTax)*(PayEarnValues)),SUMPRODUCT((PayEmp=$C237)*(PayDate&lt;=$AC237)*(PayEarnCode=O$2)*(PayEarnValues)))*IF(COUNTIFS(EmpNo,$C237,OFFSET(Emp!$R$4,1,MATCH(O$5,DedListItem,0)-1,EmpCount,1),"&lt;&gt;")&gt;0,VLOOKUP($C237,EmpAll,COLUMN(Emp!$R$4)+MATCH(O$5,DedListItem,0)-1,0),OFFSET(Setup!$E$73,MATCH(O$5,DedListItem,0),0,1,1)),(MIN(IF(OFFSET(Setup!$G$73,MATCH(O$5,DedListItem,0),0,1,1)="Taxable",SUMPRODUCT((PayEmp=$C237)*(PayDate&lt;=$AC237)*(ISERROR(SEARCH(PayEarnCode,O$4)))*(PayEarnTax)*(PayEarnValues)),SUMPRODUCT((PayEmp=$C237)*(PayDate&lt;=$AC237)*(ISERROR(SEARCH(PayEarnCode,O$4)))*(PayEarnValues))),IF(ISNUMBER(O$3),O$3/12*$AA237,IgnoreMin)))*IF(COUNTIFS(EmpNo,$C237,OFFSET(Emp!$R$4,1,MATCH(O$5,DedListItem,0)-1,EmpCount,1),"&lt;&gt;")&gt;0,VLOOKUP($C237,EmpAll,COLUMN(Emp!$R$4)+MATCH(O$5,DedListItem,0)-1,0),OFFSET(Setup!$E$73,MATCH(O$5,DedListItem,0),0,1,1)))-SUMIFS(OFFSET(O$6,1,0,PayCount,1),PayDate,"&lt;"&amp;$AC237,PayEmp,$C237))))))</f>
        <v>0</v>
      </c>
      <c r="P237" s="133" cm="1">
        <f t="array" aca="1" ref="P237" ca="1">IF($F237="Terminated",0,IF($AA237=0,0,IF(ISNA(MATCH(P$5,DedListItem,0)),0,IF(COUNTIFS(OverEmp,$C237,OverDeduct,P$5,OverDate,"&lt;"&amp;DATE(YEAR($AC237),MONTH($AC237)+1,1),OverEnd,"&gt;="&amp;DATE(YEAR($AC237),MONTH($AC237),1))&gt;0,SUMIFS(OverValue,OverEmp,$C237,OverDeduct,P$5,OverDate,"&lt;"&amp;DATE(YEAR($AC237),MONTH($AC237)+1,1),OverEnd,"&gt;="&amp;DATE(YEAR($AC237),MONTH($AC237),1)),IF(OR(P$2="Fixed",P$2="Not Used"),(IF(COUNTIFS(EmpNo,$C237,OFFSET(Emp!$R$4,1,MATCH(P$5,DedListItem,0)-1,EmpCount,1),"&lt;&gt;")&gt;0,VLOOKUP($C237,EmpAll,COLUMN(Emp!$R$4)+MATCH(P$5,DedListItem,0)-1,0),OFFSET(Setup!$E$73,MATCH(P$5,DedListItem,0),0,1,1))*$AA237)-SUMIFS(OFFSET(P$6,1,0,PayCount,1),PayDate,"&lt;"&amp;$AC237,PayEmp,$C237),IF(ISNA(MATCH(P$2,EarnListItem,0))=FALSE,IF(OFFSET(Setup!$G$73,MATCH(P$5,DedListItem,0),0,1,1)="Taxable",SUMPRODUCT((PayEmp=$C237)*(PayDate&lt;=$AC237)*(PayEarnCode=P$2)*(PayEarnTax)*(PayEarnValues)),SUMPRODUCT((PayEmp=$C237)*(PayDate&lt;=$AC237)*(PayEarnCode=P$2)*(PayEarnValues)))*IF(COUNTIFS(EmpNo,$C237,OFFSET(Emp!$R$4,1,MATCH(P$5,DedListItem,0)-1,EmpCount,1),"&lt;&gt;")&gt;0,VLOOKUP($C237,EmpAll,COLUMN(Emp!$R$4)+MATCH(P$5,DedListItem,0)-1,0),OFFSET(Setup!$E$73,MATCH(P$5,DedListItem,0),0,1,1)),(MIN(IF(OFFSET(Setup!$G$73,MATCH(P$5,DedListItem,0),0,1,1)="Taxable",SUMPRODUCT((PayEmp=$C237)*(PayDate&lt;=$AC237)*(ISERROR(SEARCH(PayEarnCode,P$4)))*(PayEarnTax)*(PayEarnValues)),SUMPRODUCT((PayEmp=$C237)*(PayDate&lt;=$AC237)*(ISERROR(SEARCH(PayEarnCode,P$4)))*(PayEarnValues))),IF(ISNUMBER(P$3),P$3/12*$AA237,IgnoreMin)))*IF(COUNTIFS(EmpNo,$C237,OFFSET(Emp!$R$4,1,MATCH(P$5,DedListItem,0)-1,EmpCount,1),"&lt;&gt;")&gt;0,VLOOKUP($C237,EmpAll,COLUMN(Emp!$R$4)+MATCH(P$5,DedListItem,0)-1,0),OFFSET(Setup!$E$73,MATCH(P$5,DedListItem,0),0,1,1)))-SUMIFS(OFFSET(P$6,1,0,PayCount,1),PayDate,"&lt;"&amp;$AC237,PayEmp,$C237))))))</f>
        <v>0</v>
      </c>
      <c r="Q237" s="133" cm="1">
        <f t="array" aca="1" ref="Q237" ca="1">IF($F237="Terminated",0,IF($AA237=0,0,IF(ISNA(MATCH(Q$5,DedListItem,0)),0,IF(COUNTIFS(OverEmp,$C237,OverDeduct,Q$5,OverDate,"&lt;"&amp;DATE(YEAR($AC237),MONTH($AC237)+1,1),OverEnd,"&gt;="&amp;DATE(YEAR($AC237),MONTH($AC237),1))&gt;0,SUMIFS(OverValue,OverEmp,$C237,OverDeduct,Q$5,OverDate,"&lt;"&amp;DATE(YEAR($AC237),MONTH($AC237)+1,1),OverEnd,"&gt;="&amp;DATE(YEAR($AC237),MONTH($AC237),1)),IF(OR(Q$2="Fixed",Q$2="Not Used"),(IF(COUNTIFS(EmpNo,$C237,OFFSET(Emp!$R$4,1,MATCH(Q$5,DedListItem,0)-1,EmpCount,1),"&lt;&gt;")&gt;0,VLOOKUP($C237,EmpAll,COLUMN(Emp!$R$4)+MATCH(Q$5,DedListItem,0)-1,0),OFFSET(Setup!$E$73,MATCH(Q$5,DedListItem,0),0,1,1))*$AA237)-SUMIFS(OFFSET(Q$6,1,0,PayCount,1),PayDate,"&lt;"&amp;$AC237,PayEmp,$C237),IF(ISNA(MATCH(Q$2,EarnListItem,0))=FALSE,IF(OFFSET(Setup!$G$73,MATCH(Q$5,DedListItem,0),0,1,1)="Taxable",SUMPRODUCT((PayEmp=$C237)*(PayDate&lt;=$AC237)*(PayEarnCode=Q$2)*(PayEarnTax)*(PayEarnValues)),SUMPRODUCT((PayEmp=$C237)*(PayDate&lt;=$AC237)*(PayEarnCode=Q$2)*(PayEarnValues)))*IF(COUNTIFS(EmpNo,$C237,OFFSET(Emp!$R$4,1,MATCH(Q$5,DedListItem,0)-1,EmpCount,1),"&lt;&gt;")&gt;0,VLOOKUP($C237,EmpAll,COLUMN(Emp!$R$4)+MATCH(Q$5,DedListItem,0)-1,0),OFFSET(Setup!$E$73,MATCH(Q$5,DedListItem,0),0,1,1)),(MIN(IF(OFFSET(Setup!$G$73,MATCH(Q$5,DedListItem,0),0,1,1)="Taxable",SUMPRODUCT((PayEmp=$C237)*(PayDate&lt;=$AC237)*(ISERROR(SEARCH(PayEarnCode,Q$4)))*(PayEarnTax)*(PayEarnValues)),SUMPRODUCT((PayEmp=$C237)*(PayDate&lt;=$AC237)*(ISERROR(SEARCH(PayEarnCode,Q$4)))*(PayEarnValues))),IF(ISNUMBER(Q$3),Q$3/12*$AA237,IgnoreMin)))*IF(COUNTIFS(EmpNo,$C237,OFFSET(Emp!$R$4,1,MATCH(Q$5,DedListItem,0)-1,EmpCount,1),"&lt;&gt;")&gt;0,VLOOKUP($C237,EmpAll,COLUMN(Emp!$R$4)+MATCH(Q$5,DedListItem,0)-1,0),OFFSET(Setup!$E$73,MATCH(Q$5,DedListItem,0),0,1,1)))-SUMIFS(OFFSET(Q$6,1,0,PayCount,1),PayDate,"&lt;"&amp;$AC237,PayEmp,$C237))))))</f>
        <v>0</v>
      </c>
      <c r="R237" s="185">
        <f t="shared" ca="1" si="147"/>
        <v>0</v>
      </c>
      <c r="S237" s="139">
        <f t="shared" ca="1" si="148"/>
        <v>0</v>
      </c>
      <c r="T237" s="133" cm="1">
        <f t="array" aca="1" ref="T237" ca="1">IF($F237="Terminated",0,IF($AA237=0,0,IF(ISNA(MATCH(T$5,CompListItem,0)),0,IF(COUNTIFS(OverEmp,$C237,OverComp,T$5,OverDate,"&lt;"&amp;DATE(YEAR($AC237),MONTH($AC237)+1,1),OverEnd,"&gt;="&amp;DATE(YEAR($AC237),MONTH($AC237),1))&gt;0,SUMIFS(OverValue,OverEmp,$C237,OverComp,T$5,OverDate,"&lt;"&amp;DATE(YEAR($AC237),MONTH($AC237)+1,1),OverEnd,"&gt;="&amp;DATE(YEAR($AC237),MONTH($AC237),1)),IF(OR(T$2="Fixed",T$2="Not Used"),(OFFSET(Setup!$E$81,MATCH(T$5,CompListItem,0),0,1,1)*$AA237)-SUMIFS(OFFSET(T$6,1,0,PayCount,1),PayDate,"&lt;"&amp;$AC237,PayEmp,$C237),IF(ISNA(MATCH(T$2,DedListItem,0))=FALSE,(SUMPRODUCT((PayEmp=$C237)*(PayDate&lt;=$AC237)*(PayDedList=T$2)*(PayDedValues))*OFFSET(Setup!$E$81,MATCH(T$5,CompListItem,0),0,1,1))-SUMIFS(OFFSET(T$6,1,0,PayCount,1),PayDate,"&lt;"&amp;$AC237,PayEmp,$C237),(MIN(IF(OFFSET(Setup!$G$81,MATCH(T$5,CompListItem,0),0,1,1)="Taxable",SUMPRODUCT((PayEmp=$C237)*(PayDate&lt;=$AC237)*(ISERROR(SEARCH(PayEarnCode,T$4)))*(PayEarnTax)*(PayEarnValues)),SUMPRODUCT((PayEmp=$C237)*(PayDate&lt;=$AC237)*(ISERROR(SEARCH(PayEarnCode,T$4)))*(PayEarnValues))),IF(ISNUMBER(T$3),T$3/12*$AA237,IgnoreMin)))*OFFSET(Setup!$E$81,MATCH(T$5,CompListItem,0),0,1,1)-SUMIFS(OFFSET(T$6,1,0,PayCount,1),PayDate,"&lt;"&amp;$AC237,PayEmp,$C237)))))))</f>
        <v>0</v>
      </c>
      <c r="U237" s="133" cm="1">
        <f t="array" aca="1" ref="U237" ca="1">IF($F237="Terminated",0,IF($AA237=0,0,IF(ISNA(MATCH(U$5,CompListItem,0)),0,IF(COUNTIFS(OverEmp,$C237,OverComp,U$5,OverDate,"&lt;"&amp;DATE(YEAR($AC237),MONTH($AC237)+1,1),OverEnd,"&gt;="&amp;DATE(YEAR($AC237),MONTH($AC237),1))&gt;0,SUMIFS(OverValue,OverEmp,$C237,OverComp,U$5,OverDate,"&lt;"&amp;DATE(YEAR($AC237),MONTH($AC237)+1,1),OverEnd,"&gt;="&amp;DATE(YEAR($AC237),MONTH($AC237),1)),IF(OR(U$2="Fixed",U$2="Not Used"),(OFFSET(Setup!$E$81,MATCH(U$5,CompListItem,0),0,1,1)*$AA237)-SUMIFS(OFFSET(U$6,1,0,PayCount,1),PayDate,"&lt;"&amp;$AC237,PayEmp,$C237),IF(ISNA(MATCH(U$2,DedListItem,0))=FALSE,(SUMPRODUCT((PayEmp=$C237)*(PayDate&lt;=$AC237)*(PayDedList=U$2)*(PayDedValues))*OFFSET(Setup!$E$81,MATCH(U$5,CompListItem,0),0,1,1))-SUMIFS(OFFSET(U$6,1,0,PayCount,1),PayDate,"&lt;"&amp;$AC237,PayEmp,$C237),(MIN(IF(OFFSET(Setup!$G$81,MATCH(U$5,CompListItem,0),0,1,1)="Taxable",SUMPRODUCT((PayEmp=$C237)*(PayDate&lt;=$AC237)*(ISERROR(SEARCH(PayEarnCode,U$4)))*(PayEarnTax)*(PayEarnValues)),SUMPRODUCT((PayEmp=$C237)*(PayDate&lt;=$AC237)*(ISERROR(SEARCH(PayEarnCode,U$4)))*(PayEarnValues))),IF(ISNUMBER(U$3),U$3/12*$AA237,IgnoreMin)))*OFFSET(Setup!$E$81,MATCH(U$5,CompListItem,0),0,1,1)-SUMIFS(OFFSET(U$6,1,0,PayCount,1),PayDate,"&lt;"&amp;$AC237,PayEmp,$C237)))))))</f>
        <v>0</v>
      </c>
      <c r="V237" s="133" cm="1">
        <f t="array" aca="1" ref="V237" ca="1">IF($F237="Terminated",0,IF($AA237=0,0,IF(ISNA(MATCH(V$5,CompListItem,0)),0,IF(COUNTIFS(OverEmp,$C237,OverComp,V$5,OverDate,"&lt;"&amp;DATE(YEAR($AC237),MONTH($AC237)+1,1),OverEnd,"&gt;="&amp;DATE(YEAR($AC237),MONTH($AC237),1))&gt;0,SUMIFS(OverValue,OverEmp,$C237,OverComp,V$5,OverDate,"&lt;"&amp;DATE(YEAR($AC237),MONTH($AC237)+1,1),OverEnd,"&gt;="&amp;DATE(YEAR($AC237),MONTH($AC237),1)),IF(OR(V$2="Fixed",V$2="Not Used"),(OFFSET(Setup!$E$81,MATCH(V$5,CompListItem,0),0,1,1)*$AA237)-SUMIFS(OFFSET(V$6,1,0,PayCount,1),PayDate,"&lt;"&amp;$AC237,PayEmp,$C237),IF(ISNA(MATCH(V$2,DedListItem,0))=FALSE,(SUMPRODUCT((PayEmp=$C237)*(PayDate&lt;=$AC237)*(PayDedList=V$2)*(PayDedValues))*OFFSET(Setup!$E$81,MATCH(V$5,CompListItem,0),0,1,1))-SUMIFS(OFFSET(V$6,1,0,PayCount,1),PayDate,"&lt;"&amp;$AC237,PayEmp,$C237),(MIN(IF(OFFSET(Setup!$G$81,MATCH(V$5,CompListItem,0),0,1,1)="Taxable",SUMPRODUCT((PayEmp=$C237)*(PayDate&lt;=$AC237)*(ISERROR(SEARCH(PayEarnCode,V$4)))*(PayEarnTax)*(PayEarnValues)),SUMPRODUCT((PayEmp=$C237)*(PayDate&lt;=$AC237)*(ISERROR(SEARCH(PayEarnCode,V$4)))*(PayEarnValues))),IF(ISNUMBER(V$3),V$3/12*$AA237,IgnoreMin)))*OFFSET(Setup!$E$81,MATCH(V$5,CompListItem,0),0,1,1)-SUMIFS(OFFSET(V$6,1,0,PayCount,1),PayDate,"&lt;"&amp;$AC237,PayEmp,$C237)))))))</f>
        <v>0</v>
      </c>
      <c r="W237" s="133" cm="1">
        <f t="array" aca="1" ref="W237" ca="1">IF($F237="Terminated",0,IF($AA237=0,0,IF(ISNA(MATCH(W$5,CompListItem,0)),0,IF(COUNTIFS(OverEmp,$C237,OverComp,W$5,OverDate,"&lt;"&amp;DATE(YEAR($AC237),MONTH($AC237)+1,1),OverEnd,"&gt;="&amp;DATE(YEAR($AC237),MONTH($AC237),1))&gt;0,SUMIFS(OverValue,OverEmp,$C237,OverComp,W$5,OverDate,"&lt;"&amp;DATE(YEAR($AC237),MONTH($AC237)+1,1),OverEnd,"&gt;="&amp;DATE(YEAR($AC237),MONTH($AC237),1)),IF(OR(W$2="Fixed",W$2="Not Used"),(OFFSET(Setup!$E$81,MATCH(W$5,CompListItem,0),0,1,1)*$AA237)-SUMIFS(OFFSET(W$6,1,0,PayCount,1),PayDate,"&lt;"&amp;$AC237,PayEmp,$C237),IF(ISNA(MATCH(W$2,DedListItem,0))=FALSE,(SUMPRODUCT((PayEmp=$C237)*(PayDate&lt;=$AC237)*(PayDedList=W$2)*(PayDedValues))*OFFSET(Setup!$E$81,MATCH(W$5,CompListItem,0),0,1,1))-SUMIFS(OFFSET(W$6,1,0,PayCount,1),PayDate,"&lt;"&amp;$AC237,PayEmp,$C237),(MIN(IF(OFFSET(Setup!$G$81,MATCH(W$5,CompListItem,0),0,1,1)="Taxable",SUMPRODUCT((PayEmp=$C237)*(PayDate&lt;=$AC237)*(ISERROR(SEARCH(PayEarnCode,W$4)))*(PayEarnTax)*(PayEarnValues)),SUMPRODUCT((PayEmp=$C237)*(PayDate&lt;=$AC237)*(ISERROR(SEARCH(PayEarnCode,W$4)))*(PayEarnValues))),IF(ISNUMBER(W$3),W$3/12*$AA237,IgnoreMin)))*OFFSET(Setup!$E$81,MATCH(W$5,CompListItem,0),0,1,1)-SUMIFS(OFFSET(W$6,1,0,PayCount,1),PayDate,"&lt;"&amp;$AC237,PayEmp,$C237)))))))</f>
        <v>0</v>
      </c>
      <c r="X237" s="185">
        <f t="shared" ca="1" si="90"/>
        <v>0</v>
      </c>
      <c r="Y237" s="139">
        <f t="shared" ca="1" si="149"/>
        <v>0</v>
      </c>
      <c r="Z237" s="139">
        <f t="shared" ca="1" si="91"/>
        <v>0</v>
      </c>
      <c r="AA237" s="146">
        <f ca="1">IF(OR($B237&lt;=Setup!$E$12,$B237&gt;=Setup!$D$12+1),0,IF($F237&lt;&gt;"Active",0,IF($AE237="Yes",$AB237,((YEAR($AC237)*12)+MONTH($AC237))-((YEAR($AD237)*12)+MONTH($AD237)-1))))</f>
        <v>0</v>
      </c>
      <c r="AB237" s="146">
        <f ca="1">IF(OR($B237&lt;=Setup!$E$12,$B237&gt;=Setup!$D$12+1),0,((YEAR($AC237)*12)+MONTH($AC237))-((YEAR(Setup!$E$12)*12)+MONTH(Setup!$E$12)))</f>
        <v>12</v>
      </c>
      <c r="AC237" s="186">
        <f t="shared" ca="1" si="92"/>
        <v>45351</v>
      </c>
      <c r="AD237" s="144">
        <f ca="1">IF(ISNA(VLOOKUP($C237,EmpAll,COLUMN(Emp!$E$4),0)),$AC237,IF(VLOOKUP($C237,EmpAll,COLUMN(Emp!$E$4),0)&lt;=Setup!$E$12,DATE(YEAR(Setup!$E$12),MONTH(Setup!$E$12)+1,1),VLOOKUP($C237,EmpAll,COLUMN(Emp!$E$4),0)))</f>
        <v>45351</v>
      </c>
      <c r="AE237" s="144" t="str">
        <f ca="1">IF(ISNA(VLOOKUP($C237,EmpAll,COLUMN(Emp!$G$1),0)),"-",IF(VLOOKUP($C237,EmpAll,COLUMN(Emp!$G$1),0)=0,"-",VLOOKUP($C237,EmpAll,COLUMN(Emp!$G$1),0)))</f>
        <v>-</v>
      </c>
      <c r="AF237" s="145">
        <f>IF(A237=PaySlip!$G$3,1,0)</f>
        <v>0</v>
      </c>
      <c r="AG237" s="130" cm="1">
        <f t="array" aca="1" ref="AG237" ca="1">IF(COUNTIFS(OverEmp,$C237,OverMed,"MED",OverDate,"&lt;"&amp;DATE(YEAR($AC237),MONTH($AC237)+1,1),OverEnd,"&gt;="&amp;DATE(YEAR($AC237),MONTH($AC237),1))&gt;0,SUMIFS(OverValue,OverEmp,$C237,OverMed,"MED",OverDate,"&lt;"&amp;DATE(YEAR($AC237),MONTH($AC237)+1,1),OverEnd,"&gt;="&amp;DATE(YEAR($AC237),MONTH($AC237),1)),IF(ISNA(VLOOKUP($C237,EmpAll,COLUMN(Emp!$N$4),0)),0,VLOOKUP($C237,EmpAll,COLUMN(Emp!$N$4),0)))</f>
        <v>0</v>
      </c>
      <c r="AH237" s="146">
        <f ca="1">VLOOKUP($AG237,MedList,COLUMN(Setup!$C$49),1)</f>
        <v>0</v>
      </c>
      <c r="AI237" s="146">
        <f t="shared" ca="1" si="107"/>
        <v>0</v>
      </c>
      <c r="AJ237" s="101" t="str">
        <f ca="1">IF(ISNA(VLOOKUP($C237,EmpAll,COLUMN(Emp!$L$4),0)),"None!",VLOOKUP($C237,EmpAll,COLUMN(Emp!$L$4),0))</f>
        <v>None!</v>
      </c>
      <c r="AK237" s="147">
        <f t="shared" ca="1" si="80"/>
        <v>17235</v>
      </c>
      <c r="AL237" s="101" t="str">
        <f ca="1">IF(ISNA(VLOOKUP($C237,Employees[],COLUMN(Emp!$M$4),0))=TRUE,"Error!",IF(VLOOKUP($C237,Employees[],COLUMN(Emp!$M$4),0)=0,"Yes",VLOOKUP($C237,Employees[],COLUMN(Emp!$M$4),0)))</f>
        <v>Error!</v>
      </c>
      <c r="AM237" s="148">
        <f t="shared" ca="1" si="108"/>
        <v>0</v>
      </c>
      <c r="AN237" s="148" cm="1">
        <f t="array" aca="1" ref="AN237" ca="1">-IF($F237="Terminated",0,IF($AA237=0,0,IF(ISNA(MATCH(AN$5,PayDedList,0)),0,MIN(IF(COUNTIFS(OverEmp,$C237,OverDeduct,AN$5,OverDate,"&lt;"&amp;DATE(YEAR($AC237),MONTH($AC237)+1,1),OverEnd,"&gt;="&amp;DATE(YEAR($AC237),MONTH($AC237),1))&gt;0,SUMPRODUCT((PayEmp=$C237)*(PayDate&lt;=$AC237)*(OFFSET($N$6,1,MATCH(AN$5,PayDedList,0)-1,PayCount,1)))/$AA237*12*AN$3,IF(OR(AN$1="Fixed",AN$1="Not Used"),SUMPRODUCT((PayEmp=$C237)*(PayDate&lt;=$AC237)*(OFFSET($N$6,1,MATCH(AN$5,PayDedList,0)-1,PayCount,1)))/$AA237*12*AN$3,IF(ISNA(MATCH(AN$1,EarnListItem,0))=FALSE,SUMPRODUCT((PayEmp=$C237)*(PayDate&lt;=$AC237)*(OFFSET($N$6,1,MATCH(AN$5,PayDedList,0)-1,PayCount,1)))/$AA237*12*AN$3,(MIN(((SUMPRODUCT((PayEmp=$C237)*(PayDate&lt;=$AC237)*(ISERROR(SEARCH(PayEarnCode,AN$2)))*(PayEarnType="Monthly")*(PayEarnValues))/$AA237*12)+(SUMPRODUCT((PayEmp=$C237)*(PayDate&lt;=$AC237)*(ISERROR(SEARCH(PayEarnCode,AN$2)))*(PayEarnType="Quarterly")*(PayEarnValues))/MAX(1,ROUNDDOWN($AB237/3,0))*4)+(SUMPRODUCT((PayEmp=$C237)*(PayDate&lt;=$AC237)*(ISERROR(SEARCH(PayEarnCode,AN$2)))*(PayEarnType="Bi-Annual")*(PayEarnValues))/MAX(1,ROUNDDOWN($AB237/6,0))*2)+(SUMPRODUCT((PayEmp=$C237)*(PayDate&lt;=$AC237)*(ISERROR(SEARCH(PayEarnCode,AN$2)))*(PayEarnType="Annual")*(PayEarnValues)))),IF(ISNUMBER(OFFSET($N$3,0,MATCH(AN$5,PayDedList,0)-1,1,1)),OFFSET($N$3,0,MATCH(AN$5,PayDedList,0)-1,1,1),IgnoreMin)))*IF(COUNTIFS(EmpNo,$C237,OFFSET(Emp!$R$4,1,MATCH(AN$5,DedListItem,0)-1,EmpCount,1),"&lt;&gt;")&gt;0,VLOOKUP($C237,EmpAll,COLUMN(Emp!$R$4)+MATCH(AN$5,DedListItem,0)-1,0),OFFSET(Setup!$E$73,MATCH(AN$5,DedListItem,0),0,1,1))*AN$3))),IF(ISNUMBER(AN$4),AN$4,IgnoreMin)))))</f>
        <v>0</v>
      </c>
      <c r="AO237" s="148" cm="1">
        <f t="array" aca="1" ref="AO237" ca="1">-IF($F237="Terminated",0,IF($AA237=0,0,IF(ISNA(MATCH(AO$5,PayDedList,0)),0,MIN(IF(COUNTIFS(OverEmp,$C237,OverDeduct,AO$5,OverDate,"&lt;"&amp;DATE(YEAR($AC237),MONTH($AC237)+1,1),OverEnd,"&gt;="&amp;DATE(YEAR($AC237),MONTH($AC237),1))&gt;0,SUMPRODUCT((PayEmp=$C237)*(PayDate&lt;=$AC237)*(OFFSET($N$6,1,MATCH(AO$5,PayDedList,0)-1,PayCount,1)))/$AA237*12*AO$3,IF(OR(AO$1="Fixed",AO$1="Not Used"),SUMPRODUCT((PayEmp=$C237)*(PayDate&lt;=$AC237)*(OFFSET($N$6,1,MATCH(AO$5,PayDedList,0)-1,PayCount,1)))/$AA237*12*AO$3,IF(ISNA(MATCH(AO$1,EarnListItem,0))=FALSE,SUMPRODUCT((PayEmp=$C237)*(PayDate&lt;=$AC237)*(OFFSET($N$6,1,MATCH(AO$5,PayDedList,0)-1,PayCount,1)))/$AA237*12*AO$3,(MIN(((SUMPRODUCT((PayEmp=$C237)*(PayDate&lt;=$AC237)*(ISERROR(SEARCH(PayEarnCode,AO$2)))*(PayEarnType="Monthly")*(PayEarnValues))/$AA237*12)+(SUMPRODUCT((PayEmp=$C237)*(PayDate&lt;=$AC237)*(ISERROR(SEARCH(PayEarnCode,AO$2)))*(PayEarnType="Quarterly")*(PayEarnValues))/MAX(1,ROUNDDOWN($AB237/3,0))*4)+(SUMPRODUCT((PayEmp=$C237)*(PayDate&lt;=$AC237)*(ISERROR(SEARCH(PayEarnCode,AO$2)))*(PayEarnType="Bi-Annual")*(PayEarnValues))/MAX(1,ROUNDDOWN($AB237/6,0))*2)+(SUMPRODUCT((PayEmp=$C237)*(PayDate&lt;=$AC237)*(ISERROR(SEARCH(PayEarnCode,AO$2)))*(PayEarnType="Annual")*(PayEarnValues)))),IF(ISNUMBER(OFFSET($N$3,0,MATCH(AO$5,PayDedList,0)-1,1,1)),OFFSET($N$3,0,MATCH(AO$5,PayDedList,0)-1,1,1),IgnoreMin)))*IF(COUNTIFS(EmpNo,$C237,OFFSET(Emp!$R$4,1,MATCH(AO$5,DedListItem,0)-1,EmpCount,1),"&lt;&gt;")&gt;0,VLOOKUP($C237,EmpAll,COLUMN(Emp!$R$4)+MATCH(AO$5,DedListItem,0)-1,0),OFFSET(Setup!$E$73,MATCH(AO$5,DedListItem,0),0,1,1))*AO$3))),IF(ISNUMBER(AO$4),AO$4,IgnoreMin)))))</f>
        <v>0</v>
      </c>
      <c r="AP237" s="148" cm="1">
        <f t="array" aca="1" ref="AP237" ca="1">-IF($F237="Terminated",0,IF($AA237=0,0,IF(ISNA(MATCH(AP$5,PayDedList,0)),0,MIN(IF(COUNTIFS(OverEmp,$C237,OverDeduct,AP$5,OverDate,"&lt;"&amp;DATE(YEAR($AC237),MONTH($AC237)+1,1),OverEnd,"&gt;="&amp;DATE(YEAR($AC237),MONTH($AC237),1))&gt;0,SUMPRODUCT((PayEmp=$C237)*(PayDate&lt;=$AC237)*(OFFSET($N$6,1,MATCH(AP$5,PayDedList,0)-1,PayCount,1)))/$AA237*12*AP$3,IF(OR(AP$1="Fixed",AP$1="Not Used"),SUMPRODUCT((PayEmp=$C237)*(PayDate&lt;=$AC237)*(OFFSET($N$6,1,MATCH(AP$5,PayDedList,0)-1,PayCount,1)))/$AA237*12*AP$3,IF(ISNA(MATCH(AP$1,EarnListItem,0))=FALSE,SUMPRODUCT((PayEmp=$C237)*(PayDate&lt;=$AC237)*(OFFSET($N$6,1,MATCH(AP$5,PayDedList,0)-1,PayCount,1)))/$AA237*12*AP$3,(MIN(((SUMPRODUCT((PayEmp=$C237)*(PayDate&lt;=$AC237)*(ISERROR(SEARCH(PayEarnCode,AP$2)))*(PayEarnType="Monthly")*(PayEarnValues))/$AA237*12)+(SUMPRODUCT((PayEmp=$C237)*(PayDate&lt;=$AC237)*(ISERROR(SEARCH(PayEarnCode,AP$2)))*(PayEarnType="Quarterly")*(PayEarnValues))/MAX(1,ROUNDDOWN($AB237/3,0))*4)+(SUMPRODUCT((PayEmp=$C237)*(PayDate&lt;=$AC237)*(ISERROR(SEARCH(PayEarnCode,AP$2)))*(PayEarnType="Bi-Annual")*(PayEarnValues))/MAX(1,ROUNDDOWN($AB237/6,0))*2)+(SUMPRODUCT((PayEmp=$C237)*(PayDate&lt;=$AC237)*(ISERROR(SEARCH(PayEarnCode,AP$2)))*(PayEarnType="Annual")*(PayEarnValues)))),IF(ISNUMBER(OFFSET($N$3,0,MATCH(AP$5,PayDedList,0)-1,1,1)),OFFSET($N$3,0,MATCH(AP$5,PayDedList,0)-1,1,1),IgnoreMin)))*IF(COUNTIFS(EmpNo,$C237,OFFSET(Emp!$R$4,1,MATCH(AP$5,DedListItem,0)-1,EmpCount,1),"&lt;&gt;")&gt;0,VLOOKUP($C237,EmpAll,COLUMN(Emp!$R$4)+MATCH(AP$5,DedListItem,0)-1,0),OFFSET(Setup!$E$73,MATCH(AP$5,DedListItem,0),0,1,1))*AP$3))),IF(ISNUMBER(AP$4),AP$4,IgnoreMin)))))</f>
        <v>0</v>
      </c>
      <c r="AQ237" s="148" cm="1">
        <f t="array" aca="1" ref="AQ237" ca="1">-IF($F237="Terminated",0,IF($AA237=0,0,IF(ISNA(MATCH(AQ$5,PayDedList,0)),0,MIN(IF(COUNTIFS(OverEmp,$C237,OverDeduct,AQ$5,OverDate,"&lt;"&amp;DATE(YEAR($AC237),MONTH($AC237)+1,1),OverEnd,"&gt;="&amp;DATE(YEAR($AC237),MONTH($AC237),1))&gt;0,SUMPRODUCT((PayEmp=$C237)*(PayDate&lt;=$AC237)*(OFFSET($N$6,1,MATCH(AQ$5,PayDedList,0)-1,PayCount,1)))/$AA237*12*AQ$3,IF(OR(AQ$1="Fixed",AQ$1="Not Used"),SUMPRODUCT((PayEmp=$C237)*(PayDate&lt;=$AC237)*(OFFSET($N$6,1,MATCH(AQ$5,PayDedList,0)-1,PayCount,1)))/$AA237*12*AQ$3,IF(ISNA(MATCH(AQ$1,EarnListItem,0))=FALSE,SUMPRODUCT((PayEmp=$C237)*(PayDate&lt;=$AC237)*(OFFSET($N$6,1,MATCH(AQ$5,PayDedList,0)-1,PayCount,1)))/$AA237*12*AQ$3,(MIN(((SUMPRODUCT((PayEmp=$C237)*(PayDate&lt;=$AC237)*(ISERROR(SEARCH(PayEarnCode,AQ$2)))*(PayEarnType="Monthly")*(PayEarnValues))/$AA237*12)+(SUMPRODUCT((PayEmp=$C237)*(PayDate&lt;=$AC237)*(ISERROR(SEARCH(PayEarnCode,AQ$2)))*(PayEarnType="Quarterly")*(PayEarnValues))/MAX(1,ROUNDDOWN($AB237/3,0))*4)+(SUMPRODUCT((PayEmp=$C237)*(PayDate&lt;=$AC237)*(ISERROR(SEARCH(PayEarnCode,AQ$2)))*(PayEarnType="Bi-Annual")*(PayEarnValues))/MAX(1,ROUNDDOWN($AB237/6,0))*2)+(SUMPRODUCT((PayEmp=$C237)*(PayDate&lt;=$AC237)*(ISERROR(SEARCH(PayEarnCode,AQ$2)))*(PayEarnType="Annual")*(PayEarnValues)))),IF(ISNUMBER(OFFSET($N$3,0,MATCH(AQ$5,PayDedList,0)-1,1,1)),OFFSET($N$3,0,MATCH(AQ$5,PayDedList,0)-1,1,1),IgnoreMin)))*IF(COUNTIFS(EmpNo,$C237,OFFSET(Emp!$R$4,1,MATCH(AQ$5,DedListItem,0)-1,EmpCount,1),"&lt;&gt;")&gt;0,VLOOKUP($C237,EmpAll,COLUMN(Emp!$R$4)+MATCH(AQ$5,DedListItem,0)-1,0),OFFSET(Setup!$E$73,MATCH(AQ$5,DedListItem,0),0,1,1))*AQ$3))),IF(ISNUMBER(AQ$4),AQ$4,IgnoreMin)))))</f>
        <v>0</v>
      </c>
      <c r="AR237" s="148">
        <f t="shared" ca="1" si="93"/>
        <v>0</v>
      </c>
      <c r="AS237" s="148">
        <f t="shared" ca="1" si="109"/>
        <v>0</v>
      </c>
      <c r="AT237" s="148" cm="1">
        <f t="array" aca="1" ref="AT237" ca="1">-IF($F237="Terminated",0,IF($AA237=0,0,IF(ISNA(MATCH(AT$5,PayDedList,0)),0,MIN(IF(COUNTIFS(OverEmp,$C237,OverDeduct,AT$5,OverDate,"&lt;"&amp;DATE(YEAR($AC237),MONTH($AC237)+1,1),OverEnd,"&gt;="&amp;DATE(YEAR($AC237),MONTH($AC237),1))&gt;0,SUMPRODUCT((PayEmp=$C237)*(PayDate&lt;=$AC237)*(OFFSET($N$6,1,MATCH(AT$5,PayDedList,0)-1,PayCount,1)))/$AA237*12*AT$3,IF(OR(AT$1="Fixed",AT$1="Not Used"),SUMPRODUCT((PayEmp=$C237)*(PayDate&lt;=$AC237)*(OFFSET($N$6,1,MATCH(AT$5,PayDedList,0)-1,PayCount,1)))/$AA237*12*AT$3,IF(ISNA(MATCH(OFFSET($N$2,0,MATCH(AT$5,PayDedList,0)-1,1,1),EarnListItem,0))=FALSE,SUMPRODUCT((PayEmp=$C237)*(PayDate&lt;=$AC237)*(OFFSET($N$6,1,MATCH(AT$5,PayDedList,0)-1,PayCount,1)))/$AA237*12*AT$3,(MIN(SUMPRODUCT((PayEmp=$C237)*(PayDate&lt;=$AC237)*(ISERROR(SEARCH(PayEarnCode,AT$2)))*(PayEarnType="Monthly")*(PayEarnValues))/$AA237*12,IF(ISNUMBER(OFFSET($N$3,0,MATCH(AT$5,PayDedList,0)-1,1,1)),OFFSET($N$3,0,MATCH(AT$5,PayDedList,0)-1,1,1),IgnoreMin)))*IF(COUNTIFS(EmpNo,$C237,OFFSET(Emp!$R$4,1,MATCH(AT$5,DedListItem,0)-1,EmpCount,1),"&lt;&gt;")&gt;0,VLOOKUP($C237,EmpAll,COLUMN(Emp!$R$4)+MATCH(AT$5,DedListItem,0)-1,0),OFFSET(Setup!$E$73,MATCH(AT$5,DedListItem,0),0,1,1))*AT$3))),IF(ISNUMBER(AT$4),AT$4,IgnoreMin)))))</f>
        <v>0</v>
      </c>
      <c r="AU237" s="148" cm="1">
        <f t="array" aca="1" ref="AU237" ca="1">-IF($F237="Terminated",0,IF($AA237=0,0,IF(ISNA(MATCH(AU$5,PayDedList,0)),0,MIN(IF(COUNTIFS(OverEmp,$C237,OverDeduct,AU$5,OverDate,"&lt;"&amp;DATE(YEAR($AC237),MONTH($AC237)+1,1),OverEnd,"&gt;="&amp;DATE(YEAR($AC237),MONTH($AC237),1))&gt;0,SUMPRODUCT((PayEmp=$C237)*(PayDate&lt;=$AC237)*(OFFSET($N$6,1,MATCH(AU$5,PayDedList,0)-1,PayCount,1)))/$AA237*12*AU$3,IF(OR(AU$1="Fixed",AU$1="Not Used"),SUMPRODUCT((PayEmp=$C237)*(PayDate&lt;=$AC237)*(OFFSET($N$6,1,MATCH(AU$5,PayDedList,0)-1,PayCount,1)))/$AA237*12*AU$3,IF(ISNA(MATCH(OFFSET($N$2,0,MATCH(AU$5,PayDedList,0)-1,1,1),EarnListItem,0))=FALSE,SUMPRODUCT((PayEmp=$C237)*(PayDate&lt;=$AC237)*(OFFSET($N$6,1,MATCH(AU$5,PayDedList,0)-1,PayCount,1)))/$AA237*12*AU$3,(MIN(SUMPRODUCT((PayEmp=$C237)*(PayDate&lt;=$AC237)*(ISERROR(SEARCH(PayEarnCode,AU$2)))*(PayEarnType="Monthly")*(PayEarnValues))/$AA237*12,IF(ISNUMBER(OFFSET($N$3,0,MATCH(AU$5,PayDedList,0)-1,1,1)),OFFSET($N$3,0,MATCH(AU$5,PayDedList,0)-1,1,1),IgnoreMin)))*IF(COUNTIFS(EmpNo,$C237,OFFSET(Emp!$R$4,1,MATCH(AU$5,DedListItem,0)-1,EmpCount,1),"&lt;&gt;")&gt;0,VLOOKUP($C237,EmpAll,COLUMN(Emp!$R$4)+MATCH(AU$5,DedListItem,0)-1,0),OFFSET(Setup!$E$73,MATCH(AU$5,DedListItem,0),0,1,1))*AU$3))),IF(ISNUMBER(AU$4),AU$4,IgnoreMin)))))</f>
        <v>0</v>
      </c>
      <c r="AV237" s="148" cm="1">
        <f t="array" aca="1" ref="AV237" ca="1">-IF($F237="Terminated",0,IF($AA237=0,0,IF(ISNA(MATCH(AV$5,PayDedList,0)),0,MIN(IF(COUNTIFS(OverEmp,$C237,OverDeduct,AV$5,OverDate,"&lt;"&amp;DATE(YEAR($AC237),MONTH($AC237)+1,1),OverEnd,"&gt;="&amp;DATE(YEAR($AC237),MONTH($AC237),1))&gt;0,SUMPRODUCT((PayEmp=$C237)*(PayDate&lt;=$AC237)*(OFFSET($N$6,1,MATCH(AV$5,PayDedList,0)-1,PayCount,1)))/$AA237*12*AV$3,IF(OR(AV$1="Fixed",AV$1="Not Used"),SUMPRODUCT((PayEmp=$C237)*(PayDate&lt;=$AC237)*(OFFSET($N$6,1,MATCH(AV$5,PayDedList,0)-1,PayCount,1)))/$AA237*12*AV$3,IF(ISNA(MATCH(OFFSET($N$2,0,MATCH(AV$5,PayDedList,0)-1,1,1),EarnListItem,0))=FALSE,SUMPRODUCT((PayEmp=$C237)*(PayDate&lt;=$AC237)*(OFFSET($N$6,1,MATCH(AV$5,PayDedList,0)-1,PayCount,1)))/$AA237*12*AV$3,(MIN(SUMPRODUCT((PayEmp=$C237)*(PayDate&lt;=$AC237)*(ISERROR(SEARCH(PayEarnCode,AV$2)))*(PayEarnType="Monthly")*(PayEarnValues))/$AA237*12,IF(ISNUMBER(OFFSET($N$3,0,MATCH(AV$5,PayDedList,0)-1,1,1)),OFFSET($N$3,0,MATCH(AV$5,PayDedList,0)-1,1,1),IgnoreMin)))*IF(COUNTIFS(EmpNo,$C237,OFFSET(Emp!$R$4,1,MATCH(AV$5,DedListItem,0)-1,EmpCount,1),"&lt;&gt;")&gt;0,VLOOKUP($C237,EmpAll,COLUMN(Emp!$R$4)+MATCH(AV$5,DedListItem,0)-1,0),OFFSET(Setup!$E$73,MATCH(AV$5,DedListItem,0),0,1,1))*AV$3))),IF(ISNUMBER(AV$4),AV$4,IgnoreMin)))))</f>
        <v>0</v>
      </c>
      <c r="AW237" s="148" cm="1">
        <f t="array" aca="1" ref="AW237" ca="1">-IF($F237="Terminated",0,IF($AA237=0,0,IF(ISNA(MATCH(AW$5,PayDedList,0)),0,MIN(IF(COUNTIFS(OverEmp,$C237,OverDeduct,AW$5,OverDate,"&lt;"&amp;DATE(YEAR($AC237),MONTH($AC237)+1,1),OverEnd,"&gt;="&amp;DATE(YEAR($AC237),MONTH($AC237),1))&gt;0,SUMPRODUCT((PayEmp=$C237)*(PayDate&lt;=$AC237)*(OFFSET($N$6,1,MATCH(AW$5,PayDedList,0)-1,PayCount,1)))/$AA237*12*AW$3,IF(OR(AW$1="Fixed",AW$1="Not Used"),SUMPRODUCT((PayEmp=$C237)*(PayDate&lt;=$AC237)*(OFFSET($N$6,1,MATCH(AW$5,PayDedList,0)-1,PayCount,1)))/$AA237*12*AW$3,IF(ISNA(MATCH(OFFSET($N$2,0,MATCH(AW$5,PayDedList,0)-1,1,1),EarnListItem,0))=FALSE,SUMPRODUCT((PayEmp=$C237)*(PayDate&lt;=$AC237)*(OFFSET($N$6,1,MATCH(AW$5,PayDedList,0)-1,PayCount,1)))/$AA237*12*AW$3,(MIN(SUMPRODUCT((PayEmp=$C237)*(PayDate&lt;=$AC237)*(ISERROR(SEARCH(PayEarnCode,AW$2)))*(PayEarnType="Monthly")*(PayEarnValues))/$AA237*12,IF(ISNUMBER(OFFSET($N$3,0,MATCH(AW$5,PayDedList,0)-1,1,1)),OFFSET($N$3,0,MATCH(AW$5,PayDedList,0)-1,1,1),IgnoreMin)))*IF(COUNTIFS(EmpNo,$C237,OFFSET(Emp!$R$4,1,MATCH(AW$5,DedListItem,0)-1,EmpCount,1),"&lt;&gt;")&gt;0,VLOOKUP($C237,EmpAll,COLUMN(Emp!$R$4)+MATCH(AW$5,DedListItem,0)-1,0),OFFSET(Setup!$E$73,MATCH(AW$5,DedListItem,0),0,1,1))*AW$3))),IF(ISNUMBER(AW$4),AW$4,IgnoreMin)))))</f>
        <v>0</v>
      </c>
      <c r="AX237" s="148">
        <f t="shared" ca="1" si="150"/>
        <v>0</v>
      </c>
      <c r="AY237" s="148">
        <f t="shared" ca="1" si="151"/>
        <v>0</v>
      </c>
      <c r="AZ237" s="148">
        <f ca="1">IF(ISNUMBER($AL237),($AR237*$AL237)-$AI237-$AK237,MAX(0,IF($AL237="B",IF($AR237&lt;Setup!$C$32,($AR237*Setup!$D$32)-$AI237-$AK237,(($AR237-VLOOKUP($AR237,TaxAll2,1,1))*OFFSET(Setup!$D$32,MATCH($AR237,TaxBracket2,1),0,1,1))+OFFSET(Setup!$E$31,MATCH($AR237,TaxBracket2,1),0,1,1)-$AI237-$AK237),IF($AR237&lt;Setup!$C$21,($AR237*Setup!$D$21)-$AI237-$AK237,(($AR237-VLOOKUP($AR237,TaxAll1,1,1))*OFFSET(Setup!$D$21,MATCH($AR237,TaxBracket1,1),0,1,1))+OFFSET(Setup!$E$20,MATCH($AR237,TaxBracket1,1),0,1,1)-$AI237-$AK237))))</f>
        <v>0</v>
      </c>
      <c r="BA237" s="148">
        <f ca="1">IF(ISNUMBER($AL237),($AX237*$AL237)-$AI237-$AK237,MAX(0,IF($AL237="B",IF($AX237&lt;Setup!$C$32,($AX237*Setup!$D$32)-$AI237-$AK237,(($AX237-VLOOKUP($AX237,TaxAll2,1,1))*OFFSET(Setup!$D$32,MATCH($AX237,TaxBracket2,1),0,1,1))+OFFSET(Setup!$E$31,MATCH($AX237,TaxBracket2,1),0,1,1)-$AI237-$AK237),IF($AX237&lt;Setup!$C$21,($AX237*Setup!$D$21)-$AI237-$AK237,(($AX237-VLOOKUP($AX237,TaxAll1,1,1))*OFFSET(Setup!$D$21,MATCH($AX237,TaxBracket1,1),0,1,1))+OFFSET(Setup!$E$20,MATCH($AX237,TaxBracket1,1),0,1,1)-$AI237-$AK237))))</f>
        <v>0</v>
      </c>
      <c r="BB237" s="148">
        <f t="shared" ca="1" si="94"/>
        <v>0</v>
      </c>
      <c r="BC237" s="150">
        <f t="shared" ca="1" si="110"/>
        <v>0</v>
      </c>
      <c r="BD237" s="150">
        <f t="shared" ca="1" si="111"/>
        <v>0</v>
      </c>
      <c r="BE237" s="148">
        <f t="shared" ca="1" si="112"/>
        <v>0</v>
      </c>
    </row>
    <row r="238" spans="1:57" ht="16.149999999999999" customHeight="1" x14ac:dyDescent="0.25">
      <c r="A238" s="10" t="str" cm="1">
        <f t="array" ref="A238">IF(ROW($A238)-ROW($A$6)&gt;EmpCount*12,"-",TEXT($B238,"yyyy")&amp;TEXT($B238,"mm")&amp;"-"&amp;$C238)</f>
        <v>-</v>
      </c>
      <c r="B238" s="137" cm="1">
        <f t="array" aca="1" ref="B238" ca="1">IF(ROW($A238)-ROW($A$6)&gt;EmpCount*12,Setup!$D$12,DATE(YEAR(Setup!$F$12),MONTH(Setup!$F$12)+ROUNDDOWN((ROW($A238)-ROW($A$6)-1)/EmpCount,0),IF(Setup!$C$14&gt;DAY(DATE(YEAR(Setup!$F$12),MONTH(Setup!$F$12)+ROUNDDOWN((ROW($A238)-ROW($A$6)-1)/EmpCount,0)+1,0)),DAY(DATE(YEAR(Setup!$F$12),MONTH(Setup!$F$12)+ROUNDDOWN((ROW($A238)-ROW($A$6)-1)/EmpCount,0)+1,0)),Setup!$C$14)))</f>
        <v>45351</v>
      </c>
      <c r="C238" s="101" t="str" cm="1">
        <f t="array" aca="1" ref="C238" ca="1">IF(ROW($A238)-ROW($A$6)&gt;EmpCount*12,"-",OFFSET(Emp!$A$4,ROW($A238)-ROW($A$6)-IF(ROW($A238)-ROW($A$6)&gt;EmpCount,ROUNDDOWN((ROW($A238)-ROW($A$6)-1)/EmpCount,0)*EmpCount,0),0,1,1))</f>
        <v>-</v>
      </c>
      <c r="D238" s="10" t="str">
        <f ca="1">IF(ISNA(VLOOKUP($C238,EmpAll,COLUMN(Emp!$B$4),0)),"-",VLOOKUP($C238,EmpAll,COLUMN(Emp!$B$4),0))</f>
        <v>-</v>
      </c>
      <c r="E238" s="145" t="str">
        <f ca="1">IF(ISNA(VLOOKUP($C238,EmpAll,COLUMN(Emp!$C$4),0)),"-",VLOOKUP($C238,EmpAll,COLUMN(Emp!$C$4),0))</f>
        <v>-</v>
      </c>
      <c r="F238" s="101" t="str">
        <f ca="1">IF(ISNA(VLOOKUP($C238,EmpAll,COLUMN(Emp!$A$4),0)),"-",IF(AND(VLOOKUP($C238,EmpAll,COLUMN(Emp!$E$4),0)&lt;&gt;0,VLOOKUP($C238,EmpAll,COLUMN(Emp!$E$4),0)&gt;=DATE(YEAR($AC238),MONTH($AC238)+1,0)),"Inactive",IF(AND(VLOOKUP($C238,EmpAll,COLUMN(Emp!$F$4),0)&lt;&gt;0,VLOOKUP($C238,EmpAll,COLUMN(Emp!$F$4),0)&lt;=DATE(YEAR($AC238),MONTH($AC238),0)),"Terminated","Active")))</f>
        <v>-</v>
      </c>
      <c r="G238" s="133" cm="1">
        <f t="array" aca="1" ref="G238" ca="1">IF($F238&lt;&gt;"Active",0,IF(COUNTIFS(OverEmp,$C238,OverEarn,G$2,OverDate,"&lt;"&amp;DATE(YEAR($AC238),MONTH($AC238)+1,1),OverEnd,"&gt;="&amp;DATE(YEAR($AC238),MONTH($AC238),1))&gt;0,SUMIFS(OverValue,OverEmp,$C238,OverEarn,G$2,OverDate,"&lt;"&amp;DATE(YEAR($AC238),MONTH($AC238)+1,1),OverEnd,"&gt;="&amp;DATE(YEAR($AC238),MONTH($AC238),1)),IF(AND($AC238&gt;=Setup!$E$10,SUMIFS(EmpIncrease,EmpCode,$C238)&gt;0),SUMIFS(EmpIncrease,EmpCode,$C238),SUMIFS(EmpSalary,EmpCode,$C238))))</f>
        <v>0</v>
      </c>
      <c r="H238" s="133" cm="1">
        <f t="array" aca="1" ref="H238" ca="1">IF($F238&lt;&gt;"Active",0,IF(COUNTIFS(OverEmp,$C238,OverEarn,H$2,OverDate,"&lt;"&amp;DATE(YEAR($AC238),MONTH($AC238)+1,1),OverEnd,"&gt;="&amp;DATE(YEAR($AC238),MONTH($AC238),1))&gt;0,SUMIFS(OverValue,OverEmp,$C238,OverEarn,H$2,OverDate,"&lt;"&amp;DATE(YEAR($AC238),MONTH($AC238)+1,1),OverEnd,"&gt;="&amp;DATE(YEAR($AC238),MONTH($AC238),1)),0))</f>
        <v>0</v>
      </c>
      <c r="I238" s="133" cm="1">
        <f t="array" aca="1" ref="I238" ca="1">IF($F238&lt;&gt;"Active",0,IF(COUNTIFS(OverEmp,$C238,OverEarn,I$2,OverDate,"&lt;"&amp;DATE(YEAR($AC238),MONTH($AC238)+1,1),OverEnd,"&gt;="&amp;DATE(YEAR($AC238),MONTH($AC238),1))&gt;0,SUMIFS(OverValue,OverEmp,$C238,OverEarn,I$2,OverDate,"&lt;"&amp;DATE(YEAR($AC238),MONTH($AC238)+1,1),OverEnd,"&gt;="&amp;DATE(YEAR($AC238),MONTH($AC238),1)),IF(MONTH(B238)=Setup!$C$15,SUMIFS(EmpBonus,EmpCode,$C238),0)))</f>
        <v>0</v>
      </c>
      <c r="J238" s="133" cm="1">
        <f t="array" aca="1" ref="J238" ca="1">IF($F238&lt;&gt;"Active",0,IF(COUNTIFS(OverEmp,$C238,OverEarn,J$2,OverDate,"&lt;"&amp;DATE(YEAR($AC238),MONTH($AC238)+1,1),OverEnd,"&gt;="&amp;DATE(YEAR($AC238),MONTH($AC238),1))&gt;0,SUMIFS(OverValue,OverEmp,$C238,OverEarn,J$2,OverDate,"&lt;"&amp;DATE(YEAR($AC238),MONTH($AC238)+1,1),OverEnd,"&gt;="&amp;DATE(YEAR($AC238),MONTH($AC238),1)),0))</f>
        <v>0</v>
      </c>
      <c r="K238" s="133" cm="1">
        <f t="array" aca="1" ref="K238" ca="1">IF($F238&lt;&gt;"Active",0,IF(COUNTIFS(OverEmp,$C238,OverEarn,K$2,OverDate,"&lt;"&amp;DATE(YEAR($AC238),MONTH($AC238)+1,1),OverEnd,"&gt;="&amp;DATE(YEAR($AC238),MONTH($AC238),1))&gt;0,SUMIFS(OverValue,OverEmp,$C238,OverEarn,K$2,OverDate,"&lt;"&amp;DATE(YEAR($AC238),MONTH($AC238)+1,1),OverEnd,"&gt;="&amp;DATE(YEAR($AC238),MONTH($AC238),1)),0))</f>
        <v>0</v>
      </c>
      <c r="L238" s="185">
        <f t="shared" ca="1" si="146"/>
        <v>0</v>
      </c>
      <c r="M238" s="182" cm="1">
        <f t="array" aca="1" ref="M238" ca="1">IF(COUNTIFS(OverEmp,$C238,OverTax,M$5,OverDate,"&lt;"&amp;DATE(YEAR($AC238),MONTH($AC238)+1,1),OverEnd,"&gt;="&amp;DATE(YEAR($AC238),MONTH($AC238),1))&gt;0,SUMIFS(OverValue,OverEmp,$C238,OverTax,M$5,OverDate,"&lt;"&amp;DATE(YEAR($AC238),MONTH($AC238)+1,1),OverEnd,"&gt;="&amp;DATE(YEAR($AC238),MONTH($AC238),1)),(($BA238/12*$AA238)+(BB238*IF(1-$BC238=0,0,BD238/(1-$BC238))))-IF($F238="Terminated",0,SUMIFS(PayTaxDeduct,PayDate,"&lt;"&amp;$AC238,PayEmp,$C238)))</f>
        <v>0</v>
      </c>
      <c r="N238" s="133" cm="1">
        <f t="array" aca="1" ref="N238" ca="1">IF($F238="Terminated",0,IF($AA238=0,0,IF(ISNA(MATCH(N$5,DedListItem,0)),0,IF(COUNTIFS(OverEmp,$C238,OverDeduct,N$5,OverDate,"&lt;"&amp;DATE(YEAR($AC238),MONTH($AC238)+1,1),OverEnd,"&gt;="&amp;DATE(YEAR($AC238),MONTH($AC238),1))&gt;0,SUMIFS(OverValue,OverEmp,$C238,OverDeduct,N$5,OverDate,"&lt;"&amp;DATE(YEAR($AC238),MONTH($AC238)+1,1),OverEnd,"&gt;="&amp;DATE(YEAR($AC238),MONTH($AC238),1)),IF(OR(N$2="Fixed",N$2="Not Used"),(IF(COUNTIFS(EmpNo,$C238,OFFSET(Emp!$R$4,1,MATCH(N$5,DedListItem,0)-1,EmpCount,1),"&lt;&gt;")&gt;0,VLOOKUP($C238,EmpAll,COLUMN(Emp!$R$4)+MATCH(N$5,DedListItem,0)-1,0),OFFSET(Setup!$E$73,MATCH(N$5,DedListItem,0),0,1,1))*$AA238)-SUMIFS(OFFSET(N$6,1,0,PayCount,1),PayDate,"&lt;"&amp;$AC238,PayEmp,$C238),IF(ISNA(MATCH(N$2,EarnListItem,0))=FALSE,IF(OFFSET(Setup!$G$73,MATCH(N$5,DedListItem,0),0,1,1)="Taxable",SUMPRODUCT((PayEmp=$C238)*(PayDate&lt;=$AC238)*(PayEarnCode=N$2)*(PayEarnTax)*(PayEarnValues)),SUMPRODUCT((PayEmp=$C238)*(PayDate&lt;=$AC238)*(PayEarnCode=N$2)*(PayEarnValues)))*IF(COUNTIFS(EmpNo,$C238,OFFSET(Emp!$R$4,1,MATCH(N$5,DedListItem,0)-1,EmpCount,1),"&lt;&gt;")&gt;0,VLOOKUP($C238,EmpAll,COLUMN(Emp!$R$4)+MATCH(N$5,DedListItem,0)-1,0),OFFSET(Setup!$E$73,MATCH(N$5,DedListItem,0),0,1,1)),(MIN(IF(OFFSET(Setup!$G$73,MATCH(N$5,DedListItem,0),0,1,1)="Taxable",SUMPRODUCT((PayEmp=$C238)*(PayDate&lt;=$AC238)*(ISERROR(SEARCH(PayEarnCode,N$4)))*(PayEarnTax)*(PayEarnValues)),SUMPRODUCT((PayEmp=$C238)*(PayDate&lt;=$AC238)*(ISERROR(SEARCH(PayEarnCode,N$4)))*(PayEarnValues))),IF(ISNUMBER(N$3),N$3/12*$AA238,IgnoreMin)))*IF(COUNTIFS(EmpNo,$C238,OFFSET(Emp!$R$4,1,MATCH(N$5,DedListItem,0)-1,EmpCount,1),"&lt;&gt;")&gt;0,VLOOKUP($C238,EmpAll,COLUMN(Emp!$R$4)+MATCH(N$5,DedListItem,0)-1,0),OFFSET(Setup!$E$73,MATCH(N$5,DedListItem,0),0,1,1)))-SUMIFS(OFFSET(N$6,1,0,PayCount,1),PayDate,"&lt;"&amp;$AC238,PayEmp,$C238))))))</f>
        <v>0</v>
      </c>
      <c r="O238" s="133" cm="1">
        <f t="array" aca="1" ref="O238" ca="1">IF($F238="Terminated",0,IF($AA238=0,0,IF(ISNA(MATCH(O$5,DedListItem,0)),0,IF(COUNTIFS(OverEmp,$C238,OverDeduct,O$5,OverDate,"&lt;"&amp;DATE(YEAR($AC238),MONTH($AC238)+1,1),OverEnd,"&gt;="&amp;DATE(YEAR($AC238),MONTH($AC238),1))&gt;0,SUMIFS(OverValue,OverEmp,$C238,OverDeduct,O$5,OverDate,"&lt;"&amp;DATE(YEAR($AC238),MONTH($AC238)+1,1),OverEnd,"&gt;="&amp;DATE(YEAR($AC238),MONTH($AC238),1)),IF(OR(O$2="Fixed",O$2="Not Used"),(IF(COUNTIFS(EmpNo,$C238,OFFSET(Emp!$R$4,1,MATCH(O$5,DedListItem,0)-1,EmpCount,1),"&lt;&gt;")&gt;0,VLOOKUP($C238,EmpAll,COLUMN(Emp!$R$4)+MATCH(O$5,DedListItem,0)-1,0),OFFSET(Setup!$E$73,MATCH(O$5,DedListItem,0),0,1,1))*$AA238)-SUMIFS(OFFSET(O$6,1,0,PayCount,1),PayDate,"&lt;"&amp;$AC238,PayEmp,$C238),IF(ISNA(MATCH(O$2,EarnListItem,0))=FALSE,IF(OFFSET(Setup!$G$73,MATCH(O$5,DedListItem,0),0,1,1)="Taxable",SUMPRODUCT((PayEmp=$C238)*(PayDate&lt;=$AC238)*(PayEarnCode=O$2)*(PayEarnTax)*(PayEarnValues)),SUMPRODUCT((PayEmp=$C238)*(PayDate&lt;=$AC238)*(PayEarnCode=O$2)*(PayEarnValues)))*IF(COUNTIFS(EmpNo,$C238,OFFSET(Emp!$R$4,1,MATCH(O$5,DedListItem,0)-1,EmpCount,1),"&lt;&gt;")&gt;0,VLOOKUP($C238,EmpAll,COLUMN(Emp!$R$4)+MATCH(O$5,DedListItem,0)-1,0),OFFSET(Setup!$E$73,MATCH(O$5,DedListItem,0),0,1,1)),(MIN(IF(OFFSET(Setup!$G$73,MATCH(O$5,DedListItem,0),0,1,1)="Taxable",SUMPRODUCT((PayEmp=$C238)*(PayDate&lt;=$AC238)*(ISERROR(SEARCH(PayEarnCode,O$4)))*(PayEarnTax)*(PayEarnValues)),SUMPRODUCT((PayEmp=$C238)*(PayDate&lt;=$AC238)*(ISERROR(SEARCH(PayEarnCode,O$4)))*(PayEarnValues))),IF(ISNUMBER(O$3),O$3/12*$AA238,IgnoreMin)))*IF(COUNTIFS(EmpNo,$C238,OFFSET(Emp!$R$4,1,MATCH(O$5,DedListItem,0)-1,EmpCount,1),"&lt;&gt;")&gt;0,VLOOKUP($C238,EmpAll,COLUMN(Emp!$R$4)+MATCH(O$5,DedListItem,0)-1,0),OFFSET(Setup!$E$73,MATCH(O$5,DedListItem,0),0,1,1)))-SUMIFS(OFFSET(O$6,1,0,PayCount,1),PayDate,"&lt;"&amp;$AC238,PayEmp,$C238))))))</f>
        <v>0</v>
      </c>
      <c r="P238" s="133" cm="1">
        <f t="array" aca="1" ref="P238" ca="1">IF($F238="Terminated",0,IF($AA238=0,0,IF(ISNA(MATCH(P$5,DedListItem,0)),0,IF(COUNTIFS(OverEmp,$C238,OverDeduct,P$5,OverDate,"&lt;"&amp;DATE(YEAR($AC238),MONTH($AC238)+1,1),OverEnd,"&gt;="&amp;DATE(YEAR($AC238),MONTH($AC238),1))&gt;0,SUMIFS(OverValue,OverEmp,$C238,OverDeduct,P$5,OverDate,"&lt;"&amp;DATE(YEAR($AC238),MONTH($AC238)+1,1),OverEnd,"&gt;="&amp;DATE(YEAR($AC238),MONTH($AC238),1)),IF(OR(P$2="Fixed",P$2="Not Used"),(IF(COUNTIFS(EmpNo,$C238,OFFSET(Emp!$R$4,1,MATCH(P$5,DedListItem,0)-1,EmpCount,1),"&lt;&gt;")&gt;0,VLOOKUP($C238,EmpAll,COLUMN(Emp!$R$4)+MATCH(P$5,DedListItem,0)-1,0),OFFSET(Setup!$E$73,MATCH(P$5,DedListItem,0),0,1,1))*$AA238)-SUMIFS(OFFSET(P$6,1,0,PayCount,1),PayDate,"&lt;"&amp;$AC238,PayEmp,$C238),IF(ISNA(MATCH(P$2,EarnListItem,0))=FALSE,IF(OFFSET(Setup!$G$73,MATCH(P$5,DedListItem,0),0,1,1)="Taxable",SUMPRODUCT((PayEmp=$C238)*(PayDate&lt;=$AC238)*(PayEarnCode=P$2)*(PayEarnTax)*(PayEarnValues)),SUMPRODUCT((PayEmp=$C238)*(PayDate&lt;=$AC238)*(PayEarnCode=P$2)*(PayEarnValues)))*IF(COUNTIFS(EmpNo,$C238,OFFSET(Emp!$R$4,1,MATCH(P$5,DedListItem,0)-1,EmpCount,1),"&lt;&gt;")&gt;0,VLOOKUP($C238,EmpAll,COLUMN(Emp!$R$4)+MATCH(P$5,DedListItem,0)-1,0),OFFSET(Setup!$E$73,MATCH(P$5,DedListItem,0),0,1,1)),(MIN(IF(OFFSET(Setup!$G$73,MATCH(P$5,DedListItem,0),0,1,1)="Taxable",SUMPRODUCT((PayEmp=$C238)*(PayDate&lt;=$AC238)*(ISERROR(SEARCH(PayEarnCode,P$4)))*(PayEarnTax)*(PayEarnValues)),SUMPRODUCT((PayEmp=$C238)*(PayDate&lt;=$AC238)*(ISERROR(SEARCH(PayEarnCode,P$4)))*(PayEarnValues))),IF(ISNUMBER(P$3),P$3/12*$AA238,IgnoreMin)))*IF(COUNTIFS(EmpNo,$C238,OFFSET(Emp!$R$4,1,MATCH(P$5,DedListItem,0)-1,EmpCount,1),"&lt;&gt;")&gt;0,VLOOKUP($C238,EmpAll,COLUMN(Emp!$R$4)+MATCH(P$5,DedListItem,0)-1,0),OFFSET(Setup!$E$73,MATCH(P$5,DedListItem,0),0,1,1)))-SUMIFS(OFFSET(P$6,1,0,PayCount,1),PayDate,"&lt;"&amp;$AC238,PayEmp,$C238))))))</f>
        <v>0</v>
      </c>
      <c r="Q238" s="133" cm="1">
        <f t="array" aca="1" ref="Q238" ca="1">IF($F238="Terminated",0,IF($AA238=0,0,IF(ISNA(MATCH(Q$5,DedListItem,0)),0,IF(COUNTIFS(OverEmp,$C238,OverDeduct,Q$5,OverDate,"&lt;"&amp;DATE(YEAR($AC238),MONTH($AC238)+1,1),OverEnd,"&gt;="&amp;DATE(YEAR($AC238),MONTH($AC238),1))&gt;0,SUMIFS(OverValue,OverEmp,$C238,OverDeduct,Q$5,OverDate,"&lt;"&amp;DATE(YEAR($AC238),MONTH($AC238)+1,1),OverEnd,"&gt;="&amp;DATE(YEAR($AC238),MONTH($AC238),1)),IF(OR(Q$2="Fixed",Q$2="Not Used"),(IF(COUNTIFS(EmpNo,$C238,OFFSET(Emp!$R$4,1,MATCH(Q$5,DedListItem,0)-1,EmpCount,1),"&lt;&gt;")&gt;0,VLOOKUP($C238,EmpAll,COLUMN(Emp!$R$4)+MATCH(Q$5,DedListItem,0)-1,0),OFFSET(Setup!$E$73,MATCH(Q$5,DedListItem,0),0,1,1))*$AA238)-SUMIFS(OFFSET(Q$6,1,0,PayCount,1),PayDate,"&lt;"&amp;$AC238,PayEmp,$C238),IF(ISNA(MATCH(Q$2,EarnListItem,0))=FALSE,IF(OFFSET(Setup!$G$73,MATCH(Q$5,DedListItem,0),0,1,1)="Taxable",SUMPRODUCT((PayEmp=$C238)*(PayDate&lt;=$AC238)*(PayEarnCode=Q$2)*(PayEarnTax)*(PayEarnValues)),SUMPRODUCT((PayEmp=$C238)*(PayDate&lt;=$AC238)*(PayEarnCode=Q$2)*(PayEarnValues)))*IF(COUNTIFS(EmpNo,$C238,OFFSET(Emp!$R$4,1,MATCH(Q$5,DedListItem,0)-1,EmpCount,1),"&lt;&gt;")&gt;0,VLOOKUP($C238,EmpAll,COLUMN(Emp!$R$4)+MATCH(Q$5,DedListItem,0)-1,0),OFFSET(Setup!$E$73,MATCH(Q$5,DedListItem,0),0,1,1)),(MIN(IF(OFFSET(Setup!$G$73,MATCH(Q$5,DedListItem,0),0,1,1)="Taxable",SUMPRODUCT((PayEmp=$C238)*(PayDate&lt;=$AC238)*(ISERROR(SEARCH(PayEarnCode,Q$4)))*(PayEarnTax)*(PayEarnValues)),SUMPRODUCT((PayEmp=$C238)*(PayDate&lt;=$AC238)*(ISERROR(SEARCH(PayEarnCode,Q$4)))*(PayEarnValues))),IF(ISNUMBER(Q$3),Q$3/12*$AA238,IgnoreMin)))*IF(COUNTIFS(EmpNo,$C238,OFFSET(Emp!$R$4,1,MATCH(Q$5,DedListItem,0)-1,EmpCount,1),"&lt;&gt;")&gt;0,VLOOKUP($C238,EmpAll,COLUMN(Emp!$R$4)+MATCH(Q$5,DedListItem,0)-1,0),OFFSET(Setup!$E$73,MATCH(Q$5,DedListItem,0),0,1,1)))-SUMIFS(OFFSET(Q$6,1,0,PayCount,1),PayDate,"&lt;"&amp;$AC238,PayEmp,$C238))))))</f>
        <v>0</v>
      </c>
      <c r="R238" s="185">
        <f t="shared" ca="1" si="147"/>
        <v>0</v>
      </c>
      <c r="S238" s="139">
        <f t="shared" ca="1" si="148"/>
        <v>0</v>
      </c>
      <c r="T238" s="133" cm="1">
        <f t="array" aca="1" ref="T238" ca="1">IF($F238="Terminated",0,IF($AA238=0,0,IF(ISNA(MATCH(T$5,CompListItem,0)),0,IF(COUNTIFS(OverEmp,$C238,OverComp,T$5,OverDate,"&lt;"&amp;DATE(YEAR($AC238),MONTH($AC238)+1,1),OverEnd,"&gt;="&amp;DATE(YEAR($AC238),MONTH($AC238),1))&gt;0,SUMIFS(OverValue,OverEmp,$C238,OverComp,T$5,OverDate,"&lt;"&amp;DATE(YEAR($AC238),MONTH($AC238)+1,1),OverEnd,"&gt;="&amp;DATE(YEAR($AC238),MONTH($AC238),1)),IF(OR(T$2="Fixed",T$2="Not Used"),(OFFSET(Setup!$E$81,MATCH(T$5,CompListItem,0),0,1,1)*$AA238)-SUMIFS(OFFSET(T$6,1,0,PayCount,1),PayDate,"&lt;"&amp;$AC238,PayEmp,$C238),IF(ISNA(MATCH(T$2,DedListItem,0))=FALSE,(SUMPRODUCT((PayEmp=$C238)*(PayDate&lt;=$AC238)*(PayDedList=T$2)*(PayDedValues))*OFFSET(Setup!$E$81,MATCH(T$5,CompListItem,0),0,1,1))-SUMIFS(OFFSET(T$6,1,0,PayCount,1),PayDate,"&lt;"&amp;$AC238,PayEmp,$C238),(MIN(IF(OFFSET(Setup!$G$81,MATCH(T$5,CompListItem,0),0,1,1)="Taxable",SUMPRODUCT((PayEmp=$C238)*(PayDate&lt;=$AC238)*(ISERROR(SEARCH(PayEarnCode,T$4)))*(PayEarnTax)*(PayEarnValues)),SUMPRODUCT((PayEmp=$C238)*(PayDate&lt;=$AC238)*(ISERROR(SEARCH(PayEarnCode,T$4)))*(PayEarnValues))),IF(ISNUMBER(T$3),T$3/12*$AA238,IgnoreMin)))*OFFSET(Setup!$E$81,MATCH(T$5,CompListItem,0),0,1,1)-SUMIFS(OFFSET(T$6,1,0,PayCount,1),PayDate,"&lt;"&amp;$AC238,PayEmp,$C238)))))))</f>
        <v>0</v>
      </c>
      <c r="U238" s="133" cm="1">
        <f t="array" aca="1" ref="U238" ca="1">IF($F238="Terminated",0,IF($AA238=0,0,IF(ISNA(MATCH(U$5,CompListItem,0)),0,IF(COUNTIFS(OverEmp,$C238,OverComp,U$5,OverDate,"&lt;"&amp;DATE(YEAR($AC238),MONTH($AC238)+1,1),OverEnd,"&gt;="&amp;DATE(YEAR($AC238),MONTH($AC238),1))&gt;0,SUMIFS(OverValue,OverEmp,$C238,OverComp,U$5,OverDate,"&lt;"&amp;DATE(YEAR($AC238),MONTH($AC238)+1,1),OverEnd,"&gt;="&amp;DATE(YEAR($AC238),MONTH($AC238),1)),IF(OR(U$2="Fixed",U$2="Not Used"),(OFFSET(Setup!$E$81,MATCH(U$5,CompListItem,0),0,1,1)*$AA238)-SUMIFS(OFFSET(U$6,1,0,PayCount,1),PayDate,"&lt;"&amp;$AC238,PayEmp,$C238),IF(ISNA(MATCH(U$2,DedListItem,0))=FALSE,(SUMPRODUCT((PayEmp=$C238)*(PayDate&lt;=$AC238)*(PayDedList=U$2)*(PayDedValues))*OFFSET(Setup!$E$81,MATCH(U$5,CompListItem,0),0,1,1))-SUMIFS(OFFSET(U$6,1,0,PayCount,1),PayDate,"&lt;"&amp;$AC238,PayEmp,$C238),(MIN(IF(OFFSET(Setup!$G$81,MATCH(U$5,CompListItem,0),0,1,1)="Taxable",SUMPRODUCT((PayEmp=$C238)*(PayDate&lt;=$AC238)*(ISERROR(SEARCH(PayEarnCode,U$4)))*(PayEarnTax)*(PayEarnValues)),SUMPRODUCT((PayEmp=$C238)*(PayDate&lt;=$AC238)*(ISERROR(SEARCH(PayEarnCode,U$4)))*(PayEarnValues))),IF(ISNUMBER(U$3),U$3/12*$AA238,IgnoreMin)))*OFFSET(Setup!$E$81,MATCH(U$5,CompListItem,0),0,1,1)-SUMIFS(OFFSET(U$6,1,0,PayCount,1),PayDate,"&lt;"&amp;$AC238,PayEmp,$C238)))))))</f>
        <v>0</v>
      </c>
      <c r="V238" s="133" cm="1">
        <f t="array" aca="1" ref="V238" ca="1">IF($F238="Terminated",0,IF($AA238=0,0,IF(ISNA(MATCH(V$5,CompListItem,0)),0,IF(COUNTIFS(OverEmp,$C238,OverComp,V$5,OverDate,"&lt;"&amp;DATE(YEAR($AC238),MONTH($AC238)+1,1),OverEnd,"&gt;="&amp;DATE(YEAR($AC238),MONTH($AC238),1))&gt;0,SUMIFS(OverValue,OverEmp,$C238,OverComp,V$5,OverDate,"&lt;"&amp;DATE(YEAR($AC238),MONTH($AC238)+1,1),OverEnd,"&gt;="&amp;DATE(YEAR($AC238),MONTH($AC238),1)),IF(OR(V$2="Fixed",V$2="Not Used"),(OFFSET(Setup!$E$81,MATCH(V$5,CompListItem,0),0,1,1)*$AA238)-SUMIFS(OFFSET(V$6,1,0,PayCount,1),PayDate,"&lt;"&amp;$AC238,PayEmp,$C238),IF(ISNA(MATCH(V$2,DedListItem,0))=FALSE,(SUMPRODUCT((PayEmp=$C238)*(PayDate&lt;=$AC238)*(PayDedList=V$2)*(PayDedValues))*OFFSET(Setup!$E$81,MATCH(V$5,CompListItem,0),0,1,1))-SUMIFS(OFFSET(V$6,1,0,PayCount,1),PayDate,"&lt;"&amp;$AC238,PayEmp,$C238),(MIN(IF(OFFSET(Setup!$G$81,MATCH(V$5,CompListItem,0),0,1,1)="Taxable",SUMPRODUCT((PayEmp=$C238)*(PayDate&lt;=$AC238)*(ISERROR(SEARCH(PayEarnCode,V$4)))*(PayEarnTax)*(PayEarnValues)),SUMPRODUCT((PayEmp=$C238)*(PayDate&lt;=$AC238)*(ISERROR(SEARCH(PayEarnCode,V$4)))*(PayEarnValues))),IF(ISNUMBER(V$3),V$3/12*$AA238,IgnoreMin)))*OFFSET(Setup!$E$81,MATCH(V$5,CompListItem,0),0,1,1)-SUMIFS(OFFSET(V$6,1,0,PayCount,1),PayDate,"&lt;"&amp;$AC238,PayEmp,$C238)))))))</f>
        <v>0</v>
      </c>
      <c r="W238" s="133" cm="1">
        <f t="array" aca="1" ref="W238" ca="1">IF($F238="Terminated",0,IF($AA238=0,0,IF(ISNA(MATCH(W$5,CompListItem,0)),0,IF(COUNTIFS(OverEmp,$C238,OverComp,W$5,OverDate,"&lt;"&amp;DATE(YEAR($AC238),MONTH($AC238)+1,1),OverEnd,"&gt;="&amp;DATE(YEAR($AC238),MONTH($AC238),1))&gt;0,SUMIFS(OverValue,OverEmp,$C238,OverComp,W$5,OverDate,"&lt;"&amp;DATE(YEAR($AC238),MONTH($AC238)+1,1),OverEnd,"&gt;="&amp;DATE(YEAR($AC238),MONTH($AC238),1)),IF(OR(W$2="Fixed",W$2="Not Used"),(OFFSET(Setup!$E$81,MATCH(W$5,CompListItem,0),0,1,1)*$AA238)-SUMIFS(OFFSET(W$6,1,0,PayCount,1),PayDate,"&lt;"&amp;$AC238,PayEmp,$C238),IF(ISNA(MATCH(W$2,DedListItem,0))=FALSE,(SUMPRODUCT((PayEmp=$C238)*(PayDate&lt;=$AC238)*(PayDedList=W$2)*(PayDedValues))*OFFSET(Setup!$E$81,MATCH(W$5,CompListItem,0),0,1,1))-SUMIFS(OFFSET(W$6,1,0,PayCount,1),PayDate,"&lt;"&amp;$AC238,PayEmp,$C238),(MIN(IF(OFFSET(Setup!$G$81,MATCH(W$5,CompListItem,0),0,1,1)="Taxable",SUMPRODUCT((PayEmp=$C238)*(PayDate&lt;=$AC238)*(ISERROR(SEARCH(PayEarnCode,W$4)))*(PayEarnTax)*(PayEarnValues)),SUMPRODUCT((PayEmp=$C238)*(PayDate&lt;=$AC238)*(ISERROR(SEARCH(PayEarnCode,W$4)))*(PayEarnValues))),IF(ISNUMBER(W$3),W$3/12*$AA238,IgnoreMin)))*OFFSET(Setup!$E$81,MATCH(W$5,CompListItem,0),0,1,1)-SUMIFS(OFFSET(W$6,1,0,PayCount,1),PayDate,"&lt;"&amp;$AC238,PayEmp,$C238)))))))</f>
        <v>0</v>
      </c>
      <c r="X238" s="185">
        <f t="shared" ca="1" si="90"/>
        <v>0</v>
      </c>
      <c r="Y238" s="139">
        <f t="shared" ca="1" si="149"/>
        <v>0</v>
      </c>
      <c r="Z238" s="139">
        <f t="shared" ca="1" si="91"/>
        <v>0</v>
      </c>
      <c r="AA238" s="146">
        <f ca="1">IF(OR($B238&lt;=Setup!$E$12,$B238&gt;=Setup!$D$12+1),0,IF($F238&lt;&gt;"Active",0,IF($AE238="Yes",$AB238,((YEAR($AC238)*12)+MONTH($AC238))-((YEAR($AD238)*12)+MONTH($AD238)-1))))</f>
        <v>0</v>
      </c>
      <c r="AB238" s="146">
        <f ca="1">IF(OR($B238&lt;=Setup!$E$12,$B238&gt;=Setup!$D$12+1),0,((YEAR($AC238)*12)+MONTH($AC238))-((YEAR(Setup!$E$12)*12)+MONTH(Setup!$E$12)))</f>
        <v>12</v>
      </c>
      <c r="AC238" s="186">
        <f t="shared" ca="1" si="92"/>
        <v>45351</v>
      </c>
      <c r="AD238" s="144">
        <f ca="1">IF(ISNA(VLOOKUP($C238,EmpAll,COLUMN(Emp!$E$4),0)),$AC238,IF(VLOOKUP($C238,EmpAll,COLUMN(Emp!$E$4),0)&lt;=Setup!$E$12,DATE(YEAR(Setup!$E$12),MONTH(Setup!$E$12)+1,1),VLOOKUP($C238,EmpAll,COLUMN(Emp!$E$4),0)))</f>
        <v>45351</v>
      </c>
      <c r="AE238" s="144" t="str">
        <f ca="1">IF(ISNA(VLOOKUP($C238,EmpAll,COLUMN(Emp!$G$1),0)),"-",IF(VLOOKUP($C238,EmpAll,COLUMN(Emp!$G$1),0)=0,"-",VLOOKUP($C238,EmpAll,COLUMN(Emp!$G$1),0)))</f>
        <v>-</v>
      </c>
      <c r="AF238" s="145">
        <f>IF(A238=PaySlip!$G$3,1,0)</f>
        <v>0</v>
      </c>
      <c r="AG238" s="130" cm="1">
        <f t="array" aca="1" ref="AG238" ca="1">IF(COUNTIFS(OverEmp,$C238,OverMed,"MED",OverDate,"&lt;"&amp;DATE(YEAR($AC238),MONTH($AC238)+1,1),OverEnd,"&gt;="&amp;DATE(YEAR($AC238),MONTH($AC238),1))&gt;0,SUMIFS(OverValue,OverEmp,$C238,OverMed,"MED",OverDate,"&lt;"&amp;DATE(YEAR($AC238),MONTH($AC238)+1,1),OverEnd,"&gt;="&amp;DATE(YEAR($AC238),MONTH($AC238),1)),IF(ISNA(VLOOKUP($C238,EmpAll,COLUMN(Emp!$N$4),0)),0,VLOOKUP($C238,EmpAll,COLUMN(Emp!$N$4),0)))</f>
        <v>0</v>
      </c>
      <c r="AH238" s="146">
        <f ca="1">VLOOKUP($AG238,MedList,COLUMN(Setup!$C$49),1)</f>
        <v>0</v>
      </c>
      <c r="AI238" s="146">
        <f t="shared" ca="1" si="107"/>
        <v>0</v>
      </c>
      <c r="AJ238" s="101" t="str">
        <f ca="1">IF(ISNA(VLOOKUP($C238,EmpAll,COLUMN(Emp!$L$4),0)),"None!",VLOOKUP($C238,EmpAll,COLUMN(Emp!$L$4),0))</f>
        <v>None!</v>
      </c>
      <c r="AK238" s="147">
        <f t="shared" ca="1" si="80"/>
        <v>17235</v>
      </c>
      <c r="AL238" s="101" t="str">
        <f ca="1">IF(ISNA(VLOOKUP($C238,Employees[],COLUMN(Emp!$M$4),0))=TRUE,"Error!",IF(VLOOKUP($C238,Employees[],COLUMN(Emp!$M$4),0)=0,"Yes",VLOOKUP($C238,Employees[],COLUMN(Emp!$M$4),0)))</f>
        <v>Error!</v>
      </c>
      <c r="AM238" s="148">
        <f t="shared" ca="1" si="108"/>
        <v>0</v>
      </c>
      <c r="AN238" s="148" cm="1">
        <f t="array" aca="1" ref="AN238" ca="1">-IF($F238="Terminated",0,IF($AA238=0,0,IF(ISNA(MATCH(AN$5,PayDedList,0)),0,MIN(IF(COUNTIFS(OverEmp,$C238,OverDeduct,AN$5,OverDate,"&lt;"&amp;DATE(YEAR($AC238),MONTH($AC238)+1,1),OverEnd,"&gt;="&amp;DATE(YEAR($AC238),MONTH($AC238),1))&gt;0,SUMPRODUCT((PayEmp=$C238)*(PayDate&lt;=$AC238)*(OFFSET($N$6,1,MATCH(AN$5,PayDedList,0)-1,PayCount,1)))/$AA238*12*AN$3,IF(OR(AN$1="Fixed",AN$1="Not Used"),SUMPRODUCT((PayEmp=$C238)*(PayDate&lt;=$AC238)*(OFFSET($N$6,1,MATCH(AN$5,PayDedList,0)-1,PayCount,1)))/$AA238*12*AN$3,IF(ISNA(MATCH(AN$1,EarnListItem,0))=FALSE,SUMPRODUCT((PayEmp=$C238)*(PayDate&lt;=$AC238)*(OFFSET($N$6,1,MATCH(AN$5,PayDedList,0)-1,PayCount,1)))/$AA238*12*AN$3,(MIN(((SUMPRODUCT((PayEmp=$C238)*(PayDate&lt;=$AC238)*(ISERROR(SEARCH(PayEarnCode,AN$2)))*(PayEarnType="Monthly")*(PayEarnValues))/$AA238*12)+(SUMPRODUCT((PayEmp=$C238)*(PayDate&lt;=$AC238)*(ISERROR(SEARCH(PayEarnCode,AN$2)))*(PayEarnType="Quarterly")*(PayEarnValues))/MAX(1,ROUNDDOWN($AB238/3,0))*4)+(SUMPRODUCT((PayEmp=$C238)*(PayDate&lt;=$AC238)*(ISERROR(SEARCH(PayEarnCode,AN$2)))*(PayEarnType="Bi-Annual")*(PayEarnValues))/MAX(1,ROUNDDOWN($AB238/6,0))*2)+(SUMPRODUCT((PayEmp=$C238)*(PayDate&lt;=$AC238)*(ISERROR(SEARCH(PayEarnCode,AN$2)))*(PayEarnType="Annual")*(PayEarnValues)))),IF(ISNUMBER(OFFSET($N$3,0,MATCH(AN$5,PayDedList,0)-1,1,1)),OFFSET($N$3,0,MATCH(AN$5,PayDedList,0)-1,1,1),IgnoreMin)))*IF(COUNTIFS(EmpNo,$C238,OFFSET(Emp!$R$4,1,MATCH(AN$5,DedListItem,0)-1,EmpCount,1),"&lt;&gt;")&gt;0,VLOOKUP($C238,EmpAll,COLUMN(Emp!$R$4)+MATCH(AN$5,DedListItem,0)-1,0),OFFSET(Setup!$E$73,MATCH(AN$5,DedListItem,0),0,1,1))*AN$3))),IF(ISNUMBER(AN$4),AN$4,IgnoreMin)))))</f>
        <v>0</v>
      </c>
      <c r="AO238" s="148" cm="1">
        <f t="array" aca="1" ref="AO238" ca="1">-IF($F238="Terminated",0,IF($AA238=0,0,IF(ISNA(MATCH(AO$5,PayDedList,0)),0,MIN(IF(COUNTIFS(OverEmp,$C238,OverDeduct,AO$5,OverDate,"&lt;"&amp;DATE(YEAR($AC238),MONTH($AC238)+1,1),OverEnd,"&gt;="&amp;DATE(YEAR($AC238),MONTH($AC238),1))&gt;0,SUMPRODUCT((PayEmp=$C238)*(PayDate&lt;=$AC238)*(OFFSET($N$6,1,MATCH(AO$5,PayDedList,0)-1,PayCount,1)))/$AA238*12*AO$3,IF(OR(AO$1="Fixed",AO$1="Not Used"),SUMPRODUCT((PayEmp=$C238)*(PayDate&lt;=$AC238)*(OFFSET($N$6,1,MATCH(AO$5,PayDedList,0)-1,PayCount,1)))/$AA238*12*AO$3,IF(ISNA(MATCH(AO$1,EarnListItem,0))=FALSE,SUMPRODUCT((PayEmp=$C238)*(PayDate&lt;=$AC238)*(OFFSET($N$6,1,MATCH(AO$5,PayDedList,0)-1,PayCount,1)))/$AA238*12*AO$3,(MIN(((SUMPRODUCT((PayEmp=$C238)*(PayDate&lt;=$AC238)*(ISERROR(SEARCH(PayEarnCode,AO$2)))*(PayEarnType="Monthly")*(PayEarnValues))/$AA238*12)+(SUMPRODUCT((PayEmp=$C238)*(PayDate&lt;=$AC238)*(ISERROR(SEARCH(PayEarnCode,AO$2)))*(PayEarnType="Quarterly")*(PayEarnValues))/MAX(1,ROUNDDOWN($AB238/3,0))*4)+(SUMPRODUCT((PayEmp=$C238)*(PayDate&lt;=$AC238)*(ISERROR(SEARCH(PayEarnCode,AO$2)))*(PayEarnType="Bi-Annual")*(PayEarnValues))/MAX(1,ROUNDDOWN($AB238/6,0))*2)+(SUMPRODUCT((PayEmp=$C238)*(PayDate&lt;=$AC238)*(ISERROR(SEARCH(PayEarnCode,AO$2)))*(PayEarnType="Annual")*(PayEarnValues)))),IF(ISNUMBER(OFFSET($N$3,0,MATCH(AO$5,PayDedList,0)-1,1,1)),OFFSET($N$3,0,MATCH(AO$5,PayDedList,0)-1,1,1),IgnoreMin)))*IF(COUNTIFS(EmpNo,$C238,OFFSET(Emp!$R$4,1,MATCH(AO$5,DedListItem,0)-1,EmpCount,1),"&lt;&gt;")&gt;0,VLOOKUP($C238,EmpAll,COLUMN(Emp!$R$4)+MATCH(AO$5,DedListItem,0)-1,0),OFFSET(Setup!$E$73,MATCH(AO$5,DedListItem,0),0,1,1))*AO$3))),IF(ISNUMBER(AO$4),AO$4,IgnoreMin)))))</f>
        <v>0</v>
      </c>
      <c r="AP238" s="148" cm="1">
        <f t="array" aca="1" ref="AP238" ca="1">-IF($F238="Terminated",0,IF($AA238=0,0,IF(ISNA(MATCH(AP$5,PayDedList,0)),0,MIN(IF(COUNTIFS(OverEmp,$C238,OverDeduct,AP$5,OverDate,"&lt;"&amp;DATE(YEAR($AC238),MONTH($AC238)+1,1),OverEnd,"&gt;="&amp;DATE(YEAR($AC238),MONTH($AC238),1))&gt;0,SUMPRODUCT((PayEmp=$C238)*(PayDate&lt;=$AC238)*(OFFSET($N$6,1,MATCH(AP$5,PayDedList,0)-1,PayCount,1)))/$AA238*12*AP$3,IF(OR(AP$1="Fixed",AP$1="Not Used"),SUMPRODUCT((PayEmp=$C238)*(PayDate&lt;=$AC238)*(OFFSET($N$6,1,MATCH(AP$5,PayDedList,0)-1,PayCount,1)))/$AA238*12*AP$3,IF(ISNA(MATCH(AP$1,EarnListItem,0))=FALSE,SUMPRODUCT((PayEmp=$C238)*(PayDate&lt;=$AC238)*(OFFSET($N$6,1,MATCH(AP$5,PayDedList,0)-1,PayCount,1)))/$AA238*12*AP$3,(MIN(((SUMPRODUCT((PayEmp=$C238)*(PayDate&lt;=$AC238)*(ISERROR(SEARCH(PayEarnCode,AP$2)))*(PayEarnType="Monthly")*(PayEarnValues))/$AA238*12)+(SUMPRODUCT((PayEmp=$C238)*(PayDate&lt;=$AC238)*(ISERROR(SEARCH(PayEarnCode,AP$2)))*(PayEarnType="Quarterly")*(PayEarnValues))/MAX(1,ROUNDDOWN($AB238/3,0))*4)+(SUMPRODUCT((PayEmp=$C238)*(PayDate&lt;=$AC238)*(ISERROR(SEARCH(PayEarnCode,AP$2)))*(PayEarnType="Bi-Annual")*(PayEarnValues))/MAX(1,ROUNDDOWN($AB238/6,0))*2)+(SUMPRODUCT((PayEmp=$C238)*(PayDate&lt;=$AC238)*(ISERROR(SEARCH(PayEarnCode,AP$2)))*(PayEarnType="Annual")*(PayEarnValues)))),IF(ISNUMBER(OFFSET($N$3,0,MATCH(AP$5,PayDedList,0)-1,1,1)),OFFSET($N$3,0,MATCH(AP$5,PayDedList,0)-1,1,1),IgnoreMin)))*IF(COUNTIFS(EmpNo,$C238,OFFSET(Emp!$R$4,1,MATCH(AP$5,DedListItem,0)-1,EmpCount,1),"&lt;&gt;")&gt;0,VLOOKUP($C238,EmpAll,COLUMN(Emp!$R$4)+MATCH(AP$5,DedListItem,0)-1,0),OFFSET(Setup!$E$73,MATCH(AP$5,DedListItem,0),0,1,1))*AP$3))),IF(ISNUMBER(AP$4),AP$4,IgnoreMin)))))</f>
        <v>0</v>
      </c>
      <c r="AQ238" s="148" cm="1">
        <f t="array" aca="1" ref="AQ238" ca="1">-IF($F238="Terminated",0,IF($AA238=0,0,IF(ISNA(MATCH(AQ$5,PayDedList,0)),0,MIN(IF(COUNTIFS(OverEmp,$C238,OverDeduct,AQ$5,OverDate,"&lt;"&amp;DATE(YEAR($AC238),MONTH($AC238)+1,1),OverEnd,"&gt;="&amp;DATE(YEAR($AC238),MONTH($AC238),1))&gt;0,SUMPRODUCT((PayEmp=$C238)*(PayDate&lt;=$AC238)*(OFFSET($N$6,1,MATCH(AQ$5,PayDedList,0)-1,PayCount,1)))/$AA238*12*AQ$3,IF(OR(AQ$1="Fixed",AQ$1="Not Used"),SUMPRODUCT((PayEmp=$C238)*(PayDate&lt;=$AC238)*(OFFSET($N$6,1,MATCH(AQ$5,PayDedList,0)-1,PayCount,1)))/$AA238*12*AQ$3,IF(ISNA(MATCH(AQ$1,EarnListItem,0))=FALSE,SUMPRODUCT((PayEmp=$C238)*(PayDate&lt;=$AC238)*(OFFSET($N$6,1,MATCH(AQ$5,PayDedList,0)-1,PayCount,1)))/$AA238*12*AQ$3,(MIN(((SUMPRODUCT((PayEmp=$C238)*(PayDate&lt;=$AC238)*(ISERROR(SEARCH(PayEarnCode,AQ$2)))*(PayEarnType="Monthly")*(PayEarnValues))/$AA238*12)+(SUMPRODUCT((PayEmp=$C238)*(PayDate&lt;=$AC238)*(ISERROR(SEARCH(PayEarnCode,AQ$2)))*(PayEarnType="Quarterly")*(PayEarnValues))/MAX(1,ROUNDDOWN($AB238/3,0))*4)+(SUMPRODUCT((PayEmp=$C238)*(PayDate&lt;=$AC238)*(ISERROR(SEARCH(PayEarnCode,AQ$2)))*(PayEarnType="Bi-Annual")*(PayEarnValues))/MAX(1,ROUNDDOWN($AB238/6,0))*2)+(SUMPRODUCT((PayEmp=$C238)*(PayDate&lt;=$AC238)*(ISERROR(SEARCH(PayEarnCode,AQ$2)))*(PayEarnType="Annual")*(PayEarnValues)))),IF(ISNUMBER(OFFSET($N$3,0,MATCH(AQ$5,PayDedList,0)-1,1,1)),OFFSET($N$3,0,MATCH(AQ$5,PayDedList,0)-1,1,1),IgnoreMin)))*IF(COUNTIFS(EmpNo,$C238,OFFSET(Emp!$R$4,1,MATCH(AQ$5,DedListItem,0)-1,EmpCount,1),"&lt;&gt;")&gt;0,VLOOKUP($C238,EmpAll,COLUMN(Emp!$R$4)+MATCH(AQ$5,DedListItem,0)-1,0),OFFSET(Setup!$E$73,MATCH(AQ$5,DedListItem,0),0,1,1))*AQ$3))),IF(ISNUMBER(AQ$4),AQ$4,IgnoreMin)))))</f>
        <v>0</v>
      </c>
      <c r="AR238" s="148">
        <f t="shared" ca="1" si="93"/>
        <v>0</v>
      </c>
      <c r="AS238" s="148">
        <f t="shared" ca="1" si="109"/>
        <v>0</v>
      </c>
      <c r="AT238" s="148" cm="1">
        <f t="array" aca="1" ref="AT238" ca="1">-IF($F238="Terminated",0,IF($AA238=0,0,IF(ISNA(MATCH(AT$5,PayDedList,0)),0,MIN(IF(COUNTIFS(OverEmp,$C238,OverDeduct,AT$5,OverDate,"&lt;"&amp;DATE(YEAR($AC238),MONTH($AC238)+1,1),OverEnd,"&gt;="&amp;DATE(YEAR($AC238),MONTH($AC238),1))&gt;0,SUMPRODUCT((PayEmp=$C238)*(PayDate&lt;=$AC238)*(OFFSET($N$6,1,MATCH(AT$5,PayDedList,0)-1,PayCount,1)))/$AA238*12*AT$3,IF(OR(AT$1="Fixed",AT$1="Not Used"),SUMPRODUCT((PayEmp=$C238)*(PayDate&lt;=$AC238)*(OFFSET($N$6,1,MATCH(AT$5,PayDedList,0)-1,PayCount,1)))/$AA238*12*AT$3,IF(ISNA(MATCH(OFFSET($N$2,0,MATCH(AT$5,PayDedList,0)-1,1,1),EarnListItem,0))=FALSE,SUMPRODUCT((PayEmp=$C238)*(PayDate&lt;=$AC238)*(OFFSET($N$6,1,MATCH(AT$5,PayDedList,0)-1,PayCount,1)))/$AA238*12*AT$3,(MIN(SUMPRODUCT((PayEmp=$C238)*(PayDate&lt;=$AC238)*(ISERROR(SEARCH(PayEarnCode,AT$2)))*(PayEarnType="Monthly")*(PayEarnValues))/$AA238*12,IF(ISNUMBER(OFFSET($N$3,0,MATCH(AT$5,PayDedList,0)-1,1,1)),OFFSET($N$3,0,MATCH(AT$5,PayDedList,0)-1,1,1),IgnoreMin)))*IF(COUNTIFS(EmpNo,$C238,OFFSET(Emp!$R$4,1,MATCH(AT$5,DedListItem,0)-1,EmpCount,1),"&lt;&gt;")&gt;0,VLOOKUP($C238,EmpAll,COLUMN(Emp!$R$4)+MATCH(AT$5,DedListItem,0)-1,0),OFFSET(Setup!$E$73,MATCH(AT$5,DedListItem,0),0,1,1))*AT$3))),IF(ISNUMBER(AT$4),AT$4,IgnoreMin)))))</f>
        <v>0</v>
      </c>
      <c r="AU238" s="148" cm="1">
        <f t="array" aca="1" ref="AU238" ca="1">-IF($F238="Terminated",0,IF($AA238=0,0,IF(ISNA(MATCH(AU$5,PayDedList,0)),0,MIN(IF(COUNTIFS(OverEmp,$C238,OverDeduct,AU$5,OverDate,"&lt;"&amp;DATE(YEAR($AC238),MONTH($AC238)+1,1),OverEnd,"&gt;="&amp;DATE(YEAR($AC238),MONTH($AC238),1))&gt;0,SUMPRODUCT((PayEmp=$C238)*(PayDate&lt;=$AC238)*(OFFSET($N$6,1,MATCH(AU$5,PayDedList,0)-1,PayCount,1)))/$AA238*12*AU$3,IF(OR(AU$1="Fixed",AU$1="Not Used"),SUMPRODUCT((PayEmp=$C238)*(PayDate&lt;=$AC238)*(OFFSET($N$6,1,MATCH(AU$5,PayDedList,0)-1,PayCount,1)))/$AA238*12*AU$3,IF(ISNA(MATCH(OFFSET($N$2,0,MATCH(AU$5,PayDedList,0)-1,1,1),EarnListItem,0))=FALSE,SUMPRODUCT((PayEmp=$C238)*(PayDate&lt;=$AC238)*(OFFSET($N$6,1,MATCH(AU$5,PayDedList,0)-1,PayCount,1)))/$AA238*12*AU$3,(MIN(SUMPRODUCT((PayEmp=$C238)*(PayDate&lt;=$AC238)*(ISERROR(SEARCH(PayEarnCode,AU$2)))*(PayEarnType="Monthly")*(PayEarnValues))/$AA238*12,IF(ISNUMBER(OFFSET($N$3,0,MATCH(AU$5,PayDedList,0)-1,1,1)),OFFSET($N$3,0,MATCH(AU$5,PayDedList,0)-1,1,1),IgnoreMin)))*IF(COUNTIFS(EmpNo,$C238,OFFSET(Emp!$R$4,1,MATCH(AU$5,DedListItem,0)-1,EmpCount,1),"&lt;&gt;")&gt;0,VLOOKUP($C238,EmpAll,COLUMN(Emp!$R$4)+MATCH(AU$5,DedListItem,0)-1,0),OFFSET(Setup!$E$73,MATCH(AU$5,DedListItem,0),0,1,1))*AU$3))),IF(ISNUMBER(AU$4),AU$4,IgnoreMin)))))</f>
        <v>0</v>
      </c>
      <c r="AV238" s="148" cm="1">
        <f t="array" aca="1" ref="AV238" ca="1">-IF($F238="Terminated",0,IF($AA238=0,0,IF(ISNA(MATCH(AV$5,PayDedList,0)),0,MIN(IF(COUNTIFS(OverEmp,$C238,OverDeduct,AV$5,OverDate,"&lt;"&amp;DATE(YEAR($AC238),MONTH($AC238)+1,1),OverEnd,"&gt;="&amp;DATE(YEAR($AC238),MONTH($AC238),1))&gt;0,SUMPRODUCT((PayEmp=$C238)*(PayDate&lt;=$AC238)*(OFFSET($N$6,1,MATCH(AV$5,PayDedList,0)-1,PayCount,1)))/$AA238*12*AV$3,IF(OR(AV$1="Fixed",AV$1="Not Used"),SUMPRODUCT((PayEmp=$C238)*(PayDate&lt;=$AC238)*(OFFSET($N$6,1,MATCH(AV$5,PayDedList,0)-1,PayCount,1)))/$AA238*12*AV$3,IF(ISNA(MATCH(OFFSET($N$2,0,MATCH(AV$5,PayDedList,0)-1,1,1),EarnListItem,0))=FALSE,SUMPRODUCT((PayEmp=$C238)*(PayDate&lt;=$AC238)*(OFFSET($N$6,1,MATCH(AV$5,PayDedList,0)-1,PayCount,1)))/$AA238*12*AV$3,(MIN(SUMPRODUCT((PayEmp=$C238)*(PayDate&lt;=$AC238)*(ISERROR(SEARCH(PayEarnCode,AV$2)))*(PayEarnType="Monthly")*(PayEarnValues))/$AA238*12,IF(ISNUMBER(OFFSET($N$3,0,MATCH(AV$5,PayDedList,0)-1,1,1)),OFFSET($N$3,0,MATCH(AV$5,PayDedList,0)-1,1,1),IgnoreMin)))*IF(COUNTIFS(EmpNo,$C238,OFFSET(Emp!$R$4,1,MATCH(AV$5,DedListItem,0)-1,EmpCount,1),"&lt;&gt;")&gt;0,VLOOKUP($C238,EmpAll,COLUMN(Emp!$R$4)+MATCH(AV$5,DedListItem,0)-1,0),OFFSET(Setup!$E$73,MATCH(AV$5,DedListItem,0),0,1,1))*AV$3))),IF(ISNUMBER(AV$4),AV$4,IgnoreMin)))))</f>
        <v>0</v>
      </c>
      <c r="AW238" s="148" cm="1">
        <f t="array" aca="1" ref="AW238" ca="1">-IF($F238="Terminated",0,IF($AA238=0,0,IF(ISNA(MATCH(AW$5,PayDedList,0)),0,MIN(IF(COUNTIFS(OverEmp,$C238,OverDeduct,AW$5,OverDate,"&lt;"&amp;DATE(YEAR($AC238),MONTH($AC238)+1,1),OverEnd,"&gt;="&amp;DATE(YEAR($AC238),MONTH($AC238),1))&gt;0,SUMPRODUCT((PayEmp=$C238)*(PayDate&lt;=$AC238)*(OFFSET($N$6,1,MATCH(AW$5,PayDedList,0)-1,PayCount,1)))/$AA238*12*AW$3,IF(OR(AW$1="Fixed",AW$1="Not Used"),SUMPRODUCT((PayEmp=$C238)*(PayDate&lt;=$AC238)*(OFFSET($N$6,1,MATCH(AW$5,PayDedList,0)-1,PayCount,1)))/$AA238*12*AW$3,IF(ISNA(MATCH(OFFSET($N$2,0,MATCH(AW$5,PayDedList,0)-1,1,1),EarnListItem,0))=FALSE,SUMPRODUCT((PayEmp=$C238)*(PayDate&lt;=$AC238)*(OFFSET($N$6,1,MATCH(AW$5,PayDedList,0)-1,PayCount,1)))/$AA238*12*AW$3,(MIN(SUMPRODUCT((PayEmp=$C238)*(PayDate&lt;=$AC238)*(ISERROR(SEARCH(PayEarnCode,AW$2)))*(PayEarnType="Monthly")*(PayEarnValues))/$AA238*12,IF(ISNUMBER(OFFSET($N$3,0,MATCH(AW$5,PayDedList,0)-1,1,1)),OFFSET($N$3,0,MATCH(AW$5,PayDedList,0)-1,1,1),IgnoreMin)))*IF(COUNTIFS(EmpNo,$C238,OFFSET(Emp!$R$4,1,MATCH(AW$5,DedListItem,0)-1,EmpCount,1),"&lt;&gt;")&gt;0,VLOOKUP($C238,EmpAll,COLUMN(Emp!$R$4)+MATCH(AW$5,DedListItem,0)-1,0),OFFSET(Setup!$E$73,MATCH(AW$5,DedListItem,0),0,1,1))*AW$3))),IF(ISNUMBER(AW$4),AW$4,IgnoreMin)))))</f>
        <v>0</v>
      </c>
      <c r="AX238" s="148">
        <f t="shared" ca="1" si="150"/>
        <v>0</v>
      </c>
      <c r="AY238" s="148">
        <f t="shared" ca="1" si="151"/>
        <v>0</v>
      </c>
      <c r="AZ238" s="148">
        <f ca="1">IF(ISNUMBER($AL238),($AR238*$AL238)-$AI238-$AK238,MAX(0,IF($AL238="B",IF($AR238&lt;Setup!$C$32,($AR238*Setup!$D$32)-$AI238-$AK238,(($AR238-VLOOKUP($AR238,TaxAll2,1,1))*OFFSET(Setup!$D$32,MATCH($AR238,TaxBracket2,1),0,1,1))+OFFSET(Setup!$E$31,MATCH($AR238,TaxBracket2,1),0,1,1)-$AI238-$AK238),IF($AR238&lt;Setup!$C$21,($AR238*Setup!$D$21)-$AI238-$AK238,(($AR238-VLOOKUP($AR238,TaxAll1,1,1))*OFFSET(Setup!$D$21,MATCH($AR238,TaxBracket1,1),0,1,1))+OFFSET(Setup!$E$20,MATCH($AR238,TaxBracket1,1),0,1,1)-$AI238-$AK238))))</f>
        <v>0</v>
      </c>
      <c r="BA238" s="148">
        <f ca="1">IF(ISNUMBER($AL238),($AX238*$AL238)-$AI238-$AK238,MAX(0,IF($AL238="B",IF($AX238&lt;Setup!$C$32,($AX238*Setup!$D$32)-$AI238-$AK238,(($AX238-VLOOKUP($AX238,TaxAll2,1,1))*OFFSET(Setup!$D$32,MATCH($AX238,TaxBracket2,1),0,1,1))+OFFSET(Setup!$E$31,MATCH($AX238,TaxBracket2,1),0,1,1)-$AI238-$AK238),IF($AX238&lt;Setup!$C$21,($AX238*Setup!$D$21)-$AI238-$AK238,(($AX238-VLOOKUP($AX238,TaxAll1,1,1))*OFFSET(Setup!$D$21,MATCH($AX238,TaxBracket1,1),0,1,1))+OFFSET(Setup!$E$20,MATCH($AX238,TaxBracket1,1),0,1,1)-$AI238-$AK238))))</f>
        <v>0</v>
      </c>
      <c r="BB238" s="148">
        <f t="shared" ca="1" si="94"/>
        <v>0</v>
      </c>
      <c r="BC238" s="150">
        <f t="shared" ca="1" si="110"/>
        <v>0</v>
      </c>
      <c r="BD238" s="150">
        <f t="shared" ca="1" si="111"/>
        <v>0</v>
      </c>
      <c r="BE238" s="148">
        <f t="shared" ca="1" si="112"/>
        <v>0</v>
      </c>
    </row>
    <row r="239" spans="1:57" ht="16.149999999999999" customHeight="1" x14ac:dyDescent="0.25">
      <c r="A239" s="10" t="str" cm="1">
        <f t="array" ref="A239">IF(ROW($A239)-ROW($A$6)&gt;EmpCount*12,"-",TEXT($B239,"yyyy")&amp;TEXT($B239,"mm")&amp;"-"&amp;$C239)</f>
        <v>-</v>
      </c>
      <c r="B239" s="137" cm="1">
        <f t="array" aca="1" ref="B239" ca="1">IF(ROW($A239)-ROW($A$6)&gt;EmpCount*12,Setup!$D$12,DATE(YEAR(Setup!$F$12),MONTH(Setup!$F$12)+ROUNDDOWN((ROW($A239)-ROW($A$6)-1)/EmpCount,0),IF(Setup!$C$14&gt;DAY(DATE(YEAR(Setup!$F$12),MONTH(Setup!$F$12)+ROUNDDOWN((ROW($A239)-ROW($A$6)-1)/EmpCount,0)+1,0)),DAY(DATE(YEAR(Setup!$F$12),MONTH(Setup!$F$12)+ROUNDDOWN((ROW($A239)-ROW($A$6)-1)/EmpCount,0)+1,0)),Setup!$C$14)))</f>
        <v>45351</v>
      </c>
      <c r="C239" s="101" t="str" cm="1">
        <f t="array" aca="1" ref="C239" ca="1">IF(ROW($A239)-ROW($A$6)&gt;EmpCount*12,"-",OFFSET(Emp!$A$4,ROW($A239)-ROW($A$6)-IF(ROW($A239)-ROW($A$6)&gt;EmpCount,ROUNDDOWN((ROW($A239)-ROW($A$6)-1)/EmpCount,0)*EmpCount,0),0,1,1))</f>
        <v>-</v>
      </c>
      <c r="D239" s="10" t="str">
        <f ca="1">IF(ISNA(VLOOKUP($C239,EmpAll,COLUMN(Emp!$B$4),0)),"-",VLOOKUP($C239,EmpAll,COLUMN(Emp!$B$4),0))</f>
        <v>-</v>
      </c>
      <c r="E239" s="145" t="str">
        <f ca="1">IF(ISNA(VLOOKUP($C239,EmpAll,COLUMN(Emp!$C$4),0)),"-",VLOOKUP($C239,EmpAll,COLUMN(Emp!$C$4),0))</f>
        <v>-</v>
      </c>
      <c r="F239" s="101" t="str">
        <f ca="1">IF(ISNA(VLOOKUP($C239,EmpAll,COLUMN(Emp!$A$4),0)),"-",IF(AND(VLOOKUP($C239,EmpAll,COLUMN(Emp!$E$4),0)&lt;&gt;0,VLOOKUP($C239,EmpAll,COLUMN(Emp!$E$4),0)&gt;=DATE(YEAR($AC239),MONTH($AC239)+1,0)),"Inactive",IF(AND(VLOOKUP($C239,EmpAll,COLUMN(Emp!$F$4),0)&lt;&gt;0,VLOOKUP($C239,EmpAll,COLUMN(Emp!$F$4),0)&lt;=DATE(YEAR($AC239),MONTH($AC239),0)),"Terminated","Active")))</f>
        <v>-</v>
      </c>
      <c r="G239" s="133" cm="1">
        <f t="array" aca="1" ref="G239" ca="1">IF($F239&lt;&gt;"Active",0,IF(COUNTIFS(OverEmp,$C239,OverEarn,G$2,OverDate,"&lt;"&amp;DATE(YEAR($AC239),MONTH($AC239)+1,1),OverEnd,"&gt;="&amp;DATE(YEAR($AC239),MONTH($AC239),1))&gt;0,SUMIFS(OverValue,OverEmp,$C239,OverEarn,G$2,OverDate,"&lt;"&amp;DATE(YEAR($AC239),MONTH($AC239)+1,1),OverEnd,"&gt;="&amp;DATE(YEAR($AC239),MONTH($AC239),1)),IF(AND($AC239&gt;=Setup!$E$10,SUMIFS(EmpIncrease,EmpCode,$C239)&gt;0),SUMIFS(EmpIncrease,EmpCode,$C239),SUMIFS(EmpSalary,EmpCode,$C239))))</f>
        <v>0</v>
      </c>
      <c r="H239" s="133" cm="1">
        <f t="array" aca="1" ref="H239" ca="1">IF($F239&lt;&gt;"Active",0,IF(COUNTIFS(OverEmp,$C239,OverEarn,H$2,OverDate,"&lt;"&amp;DATE(YEAR($AC239),MONTH($AC239)+1,1),OverEnd,"&gt;="&amp;DATE(YEAR($AC239),MONTH($AC239),1))&gt;0,SUMIFS(OverValue,OverEmp,$C239,OverEarn,H$2,OverDate,"&lt;"&amp;DATE(YEAR($AC239),MONTH($AC239)+1,1),OverEnd,"&gt;="&amp;DATE(YEAR($AC239),MONTH($AC239),1)),0))</f>
        <v>0</v>
      </c>
      <c r="I239" s="133" cm="1">
        <f t="array" aca="1" ref="I239" ca="1">IF($F239&lt;&gt;"Active",0,IF(COUNTIFS(OverEmp,$C239,OverEarn,I$2,OverDate,"&lt;"&amp;DATE(YEAR($AC239),MONTH($AC239)+1,1),OverEnd,"&gt;="&amp;DATE(YEAR($AC239),MONTH($AC239),1))&gt;0,SUMIFS(OverValue,OverEmp,$C239,OverEarn,I$2,OverDate,"&lt;"&amp;DATE(YEAR($AC239),MONTH($AC239)+1,1),OverEnd,"&gt;="&amp;DATE(YEAR($AC239),MONTH($AC239),1)),IF(MONTH(B239)=Setup!$C$15,SUMIFS(EmpBonus,EmpCode,$C239),0)))</f>
        <v>0</v>
      </c>
      <c r="J239" s="133" cm="1">
        <f t="array" aca="1" ref="J239" ca="1">IF($F239&lt;&gt;"Active",0,IF(COUNTIFS(OverEmp,$C239,OverEarn,J$2,OverDate,"&lt;"&amp;DATE(YEAR($AC239),MONTH($AC239)+1,1),OverEnd,"&gt;="&amp;DATE(YEAR($AC239),MONTH($AC239),1))&gt;0,SUMIFS(OverValue,OverEmp,$C239,OverEarn,J$2,OverDate,"&lt;"&amp;DATE(YEAR($AC239),MONTH($AC239)+1,1),OverEnd,"&gt;="&amp;DATE(YEAR($AC239),MONTH($AC239),1)),0))</f>
        <v>0</v>
      </c>
      <c r="K239" s="133" cm="1">
        <f t="array" aca="1" ref="K239" ca="1">IF($F239&lt;&gt;"Active",0,IF(COUNTIFS(OverEmp,$C239,OverEarn,K$2,OverDate,"&lt;"&amp;DATE(YEAR($AC239),MONTH($AC239)+1,1),OverEnd,"&gt;="&amp;DATE(YEAR($AC239),MONTH($AC239),1))&gt;0,SUMIFS(OverValue,OverEmp,$C239,OverEarn,K$2,OverDate,"&lt;"&amp;DATE(YEAR($AC239),MONTH($AC239)+1,1),OverEnd,"&gt;="&amp;DATE(YEAR($AC239),MONTH($AC239),1)),0))</f>
        <v>0</v>
      </c>
      <c r="L239" s="185">
        <f t="shared" ca="1" si="146"/>
        <v>0</v>
      </c>
      <c r="M239" s="182" cm="1">
        <f t="array" aca="1" ref="M239" ca="1">IF(COUNTIFS(OverEmp,$C239,OverTax,M$5,OverDate,"&lt;"&amp;DATE(YEAR($AC239),MONTH($AC239)+1,1),OverEnd,"&gt;="&amp;DATE(YEAR($AC239),MONTH($AC239),1))&gt;0,SUMIFS(OverValue,OverEmp,$C239,OverTax,M$5,OverDate,"&lt;"&amp;DATE(YEAR($AC239),MONTH($AC239)+1,1),OverEnd,"&gt;="&amp;DATE(YEAR($AC239),MONTH($AC239),1)),(($BA239/12*$AA239)+(BB239*IF(1-$BC239=0,0,BD239/(1-$BC239))))-IF($F239="Terminated",0,SUMIFS(PayTaxDeduct,PayDate,"&lt;"&amp;$AC239,PayEmp,$C239)))</f>
        <v>0</v>
      </c>
      <c r="N239" s="133" cm="1">
        <f t="array" aca="1" ref="N239" ca="1">IF($F239="Terminated",0,IF($AA239=0,0,IF(ISNA(MATCH(N$5,DedListItem,0)),0,IF(COUNTIFS(OverEmp,$C239,OverDeduct,N$5,OverDate,"&lt;"&amp;DATE(YEAR($AC239),MONTH($AC239)+1,1),OverEnd,"&gt;="&amp;DATE(YEAR($AC239),MONTH($AC239),1))&gt;0,SUMIFS(OverValue,OverEmp,$C239,OverDeduct,N$5,OverDate,"&lt;"&amp;DATE(YEAR($AC239),MONTH($AC239)+1,1),OverEnd,"&gt;="&amp;DATE(YEAR($AC239),MONTH($AC239),1)),IF(OR(N$2="Fixed",N$2="Not Used"),(IF(COUNTIFS(EmpNo,$C239,OFFSET(Emp!$R$4,1,MATCH(N$5,DedListItem,0)-1,EmpCount,1),"&lt;&gt;")&gt;0,VLOOKUP($C239,EmpAll,COLUMN(Emp!$R$4)+MATCH(N$5,DedListItem,0)-1,0),OFFSET(Setup!$E$73,MATCH(N$5,DedListItem,0),0,1,1))*$AA239)-SUMIFS(OFFSET(N$6,1,0,PayCount,1),PayDate,"&lt;"&amp;$AC239,PayEmp,$C239),IF(ISNA(MATCH(N$2,EarnListItem,0))=FALSE,IF(OFFSET(Setup!$G$73,MATCH(N$5,DedListItem,0),0,1,1)="Taxable",SUMPRODUCT((PayEmp=$C239)*(PayDate&lt;=$AC239)*(PayEarnCode=N$2)*(PayEarnTax)*(PayEarnValues)),SUMPRODUCT((PayEmp=$C239)*(PayDate&lt;=$AC239)*(PayEarnCode=N$2)*(PayEarnValues)))*IF(COUNTIFS(EmpNo,$C239,OFFSET(Emp!$R$4,1,MATCH(N$5,DedListItem,0)-1,EmpCount,1),"&lt;&gt;")&gt;0,VLOOKUP($C239,EmpAll,COLUMN(Emp!$R$4)+MATCH(N$5,DedListItem,0)-1,0),OFFSET(Setup!$E$73,MATCH(N$5,DedListItem,0),0,1,1)),(MIN(IF(OFFSET(Setup!$G$73,MATCH(N$5,DedListItem,0),0,1,1)="Taxable",SUMPRODUCT((PayEmp=$C239)*(PayDate&lt;=$AC239)*(ISERROR(SEARCH(PayEarnCode,N$4)))*(PayEarnTax)*(PayEarnValues)),SUMPRODUCT((PayEmp=$C239)*(PayDate&lt;=$AC239)*(ISERROR(SEARCH(PayEarnCode,N$4)))*(PayEarnValues))),IF(ISNUMBER(N$3),N$3/12*$AA239,IgnoreMin)))*IF(COUNTIFS(EmpNo,$C239,OFFSET(Emp!$R$4,1,MATCH(N$5,DedListItem,0)-1,EmpCount,1),"&lt;&gt;")&gt;0,VLOOKUP($C239,EmpAll,COLUMN(Emp!$R$4)+MATCH(N$5,DedListItem,0)-1,0),OFFSET(Setup!$E$73,MATCH(N$5,DedListItem,0),0,1,1)))-SUMIFS(OFFSET(N$6,1,0,PayCount,1),PayDate,"&lt;"&amp;$AC239,PayEmp,$C239))))))</f>
        <v>0</v>
      </c>
      <c r="O239" s="133" cm="1">
        <f t="array" aca="1" ref="O239" ca="1">IF($F239="Terminated",0,IF($AA239=0,0,IF(ISNA(MATCH(O$5,DedListItem,0)),0,IF(COUNTIFS(OverEmp,$C239,OverDeduct,O$5,OverDate,"&lt;"&amp;DATE(YEAR($AC239),MONTH($AC239)+1,1),OverEnd,"&gt;="&amp;DATE(YEAR($AC239),MONTH($AC239),1))&gt;0,SUMIFS(OverValue,OverEmp,$C239,OverDeduct,O$5,OverDate,"&lt;"&amp;DATE(YEAR($AC239),MONTH($AC239)+1,1),OverEnd,"&gt;="&amp;DATE(YEAR($AC239),MONTH($AC239),1)),IF(OR(O$2="Fixed",O$2="Not Used"),(IF(COUNTIFS(EmpNo,$C239,OFFSET(Emp!$R$4,1,MATCH(O$5,DedListItem,0)-1,EmpCount,1),"&lt;&gt;")&gt;0,VLOOKUP($C239,EmpAll,COLUMN(Emp!$R$4)+MATCH(O$5,DedListItem,0)-1,0),OFFSET(Setup!$E$73,MATCH(O$5,DedListItem,0),0,1,1))*$AA239)-SUMIFS(OFFSET(O$6,1,0,PayCount,1),PayDate,"&lt;"&amp;$AC239,PayEmp,$C239),IF(ISNA(MATCH(O$2,EarnListItem,0))=FALSE,IF(OFFSET(Setup!$G$73,MATCH(O$5,DedListItem,0),0,1,1)="Taxable",SUMPRODUCT((PayEmp=$C239)*(PayDate&lt;=$AC239)*(PayEarnCode=O$2)*(PayEarnTax)*(PayEarnValues)),SUMPRODUCT((PayEmp=$C239)*(PayDate&lt;=$AC239)*(PayEarnCode=O$2)*(PayEarnValues)))*IF(COUNTIFS(EmpNo,$C239,OFFSET(Emp!$R$4,1,MATCH(O$5,DedListItem,0)-1,EmpCount,1),"&lt;&gt;")&gt;0,VLOOKUP($C239,EmpAll,COLUMN(Emp!$R$4)+MATCH(O$5,DedListItem,0)-1,0),OFFSET(Setup!$E$73,MATCH(O$5,DedListItem,0),0,1,1)),(MIN(IF(OFFSET(Setup!$G$73,MATCH(O$5,DedListItem,0),0,1,1)="Taxable",SUMPRODUCT((PayEmp=$C239)*(PayDate&lt;=$AC239)*(ISERROR(SEARCH(PayEarnCode,O$4)))*(PayEarnTax)*(PayEarnValues)),SUMPRODUCT((PayEmp=$C239)*(PayDate&lt;=$AC239)*(ISERROR(SEARCH(PayEarnCode,O$4)))*(PayEarnValues))),IF(ISNUMBER(O$3),O$3/12*$AA239,IgnoreMin)))*IF(COUNTIFS(EmpNo,$C239,OFFSET(Emp!$R$4,1,MATCH(O$5,DedListItem,0)-1,EmpCount,1),"&lt;&gt;")&gt;0,VLOOKUP($C239,EmpAll,COLUMN(Emp!$R$4)+MATCH(O$5,DedListItem,0)-1,0),OFFSET(Setup!$E$73,MATCH(O$5,DedListItem,0),0,1,1)))-SUMIFS(OFFSET(O$6,1,0,PayCount,1),PayDate,"&lt;"&amp;$AC239,PayEmp,$C239))))))</f>
        <v>0</v>
      </c>
      <c r="P239" s="133" cm="1">
        <f t="array" aca="1" ref="P239" ca="1">IF($F239="Terminated",0,IF($AA239=0,0,IF(ISNA(MATCH(P$5,DedListItem,0)),0,IF(COUNTIFS(OverEmp,$C239,OverDeduct,P$5,OverDate,"&lt;"&amp;DATE(YEAR($AC239),MONTH($AC239)+1,1),OverEnd,"&gt;="&amp;DATE(YEAR($AC239),MONTH($AC239),1))&gt;0,SUMIFS(OverValue,OverEmp,$C239,OverDeduct,P$5,OverDate,"&lt;"&amp;DATE(YEAR($AC239),MONTH($AC239)+1,1),OverEnd,"&gt;="&amp;DATE(YEAR($AC239),MONTH($AC239),1)),IF(OR(P$2="Fixed",P$2="Not Used"),(IF(COUNTIFS(EmpNo,$C239,OFFSET(Emp!$R$4,1,MATCH(P$5,DedListItem,0)-1,EmpCount,1),"&lt;&gt;")&gt;0,VLOOKUP($C239,EmpAll,COLUMN(Emp!$R$4)+MATCH(P$5,DedListItem,0)-1,0),OFFSET(Setup!$E$73,MATCH(P$5,DedListItem,0),0,1,1))*$AA239)-SUMIFS(OFFSET(P$6,1,0,PayCount,1),PayDate,"&lt;"&amp;$AC239,PayEmp,$C239),IF(ISNA(MATCH(P$2,EarnListItem,0))=FALSE,IF(OFFSET(Setup!$G$73,MATCH(P$5,DedListItem,0),0,1,1)="Taxable",SUMPRODUCT((PayEmp=$C239)*(PayDate&lt;=$AC239)*(PayEarnCode=P$2)*(PayEarnTax)*(PayEarnValues)),SUMPRODUCT((PayEmp=$C239)*(PayDate&lt;=$AC239)*(PayEarnCode=P$2)*(PayEarnValues)))*IF(COUNTIFS(EmpNo,$C239,OFFSET(Emp!$R$4,1,MATCH(P$5,DedListItem,0)-1,EmpCount,1),"&lt;&gt;")&gt;0,VLOOKUP($C239,EmpAll,COLUMN(Emp!$R$4)+MATCH(P$5,DedListItem,0)-1,0),OFFSET(Setup!$E$73,MATCH(P$5,DedListItem,0),0,1,1)),(MIN(IF(OFFSET(Setup!$G$73,MATCH(P$5,DedListItem,0),0,1,1)="Taxable",SUMPRODUCT((PayEmp=$C239)*(PayDate&lt;=$AC239)*(ISERROR(SEARCH(PayEarnCode,P$4)))*(PayEarnTax)*(PayEarnValues)),SUMPRODUCT((PayEmp=$C239)*(PayDate&lt;=$AC239)*(ISERROR(SEARCH(PayEarnCode,P$4)))*(PayEarnValues))),IF(ISNUMBER(P$3),P$3/12*$AA239,IgnoreMin)))*IF(COUNTIFS(EmpNo,$C239,OFFSET(Emp!$R$4,1,MATCH(P$5,DedListItem,0)-1,EmpCount,1),"&lt;&gt;")&gt;0,VLOOKUP($C239,EmpAll,COLUMN(Emp!$R$4)+MATCH(P$5,DedListItem,0)-1,0),OFFSET(Setup!$E$73,MATCH(P$5,DedListItem,0),0,1,1)))-SUMIFS(OFFSET(P$6,1,0,PayCount,1),PayDate,"&lt;"&amp;$AC239,PayEmp,$C239))))))</f>
        <v>0</v>
      </c>
      <c r="Q239" s="133" cm="1">
        <f t="array" aca="1" ref="Q239" ca="1">IF($F239="Terminated",0,IF($AA239=0,0,IF(ISNA(MATCH(Q$5,DedListItem,0)),0,IF(COUNTIFS(OverEmp,$C239,OverDeduct,Q$5,OverDate,"&lt;"&amp;DATE(YEAR($AC239),MONTH($AC239)+1,1),OverEnd,"&gt;="&amp;DATE(YEAR($AC239),MONTH($AC239),1))&gt;0,SUMIFS(OverValue,OverEmp,$C239,OverDeduct,Q$5,OverDate,"&lt;"&amp;DATE(YEAR($AC239),MONTH($AC239)+1,1),OverEnd,"&gt;="&amp;DATE(YEAR($AC239),MONTH($AC239),1)),IF(OR(Q$2="Fixed",Q$2="Not Used"),(IF(COUNTIFS(EmpNo,$C239,OFFSET(Emp!$R$4,1,MATCH(Q$5,DedListItem,0)-1,EmpCount,1),"&lt;&gt;")&gt;0,VLOOKUP($C239,EmpAll,COLUMN(Emp!$R$4)+MATCH(Q$5,DedListItem,0)-1,0),OFFSET(Setup!$E$73,MATCH(Q$5,DedListItem,0),0,1,1))*$AA239)-SUMIFS(OFFSET(Q$6,1,0,PayCount,1),PayDate,"&lt;"&amp;$AC239,PayEmp,$C239),IF(ISNA(MATCH(Q$2,EarnListItem,0))=FALSE,IF(OFFSET(Setup!$G$73,MATCH(Q$5,DedListItem,0),0,1,1)="Taxable",SUMPRODUCT((PayEmp=$C239)*(PayDate&lt;=$AC239)*(PayEarnCode=Q$2)*(PayEarnTax)*(PayEarnValues)),SUMPRODUCT((PayEmp=$C239)*(PayDate&lt;=$AC239)*(PayEarnCode=Q$2)*(PayEarnValues)))*IF(COUNTIFS(EmpNo,$C239,OFFSET(Emp!$R$4,1,MATCH(Q$5,DedListItem,0)-1,EmpCount,1),"&lt;&gt;")&gt;0,VLOOKUP($C239,EmpAll,COLUMN(Emp!$R$4)+MATCH(Q$5,DedListItem,0)-1,0),OFFSET(Setup!$E$73,MATCH(Q$5,DedListItem,0),0,1,1)),(MIN(IF(OFFSET(Setup!$G$73,MATCH(Q$5,DedListItem,0),0,1,1)="Taxable",SUMPRODUCT((PayEmp=$C239)*(PayDate&lt;=$AC239)*(ISERROR(SEARCH(PayEarnCode,Q$4)))*(PayEarnTax)*(PayEarnValues)),SUMPRODUCT((PayEmp=$C239)*(PayDate&lt;=$AC239)*(ISERROR(SEARCH(PayEarnCode,Q$4)))*(PayEarnValues))),IF(ISNUMBER(Q$3),Q$3/12*$AA239,IgnoreMin)))*IF(COUNTIFS(EmpNo,$C239,OFFSET(Emp!$R$4,1,MATCH(Q$5,DedListItem,0)-1,EmpCount,1),"&lt;&gt;")&gt;0,VLOOKUP($C239,EmpAll,COLUMN(Emp!$R$4)+MATCH(Q$5,DedListItem,0)-1,0),OFFSET(Setup!$E$73,MATCH(Q$5,DedListItem,0),0,1,1)))-SUMIFS(OFFSET(Q$6,1,0,PayCount,1),PayDate,"&lt;"&amp;$AC239,PayEmp,$C239))))))</f>
        <v>0</v>
      </c>
      <c r="R239" s="185">
        <f t="shared" ca="1" si="147"/>
        <v>0</v>
      </c>
      <c r="S239" s="139">
        <f t="shared" ca="1" si="148"/>
        <v>0</v>
      </c>
      <c r="T239" s="133" cm="1">
        <f t="array" aca="1" ref="T239" ca="1">IF($F239="Terminated",0,IF($AA239=0,0,IF(ISNA(MATCH(T$5,CompListItem,0)),0,IF(COUNTIFS(OverEmp,$C239,OverComp,T$5,OverDate,"&lt;"&amp;DATE(YEAR($AC239),MONTH($AC239)+1,1),OverEnd,"&gt;="&amp;DATE(YEAR($AC239),MONTH($AC239),1))&gt;0,SUMIFS(OverValue,OverEmp,$C239,OverComp,T$5,OverDate,"&lt;"&amp;DATE(YEAR($AC239),MONTH($AC239)+1,1),OverEnd,"&gt;="&amp;DATE(YEAR($AC239),MONTH($AC239),1)),IF(OR(T$2="Fixed",T$2="Not Used"),(OFFSET(Setup!$E$81,MATCH(T$5,CompListItem,0),0,1,1)*$AA239)-SUMIFS(OFFSET(T$6,1,0,PayCount,1),PayDate,"&lt;"&amp;$AC239,PayEmp,$C239),IF(ISNA(MATCH(T$2,DedListItem,0))=FALSE,(SUMPRODUCT((PayEmp=$C239)*(PayDate&lt;=$AC239)*(PayDedList=T$2)*(PayDedValues))*OFFSET(Setup!$E$81,MATCH(T$5,CompListItem,0),0,1,1))-SUMIFS(OFFSET(T$6,1,0,PayCount,1),PayDate,"&lt;"&amp;$AC239,PayEmp,$C239),(MIN(IF(OFFSET(Setup!$G$81,MATCH(T$5,CompListItem,0),0,1,1)="Taxable",SUMPRODUCT((PayEmp=$C239)*(PayDate&lt;=$AC239)*(ISERROR(SEARCH(PayEarnCode,T$4)))*(PayEarnTax)*(PayEarnValues)),SUMPRODUCT((PayEmp=$C239)*(PayDate&lt;=$AC239)*(ISERROR(SEARCH(PayEarnCode,T$4)))*(PayEarnValues))),IF(ISNUMBER(T$3),T$3/12*$AA239,IgnoreMin)))*OFFSET(Setup!$E$81,MATCH(T$5,CompListItem,0),0,1,1)-SUMIFS(OFFSET(T$6,1,0,PayCount,1),PayDate,"&lt;"&amp;$AC239,PayEmp,$C239)))))))</f>
        <v>0</v>
      </c>
      <c r="U239" s="133" cm="1">
        <f t="array" aca="1" ref="U239" ca="1">IF($F239="Terminated",0,IF($AA239=0,0,IF(ISNA(MATCH(U$5,CompListItem,0)),0,IF(COUNTIFS(OverEmp,$C239,OverComp,U$5,OverDate,"&lt;"&amp;DATE(YEAR($AC239),MONTH($AC239)+1,1),OverEnd,"&gt;="&amp;DATE(YEAR($AC239),MONTH($AC239),1))&gt;0,SUMIFS(OverValue,OverEmp,$C239,OverComp,U$5,OverDate,"&lt;"&amp;DATE(YEAR($AC239),MONTH($AC239)+1,1),OverEnd,"&gt;="&amp;DATE(YEAR($AC239),MONTH($AC239),1)),IF(OR(U$2="Fixed",U$2="Not Used"),(OFFSET(Setup!$E$81,MATCH(U$5,CompListItem,0),0,1,1)*$AA239)-SUMIFS(OFFSET(U$6,1,0,PayCount,1),PayDate,"&lt;"&amp;$AC239,PayEmp,$C239),IF(ISNA(MATCH(U$2,DedListItem,0))=FALSE,(SUMPRODUCT((PayEmp=$C239)*(PayDate&lt;=$AC239)*(PayDedList=U$2)*(PayDedValues))*OFFSET(Setup!$E$81,MATCH(U$5,CompListItem,0),0,1,1))-SUMIFS(OFFSET(U$6,1,0,PayCount,1),PayDate,"&lt;"&amp;$AC239,PayEmp,$C239),(MIN(IF(OFFSET(Setup!$G$81,MATCH(U$5,CompListItem,0),0,1,1)="Taxable",SUMPRODUCT((PayEmp=$C239)*(PayDate&lt;=$AC239)*(ISERROR(SEARCH(PayEarnCode,U$4)))*(PayEarnTax)*(PayEarnValues)),SUMPRODUCT((PayEmp=$C239)*(PayDate&lt;=$AC239)*(ISERROR(SEARCH(PayEarnCode,U$4)))*(PayEarnValues))),IF(ISNUMBER(U$3),U$3/12*$AA239,IgnoreMin)))*OFFSET(Setup!$E$81,MATCH(U$5,CompListItem,0),0,1,1)-SUMIFS(OFFSET(U$6,1,0,PayCount,1),PayDate,"&lt;"&amp;$AC239,PayEmp,$C239)))))))</f>
        <v>0</v>
      </c>
      <c r="V239" s="133" cm="1">
        <f t="array" aca="1" ref="V239" ca="1">IF($F239="Terminated",0,IF($AA239=0,0,IF(ISNA(MATCH(V$5,CompListItem,0)),0,IF(COUNTIFS(OverEmp,$C239,OverComp,V$5,OverDate,"&lt;"&amp;DATE(YEAR($AC239),MONTH($AC239)+1,1),OverEnd,"&gt;="&amp;DATE(YEAR($AC239),MONTH($AC239),1))&gt;0,SUMIFS(OverValue,OverEmp,$C239,OverComp,V$5,OverDate,"&lt;"&amp;DATE(YEAR($AC239),MONTH($AC239)+1,1),OverEnd,"&gt;="&amp;DATE(YEAR($AC239),MONTH($AC239),1)),IF(OR(V$2="Fixed",V$2="Not Used"),(OFFSET(Setup!$E$81,MATCH(V$5,CompListItem,0),0,1,1)*$AA239)-SUMIFS(OFFSET(V$6,1,0,PayCount,1),PayDate,"&lt;"&amp;$AC239,PayEmp,$C239),IF(ISNA(MATCH(V$2,DedListItem,0))=FALSE,(SUMPRODUCT((PayEmp=$C239)*(PayDate&lt;=$AC239)*(PayDedList=V$2)*(PayDedValues))*OFFSET(Setup!$E$81,MATCH(V$5,CompListItem,0),0,1,1))-SUMIFS(OFFSET(V$6,1,0,PayCount,1),PayDate,"&lt;"&amp;$AC239,PayEmp,$C239),(MIN(IF(OFFSET(Setup!$G$81,MATCH(V$5,CompListItem,0),0,1,1)="Taxable",SUMPRODUCT((PayEmp=$C239)*(PayDate&lt;=$AC239)*(ISERROR(SEARCH(PayEarnCode,V$4)))*(PayEarnTax)*(PayEarnValues)),SUMPRODUCT((PayEmp=$C239)*(PayDate&lt;=$AC239)*(ISERROR(SEARCH(PayEarnCode,V$4)))*(PayEarnValues))),IF(ISNUMBER(V$3),V$3/12*$AA239,IgnoreMin)))*OFFSET(Setup!$E$81,MATCH(V$5,CompListItem,0),0,1,1)-SUMIFS(OFFSET(V$6,1,0,PayCount,1),PayDate,"&lt;"&amp;$AC239,PayEmp,$C239)))))))</f>
        <v>0</v>
      </c>
      <c r="W239" s="133" cm="1">
        <f t="array" aca="1" ref="W239" ca="1">IF($F239="Terminated",0,IF($AA239=0,0,IF(ISNA(MATCH(W$5,CompListItem,0)),0,IF(COUNTIFS(OverEmp,$C239,OverComp,W$5,OverDate,"&lt;"&amp;DATE(YEAR($AC239),MONTH($AC239)+1,1),OverEnd,"&gt;="&amp;DATE(YEAR($AC239),MONTH($AC239),1))&gt;0,SUMIFS(OverValue,OverEmp,$C239,OverComp,W$5,OverDate,"&lt;"&amp;DATE(YEAR($AC239),MONTH($AC239)+1,1),OverEnd,"&gt;="&amp;DATE(YEAR($AC239),MONTH($AC239),1)),IF(OR(W$2="Fixed",W$2="Not Used"),(OFFSET(Setup!$E$81,MATCH(W$5,CompListItem,0),0,1,1)*$AA239)-SUMIFS(OFFSET(W$6,1,0,PayCount,1),PayDate,"&lt;"&amp;$AC239,PayEmp,$C239),IF(ISNA(MATCH(W$2,DedListItem,0))=FALSE,(SUMPRODUCT((PayEmp=$C239)*(PayDate&lt;=$AC239)*(PayDedList=W$2)*(PayDedValues))*OFFSET(Setup!$E$81,MATCH(W$5,CompListItem,0),0,1,1))-SUMIFS(OFFSET(W$6,1,0,PayCount,1),PayDate,"&lt;"&amp;$AC239,PayEmp,$C239),(MIN(IF(OFFSET(Setup!$G$81,MATCH(W$5,CompListItem,0),0,1,1)="Taxable",SUMPRODUCT((PayEmp=$C239)*(PayDate&lt;=$AC239)*(ISERROR(SEARCH(PayEarnCode,W$4)))*(PayEarnTax)*(PayEarnValues)),SUMPRODUCT((PayEmp=$C239)*(PayDate&lt;=$AC239)*(ISERROR(SEARCH(PayEarnCode,W$4)))*(PayEarnValues))),IF(ISNUMBER(W$3),W$3/12*$AA239,IgnoreMin)))*OFFSET(Setup!$E$81,MATCH(W$5,CompListItem,0),0,1,1)-SUMIFS(OFFSET(W$6,1,0,PayCount,1),PayDate,"&lt;"&amp;$AC239,PayEmp,$C239)))))))</f>
        <v>0</v>
      </c>
      <c r="X239" s="185">
        <f t="shared" ca="1" si="78"/>
        <v>0</v>
      </c>
      <c r="Y239" s="139">
        <f t="shared" ca="1" si="149"/>
        <v>0</v>
      </c>
      <c r="Z239" s="139">
        <f t="shared" ca="1" si="79"/>
        <v>0</v>
      </c>
      <c r="AA239" s="146">
        <f ca="1">IF(OR($B239&lt;=Setup!$E$12,$B239&gt;=Setup!$D$12+1),0,IF($F239&lt;&gt;"Active",0,IF($AE239="Yes",$AB239,((YEAR($AC239)*12)+MONTH($AC239))-((YEAR($AD239)*12)+MONTH($AD239)-1))))</f>
        <v>0</v>
      </c>
      <c r="AB239" s="146">
        <f ca="1">IF(OR($B239&lt;=Setup!$E$12,$B239&gt;=Setup!$D$12+1),0,((YEAR($AC239)*12)+MONTH($AC239))-((YEAR(Setup!$E$12)*12)+MONTH(Setup!$E$12)))</f>
        <v>12</v>
      </c>
      <c r="AC239" s="186">
        <f t="shared" ca="1" si="83"/>
        <v>45351</v>
      </c>
      <c r="AD239" s="144">
        <f ca="1">IF(ISNA(VLOOKUP($C239,EmpAll,COLUMN(Emp!$E$4),0)),$AC239,IF(VLOOKUP($C239,EmpAll,COLUMN(Emp!$E$4),0)&lt;=Setup!$E$12,DATE(YEAR(Setup!$E$12),MONTH(Setup!$E$12)+1,1),VLOOKUP($C239,EmpAll,COLUMN(Emp!$E$4),0)))</f>
        <v>45351</v>
      </c>
      <c r="AE239" s="144" t="str">
        <f ca="1">IF(ISNA(VLOOKUP($C239,EmpAll,COLUMN(Emp!$G$1),0)),"-",IF(VLOOKUP($C239,EmpAll,COLUMN(Emp!$G$1),0)=0,"-",VLOOKUP($C239,EmpAll,COLUMN(Emp!$G$1),0)))</f>
        <v>-</v>
      </c>
      <c r="AF239" s="145">
        <f>IF(A239=PaySlip!$G$3,1,0)</f>
        <v>0</v>
      </c>
      <c r="AG239" s="130" cm="1">
        <f t="array" aca="1" ref="AG239" ca="1">IF(COUNTIFS(OverEmp,$C239,OverMed,"MED",OverDate,"&lt;"&amp;DATE(YEAR($AC239),MONTH($AC239)+1,1),OverEnd,"&gt;="&amp;DATE(YEAR($AC239),MONTH($AC239),1))&gt;0,SUMIFS(OverValue,OverEmp,$C239,OverMed,"MED",OverDate,"&lt;"&amp;DATE(YEAR($AC239),MONTH($AC239)+1,1),OverEnd,"&gt;="&amp;DATE(YEAR($AC239),MONTH($AC239),1)),IF(ISNA(VLOOKUP($C239,EmpAll,COLUMN(Emp!$N$4),0)),0,VLOOKUP($C239,EmpAll,COLUMN(Emp!$N$4),0)))</f>
        <v>0</v>
      </c>
      <c r="AH239" s="146">
        <f ca="1">VLOOKUP($AG239,MedList,COLUMN(Setup!$C$49),1)</f>
        <v>0</v>
      </c>
      <c r="AI239" s="146">
        <f t="shared" ca="1" si="107"/>
        <v>0</v>
      </c>
      <c r="AJ239" s="101" t="str">
        <f ca="1">IF(ISNA(VLOOKUP($C239,EmpAll,COLUMN(Emp!$L$4),0)),"None!",VLOOKUP($C239,EmpAll,COLUMN(Emp!$L$4),0))</f>
        <v>None!</v>
      </c>
      <c r="AK239" s="147">
        <f t="shared" ca="1" si="80"/>
        <v>17235</v>
      </c>
      <c r="AL239" s="101" t="str">
        <f ca="1">IF(ISNA(VLOOKUP($C239,Employees[],COLUMN(Emp!$M$4),0))=TRUE,"Error!",IF(VLOOKUP($C239,Employees[],COLUMN(Emp!$M$4),0)=0,"Yes",VLOOKUP($C239,Employees[],COLUMN(Emp!$M$4),0)))</f>
        <v>Error!</v>
      </c>
      <c r="AM239" s="148">
        <f t="shared" ca="1" si="108"/>
        <v>0</v>
      </c>
      <c r="AN239" s="148" cm="1">
        <f t="array" aca="1" ref="AN239" ca="1">-IF($F239="Terminated",0,IF($AA239=0,0,IF(ISNA(MATCH(AN$5,PayDedList,0)),0,MIN(IF(COUNTIFS(OverEmp,$C239,OverDeduct,AN$5,OverDate,"&lt;"&amp;DATE(YEAR($AC239),MONTH($AC239)+1,1),OverEnd,"&gt;="&amp;DATE(YEAR($AC239),MONTH($AC239),1))&gt;0,SUMPRODUCT((PayEmp=$C239)*(PayDate&lt;=$AC239)*(OFFSET($N$6,1,MATCH(AN$5,PayDedList,0)-1,PayCount,1)))/$AA239*12*AN$3,IF(OR(AN$1="Fixed",AN$1="Not Used"),SUMPRODUCT((PayEmp=$C239)*(PayDate&lt;=$AC239)*(OFFSET($N$6,1,MATCH(AN$5,PayDedList,0)-1,PayCount,1)))/$AA239*12*AN$3,IF(ISNA(MATCH(AN$1,EarnListItem,0))=FALSE,SUMPRODUCT((PayEmp=$C239)*(PayDate&lt;=$AC239)*(OFFSET($N$6,1,MATCH(AN$5,PayDedList,0)-1,PayCount,1)))/$AA239*12*AN$3,(MIN(((SUMPRODUCT((PayEmp=$C239)*(PayDate&lt;=$AC239)*(ISERROR(SEARCH(PayEarnCode,AN$2)))*(PayEarnType="Monthly")*(PayEarnValues))/$AA239*12)+(SUMPRODUCT((PayEmp=$C239)*(PayDate&lt;=$AC239)*(ISERROR(SEARCH(PayEarnCode,AN$2)))*(PayEarnType="Quarterly")*(PayEarnValues))/MAX(1,ROUNDDOWN($AB239/3,0))*4)+(SUMPRODUCT((PayEmp=$C239)*(PayDate&lt;=$AC239)*(ISERROR(SEARCH(PayEarnCode,AN$2)))*(PayEarnType="Bi-Annual")*(PayEarnValues))/MAX(1,ROUNDDOWN($AB239/6,0))*2)+(SUMPRODUCT((PayEmp=$C239)*(PayDate&lt;=$AC239)*(ISERROR(SEARCH(PayEarnCode,AN$2)))*(PayEarnType="Annual")*(PayEarnValues)))),IF(ISNUMBER(OFFSET($N$3,0,MATCH(AN$5,PayDedList,0)-1,1,1)),OFFSET($N$3,0,MATCH(AN$5,PayDedList,0)-1,1,1),IgnoreMin)))*IF(COUNTIFS(EmpNo,$C239,OFFSET(Emp!$R$4,1,MATCH(AN$5,DedListItem,0)-1,EmpCount,1),"&lt;&gt;")&gt;0,VLOOKUP($C239,EmpAll,COLUMN(Emp!$R$4)+MATCH(AN$5,DedListItem,0)-1,0),OFFSET(Setup!$E$73,MATCH(AN$5,DedListItem,0),0,1,1))*AN$3))),IF(ISNUMBER(AN$4),AN$4,IgnoreMin)))))</f>
        <v>0</v>
      </c>
      <c r="AO239" s="148" cm="1">
        <f t="array" aca="1" ref="AO239" ca="1">-IF($F239="Terminated",0,IF($AA239=0,0,IF(ISNA(MATCH(AO$5,PayDedList,0)),0,MIN(IF(COUNTIFS(OverEmp,$C239,OverDeduct,AO$5,OverDate,"&lt;"&amp;DATE(YEAR($AC239),MONTH($AC239)+1,1),OverEnd,"&gt;="&amp;DATE(YEAR($AC239),MONTH($AC239),1))&gt;0,SUMPRODUCT((PayEmp=$C239)*(PayDate&lt;=$AC239)*(OFFSET($N$6,1,MATCH(AO$5,PayDedList,0)-1,PayCount,1)))/$AA239*12*AO$3,IF(OR(AO$1="Fixed",AO$1="Not Used"),SUMPRODUCT((PayEmp=$C239)*(PayDate&lt;=$AC239)*(OFFSET($N$6,1,MATCH(AO$5,PayDedList,0)-1,PayCount,1)))/$AA239*12*AO$3,IF(ISNA(MATCH(AO$1,EarnListItem,0))=FALSE,SUMPRODUCT((PayEmp=$C239)*(PayDate&lt;=$AC239)*(OFFSET($N$6,1,MATCH(AO$5,PayDedList,0)-1,PayCount,1)))/$AA239*12*AO$3,(MIN(((SUMPRODUCT((PayEmp=$C239)*(PayDate&lt;=$AC239)*(ISERROR(SEARCH(PayEarnCode,AO$2)))*(PayEarnType="Monthly")*(PayEarnValues))/$AA239*12)+(SUMPRODUCT((PayEmp=$C239)*(PayDate&lt;=$AC239)*(ISERROR(SEARCH(PayEarnCode,AO$2)))*(PayEarnType="Quarterly")*(PayEarnValues))/MAX(1,ROUNDDOWN($AB239/3,0))*4)+(SUMPRODUCT((PayEmp=$C239)*(PayDate&lt;=$AC239)*(ISERROR(SEARCH(PayEarnCode,AO$2)))*(PayEarnType="Bi-Annual")*(PayEarnValues))/MAX(1,ROUNDDOWN($AB239/6,0))*2)+(SUMPRODUCT((PayEmp=$C239)*(PayDate&lt;=$AC239)*(ISERROR(SEARCH(PayEarnCode,AO$2)))*(PayEarnType="Annual")*(PayEarnValues)))),IF(ISNUMBER(OFFSET($N$3,0,MATCH(AO$5,PayDedList,0)-1,1,1)),OFFSET($N$3,0,MATCH(AO$5,PayDedList,0)-1,1,1),IgnoreMin)))*IF(COUNTIFS(EmpNo,$C239,OFFSET(Emp!$R$4,1,MATCH(AO$5,DedListItem,0)-1,EmpCount,1),"&lt;&gt;")&gt;0,VLOOKUP($C239,EmpAll,COLUMN(Emp!$R$4)+MATCH(AO$5,DedListItem,0)-1,0),OFFSET(Setup!$E$73,MATCH(AO$5,DedListItem,0),0,1,1))*AO$3))),IF(ISNUMBER(AO$4),AO$4,IgnoreMin)))))</f>
        <v>0</v>
      </c>
      <c r="AP239" s="148" cm="1">
        <f t="array" aca="1" ref="AP239" ca="1">-IF($F239="Terminated",0,IF($AA239=0,0,IF(ISNA(MATCH(AP$5,PayDedList,0)),0,MIN(IF(COUNTIFS(OverEmp,$C239,OverDeduct,AP$5,OverDate,"&lt;"&amp;DATE(YEAR($AC239),MONTH($AC239)+1,1),OverEnd,"&gt;="&amp;DATE(YEAR($AC239),MONTH($AC239),1))&gt;0,SUMPRODUCT((PayEmp=$C239)*(PayDate&lt;=$AC239)*(OFFSET($N$6,1,MATCH(AP$5,PayDedList,0)-1,PayCount,1)))/$AA239*12*AP$3,IF(OR(AP$1="Fixed",AP$1="Not Used"),SUMPRODUCT((PayEmp=$C239)*(PayDate&lt;=$AC239)*(OFFSET($N$6,1,MATCH(AP$5,PayDedList,0)-1,PayCount,1)))/$AA239*12*AP$3,IF(ISNA(MATCH(AP$1,EarnListItem,0))=FALSE,SUMPRODUCT((PayEmp=$C239)*(PayDate&lt;=$AC239)*(OFFSET($N$6,1,MATCH(AP$5,PayDedList,0)-1,PayCount,1)))/$AA239*12*AP$3,(MIN(((SUMPRODUCT((PayEmp=$C239)*(PayDate&lt;=$AC239)*(ISERROR(SEARCH(PayEarnCode,AP$2)))*(PayEarnType="Monthly")*(PayEarnValues))/$AA239*12)+(SUMPRODUCT((PayEmp=$C239)*(PayDate&lt;=$AC239)*(ISERROR(SEARCH(PayEarnCode,AP$2)))*(PayEarnType="Quarterly")*(PayEarnValues))/MAX(1,ROUNDDOWN($AB239/3,0))*4)+(SUMPRODUCT((PayEmp=$C239)*(PayDate&lt;=$AC239)*(ISERROR(SEARCH(PayEarnCode,AP$2)))*(PayEarnType="Bi-Annual")*(PayEarnValues))/MAX(1,ROUNDDOWN($AB239/6,0))*2)+(SUMPRODUCT((PayEmp=$C239)*(PayDate&lt;=$AC239)*(ISERROR(SEARCH(PayEarnCode,AP$2)))*(PayEarnType="Annual")*(PayEarnValues)))),IF(ISNUMBER(OFFSET($N$3,0,MATCH(AP$5,PayDedList,0)-1,1,1)),OFFSET($N$3,0,MATCH(AP$5,PayDedList,0)-1,1,1),IgnoreMin)))*IF(COUNTIFS(EmpNo,$C239,OFFSET(Emp!$R$4,1,MATCH(AP$5,DedListItem,0)-1,EmpCount,1),"&lt;&gt;")&gt;0,VLOOKUP($C239,EmpAll,COLUMN(Emp!$R$4)+MATCH(AP$5,DedListItem,0)-1,0),OFFSET(Setup!$E$73,MATCH(AP$5,DedListItem,0),0,1,1))*AP$3))),IF(ISNUMBER(AP$4),AP$4,IgnoreMin)))))</f>
        <v>0</v>
      </c>
      <c r="AQ239" s="148" cm="1">
        <f t="array" aca="1" ref="AQ239" ca="1">-IF($F239="Terminated",0,IF($AA239=0,0,IF(ISNA(MATCH(AQ$5,PayDedList,0)),0,MIN(IF(COUNTIFS(OverEmp,$C239,OverDeduct,AQ$5,OverDate,"&lt;"&amp;DATE(YEAR($AC239),MONTH($AC239)+1,1),OverEnd,"&gt;="&amp;DATE(YEAR($AC239),MONTH($AC239),1))&gt;0,SUMPRODUCT((PayEmp=$C239)*(PayDate&lt;=$AC239)*(OFFSET($N$6,1,MATCH(AQ$5,PayDedList,0)-1,PayCount,1)))/$AA239*12*AQ$3,IF(OR(AQ$1="Fixed",AQ$1="Not Used"),SUMPRODUCT((PayEmp=$C239)*(PayDate&lt;=$AC239)*(OFFSET($N$6,1,MATCH(AQ$5,PayDedList,0)-1,PayCount,1)))/$AA239*12*AQ$3,IF(ISNA(MATCH(AQ$1,EarnListItem,0))=FALSE,SUMPRODUCT((PayEmp=$C239)*(PayDate&lt;=$AC239)*(OFFSET($N$6,1,MATCH(AQ$5,PayDedList,0)-1,PayCount,1)))/$AA239*12*AQ$3,(MIN(((SUMPRODUCT((PayEmp=$C239)*(PayDate&lt;=$AC239)*(ISERROR(SEARCH(PayEarnCode,AQ$2)))*(PayEarnType="Monthly")*(PayEarnValues))/$AA239*12)+(SUMPRODUCT((PayEmp=$C239)*(PayDate&lt;=$AC239)*(ISERROR(SEARCH(PayEarnCode,AQ$2)))*(PayEarnType="Quarterly")*(PayEarnValues))/MAX(1,ROUNDDOWN($AB239/3,0))*4)+(SUMPRODUCT((PayEmp=$C239)*(PayDate&lt;=$AC239)*(ISERROR(SEARCH(PayEarnCode,AQ$2)))*(PayEarnType="Bi-Annual")*(PayEarnValues))/MAX(1,ROUNDDOWN($AB239/6,0))*2)+(SUMPRODUCT((PayEmp=$C239)*(PayDate&lt;=$AC239)*(ISERROR(SEARCH(PayEarnCode,AQ$2)))*(PayEarnType="Annual")*(PayEarnValues)))),IF(ISNUMBER(OFFSET($N$3,0,MATCH(AQ$5,PayDedList,0)-1,1,1)),OFFSET($N$3,0,MATCH(AQ$5,PayDedList,0)-1,1,1),IgnoreMin)))*IF(COUNTIFS(EmpNo,$C239,OFFSET(Emp!$R$4,1,MATCH(AQ$5,DedListItem,0)-1,EmpCount,1),"&lt;&gt;")&gt;0,VLOOKUP($C239,EmpAll,COLUMN(Emp!$R$4)+MATCH(AQ$5,DedListItem,0)-1,0),OFFSET(Setup!$E$73,MATCH(AQ$5,DedListItem,0),0,1,1))*AQ$3))),IF(ISNUMBER(AQ$4),AQ$4,IgnoreMin)))))</f>
        <v>0</v>
      </c>
      <c r="AR239" s="148">
        <f t="shared" ca="1" si="81"/>
        <v>0</v>
      </c>
      <c r="AS239" s="148">
        <f t="shared" ca="1" si="109"/>
        <v>0</v>
      </c>
      <c r="AT239" s="148" cm="1">
        <f t="array" aca="1" ref="AT239" ca="1">-IF($F239="Terminated",0,IF($AA239=0,0,IF(ISNA(MATCH(AT$5,PayDedList,0)),0,MIN(IF(COUNTIFS(OverEmp,$C239,OverDeduct,AT$5,OverDate,"&lt;"&amp;DATE(YEAR($AC239),MONTH($AC239)+1,1),OverEnd,"&gt;="&amp;DATE(YEAR($AC239),MONTH($AC239),1))&gt;0,SUMPRODUCT((PayEmp=$C239)*(PayDate&lt;=$AC239)*(OFFSET($N$6,1,MATCH(AT$5,PayDedList,0)-1,PayCount,1)))/$AA239*12*AT$3,IF(OR(AT$1="Fixed",AT$1="Not Used"),SUMPRODUCT((PayEmp=$C239)*(PayDate&lt;=$AC239)*(OFFSET($N$6,1,MATCH(AT$5,PayDedList,0)-1,PayCount,1)))/$AA239*12*AT$3,IF(ISNA(MATCH(OFFSET($N$2,0,MATCH(AT$5,PayDedList,0)-1,1,1),EarnListItem,0))=FALSE,SUMPRODUCT((PayEmp=$C239)*(PayDate&lt;=$AC239)*(OFFSET($N$6,1,MATCH(AT$5,PayDedList,0)-1,PayCount,1)))/$AA239*12*AT$3,(MIN(SUMPRODUCT((PayEmp=$C239)*(PayDate&lt;=$AC239)*(ISERROR(SEARCH(PayEarnCode,AT$2)))*(PayEarnType="Monthly")*(PayEarnValues))/$AA239*12,IF(ISNUMBER(OFFSET($N$3,0,MATCH(AT$5,PayDedList,0)-1,1,1)),OFFSET($N$3,0,MATCH(AT$5,PayDedList,0)-1,1,1),IgnoreMin)))*IF(COUNTIFS(EmpNo,$C239,OFFSET(Emp!$R$4,1,MATCH(AT$5,DedListItem,0)-1,EmpCount,1),"&lt;&gt;")&gt;0,VLOOKUP($C239,EmpAll,COLUMN(Emp!$R$4)+MATCH(AT$5,DedListItem,0)-1,0),OFFSET(Setup!$E$73,MATCH(AT$5,DedListItem,0),0,1,1))*AT$3))),IF(ISNUMBER(AT$4),AT$4,IgnoreMin)))))</f>
        <v>0</v>
      </c>
      <c r="AU239" s="148" cm="1">
        <f t="array" aca="1" ref="AU239" ca="1">-IF($F239="Terminated",0,IF($AA239=0,0,IF(ISNA(MATCH(AU$5,PayDedList,0)),0,MIN(IF(COUNTIFS(OverEmp,$C239,OverDeduct,AU$5,OverDate,"&lt;"&amp;DATE(YEAR($AC239),MONTH($AC239)+1,1),OverEnd,"&gt;="&amp;DATE(YEAR($AC239),MONTH($AC239),1))&gt;0,SUMPRODUCT((PayEmp=$C239)*(PayDate&lt;=$AC239)*(OFFSET($N$6,1,MATCH(AU$5,PayDedList,0)-1,PayCount,1)))/$AA239*12*AU$3,IF(OR(AU$1="Fixed",AU$1="Not Used"),SUMPRODUCT((PayEmp=$C239)*(PayDate&lt;=$AC239)*(OFFSET($N$6,1,MATCH(AU$5,PayDedList,0)-1,PayCount,1)))/$AA239*12*AU$3,IF(ISNA(MATCH(OFFSET($N$2,0,MATCH(AU$5,PayDedList,0)-1,1,1),EarnListItem,0))=FALSE,SUMPRODUCT((PayEmp=$C239)*(PayDate&lt;=$AC239)*(OFFSET($N$6,1,MATCH(AU$5,PayDedList,0)-1,PayCount,1)))/$AA239*12*AU$3,(MIN(SUMPRODUCT((PayEmp=$C239)*(PayDate&lt;=$AC239)*(ISERROR(SEARCH(PayEarnCode,AU$2)))*(PayEarnType="Monthly")*(PayEarnValues))/$AA239*12,IF(ISNUMBER(OFFSET($N$3,0,MATCH(AU$5,PayDedList,0)-1,1,1)),OFFSET($N$3,0,MATCH(AU$5,PayDedList,0)-1,1,1),IgnoreMin)))*IF(COUNTIFS(EmpNo,$C239,OFFSET(Emp!$R$4,1,MATCH(AU$5,DedListItem,0)-1,EmpCount,1),"&lt;&gt;")&gt;0,VLOOKUP($C239,EmpAll,COLUMN(Emp!$R$4)+MATCH(AU$5,DedListItem,0)-1,0),OFFSET(Setup!$E$73,MATCH(AU$5,DedListItem,0),0,1,1))*AU$3))),IF(ISNUMBER(AU$4),AU$4,IgnoreMin)))))</f>
        <v>0</v>
      </c>
      <c r="AV239" s="148" cm="1">
        <f t="array" aca="1" ref="AV239" ca="1">-IF($F239="Terminated",0,IF($AA239=0,0,IF(ISNA(MATCH(AV$5,PayDedList,0)),0,MIN(IF(COUNTIFS(OverEmp,$C239,OverDeduct,AV$5,OverDate,"&lt;"&amp;DATE(YEAR($AC239),MONTH($AC239)+1,1),OverEnd,"&gt;="&amp;DATE(YEAR($AC239),MONTH($AC239),1))&gt;0,SUMPRODUCT((PayEmp=$C239)*(PayDate&lt;=$AC239)*(OFFSET($N$6,1,MATCH(AV$5,PayDedList,0)-1,PayCount,1)))/$AA239*12*AV$3,IF(OR(AV$1="Fixed",AV$1="Not Used"),SUMPRODUCT((PayEmp=$C239)*(PayDate&lt;=$AC239)*(OFFSET($N$6,1,MATCH(AV$5,PayDedList,0)-1,PayCount,1)))/$AA239*12*AV$3,IF(ISNA(MATCH(OFFSET($N$2,0,MATCH(AV$5,PayDedList,0)-1,1,1),EarnListItem,0))=FALSE,SUMPRODUCT((PayEmp=$C239)*(PayDate&lt;=$AC239)*(OFFSET($N$6,1,MATCH(AV$5,PayDedList,0)-1,PayCount,1)))/$AA239*12*AV$3,(MIN(SUMPRODUCT((PayEmp=$C239)*(PayDate&lt;=$AC239)*(ISERROR(SEARCH(PayEarnCode,AV$2)))*(PayEarnType="Monthly")*(PayEarnValues))/$AA239*12,IF(ISNUMBER(OFFSET($N$3,0,MATCH(AV$5,PayDedList,0)-1,1,1)),OFFSET($N$3,0,MATCH(AV$5,PayDedList,0)-1,1,1),IgnoreMin)))*IF(COUNTIFS(EmpNo,$C239,OFFSET(Emp!$R$4,1,MATCH(AV$5,DedListItem,0)-1,EmpCount,1),"&lt;&gt;")&gt;0,VLOOKUP($C239,EmpAll,COLUMN(Emp!$R$4)+MATCH(AV$5,DedListItem,0)-1,0),OFFSET(Setup!$E$73,MATCH(AV$5,DedListItem,0),0,1,1))*AV$3))),IF(ISNUMBER(AV$4),AV$4,IgnoreMin)))))</f>
        <v>0</v>
      </c>
      <c r="AW239" s="148" cm="1">
        <f t="array" aca="1" ref="AW239" ca="1">-IF($F239="Terminated",0,IF($AA239=0,0,IF(ISNA(MATCH(AW$5,PayDedList,0)),0,MIN(IF(COUNTIFS(OverEmp,$C239,OverDeduct,AW$5,OverDate,"&lt;"&amp;DATE(YEAR($AC239),MONTH($AC239)+1,1),OverEnd,"&gt;="&amp;DATE(YEAR($AC239),MONTH($AC239),1))&gt;0,SUMPRODUCT((PayEmp=$C239)*(PayDate&lt;=$AC239)*(OFFSET($N$6,1,MATCH(AW$5,PayDedList,0)-1,PayCount,1)))/$AA239*12*AW$3,IF(OR(AW$1="Fixed",AW$1="Not Used"),SUMPRODUCT((PayEmp=$C239)*(PayDate&lt;=$AC239)*(OFFSET($N$6,1,MATCH(AW$5,PayDedList,0)-1,PayCount,1)))/$AA239*12*AW$3,IF(ISNA(MATCH(OFFSET($N$2,0,MATCH(AW$5,PayDedList,0)-1,1,1),EarnListItem,0))=FALSE,SUMPRODUCT((PayEmp=$C239)*(PayDate&lt;=$AC239)*(OFFSET($N$6,1,MATCH(AW$5,PayDedList,0)-1,PayCount,1)))/$AA239*12*AW$3,(MIN(SUMPRODUCT((PayEmp=$C239)*(PayDate&lt;=$AC239)*(ISERROR(SEARCH(PayEarnCode,AW$2)))*(PayEarnType="Monthly")*(PayEarnValues))/$AA239*12,IF(ISNUMBER(OFFSET($N$3,0,MATCH(AW$5,PayDedList,0)-1,1,1)),OFFSET($N$3,0,MATCH(AW$5,PayDedList,0)-1,1,1),IgnoreMin)))*IF(COUNTIFS(EmpNo,$C239,OFFSET(Emp!$R$4,1,MATCH(AW$5,DedListItem,0)-1,EmpCount,1),"&lt;&gt;")&gt;0,VLOOKUP($C239,EmpAll,COLUMN(Emp!$R$4)+MATCH(AW$5,DedListItem,0)-1,0),OFFSET(Setup!$E$73,MATCH(AW$5,DedListItem,0),0,1,1))*AW$3))),IF(ISNUMBER(AW$4),AW$4,IgnoreMin)))))</f>
        <v>0</v>
      </c>
      <c r="AX239" s="148">
        <f t="shared" ca="1" si="150"/>
        <v>0</v>
      </c>
      <c r="AY239" s="148">
        <f t="shared" ca="1" si="151"/>
        <v>0</v>
      </c>
      <c r="AZ239" s="148">
        <f ca="1">IF(ISNUMBER($AL239),($AR239*$AL239)-$AI239-$AK239,MAX(0,IF($AL239="B",IF($AR239&lt;Setup!$C$32,($AR239*Setup!$D$32)-$AI239-$AK239,(($AR239-VLOOKUP($AR239,TaxAll2,1,1))*OFFSET(Setup!$D$32,MATCH($AR239,TaxBracket2,1),0,1,1))+OFFSET(Setup!$E$31,MATCH($AR239,TaxBracket2,1),0,1,1)-$AI239-$AK239),IF($AR239&lt;Setup!$C$21,($AR239*Setup!$D$21)-$AI239-$AK239,(($AR239-VLOOKUP($AR239,TaxAll1,1,1))*OFFSET(Setup!$D$21,MATCH($AR239,TaxBracket1,1),0,1,1))+OFFSET(Setup!$E$20,MATCH($AR239,TaxBracket1,1),0,1,1)-$AI239-$AK239))))</f>
        <v>0</v>
      </c>
      <c r="BA239" s="148">
        <f ca="1">IF(ISNUMBER($AL239),($AX239*$AL239)-$AI239-$AK239,MAX(0,IF($AL239="B",IF($AX239&lt;Setup!$C$32,($AX239*Setup!$D$32)-$AI239-$AK239,(($AX239-VLOOKUP($AX239,TaxAll2,1,1))*OFFSET(Setup!$D$32,MATCH($AX239,TaxBracket2,1),0,1,1))+OFFSET(Setup!$E$31,MATCH($AX239,TaxBracket2,1),0,1,1)-$AI239-$AK239),IF($AX239&lt;Setup!$C$21,($AX239*Setup!$D$21)-$AI239-$AK239,(($AX239-VLOOKUP($AX239,TaxAll1,1,1))*OFFSET(Setup!$D$21,MATCH($AX239,TaxBracket1,1),0,1,1))+OFFSET(Setup!$E$20,MATCH($AX239,TaxBracket1,1),0,1,1)-$AI239-$AK239))))</f>
        <v>0</v>
      </c>
      <c r="BB239" s="148">
        <f t="shared" ca="1" si="82"/>
        <v>0</v>
      </c>
      <c r="BC239" s="150">
        <f t="shared" ca="1" si="110"/>
        <v>0</v>
      </c>
      <c r="BD239" s="150">
        <f t="shared" ca="1" si="111"/>
        <v>0</v>
      </c>
      <c r="BE239" s="148">
        <f t="shared" ca="1" si="112"/>
        <v>0</v>
      </c>
    </row>
    <row r="240" spans="1:57" ht="16.149999999999999" customHeight="1" x14ac:dyDescent="0.25">
      <c r="A240" s="10" t="str" cm="1">
        <f t="array" ref="A240">IF(ROW($A240)-ROW($A$6)&gt;EmpCount*12,"-",TEXT($B240,"yyyy")&amp;TEXT($B240,"mm")&amp;"-"&amp;$C240)</f>
        <v>-</v>
      </c>
      <c r="B240" s="137" cm="1">
        <f t="array" aca="1" ref="B240" ca="1">IF(ROW($A240)-ROW($A$6)&gt;EmpCount*12,Setup!$D$12,DATE(YEAR(Setup!$F$12),MONTH(Setup!$F$12)+ROUNDDOWN((ROW($A240)-ROW($A$6)-1)/EmpCount,0),IF(Setup!$C$14&gt;DAY(DATE(YEAR(Setup!$F$12),MONTH(Setup!$F$12)+ROUNDDOWN((ROW($A240)-ROW($A$6)-1)/EmpCount,0)+1,0)),DAY(DATE(YEAR(Setup!$F$12),MONTH(Setup!$F$12)+ROUNDDOWN((ROW($A240)-ROW($A$6)-1)/EmpCount,0)+1,0)),Setup!$C$14)))</f>
        <v>45351</v>
      </c>
      <c r="C240" s="101" t="str" cm="1">
        <f t="array" aca="1" ref="C240" ca="1">IF(ROW($A240)-ROW($A$6)&gt;EmpCount*12,"-",OFFSET(Emp!$A$4,ROW($A240)-ROW($A$6)-IF(ROW($A240)-ROW($A$6)&gt;EmpCount,ROUNDDOWN((ROW($A240)-ROW($A$6)-1)/EmpCount,0)*EmpCount,0),0,1,1))</f>
        <v>-</v>
      </c>
      <c r="D240" s="10" t="str">
        <f ca="1">IF(ISNA(VLOOKUP($C240,EmpAll,COLUMN(Emp!$B$4),0)),"-",VLOOKUP($C240,EmpAll,COLUMN(Emp!$B$4),0))</f>
        <v>-</v>
      </c>
      <c r="E240" s="145" t="str">
        <f ca="1">IF(ISNA(VLOOKUP($C240,EmpAll,COLUMN(Emp!$C$4),0)),"-",VLOOKUP($C240,EmpAll,COLUMN(Emp!$C$4),0))</f>
        <v>-</v>
      </c>
      <c r="F240" s="101" t="str">
        <f ca="1">IF(ISNA(VLOOKUP($C240,EmpAll,COLUMN(Emp!$A$4),0)),"-",IF(AND(VLOOKUP($C240,EmpAll,COLUMN(Emp!$E$4),0)&lt;&gt;0,VLOOKUP($C240,EmpAll,COLUMN(Emp!$E$4),0)&gt;=DATE(YEAR($AC240),MONTH($AC240)+1,0)),"Inactive",IF(AND(VLOOKUP($C240,EmpAll,COLUMN(Emp!$F$4),0)&lt;&gt;0,VLOOKUP($C240,EmpAll,COLUMN(Emp!$F$4),0)&lt;=DATE(YEAR($AC240),MONTH($AC240),0)),"Terminated","Active")))</f>
        <v>-</v>
      </c>
      <c r="G240" s="133" cm="1">
        <f t="array" aca="1" ref="G240" ca="1">IF($F240&lt;&gt;"Active",0,IF(COUNTIFS(OverEmp,$C240,OverEarn,G$2,OverDate,"&lt;"&amp;DATE(YEAR($AC240),MONTH($AC240)+1,1),OverEnd,"&gt;="&amp;DATE(YEAR($AC240),MONTH($AC240),1))&gt;0,SUMIFS(OverValue,OverEmp,$C240,OverEarn,G$2,OverDate,"&lt;"&amp;DATE(YEAR($AC240),MONTH($AC240)+1,1),OverEnd,"&gt;="&amp;DATE(YEAR($AC240),MONTH($AC240),1)),IF(AND($AC240&gt;=Setup!$E$10,SUMIFS(EmpIncrease,EmpCode,$C240)&gt;0),SUMIFS(EmpIncrease,EmpCode,$C240),SUMIFS(EmpSalary,EmpCode,$C240))))</f>
        <v>0</v>
      </c>
      <c r="H240" s="133" cm="1">
        <f t="array" aca="1" ref="H240" ca="1">IF($F240&lt;&gt;"Active",0,IF(COUNTIFS(OverEmp,$C240,OverEarn,H$2,OverDate,"&lt;"&amp;DATE(YEAR($AC240),MONTH($AC240)+1,1),OverEnd,"&gt;="&amp;DATE(YEAR($AC240),MONTH($AC240),1))&gt;0,SUMIFS(OverValue,OverEmp,$C240,OverEarn,H$2,OverDate,"&lt;"&amp;DATE(YEAR($AC240),MONTH($AC240)+1,1),OverEnd,"&gt;="&amp;DATE(YEAR($AC240),MONTH($AC240),1)),0))</f>
        <v>0</v>
      </c>
      <c r="I240" s="133" cm="1">
        <f t="array" aca="1" ref="I240" ca="1">IF($F240&lt;&gt;"Active",0,IF(COUNTIFS(OverEmp,$C240,OverEarn,I$2,OverDate,"&lt;"&amp;DATE(YEAR($AC240),MONTH($AC240)+1,1),OverEnd,"&gt;="&amp;DATE(YEAR($AC240),MONTH($AC240),1))&gt;0,SUMIFS(OverValue,OverEmp,$C240,OverEarn,I$2,OverDate,"&lt;"&amp;DATE(YEAR($AC240),MONTH($AC240)+1,1),OverEnd,"&gt;="&amp;DATE(YEAR($AC240),MONTH($AC240),1)),IF(MONTH(B240)=Setup!$C$15,SUMIFS(EmpBonus,EmpCode,$C240),0)))</f>
        <v>0</v>
      </c>
      <c r="J240" s="133" cm="1">
        <f t="array" aca="1" ref="J240" ca="1">IF($F240&lt;&gt;"Active",0,IF(COUNTIFS(OverEmp,$C240,OverEarn,J$2,OverDate,"&lt;"&amp;DATE(YEAR($AC240),MONTH($AC240)+1,1),OverEnd,"&gt;="&amp;DATE(YEAR($AC240),MONTH($AC240),1))&gt;0,SUMIFS(OverValue,OverEmp,$C240,OverEarn,J$2,OverDate,"&lt;"&amp;DATE(YEAR($AC240),MONTH($AC240)+1,1),OverEnd,"&gt;="&amp;DATE(YEAR($AC240),MONTH($AC240),1)),0))</f>
        <v>0</v>
      </c>
      <c r="K240" s="133" cm="1">
        <f t="array" aca="1" ref="K240" ca="1">IF($F240&lt;&gt;"Active",0,IF(COUNTIFS(OverEmp,$C240,OverEarn,K$2,OverDate,"&lt;"&amp;DATE(YEAR($AC240),MONTH($AC240)+1,1),OverEnd,"&gt;="&amp;DATE(YEAR($AC240),MONTH($AC240),1))&gt;0,SUMIFS(OverValue,OverEmp,$C240,OverEarn,K$2,OverDate,"&lt;"&amp;DATE(YEAR($AC240),MONTH($AC240)+1,1),OverEnd,"&gt;="&amp;DATE(YEAR($AC240),MONTH($AC240),1)),0))</f>
        <v>0</v>
      </c>
      <c r="L240" s="185">
        <f t="shared" ca="1" si="146"/>
        <v>0</v>
      </c>
      <c r="M240" s="182" cm="1">
        <f t="array" aca="1" ref="M240" ca="1">IF(COUNTIFS(OverEmp,$C240,OverTax,M$5,OverDate,"&lt;"&amp;DATE(YEAR($AC240),MONTH($AC240)+1,1),OverEnd,"&gt;="&amp;DATE(YEAR($AC240),MONTH($AC240),1))&gt;0,SUMIFS(OverValue,OverEmp,$C240,OverTax,M$5,OverDate,"&lt;"&amp;DATE(YEAR($AC240),MONTH($AC240)+1,1),OverEnd,"&gt;="&amp;DATE(YEAR($AC240),MONTH($AC240),1)),(($BA240/12*$AA240)+(BB240*IF(1-$BC240=0,0,BD240/(1-$BC240))))-IF($F240="Terminated",0,SUMIFS(PayTaxDeduct,PayDate,"&lt;"&amp;$AC240,PayEmp,$C240)))</f>
        <v>0</v>
      </c>
      <c r="N240" s="133" cm="1">
        <f t="array" aca="1" ref="N240" ca="1">IF($F240="Terminated",0,IF($AA240=0,0,IF(ISNA(MATCH(N$5,DedListItem,0)),0,IF(COUNTIFS(OverEmp,$C240,OverDeduct,N$5,OverDate,"&lt;"&amp;DATE(YEAR($AC240),MONTH($AC240)+1,1),OverEnd,"&gt;="&amp;DATE(YEAR($AC240),MONTH($AC240),1))&gt;0,SUMIFS(OverValue,OverEmp,$C240,OverDeduct,N$5,OverDate,"&lt;"&amp;DATE(YEAR($AC240),MONTH($AC240)+1,1),OverEnd,"&gt;="&amp;DATE(YEAR($AC240),MONTH($AC240),1)),IF(OR(N$2="Fixed",N$2="Not Used"),(IF(COUNTIFS(EmpNo,$C240,OFFSET(Emp!$R$4,1,MATCH(N$5,DedListItem,0)-1,EmpCount,1),"&lt;&gt;")&gt;0,VLOOKUP($C240,EmpAll,COLUMN(Emp!$R$4)+MATCH(N$5,DedListItem,0)-1,0),OFFSET(Setup!$E$73,MATCH(N$5,DedListItem,0),0,1,1))*$AA240)-SUMIFS(OFFSET(N$6,1,0,PayCount,1),PayDate,"&lt;"&amp;$AC240,PayEmp,$C240),IF(ISNA(MATCH(N$2,EarnListItem,0))=FALSE,IF(OFFSET(Setup!$G$73,MATCH(N$5,DedListItem,0),0,1,1)="Taxable",SUMPRODUCT((PayEmp=$C240)*(PayDate&lt;=$AC240)*(PayEarnCode=N$2)*(PayEarnTax)*(PayEarnValues)),SUMPRODUCT((PayEmp=$C240)*(PayDate&lt;=$AC240)*(PayEarnCode=N$2)*(PayEarnValues)))*IF(COUNTIFS(EmpNo,$C240,OFFSET(Emp!$R$4,1,MATCH(N$5,DedListItem,0)-1,EmpCount,1),"&lt;&gt;")&gt;0,VLOOKUP($C240,EmpAll,COLUMN(Emp!$R$4)+MATCH(N$5,DedListItem,0)-1,0),OFFSET(Setup!$E$73,MATCH(N$5,DedListItem,0),0,1,1)),(MIN(IF(OFFSET(Setup!$G$73,MATCH(N$5,DedListItem,0),0,1,1)="Taxable",SUMPRODUCT((PayEmp=$C240)*(PayDate&lt;=$AC240)*(ISERROR(SEARCH(PayEarnCode,N$4)))*(PayEarnTax)*(PayEarnValues)),SUMPRODUCT((PayEmp=$C240)*(PayDate&lt;=$AC240)*(ISERROR(SEARCH(PayEarnCode,N$4)))*(PayEarnValues))),IF(ISNUMBER(N$3),N$3/12*$AA240,IgnoreMin)))*IF(COUNTIFS(EmpNo,$C240,OFFSET(Emp!$R$4,1,MATCH(N$5,DedListItem,0)-1,EmpCount,1),"&lt;&gt;")&gt;0,VLOOKUP($C240,EmpAll,COLUMN(Emp!$R$4)+MATCH(N$5,DedListItem,0)-1,0),OFFSET(Setup!$E$73,MATCH(N$5,DedListItem,0),0,1,1)))-SUMIFS(OFFSET(N$6,1,0,PayCount,1),PayDate,"&lt;"&amp;$AC240,PayEmp,$C240))))))</f>
        <v>0</v>
      </c>
      <c r="O240" s="133" cm="1">
        <f t="array" aca="1" ref="O240" ca="1">IF($F240="Terminated",0,IF($AA240=0,0,IF(ISNA(MATCH(O$5,DedListItem,0)),0,IF(COUNTIFS(OverEmp,$C240,OverDeduct,O$5,OverDate,"&lt;"&amp;DATE(YEAR($AC240),MONTH($AC240)+1,1),OverEnd,"&gt;="&amp;DATE(YEAR($AC240),MONTH($AC240),1))&gt;0,SUMIFS(OverValue,OverEmp,$C240,OverDeduct,O$5,OverDate,"&lt;"&amp;DATE(YEAR($AC240),MONTH($AC240)+1,1),OverEnd,"&gt;="&amp;DATE(YEAR($AC240),MONTH($AC240),1)),IF(OR(O$2="Fixed",O$2="Not Used"),(IF(COUNTIFS(EmpNo,$C240,OFFSET(Emp!$R$4,1,MATCH(O$5,DedListItem,0)-1,EmpCount,1),"&lt;&gt;")&gt;0,VLOOKUP($C240,EmpAll,COLUMN(Emp!$R$4)+MATCH(O$5,DedListItem,0)-1,0),OFFSET(Setup!$E$73,MATCH(O$5,DedListItem,0),0,1,1))*$AA240)-SUMIFS(OFFSET(O$6,1,0,PayCount,1),PayDate,"&lt;"&amp;$AC240,PayEmp,$C240),IF(ISNA(MATCH(O$2,EarnListItem,0))=FALSE,IF(OFFSET(Setup!$G$73,MATCH(O$5,DedListItem,0),0,1,1)="Taxable",SUMPRODUCT((PayEmp=$C240)*(PayDate&lt;=$AC240)*(PayEarnCode=O$2)*(PayEarnTax)*(PayEarnValues)),SUMPRODUCT((PayEmp=$C240)*(PayDate&lt;=$AC240)*(PayEarnCode=O$2)*(PayEarnValues)))*IF(COUNTIFS(EmpNo,$C240,OFFSET(Emp!$R$4,1,MATCH(O$5,DedListItem,0)-1,EmpCount,1),"&lt;&gt;")&gt;0,VLOOKUP($C240,EmpAll,COLUMN(Emp!$R$4)+MATCH(O$5,DedListItem,0)-1,0),OFFSET(Setup!$E$73,MATCH(O$5,DedListItem,0),0,1,1)),(MIN(IF(OFFSET(Setup!$G$73,MATCH(O$5,DedListItem,0),0,1,1)="Taxable",SUMPRODUCT((PayEmp=$C240)*(PayDate&lt;=$AC240)*(ISERROR(SEARCH(PayEarnCode,O$4)))*(PayEarnTax)*(PayEarnValues)),SUMPRODUCT((PayEmp=$C240)*(PayDate&lt;=$AC240)*(ISERROR(SEARCH(PayEarnCode,O$4)))*(PayEarnValues))),IF(ISNUMBER(O$3),O$3/12*$AA240,IgnoreMin)))*IF(COUNTIFS(EmpNo,$C240,OFFSET(Emp!$R$4,1,MATCH(O$5,DedListItem,0)-1,EmpCount,1),"&lt;&gt;")&gt;0,VLOOKUP($C240,EmpAll,COLUMN(Emp!$R$4)+MATCH(O$5,DedListItem,0)-1,0),OFFSET(Setup!$E$73,MATCH(O$5,DedListItem,0),0,1,1)))-SUMIFS(OFFSET(O$6,1,0,PayCount,1),PayDate,"&lt;"&amp;$AC240,PayEmp,$C240))))))</f>
        <v>0</v>
      </c>
      <c r="P240" s="133" cm="1">
        <f t="array" aca="1" ref="P240" ca="1">IF($F240="Terminated",0,IF($AA240=0,0,IF(ISNA(MATCH(P$5,DedListItem,0)),0,IF(COUNTIFS(OverEmp,$C240,OverDeduct,P$5,OverDate,"&lt;"&amp;DATE(YEAR($AC240),MONTH($AC240)+1,1),OverEnd,"&gt;="&amp;DATE(YEAR($AC240),MONTH($AC240),1))&gt;0,SUMIFS(OverValue,OverEmp,$C240,OverDeduct,P$5,OverDate,"&lt;"&amp;DATE(YEAR($AC240),MONTH($AC240)+1,1),OverEnd,"&gt;="&amp;DATE(YEAR($AC240),MONTH($AC240),1)),IF(OR(P$2="Fixed",P$2="Not Used"),(IF(COUNTIFS(EmpNo,$C240,OFFSET(Emp!$R$4,1,MATCH(P$5,DedListItem,0)-1,EmpCount,1),"&lt;&gt;")&gt;0,VLOOKUP($C240,EmpAll,COLUMN(Emp!$R$4)+MATCH(P$5,DedListItem,0)-1,0),OFFSET(Setup!$E$73,MATCH(P$5,DedListItem,0),0,1,1))*$AA240)-SUMIFS(OFFSET(P$6,1,0,PayCount,1),PayDate,"&lt;"&amp;$AC240,PayEmp,$C240),IF(ISNA(MATCH(P$2,EarnListItem,0))=FALSE,IF(OFFSET(Setup!$G$73,MATCH(P$5,DedListItem,0),0,1,1)="Taxable",SUMPRODUCT((PayEmp=$C240)*(PayDate&lt;=$AC240)*(PayEarnCode=P$2)*(PayEarnTax)*(PayEarnValues)),SUMPRODUCT((PayEmp=$C240)*(PayDate&lt;=$AC240)*(PayEarnCode=P$2)*(PayEarnValues)))*IF(COUNTIFS(EmpNo,$C240,OFFSET(Emp!$R$4,1,MATCH(P$5,DedListItem,0)-1,EmpCount,1),"&lt;&gt;")&gt;0,VLOOKUP($C240,EmpAll,COLUMN(Emp!$R$4)+MATCH(P$5,DedListItem,0)-1,0),OFFSET(Setup!$E$73,MATCH(P$5,DedListItem,0),0,1,1)),(MIN(IF(OFFSET(Setup!$G$73,MATCH(P$5,DedListItem,0),0,1,1)="Taxable",SUMPRODUCT((PayEmp=$C240)*(PayDate&lt;=$AC240)*(ISERROR(SEARCH(PayEarnCode,P$4)))*(PayEarnTax)*(PayEarnValues)),SUMPRODUCT((PayEmp=$C240)*(PayDate&lt;=$AC240)*(ISERROR(SEARCH(PayEarnCode,P$4)))*(PayEarnValues))),IF(ISNUMBER(P$3),P$3/12*$AA240,IgnoreMin)))*IF(COUNTIFS(EmpNo,$C240,OFFSET(Emp!$R$4,1,MATCH(P$5,DedListItem,0)-1,EmpCount,1),"&lt;&gt;")&gt;0,VLOOKUP($C240,EmpAll,COLUMN(Emp!$R$4)+MATCH(P$5,DedListItem,0)-1,0),OFFSET(Setup!$E$73,MATCH(P$5,DedListItem,0),0,1,1)))-SUMIFS(OFFSET(P$6,1,0,PayCount,1),PayDate,"&lt;"&amp;$AC240,PayEmp,$C240))))))</f>
        <v>0</v>
      </c>
      <c r="Q240" s="133" cm="1">
        <f t="array" aca="1" ref="Q240" ca="1">IF($F240="Terminated",0,IF($AA240=0,0,IF(ISNA(MATCH(Q$5,DedListItem,0)),0,IF(COUNTIFS(OverEmp,$C240,OverDeduct,Q$5,OverDate,"&lt;"&amp;DATE(YEAR($AC240),MONTH($AC240)+1,1),OverEnd,"&gt;="&amp;DATE(YEAR($AC240),MONTH($AC240),1))&gt;0,SUMIFS(OverValue,OverEmp,$C240,OverDeduct,Q$5,OverDate,"&lt;"&amp;DATE(YEAR($AC240),MONTH($AC240)+1,1),OverEnd,"&gt;="&amp;DATE(YEAR($AC240),MONTH($AC240),1)),IF(OR(Q$2="Fixed",Q$2="Not Used"),(IF(COUNTIFS(EmpNo,$C240,OFFSET(Emp!$R$4,1,MATCH(Q$5,DedListItem,0)-1,EmpCount,1),"&lt;&gt;")&gt;0,VLOOKUP($C240,EmpAll,COLUMN(Emp!$R$4)+MATCH(Q$5,DedListItem,0)-1,0),OFFSET(Setup!$E$73,MATCH(Q$5,DedListItem,0),0,1,1))*$AA240)-SUMIFS(OFFSET(Q$6,1,0,PayCount,1),PayDate,"&lt;"&amp;$AC240,PayEmp,$C240),IF(ISNA(MATCH(Q$2,EarnListItem,0))=FALSE,IF(OFFSET(Setup!$G$73,MATCH(Q$5,DedListItem,0),0,1,1)="Taxable",SUMPRODUCT((PayEmp=$C240)*(PayDate&lt;=$AC240)*(PayEarnCode=Q$2)*(PayEarnTax)*(PayEarnValues)),SUMPRODUCT((PayEmp=$C240)*(PayDate&lt;=$AC240)*(PayEarnCode=Q$2)*(PayEarnValues)))*IF(COUNTIFS(EmpNo,$C240,OFFSET(Emp!$R$4,1,MATCH(Q$5,DedListItem,0)-1,EmpCount,1),"&lt;&gt;")&gt;0,VLOOKUP($C240,EmpAll,COLUMN(Emp!$R$4)+MATCH(Q$5,DedListItem,0)-1,0),OFFSET(Setup!$E$73,MATCH(Q$5,DedListItem,0),0,1,1)),(MIN(IF(OFFSET(Setup!$G$73,MATCH(Q$5,DedListItem,0),0,1,1)="Taxable",SUMPRODUCT((PayEmp=$C240)*(PayDate&lt;=$AC240)*(ISERROR(SEARCH(PayEarnCode,Q$4)))*(PayEarnTax)*(PayEarnValues)),SUMPRODUCT((PayEmp=$C240)*(PayDate&lt;=$AC240)*(ISERROR(SEARCH(PayEarnCode,Q$4)))*(PayEarnValues))),IF(ISNUMBER(Q$3),Q$3/12*$AA240,IgnoreMin)))*IF(COUNTIFS(EmpNo,$C240,OFFSET(Emp!$R$4,1,MATCH(Q$5,DedListItem,0)-1,EmpCount,1),"&lt;&gt;")&gt;0,VLOOKUP($C240,EmpAll,COLUMN(Emp!$R$4)+MATCH(Q$5,DedListItem,0)-1,0),OFFSET(Setup!$E$73,MATCH(Q$5,DedListItem,0),0,1,1)))-SUMIFS(OFFSET(Q$6,1,0,PayCount,1),PayDate,"&lt;"&amp;$AC240,PayEmp,$C240))))))</f>
        <v>0</v>
      </c>
      <c r="R240" s="185">
        <f t="shared" ca="1" si="147"/>
        <v>0</v>
      </c>
      <c r="S240" s="139">
        <f t="shared" ca="1" si="148"/>
        <v>0</v>
      </c>
      <c r="T240" s="133" cm="1">
        <f t="array" aca="1" ref="T240" ca="1">IF($F240="Terminated",0,IF($AA240=0,0,IF(ISNA(MATCH(T$5,CompListItem,0)),0,IF(COUNTIFS(OverEmp,$C240,OverComp,T$5,OverDate,"&lt;"&amp;DATE(YEAR($AC240),MONTH($AC240)+1,1),OverEnd,"&gt;="&amp;DATE(YEAR($AC240),MONTH($AC240),1))&gt;0,SUMIFS(OverValue,OverEmp,$C240,OverComp,T$5,OverDate,"&lt;"&amp;DATE(YEAR($AC240),MONTH($AC240)+1,1),OverEnd,"&gt;="&amp;DATE(YEAR($AC240),MONTH($AC240),1)),IF(OR(T$2="Fixed",T$2="Not Used"),(OFFSET(Setup!$E$81,MATCH(T$5,CompListItem,0),0,1,1)*$AA240)-SUMIFS(OFFSET(T$6,1,0,PayCount,1),PayDate,"&lt;"&amp;$AC240,PayEmp,$C240),IF(ISNA(MATCH(T$2,DedListItem,0))=FALSE,(SUMPRODUCT((PayEmp=$C240)*(PayDate&lt;=$AC240)*(PayDedList=T$2)*(PayDedValues))*OFFSET(Setup!$E$81,MATCH(T$5,CompListItem,0),0,1,1))-SUMIFS(OFFSET(T$6,1,0,PayCount,1),PayDate,"&lt;"&amp;$AC240,PayEmp,$C240),(MIN(IF(OFFSET(Setup!$G$81,MATCH(T$5,CompListItem,0),0,1,1)="Taxable",SUMPRODUCT((PayEmp=$C240)*(PayDate&lt;=$AC240)*(ISERROR(SEARCH(PayEarnCode,T$4)))*(PayEarnTax)*(PayEarnValues)),SUMPRODUCT((PayEmp=$C240)*(PayDate&lt;=$AC240)*(ISERROR(SEARCH(PayEarnCode,T$4)))*(PayEarnValues))),IF(ISNUMBER(T$3),T$3/12*$AA240,IgnoreMin)))*OFFSET(Setup!$E$81,MATCH(T$5,CompListItem,0),0,1,1)-SUMIFS(OFFSET(T$6,1,0,PayCount,1),PayDate,"&lt;"&amp;$AC240,PayEmp,$C240)))))))</f>
        <v>0</v>
      </c>
      <c r="U240" s="133" cm="1">
        <f t="array" aca="1" ref="U240" ca="1">IF($F240="Terminated",0,IF($AA240=0,0,IF(ISNA(MATCH(U$5,CompListItem,0)),0,IF(COUNTIFS(OverEmp,$C240,OverComp,U$5,OverDate,"&lt;"&amp;DATE(YEAR($AC240),MONTH($AC240)+1,1),OverEnd,"&gt;="&amp;DATE(YEAR($AC240),MONTH($AC240),1))&gt;0,SUMIFS(OverValue,OverEmp,$C240,OverComp,U$5,OverDate,"&lt;"&amp;DATE(YEAR($AC240),MONTH($AC240)+1,1),OverEnd,"&gt;="&amp;DATE(YEAR($AC240),MONTH($AC240),1)),IF(OR(U$2="Fixed",U$2="Not Used"),(OFFSET(Setup!$E$81,MATCH(U$5,CompListItem,0),0,1,1)*$AA240)-SUMIFS(OFFSET(U$6,1,0,PayCount,1),PayDate,"&lt;"&amp;$AC240,PayEmp,$C240),IF(ISNA(MATCH(U$2,DedListItem,0))=FALSE,(SUMPRODUCT((PayEmp=$C240)*(PayDate&lt;=$AC240)*(PayDedList=U$2)*(PayDedValues))*OFFSET(Setup!$E$81,MATCH(U$5,CompListItem,0),0,1,1))-SUMIFS(OFFSET(U$6,1,0,PayCount,1),PayDate,"&lt;"&amp;$AC240,PayEmp,$C240),(MIN(IF(OFFSET(Setup!$G$81,MATCH(U$5,CompListItem,0),0,1,1)="Taxable",SUMPRODUCT((PayEmp=$C240)*(PayDate&lt;=$AC240)*(ISERROR(SEARCH(PayEarnCode,U$4)))*(PayEarnTax)*(PayEarnValues)),SUMPRODUCT((PayEmp=$C240)*(PayDate&lt;=$AC240)*(ISERROR(SEARCH(PayEarnCode,U$4)))*(PayEarnValues))),IF(ISNUMBER(U$3),U$3/12*$AA240,IgnoreMin)))*OFFSET(Setup!$E$81,MATCH(U$5,CompListItem,0),0,1,1)-SUMIFS(OFFSET(U$6,1,0,PayCount,1),PayDate,"&lt;"&amp;$AC240,PayEmp,$C240)))))))</f>
        <v>0</v>
      </c>
      <c r="V240" s="133" cm="1">
        <f t="array" aca="1" ref="V240" ca="1">IF($F240="Terminated",0,IF($AA240=0,0,IF(ISNA(MATCH(V$5,CompListItem,0)),0,IF(COUNTIFS(OverEmp,$C240,OverComp,V$5,OverDate,"&lt;"&amp;DATE(YEAR($AC240),MONTH($AC240)+1,1),OverEnd,"&gt;="&amp;DATE(YEAR($AC240),MONTH($AC240),1))&gt;0,SUMIFS(OverValue,OverEmp,$C240,OverComp,V$5,OverDate,"&lt;"&amp;DATE(YEAR($AC240),MONTH($AC240)+1,1),OverEnd,"&gt;="&amp;DATE(YEAR($AC240),MONTH($AC240),1)),IF(OR(V$2="Fixed",V$2="Not Used"),(OFFSET(Setup!$E$81,MATCH(V$5,CompListItem,0),0,1,1)*$AA240)-SUMIFS(OFFSET(V$6,1,0,PayCount,1),PayDate,"&lt;"&amp;$AC240,PayEmp,$C240),IF(ISNA(MATCH(V$2,DedListItem,0))=FALSE,(SUMPRODUCT((PayEmp=$C240)*(PayDate&lt;=$AC240)*(PayDedList=V$2)*(PayDedValues))*OFFSET(Setup!$E$81,MATCH(V$5,CompListItem,0),0,1,1))-SUMIFS(OFFSET(V$6,1,0,PayCount,1),PayDate,"&lt;"&amp;$AC240,PayEmp,$C240),(MIN(IF(OFFSET(Setup!$G$81,MATCH(V$5,CompListItem,0),0,1,1)="Taxable",SUMPRODUCT((PayEmp=$C240)*(PayDate&lt;=$AC240)*(ISERROR(SEARCH(PayEarnCode,V$4)))*(PayEarnTax)*(PayEarnValues)),SUMPRODUCT((PayEmp=$C240)*(PayDate&lt;=$AC240)*(ISERROR(SEARCH(PayEarnCode,V$4)))*(PayEarnValues))),IF(ISNUMBER(V$3),V$3/12*$AA240,IgnoreMin)))*OFFSET(Setup!$E$81,MATCH(V$5,CompListItem,0),0,1,1)-SUMIFS(OFFSET(V$6,1,0,PayCount,1),PayDate,"&lt;"&amp;$AC240,PayEmp,$C240)))))))</f>
        <v>0</v>
      </c>
      <c r="W240" s="133" cm="1">
        <f t="array" aca="1" ref="W240" ca="1">IF($F240="Terminated",0,IF($AA240=0,0,IF(ISNA(MATCH(W$5,CompListItem,0)),0,IF(COUNTIFS(OverEmp,$C240,OverComp,W$5,OverDate,"&lt;"&amp;DATE(YEAR($AC240),MONTH($AC240)+1,1),OverEnd,"&gt;="&amp;DATE(YEAR($AC240),MONTH($AC240),1))&gt;0,SUMIFS(OverValue,OverEmp,$C240,OverComp,W$5,OverDate,"&lt;"&amp;DATE(YEAR($AC240),MONTH($AC240)+1,1),OverEnd,"&gt;="&amp;DATE(YEAR($AC240),MONTH($AC240),1)),IF(OR(W$2="Fixed",W$2="Not Used"),(OFFSET(Setup!$E$81,MATCH(W$5,CompListItem,0),0,1,1)*$AA240)-SUMIFS(OFFSET(W$6,1,0,PayCount,1),PayDate,"&lt;"&amp;$AC240,PayEmp,$C240),IF(ISNA(MATCH(W$2,DedListItem,0))=FALSE,(SUMPRODUCT((PayEmp=$C240)*(PayDate&lt;=$AC240)*(PayDedList=W$2)*(PayDedValues))*OFFSET(Setup!$E$81,MATCH(W$5,CompListItem,0),0,1,1))-SUMIFS(OFFSET(W$6,1,0,PayCount,1),PayDate,"&lt;"&amp;$AC240,PayEmp,$C240),(MIN(IF(OFFSET(Setup!$G$81,MATCH(W$5,CompListItem,0),0,1,1)="Taxable",SUMPRODUCT((PayEmp=$C240)*(PayDate&lt;=$AC240)*(ISERROR(SEARCH(PayEarnCode,W$4)))*(PayEarnTax)*(PayEarnValues)),SUMPRODUCT((PayEmp=$C240)*(PayDate&lt;=$AC240)*(ISERROR(SEARCH(PayEarnCode,W$4)))*(PayEarnValues))),IF(ISNUMBER(W$3),W$3/12*$AA240,IgnoreMin)))*OFFSET(Setup!$E$81,MATCH(W$5,CompListItem,0),0,1,1)-SUMIFS(OFFSET(W$6,1,0,PayCount,1),PayDate,"&lt;"&amp;$AC240,PayEmp,$C240)))))))</f>
        <v>0</v>
      </c>
      <c r="X240" s="185">
        <f t="shared" ca="1" si="78"/>
        <v>0</v>
      </c>
      <c r="Y240" s="139">
        <f t="shared" ca="1" si="149"/>
        <v>0</v>
      </c>
      <c r="Z240" s="139">
        <f t="shared" ca="1" si="79"/>
        <v>0</v>
      </c>
      <c r="AA240" s="146">
        <f ca="1">IF(OR($B240&lt;=Setup!$E$12,$B240&gt;=Setup!$D$12+1),0,IF($F240&lt;&gt;"Active",0,IF($AE240="Yes",$AB240,((YEAR($AC240)*12)+MONTH($AC240))-((YEAR($AD240)*12)+MONTH($AD240)-1))))</f>
        <v>0</v>
      </c>
      <c r="AB240" s="146">
        <f ca="1">IF(OR($B240&lt;=Setup!$E$12,$B240&gt;=Setup!$D$12+1),0,((YEAR($AC240)*12)+MONTH($AC240))-((YEAR(Setup!$E$12)*12)+MONTH(Setup!$E$12)))</f>
        <v>12</v>
      </c>
      <c r="AC240" s="186">
        <f t="shared" ca="1" si="83"/>
        <v>45351</v>
      </c>
      <c r="AD240" s="144">
        <f ca="1">IF(ISNA(VLOOKUP($C240,EmpAll,COLUMN(Emp!$E$4),0)),$AC240,IF(VLOOKUP($C240,EmpAll,COLUMN(Emp!$E$4),0)&lt;=Setup!$E$12,DATE(YEAR(Setup!$E$12),MONTH(Setup!$E$12)+1,1),VLOOKUP($C240,EmpAll,COLUMN(Emp!$E$4),0)))</f>
        <v>45351</v>
      </c>
      <c r="AE240" s="144" t="str">
        <f ca="1">IF(ISNA(VLOOKUP($C240,EmpAll,COLUMN(Emp!$G$1),0)),"-",IF(VLOOKUP($C240,EmpAll,COLUMN(Emp!$G$1),0)=0,"-",VLOOKUP($C240,EmpAll,COLUMN(Emp!$G$1),0)))</f>
        <v>-</v>
      </c>
      <c r="AF240" s="145">
        <f>IF(A240=PaySlip!$G$3,1,0)</f>
        <v>0</v>
      </c>
      <c r="AG240" s="130" cm="1">
        <f t="array" aca="1" ref="AG240" ca="1">IF(COUNTIFS(OverEmp,$C240,OverMed,"MED",OverDate,"&lt;"&amp;DATE(YEAR($AC240),MONTH($AC240)+1,1),OverEnd,"&gt;="&amp;DATE(YEAR($AC240),MONTH($AC240),1))&gt;0,SUMIFS(OverValue,OverEmp,$C240,OverMed,"MED",OverDate,"&lt;"&amp;DATE(YEAR($AC240),MONTH($AC240)+1,1),OverEnd,"&gt;="&amp;DATE(YEAR($AC240),MONTH($AC240),1)),IF(ISNA(VLOOKUP($C240,EmpAll,COLUMN(Emp!$N$4),0)),0,VLOOKUP($C240,EmpAll,COLUMN(Emp!$N$4),0)))</f>
        <v>0</v>
      </c>
      <c r="AH240" s="146">
        <f ca="1">VLOOKUP($AG240,MedList,COLUMN(Setup!$C$49),1)</f>
        <v>0</v>
      </c>
      <c r="AI240" s="146">
        <f t="shared" ca="1" si="107"/>
        <v>0</v>
      </c>
      <c r="AJ240" s="101" t="str">
        <f ca="1">IF(ISNA(VLOOKUP($C240,EmpAll,COLUMN(Emp!$L$4),0)),"None!",VLOOKUP($C240,EmpAll,COLUMN(Emp!$L$4),0))</f>
        <v>None!</v>
      </c>
      <c r="AK240" s="147">
        <f t="shared" ca="1" si="80"/>
        <v>17235</v>
      </c>
      <c r="AL240" s="101" t="str">
        <f ca="1">IF(ISNA(VLOOKUP($C240,Employees[],COLUMN(Emp!$M$4),0))=TRUE,"Error!",IF(VLOOKUP($C240,Employees[],COLUMN(Emp!$M$4),0)=0,"Yes",VLOOKUP($C240,Employees[],COLUMN(Emp!$M$4),0)))</f>
        <v>Error!</v>
      </c>
      <c r="AM240" s="148">
        <f t="shared" ca="1" si="108"/>
        <v>0</v>
      </c>
      <c r="AN240" s="148" cm="1">
        <f t="array" aca="1" ref="AN240" ca="1">-IF($F240="Terminated",0,IF($AA240=0,0,IF(ISNA(MATCH(AN$5,PayDedList,0)),0,MIN(IF(COUNTIFS(OverEmp,$C240,OverDeduct,AN$5,OverDate,"&lt;"&amp;DATE(YEAR($AC240),MONTH($AC240)+1,1),OverEnd,"&gt;="&amp;DATE(YEAR($AC240),MONTH($AC240),1))&gt;0,SUMPRODUCT((PayEmp=$C240)*(PayDate&lt;=$AC240)*(OFFSET($N$6,1,MATCH(AN$5,PayDedList,0)-1,PayCount,1)))/$AA240*12*AN$3,IF(OR(AN$1="Fixed",AN$1="Not Used"),SUMPRODUCT((PayEmp=$C240)*(PayDate&lt;=$AC240)*(OFFSET($N$6,1,MATCH(AN$5,PayDedList,0)-1,PayCount,1)))/$AA240*12*AN$3,IF(ISNA(MATCH(AN$1,EarnListItem,0))=FALSE,SUMPRODUCT((PayEmp=$C240)*(PayDate&lt;=$AC240)*(OFFSET($N$6,1,MATCH(AN$5,PayDedList,0)-1,PayCount,1)))/$AA240*12*AN$3,(MIN(((SUMPRODUCT((PayEmp=$C240)*(PayDate&lt;=$AC240)*(ISERROR(SEARCH(PayEarnCode,AN$2)))*(PayEarnType="Monthly")*(PayEarnValues))/$AA240*12)+(SUMPRODUCT((PayEmp=$C240)*(PayDate&lt;=$AC240)*(ISERROR(SEARCH(PayEarnCode,AN$2)))*(PayEarnType="Quarterly")*(PayEarnValues))/MAX(1,ROUNDDOWN($AB240/3,0))*4)+(SUMPRODUCT((PayEmp=$C240)*(PayDate&lt;=$AC240)*(ISERROR(SEARCH(PayEarnCode,AN$2)))*(PayEarnType="Bi-Annual")*(PayEarnValues))/MAX(1,ROUNDDOWN($AB240/6,0))*2)+(SUMPRODUCT((PayEmp=$C240)*(PayDate&lt;=$AC240)*(ISERROR(SEARCH(PayEarnCode,AN$2)))*(PayEarnType="Annual")*(PayEarnValues)))),IF(ISNUMBER(OFFSET($N$3,0,MATCH(AN$5,PayDedList,0)-1,1,1)),OFFSET($N$3,0,MATCH(AN$5,PayDedList,0)-1,1,1),IgnoreMin)))*IF(COUNTIFS(EmpNo,$C240,OFFSET(Emp!$R$4,1,MATCH(AN$5,DedListItem,0)-1,EmpCount,1),"&lt;&gt;")&gt;0,VLOOKUP($C240,EmpAll,COLUMN(Emp!$R$4)+MATCH(AN$5,DedListItem,0)-1,0),OFFSET(Setup!$E$73,MATCH(AN$5,DedListItem,0),0,1,1))*AN$3))),IF(ISNUMBER(AN$4),AN$4,IgnoreMin)))))</f>
        <v>0</v>
      </c>
      <c r="AO240" s="148" cm="1">
        <f t="array" aca="1" ref="AO240" ca="1">-IF($F240="Terminated",0,IF($AA240=0,0,IF(ISNA(MATCH(AO$5,PayDedList,0)),0,MIN(IF(COUNTIFS(OverEmp,$C240,OverDeduct,AO$5,OverDate,"&lt;"&amp;DATE(YEAR($AC240),MONTH($AC240)+1,1),OverEnd,"&gt;="&amp;DATE(YEAR($AC240),MONTH($AC240),1))&gt;0,SUMPRODUCT((PayEmp=$C240)*(PayDate&lt;=$AC240)*(OFFSET($N$6,1,MATCH(AO$5,PayDedList,0)-1,PayCount,1)))/$AA240*12*AO$3,IF(OR(AO$1="Fixed",AO$1="Not Used"),SUMPRODUCT((PayEmp=$C240)*(PayDate&lt;=$AC240)*(OFFSET($N$6,1,MATCH(AO$5,PayDedList,0)-1,PayCount,1)))/$AA240*12*AO$3,IF(ISNA(MATCH(AO$1,EarnListItem,0))=FALSE,SUMPRODUCT((PayEmp=$C240)*(PayDate&lt;=$AC240)*(OFFSET($N$6,1,MATCH(AO$5,PayDedList,0)-1,PayCount,1)))/$AA240*12*AO$3,(MIN(((SUMPRODUCT((PayEmp=$C240)*(PayDate&lt;=$AC240)*(ISERROR(SEARCH(PayEarnCode,AO$2)))*(PayEarnType="Monthly")*(PayEarnValues))/$AA240*12)+(SUMPRODUCT((PayEmp=$C240)*(PayDate&lt;=$AC240)*(ISERROR(SEARCH(PayEarnCode,AO$2)))*(PayEarnType="Quarterly")*(PayEarnValues))/MAX(1,ROUNDDOWN($AB240/3,0))*4)+(SUMPRODUCT((PayEmp=$C240)*(PayDate&lt;=$AC240)*(ISERROR(SEARCH(PayEarnCode,AO$2)))*(PayEarnType="Bi-Annual")*(PayEarnValues))/MAX(1,ROUNDDOWN($AB240/6,0))*2)+(SUMPRODUCT((PayEmp=$C240)*(PayDate&lt;=$AC240)*(ISERROR(SEARCH(PayEarnCode,AO$2)))*(PayEarnType="Annual")*(PayEarnValues)))),IF(ISNUMBER(OFFSET($N$3,0,MATCH(AO$5,PayDedList,0)-1,1,1)),OFFSET($N$3,0,MATCH(AO$5,PayDedList,0)-1,1,1),IgnoreMin)))*IF(COUNTIFS(EmpNo,$C240,OFFSET(Emp!$R$4,1,MATCH(AO$5,DedListItem,0)-1,EmpCount,1),"&lt;&gt;")&gt;0,VLOOKUP($C240,EmpAll,COLUMN(Emp!$R$4)+MATCH(AO$5,DedListItem,0)-1,0),OFFSET(Setup!$E$73,MATCH(AO$5,DedListItem,0),0,1,1))*AO$3))),IF(ISNUMBER(AO$4),AO$4,IgnoreMin)))))</f>
        <v>0</v>
      </c>
      <c r="AP240" s="148" cm="1">
        <f t="array" aca="1" ref="AP240" ca="1">-IF($F240="Terminated",0,IF($AA240=0,0,IF(ISNA(MATCH(AP$5,PayDedList,0)),0,MIN(IF(COUNTIFS(OverEmp,$C240,OverDeduct,AP$5,OverDate,"&lt;"&amp;DATE(YEAR($AC240),MONTH($AC240)+1,1),OverEnd,"&gt;="&amp;DATE(YEAR($AC240),MONTH($AC240),1))&gt;0,SUMPRODUCT((PayEmp=$C240)*(PayDate&lt;=$AC240)*(OFFSET($N$6,1,MATCH(AP$5,PayDedList,0)-1,PayCount,1)))/$AA240*12*AP$3,IF(OR(AP$1="Fixed",AP$1="Not Used"),SUMPRODUCT((PayEmp=$C240)*(PayDate&lt;=$AC240)*(OFFSET($N$6,1,MATCH(AP$5,PayDedList,0)-1,PayCount,1)))/$AA240*12*AP$3,IF(ISNA(MATCH(AP$1,EarnListItem,0))=FALSE,SUMPRODUCT((PayEmp=$C240)*(PayDate&lt;=$AC240)*(OFFSET($N$6,1,MATCH(AP$5,PayDedList,0)-1,PayCount,1)))/$AA240*12*AP$3,(MIN(((SUMPRODUCT((PayEmp=$C240)*(PayDate&lt;=$AC240)*(ISERROR(SEARCH(PayEarnCode,AP$2)))*(PayEarnType="Monthly")*(PayEarnValues))/$AA240*12)+(SUMPRODUCT((PayEmp=$C240)*(PayDate&lt;=$AC240)*(ISERROR(SEARCH(PayEarnCode,AP$2)))*(PayEarnType="Quarterly")*(PayEarnValues))/MAX(1,ROUNDDOWN($AB240/3,0))*4)+(SUMPRODUCT((PayEmp=$C240)*(PayDate&lt;=$AC240)*(ISERROR(SEARCH(PayEarnCode,AP$2)))*(PayEarnType="Bi-Annual")*(PayEarnValues))/MAX(1,ROUNDDOWN($AB240/6,0))*2)+(SUMPRODUCT((PayEmp=$C240)*(PayDate&lt;=$AC240)*(ISERROR(SEARCH(PayEarnCode,AP$2)))*(PayEarnType="Annual")*(PayEarnValues)))),IF(ISNUMBER(OFFSET($N$3,0,MATCH(AP$5,PayDedList,0)-1,1,1)),OFFSET($N$3,0,MATCH(AP$5,PayDedList,0)-1,1,1),IgnoreMin)))*IF(COUNTIFS(EmpNo,$C240,OFFSET(Emp!$R$4,1,MATCH(AP$5,DedListItem,0)-1,EmpCount,1),"&lt;&gt;")&gt;0,VLOOKUP($C240,EmpAll,COLUMN(Emp!$R$4)+MATCH(AP$5,DedListItem,0)-1,0),OFFSET(Setup!$E$73,MATCH(AP$5,DedListItem,0),0,1,1))*AP$3))),IF(ISNUMBER(AP$4),AP$4,IgnoreMin)))))</f>
        <v>0</v>
      </c>
      <c r="AQ240" s="148" cm="1">
        <f t="array" aca="1" ref="AQ240" ca="1">-IF($F240="Terminated",0,IF($AA240=0,0,IF(ISNA(MATCH(AQ$5,PayDedList,0)),0,MIN(IF(COUNTIFS(OverEmp,$C240,OverDeduct,AQ$5,OverDate,"&lt;"&amp;DATE(YEAR($AC240),MONTH($AC240)+1,1),OverEnd,"&gt;="&amp;DATE(YEAR($AC240),MONTH($AC240),1))&gt;0,SUMPRODUCT((PayEmp=$C240)*(PayDate&lt;=$AC240)*(OFFSET($N$6,1,MATCH(AQ$5,PayDedList,0)-1,PayCount,1)))/$AA240*12*AQ$3,IF(OR(AQ$1="Fixed",AQ$1="Not Used"),SUMPRODUCT((PayEmp=$C240)*(PayDate&lt;=$AC240)*(OFFSET($N$6,1,MATCH(AQ$5,PayDedList,0)-1,PayCount,1)))/$AA240*12*AQ$3,IF(ISNA(MATCH(AQ$1,EarnListItem,0))=FALSE,SUMPRODUCT((PayEmp=$C240)*(PayDate&lt;=$AC240)*(OFFSET($N$6,1,MATCH(AQ$5,PayDedList,0)-1,PayCount,1)))/$AA240*12*AQ$3,(MIN(((SUMPRODUCT((PayEmp=$C240)*(PayDate&lt;=$AC240)*(ISERROR(SEARCH(PayEarnCode,AQ$2)))*(PayEarnType="Monthly")*(PayEarnValues))/$AA240*12)+(SUMPRODUCT((PayEmp=$C240)*(PayDate&lt;=$AC240)*(ISERROR(SEARCH(PayEarnCode,AQ$2)))*(PayEarnType="Quarterly")*(PayEarnValues))/MAX(1,ROUNDDOWN($AB240/3,0))*4)+(SUMPRODUCT((PayEmp=$C240)*(PayDate&lt;=$AC240)*(ISERROR(SEARCH(PayEarnCode,AQ$2)))*(PayEarnType="Bi-Annual")*(PayEarnValues))/MAX(1,ROUNDDOWN($AB240/6,0))*2)+(SUMPRODUCT((PayEmp=$C240)*(PayDate&lt;=$AC240)*(ISERROR(SEARCH(PayEarnCode,AQ$2)))*(PayEarnType="Annual")*(PayEarnValues)))),IF(ISNUMBER(OFFSET($N$3,0,MATCH(AQ$5,PayDedList,0)-1,1,1)),OFFSET($N$3,0,MATCH(AQ$5,PayDedList,0)-1,1,1),IgnoreMin)))*IF(COUNTIFS(EmpNo,$C240,OFFSET(Emp!$R$4,1,MATCH(AQ$5,DedListItem,0)-1,EmpCount,1),"&lt;&gt;")&gt;0,VLOOKUP($C240,EmpAll,COLUMN(Emp!$R$4)+MATCH(AQ$5,DedListItem,0)-1,0),OFFSET(Setup!$E$73,MATCH(AQ$5,DedListItem,0),0,1,1))*AQ$3))),IF(ISNUMBER(AQ$4),AQ$4,IgnoreMin)))))</f>
        <v>0</v>
      </c>
      <c r="AR240" s="148">
        <f t="shared" ca="1" si="81"/>
        <v>0</v>
      </c>
      <c r="AS240" s="148">
        <f t="shared" ca="1" si="109"/>
        <v>0</v>
      </c>
      <c r="AT240" s="148" cm="1">
        <f t="array" aca="1" ref="AT240" ca="1">-IF($F240="Terminated",0,IF($AA240=0,0,IF(ISNA(MATCH(AT$5,PayDedList,0)),0,MIN(IF(COUNTIFS(OverEmp,$C240,OverDeduct,AT$5,OverDate,"&lt;"&amp;DATE(YEAR($AC240),MONTH($AC240)+1,1),OverEnd,"&gt;="&amp;DATE(YEAR($AC240),MONTH($AC240),1))&gt;0,SUMPRODUCT((PayEmp=$C240)*(PayDate&lt;=$AC240)*(OFFSET($N$6,1,MATCH(AT$5,PayDedList,0)-1,PayCount,1)))/$AA240*12*AT$3,IF(OR(AT$1="Fixed",AT$1="Not Used"),SUMPRODUCT((PayEmp=$C240)*(PayDate&lt;=$AC240)*(OFFSET($N$6,1,MATCH(AT$5,PayDedList,0)-1,PayCount,1)))/$AA240*12*AT$3,IF(ISNA(MATCH(OFFSET($N$2,0,MATCH(AT$5,PayDedList,0)-1,1,1),EarnListItem,0))=FALSE,SUMPRODUCT((PayEmp=$C240)*(PayDate&lt;=$AC240)*(OFFSET($N$6,1,MATCH(AT$5,PayDedList,0)-1,PayCount,1)))/$AA240*12*AT$3,(MIN(SUMPRODUCT((PayEmp=$C240)*(PayDate&lt;=$AC240)*(ISERROR(SEARCH(PayEarnCode,AT$2)))*(PayEarnType="Monthly")*(PayEarnValues))/$AA240*12,IF(ISNUMBER(OFFSET($N$3,0,MATCH(AT$5,PayDedList,0)-1,1,1)),OFFSET($N$3,0,MATCH(AT$5,PayDedList,0)-1,1,1),IgnoreMin)))*IF(COUNTIFS(EmpNo,$C240,OFFSET(Emp!$R$4,1,MATCH(AT$5,DedListItem,0)-1,EmpCount,1),"&lt;&gt;")&gt;0,VLOOKUP($C240,EmpAll,COLUMN(Emp!$R$4)+MATCH(AT$5,DedListItem,0)-1,0),OFFSET(Setup!$E$73,MATCH(AT$5,DedListItem,0),0,1,1))*AT$3))),IF(ISNUMBER(AT$4),AT$4,IgnoreMin)))))</f>
        <v>0</v>
      </c>
      <c r="AU240" s="148" cm="1">
        <f t="array" aca="1" ref="AU240" ca="1">-IF($F240="Terminated",0,IF($AA240=0,0,IF(ISNA(MATCH(AU$5,PayDedList,0)),0,MIN(IF(COUNTIFS(OverEmp,$C240,OverDeduct,AU$5,OverDate,"&lt;"&amp;DATE(YEAR($AC240),MONTH($AC240)+1,1),OverEnd,"&gt;="&amp;DATE(YEAR($AC240),MONTH($AC240),1))&gt;0,SUMPRODUCT((PayEmp=$C240)*(PayDate&lt;=$AC240)*(OFFSET($N$6,1,MATCH(AU$5,PayDedList,0)-1,PayCount,1)))/$AA240*12*AU$3,IF(OR(AU$1="Fixed",AU$1="Not Used"),SUMPRODUCT((PayEmp=$C240)*(PayDate&lt;=$AC240)*(OFFSET($N$6,1,MATCH(AU$5,PayDedList,0)-1,PayCount,1)))/$AA240*12*AU$3,IF(ISNA(MATCH(OFFSET($N$2,0,MATCH(AU$5,PayDedList,0)-1,1,1),EarnListItem,0))=FALSE,SUMPRODUCT((PayEmp=$C240)*(PayDate&lt;=$AC240)*(OFFSET($N$6,1,MATCH(AU$5,PayDedList,0)-1,PayCount,1)))/$AA240*12*AU$3,(MIN(SUMPRODUCT((PayEmp=$C240)*(PayDate&lt;=$AC240)*(ISERROR(SEARCH(PayEarnCode,AU$2)))*(PayEarnType="Monthly")*(PayEarnValues))/$AA240*12,IF(ISNUMBER(OFFSET($N$3,0,MATCH(AU$5,PayDedList,0)-1,1,1)),OFFSET($N$3,0,MATCH(AU$5,PayDedList,0)-1,1,1),IgnoreMin)))*IF(COUNTIFS(EmpNo,$C240,OFFSET(Emp!$R$4,1,MATCH(AU$5,DedListItem,0)-1,EmpCount,1),"&lt;&gt;")&gt;0,VLOOKUP($C240,EmpAll,COLUMN(Emp!$R$4)+MATCH(AU$5,DedListItem,0)-1,0),OFFSET(Setup!$E$73,MATCH(AU$5,DedListItem,0),0,1,1))*AU$3))),IF(ISNUMBER(AU$4),AU$4,IgnoreMin)))))</f>
        <v>0</v>
      </c>
      <c r="AV240" s="148" cm="1">
        <f t="array" aca="1" ref="AV240" ca="1">-IF($F240="Terminated",0,IF($AA240=0,0,IF(ISNA(MATCH(AV$5,PayDedList,0)),0,MIN(IF(COUNTIFS(OverEmp,$C240,OverDeduct,AV$5,OverDate,"&lt;"&amp;DATE(YEAR($AC240),MONTH($AC240)+1,1),OverEnd,"&gt;="&amp;DATE(YEAR($AC240),MONTH($AC240),1))&gt;0,SUMPRODUCT((PayEmp=$C240)*(PayDate&lt;=$AC240)*(OFFSET($N$6,1,MATCH(AV$5,PayDedList,0)-1,PayCount,1)))/$AA240*12*AV$3,IF(OR(AV$1="Fixed",AV$1="Not Used"),SUMPRODUCT((PayEmp=$C240)*(PayDate&lt;=$AC240)*(OFFSET($N$6,1,MATCH(AV$5,PayDedList,0)-1,PayCount,1)))/$AA240*12*AV$3,IF(ISNA(MATCH(OFFSET($N$2,0,MATCH(AV$5,PayDedList,0)-1,1,1),EarnListItem,0))=FALSE,SUMPRODUCT((PayEmp=$C240)*(PayDate&lt;=$AC240)*(OFFSET($N$6,1,MATCH(AV$5,PayDedList,0)-1,PayCount,1)))/$AA240*12*AV$3,(MIN(SUMPRODUCT((PayEmp=$C240)*(PayDate&lt;=$AC240)*(ISERROR(SEARCH(PayEarnCode,AV$2)))*(PayEarnType="Monthly")*(PayEarnValues))/$AA240*12,IF(ISNUMBER(OFFSET($N$3,0,MATCH(AV$5,PayDedList,0)-1,1,1)),OFFSET($N$3,0,MATCH(AV$5,PayDedList,0)-1,1,1),IgnoreMin)))*IF(COUNTIFS(EmpNo,$C240,OFFSET(Emp!$R$4,1,MATCH(AV$5,DedListItem,0)-1,EmpCount,1),"&lt;&gt;")&gt;0,VLOOKUP($C240,EmpAll,COLUMN(Emp!$R$4)+MATCH(AV$5,DedListItem,0)-1,0),OFFSET(Setup!$E$73,MATCH(AV$5,DedListItem,0),0,1,1))*AV$3))),IF(ISNUMBER(AV$4),AV$4,IgnoreMin)))))</f>
        <v>0</v>
      </c>
      <c r="AW240" s="148" cm="1">
        <f t="array" aca="1" ref="AW240" ca="1">-IF($F240="Terminated",0,IF($AA240=0,0,IF(ISNA(MATCH(AW$5,PayDedList,0)),0,MIN(IF(COUNTIFS(OverEmp,$C240,OverDeduct,AW$5,OverDate,"&lt;"&amp;DATE(YEAR($AC240),MONTH($AC240)+1,1),OverEnd,"&gt;="&amp;DATE(YEAR($AC240),MONTH($AC240),1))&gt;0,SUMPRODUCT((PayEmp=$C240)*(PayDate&lt;=$AC240)*(OFFSET($N$6,1,MATCH(AW$5,PayDedList,0)-1,PayCount,1)))/$AA240*12*AW$3,IF(OR(AW$1="Fixed",AW$1="Not Used"),SUMPRODUCT((PayEmp=$C240)*(PayDate&lt;=$AC240)*(OFFSET($N$6,1,MATCH(AW$5,PayDedList,0)-1,PayCount,1)))/$AA240*12*AW$3,IF(ISNA(MATCH(OFFSET($N$2,0,MATCH(AW$5,PayDedList,0)-1,1,1),EarnListItem,0))=FALSE,SUMPRODUCT((PayEmp=$C240)*(PayDate&lt;=$AC240)*(OFFSET($N$6,1,MATCH(AW$5,PayDedList,0)-1,PayCount,1)))/$AA240*12*AW$3,(MIN(SUMPRODUCT((PayEmp=$C240)*(PayDate&lt;=$AC240)*(ISERROR(SEARCH(PayEarnCode,AW$2)))*(PayEarnType="Monthly")*(PayEarnValues))/$AA240*12,IF(ISNUMBER(OFFSET($N$3,0,MATCH(AW$5,PayDedList,0)-1,1,1)),OFFSET($N$3,0,MATCH(AW$5,PayDedList,0)-1,1,1),IgnoreMin)))*IF(COUNTIFS(EmpNo,$C240,OFFSET(Emp!$R$4,1,MATCH(AW$5,DedListItem,0)-1,EmpCount,1),"&lt;&gt;")&gt;0,VLOOKUP($C240,EmpAll,COLUMN(Emp!$R$4)+MATCH(AW$5,DedListItem,0)-1,0),OFFSET(Setup!$E$73,MATCH(AW$5,DedListItem,0),0,1,1))*AW$3))),IF(ISNUMBER(AW$4),AW$4,IgnoreMin)))))</f>
        <v>0</v>
      </c>
      <c r="AX240" s="148">
        <f t="shared" ca="1" si="150"/>
        <v>0</v>
      </c>
      <c r="AY240" s="148">
        <f t="shared" ca="1" si="151"/>
        <v>0</v>
      </c>
      <c r="AZ240" s="148">
        <f ca="1">IF(ISNUMBER($AL240),($AR240*$AL240)-$AI240-$AK240,MAX(0,IF($AL240="B",IF($AR240&lt;Setup!$C$32,($AR240*Setup!$D$32)-$AI240-$AK240,(($AR240-VLOOKUP($AR240,TaxAll2,1,1))*OFFSET(Setup!$D$32,MATCH($AR240,TaxBracket2,1),0,1,1))+OFFSET(Setup!$E$31,MATCH($AR240,TaxBracket2,1),0,1,1)-$AI240-$AK240),IF($AR240&lt;Setup!$C$21,($AR240*Setup!$D$21)-$AI240-$AK240,(($AR240-VLOOKUP($AR240,TaxAll1,1,1))*OFFSET(Setup!$D$21,MATCH($AR240,TaxBracket1,1),0,1,1))+OFFSET(Setup!$E$20,MATCH($AR240,TaxBracket1,1),0,1,1)-$AI240-$AK240))))</f>
        <v>0</v>
      </c>
      <c r="BA240" s="148">
        <f ca="1">IF(ISNUMBER($AL240),($AX240*$AL240)-$AI240-$AK240,MAX(0,IF($AL240="B",IF($AX240&lt;Setup!$C$32,($AX240*Setup!$D$32)-$AI240-$AK240,(($AX240-VLOOKUP($AX240,TaxAll2,1,1))*OFFSET(Setup!$D$32,MATCH($AX240,TaxBracket2,1),0,1,1))+OFFSET(Setup!$E$31,MATCH($AX240,TaxBracket2,1),0,1,1)-$AI240-$AK240),IF($AX240&lt;Setup!$C$21,($AX240*Setup!$D$21)-$AI240-$AK240,(($AX240-VLOOKUP($AX240,TaxAll1,1,1))*OFFSET(Setup!$D$21,MATCH($AX240,TaxBracket1,1),0,1,1))+OFFSET(Setup!$E$20,MATCH($AX240,TaxBracket1,1),0,1,1)-$AI240-$AK240))))</f>
        <v>0</v>
      </c>
      <c r="BB240" s="148">
        <f t="shared" ca="1" si="82"/>
        <v>0</v>
      </c>
      <c r="BC240" s="150">
        <f t="shared" ca="1" si="110"/>
        <v>0</v>
      </c>
      <c r="BD240" s="150">
        <f t="shared" ca="1" si="111"/>
        <v>0</v>
      </c>
      <c r="BE240" s="148">
        <f t="shared" ca="1" si="112"/>
        <v>0</v>
      </c>
    </row>
    <row r="241" spans="1:57" ht="16.149999999999999" customHeight="1" x14ac:dyDescent="0.25">
      <c r="A241" s="10" t="str" cm="1">
        <f t="array" ref="A241">IF(ROW($A241)-ROW($A$6)&gt;EmpCount*12,"-",TEXT($B241,"yyyy")&amp;TEXT($B241,"mm")&amp;"-"&amp;$C241)</f>
        <v>-</v>
      </c>
      <c r="B241" s="137" cm="1">
        <f t="array" aca="1" ref="B241" ca="1">IF(ROW($A241)-ROW($A$6)&gt;EmpCount*12,Setup!$D$12,DATE(YEAR(Setup!$F$12),MONTH(Setup!$F$12)+ROUNDDOWN((ROW($A241)-ROW($A$6)-1)/EmpCount,0),IF(Setup!$C$14&gt;DAY(DATE(YEAR(Setup!$F$12),MONTH(Setup!$F$12)+ROUNDDOWN((ROW($A241)-ROW($A$6)-1)/EmpCount,0)+1,0)),DAY(DATE(YEAR(Setup!$F$12),MONTH(Setup!$F$12)+ROUNDDOWN((ROW($A241)-ROW($A$6)-1)/EmpCount,0)+1,0)),Setup!$C$14)))</f>
        <v>45351</v>
      </c>
      <c r="C241" s="101" t="str" cm="1">
        <f t="array" aca="1" ref="C241" ca="1">IF(ROW($A241)-ROW($A$6)&gt;EmpCount*12,"-",OFFSET(Emp!$A$4,ROW($A241)-ROW($A$6)-IF(ROW($A241)-ROW($A$6)&gt;EmpCount,ROUNDDOWN((ROW($A241)-ROW($A$6)-1)/EmpCount,0)*EmpCount,0),0,1,1))</f>
        <v>-</v>
      </c>
      <c r="D241" s="10" t="str">
        <f ca="1">IF(ISNA(VLOOKUP($C241,EmpAll,COLUMN(Emp!$B$4),0)),"-",VLOOKUP($C241,EmpAll,COLUMN(Emp!$B$4),0))</f>
        <v>-</v>
      </c>
      <c r="E241" s="145" t="str">
        <f ca="1">IF(ISNA(VLOOKUP($C241,EmpAll,COLUMN(Emp!$C$4),0)),"-",VLOOKUP($C241,EmpAll,COLUMN(Emp!$C$4),0))</f>
        <v>-</v>
      </c>
      <c r="F241" s="101" t="str">
        <f ca="1">IF(ISNA(VLOOKUP($C241,EmpAll,COLUMN(Emp!$A$4),0)),"-",IF(AND(VLOOKUP($C241,EmpAll,COLUMN(Emp!$E$4),0)&lt;&gt;0,VLOOKUP($C241,EmpAll,COLUMN(Emp!$E$4),0)&gt;=DATE(YEAR($AC241),MONTH($AC241)+1,0)),"Inactive",IF(AND(VLOOKUP($C241,EmpAll,COLUMN(Emp!$F$4),0)&lt;&gt;0,VLOOKUP($C241,EmpAll,COLUMN(Emp!$F$4),0)&lt;=DATE(YEAR($AC241),MONTH($AC241),0)),"Terminated","Active")))</f>
        <v>-</v>
      </c>
      <c r="G241" s="133" cm="1">
        <f t="array" aca="1" ref="G241" ca="1">IF($F241&lt;&gt;"Active",0,IF(COUNTIFS(OverEmp,$C241,OverEarn,G$2,OverDate,"&lt;"&amp;DATE(YEAR($AC241),MONTH($AC241)+1,1),OverEnd,"&gt;="&amp;DATE(YEAR($AC241),MONTH($AC241),1))&gt;0,SUMIFS(OverValue,OverEmp,$C241,OverEarn,G$2,OverDate,"&lt;"&amp;DATE(YEAR($AC241),MONTH($AC241)+1,1),OverEnd,"&gt;="&amp;DATE(YEAR($AC241),MONTH($AC241),1)),IF(AND($AC241&gt;=Setup!$E$10,SUMIFS(EmpIncrease,EmpCode,$C241)&gt;0),SUMIFS(EmpIncrease,EmpCode,$C241),SUMIFS(EmpSalary,EmpCode,$C241))))</f>
        <v>0</v>
      </c>
      <c r="H241" s="133" cm="1">
        <f t="array" aca="1" ref="H241" ca="1">IF($F241&lt;&gt;"Active",0,IF(COUNTIFS(OverEmp,$C241,OverEarn,H$2,OverDate,"&lt;"&amp;DATE(YEAR($AC241),MONTH($AC241)+1,1),OverEnd,"&gt;="&amp;DATE(YEAR($AC241),MONTH($AC241),1))&gt;0,SUMIFS(OverValue,OverEmp,$C241,OverEarn,H$2,OverDate,"&lt;"&amp;DATE(YEAR($AC241),MONTH($AC241)+1,1),OverEnd,"&gt;="&amp;DATE(YEAR($AC241),MONTH($AC241),1)),0))</f>
        <v>0</v>
      </c>
      <c r="I241" s="133" cm="1">
        <f t="array" aca="1" ref="I241" ca="1">IF($F241&lt;&gt;"Active",0,IF(COUNTIFS(OverEmp,$C241,OverEarn,I$2,OverDate,"&lt;"&amp;DATE(YEAR($AC241),MONTH($AC241)+1,1),OverEnd,"&gt;="&amp;DATE(YEAR($AC241),MONTH($AC241),1))&gt;0,SUMIFS(OverValue,OverEmp,$C241,OverEarn,I$2,OverDate,"&lt;"&amp;DATE(YEAR($AC241),MONTH($AC241)+1,1),OverEnd,"&gt;="&amp;DATE(YEAR($AC241),MONTH($AC241),1)),IF(MONTH(B241)=Setup!$C$15,SUMIFS(EmpBonus,EmpCode,$C241),0)))</f>
        <v>0</v>
      </c>
      <c r="J241" s="133" cm="1">
        <f t="array" aca="1" ref="J241" ca="1">IF($F241&lt;&gt;"Active",0,IF(COUNTIFS(OverEmp,$C241,OverEarn,J$2,OverDate,"&lt;"&amp;DATE(YEAR($AC241),MONTH($AC241)+1,1),OverEnd,"&gt;="&amp;DATE(YEAR($AC241),MONTH($AC241),1))&gt;0,SUMIFS(OverValue,OverEmp,$C241,OverEarn,J$2,OverDate,"&lt;"&amp;DATE(YEAR($AC241),MONTH($AC241)+1,1),OverEnd,"&gt;="&amp;DATE(YEAR($AC241),MONTH($AC241),1)),0))</f>
        <v>0</v>
      </c>
      <c r="K241" s="133" cm="1">
        <f t="array" aca="1" ref="K241" ca="1">IF($F241&lt;&gt;"Active",0,IF(COUNTIFS(OverEmp,$C241,OverEarn,K$2,OverDate,"&lt;"&amp;DATE(YEAR($AC241),MONTH($AC241)+1,1),OverEnd,"&gt;="&amp;DATE(YEAR($AC241),MONTH($AC241),1))&gt;0,SUMIFS(OverValue,OverEmp,$C241,OverEarn,K$2,OverDate,"&lt;"&amp;DATE(YEAR($AC241),MONTH($AC241)+1,1),OverEnd,"&gt;="&amp;DATE(YEAR($AC241),MONTH($AC241),1)),0))</f>
        <v>0</v>
      </c>
      <c r="L241" s="185">
        <f t="shared" ca="1" si="146"/>
        <v>0</v>
      </c>
      <c r="M241" s="182" cm="1">
        <f t="array" aca="1" ref="M241" ca="1">IF(COUNTIFS(OverEmp,$C241,OverTax,M$5,OverDate,"&lt;"&amp;DATE(YEAR($AC241),MONTH($AC241)+1,1),OverEnd,"&gt;="&amp;DATE(YEAR($AC241),MONTH($AC241),1))&gt;0,SUMIFS(OverValue,OverEmp,$C241,OverTax,M$5,OverDate,"&lt;"&amp;DATE(YEAR($AC241),MONTH($AC241)+1,1),OverEnd,"&gt;="&amp;DATE(YEAR($AC241),MONTH($AC241),1)),(($BA241/12*$AA241)+(BB241*IF(1-$BC241=0,0,BD241/(1-$BC241))))-IF($F241="Terminated",0,SUMIFS(PayTaxDeduct,PayDate,"&lt;"&amp;$AC241,PayEmp,$C241)))</f>
        <v>0</v>
      </c>
      <c r="N241" s="133" cm="1">
        <f t="array" aca="1" ref="N241" ca="1">IF($F241="Terminated",0,IF($AA241=0,0,IF(ISNA(MATCH(N$5,DedListItem,0)),0,IF(COUNTIFS(OverEmp,$C241,OverDeduct,N$5,OverDate,"&lt;"&amp;DATE(YEAR($AC241),MONTH($AC241)+1,1),OverEnd,"&gt;="&amp;DATE(YEAR($AC241),MONTH($AC241),1))&gt;0,SUMIFS(OverValue,OverEmp,$C241,OverDeduct,N$5,OverDate,"&lt;"&amp;DATE(YEAR($AC241),MONTH($AC241)+1,1),OverEnd,"&gt;="&amp;DATE(YEAR($AC241),MONTH($AC241),1)),IF(OR(N$2="Fixed",N$2="Not Used"),(IF(COUNTIFS(EmpNo,$C241,OFFSET(Emp!$R$4,1,MATCH(N$5,DedListItem,0)-1,EmpCount,1),"&lt;&gt;")&gt;0,VLOOKUP($C241,EmpAll,COLUMN(Emp!$R$4)+MATCH(N$5,DedListItem,0)-1,0),OFFSET(Setup!$E$73,MATCH(N$5,DedListItem,0),0,1,1))*$AA241)-SUMIFS(OFFSET(N$6,1,0,PayCount,1),PayDate,"&lt;"&amp;$AC241,PayEmp,$C241),IF(ISNA(MATCH(N$2,EarnListItem,0))=FALSE,IF(OFFSET(Setup!$G$73,MATCH(N$5,DedListItem,0),0,1,1)="Taxable",SUMPRODUCT((PayEmp=$C241)*(PayDate&lt;=$AC241)*(PayEarnCode=N$2)*(PayEarnTax)*(PayEarnValues)),SUMPRODUCT((PayEmp=$C241)*(PayDate&lt;=$AC241)*(PayEarnCode=N$2)*(PayEarnValues)))*IF(COUNTIFS(EmpNo,$C241,OFFSET(Emp!$R$4,1,MATCH(N$5,DedListItem,0)-1,EmpCount,1),"&lt;&gt;")&gt;0,VLOOKUP($C241,EmpAll,COLUMN(Emp!$R$4)+MATCH(N$5,DedListItem,0)-1,0),OFFSET(Setup!$E$73,MATCH(N$5,DedListItem,0),0,1,1)),(MIN(IF(OFFSET(Setup!$G$73,MATCH(N$5,DedListItem,0),0,1,1)="Taxable",SUMPRODUCT((PayEmp=$C241)*(PayDate&lt;=$AC241)*(ISERROR(SEARCH(PayEarnCode,N$4)))*(PayEarnTax)*(PayEarnValues)),SUMPRODUCT((PayEmp=$C241)*(PayDate&lt;=$AC241)*(ISERROR(SEARCH(PayEarnCode,N$4)))*(PayEarnValues))),IF(ISNUMBER(N$3),N$3/12*$AA241,IgnoreMin)))*IF(COUNTIFS(EmpNo,$C241,OFFSET(Emp!$R$4,1,MATCH(N$5,DedListItem,0)-1,EmpCount,1),"&lt;&gt;")&gt;0,VLOOKUP($C241,EmpAll,COLUMN(Emp!$R$4)+MATCH(N$5,DedListItem,0)-1,0),OFFSET(Setup!$E$73,MATCH(N$5,DedListItem,0),0,1,1)))-SUMIFS(OFFSET(N$6,1,0,PayCount,1),PayDate,"&lt;"&amp;$AC241,PayEmp,$C241))))))</f>
        <v>0</v>
      </c>
      <c r="O241" s="133" cm="1">
        <f t="array" aca="1" ref="O241" ca="1">IF($F241="Terminated",0,IF($AA241=0,0,IF(ISNA(MATCH(O$5,DedListItem,0)),0,IF(COUNTIFS(OverEmp,$C241,OverDeduct,O$5,OverDate,"&lt;"&amp;DATE(YEAR($AC241),MONTH($AC241)+1,1),OverEnd,"&gt;="&amp;DATE(YEAR($AC241),MONTH($AC241),1))&gt;0,SUMIFS(OverValue,OverEmp,$C241,OverDeduct,O$5,OverDate,"&lt;"&amp;DATE(YEAR($AC241),MONTH($AC241)+1,1),OverEnd,"&gt;="&amp;DATE(YEAR($AC241),MONTH($AC241),1)),IF(OR(O$2="Fixed",O$2="Not Used"),(IF(COUNTIFS(EmpNo,$C241,OFFSET(Emp!$R$4,1,MATCH(O$5,DedListItem,0)-1,EmpCount,1),"&lt;&gt;")&gt;0,VLOOKUP($C241,EmpAll,COLUMN(Emp!$R$4)+MATCH(O$5,DedListItem,0)-1,0),OFFSET(Setup!$E$73,MATCH(O$5,DedListItem,0),0,1,1))*$AA241)-SUMIFS(OFFSET(O$6,1,0,PayCount,1),PayDate,"&lt;"&amp;$AC241,PayEmp,$C241),IF(ISNA(MATCH(O$2,EarnListItem,0))=FALSE,IF(OFFSET(Setup!$G$73,MATCH(O$5,DedListItem,0),0,1,1)="Taxable",SUMPRODUCT((PayEmp=$C241)*(PayDate&lt;=$AC241)*(PayEarnCode=O$2)*(PayEarnTax)*(PayEarnValues)),SUMPRODUCT((PayEmp=$C241)*(PayDate&lt;=$AC241)*(PayEarnCode=O$2)*(PayEarnValues)))*IF(COUNTIFS(EmpNo,$C241,OFFSET(Emp!$R$4,1,MATCH(O$5,DedListItem,0)-1,EmpCount,1),"&lt;&gt;")&gt;0,VLOOKUP($C241,EmpAll,COLUMN(Emp!$R$4)+MATCH(O$5,DedListItem,0)-1,0),OFFSET(Setup!$E$73,MATCH(O$5,DedListItem,0),0,1,1)),(MIN(IF(OFFSET(Setup!$G$73,MATCH(O$5,DedListItem,0),0,1,1)="Taxable",SUMPRODUCT((PayEmp=$C241)*(PayDate&lt;=$AC241)*(ISERROR(SEARCH(PayEarnCode,O$4)))*(PayEarnTax)*(PayEarnValues)),SUMPRODUCT((PayEmp=$C241)*(PayDate&lt;=$AC241)*(ISERROR(SEARCH(PayEarnCode,O$4)))*(PayEarnValues))),IF(ISNUMBER(O$3),O$3/12*$AA241,IgnoreMin)))*IF(COUNTIFS(EmpNo,$C241,OFFSET(Emp!$R$4,1,MATCH(O$5,DedListItem,0)-1,EmpCount,1),"&lt;&gt;")&gt;0,VLOOKUP($C241,EmpAll,COLUMN(Emp!$R$4)+MATCH(O$5,DedListItem,0)-1,0),OFFSET(Setup!$E$73,MATCH(O$5,DedListItem,0),0,1,1)))-SUMIFS(OFFSET(O$6,1,0,PayCount,1),PayDate,"&lt;"&amp;$AC241,PayEmp,$C241))))))</f>
        <v>0</v>
      </c>
      <c r="P241" s="133" cm="1">
        <f t="array" aca="1" ref="P241" ca="1">IF($F241="Terminated",0,IF($AA241=0,0,IF(ISNA(MATCH(P$5,DedListItem,0)),0,IF(COUNTIFS(OverEmp,$C241,OverDeduct,P$5,OverDate,"&lt;"&amp;DATE(YEAR($AC241),MONTH($AC241)+1,1),OverEnd,"&gt;="&amp;DATE(YEAR($AC241),MONTH($AC241),1))&gt;0,SUMIFS(OverValue,OverEmp,$C241,OverDeduct,P$5,OverDate,"&lt;"&amp;DATE(YEAR($AC241),MONTH($AC241)+1,1),OverEnd,"&gt;="&amp;DATE(YEAR($AC241),MONTH($AC241),1)),IF(OR(P$2="Fixed",P$2="Not Used"),(IF(COUNTIFS(EmpNo,$C241,OFFSET(Emp!$R$4,1,MATCH(P$5,DedListItem,0)-1,EmpCount,1),"&lt;&gt;")&gt;0,VLOOKUP($C241,EmpAll,COLUMN(Emp!$R$4)+MATCH(P$5,DedListItem,0)-1,0),OFFSET(Setup!$E$73,MATCH(P$5,DedListItem,0),0,1,1))*$AA241)-SUMIFS(OFFSET(P$6,1,0,PayCount,1),PayDate,"&lt;"&amp;$AC241,PayEmp,$C241),IF(ISNA(MATCH(P$2,EarnListItem,0))=FALSE,IF(OFFSET(Setup!$G$73,MATCH(P$5,DedListItem,0),0,1,1)="Taxable",SUMPRODUCT((PayEmp=$C241)*(PayDate&lt;=$AC241)*(PayEarnCode=P$2)*(PayEarnTax)*(PayEarnValues)),SUMPRODUCT((PayEmp=$C241)*(PayDate&lt;=$AC241)*(PayEarnCode=P$2)*(PayEarnValues)))*IF(COUNTIFS(EmpNo,$C241,OFFSET(Emp!$R$4,1,MATCH(P$5,DedListItem,0)-1,EmpCount,1),"&lt;&gt;")&gt;0,VLOOKUP($C241,EmpAll,COLUMN(Emp!$R$4)+MATCH(P$5,DedListItem,0)-1,0),OFFSET(Setup!$E$73,MATCH(P$5,DedListItem,0),0,1,1)),(MIN(IF(OFFSET(Setup!$G$73,MATCH(P$5,DedListItem,0),0,1,1)="Taxable",SUMPRODUCT((PayEmp=$C241)*(PayDate&lt;=$AC241)*(ISERROR(SEARCH(PayEarnCode,P$4)))*(PayEarnTax)*(PayEarnValues)),SUMPRODUCT((PayEmp=$C241)*(PayDate&lt;=$AC241)*(ISERROR(SEARCH(PayEarnCode,P$4)))*(PayEarnValues))),IF(ISNUMBER(P$3),P$3/12*$AA241,IgnoreMin)))*IF(COUNTIFS(EmpNo,$C241,OFFSET(Emp!$R$4,1,MATCH(P$5,DedListItem,0)-1,EmpCount,1),"&lt;&gt;")&gt;0,VLOOKUP($C241,EmpAll,COLUMN(Emp!$R$4)+MATCH(P$5,DedListItem,0)-1,0),OFFSET(Setup!$E$73,MATCH(P$5,DedListItem,0),0,1,1)))-SUMIFS(OFFSET(P$6,1,0,PayCount,1),PayDate,"&lt;"&amp;$AC241,PayEmp,$C241))))))</f>
        <v>0</v>
      </c>
      <c r="Q241" s="133" cm="1">
        <f t="array" aca="1" ref="Q241" ca="1">IF($F241="Terminated",0,IF($AA241=0,0,IF(ISNA(MATCH(Q$5,DedListItem,0)),0,IF(COUNTIFS(OverEmp,$C241,OverDeduct,Q$5,OverDate,"&lt;"&amp;DATE(YEAR($AC241),MONTH($AC241)+1,1),OverEnd,"&gt;="&amp;DATE(YEAR($AC241),MONTH($AC241),1))&gt;0,SUMIFS(OverValue,OverEmp,$C241,OverDeduct,Q$5,OverDate,"&lt;"&amp;DATE(YEAR($AC241),MONTH($AC241)+1,1),OverEnd,"&gt;="&amp;DATE(YEAR($AC241),MONTH($AC241),1)),IF(OR(Q$2="Fixed",Q$2="Not Used"),(IF(COUNTIFS(EmpNo,$C241,OFFSET(Emp!$R$4,1,MATCH(Q$5,DedListItem,0)-1,EmpCount,1),"&lt;&gt;")&gt;0,VLOOKUP($C241,EmpAll,COLUMN(Emp!$R$4)+MATCH(Q$5,DedListItem,0)-1,0),OFFSET(Setup!$E$73,MATCH(Q$5,DedListItem,0),0,1,1))*$AA241)-SUMIFS(OFFSET(Q$6,1,0,PayCount,1),PayDate,"&lt;"&amp;$AC241,PayEmp,$C241),IF(ISNA(MATCH(Q$2,EarnListItem,0))=FALSE,IF(OFFSET(Setup!$G$73,MATCH(Q$5,DedListItem,0),0,1,1)="Taxable",SUMPRODUCT((PayEmp=$C241)*(PayDate&lt;=$AC241)*(PayEarnCode=Q$2)*(PayEarnTax)*(PayEarnValues)),SUMPRODUCT((PayEmp=$C241)*(PayDate&lt;=$AC241)*(PayEarnCode=Q$2)*(PayEarnValues)))*IF(COUNTIFS(EmpNo,$C241,OFFSET(Emp!$R$4,1,MATCH(Q$5,DedListItem,0)-1,EmpCount,1),"&lt;&gt;")&gt;0,VLOOKUP($C241,EmpAll,COLUMN(Emp!$R$4)+MATCH(Q$5,DedListItem,0)-1,0),OFFSET(Setup!$E$73,MATCH(Q$5,DedListItem,0),0,1,1)),(MIN(IF(OFFSET(Setup!$G$73,MATCH(Q$5,DedListItem,0),0,1,1)="Taxable",SUMPRODUCT((PayEmp=$C241)*(PayDate&lt;=$AC241)*(ISERROR(SEARCH(PayEarnCode,Q$4)))*(PayEarnTax)*(PayEarnValues)),SUMPRODUCT((PayEmp=$C241)*(PayDate&lt;=$AC241)*(ISERROR(SEARCH(PayEarnCode,Q$4)))*(PayEarnValues))),IF(ISNUMBER(Q$3),Q$3/12*$AA241,IgnoreMin)))*IF(COUNTIFS(EmpNo,$C241,OFFSET(Emp!$R$4,1,MATCH(Q$5,DedListItem,0)-1,EmpCount,1),"&lt;&gt;")&gt;0,VLOOKUP($C241,EmpAll,COLUMN(Emp!$R$4)+MATCH(Q$5,DedListItem,0)-1,0),OFFSET(Setup!$E$73,MATCH(Q$5,DedListItem,0),0,1,1)))-SUMIFS(OFFSET(Q$6,1,0,PayCount,1),PayDate,"&lt;"&amp;$AC241,PayEmp,$C241))))))</f>
        <v>0</v>
      </c>
      <c r="R241" s="185">
        <f t="shared" ca="1" si="147"/>
        <v>0</v>
      </c>
      <c r="S241" s="139">
        <f t="shared" ca="1" si="148"/>
        <v>0</v>
      </c>
      <c r="T241" s="133" cm="1">
        <f t="array" aca="1" ref="T241" ca="1">IF($F241="Terminated",0,IF($AA241=0,0,IF(ISNA(MATCH(T$5,CompListItem,0)),0,IF(COUNTIFS(OverEmp,$C241,OverComp,T$5,OverDate,"&lt;"&amp;DATE(YEAR($AC241),MONTH($AC241)+1,1),OverEnd,"&gt;="&amp;DATE(YEAR($AC241),MONTH($AC241),1))&gt;0,SUMIFS(OverValue,OverEmp,$C241,OverComp,T$5,OverDate,"&lt;"&amp;DATE(YEAR($AC241),MONTH($AC241)+1,1),OverEnd,"&gt;="&amp;DATE(YEAR($AC241),MONTH($AC241),1)),IF(OR(T$2="Fixed",T$2="Not Used"),(OFFSET(Setup!$E$81,MATCH(T$5,CompListItem,0),0,1,1)*$AA241)-SUMIFS(OFFSET(T$6,1,0,PayCount,1),PayDate,"&lt;"&amp;$AC241,PayEmp,$C241),IF(ISNA(MATCH(T$2,DedListItem,0))=FALSE,(SUMPRODUCT((PayEmp=$C241)*(PayDate&lt;=$AC241)*(PayDedList=T$2)*(PayDedValues))*OFFSET(Setup!$E$81,MATCH(T$5,CompListItem,0),0,1,1))-SUMIFS(OFFSET(T$6,1,0,PayCount,1),PayDate,"&lt;"&amp;$AC241,PayEmp,$C241),(MIN(IF(OFFSET(Setup!$G$81,MATCH(T$5,CompListItem,0),0,1,1)="Taxable",SUMPRODUCT((PayEmp=$C241)*(PayDate&lt;=$AC241)*(ISERROR(SEARCH(PayEarnCode,T$4)))*(PayEarnTax)*(PayEarnValues)),SUMPRODUCT((PayEmp=$C241)*(PayDate&lt;=$AC241)*(ISERROR(SEARCH(PayEarnCode,T$4)))*(PayEarnValues))),IF(ISNUMBER(T$3),T$3/12*$AA241,IgnoreMin)))*OFFSET(Setup!$E$81,MATCH(T$5,CompListItem,0),0,1,1)-SUMIFS(OFFSET(T$6,1,0,PayCount,1),PayDate,"&lt;"&amp;$AC241,PayEmp,$C241)))))))</f>
        <v>0</v>
      </c>
      <c r="U241" s="133" cm="1">
        <f t="array" aca="1" ref="U241" ca="1">IF($F241="Terminated",0,IF($AA241=0,0,IF(ISNA(MATCH(U$5,CompListItem,0)),0,IF(COUNTIFS(OverEmp,$C241,OverComp,U$5,OverDate,"&lt;"&amp;DATE(YEAR($AC241),MONTH($AC241)+1,1),OverEnd,"&gt;="&amp;DATE(YEAR($AC241),MONTH($AC241),1))&gt;0,SUMIFS(OverValue,OverEmp,$C241,OverComp,U$5,OverDate,"&lt;"&amp;DATE(YEAR($AC241),MONTH($AC241)+1,1),OverEnd,"&gt;="&amp;DATE(YEAR($AC241),MONTH($AC241),1)),IF(OR(U$2="Fixed",U$2="Not Used"),(OFFSET(Setup!$E$81,MATCH(U$5,CompListItem,0),0,1,1)*$AA241)-SUMIFS(OFFSET(U$6,1,0,PayCount,1),PayDate,"&lt;"&amp;$AC241,PayEmp,$C241),IF(ISNA(MATCH(U$2,DedListItem,0))=FALSE,(SUMPRODUCT((PayEmp=$C241)*(PayDate&lt;=$AC241)*(PayDedList=U$2)*(PayDedValues))*OFFSET(Setup!$E$81,MATCH(U$5,CompListItem,0),0,1,1))-SUMIFS(OFFSET(U$6,1,0,PayCount,1),PayDate,"&lt;"&amp;$AC241,PayEmp,$C241),(MIN(IF(OFFSET(Setup!$G$81,MATCH(U$5,CompListItem,0),0,1,1)="Taxable",SUMPRODUCT((PayEmp=$C241)*(PayDate&lt;=$AC241)*(ISERROR(SEARCH(PayEarnCode,U$4)))*(PayEarnTax)*(PayEarnValues)),SUMPRODUCT((PayEmp=$C241)*(PayDate&lt;=$AC241)*(ISERROR(SEARCH(PayEarnCode,U$4)))*(PayEarnValues))),IF(ISNUMBER(U$3),U$3/12*$AA241,IgnoreMin)))*OFFSET(Setup!$E$81,MATCH(U$5,CompListItem,0),0,1,1)-SUMIFS(OFFSET(U$6,1,0,PayCount,1),PayDate,"&lt;"&amp;$AC241,PayEmp,$C241)))))))</f>
        <v>0</v>
      </c>
      <c r="V241" s="133" cm="1">
        <f t="array" aca="1" ref="V241" ca="1">IF($F241="Terminated",0,IF($AA241=0,0,IF(ISNA(MATCH(V$5,CompListItem,0)),0,IF(COUNTIFS(OverEmp,$C241,OverComp,V$5,OverDate,"&lt;"&amp;DATE(YEAR($AC241),MONTH($AC241)+1,1),OverEnd,"&gt;="&amp;DATE(YEAR($AC241),MONTH($AC241),1))&gt;0,SUMIFS(OverValue,OverEmp,$C241,OverComp,V$5,OverDate,"&lt;"&amp;DATE(YEAR($AC241),MONTH($AC241)+1,1),OverEnd,"&gt;="&amp;DATE(YEAR($AC241),MONTH($AC241),1)),IF(OR(V$2="Fixed",V$2="Not Used"),(OFFSET(Setup!$E$81,MATCH(V$5,CompListItem,0),0,1,1)*$AA241)-SUMIFS(OFFSET(V$6,1,0,PayCount,1),PayDate,"&lt;"&amp;$AC241,PayEmp,$C241),IF(ISNA(MATCH(V$2,DedListItem,0))=FALSE,(SUMPRODUCT((PayEmp=$C241)*(PayDate&lt;=$AC241)*(PayDedList=V$2)*(PayDedValues))*OFFSET(Setup!$E$81,MATCH(V$5,CompListItem,0),0,1,1))-SUMIFS(OFFSET(V$6,1,0,PayCount,1),PayDate,"&lt;"&amp;$AC241,PayEmp,$C241),(MIN(IF(OFFSET(Setup!$G$81,MATCH(V$5,CompListItem,0),0,1,1)="Taxable",SUMPRODUCT((PayEmp=$C241)*(PayDate&lt;=$AC241)*(ISERROR(SEARCH(PayEarnCode,V$4)))*(PayEarnTax)*(PayEarnValues)),SUMPRODUCT((PayEmp=$C241)*(PayDate&lt;=$AC241)*(ISERROR(SEARCH(PayEarnCode,V$4)))*(PayEarnValues))),IF(ISNUMBER(V$3),V$3/12*$AA241,IgnoreMin)))*OFFSET(Setup!$E$81,MATCH(V$5,CompListItem,0),0,1,1)-SUMIFS(OFFSET(V$6,1,0,PayCount,1),PayDate,"&lt;"&amp;$AC241,PayEmp,$C241)))))))</f>
        <v>0</v>
      </c>
      <c r="W241" s="133" cm="1">
        <f t="array" aca="1" ref="W241" ca="1">IF($F241="Terminated",0,IF($AA241=0,0,IF(ISNA(MATCH(W$5,CompListItem,0)),0,IF(COUNTIFS(OverEmp,$C241,OverComp,W$5,OverDate,"&lt;"&amp;DATE(YEAR($AC241),MONTH($AC241)+1,1),OverEnd,"&gt;="&amp;DATE(YEAR($AC241),MONTH($AC241),1))&gt;0,SUMIFS(OverValue,OverEmp,$C241,OverComp,W$5,OverDate,"&lt;"&amp;DATE(YEAR($AC241),MONTH($AC241)+1,1),OverEnd,"&gt;="&amp;DATE(YEAR($AC241),MONTH($AC241),1)),IF(OR(W$2="Fixed",W$2="Not Used"),(OFFSET(Setup!$E$81,MATCH(W$5,CompListItem,0),0,1,1)*$AA241)-SUMIFS(OFFSET(W$6,1,0,PayCount,1),PayDate,"&lt;"&amp;$AC241,PayEmp,$C241),IF(ISNA(MATCH(W$2,DedListItem,0))=FALSE,(SUMPRODUCT((PayEmp=$C241)*(PayDate&lt;=$AC241)*(PayDedList=W$2)*(PayDedValues))*OFFSET(Setup!$E$81,MATCH(W$5,CompListItem,0),0,1,1))-SUMIFS(OFFSET(W$6,1,0,PayCount,1),PayDate,"&lt;"&amp;$AC241,PayEmp,$C241),(MIN(IF(OFFSET(Setup!$G$81,MATCH(W$5,CompListItem,0),0,1,1)="Taxable",SUMPRODUCT((PayEmp=$C241)*(PayDate&lt;=$AC241)*(ISERROR(SEARCH(PayEarnCode,W$4)))*(PayEarnTax)*(PayEarnValues)),SUMPRODUCT((PayEmp=$C241)*(PayDate&lt;=$AC241)*(ISERROR(SEARCH(PayEarnCode,W$4)))*(PayEarnValues))),IF(ISNUMBER(W$3),W$3/12*$AA241,IgnoreMin)))*OFFSET(Setup!$E$81,MATCH(W$5,CompListItem,0),0,1,1)-SUMIFS(OFFSET(W$6,1,0,PayCount,1),PayDate,"&lt;"&amp;$AC241,PayEmp,$C241)))))))</f>
        <v>0</v>
      </c>
      <c r="X241" s="185">
        <f t="shared" ca="1" si="78"/>
        <v>0</v>
      </c>
      <c r="Y241" s="139">
        <f t="shared" ca="1" si="149"/>
        <v>0</v>
      </c>
      <c r="Z241" s="139">
        <f t="shared" ca="1" si="79"/>
        <v>0</v>
      </c>
      <c r="AA241" s="146">
        <f ca="1">IF(OR($B241&lt;=Setup!$E$12,$B241&gt;=Setup!$D$12+1),0,IF($F241&lt;&gt;"Active",0,IF($AE241="Yes",$AB241,((YEAR($AC241)*12)+MONTH($AC241))-((YEAR($AD241)*12)+MONTH($AD241)-1))))</f>
        <v>0</v>
      </c>
      <c r="AB241" s="146">
        <f ca="1">IF(OR($B241&lt;=Setup!$E$12,$B241&gt;=Setup!$D$12+1),0,((YEAR($AC241)*12)+MONTH($AC241))-((YEAR(Setup!$E$12)*12)+MONTH(Setup!$E$12)))</f>
        <v>12</v>
      </c>
      <c r="AC241" s="186">
        <f t="shared" ca="1" si="83"/>
        <v>45351</v>
      </c>
      <c r="AD241" s="144">
        <f ca="1">IF(ISNA(VLOOKUP($C241,EmpAll,COLUMN(Emp!$E$4),0)),$AC241,IF(VLOOKUP($C241,EmpAll,COLUMN(Emp!$E$4),0)&lt;=Setup!$E$12,DATE(YEAR(Setup!$E$12),MONTH(Setup!$E$12)+1,1),VLOOKUP($C241,EmpAll,COLUMN(Emp!$E$4),0)))</f>
        <v>45351</v>
      </c>
      <c r="AE241" s="144" t="str">
        <f ca="1">IF(ISNA(VLOOKUP($C241,EmpAll,COLUMN(Emp!$G$1),0)),"-",IF(VLOOKUP($C241,EmpAll,COLUMN(Emp!$G$1),0)=0,"-",VLOOKUP($C241,EmpAll,COLUMN(Emp!$G$1),0)))</f>
        <v>-</v>
      </c>
      <c r="AF241" s="145">
        <f>IF(A241=PaySlip!$G$3,1,0)</f>
        <v>0</v>
      </c>
      <c r="AG241" s="130" cm="1">
        <f t="array" aca="1" ref="AG241" ca="1">IF(COUNTIFS(OverEmp,$C241,OverMed,"MED",OverDate,"&lt;"&amp;DATE(YEAR($AC241),MONTH($AC241)+1,1),OverEnd,"&gt;="&amp;DATE(YEAR($AC241),MONTH($AC241),1))&gt;0,SUMIFS(OverValue,OverEmp,$C241,OverMed,"MED",OverDate,"&lt;"&amp;DATE(YEAR($AC241),MONTH($AC241)+1,1),OverEnd,"&gt;="&amp;DATE(YEAR($AC241),MONTH($AC241),1)),IF(ISNA(VLOOKUP($C241,EmpAll,COLUMN(Emp!$N$4),0)),0,VLOOKUP($C241,EmpAll,COLUMN(Emp!$N$4),0)))</f>
        <v>0</v>
      </c>
      <c r="AH241" s="146">
        <f ca="1">VLOOKUP($AG241,MedList,COLUMN(Setup!$C$49),1)</f>
        <v>0</v>
      </c>
      <c r="AI241" s="146">
        <f t="shared" ca="1" si="107"/>
        <v>0</v>
      </c>
      <c r="AJ241" s="101" t="str">
        <f ca="1">IF(ISNA(VLOOKUP($C241,EmpAll,COLUMN(Emp!$L$4),0)),"None!",VLOOKUP($C241,EmpAll,COLUMN(Emp!$L$4),0))</f>
        <v>None!</v>
      </c>
      <c r="AK241" s="147">
        <f t="shared" ca="1" si="80"/>
        <v>17235</v>
      </c>
      <c r="AL241" s="101" t="str">
        <f ca="1">IF(ISNA(VLOOKUP($C241,Employees[],COLUMN(Emp!$M$4),0))=TRUE,"Error!",IF(VLOOKUP($C241,Employees[],COLUMN(Emp!$M$4),0)=0,"Yes",VLOOKUP($C241,Employees[],COLUMN(Emp!$M$4),0)))</f>
        <v>Error!</v>
      </c>
      <c r="AM241" s="148">
        <f t="shared" ca="1" si="108"/>
        <v>0</v>
      </c>
      <c r="AN241" s="148" cm="1">
        <f t="array" aca="1" ref="AN241" ca="1">-IF($F241="Terminated",0,IF($AA241=0,0,IF(ISNA(MATCH(AN$5,PayDedList,0)),0,MIN(IF(COUNTIFS(OverEmp,$C241,OverDeduct,AN$5,OverDate,"&lt;"&amp;DATE(YEAR($AC241),MONTH($AC241)+1,1),OverEnd,"&gt;="&amp;DATE(YEAR($AC241),MONTH($AC241),1))&gt;0,SUMPRODUCT((PayEmp=$C241)*(PayDate&lt;=$AC241)*(OFFSET($N$6,1,MATCH(AN$5,PayDedList,0)-1,PayCount,1)))/$AA241*12*AN$3,IF(OR(AN$1="Fixed",AN$1="Not Used"),SUMPRODUCT((PayEmp=$C241)*(PayDate&lt;=$AC241)*(OFFSET($N$6,1,MATCH(AN$5,PayDedList,0)-1,PayCount,1)))/$AA241*12*AN$3,IF(ISNA(MATCH(AN$1,EarnListItem,0))=FALSE,SUMPRODUCT((PayEmp=$C241)*(PayDate&lt;=$AC241)*(OFFSET($N$6,1,MATCH(AN$5,PayDedList,0)-1,PayCount,1)))/$AA241*12*AN$3,(MIN(((SUMPRODUCT((PayEmp=$C241)*(PayDate&lt;=$AC241)*(ISERROR(SEARCH(PayEarnCode,AN$2)))*(PayEarnType="Monthly")*(PayEarnValues))/$AA241*12)+(SUMPRODUCT((PayEmp=$C241)*(PayDate&lt;=$AC241)*(ISERROR(SEARCH(PayEarnCode,AN$2)))*(PayEarnType="Quarterly")*(PayEarnValues))/MAX(1,ROUNDDOWN($AB241/3,0))*4)+(SUMPRODUCT((PayEmp=$C241)*(PayDate&lt;=$AC241)*(ISERROR(SEARCH(PayEarnCode,AN$2)))*(PayEarnType="Bi-Annual")*(PayEarnValues))/MAX(1,ROUNDDOWN($AB241/6,0))*2)+(SUMPRODUCT((PayEmp=$C241)*(PayDate&lt;=$AC241)*(ISERROR(SEARCH(PayEarnCode,AN$2)))*(PayEarnType="Annual")*(PayEarnValues)))),IF(ISNUMBER(OFFSET($N$3,0,MATCH(AN$5,PayDedList,0)-1,1,1)),OFFSET($N$3,0,MATCH(AN$5,PayDedList,0)-1,1,1),IgnoreMin)))*IF(COUNTIFS(EmpNo,$C241,OFFSET(Emp!$R$4,1,MATCH(AN$5,DedListItem,0)-1,EmpCount,1),"&lt;&gt;")&gt;0,VLOOKUP($C241,EmpAll,COLUMN(Emp!$R$4)+MATCH(AN$5,DedListItem,0)-1,0),OFFSET(Setup!$E$73,MATCH(AN$5,DedListItem,0),0,1,1))*AN$3))),IF(ISNUMBER(AN$4),AN$4,IgnoreMin)))))</f>
        <v>0</v>
      </c>
      <c r="AO241" s="148" cm="1">
        <f t="array" aca="1" ref="AO241" ca="1">-IF($F241="Terminated",0,IF($AA241=0,0,IF(ISNA(MATCH(AO$5,PayDedList,0)),0,MIN(IF(COUNTIFS(OverEmp,$C241,OverDeduct,AO$5,OverDate,"&lt;"&amp;DATE(YEAR($AC241),MONTH($AC241)+1,1),OverEnd,"&gt;="&amp;DATE(YEAR($AC241),MONTH($AC241),1))&gt;0,SUMPRODUCT((PayEmp=$C241)*(PayDate&lt;=$AC241)*(OFFSET($N$6,1,MATCH(AO$5,PayDedList,0)-1,PayCount,1)))/$AA241*12*AO$3,IF(OR(AO$1="Fixed",AO$1="Not Used"),SUMPRODUCT((PayEmp=$C241)*(PayDate&lt;=$AC241)*(OFFSET($N$6,1,MATCH(AO$5,PayDedList,0)-1,PayCount,1)))/$AA241*12*AO$3,IF(ISNA(MATCH(AO$1,EarnListItem,0))=FALSE,SUMPRODUCT((PayEmp=$C241)*(PayDate&lt;=$AC241)*(OFFSET($N$6,1,MATCH(AO$5,PayDedList,0)-1,PayCount,1)))/$AA241*12*AO$3,(MIN(((SUMPRODUCT((PayEmp=$C241)*(PayDate&lt;=$AC241)*(ISERROR(SEARCH(PayEarnCode,AO$2)))*(PayEarnType="Monthly")*(PayEarnValues))/$AA241*12)+(SUMPRODUCT((PayEmp=$C241)*(PayDate&lt;=$AC241)*(ISERROR(SEARCH(PayEarnCode,AO$2)))*(PayEarnType="Quarterly")*(PayEarnValues))/MAX(1,ROUNDDOWN($AB241/3,0))*4)+(SUMPRODUCT((PayEmp=$C241)*(PayDate&lt;=$AC241)*(ISERROR(SEARCH(PayEarnCode,AO$2)))*(PayEarnType="Bi-Annual")*(PayEarnValues))/MAX(1,ROUNDDOWN($AB241/6,0))*2)+(SUMPRODUCT((PayEmp=$C241)*(PayDate&lt;=$AC241)*(ISERROR(SEARCH(PayEarnCode,AO$2)))*(PayEarnType="Annual")*(PayEarnValues)))),IF(ISNUMBER(OFFSET($N$3,0,MATCH(AO$5,PayDedList,0)-1,1,1)),OFFSET($N$3,0,MATCH(AO$5,PayDedList,0)-1,1,1),IgnoreMin)))*IF(COUNTIFS(EmpNo,$C241,OFFSET(Emp!$R$4,1,MATCH(AO$5,DedListItem,0)-1,EmpCount,1),"&lt;&gt;")&gt;0,VLOOKUP($C241,EmpAll,COLUMN(Emp!$R$4)+MATCH(AO$5,DedListItem,0)-1,0),OFFSET(Setup!$E$73,MATCH(AO$5,DedListItem,0),0,1,1))*AO$3))),IF(ISNUMBER(AO$4),AO$4,IgnoreMin)))))</f>
        <v>0</v>
      </c>
      <c r="AP241" s="148" cm="1">
        <f t="array" aca="1" ref="AP241" ca="1">-IF($F241="Terminated",0,IF($AA241=0,0,IF(ISNA(MATCH(AP$5,PayDedList,0)),0,MIN(IF(COUNTIFS(OverEmp,$C241,OverDeduct,AP$5,OverDate,"&lt;"&amp;DATE(YEAR($AC241),MONTH($AC241)+1,1),OverEnd,"&gt;="&amp;DATE(YEAR($AC241),MONTH($AC241),1))&gt;0,SUMPRODUCT((PayEmp=$C241)*(PayDate&lt;=$AC241)*(OFFSET($N$6,1,MATCH(AP$5,PayDedList,0)-1,PayCount,1)))/$AA241*12*AP$3,IF(OR(AP$1="Fixed",AP$1="Not Used"),SUMPRODUCT((PayEmp=$C241)*(PayDate&lt;=$AC241)*(OFFSET($N$6,1,MATCH(AP$5,PayDedList,0)-1,PayCount,1)))/$AA241*12*AP$3,IF(ISNA(MATCH(AP$1,EarnListItem,0))=FALSE,SUMPRODUCT((PayEmp=$C241)*(PayDate&lt;=$AC241)*(OFFSET($N$6,1,MATCH(AP$5,PayDedList,0)-1,PayCount,1)))/$AA241*12*AP$3,(MIN(((SUMPRODUCT((PayEmp=$C241)*(PayDate&lt;=$AC241)*(ISERROR(SEARCH(PayEarnCode,AP$2)))*(PayEarnType="Monthly")*(PayEarnValues))/$AA241*12)+(SUMPRODUCT((PayEmp=$C241)*(PayDate&lt;=$AC241)*(ISERROR(SEARCH(PayEarnCode,AP$2)))*(PayEarnType="Quarterly")*(PayEarnValues))/MAX(1,ROUNDDOWN($AB241/3,0))*4)+(SUMPRODUCT((PayEmp=$C241)*(PayDate&lt;=$AC241)*(ISERROR(SEARCH(PayEarnCode,AP$2)))*(PayEarnType="Bi-Annual")*(PayEarnValues))/MAX(1,ROUNDDOWN($AB241/6,0))*2)+(SUMPRODUCT((PayEmp=$C241)*(PayDate&lt;=$AC241)*(ISERROR(SEARCH(PayEarnCode,AP$2)))*(PayEarnType="Annual")*(PayEarnValues)))),IF(ISNUMBER(OFFSET($N$3,0,MATCH(AP$5,PayDedList,0)-1,1,1)),OFFSET($N$3,0,MATCH(AP$5,PayDedList,0)-1,1,1),IgnoreMin)))*IF(COUNTIFS(EmpNo,$C241,OFFSET(Emp!$R$4,1,MATCH(AP$5,DedListItem,0)-1,EmpCount,1),"&lt;&gt;")&gt;0,VLOOKUP($C241,EmpAll,COLUMN(Emp!$R$4)+MATCH(AP$5,DedListItem,0)-1,0),OFFSET(Setup!$E$73,MATCH(AP$5,DedListItem,0),0,1,1))*AP$3))),IF(ISNUMBER(AP$4),AP$4,IgnoreMin)))))</f>
        <v>0</v>
      </c>
      <c r="AQ241" s="148" cm="1">
        <f t="array" aca="1" ref="AQ241" ca="1">-IF($F241="Terminated",0,IF($AA241=0,0,IF(ISNA(MATCH(AQ$5,PayDedList,0)),0,MIN(IF(COUNTIFS(OverEmp,$C241,OverDeduct,AQ$5,OverDate,"&lt;"&amp;DATE(YEAR($AC241),MONTH($AC241)+1,1),OverEnd,"&gt;="&amp;DATE(YEAR($AC241),MONTH($AC241),1))&gt;0,SUMPRODUCT((PayEmp=$C241)*(PayDate&lt;=$AC241)*(OFFSET($N$6,1,MATCH(AQ$5,PayDedList,0)-1,PayCount,1)))/$AA241*12*AQ$3,IF(OR(AQ$1="Fixed",AQ$1="Not Used"),SUMPRODUCT((PayEmp=$C241)*(PayDate&lt;=$AC241)*(OFFSET($N$6,1,MATCH(AQ$5,PayDedList,0)-1,PayCount,1)))/$AA241*12*AQ$3,IF(ISNA(MATCH(AQ$1,EarnListItem,0))=FALSE,SUMPRODUCT((PayEmp=$C241)*(PayDate&lt;=$AC241)*(OFFSET($N$6,1,MATCH(AQ$5,PayDedList,0)-1,PayCount,1)))/$AA241*12*AQ$3,(MIN(((SUMPRODUCT((PayEmp=$C241)*(PayDate&lt;=$AC241)*(ISERROR(SEARCH(PayEarnCode,AQ$2)))*(PayEarnType="Monthly")*(PayEarnValues))/$AA241*12)+(SUMPRODUCT((PayEmp=$C241)*(PayDate&lt;=$AC241)*(ISERROR(SEARCH(PayEarnCode,AQ$2)))*(PayEarnType="Quarterly")*(PayEarnValues))/MAX(1,ROUNDDOWN($AB241/3,0))*4)+(SUMPRODUCT((PayEmp=$C241)*(PayDate&lt;=$AC241)*(ISERROR(SEARCH(PayEarnCode,AQ$2)))*(PayEarnType="Bi-Annual")*(PayEarnValues))/MAX(1,ROUNDDOWN($AB241/6,0))*2)+(SUMPRODUCT((PayEmp=$C241)*(PayDate&lt;=$AC241)*(ISERROR(SEARCH(PayEarnCode,AQ$2)))*(PayEarnType="Annual")*(PayEarnValues)))),IF(ISNUMBER(OFFSET($N$3,0,MATCH(AQ$5,PayDedList,0)-1,1,1)),OFFSET($N$3,0,MATCH(AQ$5,PayDedList,0)-1,1,1),IgnoreMin)))*IF(COUNTIFS(EmpNo,$C241,OFFSET(Emp!$R$4,1,MATCH(AQ$5,DedListItem,0)-1,EmpCount,1),"&lt;&gt;")&gt;0,VLOOKUP($C241,EmpAll,COLUMN(Emp!$R$4)+MATCH(AQ$5,DedListItem,0)-1,0),OFFSET(Setup!$E$73,MATCH(AQ$5,DedListItem,0),0,1,1))*AQ$3))),IF(ISNUMBER(AQ$4),AQ$4,IgnoreMin)))))</f>
        <v>0</v>
      </c>
      <c r="AR241" s="148">
        <f t="shared" ca="1" si="81"/>
        <v>0</v>
      </c>
      <c r="AS241" s="148">
        <f t="shared" ca="1" si="109"/>
        <v>0</v>
      </c>
      <c r="AT241" s="148" cm="1">
        <f t="array" aca="1" ref="AT241" ca="1">-IF($F241="Terminated",0,IF($AA241=0,0,IF(ISNA(MATCH(AT$5,PayDedList,0)),0,MIN(IF(COUNTIFS(OverEmp,$C241,OverDeduct,AT$5,OverDate,"&lt;"&amp;DATE(YEAR($AC241),MONTH($AC241)+1,1),OverEnd,"&gt;="&amp;DATE(YEAR($AC241),MONTH($AC241),1))&gt;0,SUMPRODUCT((PayEmp=$C241)*(PayDate&lt;=$AC241)*(OFFSET($N$6,1,MATCH(AT$5,PayDedList,0)-1,PayCount,1)))/$AA241*12*AT$3,IF(OR(AT$1="Fixed",AT$1="Not Used"),SUMPRODUCT((PayEmp=$C241)*(PayDate&lt;=$AC241)*(OFFSET($N$6,1,MATCH(AT$5,PayDedList,0)-1,PayCount,1)))/$AA241*12*AT$3,IF(ISNA(MATCH(OFFSET($N$2,0,MATCH(AT$5,PayDedList,0)-1,1,1),EarnListItem,0))=FALSE,SUMPRODUCT((PayEmp=$C241)*(PayDate&lt;=$AC241)*(OFFSET($N$6,1,MATCH(AT$5,PayDedList,0)-1,PayCount,1)))/$AA241*12*AT$3,(MIN(SUMPRODUCT((PayEmp=$C241)*(PayDate&lt;=$AC241)*(ISERROR(SEARCH(PayEarnCode,AT$2)))*(PayEarnType="Monthly")*(PayEarnValues))/$AA241*12,IF(ISNUMBER(OFFSET($N$3,0,MATCH(AT$5,PayDedList,0)-1,1,1)),OFFSET($N$3,0,MATCH(AT$5,PayDedList,0)-1,1,1),IgnoreMin)))*IF(COUNTIFS(EmpNo,$C241,OFFSET(Emp!$R$4,1,MATCH(AT$5,DedListItem,0)-1,EmpCount,1),"&lt;&gt;")&gt;0,VLOOKUP($C241,EmpAll,COLUMN(Emp!$R$4)+MATCH(AT$5,DedListItem,0)-1,0),OFFSET(Setup!$E$73,MATCH(AT$5,DedListItem,0),0,1,1))*AT$3))),IF(ISNUMBER(AT$4),AT$4,IgnoreMin)))))</f>
        <v>0</v>
      </c>
      <c r="AU241" s="148" cm="1">
        <f t="array" aca="1" ref="AU241" ca="1">-IF($F241="Terminated",0,IF($AA241=0,0,IF(ISNA(MATCH(AU$5,PayDedList,0)),0,MIN(IF(COUNTIFS(OverEmp,$C241,OverDeduct,AU$5,OverDate,"&lt;"&amp;DATE(YEAR($AC241),MONTH($AC241)+1,1),OverEnd,"&gt;="&amp;DATE(YEAR($AC241),MONTH($AC241),1))&gt;0,SUMPRODUCT((PayEmp=$C241)*(PayDate&lt;=$AC241)*(OFFSET($N$6,1,MATCH(AU$5,PayDedList,0)-1,PayCount,1)))/$AA241*12*AU$3,IF(OR(AU$1="Fixed",AU$1="Not Used"),SUMPRODUCT((PayEmp=$C241)*(PayDate&lt;=$AC241)*(OFFSET($N$6,1,MATCH(AU$5,PayDedList,0)-1,PayCount,1)))/$AA241*12*AU$3,IF(ISNA(MATCH(OFFSET($N$2,0,MATCH(AU$5,PayDedList,0)-1,1,1),EarnListItem,0))=FALSE,SUMPRODUCT((PayEmp=$C241)*(PayDate&lt;=$AC241)*(OFFSET($N$6,1,MATCH(AU$5,PayDedList,0)-1,PayCount,1)))/$AA241*12*AU$3,(MIN(SUMPRODUCT((PayEmp=$C241)*(PayDate&lt;=$AC241)*(ISERROR(SEARCH(PayEarnCode,AU$2)))*(PayEarnType="Monthly")*(PayEarnValues))/$AA241*12,IF(ISNUMBER(OFFSET($N$3,0,MATCH(AU$5,PayDedList,0)-1,1,1)),OFFSET($N$3,0,MATCH(AU$5,PayDedList,0)-1,1,1),IgnoreMin)))*IF(COUNTIFS(EmpNo,$C241,OFFSET(Emp!$R$4,1,MATCH(AU$5,DedListItem,0)-1,EmpCount,1),"&lt;&gt;")&gt;0,VLOOKUP($C241,EmpAll,COLUMN(Emp!$R$4)+MATCH(AU$5,DedListItem,0)-1,0),OFFSET(Setup!$E$73,MATCH(AU$5,DedListItem,0),0,1,1))*AU$3))),IF(ISNUMBER(AU$4),AU$4,IgnoreMin)))))</f>
        <v>0</v>
      </c>
      <c r="AV241" s="148" cm="1">
        <f t="array" aca="1" ref="AV241" ca="1">-IF($F241="Terminated",0,IF($AA241=0,0,IF(ISNA(MATCH(AV$5,PayDedList,0)),0,MIN(IF(COUNTIFS(OverEmp,$C241,OverDeduct,AV$5,OverDate,"&lt;"&amp;DATE(YEAR($AC241),MONTH($AC241)+1,1),OverEnd,"&gt;="&amp;DATE(YEAR($AC241),MONTH($AC241),1))&gt;0,SUMPRODUCT((PayEmp=$C241)*(PayDate&lt;=$AC241)*(OFFSET($N$6,1,MATCH(AV$5,PayDedList,0)-1,PayCount,1)))/$AA241*12*AV$3,IF(OR(AV$1="Fixed",AV$1="Not Used"),SUMPRODUCT((PayEmp=$C241)*(PayDate&lt;=$AC241)*(OFFSET($N$6,1,MATCH(AV$5,PayDedList,0)-1,PayCount,1)))/$AA241*12*AV$3,IF(ISNA(MATCH(OFFSET($N$2,0,MATCH(AV$5,PayDedList,0)-1,1,1),EarnListItem,0))=FALSE,SUMPRODUCT((PayEmp=$C241)*(PayDate&lt;=$AC241)*(OFFSET($N$6,1,MATCH(AV$5,PayDedList,0)-1,PayCount,1)))/$AA241*12*AV$3,(MIN(SUMPRODUCT((PayEmp=$C241)*(PayDate&lt;=$AC241)*(ISERROR(SEARCH(PayEarnCode,AV$2)))*(PayEarnType="Monthly")*(PayEarnValues))/$AA241*12,IF(ISNUMBER(OFFSET($N$3,0,MATCH(AV$5,PayDedList,0)-1,1,1)),OFFSET($N$3,0,MATCH(AV$5,PayDedList,0)-1,1,1),IgnoreMin)))*IF(COUNTIFS(EmpNo,$C241,OFFSET(Emp!$R$4,1,MATCH(AV$5,DedListItem,0)-1,EmpCount,1),"&lt;&gt;")&gt;0,VLOOKUP($C241,EmpAll,COLUMN(Emp!$R$4)+MATCH(AV$5,DedListItem,0)-1,0),OFFSET(Setup!$E$73,MATCH(AV$5,DedListItem,0),0,1,1))*AV$3))),IF(ISNUMBER(AV$4),AV$4,IgnoreMin)))))</f>
        <v>0</v>
      </c>
      <c r="AW241" s="148" cm="1">
        <f t="array" aca="1" ref="AW241" ca="1">-IF($F241="Terminated",0,IF($AA241=0,0,IF(ISNA(MATCH(AW$5,PayDedList,0)),0,MIN(IF(COUNTIFS(OverEmp,$C241,OverDeduct,AW$5,OverDate,"&lt;"&amp;DATE(YEAR($AC241),MONTH($AC241)+1,1),OverEnd,"&gt;="&amp;DATE(YEAR($AC241),MONTH($AC241),1))&gt;0,SUMPRODUCT((PayEmp=$C241)*(PayDate&lt;=$AC241)*(OFFSET($N$6,1,MATCH(AW$5,PayDedList,0)-1,PayCount,1)))/$AA241*12*AW$3,IF(OR(AW$1="Fixed",AW$1="Not Used"),SUMPRODUCT((PayEmp=$C241)*(PayDate&lt;=$AC241)*(OFFSET($N$6,1,MATCH(AW$5,PayDedList,0)-1,PayCount,1)))/$AA241*12*AW$3,IF(ISNA(MATCH(OFFSET($N$2,0,MATCH(AW$5,PayDedList,0)-1,1,1),EarnListItem,0))=FALSE,SUMPRODUCT((PayEmp=$C241)*(PayDate&lt;=$AC241)*(OFFSET($N$6,1,MATCH(AW$5,PayDedList,0)-1,PayCount,1)))/$AA241*12*AW$3,(MIN(SUMPRODUCT((PayEmp=$C241)*(PayDate&lt;=$AC241)*(ISERROR(SEARCH(PayEarnCode,AW$2)))*(PayEarnType="Monthly")*(PayEarnValues))/$AA241*12,IF(ISNUMBER(OFFSET($N$3,0,MATCH(AW$5,PayDedList,0)-1,1,1)),OFFSET($N$3,0,MATCH(AW$5,PayDedList,0)-1,1,1),IgnoreMin)))*IF(COUNTIFS(EmpNo,$C241,OFFSET(Emp!$R$4,1,MATCH(AW$5,DedListItem,0)-1,EmpCount,1),"&lt;&gt;")&gt;0,VLOOKUP($C241,EmpAll,COLUMN(Emp!$R$4)+MATCH(AW$5,DedListItem,0)-1,0),OFFSET(Setup!$E$73,MATCH(AW$5,DedListItem,0),0,1,1))*AW$3))),IF(ISNUMBER(AW$4),AW$4,IgnoreMin)))))</f>
        <v>0</v>
      </c>
      <c r="AX241" s="148">
        <f t="shared" ca="1" si="150"/>
        <v>0</v>
      </c>
      <c r="AY241" s="148">
        <f t="shared" ca="1" si="151"/>
        <v>0</v>
      </c>
      <c r="AZ241" s="148">
        <f ca="1">IF(ISNUMBER($AL241),($AR241*$AL241)-$AI241-$AK241,MAX(0,IF($AL241="B",IF($AR241&lt;Setup!$C$32,($AR241*Setup!$D$32)-$AI241-$AK241,(($AR241-VLOOKUP($AR241,TaxAll2,1,1))*OFFSET(Setup!$D$32,MATCH($AR241,TaxBracket2,1),0,1,1))+OFFSET(Setup!$E$31,MATCH($AR241,TaxBracket2,1),0,1,1)-$AI241-$AK241),IF($AR241&lt;Setup!$C$21,($AR241*Setup!$D$21)-$AI241-$AK241,(($AR241-VLOOKUP($AR241,TaxAll1,1,1))*OFFSET(Setup!$D$21,MATCH($AR241,TaxBracket1,1),0,1,1))+OFFSET(Setup!$E$20,MATCH($AR241,TaxBracket1,1),0,1,1)-$AI241-$AK241))))</f>
        <v>0</v>
      </c>
      <c r="BA241" s="148">
        <f ca="1">IF(ISNUMBER($AL241),($AX241*$AL241)-$AI241-$AK241,MAX(0,IF($AL241="B",IF($AX241&lt;Setup!$C$32,($AX241*Setup!$D$32)-$AI241-$AK241,(($AX241-VLOOKUP($AX241,TaxAll2,1,1))*OFFSET(Setup!$D$32,MATCH($AX241,TaxBracket2,1),0,1,1))+OFFSET(Setup!$E$31,MATCH($AX241,TaxBracket2,1),0,1,1)-$AI241-$AK241),IF($AX241&lt;Setup!$C$21,($AX241*Setup!$D$21)-$AI241-$AK241,(($AX241-VLOOKUP($AX241,TaxAll1,1,1))*OFFSET(Setup!$D$21,MATCH($AX241,TaxBracket1,1),0,1,1))+OFFSET(Setup!$E$20,MATCH($AX241,TaxBracket1,1),0,1,1)-$AI241-$AK241))))</f>
        <v>0</v>
      </c>
      <c r="BB241" s="148">
        <f t="shared" ca="1" si="82"/>
        <v>0</v>
      </c>
      <c r="BC241" s="150">
        <f t="shared" ca="1" si="110"/>
        <v>0</v>
      </c>
      <c r="BD241" s="150">
        <f t="shared" ca="1" si="111"/>
        <v>0</v>
      </c>
      <c r="BE241" s="148">
        <f t="shared" ca="1" si="112"/>
        <v>0</v>
      </c>
    </row>
    <row r="242" spans="1:57" ht="16.149999999999999" customHeight="1" x14ac:dyDescent="0.25">
      <c r="A242" s="10" t="str" cm="1">
        <f t="array" ref="A242">IF(ROW($A242)-ROW($A$6)&gt;EmpCount*12,"-",TEXT($B242,"yyyy")&amp;TEXT($B242,"mm")&amp;"-"&amp;$C242)</f>
        <v>-</v>
      </c>
      <c r="B242" s="137" cm="1">
        <f t="array" aca="1" ref="B242" ca="1">IF(ROW($A242)-ROW($A$6)&gt;EmpCount*12,Setup!$D$12,DATE(YEAR(Setup!$F$12),MONTH(Setup!$F$12)+ROUNDDOWN((ROW($A242)-ROW($A$6)-1)/EmpCount,0),IF(Setup!$C$14&gt;DAY(DATE(YEAR(Setup!$F$12),MONTH(Setup!$F$12)+ROUNDDOWN((ROW($A242)-ROW($A$6)-1)/EmpCount,0)+1,0)),DAY(DATE(YEAR(Setup!$F$12),MONTH(Setup!$F$12)+ROUNDDOWN((ROW($A242)-ROW($A$6)-1)/EmpCount,0)+1,0)),Setup!$C$14)))</f>
        <v>45351</v>
      </c>
      <c r="C242" s="101" t="str" cm="1">
        <f t="array" aca="1" ref="C242" ca="1">IF(ROW($A242)-ROW($A$6)&gt;EmpCount*12,"-",OFFSET(Emp!$A$4,ROW($A242)-ROW($A$6)-IF(ROW($A242)-ROW($A$6)&gt;EmpCount,ROUNDDOWN((ROW($A242)-ROW($A$6)-1)/EmpCount,0)*EmpCount,0),0,1,1))</f>
        <v>-</v>
      </c>
      <c r="D242" s="10" t="str">
        <f ca="1">IF(ISNA(VLOOKUP($C242,EmpAll,COLUMN(Emp!$B$4),0)),"-",VLOOKUP($C242,EmpAll,COLUMN(Emp!$B$4),0))</f>
        <v>-</v>
      </c>
      <c r="E242" s="145" t="str">
        <f ca="1">IF(ISNA(VLOOKUP($C242,EmpAll,COLUMN(Emp!$C$4),0)),"-",VLOOKUP($C242,EmpAll,COLUMN(Emp!$C$4),0))</f>
        <v>-</v>
      </c>
      <c r="F242" s="101" t="str">
        <f ca="1">IF(ISNA(VLOOKUP($C242,EmpAll,COLUMN(Emp!$A$4),0)),"-",IF(AND(VLOOKUP($C242,EmpAll,COLUMN(Emp!$E$4),0)&lt;&gt;0,VLOOKUP($C242,EmpAll,COLUMN(Emp!$E$4),0)&gt;=DATE(YEAR($AC242),MONTH($AC242)+1,0)),"Inactive",IF(AND(VLOOKUP($C242,EmpAll,COLUMN(Emp!$F$4),0)&lt;&gt;0,VLOOKUP($C242,EmpAll,COLUMN(Emp!$F$4),0)&lt;=DATE(YEAR($AC242),MONTH($AC242),0)),"Terminated","Active")))</f>
        <v>-</v>
      </c>
      <c r="G242" s="133" cm="1">
        <f t="array" aca="1" ref="G242" ca="1">IF($F242&lt;&gt;"Active",0,IF(COUNTIFS(OverEmp,$C242,OverEarn,G$2,OverDate,"&lt;"&amp;DATE(YEAR($AC242),MONTH($AC242)+1,1),OverEnd,"&gt;="&amp;DATE(YEAR($AC242),MONTH($AC242),1))&gt;0,SUMIFS(OverValue,OverEmp,$C242,OverEarn,G$2,OverDate,"&lt;"&amp;DATE(YEAR($AC242),MONTH($AC242)+1,1),OverEnd,"&gt;="&amp;DATE(YEAR($AC242),MONTH($AC242),1)),IF(AND($AC242&gt;=Setup!$E$10,SUMIFS(EmpIncrease,EmpCode,$C242)&gt;0),SUMIFS(EmpIncrease,EmpCode,$C242),SUMIFS(EmpSalary,EmpCode,$C242))))</f>
        <v>0</v>
      </c>
      <c r="H242" s="133" cm="1">
        <f t="array" aca="1" ref="H242" ca="1">IF($F242&lt;&gt;"Active",0,IF(COUNTIFS(OverEmp,$C242,OverEarn,H$2,OverDate,"&lt;"&amp;DATE(YEAR($AC242),MONTH($AC242)+1,1),OverEnd,"&gt;="&amp;DATE(YEAR($AC242),MONTH($AC242),1))&gt;0,SUMIFS(OverValue,OverEmp,$C242,OverEarn,H$2,OverDate,"&lt;"&amp;DATE(YEAR($AC242),MONTH($AC242)+1,1),OverEnd,"&gt;="&amp;DATE(YEAR($AC242),MONTH($AC242),1)),0))</f>
        <v>0</v>
      </c>
      <c r="I242" s="133" cm="1">
        <f t="array" aca="1" ref="I242" ca="1">IF($F242&lt;&gt;"Active",0,IF(COUNTIFS(OverEmp,$C242,OverEarn,I$2,OverDate,"&lt;"&amp;DATE(YEAR($AC242),MONTH($AC242)+1,1),OverEnd,"&gt;="&amp;DATE(YEAR($AC242),MONTH($AC242),1))&gt;0,SUMIFS(OverValue,OverEmp,$C242,OverEarn,I$2,OverDate,"&lt;"&amp;DATE(YEAR($AC242),MONTH($AC242)+1,1),OverEnd,"&gt;="&amp;DATE(YEAR($AC242),MONTH($AC242),1)),IF(MONTH(B242)=Setup!$C$15,SUMIFS(EmpBonus,EmpCode,$C242),0)))</f>
        <v>0</v>
      </c>
      <c r="J242" s="133" cm="1">
        <f t="array" aca="1" ref="J242" ca="1">IF($F242&lt;&gt;"Active",0,IF(COUNTIFS(OverEmp,$C242,OverEarn,J$2,OverDate,"&lt;"&amp;DATE(YEAR($AC242),MONTH($AC242)+1,1),OverEnd,"&gt;="&amp;DATE(YEAR($AC242),MONTH($AC242),1))&gt;0,SUMIFS(OverValue,OverEmp,$C242,OverEarn,J$2,OverDate,"&lt;"&amp;DATE(YEAR($AC242),MONTH($AC242)+1,1),OverEnd,"&gt;="&amp;DATE(YEAR($AC242),MONTH($AC242),1)),0))</f>
        <v>0</v>
      </c>
      <c r="K242" s="133" cm="1">
        <f t="array" aca="1" ref="K242" ca="1">IF($F242&lt;&gt;"Active",0,IF(COUNTIFS(OverEmp,$C242,OverEarn,K$2,OverDate,"&lt;"&amp;DATE(YEAR($AC242),MONTH($AC242)+1,1),OverEnd,"&gt;="&amp;DATE(YEAR($AC242),MONTH($AC242),1))&gt;0,SUMIFS(OverValue,OverEmp,$C242,OverEarn,K$2,OverDate,"&lt;"&amp;DATE(YEAR($AC242),MONTH($AC242)+1,1),OverEnd,"&gt;="&amp;DATE(YEAR($AC242),MONTH($AC242),1)),0))</f>
        <v>0</v>
      </c>
      <c r="L242" s="185">
        <f t="shared" ca="1" si="146"/>
        <v>0</v>
      </c>
      <c r="M242" s="182" cm="1">
        <f t="array" aca="1" ref="M242" ca="1">IF(COUNTIFS(OverEmp,$C242,OverTax,M$5,OverDate,"&lt;"&amp;DATE(YEAR($AC242),MONTH($AC242)+1,1),OverEnd,"&gt;="&amp;DATE(YEAR($AC242),MONTH($AC242),1))&gt;0,SUMIFS(OverValue,OverEmp,$C242,OverTax,M$5,OverDate,"&lt;"&amp;DATE(YEAR($AC242),MONTH($AC242)+1,1),OverEnd,"&gt;="&amp;DATE(YEAR($AC242),MONTH($AC242),1)),(($BA242/12*$AA242)+(BB242*IF(1-$BC242=0,0,BD242/(1-$BC242))))-IF($F242="Terminated",0,SUMIFS(PayTaxDeduct,PayDate,"&lt;"&amp;$AC242,PayEmp,$C242)))</f>
        <v>0</v>
      </c>
      <c r="N242" s="133" cm="1">
        <f t="array" aca="1" ref="N242" ca="1">IF($F242="Terminated",0,IF($AA242=0,0,IF(ISNA(MATCH(N$5,DedListItem,0)),0,IF(COUNTIFS(OverEmp,$C242,OverDeduct,N$5,OverDate,"&lt;"&amp;DATE(YEAR($AC242),MONTH($AC242)+1,1),OverEnd,"&gt;="&amp;DATE(YEAR($AC242),MONTH($AC242),1))&gt;0,SUMIFS(OverValue,OverEmp,$C242,OverDeduct,N$5,OverDate,"&lt;"&amp;DATE(YEAR($AC242),MONTH($AC242)+1,1),OverEnd,"&gt;="&amp;DATE(YEAR($AC242),MONTH($AC242),1)),IF(OR(N$2="Fixed",N$2="Not Used"),(IF(COUNTIFS(EmpNo,$C242,OFFSET(Emp!$R$4,1,MATCH(N$5,DedListItem,0)-1,EmpCount,1),"&lt;&gt;")&gt;0,VLOOKUP($C242,EmpAll,COLUMN(Emp!$R$4)+MATCH(N$5,DedListItem,0)-1,0),OFFSET(Setup!$E$73,MATCH(N$5,DedListItem,0),0,1,1))*$AA242)-SUMIFS(OFFSET(N$6,1,0,PayCount,1),PayDate,"&lt;"&amp;$AC242,PayEmp,$C242),IF(ISNA(MATCH(N$2,EarnListItem,0))=FALSE,IF(OFFSET(Setup!$G$73,MATCH(N$5,DedListItem,0),0,1,1)="Taxable",SUMPRODUCT((PayEmp=$C242)*(PayDate&lt;=$AC242)*(PayEarnCode=N$2)*(PayEarnTax)*(PayEarnValues)),SUMPRODUCT((PayEmp=$C242)*(PayDate&lt;=$AC242)*(PayEarnCode=N$2)*(PayEarnValues)))*IF(COUNTIFS(EmpNo,$C242,OFFSET(Emp!$R$4,1,MATCH(N$5,DedListItem,0)-1,EmpCount,1),"&lt;&gt;")&gt;0,VLOOKUP($C242,EmpAll,COLUMN(Emp!$R$4)+MATCH(N$5,DedListItem,0)-1,0),OFFSET(Setup!$E$73,MATCH(N$5,DedListItem,0),0,1,1)),(MIN(IF(OFFSET(Setup!$G$73,MATCH(N$5,DedListItem,0),0,1,1)="Taxable",SUMPRODUCT((PayEmp=$C242)*(PayDate&lt;=$AC242)*(ISERROR(SEARCH(PayEarnCode,N$4)))*(PayEarnTax)*(PayEarnValues)),SUMPRODUCT((PayEmp=$C242)*(PayDate&lt;=$AC242)*(ISERROR(SEARCH(PayEarnCode,N$4)))*(PayEarnValues))),IF(ISNUMBER(N$3),N$3/12*$AA242,IgnoreMin)))*IF(COUNTIFS(EmpNo,$C242,OFFSET(Emp!$R$4,1,MATCH(N$5,DedListItem,0)-1,EmpCount,1),"&lt;&gt;")&gt;0,VLOOKUP($C242,EmpAll,COLUMN(Emp!$R$4)+MATCH(N$5,DedListItem,0)-1,0),OFFSET(Setup!$E$73,MATCH(N$5,DedListItem,0),0,1,1)))-SUMIFS(OFFSET(N$6,1,0,PayCount,1),PayDate,"&lt;"&amp;$AC242,PayEmp,$C242))))))</f>
        <v>0</v>
      </c>
      <c r="O242" s="133" cm="1">
        <f t="array" aca="1" ref="O242" ca="1">IF($F242="Terminated",0,IF($AA242=0,0,IF(ISNA(MATCH(O$5,DedListItem,0)),0,IF(COUNTIFS(OverEmp,$C242,OverDeduct,O$5,OverDate,"&lt;"&amp;DATE(YEAR($AC242),MONTH($AC242)+1,1),OverEnd,"&gt;="&amp;DATE(YEAR($AC242),MONTH($AC242),1))&gt;0,SUMIFS(OverValue,OverEmp,$C242,OverDeduct,O$5,OverDate,"&lt;"&amp;DATE(YEAR($AC242),MONTH($AC242)+1,1),OverEnd,"&gt;="&amp;DATE(YEAR($AC242),MONTH($AC242),1)),IF(OR(O$2="Fixed",O$2="Not Used"),(IF(COUNTIFS(EmpNo,$C242,OFFSET(Emp!$R$4,1,MATCH(O$5,DedListItem,0)-1,EmpCount,1),"&lt;&gt;")&gt;0,VLOOKUP($C242,EmpAll,COLUMN(Emp!$R$4)+MATCH(O$5,DedListItem,0)-1,0),OFFSET(Setup!$E$73,MATCH(O$5,DedListItem,0),0,1,1))*$AA242)-SUMIFS(OFFSET(O$6,1,0,PayCount,1),PayDate,"&lt;"&amp;$AC242,PayEmp,$C242),IF(ISNA(MATCH(O$2,EarnListItem,0))=FALSE,IF(OFFSET(Setup!$G$73,MATCH(O$5,DedListItem,0),0,1,1)="Taxable",SUMPRODUCT((PayEmp=$C242)*(PayDate&lt;=$AC242)*(PayEarnCode=O$2)*(PayEarnTax)*(PayEarnValues)),SUMPRODUCT((PayEmp=$C242)*(PayDate&lt;=$AC242)*(PayEarnCode=O$2)*(PayEarnValues)))*IF(COUNTIFS(EmpNo,$C242,OFFSET(Emp!$R$4,1,MATCH(O$5,DedListItem,0)-1,EmpCount,1),"&lt;&gt;")&gt;0,VLOOKUP($C242,EmpAll,COLUMN(Emp!$R$4)+MATCH(O$5,DedListItem,0)-1,0),OFFSET(Setup!$E$73,MATCH(O$5,DedListItem,0),0,1,1)),(MIN(IF(OFFSET(Setup!$G$73,MATCH(O$5,DedListItem,0),0,1,1)="Taxable",SUMPRODUCT((PayEmp=$C242)*(PayDate&lt;=$AC242)*(ISERROR(SEARCH(PayEarnCode,O$4)))*(PayEarnTax)*(PayEarnValues)),SUMPRODUCT((PayEmp=$C242)*(PayDate&lt;=$AC242)*(ISERROR(SEARCH(PayEarnCode,O$4)))*(PayEarnValues))),IF(ISNUMBER(O$3),O$3/12*$AA242,IgnoreMin)))*IF(COUNTIFS(EmpNo,$C242,OFFSET(Emp!$R$4,1,MATCH(O$5,DedListItem,0)-1,EmpCount,1),"&lt;&gt;")&gt;0,VLOOKUP($C242,EmpAll,COLUMN(Emp!$R$4)+MATCH(O$5,DedListItem,0)-1,0),OFFSET(Setup!$E$73,MATCH(O$5,DedListItem,0),0,1,1)))-SUMIFS(OFFSET(O$6,1,0,PayCount,1),PayDate,"&lt;"&amp;$AC242,PayEmp,$C242))))))</f>
        <v>0</v>
      </c>
      <c r="P242" s="133" cm="1">
        <f t="array" aca="1" ref="P242" ca="1">IF($F242="Terminated",0,IF($AA242=0,0,IF(ISNA(MATCH(P$5,DedListItem,0)),0,IF(COUNTIFS(OverEmp,$C242,OverDeduct,P$5,OverDate,"&lt;"&amp;DATE(YEAR($AC242),MONTH($AC242)+1,1),OverEnd,"&gt;="&amp;DATE(YEAR($AC242),MONTH($AC242),1))&gt;0,SUMIFS(OverValue,OverEmp,$C242,OverDeduct,P$5,OverDate,"&lt;"&amp;DATE(YEAR($AC242),MONTH($AC242)+1,1),OverEnd,"&gt;="&amp;DATE(YEAR($AC242),MONTH($AC242),1)),IF(OR(P$2="Fixed",P$2="Not Used"),(IF(COUNTIFS(EmpNo,$C242,OFFSET(Emp!$R$4,1,MATCH(P$5,DedListItem,0)-1,EmpCount,1),"&lt;&gt;")&gt;0,VLOOKUP($C242,EmpAll,COLUMN(Emp!$R$4)+MATCH(P$5,DedListItem,0)-1,0),OFFSET(Setup!$E$73,MATCH(P$5,DedListItem,0),0,1,1))*$AA242)-SUMIFS(OFFSET(P$6,1,0,PayCount,1),PayDate,"&lt;"&amp;$AC242,PayEmp,$C242),IF(ISNA(MATCH(P$2,EarnListItem,0))=FALSE,IF(OFFSET(Setup!$G$73,MATCH(P$5,DedListItem,0),0,1,1)="Taxable",SUMPRODUCT((PayEmp=$C242)*(PayDate&lt;=$AC242)*(PayEarnCode=P$2)*(PayEarnTax)*(PayEarnValues)),SUMPRODUCT((PayEmp=$C242)*(PayDate&lt;=$AC242)*(PayEarnCode=P$2)*(PayEarnValues)))*IF(COUNTIFS(EmpNo,$C242,OFFSET(Emp!$R$4,1,MATCH(P$5,DedListItem,0)-1,EmpCount,1),"&lt;&gt;")&gt;0,VLOOKUP($C242,EmpAll,COLUMN(Emp!$R$4)+MATCH(P$5,DedListItem,0)-1,0),OFFSET(Setup!$E$73,MATCH(P$5,DedListItem,0),0,1,1)),(MIN(IF(OFFSET(Setup!$G$73,MATCH(P$5,DedListItem,0),0,1,1)="Taxable",SUMPRODUCT((PayEmp=$C242)*(PayDate&lt;=$AC242)*(ISERROR(SEARCH(PayEarnCode,P$4)))*(PayEarnTax)*(PayEarnValues)),SUMPRODUCT((PayEmp=$C242)*(PayDate&lt;=$AC242)*(ISERROR(SEARCH(PayEarnCode,P$4)))*(PayEarnValues))),IF(ISNUMBER(P$3),P$3/12*$AA242,IgnoreMin)))*IF(COUNTIFS(EmpNo,$C242,OFFSET(Emp!$R$4,1,MATCH(P$5,DedListItem,0)-1,EmpCount,1),"&lt;&gt;")&gt;0,VLOOKUP($C242,EmpAll,COLUMN(Emp!$R$4)+MATCH(P$5,DedListItem,0)-1,0),OFFSET(Setup!$E$73,MATCH(P$5,DedListItem,0),0,1,1)))-SUMIFS(OFFSET(P$6,1,0,PayCount,1),PayDate,"&lt;"&amp;$AC242,PayEmp,$C242))))))</f>
        <v>0</v>
      </c>
      <c r="Q242" s="133" cm="1">
        <f t="array" aca="1" ref="Q242" ca="1">IF($F242="Terminated",0,IF($AA242=0,0,IF(ISNA(MATCH(Q$5,DedListItem,0)),0,IF(COUNTIFS(OverEmp,$C242,OverDeduct,Q$5,OverDate,"&lt;"&amp;DATE(YEAR($AC242),MONTH($AC242)+1,1),OverEnd,"&gt;="&amp;DATE(YEAR($AC242),MONTH($AC242),1))&gt;0,SUMIFS(OverValue,OverEmp,$C242,OverDeduct,Q$5,OverDate,"&lt;"&amp;DATE(YEAR($AC242),MONTH($AC242)+1,1),OverEnd,"&gt;="&amp;DATE(YEAR($AC242),MONTH($AC242),1)),IF(OR(Q$2="Fixed",Q$2="Not Used"),(IF(COUNTIFS(EmpNo,$C242,OFFSET(Emp!$R$4,1,MATCH(Q$5,DedListItem,0)-1,EmpCount,1),"&lt;&gt;")&gt;0,VLOOKUP($C242,EmpAll,COLUMN(Emp!$R$4)+MATCH(Q$5,DedListItem,0)-1,0),OFFSET(Setup!$E$73,MATCH(Q$5,DedListItem,0),0,1,1))*$AA242)-SUMIFS(OFFSET(Q$6,1,0,PayCount,1),PayDate,"&lt;"&amp;$AC242,PayEmp,$C242),IF(ISNA(MATCH(Q$2,EarnListItem,0))=FALSE,IF(OFFSET(Setup!$G$73,MATCH(Q$5,DedListItem,0),0,1,1)="Taxable",SUMPRODUCT((PayEmp=$C242)*(PayDate&lt;=$AC242)*(PayEarnCode=Q$2)*(PayEarnTax)*(PayEarnValues)),SUMPRODUCT((PayEmp=$C242)*(PayDate&lt;=$AC242)*(PayEarnCode=Q$2)*(PayEarnValues)))*IF(COUNTIFS(EmpNo,$C242,OFFSET(Emp!$R$4,1,MATCH(Q$5,DedListItem,0)-1,EmpCount,1),"&lt;&gt;")&gt;0,VLOOKUP($C242,EmpAll,COLUMN(Emp!$R$4)+MATCH(Q$5,DedListItem,0)-1,0),OFFSET(Setup!$E$73,MATCH(Q$5,DedListItem,0),0,1,1)),(MIN(IF(OFFSET(Setup!$G$73,MATCH(Q$5,DedListItem,0),0,1,1)="Taxable",SUMPRODUCT((PayEmp=$C242)*(PayDate&lt;=$AC242)*(ISERROR(SEARCH(PayEarnCode,Q$4)))*(PayEarnTax)*(PayEarnValues)),SUMPRODUCT((PayEmp=$C242)*(PayDate&lt;=$AC242)*(ISERROR(SEARCH(PayEarnCode,Q$4)))*(PayEarnValues))),IF(ISNUMBER(Q$3),Q$3/12*$AA242,IgnoreMin)))*IF(COUNTIFS(EmpNo,$C242,OFFSET(Emp!$R$4,1,MATCH(Q$5,DedListItem,0)-1,EmpCount,1),"&lt;&gt;")&gt;0,VLOOKUP($C242,EmpAll,COLUMN(Emp!$R$4)+MATCH(Q$5,DedListItem,0)-1,0),OFFSET(Setup!$E$73,MATCH(Q$5,DedListItem,0),0,1,1)))-SUMIFS(OFFSET(Q$6,1,0,PayCount,1),PayDate,"&lt;"&amp;$AC242,PayEmp,$C242))))))</f>
        <v>0</v>
      </c>
      <c r="R242" s="185">
        <f t="shared" ca="1" si="147"/>
        <v>0</v>
      </c>
      <c r="S242" s="139">
        <f t="shared" ca="1" si="148"/>
        <v>0</v>
      </c>
      <c r="T242" s="133" cm="1">
        <f t="array" aca="1" ref="T242" ca="1">IF($F242="Terminated",0,IF($AA242=0,0,IF(ISNA(MATCH(T$5,CompListItem,0)),0,IF(COUNTIFS(OverEmp,$C242,OverComp,T$5,OverDate,"&lt;"&amp;DATE(YEAR($AC242),MONTH($AC242)+1,1),OverEnd,"&gt;="&amp;DATE(YEAR($AC242),MONTH($AC242),1))&gt;0,SUMIFS(OverValue,OverEmp,$C242,OverComp,T$5,OverDate,"&lt;"&amp;DATE(YEAR($AC242),MONTH($AC242)+1,1),OverEnd,"&gt;="&amp;DATE(YEAR($AC242),MONTH($AC242),1)),IF(OR(T$2="Fixed",T$2="Not Used"),(OFFSET(Setup!$E$81,MATCH(T$5,CompListItem,0),0,1,1)*$AA242)-SUMIFS(OFFSET(T$6,1,0,PayCount,1),PayDate,"&lt;"&amp;$AC242,PayEmp,$C242),IF(ISNA(MATCH(T$2,DedListItem,0))=FALSE,(SUMPRODUCT((PayEmp=$C242)*(PayDate&lt;=$AC242)*(PayDedList=T$2)*(PayDedValues))*OFFSET(Setup!$E$81,MATCH(T$5,CompListItem,0),0,1,1))-SUMIFS(OFFSET(T$6,1,0,PayCount,1),PayDate,"&lt;"&amp;$AC242,PayEmp,$C242),(MIN(IF(OFFSET(Setup!$G$81,MATCH(T$5,CompListItem,0),0,1,1)="Taxable",SUMPRODUCT((PayEmp=$C242)*(PayDate&lt;=$AC242)*(ISERROR(SEARCH(PayEarnCode,T$4)))*(PayEarnTax)*(PayEarnValues)),SUMPRODUCT((PayEmp=$C242)*(PayDate&lt;=$AC242)*(ISERROR(SEARCH(PayEarnCode,T$4)))*(PayEarnValues))),IF(ISNUMBER(T$3),T$3/12*$AA242,IgnoreMin)))*OFFSET(Setup!$E$81,MATCH(T$5,CompListItem,0),0,1,1)-SUMIFS(OFFSET(T$6,1,0,PayCount,1),PayDate,"&lt;"&amp;$AC242,PayEmp,$C242)))))))</f>
        <v>0</v>
      </c>
      <c r="U242" s="133" cm="1">
        <f t="array" aca="1" ref="U242" ca="1">IF($F242="Terminated",0,IF($AA242=0,0,IF(ISNA(MATCH(U$5,CompListItem,0)),0,IF(COUNTIFS(OverEmp,$C242,OverComp,U$5,OverDate,"&lt;"&amp;DATE(YEAR($AC242),MONTH($AC242)+1,1),OverEnd,"&gt;="&amp;DATE(YEAR($AC242),MONTH($AC242),1))&gt;0,SUMIFS(OverValue,OverEmp,$C242,OverComp,U$5,OverDate,"&lt;"&amp;DATE(YEAR($AC242),MONTH($AC242)+1,1),OverEnd,"&gt;="&amp;DATE(YEAR($AC242),MONTH($AC242),1)),IF(OR(U$2="Fixed",U$2="Not Used"),(OFFSET(Setup!$E$81,MATCH(U$5,CompListItem,0),0,1,1)*$AA242)-SUMIFS(OFFSET(U$6,1,0,PayCount,1),PayDate,"&lt;"&amp;$AC242,PayEmp,$C242),IF(ISNA(MATCH(U$2,DedListItem,0))=FALSE,(SUMPRODUCT((PayEmp=$C242)*(PayDate&lt;=$AC242)*(PayDedList=U$2)*(PayDedValues))*OFFSET(Setup!$E$81,MATCH(U$5,CompListItem,0),0,1,1))-SUMIFS(OFFSET(U$6,1,0,PayCount,1),PayDate,"&lt;"&amp;$AC242,PayEmp,$C242),(MIN(IF(OFFSET(Setup!$G$81,MATCH(U$5,CompListItem,0),0,1,1)="Taxable",SUMPRODUCT((PayEmp=$C242)*(PayDate&lt;=$AC242)*(ISERROR(SEARCH(PayEarnCode,U$4)))*(PayEarnTax)*(PayEarnValues)),SUMPRODUCT((PayEmp=$C242)*(PayDate&lt;=$AC242)*(ISERROR(SEARCH(PayEarnCode,U$4)))*(PayEarnValues))),IF(ISNUMBER(U$3),U$3/12*$AA242,IgnoreMin)))*OFFSET(Setup!$E$81,MATCH(U$5,CompListItem,0),0,1,1)-SUMIFS(OFFSET(U$6,1,0,PayCount,1),PayDate,"&lt;"&amp;$AC242,PayEmp,$C242)))))))</f>
        <v>0</v>
      </c>
      <c r="V242" s="133" cm="1">
        <f t="array" aca="1" ref="V242" ca="1">IF($F242="Terminated",0,IF($AA242=0,0,IF(ISNA(MATCH(V$5,CompListItem,0)),0,IF(COUNTIFS(OverEmp,$C242,OverComp,V$5,OverDate,"&lt;"&amp;DATE(YEAR($AC242),MONTH($AC242)+1,1),OverEnd,"&gt;="&amp;DATE(YEAR($AC242),MONTH($AC242),1))&gt;0,SUMIFS(OverValue,OverEmp,$C242,OverComp,V$5,OverDate,"&lt;"&amp;DATE(YEAR($AC242),MONTH($AC242)+1,1),OverEnd,"&gt;="&amp;DATE(YEAR($AC242),MONTH($AC242),1)),IF(OR(V$2="Fixed",V$2="Not Used"),(OFFSET(Setup!$E$81,MATCH(V$5,CompListItem,0),0,1,1)*$AA242)-SUMIFS(OFFSET(V$6,1,0,PayCount,1),PayDate,"&lt;"&amp;$AC242,PayEmp,$C242),IF(ISNA(MATCH(V$2,DedListItem,0))=FALSE,(SUMPRODUCT((PayEmp=$C242)*(PayDate&lt;=$AC242)*(PayDedList=V$2)*(PayDedValues))*OFFSET(Setup!$E$81,MATCH(V$5,CompListItem,0),0,1,1))-SUMIFS(OFFSET(V$6,1,0,PayCount,1),PayDate,"&lt;"&amp;$AC242,PayEmp,$C242),(MIN(IF(OFFSET(Setup!$G$81,MATCH(V$5,CompListItem,0),0,1,1)="Taxable",SUMPRODUCT((PayEmp=$C242)*(PayDate&lt;=$AC242)*(ISERROR(SEARCH(PayEarnCode,V$4)))*(PayEarnTax)*(PayEarnValues)),SUMPRODUCT((PayEmp=$C242)*(PayDate&lt;=$AC242)*(ISERROR(SEARCH(PayEarnCode,V$4)))*(PayEarnValues))),IF(ISNUMBER(V$3),V$3/12*$AA242,IgnoreMin)))*OFFSET(Setup!$E$81,MATCH(V$5,CompListItem,0),0,1,1)-SUMIFS(OFFSET(V$6,1,0,PayCount,1),PayDate,"&lt;"&amp;$AC242,PayEmp,$C242)))))))</f>
        <v>0</v>
      </c>
      <c r="W242" s="133" cm="1">
        <f t="array" aca="1" ref="W242" ca="1">IF($F242="Terminated",0,IF($AA242=0,0,IF(ISNA(MATCH(W$5,CompListItem,0)),0,IF(COUNTIFS(OverEmp,$C242,OverComp,W$5,OverDate,"&lt;"&amp;DATE(YEAR($AC242),MONTH($AC242)+1,1),OverEnd,"&gt;="&amp;DATE(YEAR($AC242),MONTH($AC242),1))&gt;0,SUMIFS(OverValue,OverEmp,$C242,OverComp,W$5,OverDate,"&lt;"&amp;DATE(YEAR($AC242),MONTH($AC242)+1,1),OverEnd,"&gt;="&amp;DATE(YEAR($AC242),MONTH($AC242),1)),IF(OR(W$2="Fixed",W$2="Not Used"),(OFFSET(Setup!$E$81,MATCH(W$5,CompListItem,0),0,1,1)*$AA242)-SUMIFS(OFFSET(W$6,1,0,PayCount,1),PayDate,"&lt;"&amp;$AC242,PayEmp,$C242),IF(ISNA(MATCH(W$2,DedListItem,0))=FALSE,(SUMPRODUCT((PayEmp=$C242)*(PayDate&lt;=$AC242)*(PayDedList=W$2)*(PayDedValues))*OFFSET(Setup!$E$81,MATCH(W$5,CompListItem,0),0,1,1))-SUMIFS(OFFSET(W$6,1,0,PayCount,1),PayDate,"&lt;"&amp;$AC242,PayEmp,$C242),(MIN(IF(OFFSET(Setup!$G$81,MATCH(W$5,CompListItem,0),0,1,1)="Taxable",SUMPRODUCT((PayEmp=$C242)*(PayDate&lt;=$AC242)*(ISERROR(SEARCH(PayEarnCode,W$4)))*(PayEarnTax)*(PayEarnValues)),SUMPRODUCT((PayEmp=$C242)*(PayDate&lt;=$AC242)*(ISERROR(SEARCH(PayEarnCode,W$4)))*(PayEarnValues))),IF(ISNUMBER(W$3),W$3/12*$AA242,IgnoreMin)))*OFFSET(Setup!$E$81,MATCH(W$5,CompListItem,0),0,1,1)-SUMIFS(OFFSET(W$6,1,0,PayCount,1),PayDate,"&lt;"&amp;$AC242,PayEmp,$C242)))))))</f>
        <v>0</v>
      </c>
      <c r="X242" s="185">
        <f t="shared" ca="1" si="78"/>
        <v>0</v>
      </c>
      <c r="Y242" s="139">
        <f t="shared" ca="1" si="149"/>
        <v>0</v>
      </c>
      <c r="Z242" s="139">
        <f t="shared" ca="1" si="79"/>
        <v>0</v>
      </c>
      <c r="AA242" s="146">
        <f ca="1">IF(OR($B242&lt;=Setup!$E$12,$B242&gt;=Setup!$D$12+1),0,IF($F242&lt;&gt;"Active",0,IF($AE242="Yes",$AB242,((YEAR($AC242)*12)+MONTH($AC242))-((YEAR($AD242)*12)+MONTH($AD242)-1))))</f>
        <v>0</v>
      </c>
      <c r="AB242" s="146">
        <f ca="1">IF(OR($B242&lt;=Setup!$E$12,$B242&gt;=Setup!$D$12+1),0,((YEAR($AC242)*12)+MONTH($AC242))-((YEAR(Setup!$E$12)*12)+MONTH(Setup!$E$12)))</f>
        <v>12</v>
      </c>
      <c r="AC242" s="186">
        <f t="shared" ca="1" si="83"/>
        <v>45351</v>
      </c>
      <c r="AD242" s="144">
        <f ca="1">IF(ISNA(VLOOKUP($C242,EmpAll,COLUMN(Emp!$E$4),0)),$AC242,IF(VLOOKUP($C242,EmpAll,COLUMN(Emp!$E$4),0)&lt;=Setup!$E$12,DATE(YEAR(Setup!$E$12),MONTH(Setup!$E$12)+1,1),VLOOKUP($C242,EmpAll,COLUMN(Emp!$E$4),0)))</f>
        <v>45351</v>
      </c>
      <c r="AE242" s="144" t="str">
        <f ca="1">IF(ISNA(VLOOKUP($C242,EmpAll,COLUMN(Emp!$G$1),0)),"-",IF(VLOOKUP($C242,EmpAll,COLUMN(Emp!$G$1),0)=0,"-",VLOOKUP($C242,EmpAll,COLUMN(Emp!$G$1),0)))</f>
        <v>-</v>
      </c>
      <c r="AF242" s="145">
        <f>IF(A242=PaySlip!$G$3,1,0)</f>
        <v>0</v>
      </c>
      <c r="AG242" s="130" cm="1">
        <f t="array" aca="1" ref="AG242" ca="1">IF(COUNTIFS(OverEmp,$C242,OverMed,"MED",OverDate,"&lt;"&amp;DATE(YEAR($AC242),MONTH($AC242)+1,1),OverEnd,"&gt;="&amp;DATE(YEAR($AC242),MONTH($AC242),1))&gt;0,SUMIFS(OverValue,OverEmp,$C242,OverMed,"MED",OverDate,"&lt;"&amp;DATE(YEAR($AC242),MONTH($AC242)+1,1),OverEnd,"&gt;="&amp;DATE(YEAR($AC242),MONTH($AC242),1)),IF(ISNA(VLOOKUP($C242,EmpAll,COLUMN(Emp!$N$4),0)),0,VLOOKUP($C242,EmpAll,COLUMN(Emp!$N$4),0)))</f>
        <v>0</v>
      </c>
      <c r="AH242" s="146">
        <f ca="1">VLOOKUP($AG242,MedList,COLUMN(Setup!$C$49),1)</f>
        <v>0</v>
      </c>
      <c r="AI242" s="146">
        <f t="shared" ca="1" si="107"/>
        <v>0</v>
      </c>
      <c r="AJ242" s="101" t="str">
        <f ca="1">IF(ISNA(VLOOKUP($C242,EmpAll,COLUMN(Emp!$L$4),0)),"None!",VLOOKUP($C242,EmpAll,COLUMN(Emp!$L$4),0))</f>
        <v>None!</v>
      </c>
      <c r="AK242" s="147">
        <f t="shared" ca="1" si="80"/>
        <v>17235</v>
      </c>
      <c r="AL242" s="101" t="str">
        <f ca="1">IF(ISNA(VLOOKUP($C242,Employees[],COLUMN(Emp!$M$4),0))=TRUE,"Error!",IF(VLOOKUP($C242,Employees[],COLUMN(Emp!$M$4),0)=0,"Yes",VLOOKUP($C242,Employees[],COLUMN(Emp!$M$4),0)))</f>
        <v>Error!</v>
      </c>
      <c r="AM242" s="148">
        <f t="shared" ca="1" si="108"/>
        <v>0</v>
      </c>
      <c r="AN242" s="148" cm="1">
        <f t="array" aca="1" ref="AN242" ca="1">-IF($F242="Terminated",0,IF($AA242=0,0,IF(ISNA(MATCH(AN$5,PayDedList,0)),0,MIN(IF(COUNTIFS(OverEmp,$C242,OverDeduct,AN$5,OverDate,"&lt;"&amp;DATE(YEAR($AC242),MONTH($AC242)+1,1),OverEnd,"&gt;="&amp;DATE(YEAR($AC242),MONTH($AC242),1))&gt;0,SUMPRODUCT((PayEmp=$C242)*(PayDate&lt;=$AC242)*(OFFSET($N$6,1,MATCH(AN$5,PayDedList,0)-1,PayCount,1)))/$AA242*12*AN$3,IF(OR(AN$1="Fixed",AN$1="Not Used"),SUMPRODUCT((PayEmp=$C242)*(PayDate&lt;=$AC242)*(OFFSET($N$6,1,MATCH(AN$5,PayDedList,0)-1,PayCount,1)))/$AA242*12*AN$3,IF(ISNA(MATCH(AN$1,EarnListItem,0))=FALSE,SUMPRODUCT((PayEmp=$C242)*(PayDate&lt;=$AC242)*(OFFSET($N$6,1,MATCH(AN$5,PayDedList,0)-1,PayCount,1)))/$AA242*12*AN$3,(MIN(((SUMPRODUCT((PayEmp=$C242)*(PayDate&lt;=$AC242)*(ISERROR(SEARCH(PayEarnCode,AN$2)))*(PayEarnType="Monthly")*(PayEarnValues))/$AA242*12)+(SUMPRODUCT((PayEmp=$C242)*(PayDate&lt;=$AC242)*(ISERROR(SEARCH(PayEarnCode,AN$2)))*(PayEarnType="Quarterly")*(PayEarnValues))/MAX(1,ROUNDDOWN($AB242/3,0))*4)+(SUMPRODUCT((PayEmp=$C242)*(PayDate&lt;=$AC242)*(ISERROR(SEARCH(PayEarnCode,AN$2)))*(PayEarnType="Bi-Annual")*(PayEarnValues))/MAX(1,ROUNDDOWN($AB242/6,0))*2)+(SUMPRODUCT((PayEmp=$C242)*(PayDate&lt;=$AC242)*(ISERROR(SEARCH(PayEarnCode,AN$2)))*(PayEarnType="Annual")*(PayEarnValues)))),IF(ISNUMBER(OFFSET($N$3,0,MATCH(AN$5,PayDedList,0)-1,1,1)),OFFSET($N$3,0,MATCH(AN$5,PayDedList,0)-1,1,1),IgnoreMin)))*IF(COUNTIFS(EmpNo,$C242,OFFSET(Emp!$R$4,1,MATCH(AN$5,DedListItem,0)-1,EmpCount,1),"&lt;&gt;")&gt;0,VLOOKUP($C242,EmpAll,COLUMN(Emp!$R$4)+MATCH(AN$5,DedListItem,0)-1,0),OFFSET(Setup!$E$73,MATCH(AN$5,DedListItem,0),0,1,1))*AN$3))),IF(ISNUMBER(AN$4),AN$4,IgnoreMin)))))</f>
        <v>0</v>
      </c>
      <c r="AO242" s="148" cm="1">
        <f t="array" aca="1" ref="AO242" ca="1">-IF($F242="Terminated",0,IF($AA242=0,0,IF(ISNA(MATCH(AO$5,PayDedList,0)),0,MIN(IF(COUNTIFS(OverEmp,$C242,OverDeduct,AO$5,OverDate,"&lt;"&amp;DATE(YEAR($AC242),MONTH($AC242)+1,1),OverEnd,"&gt;="&amp;DATE(YEAR($AC242),MONTH($AC242),1))&gt;0,SUMPRODUCT((PayEmp=$C242)*(PayDate&lt;=$AC242)*(OFFSET($N$6,1,MATCH(AO$5,PayDedList,0)-1,PayCount,1)))/$AA242*12*AO$3,IF(OR(AO$1="Fixed",AO$1="Not Used"),SUMPRODUCT((PayEmp=$C242)*(PayDate&lt;=$AC242)*(OFFSET($N$6,1,MATCH(AO$5,PayDedList,0)-1,PayCount,1)))/$AA242*12*AO$3,IF(ISNA(MATCH(AO$1,EarnListItem,0))=FALSE,SUMPRODUCT((PayEmp=$C242)*(PayDate&lt;=$AC242)*(OFFSET($N$6,1,MATCH(AO$5,PayDedList,0)-1,PayCount,1)))/$AA242*12*AO$3,(MIN(((SUMPRODUCT((PayEmp=$C242)*(PayDate&lt;=$AC242)*(ISERROR(SEARCH(PayEarnCode,AO$2)))*(PayEarnType="Monthly")*(PayEarnValues))/$AA242*12)+(SUMPRODUCT((PayEmp=$C242)*(PayDate&lt;=$AC242)*(ISERROR(SEARCH(PayEarnCode,AO$2)))*(PayEarnType="Quarterly")*(PayEarnValues))/MAX(1,ROUNDDOWN($AB242/3,0))*4)+(SUMPRODUCT((PayEmp=$C242)*(PayDate&lt;=$AC242)*(ISERROR(SEARCH(PayEarnCode,AO$2)))*(PayEarnType="Bi-Annual")*(PayEarnValues))/MAX(1,ROUNDDOWN($AB242/6,0))*2)+(SUMPRODUCT((PayEmp=$C242)*(PayDate&lt;=$AC242)*(ISERROR(SEARCH(PayEarnCode,AO$2)))*(PayEarnType="Annual")*(PayEarnValues)))),IF(ISNUMBER(OFFSET($N$3,0,MATCH(AO$5,PayDedList,0)-1,1,1)),OFFSET($N$3,0,MATCH(AO$5,PayDedList,0)-1,1,1),IgnoreMin)))*IF(COUNTIFS(EmpNo,$C242,OFFSET(Emp!$R$4,1,MATCH(AO$5,DedListItem,0)-1,EmpCount,1),"&lt;&gt;")&gt;0,VLOOKUP($C242,EmpAll,COLUMN(Emp!$R$4)+MATCH(AO$5,DedListItem,0)-1,0),OFFSET(Setup!$E$73,MATCH(AO$5,DedListItem,0),0,1,1))*AO$3))),IF(ISNUMBER(AO$4),AO$4,IgnoreMin)))))</f>
        <v>0</v>
      </c>
      <c r="AP242" s="148" cm="1">
        <f t="array" aca="1" ref="AP242" ca="1">-IF($F242="Terminated",0,IF($AA242=0,0,IF(ISNA(MATCH(AP$5,PayDedList,0)),0,MIN(IF(COUNTIFS(OverEmp,$C242,OverDeduct,AP$5,OverDate,"&lt;"&amp;DATE(YEAR($AC242),MONTH($AC242)+1,1),OverEnd,"&gt;="&amp;DATE(YEAR($AC242),MONTH($AC242),1))&gt;0,SUMPRODUCT((PayEmp=$C242)*(PayDate&lt;=$AC242)*(OFFSET($N$6,1,MATCH(AP$5,PayDedList,0)-1,PayCount,1)))/$AA242*12*AP$3,IF(OR(AP$1="Fixed",AP$1="Not Used"),SUMPRODUCT((PayEmp=$C242)*(PayDate&lt;=$AC242)*(OFFSET($N$6,1,MATCH(AP$5,PayDedList,0)-1,PayCount,1)))/$AA242*12*AP$3,IF(ISNA(MATCH(AP$1,EarnListItem,0))=FALSE,SUMPRODUCT((PayEmp=$C242)*(PayDate&lt;=$AC242)*(OFFSET($N$6,1,MATCH(AP$5,PayDedList,0)-1,PayCount,1)))/$AA242*12*AP$3,(MIN(((SUMPRODUCT((PayEmp=$C242)*(PayDate&lt;=$AC242)*(ISERROR(SEARCH(PayEarnCode,AP$2)))*(PayEarnType="Monthly")*(PayEarnValues))/$AA242*12)+(SUMPRODUCT((PayEmp=$C242)*(PayDate&lt;=$AC242)*(ISERROR(SEARCH(PayEarnCode,AP$2)))*(PayEarnType="Quarterly")*(PayEarnValues))/MAX(1,ROUNDDOWN($AB242/3,0))*4)+(SUMPRODUCT((PayEmp=$C242)*(PayDate&lt;=$AC242)*(ISERROR(SEARCH(PayEarnCode,AP$2)))*(PayEarnType="Bi-Annual")*(PayEarnValues))/MAX(1,ROUNDDOWN($AB242/6,0))*2)+(SUMPRODUCT((PayEmp=$C242)*(PayDate&lt;=$AC242)*(ISERROR(SEARCH(PayEarnCode,AP$2)))*(PayEarnType="Annual")*(PayEarnValues)))),IF(ISNUMBER(OFFSET($N$3,0,MATCH(AP$5,PayDedList,0)-1,1,1)),OFFSET($N$3,0,MATCH(AP$5,PayDedList,0)-1,1,1),IgnoreMin)))*IF(COUNTIFS(EmpNo,$C242,OFFSET(Emp!$R$4,1,MATCH(AP$5,DedListItem,0)-1,EmpCount,1),"&lt;&gt;")&gt;0,VLOOKUP($C242,EmpAll,COLUMN(Emp!$R$4)+MATCH(AP$5,DedListItem,0)-1,0),OFFSET(Setup!$E$73,MATCH(AP$5,DedListItem,0),0,1,1))*AP$3))),IF(ISNUMBER(AP$4),AP$4,IgnoreMin)))))</f>
        <v>0</v>
      </c>
      <c r="AQ242" s="148" cm="1">
        <f t="array" aca="1" ref="AQ242" ca="1">-IF($F242="Terminated",0,IF($AA242=0,0,IF(ISNA(MATCH(AQ$5,PayDedList,0)),0,MIN(IF(COUNTIFS(OverEmp,$C242,OverDeduct,AQ$5,OverDate,"&lt;"&amp;DATE(YEAR($AC242),MONTH($AC242)+1,1),OverEnd,"&gt;="&amp;DATE(YEAR($AC242),MONTH($AC242),1))&gt;0,SUMPRODUCT((PayEmp=$C242)*(PayDate&lt;=$AC242)*(OFFSET($N$6,1,MATCH(AQ$5,PayDedList,0)-1,PayCount,1)))/$AA242*12*AQ$3,IF(OR(AQ$1="Fixed",AQ$1="Not Used"),SUMPRODUCT((PayEmp=$C242)*(PayDate&lt;=$AC242)*(OFFSET($N$6,1,MATCH(AQ$5,PayDedList,0)-1,PayCount,1)))/$AA242*12*AQ$3,IF(ISNA(MATCH(AQ$1,EarnListItem,0))=FALSE,SUMPRODUCT((PayEmp=$C242)*(PayDate&lt;=$AC242)*(OFFSET($N$6,1,MATCH(AQ$5,PayDedList,0)-1,PayCount,1)))/$AA242*12*AQ$3,(MIN(((SUMPRODUCT((PayEmp=$C242)*(PayDate&lt;=$AC242)*(ISERROR(SEARCH(PayEarnCode,AQ$2)))*(PayEarnType="Monthly")*(PayEarnValues))/$AA242*12)+(SUMPRODUCT((PayEmp=$C242)*(PayDate&lt;=$AC242)*(ISERROR(SEARCH(PayEarnCode,AQ$2)))*(PayEarnType="Quarterly")*(PayEarnValues))/MAX(1,ROUNDDOWN($AB242/3,0))*4)+(SUMPRODUCT((PayEmp=$C242)*(PayDate&lt;=$AC242)*(ISERROR(SEARCH(PayEarnCode,AQ$2)))*(PayEarnType="Bi-Annual")*(PayEarnValues))/MAX(1,ROUNDDOWN($AB242/6,0))*2)+(SUMPRODUCT((PayEmp=$C242)*(PayDate&lt;=$AC242)*(ISERROR(SEARCH(PayEarnCode,AQ$2)))*(PayEarnType="Annual")*(PayEarnValues)))),IF(ISNUMBER(OFFSET($N$3,0,MATCH(AQ$5,PayDedList,0)-1,1,1)),OFFSET($N$3,0,MATCH(AQ$5,PayDedList,0)-1,1,1),IgnoreMin)))*IF(COUNTIFS(EmpNo,$C242,OFFSET(Emp!$R$4,1,MATCH(AQ$5,DedListItem,0)-1,EmpCount,1),"&lt;&gt;")&gt;0,VLOOKUP($C242,EmpAll,COLUMN(Emp!$R$4)+MATCH(AQ$5,DedListItem,0)-1,0),OFFSET(Setup!$E$73,MATCH(AQ$5,DedListItem,0),0,1,1))*AQ$3))),IF(ISNUMBER(AQ$4),AQ$4,IgnoreMin)))))</f>
        <v>0</v>
      </c>
      <c r="AR242" s="148">
        <f t="shared" ca="1" si="81"/>
        <v>0</v>
      </c>
      <c r="AS242" s="148">
        <f t="shared" ca="1" si="109"/>
        <v>0</v>
      </c>
      <c r="AT242" s="148" cm="1">
        <f t="array" aca="1" ref="AT242" ca="1">-IF($F242="Terminated",0,IF($AA242=0,0,IF(ISNA(MATCH(AT$5,PayDedList,0)),0,MIN(IF(COUNTIFS(OverEmp,$C242,OverDeduct,AT$5,OverDate,"&lt;"&amp;DATE(YEAR($AC242),MONTH($AC242)+1,1),OverEnd,"&gt;="&amp;DATE(YEAR($AC242),MONTH($AC242),1))&gt;0,SUMPRODUCT((PayEmp=$C242)*(PayDate&lt;=$AC242)*(OFFSET($N$6,1,MATCH(AT$5,PayDedList,0)-1,PayCount,1)))/$AA242*12*AT$3,IF(OR(AT$1="Fixed",AT$1="Not Used"),SUMPRODUCT((PayEmp=$C242)*(PayDate&lt;=$AC242)*(OFFSET($N$6,1,MATCH(AT$5,PayDedList,0)-1,PayCount,1)))/$AA242*12*AT$3,IF(ISNA(MATCH(OFFSET($N$2,0,MATCH(AT$5,PayDedList,0)-1,1,1),EarnListItem,0))=FALSE,SUMPRODUCT((PayEmp=$C242)*(PayDate&lt;=$AC242)*(OFFSET($N$6,1,MATCH(AT$5,PayDedList,0)-1,PayCount,1)))/$AA242*12*AT$3,(MIN(SUMPRODUCT((PayEmp=$C242)*(PayDate&lt;=$AC242)*(ISERROR(SEARCH(PayEarnCode,AT$2)))*(PayEarnType="Monthly")*(PayEarnValues))/$AA242*12,IF(ISNUMBER(OFFSET($N$3,0,MATCH(AT$5,PayDedList,0)-1,1,1)),OFFSET($N$3,0,MATCH(AT$5,PayDedList,0)-1,1,1),IgnoreMin)))*IF(COUNTIFS(EmpNo,$C242,OFFSET(Emp!$R$4,1,MATCH(AT$5,DedListItem,0)-1,EmpCount,1),"&lt;&gt;")&gt;0,VLOOKUP($C242,EmpAll,COLUMN(Emp!$R$4)+MATCH(AT$5,DedListItem,0)-1,0),OFFSET(Setup!$E$73,MATCH(AT$5,DedListItem,0),0,1,1))*AT$3))),IF(ISNUMBER(AT$4),AT$4,IgnoreMin)))))</f>
        <v>0</v>
      </c>
      <c r="AU242" s="148" cm="1">
        <f t="array" aca="1" ref="AU242" ca="1">-IF($F242="Terminated",0,IF($AA242=0,0,IF(ISNA(MATCH(AU$5,PayDedList,0)),0,MIN(IF(COUNTIFS(OverEmp,$C242,OverDeduct,AU$5,OverDate,"&lt;"&amp;DATE(YEAR($AC242),MONTH($AC242)+1,1),OverEnd,"&gt;="&amp;DATE(YEAR($AC242),MONTH($AC242),1))&gt;0,SUMPRODUCT((PayEmp=$C242)*(PayDate&lt;=$AC242)*(OFFSET($N$6,1,MATCH(AU$5,PayDedList,0)-1,PayCount,1)))/$AA242*12*AU$3,IF(OR(AU$1="Fixed",AU$1="Not Used"),SUMPRODUCT((PayEmp=$C242)*(PayDate&lt;=$AC242)*(OFFSET($N$6,1,MATCH(AU$5,PayDedList,0)-1,PayCount,1)))/$AA242*12*AU$3,IF(ISNA(MATCH(OFFSET($N$2,0,MATCH(AU$5,PayDedList,0)-1,1,1),EarnListItem,0))=FALSE,SUMPRODUCT((PayEmp=$C242)*(PayDate&lt;=$AC242)*(OFFSET($N$6,1,MATCH(AU$5,PayDedList,0)-1,PayCount,1)))/$AA242*12*AU$3,(MIN(SUMPRODUCT((PayEmp=$C242)*(PayDate&lt;=$AC242)*(ISERROR(SEARCH(PayEarnCode,AU$2)))*(PayEarnType="Monthly")*(PayEarnValues))/$AA242*12,IF(ISNUMBER(OFFSET($N$3,0,MATCH(AU$5,PayDedList,0)-1,1,1)),OFFSET($N$3,0,MATCH(AU$5,PayDedList,0)-1,1,1),IgnoreMin)))*IF(COUNTIFS(EmpNo,$C242,OFFSET(Emp!$R$4,1,MATCH(AU$5,DedListItem,0)-1,EmpCount,1),"&lt;&gt;")&gt;0,VLOOKUP($C242,EmpAll,COLUMN(Emp!$R$4)+MATCH(AU$5,DedListItem,0)-1,0),OFFSET(Setup!$E$73,MATCH(AU$5,DedListItem,0),0,1,1))*AU$3))),IF(ISNUMBER(AU$4),AU$4,IgnoreMin)))))</f>
        <v>0</v>
      </c>
      <c r="AV242" s="148" cm="1">
        <f t="array" aca="1" ref="AV242" ca="1">-IF($F242="Terminated",0,IF($AA242=0,0,IF(ISNA(MATCH(AV$5,PayDedList,0)),0,MIN(IF(COUNTIFS(OverEmp,$C242,OverDeduct,AV$5,OverDate,"&lt;"&amp;DATE(YEAR($AC242),MONTH($AC242)+1,1),OverEnd,"&gt;="&amp;DATE(YEAR($AC242),MONTH($AC242),1))&gt;0,SUMPRODUCT((PayEmp=$C242)*(PayDate&lt;=$AC242)*(OFFSET($N$6,1,MATCH(AV$5,PayDedList,0)-1,PayCount,1)))/$AA242*12*AV$3,IF(OR(AV$1="Fixed",AV$1="Not Used"),SUMPRODUCT((PayEmp=$C242)*(PayDate&lt;=$AC242)*(OFFSET($N$6,1,MATCH(AV$5,PayDedList,0)-1,PayCount,1)))/$AA242*12*AV$3,IF(ISNA(MATCH(OFFSET($N$2,0,MATCH(AV$5,PayDedList,0)-1,1,1),EarnListItem,0))=FALSE,SUMPRODUCT((PayEmp=$C242)*(PayDate&lt;=$AC242)*(OFFSET($N$6,1,MATCH(AV$5,PayDedList,0)-1,PayCount,1)))/$AA242*12*AV$3,(MIN(SUMPRODUCT((PayEmp=$C242)*(PayDate&lt;=$AC242)*(ISERROR(SEARCH(PayEarnCode,AV$2)))*(PayEarnType="Monthly")*(PayEarnValues))/$AA242*12,IF(ISNUMBER(OFFSET($N$3,0,MATCH(AV$5,PayDedList,0)-1,1,1)),OFFSET($N$3,0,MATCH(AV$5,PayDedList,0)-1,1,1),IgnoreMin)))*IF(COUNTIFS(EmpNo,$C242,OFFSET(Emp!$R$4,1,MATCH(AV$5,DedListItem,0)-1,EmpCount,1),"&lt;&gt;")&gt;0,VLOOKUP($C242,EmpAll,COLUMN(Emp!$R$4)+MATCH(AV$5,DedListItem,0)-1,0),OFFSET(Setup!$E$73,MATCH(AV$5,DedListItem,0),0,1,1))*AV$3))),IF(ISNUMBER(AV$4),AV$4,IgnoreMin)))))</f>
        <v>0</v>
      </c>
      <c r="AW242" s="148" cm="1">
        <f t="array" aca="1" ref="AW242" ca="1">-IF($F242="Terminated",0,IF($AA242=0,0,IF(ISNA(MATCH(AW$5,PayDedList,0)),0,MIN(IF(COUNTIFS(OverEmp,$C242,OverDeduct,AW$5,OverDate,"&lt;"&amp;DATE(YEAR($AC242),MONTH($AC242)+1,1),OverEnd,"&gt;="&amp;DATE(YEAR($AC242),MONTH($AC242),1))&gt;0,SUMPRODUCT((PayEmp=$C242)*(PayDate&lt;=$AC242)*(OFFSET($N$6,1,MATCH(AW$5,PayDedList,0)-1,PayCount,1)))/$AA242*12*AW$3,IF(OR(AW$1="Fixed",AW$1="Not Used"),SUMPRODUCT((PayEmp=$C242)*(PayDate&lt;=$AC242)*(OFFSET($N$6,1,MATCH(AW$5,PayDedList,0)-1,PayCount,1)))/$AA242*12*AW$3,IF(ISNA(MATCH(OFFSET($N$2,0,MATCH(AW$5,PayDedList,0)-1,1,1),EarnListItem,0))=FALSE,SUMPRODUCT((PayEmp=$C242)*(PayDate&lt;=$AC242)*(OFFSET($N$6,1,MATCH(AW$5,PayDedList,0)-1,PayCount,1)))/$AA242*12*AW$3,(MIN(SUMPRODUCT((PayEmp=$C242)*(PayDate&lt;=$AC242)*(ISERROR(SEARCH(PayEarnCode,AW$2)))*(PayEarnType="Monthly")*(PayEarnValues))/$AA242*12,IF(ISNUMBER(OFFSET($N$3,0,MATCH(AW$5,PayDedList,0)-1,1,1)),OFFSET($N$3,0,MATCH(AW$5,PayDedList,0)-1,1,1),IgnoreMin)))*IF(COUNTIFS(EmpNo,$C242,OFFSET(Emp!$R$4,1,MATCH(AW$5,DedListItem,0)-1,EmpCount,1),"&lt;&gt;")&gt;0,VLOOKUP($C242,EmpAll,COLUMN(Emp!$R$4)+MATCH(AW$5,DedListItem,0)-1,0),OFFSET(Setup!$E$73,MATCH(AW$5,DedListItem,0),0,1,1))*AW$3))),IF(ISNUMBER(AW$4),AW$4,IgnoreMin)))))</f>
        <v>0</v>
      </c>
      <c r="AX242" s="148">
        <f t="shared" ca="1" si="150"/>
        <v>0</v>
      </c>
      <c r="AY242" s="148">
        <f t="shared" ca="1" si="151"/>
        <v>0</v>
      </c>
      <c r="AZ242" s="148">
        <f ca="1">IF(ISNUMBER($AL242),($AR242*$AL242)-$AI242-$AK242,MAX(0,IF($AL242="B",IF($AR242&lt;Setup!$C$32,($AR242*Setup!$D$32)-$AI242-$AK242,(($AR242-VLOOKUP($AR242,TaxAll2,1,1))*OFFSET(Setup!$D$32,MATCH($AR242,TaxBracket2,1),0,1,1))+OFFSET(Setup!$E$31,MATCH($AR242,TaxBracket2,1),0,1,1)-$AI242-$AK242),IF($AR242&lt;Setup!$C$21,($AR242*Setup!$D$21)-$AI242-$AK242,(($AR242-VLOOKUP($AR242,TaxAll1,1,1))*OFFSET(Setup!$D$21,MATCH($AR242,TaxBracket1,1),0,1,1))+OFFSET(Setup!$E$20,MATCH($AR242,TaxBracket1,1),0,1,1)-$AI242-$AK242))))</f>
        <v>0</v>
      </c>
      <c r="BA242" s="148">
        <f ca="1">IF(ISNUMBER($AL242),($AX242*$AL242)-$AI242-$AK242,MAX(0,IF($AL242="B",IF($AX242&lt;Setup!$C$32,($AX242*Setup!$D$32)-$AI242-$AK242,(($AX242-VLOOKUP($AX242,TaxAll2,1,1))*OFFSET(Setup!$D$32,MATCH($AX242,TaxBracket2,1),0,1,1))+OFFSET(Setup!$E$31,MATCH($AX242,TaxBracket2,1),0,1,1)-$AI242-$AK242),IF($AX242&lt;Setup!$C$21,($AX242*Setup!$D$21)-$AI242-$AK242,(($AX242-VLOOKUP($AX242,TaxAll1,1,1))*OFFSET(Setup!$D$21,MATCH($AX242,TaxBracket1,1),0,1,1))+OFFSET(Setup!$E$20,MATCH($AX242,TaxBracket1,1),0,1,1)-$AI242-$AK242))))</f>
        <v>0</v>
      </c>
      <c r="BB242" s="148">
        <f t="shared" ca="1" si="82"/>
        <v>0</v>
      </c>
      <c r="BC242" s="150">
        <f t="shared" ca="1" si="110"/>
        <v>0</v>
      </c>
      <c r="BD242" s="150">
        <f t="shared" ca="1" si="111"/>
        <v>0</v>
      </c>
      <c r="BE242" s="148">
        <f t="shared" ca="1" si="112"/>
        <v>0</v>
      </c>
    </row>
    <row r="243" spans="1:57" ht="16.149999999999999" customHeight="1" x14ac:dyDescent="0.25">
      <c r="A243" s="10" t="str" cm="1">
        <f t="array" ref="A243">IF(ROW($A243)-ROW($A$6)&gt;EmpCount*12,"-",TEXT($B243,"yyyy")&amp;TEXT($B243,"mm")&amp;"-"&amp;$C243)</f>
        <v>-</v>
      </c>
      <c r="B243" s="137" cm="1">
        <f t="array" aca="1" ref="B243" ca="1">IF(ROW($A243)-ROW($A$6)&gt;EmpCount*12,Setup!$D$12,DATE(YEAR(Setup!$F$12),MONTH(Setup!$F$12)+ROUNDDOWN((ROW($A243)-ROW($A$6)-1)/EmpCount,0),IF(Setup!$C$14&gt;DAY(DATE(YEAR(Setup!$F$12),MONTH(Setup!$F$12)+ROUNDDOWN((ROW($A243)-ROW($A$6)-1)/EmpCount,0)+1,0)),DAY(DATE(YEAR(Setup!$F$12),MONTH(Setup!$F$12)+ROUNDDOWN((ROW($A243)-ROW($A$6)-1)/EmpCount,0)+1,0)),Setup!$C$14)))</f>
        <v>45351</v>
      </c>
      <c r="C243" s="101" t="str" cm="1">
        <f t="array" aca="1" ref="C243" ca="1">IF(ROW($A243)-ROW($A$6)&gt;EmpCount*12,"-",OFFSET(Emp!$A$4,ROW($A243)-ROW($A$6)-IF(ROW($A243)-ROW($A$6)&gt;EmpCount,ROUNDDOWN((ROW($A243)-ROW($A$6)-1)/EmpCount,0)*EmpCount,0),0,1,1))</f>
        <v>-</v>
      </c>
      <c r="D243" s="10" t="str">
        <f ca="1">IF(ISNA(VLOOKUP($C243,EmpAll,COLUMN(Emp!$B$4),0)),"-",VLOOKUP($C243,EmpAll,COLUMN(Emp!$B$4),0))</f>
        <v>-</v>
      </c>
      <c r="E243" s="145" t="str">
        <f ca="1">IF(ISNA(VLOOKUP($C243,EmpAll,COLUMN(Emp!$C$4),0)),"-",VLOOKUP($C243,EmpAll,COLUMN(Emp!$C$4),0))</f>
        <v>-</v>
      </c>
      <c r="F243" s="101" t="str">
        <f ca="1">IF(ISNA(VLOOKUP($C243,EmpAll,COLUMN(Emp!$A$4),0)),"-",IF(AND(VLOOKUP($C243,EmpAll,COLUMN(Emp!$E$4),0)&lt;&gt;0,VLOOKUP($C243,EmpAll,COLUMN(Emp!$E$4),0)&gt;=DATE(YEAR($AC243),MONTH($AC243)+1,0)),"Inactive",IF(AND(VLOOKUP($C243,EmpAll,COLUMN(Emp!$F$4),0)&lt;&gt;0,VLOOKUP($C243,EmpAll,COLUMN(Emp!$F$4),0)&lt;=DATE(YEAR($AC243),MONTH($AC243),0)),"Terminated","Active")))</f>
        <v>-</v>
      </c>
      <c r="G243" s="133" cm="1">
        <f t="array" aca="1" ref="G243" ca="1">IF($F243&lt;&gt;"Active",0,IF(COUNTIFS(OverEmp,$C243,OverEarn,G$2,OverDate,"&lt;"&amp;DATE(YEAR($AC243),MONTH($AC243)+1,1),OverEnd,"&gt;="&amp;DATE(YEAR($AC243),MONTH($AC243),1))&gt;0,SUMIFS(OverValue,OverEmp,$C243,OverEarn,G$2,OverDate,"&lt;"&amp;DATE(YEAR($AC243),MONTH($AC243)+1,1),OverEnd,"&gt;="&amp;DATE(YEAR($AC243),MONTH($AC243),1)),IF(AND($AC243&gt;=Setup!$E$10,SUMIFS(EmpIncrease,EmpCode,$C243)&gt;0),SUMIFS(EmpIncrease,EmpCode,$C243),SUMIFS(EmpSalary,EmpCode,$C243))))</f>
        <v>0</v>
      </c>
      <c r="H243" s="133" cm="1">
        <f t="array" aca="1" ref="H243" ca="1">IF($F243&lt;&gt;"Active",0,IF(COUNTIFS(OverEmp,$C243,OverEarn,H$2,OverDate,"&lt;"&amp;DATE(YEAR($AC243),MONTH($AC243)+1,1),OverEnd,"&gt;="&amp;DATE(YEAR($AC243),MONTH($AC243),1))&gt;0,SUMIFS(OverValue,OverEmp,$C243,OverEarn,H$2,OverDate,"&lt;"&amp;DATE(YEAR($AC243),MONTH($AC243)+1,1),OverEnd,"&gt;="&amp;DATE(YEAR($AC243),MONTH($AC243),1)),0))</f>
        <v>0</v>
      </c>
      <c r="I243" s="133" cm="1">
        <f t="array" aca="1" ref="I243" ca="1">IF($F243&lt;&gt;"Active",0,IF(COUNTIFS(OverEmp,$C243,OverEarn,I$2,OverDate,"&lt;"&amp;DATE(YEAR($AC243),MONTH($AC243)+1,1),OverEnd,"&gt;="&amp;DATE(YEAR($AC243),MONTH($AC243),1))&gt;0,SUMIFS(OverValue,OverEmp,$C243,OverEarn,I$2,OverDate,"&lt;"&amp;DATE(YEAR($AC243),MONTH($AC243)+1,1),OverEnd,"&gt;="&amp;DATE(YEAR($AC243),MONTH($AC243),1)),IF(MONTH(B243)=Setup!$C$15,SUMIFS(EmpBonus,EmpCode,$C243),0)))</f>
        <v>0</v>
      </c>
      <c r="J243" s="133" cm="1">
        <f t="array" aca="1" ref="J243" ca="1">IF($F243&lt;&gt;"Active",0,IF(COUNTIFS(OverEmp,$C243,OverEarn,J$2,OverDate,"&lt;"&amp;DATE(YEAR($AC243),MONTH($AC243)+1,1),OverEnd,"&gt;="&amp;DATE(YEAR($AC243),MONTH($AC243),1))&gt;0,SUMIFS(OverValue,OverEmp,$C243,OverEarn,J$2,OverDate,"&lt;"&amp;DATE(YEAR($AC243),MONTH($AC243)+1,1),OverEnd,"&gt;="&amp;DATE(YEAR($AC243),MONTH($AC243),1)),0))</f>
        <v>0</v>
      </c>
      <c r="K243" s="133" cm="1">
        <f t="array" aca="1" ref="K243" ca="1">IF($F243&lt;&gt;"Active",0,IF(COUNTIFS(OverEmp,$C243,OverEarn,K$2,OverDate,"&lt;"&amp;DATE(YEAR($AC243),MONTH($AC243)+1,1),OverEnd,"&gt;="&amp;DATE(YEAR($AC243),MONTH($AC243),1))&gt;0,SUMIFS(OverValue,OverEmp,$C243,OverEarn,K$2,OverDate,"&lt;"&amp;DATE(YEAR($AC243),MONTH($AC243)+1,1),OverEnd,"&gt;="&amp;DATE(YEAR($AC243),MONTH($AC243),1)),0))</f>
        <v>0</v>
      </c>
      <c r="L243" s="185">
        <f t="shared" ca="1" si="146"/>
        <v>0</v>
      </c>
      <c r="M243" s="182" cm="1">
        <f t="array" aca="1" ref="M243" ca="1">IF(COUNTIFS(OverEmp,$C243,OverTax,M$5,OverDate,"&lt;"&amp;DATE(YEAR($AC243),MONTH($AC243)+1,1),OverEnd,"&gt;="&amp;DATE(YEAR($AC243),MONTH($AC243),1))&gt;0,SUMIFS(OverValue,OverEmp,$C243,OverTax,M$5,OverDate,"&lt;"&amp;DATE(YEAR($AC243),MONTH($AC243)+1,1),OverEnd,"&gt;="&amp;DATE(YEAR($AC243),MONTH($AC243),1)),(($BA243/12*$AA243)+(BB243*IF(1-$BC243=0,0,BD243/(1-$BC243))))-IF($F243="Terminated",0,SUMIFS(PayTaxDeduct,PayDate,"&lt;"&amp;$AC243,PayEmp,$C243)))</f>
        <v>0</v>
      </c>
      <c r="N243" s="133" cm="1">
        <f t="array" aca="1" ref="N243" ca="1">IF($F243="Terminated",0,IF($AA243=0,0,IF(ISNA(MATCH(N$5,DedListItem,0)),0,IF(COUNTIFS(OverEmp,$C243,OverDeduct,N$5,OverDate,"&lt;"&amp;DATE(YEAR($AC243),MONTH($AC243)+1,1),OverEnd,"&gt;="&amp;DATE(YEAR($AC243),MONTH($AC243),1))&gt;0,SUMIFS(OverValue,OverEmp,$C243,OverDeduct,N$5,OverDate,"&lt;"&amp;DATE(YEAR($AC243),MONTH($AC243)+1,1),OverEnd,"&gt;="&amp;DATE(YEAR($AC243),MONTH($AC243),1)),IF(OR(N$2="Fixed",N$2="Not Used"),(IF(COUNTIFS(EmpNo,$C243,OFFSET(Emp!$R$4,1,MATCH(N$5,DedListItem,0)-1,EmpCount,1),"&lt;&gt;")&gt;0,VLOOKUP($C243,EmpAll,COLUMN(Emp!$R$4)+MATCH(N$5,DedListItem,0)-1,0),OFFSET(Setup!$E$73,MATCH(N$5,DedListItem,0),0,1,1))*$AA243)-SUMIFS(OFFSET(N$6,1,0,PayCount,1),PayDate,"&lt;"&amp;$AC243,PayEmp,$C243),IF(ISNA(MATCH(N$2,EarnListItem,0))=FALSE,IF(OFFSET(Setup!$G$73,MATCH(N$5,DedListItem,0),0,1,1)="Taxable",SUMPRODUCT((PayEmp=$C243)*(PayDate&lt;=$AC243)*(PayEarnCode=N$2)*(PayEarnTax)*(PayEarnValues)),SUMPRODUCT((PayEmp=$C243)*(PayDate&lt;=$AC243)*(PayEarnCode=N$2)*(PayEarnValues)))*IF(COUNTIFS(EmpNo,$C243,OFFSET(Emp!$R$4,1,MATCH(N$5,DedListItem,0)-1,EmpCount,1),"&lt;&gt;")&gt;0,VLOOKUP($C243,EmpAll,COLUMN(Emp!$R$4)+MATCH(N$5,DedListItem,0)-1,0),OFFSET(Setup!$E$73,MATCH(N$5,DedListItem,0),0,1,1)),(MIN(IF(OFFSET(Setup!$G$73,MATCH(N$5,DedListItem,0),0,1,1)="Taxable",SUMPRODUCT((PayEmp=$C243)*(PayDate&lt;=$AC243)*(ISERROR(SEARCH(PayEarnCode,N$4)))*(PayEarnTax)*(PayEarnValues)),SUMPRODUCT((PayEmp=$C243)*(PayDate&lt;=$AC243)*(ISERROR(SEARCH(PayEarnCode,N$4)))*(PayEarnValues))),IF(ISNUMBER(N$3),N$3/12*$AA243,IgnoreMin)))*IF(COUNTIFS(EmpNo,$C243,OFFSET(Emp!$R$4,1,MATCH(N$5,DedListItem,0)-1,EmpCount,1),"&lt;&gt;")&gt;0,VLOOKUP($C243,EmpAll,COLUMN(Emp!$R$4)+MATCH(N$5,DedListItem,0)-1,0),OFFSET(Setup!$E$73,MATCH(N$5,DedListItem,0),0,1,1)))-SUMIFS(OFFSET(N$6,1,0,PayCount,1),PayDate,"&lt;"&amp;$AC243,PayEmp,$C243))))))</f>
        <v>0</v>
      </c>
      <c r="O243" s="133" cm="1">
        <f t="array" aca="1" ref="O243" ca="1">IF($F243="Terminated",0,IF($AA243=0,0,IF(ISNA(MATCH(O$5,DedListItem,0)),0,IF(COUNTIFS(OverEmp,$C243,OverDeduct,O$5,OverDate,"&lt;"&amp;DATE(YEAR($AC243),MONTH($AC243)+1,1),OverEnd,"&gt;="&amp;DATE(YEAR($AC243),MONTH($AC243),1))&gt;0,SUMIFS(OverValue,OverEmp,$C243,OverDeduct,O$5,OverDate,"&lt;"&amp;DATE(YEAR($AC243),MONTH($AC243)+1,1),OverEnd,"&gt;="&amp;DATE(YEAR($AC243),MONTH($AC243),1)),IF(OR(O$2="Fixed",O$2="Not Used"),(IF(COUNTIFS(EmpNo,$C243,OFFSET(Emp!$R$4,1,MATCH(O$5,DedListItem,0)-1,EmpCount,1),"&lt;&gt;")&gt;0,VLOOKUP($C243,EmpAll,COLUMN(Emp!$R$4)+MATCH(O$5,DedListItem,0)-1,0),OFFSET(Setup!$E$73,MATCH(O$5,DedListItem,0),0,1,1))*$AA243)-SUMIFS(OFFSET(O$6,1,0,PayCount,1),PayDate,"&lt;"&amp;$AC243,PayEmp,$C243),IF(ISNA(MATCH(O$2,EarnListItem,0))=FALSE,IF(OFFSET(Setup!$G$73,MATCH(O$5,DedListItem,0),0,1,1)="Taxable",SUMPRODUCT((PayEmp=$C243)*(PayDate&lt;=$AC243)*(PayEarnCode=O$2)*(PayEarnTax)*(PayEarnValues)),SUMPRODUCT((PayEmp=$C243)*(PayDate&lt;=$AC243)*(PayEarnCode=O$2)*(PayEarnValues)))*IF(COUNTIFS(EmpNo,$C243,OFFSET(Emp!$R$4,1,MATCH(O$5,DedListItem,0)-1,EmpCount,1),"&lt;&gt;")&gt;0,VLOOKUP($C243,EmpAll,COLUMN(Emp!$R$4)+MATCH(O$5,DedListItem,0)-1,0),OFFSET(Setup!$E$73,MATCH(O$5,DedListItem,0),0,1,1)),(MIN(IF(OFFSET(Setup!$G$73,MATCH(O$5,DedListItem,0),0,1,1)="Taxable",SUMPRODUCT((PayEmp=$C243)*(PayDate&lt;=$AC243)*(ISERROR(SEARCH(PayEarnCode,O$4)))*(PayEarnTax)*(PayEarnValues)),SUMPRODUCT((PayEmp=$C243)*(PayDate&lt;=$AC243)*(ISERROR(SEARCH(PayEarnCode,O$4)))*(PayEarnValues))),IF(ISNUMBER(O$3),O$3/12*$AA243,IgnoreMin)))*IF(COUNTIFS(EmpNo,$C243,OFFSET(Emp!$R$4,1,MATCH(O$5,DedListItem,0)-1,EmpCount,1),"&lt;&gt;")&gt;0,VLOOKUP($C243,EmpAll,COLUMN(Emp!$R$4)+MATCH(O$5,DedListItem,0)-1,0),OFFSET(Setup!$E$73,MATCH(O$5,DedListItem,0),0,1,1)))-SUMIFS(OFFSET(O$6,1,0,PayCount,1),PayDate,"&lt;"&amp;$AC243,PayEmp,$C243))))))</f>
        <v>0</v>
      </c>
      <c r="P243" s="133" cm="1">
        <f t="array" aca="1" ref="P243" ca="1">IF($F243="Terminated",0,IF($AA243=0,0,IF(ISNA(MATCH(P$5,DedListItem,0)),0,IF(COUNTIFS(OverEmp,$C243,OverDeduct,P$5,OverDate,"&lt;"&amp;DATE(YEAR($AC243),MONTH($AC243)+1,1),OverEnd,"&gt;="&amp;DATE(YEAR($AC243),MONTH($AC243),1))&gt;0,SUMIFS(OverValue,OverEmp,$C243,OverDeduct,P$5,OverDate,"&lt;"&amp;DATE(YEAR($AC243),MONTH($AC243)+1,1),OverEnd,"&gt;="&amp;DATE(YEAR($AC243),MONTH($AC243),1)),IF(OR(P$2="Fixed",P$2="Not Used"),(IF(COUNTIFS(EmpNo,$C243,OFFSET(Emp!$R$4,1,MATCH(P$5,DedListItem,0)-1,EmpCount,1),"&lt;&gt;")&gt;0,VLOOKUP($C243,EmpAll,COLUMN(Emp!$R$4)+MATCH(P$5,DedListItem,0)-1,0),OFFSET(Setup!$E$73,MATCH(P$5,DedListItem,0),0,1,1))*$AA243)-SUMIFS(OFFSET(P$6,1,0,PayCount,1),PayDate,"&lt;"&amp;$AC243,PayEmp,$C243),IF(ISNA(MATCH(P$2,EarnListItem,0))=FALSE,IF(OFFSET(Setup!$G$73,MATCH(P$5,DedListItem,0),0,1,1)="Taxable",SUMPRODUCT((PayEmp=$C243)*(PayDate&lt;=$AC243)*(PayEarnCode=P$2)*(PayEarnTax)*(PayEarnValues)),SUMPRODUCT((PayEmp=$C243)*(PayDate&lt;=$AC243)*(PayEarnCode=P$2)*(PayEarnValues)))*IF(COUNTIFS(EmpNo,$C243,OFFSET(Emp!$R$4,1,MATCH(P$5,DedListItem,0)-1,EmpCount,1),"&lt;&gt;")&gt;0,VLOOKUP($C243,EmpAll,COLUMN(Emp!$R$4)+MATCH(P$5,DedListItem,0)-1,0),OFFSET(Setup!$E$73,MATCH(P$5,DedListItem,0),0,1,1)),(MIN(IF(OFFSET(Setup!$G$73,MATCH(P$5,DedListItem,0),0,1,1)="Taxable",SUMPRODUCT((PayEmp=$C243)*(PayDate&lt;=$AC243)*(ISERROR(SEARCH(PayEarnCode,P$4)))*(PayEarnTax)*(PayEarnValues)),SUMPRODUCT((PayEmp=$C243)*(PayDate&lt;=$AC243)*(ISERROR(SEARCH(PayEarnCode,P$4)))*(PayEarnValues))),IF(ISNUMBER(P$3),P$3/12*$AA243,IgnoreMin)))*IF(COUNTIFS(EmpNo,$C243,OFFSET(Emp!$R$4,1,MATCH(P$5,DedListItem,0)-1,EmpCount,1),"&lt;&gt;")&gt;0,VLOOKUP($C243,EmpAll,COLUMN(Emp!$R$4)+MATCH(P$5,DedListItem,0)-1,0),OFFSET(Setup!$E$73,MATCH(P$5,DedListItem,0),0,1,1)))-SUMIFS(OFFSET(P$6,1,0,PayCount,1),PayDate,"&lt;"&amp;$AC243,PayEmp,$C243))))))</f>
        <v>0</v>
      </c>
      <c r="Q243" s="133" cm="1">
        <f t="array" aca="1" ref="Q243" ca="1">IF($F243="Terminated",0,IF($AA243=0,0,IF(ISNA(MATCH(Q$5,DedListItem,0)),0,IF(COUNTIFS(OverEmp,$C243,OverDeduct,Q$5,OverDate,"&lt;"&amp;DATE(YEAR($AC243),MONTH($AC243)+1,1),OverEnd,"&gt;="&amp;DATE(YEAR($AC243),MONTH($AC243),1))&gt;0,SUMIFS(OverValue,OverEmp,$C243,OverDeduct,Q$5,OverDate,"&lt;"&amp;DATE(YEAR($AC243),MONTH($AC243)+1,1),OverEnd,"&gt;="&amp;DATE(YEAR($AC243),MONTH($AC243),1)),IF(OR(Q$2="Fixed",Q$2="Not Used"),(IF(COUNTIFS(EmpNo,$C243,OFFSET(Emp!$R$4,1,MATCH(Q$5,DedListItem,0)-1,EmpCount,1),"&lt;&gt;")&gt;0,VLOOKUP($C243,EmpAll,COLUMN(Emp!$R$4)+MATCH(Q$5,DedListItem,0)-1,0),OFFSET(Setup!$E$73,MATCH(Q$5,DedListItem,0),0,1,1))*$AA243)-SUMIFS(OFFSET(Q$6,1,0,PayCount,1),PayDate,"&lt;"&amp;$AC243,PayEmp,$C243),IF(ISNA(MATCH(Q$2,EarnListItem,0))=FALSE,IF(OFFSET(Setup!$G$73,MATCH(Q$5,DedListItem,0),0,1,1)="Taxable",SUMPRODUCT((PayEmp=$C243)*(PayDate&lt;=$AC243)*(PayEarnCode=Q$2)*(PayEarnTax)*(PayEarnValues)),SUMPRODUCT((PayEmp=$C243)*(PayDate&lt;=$AC243)*(PayEarnCode=Q$2)*(PayEarnValues)))*IF(COUNTIFS(EmpNo,$C243,OFFSET(Emp!$R$4,1,MATCH(Q$5,DedListItem,0)-1,EmpCount,1),"&lt;&gt;")&gt;0,VLOOKUP($C243,EmpAll,COLUMN(Emp!$R$4)+MATCH(Q$5,DedListItem,0)-1,0),OFFSET(Setup!$E$73,MATCH(Q$5,DedListItem,0),0,1,1)),(MIN(IF(OFFSET(Setup!$G$73,MATCH(Q$5,DedListItem,0),0,1,1)="Taxable",SUMPRODUCT((PayEmp=$C243)*(PayDate&lt;=$AC243)*(ISERROR(SEARCH(PayEarnCode,Q$4)))*(PayEarnTax)*(PayEarnValues)),SUMPRODUCT((PayEmp=$C243)*(PayDate&lt;=$AC243)*(ISERROR(SEARCH(PayEarnCode,Q$4)))*(PayEarnValues))),IF(ISNUMBER(Q$3),Q$3/12*$AA243,IgnoreMin)))*IF(COUNTIFS(EmpNo,$C243,OFFSET(Emp!$R$4,1,MATCH(Q$5,DedListItem,0)-1,EmpCount,1),"&lt;&gt;")&gt;0,VLOOKUP($C243,EmpAll,COLUMN(Emp!$R$4)+MATCH(Q$5,DedListItem,0)-1,0),OFFSET(Setup!$E$73,MATCH(Q$5,DedListItem,0),0,1,1)))-SUMIFS(OFFSET(Q$6,1,0,PayCount,1),PayDate,"&lt;"&amp;$AC243,PayEmp,$C243))))))</f>
        <v>0</v>
      </c>
      <c r="R243" s="185">
        <f t="shared" ca="1" si="147"/>
        <v>0</v>
      </c>
      <c r="S243" s="139">
        <f t="shared" ca="1" si="148"/>
        <v>0</v>
      </c>
      <c r="T243" s="133" cm="1">
        <f t="array" aca="1" ref="T243" ca="1">IF($F243="Terminated",0,IF($AA243=0,0,IF(ISNA(MATCH(T$5,CompListItem,0)),0,IF(COUNTIFS(OverEmp,$C243,OverComp,T$5,OverDate,"&lt;"&amp;DATE(YEAR($AC243),MONTH($AC243)+1,1),OverEnd,"&gt;="&amp;DATE(YEAR($AC243),MONTH($AC243),1))&gt;0,SUMIFS(OverValue,OverEmp,$C243,OverComp,T$5,OverDate,"&lt;"&amp;DATE(YEAR($AC243),MONTH($AC243)+1,1),OverEnd,"&gt;="&amp;DATE(YEAR($AC243),MONTH($AC243),1)),IF(OR(T$2="Fixed",T$2="Not Used"),(OFFSET(Setup!$E$81,MATCH(T$5,CompListItem,0),0,1,1)*$AA243)-SUMIFS(OFFSET(T$6,1,0,PayCount,1),PayDate,"&lt;"&amp;$AC243,PayEmp,$C243),IF(ISNA(MATCH(T$2,DedListItem,0))=FALSE,(SUMPRODUCT((PayEmp=$C243)*(PayDate&lt;=$AC243)*(PayDedList=T$2)*(PayDedValues))*OFFSET(Setup!$E$81,MATCH(T$5,CompListItem,0),0,1,1))-SUMIFS(OFFSET(T$6,1,0,PayCount,1),PayDate,"&lt;"&amp;$AC243,PayEmp,$C243),(MIN(IF(OFFSET(Setup!$G$81,MATCH(T$5,CompListItem,0),0,1,1)="Taxable",SUMPRODUCT((PayEmp=$C243)*(PayDate&lt;=$AC243)*(ISERROR(SEARCH(PayEarnCode,T$4)))*(PayEarnTax)*(PayEarnValues)),SUMPRODUCT((PayEmp=$C243)*(PayDate&lt;=$AC243)*(ISERROR(SEARCH(PayEarnCode,T$4)))*(PayEarnValues))),IF(ISNUMBER(T$3),T$3/12*$AA243,IgnoreMin)))*OFFSET(Setup!$E$81,MATCH(T$5,CompListItem,0),0,1,1)-SUMIFS(OFFSET(T$6,1,0,PayCount,1),PayDate,"&lt;"&amp;$AC243,PayEmp,$C243)))))))</f>
        <v>0</v>
      </c>
      <c r="U243" s="133" cm="1">
        <f t="array" aca="1" ref="U243" ca="1">IF($F243="Terminated",0,IF($AA243=0,0,IF(ISNA(MATCH(U$5,CompListItem,0)),0,IF(COUNTIFS(OverEmp,$C243,OverComp,U$5,OverDate,"&lt;"&amp;DATE(YEAR($AC243),MONTH($AC243)+1,1),OverEnd,"&gt;="&amp;DATE(YEAR($AC243),MONTH($AC243),1))&gt;0,SUMIFS(OverValue,OverEmp,$C243,OverComp,U$5,OverDate,"&lt;"&amp;DATE(YEAR($AC243),MONTH($AC243)+1,1),OverEnd,"&gt;="&amp;DATE(YEAR($AC243),MONTH($AC243),1)),IF(OR(U$2="Fixed",U$2="Not Used"),(OFFSET(Setup!$E$81,MATCH(U$5,CompListItem,0),0,1,1)*$AA243)-SUMIFS(OFFSET(U$6,1,0,PayCount,1),PayDate,"&lt;"&amp;$AC243,PayEmp,$C243),IF(ISNA(MATCH(U$2,DedListItem,0))=FALSE,(SUMPRODUCT((PayEmp=$C243)*(PayDate&lt;=$AC243)*(PayDedList=U$2)*(PayDedValues))*OFFSET(Setup!$E$81,MATCH(U$5,CompListItem,0),0,1,1))-SUMIFS(OFFSET(U$6,1,0,PayCount,1),PayDate,"&lt;"&amp;$AC243,PayEmp,$C243),(MIN(IF(OFFSET(Setup!$G$81,MATCH(U$5,CompListItem,0),0,1,1)="Taxable",SUMPRODUCT((PayEmp=$C243)*(PayDate&lt;=$AC243)*(ISERROR(SEARCH(PayEarnCode,U$4)))*(PayEarnTax)*(PayEarnValues)),SUMPRODUCT((PayEmp=$C243)*(PayDate&lt;=$AC243)*(ISERROR(SEARCH(PayEarnCode,U$4)))*(PayEarnValues))),IF(ISNUMBER(U$3),U$3/12*$AA243,IgnoreMin)))*OFFSET(Setup!$E$81,MATCH(U$5,CompListItem,0),0,1,1)-SUMIFS(OFFSET(U$6,1,0,PayCount,1),PayDate,"&lt;"&amp;$AC243,PayEmp,$C243)))))))</f>
        <v>0</v>
      </c>
      <c r="V243" s="133" cm="1">
        <f t="array" aca="1" ref="V243" ca="1">IF($F243="Terminated",0,IF($AA243=0,0,IF(ISNA(MATCH(V$5,CompListItem,0)),0,IF(COUNTIFS(OverEmp,$C243,OverComp,V$5,OverDate,"&lt;"&amp;DATE(YEAR($AC243),MONTH($AC243)+1,1),OverEnd,"&gt;="&amp;DATE(YEAR($AC243),MONTH($AC243),1))&gt;0,SUMIFS(OverValue,OverEmp,$C243,OverComp,V$5,OverDate,"&lt;"&amp;DATE(YEAR($AC243),MONTH($AC243)+1,1),OverEnd,"&gt;="&amp;DATE(YEAR($AC243),MONTH($AC243),1)),IF(OR(V$2="Fixed",V$2="Not Used"),(OFFSET(Setup!$E$81,MATCH(V$5,CompListItem,0),0,1,1)*$AA243)-SUMIFS(OFFSET(V$6,1,0,PayCount,1),PayDate,"&lt;"&amp;$AC243,PayEmp,$C243),IF(ISNA(MATCH(V$2,DedListItem,0))=FALSE,(SUMPRODUCT((PayEmp=$C243)*(PayDate&lt;=$AC243)*(PayDedList=V$2)*(PayDedValues))*OFFSET(Setup!$E$81,MATCH(V$5,CompListItem,0),0,1,1))-SUMIFS(OFFSET(V$6,1,0,PayCount,1),PayDate,"&lt;"&amp;$AC243,PayEmp,$C243),(MIN(IF(OFFSET(Setup!$G$81,MATCH(V$5,CompListItem,0),0,1,1)="Taxable",SUMPRODUCT((PayEmp=$C243)*(PayDate&lt;=$AC243)*(ISERROR(SEARCH(PayEarnCode,V$4)))*(PayEarnTax)*(PayEarnValues)),SUMPRODUCT((PayEmp=$C243)*(PayDate&lt;=$AC243)*(ISERROR(SEARCH(PayEarnCode,V$4)))*(PayEarnValues))),IF(ISNUMBER(V$3),V$3/12*$AA243,IgnoreMin)))*OFFSET(Setup!$E$81,MATCH(V$5,CompListItem,0),0,1,1)-SUMIFS(OFFSET(V$6,1,0,PayCount,1),PayDate,"&lt;"&amp;$AC243,PayEmp,$C243)))))))</f>
        <v>0</v>
      </c>
      <c r="W243" s="133" cm="1">
        <f t="array" aca="1" ref="W243" ca="1">IF($F243="Terminated",0,IF($AA243=0,0,IF(ISNA(MATCH(W$5,CompListItem,0)),0,IF(COUNTIFS(OverEmp,$C243,OverComp,W$5,OverDate,"&lt;"&amp;DATE(YEAR($AC243),MONTH($AC243)+1,1),OverEnd,"&gt;="&amp;DATE(YEAR($AC243),MONTH($AC243),1))&gt;0,SUMIFS(OverValue,OverEmp,$C243,OverComp,W$5,OverDate,"&lt;"&amp;DATE(YEAR($AC243),MONTH($AC243)+1,1),OverEnd,"&gt;="&amp;DATE(YEAR($AC243),MONTH($AC243),1)),IF(OR(W$2="Fixed",W$2="Not Used"),(OFFSET(Setup!$E$81,MATCH(W$5,CompListItem,0),0,1,1)*$AA243)-SUMIFS(OFFSET(W$6,1,0,PayCount,1),PayDate,"&lt;"&amp;$AC243,PayEmp,$C243),IF(ISNA(MATCH(W$2,DedListItem,0))=FALSE,(SUMPRODUCT((PayEmp=$C243)*(PayDate&lt;=$AC243)*(PayDedList=W$2)*(PayDedValues))*OFFSET(Setup!$E$81,MATCH(W$5,CompListItem,0),0,1,1))-SUMIFS(OFFSET(W$6,1,0,PayCount,1),PayDate,"&lt;"&amp;$AC243,PayEmp,$C243),(MIN(IF(OFFSET(Setup!$G$81,MATCH(W$5,CompListItem,0),0,1,1)="Taxable",SUMPRODUCT((PayEmp=$C243)*(PayDate&lt;=$AC243)*(ISERROR(SEARCH(PayEarnCode,W$4)))*(PayEarnTax)*(PayEarnValues)),SUMPRODUCT((PayEmp=$C243)*(PayDate&lt;=$AC243)*(ISERROR(SEARCH(PayEarnCode,W$4)))*(PayEarnValues))),IF(ISNUMBER(W$3),W$3/12*$AA243,IgnoreMin)))*OFFSET(Setup!$E$81,MATCH(W$5,CompListItem,0),0,1,1)-SUMIFS(OFFSET(W$6,1,0,PayCount,1),PayDate,"&lt;"&amp;$AC243,PayEmp,$C243)))))))</f>
        <v>0</v>
      </c>
      <c r="X243" s="185">
        <f t="shared" ca="1" si="78"/>
        <v>0</v>
      </c>
      <c r="Y243" s="139">
        <f t="shared" ca="1" si="149"/>
        <v>0</v>
      </c>
      <c r="Z243" s="139">
        <f t="shared" ca="1" si="79"/>
        <v>0</v>
      </c>
      <c r="AA243" s="146">
        <f ca="1">IF(OR($B243&lt;=Setup!$E$12,$B243&gt;=Setup!$D$12+1),0,IF($F243&lt;&gt;"Active",0,IF($AE243="Yes",$AB243,((YEAR($AC243)*12)+MONTH($AC243))-((YEAR($AD243)*12)+MONTH($AD243)-1))))</f>
        <v>0</v>
      </c>
      <c r="AB243" s="146">
        <f ca="1">IF(OR($B243&lt;=Setup!$E$12,$B243&gt;=Setup!$D$12+1),0,((YEAR($AC243)*12)+MONTH($AC243))-((YEAR(Setup!$E$12)*12)+MONTH(Setup!$E$12)))</f>
        <v>12</v>
      </c>
      <c r="AC243" s="186">
        <f t="shared" ca="1" si="83"/>
        <v>45351</v>
      </c>
      <c r="AD243" s="144">
        <f ca="1">IF(ISNA(VLOOKUP($C243,EmpAll,COLUMN(Emp!$E$4),0)),$AC243,IF(VLOOKUP($C243,EmpAll,COLUMN(Emp!$E$4),0)&lt;=Setup!$E$12,DATE(YEAR(Setup!$E$12),MONTH(Setup!$E$12)+1,1),VLOOKUP($C243,EmpAll,COLUMN(Emp!$E$4),0)))</f>
        <v>45351</v>
      </c>
      <c r="AE243" s="144" t="str">
        <f ca="1">IF(ISNA(VLOOKUP($C243,EmpAll,COLUMN(Emp!$G$1),0)),"-",IF(VLOOKUP($C243,EmpAll,COLUMN(Emp!$G$1),0)=0,"-",VLOOKUP($C243,EmpAll,COLUMN(Emp!$G$1),0)))</f>
        <v>-</v>
      </c>
      <c r="AF243" s="145">
        <f>IF(A243=PaySlip!$G$3,1,0)</f>
        <v>0</v>
      </c>
      <c r="AG243" s="130" cm="1">
        <f t="array" aca="1" ref="AG243" ca="1">IF(COUNTIFS(OverEmp,$C243,OverMed,"MED",OverDate,"&lt;"&amp;DATE(YEAR($AC243),MONTH($AC243)+1,1),OverEnd,"&gt;="&amp;DATE(YEAR($AC243),MONTH($AC243),1))&gt;0,SUMIFS(OverValue,OverEmp,$C243,OverMed,"MED",OverDate,"&lt;"&amp;DATE(YEAR($AC243),MONTH($AC243)+1,1),OverEnd,"&gt;="&amp;DATE(YEAR($AC243),MONTH($AC243),1)),IF(ISNA(VLOOKUP($C243,EmpAll,COLUMN(Emp!$N$4),0)),0,VLOOKUP($C243,EmpAll,COLUMN(Emp!$N$4),0)))</f>
        <v>0</v>
      </c>
      <c r="AH243" s="146">
        <f ca="1">VLOOKUP($AG243,MedList,COLUMN(Setup!$C$49),1)</f>
        <v>0</v>
      </c>
      <c r="AI243" s="146">
        <f t="shared" ca="1" si="107"/>
        <v>0</v>
      </c>
      <c r="AJ243" s="101" t="str">
        <f ca="1">IF(ISNA(VLOOKUP($C243,EmpAll,COLUMN(Emp!$L$4),0)),"None!",VLOOKUP($C243,EmpAll,COLUMN(Emp!$L$4),0))</f>
        <v>None!</v>
      </c>
      <c r="AK243" s="147">
        <f t="shared" ca="1" si="80"/>
        <v>17235</v>
      </c>
      <c r="AL243" s="101" t="str">
        <f ca="1">IF(ISNA(VLOOKUP($C243,Employees[],COLUMN(Emp!$M$4),0))=TRUE,"Error!",IF(VLOOKUP($C243,Employees[],COLUMN(Emp!$M$4),0)=0,"Yes",VLOOKUP($C243,Employees[],COLUMN(Emp!$M$4),0)))</f>
        <v>Error!</v>
      </c>
      <c r="AM243" s="148">
        <f t="shared" ca="1" si="108"/>
        <v>0</v>
      </c>
      <c r="AN243" s="148" cm="1">
        <f t="array" aca="1" ref="AN243" ca="1">-IF($F243="Terminated",0,IF($AA243=0,0,IF(ISNA(MATCH(AN$5,PayDedList,0)),0,MIN(IF(COUNTIFS(OverEmp,$C243,OverDeduct,AN$5,OverDate,"&lt;"&amp;DATE(YEAR($AC243),MONTH($AC243)+1,1),OverEnd,"&gt;="&amp;DATE(YEAR($AC243),MONTH($AC243),1))&gt;0,SUMPRODUCT((PayEmp=$C243)*(PayDate&lt;=$AC243)*(OFFSET($N$6,1,MATCH(AN$5,PayDedList,0)-1,PayCount,1)))/$AA243*12*AN$3,IF(OR(AN$1="Fixed",AN$1="Not Used"),SUMPRODUCT((PayEmp=$C243)*(PayDate&lt;=$AC243)*(OFFSET($N$6,1,MATCH(AN$5,PayDedList,0)-1,PayCount,1)))/$AA243*12*AN$3,IF(ISNA(MATCH(AN$1,EarnListItem,0))=FALSE,SUMPRODUCT((PayEmp=$C243)*(PayDate&lt;=$AC243)*(OFFSET($N$6,1,MATCH(AN$5,PayDedList,0)-1,PayCount,1)))/$AA243*12*AN$3,(MIN(((SUMPRODUCT((PayEmp=$C243)*(PayDate&lt;=$AC243)*(ISERROR(SEARCH(PayEarnCode,AN$2)))*(PayEarnType="Monthly")*(PayEarnValues))/$AA243*12)+(SUMPRODUCT((PayEmp=$C243)*(PayDate&lt;=$AC243)*(ISERROR(SEARCH(PayEarnCode,AN$2)))*(PayEarnType="Quarterly")*(PayEarnValues))/MAX(1,ROUNDDOWN($AB243/3,0))*4)+(SUMPRODUCT((PayEmp=$C243)*(PayDate&lt;=$AC243)*(ISERROR(SEARCH(PayEarnCode,AN$2)))*(PayEarnType="Bi-Annual")*(PayEarnValues))/MAX(1,ROUNDDOWN($AB243/6,0))*2)+(SUMPRODUCT((PayEmp=$C243)*(PayDate&lt;=$AC243)*(ISERROR(SEARCH(PayEarnCode,AN$2)))*(PayEarnType="Annual")*(PayEarnValues)))),IF(ISNUMBER(OFFSET($N$3,0,MATCH(AN$5,PayDedList,0)-1,1,1)),OFFSET($N$3,0,MATCH(AN$5,PayDedList,0)-1,1,1),IgnoreMin)))*IF(COUNTIFS(EmpNo,$C243,OFFSET(Emp!$R$4,1,MATCH(AN$5,DedListItem,0)-1,EmpCount,1),"&lt;&gt;")&gt;0,VLOOKUP($C243,EmpAll,COLUMN(Emp!$R$4)+MATCH(AN$5,DedListItem,0)-1,0),OFFSET(Setup!$E$73,MATCH(AN$5,DedListItem,0),0,1,1))*AN$3))),IF(ISNUMBER(AN$4),AN$4,IgnoreMin)))))</f>
        <v>0</v>
      </c>
      <c r="AO243" s="148" cm="1">
        <f t="array" aca="1" ref="AO243" ca="1">-IF($F243="Terminated",0,IF($AA243=0,0,IF(ISNA(MATCH(AO$5,PayDedList,0)),0,MIN(IF(COUNTIFS(OverEmp,$C243,OverDeduct,AO$5,OverDate,"&lt;"&amp;DATE(YEAR($AC243),MONTH($AC243)+1,1),OverEnd,"&gt;="&amp;DATE(YEAR($AC243),MONTH($AC243),1))&gt;0,SUMPRODUCT((PayEmp=$C243)*(PayDate&lt;=$AC243)*(OFFSET($N$6,1,MATCH(AO$5,PayDedList,0)-1,PayCount,1)))/$AA243*12*AO$3,IF(OR(AO$1="Fixed",AO$1="Not Used"),SUMPRODUCT((PayEmp=$C243)*(PayDate&lt;=$AC243)*(OFFSET($N$6,1,MATCH(AO$5,PayDedList,0)-1,PayCount,1)))/$AA243*12*AO$3,IF(ISNA(MATCH(AO$1,EarnListItem,0))=FALSE,SUMPRODUCT((PayEmp=$C243)*(PayDate&lt;=$AC243)*(OFFSET($N$6,1,MATCH(AO$5,PayDedList,0)-1,PayCount,1)))/$AA243*12*AO$3,(MIN(((SUMPRODUCT((PayEmp=$C243)*(PayDate&lt;=$AC243)*(ISERROR(SEARCH(PayEarnCode,AO$2)))*(PayEarnType="Monthly")*(PayEarnValues))/$AA243*12)+(SUMPRODUCT((PayEmp=$C243)*(PayDate&lt;=$AC243)*(ISERROR(SEARCH(PayEarnCode,AO$2)))*(PayEarnType="Quarterly")*(PayEarnValues))/MAX(1,ROUNDDOWN($AB243/3,0))*4)+(SUMPRODUCT((PayEmp=$C243)*(PayDate&lt;=$AC243)*(ISERROR(SEARCH(PayEarnCode,AO$2)))*(PayEarnType="Bi-Annual")*(PayEarnValues))/MAX(1,ROUNDDOWN($AB243/6,0))*2)+(SUMPRODUCT((PayEmp=$C243)*(PayDate&lt;=$AC243)*(ISERROR(SEARCH(PayEarnCode,AO$2)))*(PayEarnType="Annual")*(PayEarnValues)))),IF(ISNUMBER(OFFSET($N$3,0,MATCH(AO$5,PayDedList,0)-1,1,1)),OFFSET($N$3,0,MATCH(AO$5,PayDedList,0)-1,1,1),IgnoreMin)))*IF(COUNTIFS(EmpNo,$C243,OFFSET(Emp!$R$4,1,MATCH(AO$5,DedListItem,0)-1,EmpCount,1),"&lt;&gt;")&gt;0,VLOOKUP($C243,EmpAll,COLUMN(Emp!$R$4)+MATCH(AO$5,DedListItem,0)-1,0),OFFSET(Setup!$E$73,MATCH(AO$5,DedListItem,0),0,1,1))*AO$3))),IF(ISNUMBER(AO$4),AO$4,IgnoreMin)))))</f>
        <v>0</v>
      </c>
      <c r="AP243" s="148" cm="1">
        <f t="array" aca="1" ref="AP243" ca="1">-IF($F243="Terminated",0,IF($AA243=0,0,IF(ISNA(MATCH(AP$5,PayDedList,0)),0,MIN(IF(COUNTIFS(OverEmp,$C243,OverDeduct,AP$5,OverDate,"&lt;"&amp;DATE(YEAR($AC243),MONTH($AC243)+1,1),OverEnd,"&gt;="&amp;DATE(YEAR($AC243),MONTH($AC243),1))&gt;0,SUMPRODUCT((PayEmp=$C243)*(PayDate&lt;=$AC243)*(OFFSET($N$6,1,MATCH(AP$5,PayDedList,0)-1,PayCount,1)))/$AA243*12*AP$3,IF(OR(AP$1="Fixed",AP$1="Not Used"),SUMPRODUCT((PayEmp=$C243)*(PayDate&lt;=$AC243)*(OFFSET($N$6,1,MATCH(AP$5,PayDedList,0)-1,PayCount,1)))/$AA243*12*AP$3,IF(ISNA(MATCH(AP$1,EarnListItem,0))=FALSE,SUMPRODUCT((PayEmp=$C243)*(PayDate&lt;=$AC243)*(OFFSET($N$6,1,MATCH(AP$5,PayDedList,0)-1,PayCount,1)))/$AA243*12*AP$3,(MIN(((SUMPRODUCT((PayEmp=$C243)*(PayDate&lt;=$AC243)*(ISERROR(SEARCH(PayEarnCode,AP$2)))*(PayEarnType="Monthly")*(PayEarnValues))/$AA243*12)+(SUMPRODUCT((PayEmp=$C243)*(PayDate&lt;=$AC243)*(ISERROR(SEARCH(PayEarnCode,AP$2)))*(PayEarnType="Quarterly")*(PayEarnValues))/MAX(1,ROUNDDOWN($AB243/3,0))*4)+(SUMPRODUCT((PayEmp=$C243)*(PayDate&lt;=$AC243)*(ISERROR(SEARCH(PayEarnCode,AP$2)))*(PayEarnType="Bi-Annual")*(PayEarnValues))/MAX(1,ROUNDDOWN($AB243/6,0))*2)+(SUMPRODUCT((PayEmp=$C243)*(PayDate&lt;=$AC243)*(ISERROR(SEARCH(PayEarnCode,AP$2)))*(PayEarnType="Annual")*(PayEarnValues)))),IF(ISNUMBER(OFFSET($N$3,0,MATCH(AP$5,PayDedList,0)-1,1,1)),OFFSET($N$3,0,MATCH(AP$5,PayDedList,0)-1,1,1),IgnoreMin)))*IF(COUNTIFS(EmpNo,$C243,OFFSET(Emp!$R$4,1,MATCH(AP$5,DedListItem,0)-1,EmpCount,1),"&lt;&gt;")&gt;0,VLOOKUP($C243,EmpAll,COLUMN(Emp!$R$4)+MATCH(AP$5,DedListItem,0)-1,0),OFFSET(Setup!$E$73,MATCH(AP$5,DedListItem,0),0,1,1))*AP$3))),IF(ISNUMBER(AP$4),AP$4,IgnoreMin)))))</f>
        <v>0</v>
      </c>
      <c r="AQ243" s="148" cm="1">
        <f t="array" aca="1" ref="AQ243" ca="1">-IF($F243="Terminated",0,IF($AA243=0,0,IF(ISNA(MATCH(AQ$5,PayDedList,0)),0,MIN(IF(COUNTIFS(OverEmp,$C243,OverDeduct,AQ$5,OverDate,"&lt;"&amp;DATE(YEAR($AC243),MONTH($AC243)+1,1),OverEnd,"&gt;="&amp;DATE(YEAR($AC243),MONTH($AC243),1))&gt;0,SUMPRODUCT((PayEmp=$C243)*(PayDate&lt;=$AC243)*(OFFSET($N$6,1,MATCH(AQ$5,PayDedList,0)-1,PayCount,1)))/$AA243*12*AQ$3,IF(OR(AQ$1="Fixed",AQ$1="Not Used"),SUMPRODUCT((PayEmp=$C243)*(PayDate&lt;=$AC243)*(OFFSET($N$6,1,MATCH(AQ$5,PayDedList,0)-1,PayCount,1)))/$AA243*12*AQ$3,IF(ISNA(MATCH(AQ$1,EarnListItem,0))=FALSE,SUMPRODUCT((PayEmp=$C243)*(PayDate&lt;=$AC243)*(OFFSET($N$6,1,MATCH(AQ$5,PayDedList,0)-1,PayCount,1)))/$AA243*12*AQ$3,(MIN(((SUMPRODUCT((PayEmp=$C243)*(PayDate&lt;=$AC243)*(ISERROR(SEARCH(PayEarnCode,AQ$2)))*(PayEarnType="Monthly")*(PayEarnValues))/$AA243*12)+(SUMPRODUCT((PayEmp=$C243)*(PayDate&lt;=$AC243)*(ISERROR(SEARCH(PayEarnCode,AQ$2)))*(PayEarnType="Quarterly")*(PayEarnValues))/MAX(1,ROUNDDOWN($AB243/3,0))*4)+(SUMPRODUCT((PayEmp=$C243)*(PayDate&lt;=$AC243)*(ISERROR(SEARCH(PayEarnCode,AQ$2)))*(PayEarnType="Bi-Annual")*(PayEarnValues))/MAX(1,ROUNDDOWN($AB243/6,0))*2)+(SUMPRODUCT((PayEmp=$C243)*(PayDate&lt;=$AC243)*(ISERROR(SEARCH(PayEarnCode,AQ$2)))*(PayEarnType="Annual")*(PayEarnValues)))),IF(ISNUMBER(OFFSET($N$3,0,MATCH(AQ$5,PayDedList,0)-1,1,1)),OFFSET($N$3,0,MATCH(AQ$5,PayDedList,0)-1,1,1),IgnoreMin)))*IF(COUNTIFS(EmpNo,$C243,OFFSET(Emp!$R$4,1,MATCH(AQ$5,DedListItem,0)-1,EmpCount,1),"&lt;&gt;")&gt;0,VLOOKUP($C243,EmpAll,COLUMN(Emp!$R$4)+MATCH(AQ$5,DedListItem,0)-1,0),OFFSET(Setup!$E$73,MATCH(AQ$5,DedListItem,0),0,1,1))*AQ$3))),IF(ISNUMBER(AQ$4),AQ$4,IgnoreMin)))))</f>
        <v>0</v>
      </c>
      <c r="AR243" s="148">
        <f t="shared" ca="1" si="81"/>
        <v>0</v>
      </c>
      <c r="AS243" s="148">
        <f t="shared" ca="1" si="109"/>
        <v>0</v>
      </c>
      <c r="AT243" s="148" cm="1">
        <f t="array" aca="1" ref="AT243" ca="1">-IF($F243="Terminated",0,IF($AA243=0,0,IF(ISNA(MATCH(AT$5,PayDedList,0)),0,MIN(IF(COUNTIFS(OverEmp,$C243,OverDeduct,AT$5,OverDate,"&lt;"&amp;DATE(YEAR($AC243),MONTH($AC243)+1,1),OverEnd,"&gt;="&amp;DATE(YEAR($AC243),MONTH($AC243),1))&gt;0,SUMPRODUCT((PayEmp=$C243)*(PayDate&lt;=$AC243)*(OFFSET($N$6,1,MATCH(AT$5,PayDedList,0)-1,PayCount,1)))/$AA243*12*AT$3,IF(OR(AT$1="Fixed",AT$1="Not Used"),SUMPRODUCT((PayEmp=$C243)*(PayDate&lt;=$AC243)*(OFFSET($N$6,1,MATCH(AT$5,PayDedList,0)-1,PayCount,1)))/$AA243*12*AT$3,IF(ISNA(MATCH(OFFSET($N$2,0,MATCH(AT$5,PayDedList,0)-1,1,1),EarnListItem,0))=FALSE,SUMPRODUCT((PayEmp=$C243)*(PayDate&lt;=$AC243)*(OFFSET($N$6,1,MATCH(AT$5,PayDedList,0)-1,PayCount,1)))/$AA243*12*AT$3,(MIN(SUMPRODUCT((PayEmp=$C243)*(PayDate&lt;=$AC243)*(ISERROR(SEARCH(PayEarnCode,AT$2)))*(PayEarnType="Monthly")*(PayEarnValues))/$AA243*12,IF(ISNUMBER(OFFSET($N$3,0,MATCH(AT$5,PayDedList,0)-1,1,1)),OFFSET($N$3,0,MATCH(AT$5,PayDedList,0)-1,1,1),IgnoreMin)))*IF(COUNTIFS(EmpNo,$C243,OFFSET(Emp!$R$4,1,MATCH(AT$5,DedListItem,0)-1,EmpCount,1),"&lt;&gt;")&gt;0,VLOOKUP($C243,EmpAll,COLUMN(Emp!$R$4)+MATCH(AT$5,DedListItem,0)-1,0),OFFSET(Setup!$E$73,MATCH(AT$5,DedListItem,0),0,1,1))*AT$3))),IF(ISNUMBER(AT$4),AT$4,IgnoreMin)))))</f>
        <v>0</v>
      </c>
      <c r="AU243" s="148" cm="1">
        <f t="array" aca="1" ref="AU243" ca="1">-IF($F243="Terminated",0,IF($AA243=0,0,IF(ISNA(MATCH(AU$5,PayDedList,0)),0,MIN(IF(COUNTIFS(OverEmp,$C243,OverDeduct,AU$5,OverDate,"&lt;"&amp;DATE(YEAR($AC243),MONTH($AC243)+1,1),OverEnd,"&gt;="&amp;DATE(YEAR($AC243),MONTH($AC243),1))&gt;0,SUMPRODUCT((PayEmp=$C243)*(PayDate&lt;=$AC243)*(OFFSET($N$6,1,MATCH(AU$5,PayDedList,0)-1,PayCount,1)))/$AA243*12*AU$3,IF(OR(AU$1="Fixed",AU$1="Not Used"),SUMPRODUCT((PayEmp=$C243)*(PayDate&lt;=$AC243)*(OFFSET($N$6,1,MATCH(AU$5,PayDedList,0)-1,PayCount,1)))/$AA243*12*AU$3,IF(ISNA(MATCH(OFFSET($N$2,0,MATCH(AU$5,PayDedList,0)-1,1,1),EarnListItem,0))=FALSE,SUMPRODUCT((PayEmp=$C243)*(PayDate&lt;=$AC243)*(OFFSET($N$6,1,MATCH(AU$5,PayDedList,0)-1,PayCount,1)))/$AA243*12*AU$3,(MIN(SUMPRODUCT((PayEmp=$C243)*(PayDate&lt;=$AC243)*(ISERROR(SEARCH(PayEarnCode,AU$2)))*(PayEarnType="Monthly")*(PayEarnValues))/$AA243*12,IF(ISNUMBER(OFFSET($N$3,0,MATCH(AU$5,PayDedList,0)-1,1,1)),OFFSET($N$3,0,MATCH(AU$5,PayDedList,0)-1,1,1),IgnoreMin)))*IF(COUNTIFS(EmpNo,$C243,OFFSET(Emp!$R$4,1,MATCH(AU$5,DedListItem,0)-1,EmpCount,1),"&lt;&gt;")&gt;0,VLOOKUP($C243,EmpAll,COLUMN(Emp!$R$4)+MATCH(AU$5,DedListItem,0)-1,0),OFFSET(Setup!$E$73,MATCH(AU$5,DedListItem,0),0,1,1))*AU$3))),IF(ISNUMBER(AU$4),AU$4,IgnoreMin)))))</f>
        <v>0</v>
      </c>
      <c r="AV243" s="148" cm="1">
        <f t="array" aca="1" ref="AV243" ca="1">-IF($F243="Terminated",0,IF($AA243=0,0,IF(ISNA(MATCH(AV$5,PayDedList,0)),0,MIN(IF(COUNTIFS(OverEmp,$C243,OverDeduct,AV$5,OverDate,"&lt;"&amp;DATE(YEAR($AC243),MONTH($AC243)+1,1),OverEnd,"&gt;="&amp;DATE(YEAR($AC243),MONTH($AC243),1))&gt;0,SUMPRODUCT((PayEmp=$C243)*(PayDate&lt;=$AC243)*(OFFSET($N$6,1,MATCH(AV$5,PayDedList,0)-1,PayCount,1)))/$AA243*12*AV$3,IF(OR(AV$1="Fixed",AV$1="Not Used"),SUMPRODUCT((PayEmp=$C243)*(PayDate&lt;=$AC243)*(OFFSET($N$6,1,MATCH(AV$5,PayDedList,0)-1,PayCount,1)))/$AA243*12*AV$3,IF(ISNA(MATCH(OFFSET($N$2,0,MATCH(AV$5,PayDedList,0)-1,1,1),EarnListItem,0))=FALSE,SUMPRODUCT((PayEmp=$C243)*(PayDate&lt;=$AC243)*(OFFSET($N$6,1,MATCH(AV$5,PayDedList,0)-1,PayCount,1)))/$AA243*12*AV$3,(MIN(SUMPRODUCT((PayEmp=$C243)*(PayDate&lt;=$AC243)*(ISERROR(SEARCH(PayEarnCode,AV$2)))*(PayEarnType="Monthly")*(PayEarnValues))/$AA243*12,IF(ISNUMBER(OFFSET($N$3,0,MATCH(AV$5,PayDedList,0)-1,1,1)),OFFSET($N$3,0,MATCH(AV$5,PayDedList,0)-1,1,1),IgnoreMin)))*IF(COUNTIFS(EmpNo,$C243,OFFSET(Emp!$R$4,1,MATCH(AV$5,DedListItem,0)-1,EmpCount,1),"&lt;&gt;")&gt;0,VLOOKUP($C243,EmpAll,COLUMN(Emp!$R$4)+MATCH(AV$5,DedListItem,0)-1,0),OFFSET(Setup!$E$73,MATCH(AV$5,DedListItem,0),0,1,1))*AV$3))),IF(ISNUMBER(AV$4),AV$4,IgnoreMin)))))</f>
        <v>0</v>
      </c>
      <c r="AW243" s="148" cm="1">
        <f t="array" aca="1" ref="AW243" ca="1">-IF($F243="Terminated",0,IF($AA243=0,0,IF(ISNA(MATCH(AW$5,PayDedList,0)),0,MIN(IF(COUNTIFS(OverEmp,$C243,OverDeduct,AW$5,OverDate,"&lt;"&amp;DATE(YEAR($AC243),MONTH($AC243)+1,1),OverEnd,"&gt;="&amp;DATE(YEAR($AC243),MONTH($AC243),1))&gt;0,SUMPRODUCT((PayEmp=$C243)*(PayDate&lt;=$AC243)*(OFFSET($N$6,1,MATCH(AW$5,PayDedList,0)-1,PayCount,1)))/$AA243*12*AW$3,IF(OR(AW$1="Fixed",AW$1="Not Used"),SUMPRODUCT((PayEmp=$C243)*(PayDate&lt;=$AC243)*(OFFSET($N$6,1,MATCH(AW$5,PayDedList,0)-1,PayCount,1)))/$AA243*12*AW$3,IF(ISNA(MATCH(OFFSET($N$2,0,MATCH(AW$5,PayDedList,0)-1,1,1),EarnListItem,0))=FALSE,SUMPRODUCT((PayEmp=$C243)*(PayDate&lt;=$AC243)*(OFFSET($N$6,1,MATCH(AW$5,PayDedList,0)-1,PayCount,1)))/$AA243*12*AW$3,(MIN(SUMPRODUCT((PayEmp=$C243)*(PayDate&lt;=$AC243)*(ISERROR(SEARCH(PayEarnCode,AW$2)))*(PayEarnType="Monthly")*(PayEarnValues))/$AA243*12,IF(ISNUMBER(OFFSET($N$3,0,MATCH(AW$5,PayDedList,0)-1,1,1)),OFFSET($N$3,0,MATCH(AW$5,PayDedList,0)-1,1,1),IgnoreMin)))*IF(COUNTIFS(EmpNo,$C243,OFFSET(Emp!$R$4,1,MATCH(AW$5,DedListItem,0)-1,EmpCount,1),"&lt;&gt;")&gt;0,VLOOKUP($C243,EmpAll,COLUMN(Emp!$R$4)+MATCH(AW$5,DedListItem,0)-1,0),OFFSET(Setup!$E$73,MATCH(AW$5,DedListItem,0),0,1,1))*AW$3))),IF(ISNUMBER(AW$4),AW$4,IgnoreMin)))))</f>
        <v>0</v>
      </c>
      <c r="AX243" s="148">
        <f t="shared" ca="1" si="150"/>
        <v>0</v>
      </c>
      <c r="AY243" s="148">
        <f t="shared" ca="1" si="151"/>
        <v>0</v>
      </c>
      <c r="AZ243" s="148">
        <f ca="1">IF(ISNUMBER($AL243),($AR243*$AL243)-$AI243-$AK243,MAX(0,IF($AL243="B",IF($AR243&lt;Setup!$C$32,($AR243*Setup!$D$32)-$AI243-$AK243,(($AR243-VLOOKUP($AR243,TaxAll2,1,1))*OFFSET(Setup!$D$32,MATCH($AR243,TaxBracket2,1),0,1,1))+OFFSET(Setup!$E$31,MATCH($AR243,TaxBracket2,1),0,1,1)-$AI243-$AK243),IF($AR243&lt;Setup!$C$21,($AR243*Setup!$D$21)-$AI243-$AK243,(($AR243-VLOOKUP($AR243,TaxAll1,1,1))*OFFSET(Setup!$D$21,MATCH($AR243,TaxBracket1,1),0,1,1))+OFFSET(Setup!$E$20,MATCH($AR243,TaxBracket1,1),0,1,1)-$AI243-$AK243))))</f>
        <v>0</v>
      </c>
      <c r="BA243" s="148">
        <f ca="1">IF(ISNUMBER($AL243),($AX243*$AL243)-$AI243-$AK243,MAX(0,IF($AL243="B",IF($AX243&lt;Setup!$C$32,($AX243*Setup!$D$32)-$AI243-$AK243,(($AX243-VLOOKUP($AX243,TaxAll2,1,1))*OFFSET(Setup!$D$32,MATCH($AX243,TaxBracket2,1),0,1,1))+OFFSET(Setup!$E$31,MATCH($AX243,TaxBracket2,1),0,1,1)-$AI243-$AK243),IF($AX243&lt;Setup!$C$21,($AX243*Setup!$D$21)-$AI243-$AK243,(($AX243-VLOOKUP($AX243,TaxAll1,1,1))*OFFSET(Setup!$D$21,MATCH($AX243,TaxBracket1,1),0,1,1))+OFFSET(Setup!$E$20,MATCH($AX243,TaxBracket1,1),0,1,1)-$AI243-$AK243))))</f>
        <v>0</v>
      </c>
      <c r="BB243" s="148">
        <f t="shared" ca="1" si="82"/>
        <v>0</v>
      </c>
      <c r="BC243" s="150">
        <f t="shared" ca="1" si="110"/>
        <v>0</v>
      </c>
      <c r="BD243" s="150">
        <f t="shared" ca="1" si="111"/>
        <v>0</v>
      </c>
      <c r="BE243" s="148">
        <f t="shared" ca="1" si="112"/>
        <v>0</v>
      </c>
    </row>
    <row r="244" spans="1:57" ht="16.149999999999999" customHeight="1" x14ac:dyDescent="0.25">
      <c r="A244" s="10" t="str" cm="1">
        <f t="array" ref="A244">IF(ROW($A244)-ROW($A$6)&gt;EmpCount*12,"-",TEXT($B244,"yyyy")&amp;TEXT($B244,"mm")&amp;"-"&amp;$C244)</f>
        <v>-</v>
      </c>
      <c r="B244" s="137" cm="1">
        <f t="array" aca="1" ref="B244" ca="1">IF(ROW($A244)-ROW($A$6)&gt;EmpCount*12,Setup!$D$12,DATE(YEAR(Setup!$F$12),MONTH(Setup!$F$12)+ROUNDDOWN((ROW($A244)-ROW($A$6)-1)/EmpCount,0),IF(Setup!$C$14&gt;DAY(DATE(YEAR(Setup!$F$12),MONTH(Setup!$F$12)+ROUNDDOWN((ROW($A244)-ROW($A$6)-1)/EmpCount,0)+1,0)),DAY(DATE(YEAR(Setup!$F$12),MONTH(Setup!$F$12)+ROUNDDOWN((ROW($A244)-ROW($A$6)-1)/EmpCount,0)+1,0)),Setup!$C$14)))</f>
        <v>45351</v>
      </c>
      <c r="C244" s="101" t="str" cm="1">
        <f t="array" aca="1" ref="C244" ca="1">IF(ROW($A244)-ROW($A$6)&gt;EmpCount*12,"-",OFFSET(Emp!$A$4,ROW($A244)-ROW($A$6)-IF(ROW($A244)-ROW($A$6)&gt;EmpCount,ROUNDDOWN((ROW($A244)-ROW($A$6)-1)/EmpCount,0)*EmpCount,0),0,1,1))</f>
        <v>-</v>
      </c>
      <c r="D244" s="10" t="str">
        <f ca="1">IF(ISNA(VLOOKUP($C244,EmpAll,COLUMN(Emp!$B$4),0)),"-",VLOOKUP($C244,EmpAll,COLUMN(Emp!$B$4),0))</f>
        <v>-</v>
      </c>
      <c r="E244" s="145" t="str">
        <f ca="1">IF(ISNA(VLOOKUP($C244,EmpAll,COLUMN(Emp!$C$4),0)),"-",VLOOKUP($C244,EmpAll,COLUMN(Emp!$C$4),0))</f>
        <v>-</v>
      </c>
      <c r="F244" s="101" t="str">
        <f ca="1">IF(ISNA(VLOOKUP($C244,EmpAll,COLUMN(Emp!$A$4),0)),"-",IF(AND(VLOOKUP($C244,EmpAll,COLUMN(Emp!$E$4),0)&lt;&gt;0,VLOOKUP($C244,EmpAll,COLUMN(Emp!$E$4),0)&gt;=DATE(YEAR($AC244),MONTH($AC244)+1,0)),"Inactive",IF(AND(VLOOKUP($C244,EmpAll,COLUMN(Emp!$F$4),0)&lt;&gt;0,VLOOKUP($C244,EmpAll,COLUMN(Emp!$F$4),0)&lt;=DATE(YEAR($AC244),MONTH($AC244),0)),"Terminated","Active")))</f>
        <v>-</v>
      </c>
      <c r="G244" s="133" cm="1">
        <f t="array" aca="1" ref="G244" ca="1">IF($F244&lt;&gt;"Active",0,IF(COUNTIFS(OverEmp,$C244,OverEarn,G$2,OverDate,"&lt;"&amp;DATE(YEAR($AC244),MONTH($AC244)+1,1),OverEnd,"&gt;="&amp;DATE(YEAR($AC244),MONTH($AC244),1))&gt;0,SUMIFS(OverValue,OverEmp,$C244,OverEarn,G$2,OverDate,"&lt;"&amp;DATE(YEAR($AC244),MONTH($AC244)+1,1),OverEnd,"&gt;="&amp;DATE(YEAR($AC244),MONTH($AC244),1)),IF(AND($AC244&gt;=Setup!$E$10,SUMIFS(EmpIncrease,EmpCode,$C244)&gt;0),SUMIFS(EmpIncrease,EmpCode,$C244),SUMIFS(EmpSalary,EmpCode,$C244))))</f>
        <v>0</v>
      </c>
      <c r="H244" s="133" cm="1">
        <f t="array" aca="1" ref="H244" ca="1">IF($F244&lt;&gt;"Active",0,IF(COUNTIFS(OverEmp,$C244,OverEarn,H$2,OverDate,"&lt;"&amp;DATE(YEAR($AC244),MONTH($AC244)+1,1),OverEnd,"&gt;="&amp;DATE(YEAR($AC244),MONTH($AC244),1))&gt;0,SUMIFS(OverValue,OverEmp,$C244,OverEarn,H$2,OverDate,"&lt;"&amp;DATE(YEAR($AC244),MONTH($AC244)+1,1),OverEnd,"&gt;="&amp;DATE(YEAR($AC244),MONTH($AC244),1)),0))</f>
        <v>0</v>
      </c>
      <c r="I244" s="133" cm="1">
        <f t="array" aca="1" ref="I244" ca="1">IF($F244&lt;&gt;"Active",0,IF(COUNTIFS(OverEmp,$C244,OverEarn,I$2,OverDate,"&lt;"&amp;DATE(YEAR($AC244),MONTH($AC244)+1,1),OverEnd,"&gt;="&amp;DATE(YEAR($AC244),MONTH($AC244),1))&gt;0,SUMIFS(OverValue,OverEmp,$C244,OverEarn,I$2,OverDate,"&lt;"&amp;DATE(YEAR($AC244),MONTH($AC244)+1,1),OverEnd,"&gt;="&amp;DATE(YEAR($AC244),MONTH($AC244),1)),IF(MONTH(B244)=Setup!$C$15,SUMIFS(EmpBonus,EmpCode,$C244),0)))</f>
        <v>0</v>
      </c>
      <c r="J244" s="133" cm="1">
        <f t="array" aca="1" ref="J244" ca="1">IF($F244&lt;&gt;"Active",0,IF(COUNTIFS(OverEmp,$C244,OverEarn,J$2,OverDate,"&lt;"&amp;DATE(YEAR($AC244),MONTH($AC244)+1,1),OverEnd,"&gt;="&amp;DATE(YEAR($AC244),MONTH($AC244),1))&gt;0,SUMIFS(OverValue,OverEmp,$C244,OverEarn,J$2,OverDate,"&lt;"&amp;DATE(YEAR($AC244),MONTH($AC244)+1,1),OverEnd,"&gt;="&amp;DATE(YEAR($AC244),MONTH($AC244),1)),0))</f>
        <v>0</v>
      </c>
      <c r="K244" s="133" cm="1">
        <f t="array" aca="1" ref="K244" ca="1">IF($F244&lt;&gt;"Active",0,IF(COUNTIFS(OverEmp,$C244,OverEarn,K$2,OverDate,"&lt;"&amp;DATE(YEAR($AC244),MONTH($AC244)+1,1),OverEnd,"&gt;="&amp;DATE(YEAR($AC244),MONTH($AC244),1))&gt;0,SUMIFS(OverValue,OverEmp,$C244,OverEarn,K$2,OverDate,"&lt;"&amp;DATE(YEAR($AC244),MONTH($AC244)+1,1),OverEnd,"&gt;="&amp;DATE(YEAR($AC244),MONTH($AC244),1)),0))</f>
        <v>0</v>
      </c>
      <c r="L244" s="185">
        <f t="shared" ref="L244:L246" ca="1" si="152">IF($AA244=0,0,SUM(OFFSET($G244,0,0,1,COLUMN($L$6)-COLUMN($G$6))))</f>
        <v>0</v>
      </c>
      <c r="M244" s="182" cm="1">
        <f t="array" aca="1" ref="M244" ca="1">IF(COUNTIFS(OverEmp,$C244,OverTax,M$5,OverDate,"&lt;"&amp;DATE(YEAR($AC244),MONTH($AC244)+1,1),OverEnd,"&gt;="&amp;DATE(YEAR($AC244),MONTH($AC244),1))&gt;0,SUMIFS(OverValue,OverEmp,$C244,OverTax,M$5,OverDate,"&lt;"&amp;DATE(YEAR($AC244),MONTH($AC244)+1,1),OverEnd,"&gt;="&amp;DATE(YEAR($AC244),MONTH($AC244),1)),(($BA244/12*$AA244)+(BB244*IF(1-$BC244=0,0,BD244/(1-$BC244))))-IF($F244="Terminated",0,SUMIFS(PayTaxDeduct,PayDate,"&lt;"&amp;$AC244,PayEmp,$C244)))</f>
        <v>0</v>
      </c>
      <c r="N244" s="133" cm="1">
        <f t="array" aca="1" ref="N244" ca="1">IF($F244="Terminated",0,IF($AA244=0,0,IF(ISNA(MATCH(N$5,DedListItem,0)),0,IF(COUNTIFS(OverEmp,$C244,OverDeduct,N$5,OverDate,"&lt;"&amp;DATE(YEAR($AC244),MONTH($AC244)+1,1),OverEnd,"&gt;="&amp;DATE(YEAR($AC244),MONTH($AC244),1))&gt;0,SUMIFS(OverValue,OverEmp,$C244,OverDeduct,N$5,OverDate,"&lt;"&amp;DATE(YEAR($AC244),MONTH($AC244)+1,1),OverEnd,"&gt;="&amp;DATE(YEAR($AC244),MONTH($AC244),1)),IF(OR(N$2="Fixed",N$2="Not Used"),(IF(COUNTIFS(EmpNo,$C244,OFFSET(Emp!$R$4,1,MATCH(N$5,DedListItem,0)-1,EmpCount,1),"&lt;&gt;")&gt;0,VLOOKUP($C244,EmpAll,COLUMN(Emp!$R$4)+MATCH(N$5,DedListItem,0)-1,0),OFFSET(Setup!$E$73,MATCH(N$5,DedListItem,0),0,1,1))*$AA244)-SUMIFS(OFFSET(N$6,1,0,PayCount,1),PayDate,"&lt;"&amp;$AC244,PayEmp,$C244),IF(ISNA(MATCH(N$2,EarnListItem,0))=FALSE,IF(OFFSET(Setup!$G$73,MATCH(N$5,DedListItem,0),0,1,1)="Taxable",SUMPRODUCT((PayEmp=$C244)*(PayDate&lt;=$AC244)*(PayEarnCode=N$2)*(PayEarnTax)*(PayEarnValues)),SUMPRODUCT((PayEmp=$C244)*(PayDate&lt;=$AC244)*(PayEarnCode=N$2)*(PayEarnValues)))*IF(COUNTIFS(EmpNo,$C244,OFFSET(Emp!$R$4,1,MATCH(N$5,DedListItem,0)-1,EmpCount,1),"&lt;&gt;")&gt;0,VLOOKUP($C244,EmpAll,COLUMN(Emp!$R$4)+MATCH(N$5,DedListItem,0)-1,0),OFFSET(Setup!$E$73,MATCH(N$5,DedListItem,0),0,1,1)),(MIN(IF(OFFSET(Setup!$G$73,MATCH(N$5,DedListItem,0),0,1,1)="Taxable",SUMPRODUCT((PayEmp=$C244)*(PayDate&lt;=$AC244)*(ISERROR(SEARCH(PayEarnCode,N$4)))*(PayEarnTax)*(PayEarnValues)),SUMPRODUCT((PayEmp=$C244)*(PayDate&lt;=$AC244)*(ISERROR(SEARCH(PayEarnCode,N$4)))*(PayEarnValues))),IF(ISNUMBER(N$3),N$3/12*$AA244,IgnoreMin)))*IF(COUNTIFS(EmpNo,$C244,OFFSET(Emp!$R$4,1,MATCH(N$5,DedListItem,0)-1,EmpCount,1),"&lt;&gt;")&gt;0,VLOOKUP($C244,EmpAll,COLUMN(Emp!$R$4)+MATCH(N$5,DedListItem,0)-1,0),OFFSET(Setup!$E$73,MATCH(N$5,DedListItem,0),0,1,1)))-SUMIFS(OFFSET(N$6,1,0,PayCount,1),PayDate,"&lt;"&amp;$AC244,PayEmp,$C244))))))</f>
        <v>0</v>
      </c>
      <c r="O244" s="133" cm="1">
        <f t="array" aca="1" ref="O244" ca="1">IF($F244="Terminated",0,IF($AA244=0,0,IF(ISNA(MATCH(O$5,DedListItem,0)),0,IF(COUNTIFS(OverEmp,$C244,OverDeduct,O$5,OverDate,"&lt;"&amp;DATE(YEAR($AC244),MONTH($AC244)+1,1),OverEnd,"&gt;="&amp;DATE(YEAR($AC244),MONTH($AC244),1))&gt;0,SUMIFS(OverValue,OverEmp,$C244,OverDeduct,O$5,OverDate,"&lt;"&amp;DATE(YEAR($AC244),MONTH($AC244)+1,1),OverEnd,"&gt;="&amp;DATE(YEAR($AC244),MONTH($AC244),1)),IF(OR(O$2="Fixed",O$2="Not Used"),(IF(COUNTIFS(EmpNo,$C244,OFFSET(Emp!$R$4,1,MATCH(O$5,DedListItem,0)-1,EmpCount,1),"&lt;&gt;")&gt;0,VLOOKUP($C244,EmpAll,COLUMN(Emp!$R$4)+MATCH(O$5,DedListItem,0)-1,0),OFFSET(Setup!$E$73,MATCH(O$5,DedListItem,0),0,1,1))*$AA244)-SUMIFS(OFFSET(O$6,1,0,PayCount,1),PayDate,"&lt;"&amp;$AC244,PayEmp,$C244),IF(ISNA(MATCH(O$2,EarnListItem,0))=FALSE,IF(OFFSET(Setup!$G$73,MATCH(O$5,DedListItem,0),0,1,1)="Taxable",SUMPRODUCT((PayEmp=$C244)*(PayDate&lt;=$AC244)*(PayEarnCode=O$2)*(PayEarnTax)*(PayEarnValues)),SUMPRODUCT((PayEmp=$C244)*(PayDate&lt;=$AC244)*(PayEarnCode=O$2)*(PayEarnValues)))*IF(COUNTIFS(EmpNo,$C244,OFFSET(Emp!$R$4,1,MATCH(O$5,DedListItem,0)-1,EmpCount,1),"&lt;&gt;")&gt;0,VLOOKUP($C244,EmpAll,COLUMN(Emp!$R$4)+MATCH(O$5,DedListItem,0)-1,0),OFFSET(Setup!$E$73,MATCH(O$5,DedListItem,0),0,1,1)),(MIN(IF(OFFSET(Setup!$G$73,MATCH(O$5,DedListItem,0),0,1,1)="Taxable",SUMPRODUCT((PayEmp=$C244)*(PayDate&lt;=$AC244)*(ISERROR(SEARCH(PayEarnCode,O$4)))*(PayEarnTax)*(PayEarnValues)),SUMPRODUCT((PayEmp=$C244)*(PayDate&lt;=$AC244)*(ISERROR(SEARCH(PayEarnCode,O$4)))*(PayEarnValues))),IF(ISNUMBER(O$3),O$3/12*$AA244,IgnoreMin)))*IF(COUNTIFS(EmpNo,$C244,OFFSET(Emp!$R$4,1,MATCH(O$5,DedListItem,0)-1,EmpCount,1),"&lt;&gt;")&gt;0,VLOOKUP($C244,EmpAll,COLUMN(Emp!$R$4)+MATCH(O$5,DedListItem,0)-1,0),OFFSET(Setup!$E$73,MATCH(O$5,DedListItem,0),0,1,1)))-SUMIFS(OFFSET(O$6,1,0,PayCount,1),PayDate,"&lt;"&amp;$AC244,PayEmp,$C244))))))</f>
        <v>0</v>
      </c>
      <c r="P244" s="133" cm="1">
        <f t="array" aca="1" ref="P244" ca="1">IF($F244="Terminated",0,IF($AA244=0,0,IF(ISNA(MATCH(P$5,DedListItem,0)),0,IF(COUNTIFS(OverEmp,$C244,OverDeduct,P$5,OverDate,"&lt;"&amp;DATE(YEAR($AC244),MONTH($AC244)+1,1),OverEnd,"&gt;="&amp;DATE(YEAR($AC244),MONTH($AC244),1))&gt;0,SUMIFS(OverValue,OverEmp,$C244,OverDeduct,P$5,OverDate,"&lt;"&amp;DATE(YEAR($AC244),MONTH($AC244)+1,1),OverEnd,"&gt;="&amp;DATE(YEAR($AC244),MONTH($AC244),1)),IF(OR(P$2="Fixed",P$2="Not Used"),(IF(COUNTIFS(EmpNo,$C244,OFFSET(Emp!$R$4,1,MATCH(P$5,DedListItem,0)-1,EmpCount,1),"&lt;&gt;")&gt;0,VLOOKUP($C244,EmpAll,COLUMN(Emp!$R$4)+MATCH(P$5,DedListItem,0)-1,0),OFFSET(Setup!$E$73,MATCH(P$5,DedListItem,0),0,1,1))*$AA244)-SUMIFS(OFFSET(P$6,1,0,PayCount,1),PayDate,"&lt;"&amp;$AC244,PayEmp,$C244),IF(ISNA(MATCH(P$2,EarnListItem,0))=FALSE,IF(OFFSET(Setup!$G$73,MATCH(P$5,DedListItem,0),0,1,1)="Taxable",SUMPRODUCT((PayEmp=$C244)*(PayDate&lt;=$AC244)*(PayEarnCode=P$2)*(PayEarnTax)*(PayEarnValues)),SUMPRODUCT((PayEmp=$C244)*(PayDate&lt;=$AC244)*(PayEarnCode=P$2)*(PayEarnValues)))*IF(COUNTIFS(EmpNo,$C244,OFFSET(Emp!$R$4,1,MATCH(P$5,DedListItem,0)-1,EmpCount,1),"&lt;&gt;")&gt;0,VLOOKUP($C244,EmpAll,COLUMN(Emp!$R$4)+MATCH(P$5,DedListItem,0)-1,0),OFFSET(Setup!$E$73,MATCH(P$5,DedListItem,0),0,1,1)),(MIN(IF(OFFSET(Setup!$G$73,MATCH(P$5,DedListItem,0),0,1,1)="Taxable",SUMPRODUCT((PayEmp=$C244)*(PayDate&lt;=$AC244)*(ISERROR(SEARCH(PayEarnCode,P$4)))*(PayEarnTax)*(PayEarnValues)),SUMPRODUCT((PayEmp=$C244)*(PayDate&lt;=$AC244)*(ISERROR(SEARCH(PayEarnCode,P$4)))*(PayEarnValues))),IF(ISNUMBER(P$3),P$3/12*$AA244,IgnoreMin)))*IF(COUNTIFS(EmpNo,$C244,OFFSET(Emp!$R$4,1,MATCH(P$5,DedListItem,0)-1,EmpCount,1),"&lt;&gt;")&gt;0,VLOOKUP($C244,EmpAll,COLUMN(Emp!$R$4)+MATCH(P$5,DedListItem,0)-1,0),OFFSET(Setup!$E$73,MATCH(P$5,DedListItem,0),0,1,1)))-SUMIFS(OFFSET(P$6,1,0,PayCount,1),PayDate,"&lt;"&amp;$AC244,PayEmp,$C244))))))</f>
        <v>0</v>
      </c>
      <c r="Q244" s="133" cm="1">
        <f t="array" aca="1" ref="Q244" ca="1">IF($F244="Terminated",0,IF($AA244=0,0,IF(ISNA(MATCH(Q$5,DedListItem,0)),0,IF(COUNTIFS(OverEmp,$C244,OverDeduct,Q$5,OverDate,"&lt;"&amp;DATE(YEAR($AC244),MONTH($AC244)+1,1),OverEnd,"&gt;="&amp;DATE(YEAR($AC244),MONTH($AC244),1))&gt;0,SUMIFS(OverValue,OverEmp,$C244,OverDeduct,Q$5,OverDate,"&lt;"&amp;DATE(YEAR($AC244),MONTH($AC244)+1,1),OverEnd,"&gt;="&amp;DATE(YEAR($AC244),MONTH($AC244),1)),IF(OR(Q$2="Fixed",Q$2="Not Used"),(IF(COUNTIFS(EmpNo,$C244,OFFSET(Emp!$R$4,1,MATCH(Q$5,DedListItem,0)-1,EmpCount,1),"&lt;&gt;")&gt;0,VLOOKUP($C244,EmpAll,COLUMN(Emp!$R$4)+MATCH(Q$5,DedListItem,0)-1,0),OFFSET(Setup!$E$73,MATCH(Q$5,DedListItem,0),0,1,1))*$AA244)-SUMIFS(OFFSET(Q$6,1,0,PayCount,1),PayDate,"&lt;"&amp;$AC244,PayEmp,$C244),IF(ISNA(MATCH(Q$2,EarnListItem,0))=FALSE,IF(OFFSET(Setup!$G$73,MATCH(Q$5,DedListItem,0),0,1,1)="Taxable",SUMPRODUCT((PayEmp=$C244)*(PayDate&lt;=$AC244)*(PayEarnCode=Q$2)*(PayEarnTax)*(PayEarnValues)),SUMPRODUCT((PayEmp=$C244)*(PayDate&lt;=$AC244)*(PayEarnCode=Q$2)*(PayEarnValues)))*IF(COUNTIFS(EmpNo,$C244,OFFSET(Emp!$R$4,1,MATCH(Q$5,DedListItem,0)-1,EmpCount,1),"&lt;&gt;")&gt;0,VLOOKUP($C244,EmpAll,COLUMN(Emp!$R$4)+MATCH(Q$5,DedListItem,0)-1,0),OFFSET(Setup!$E$73,MATCH(Q$5,DedListItem,0),0,1,1)),(MIN(IF(OFFSET(Setup!$G$73,MATCH(Q$5,DedListItem,0),0,1,1)="Taxable",SUMPRODUCT((PayEmp=$C244)*(PayDate&lt;=$AC244)*(ISERROR(SEARCH(PayEarnCode,Q$4)))*(PayEarnTax)*(PayEarnValues)),SUMPRODUCT((PayEmp=$C244)*(PayDate&lt;=$AC244)*(ISERROR(SEARCH(PayEarnCode,Q$4)))*(PayEarnValues))),IF(ISNUMBER(Q$3),Q$3/12*$AA244,IgnoreMin)))*IF(COUNTIFS(EmpNo,$C244,OFFSET(Emp!$R$4,1,MATCH(Q$5,DedListItem,0)-1,EmpCount,1),"&lt;&gt;")&gt;0,VLOOKUP($C244,EmpAll,COLUMN(Emp!$R$4)+MATCH(Q$5,DedListItem,0)-1,0),OFFSET(Setup!$E$73,MATCH(Q$5,DedListItem,0),0,1,1)))-SUMIFS(OFFSET(Q$6,1,0,PayCount,1),PayDate,"&lt;"&amp;$AC244,PayEmp,$C244))))))</f>
        <v>0</v>
      </c>
      <c r="R244" s="185">
        <f t="shared" ref="R244:R246" ca="1" si="153">SUM(OFFSET(M244,0,0,1,COLUMN($R$6)-COLUMN($M$6)))</f>
        <v>0</v>
      </c>
      <c r="S244" s="139">
        <f t="shared" ref="S244:S246" ca="1" si="154">ROUND(SUM(L244,-R244),2)</f>
        <v>0</v>
      </c>
      <c r="T244" s="133" cm="1">
        <f t="array" aca="1" ref="T244" ca="1">IF($F244="Terminated",0,IF($AA244=0,0,IF(ISNA(MATCH(T$5,CompListItem,0)),0,IF(COUNTIFS(OverEmp,$C244,OverComp,T$5,OverDate,"&lt;"&amp;DATE(YEAR($AC244),MONTH($AC244)+1,1),OverEnd,"&gt;="&amp;DATE(YEAR($AC244),MONTH($AC244),1))&gt;0,SUMIFS(OverValue,OverEmp,$C244,OverComp,T$5,OverDate,"&lt;"&amp;DATE(YEAR($AC244),MONTH($AC244)+1,1),OverEnd,"&gt;="&amp;DATE(YEAR($AC244),MONTH($AC244),1)),IF(OR(T$2="Fixed",T$2="Not Used"),(OFFSET(Setup!$E$81,MATCH(T$5,CompListItem,0),0,1,1)*$AA244)-SUMIFS(OFFSET(T$6,1,0,PayCount,1),PayDate,"&lt;"&amp;$AC244,PayEmp,$C244),IF(ISNA(MATCH(T$2,DedListItem,0))=FALSE,(SUMPRODUCT((PayEmp=$C244)*(PayDate&lt;=$AC244)*(PayDedList=T$2)*(PayDedValues))*OFFSET(Setup!$E$81,MATCH(T$5,CompListItem,0),0,1,1))-SUMIFS(OFFSET(T$6,1,0,PayCount,1),PayDate,"&lt;"&amp;$AC244,PayEmp,$C244),(MIN(IF(OFFSET(Setup!$G$81,MATCH(T$5,CompListItem,0),0,1,1)="Taxable",SUMPRODUCT((PayEmp=$C244)*(PayDate&lt;=$AC244)*(ISERROR(SEARCH(PayEarnCode,T$4)))*(PayEarnTax)*(PayEarnValues)),SUMPRODUCT((PayEmp=$C244)*(PayDate&lt;=$AC244)*(ISERROR(SEARCH(PayEarnCode,T$4)))*(PayEarnValues))),IF(ISNUMBER(T$3),T$3/12*$AA244,IgnoreMin)))*OFFSET(Setup!$E$81,MATCH(T$5,CompListItem,0),0,1,1)-SUMIFS(OFFSET(T$6,1,0,PayCount,1),PayDate,"&lt;"&amp;$AC244,PayEmp,$C244)))))))</f>
        <v>0</v>
      </c>
      <c r="U244" s="133" cm="1">
        <f t="array" aca="1" ref="U244" ca="1">IF($F244="Terminated",0,IF($AA244=0,0,IF(ISNA(MATCH(U$5,CompListItem,0)),0,IF(COUNTIFS(OverEmp,$C244,OverComp,U$5,OverDate,"&lt;"&amp;DATE(YEAR($AC244),MONTH($AC244)+1,1),OverEnd,"&gt;="&amp;DATE(YEAR($AC244),MONTH($AC244),1))&gt;0,SUMIFS(OverValue,OverEmp,$C244,OverComp,U$5,OverDate,"&lt;"&amp;DATE(YEAR($AC244),MONTH($AC244)+1,1),OverEnd,"&gt;="&amp;DATE(YEAR($AC244),MONTH($AC244),1)),IF(OR(U$2="Fixed",U$2="Not Used"),(OFFSET(Setup!$E$81,MATCH(U$5,CompListItem,0),0,1,1)*$AA244)-SUMIFS(OFFSET(U$6,1,0,PayCount,1),PayDate,"&lt;"&amp;$AC244,PayEmp,$C244),IF(ISNA(MATCH(U$2,DedListItem,0))=FALSE,(SUMPRODUCT((PayEmp=$C244)*(PayDate&lt;=$AC244)*(PayDedList=U$2)*(PayDedValues))*OFFSET(Setup!$E$81,MATCH(U$5,CompListItem,0),0,1,1))-SUMIFS(OFFSET(U$6,1,0,PayCount,1),PayDate,"&lt;"&amp;$AC244,PayEmp,$C244),(MIN(IF(OFFSET(Setup!$G$81,MATCH(U$5,CompListItem,0),0,1,1)="Taxable",SUMPRODUCT((PayEmp=$C244)*(PayDate&lt;=$AC244)*(ISERROR(SEARCH(PayEarnCode,U$4)))*(PayEarnTax)*(PayEarnValues)),SUMPRODUCT((PayEmp=$C244)*(PayDate&lt;=$AC244)*(ISERROR(SEARCH(PayEarnCode,U$4)))*(PayEarnValues))),IF(ISNUMBER(U$3),U$3/12*$AA244,IgnoreMin)))*OFFSET(Setup!$E$81,MATCH(U$5,CompListItem,0),0,1,1)-SUMIFS(OFFSET(U$6,1,0,PayCount,1),PayDate,"&lt;"&amp;$AC244,PayEmp,$C244)))))))</f>
        <v>0</v>
      </c>
      <c r="V244" s="133" cm="1">
        <f t="array" aca="1" ref="V244" ca="1">IF($F244="Terminated",0,IF($AA244=0,0,IF(ISNA(MATCH(V$5,CompListItem,0)),0,IF(COUNTIFS(OverEmp,$C244,OverComp,V$5,OverDate,"&lt;"&amp;DATE(YEAR($AC244),MONTH($AC244)+1,1),OverEnd,"&gt;="&amp;DATE(YEAR($AC244),MONTH($AC244),1))&gt;0,SUMIFS(OverValue,OverEmp,$C244,OverComp,V$5,OverDate,"&lt;"&amp;DATE(YEAR($AC244),MONTH($AC244)+1,1),OverEnd,"&gt;="&amp;DATE(YEAR($AC244),MONTH($AC244),1)),IF(OR(V$2="Fixed",V$2="Not Used"),(OFFSET(Setup!$E$81,MATCH(V$5,CompListItem,0),0,1,1)*$AA244)-SUMIFS(OFFSET(V$6,1,0,PayCount,1),PayDate,"&lt;"&amp;$AC244,PayEmp,$C244),IF(ISNA(MATCH(V$2,DedListItem,0))=FALSE,(SUMPRODUCT((PayEmp=$C244)*(PayDate&lt;=$AC244)*(PayDedList=V$2)*(PayDedValues))*OFFSET(Setup!$E$81,MATCH(V$5,CompListItem,0),0,1,1))-SUMIFS(OFFSET(V$6,1,0,PayCount,1),PayDate,"&lt;"&amp;$AC244,PayEmp,$C244),(MIN(IF(OFFSET(Setup!$G$81,MATCH(V$5,CompListItem,0),0,1,1)="Taxable",SUMPRODUCT((PayEmp=$C244)*(PayDate&lt;=$AC244)*(ISERROR(SEARCH(PayEarnCode,V$4)))*(PayEarnTax)*(PayEarnValues)),SUMPRODUCT((PayEmp=$C244)*(PayDate&lt;=$AC244)*(ISERROR(SEARCH(PayEarnCode,V$4)))*(PayEarnValues))),IF(ISNUMBER(V$3),V$3/12*$AA244,IgnoreMin)))*OFFSET(Setup!$E$81,MATCH(V$5,CompListItem,0),0,1,1)-SUMIFS(OFFSET(V$6,1,0,PayCount,1),PayDate,"&lt;"&amp;$AC244,PayEmp,$C244)))))))</f>
        <v>0</v>
      </c>
      <c r="W244" s="133" cm="1">
        <f t="array" aca="1" ref="W244" ca="1">IF($F244="Terminated",0,IF($AA244=0,0,IF(ISNA(MATCH(W$5,CompListItem,0)),0,IF(COUNTIFS(OverEmp,$C244,OverComp,W$5,OverDate,"&lt;"&amp;DATE(YEAR($AC244),MONTH($AC244)+1,1),OverEnd,"&gt;="&amp;DATE(YEAR($AC244),MONTH($AC244),1))&gt;0,SUMIFS(OverValue,OverEmp,$C244,OverComp,W$5,OverDate,"&lt;"&amp;DATE(YEAR($AC244),MONTH($AC244)+1,1),OverEnd,"&gt;="&amp;DATE(YEAR($AC244),MONTH($AC244),1)),IF(OR(W$2="Fixed",W$2="Not Used"),(OFFSET(Setup!$E$81,MATCH(W$5,CompListItem,0),0,1,1)*$AA244)-SUMIFS(OFFSET(W$6,1,0,PayCount,1),PayDate,"&lt;"&amp;$AC244,PayEmp,$C244),IF(ISNA(MATCH(W$2,DedListItem,0))=FALSE,(SUMPRODUCT((PayEmp=$C244)*(PayDate&lt;=$AC244)*(PayDedList=W$2)*(PayDedValues))*OFFSET(Setup!$E$81,MATCH(W$5,CompListItem,0),0,1,1))-SUMIFS(OFFSET(W$6,1,0,PayCount,1),PayDate,"&lt;"&amp;$AC244,PayEmp,$C244),(MIN(IF(OFFSET(Setup!$G$81,MATCH(W$5,CompListItem,0),0,1,1)="Taxable",SUMPRODUCT((PayEmp=$C244)*(PayDate&lt;=$AC244)*(ISERROR(SEARCH(PayEarnCode,W$4)))*(PayEarnTax)*(PayEarnValues)),SUMPRODUCT((PayEmp=$C244)*(PayDate&lt;=$AC244)*(ISERROR(SEARCH(PayEarnCode,W$4)))*(PayEarnValues))),IF(ISNUMBER(W$3),W$3/12*$AA244,IgnoreMin)))*OFFSET(Setup!$E$81,MATCH(W$5,CompListItem,0),0,1,1)-SUMIFS(OFFSET(W$6,1,0,PayCount,1),PayDate,"&lt;"&amp;$AC244,PayEmp,$C244)))))))</f>
        <v>0</v>
      </c>
      <c r="X244" s="185">
        <f t="shared" ref="X244:X246" ca="1" si="155">SUM(OFFSET($T244,0,0,1,COLUMN($X$6)-COLUMN($T$7)))</f>
        <v>0</v>
      </c>
      <c r="Y244" s="139">
        <f t="shared" ref="Y244:Y246" ca="1" si="156">L244+X244</f>
        <v>0</v>
      </c>
      <c r="Z244" s="139">
        <f t="shared" ref="Z244:Z246" ca="1" si="157">ROUND(SUM(R244,X244),2)</f>
        <v>0</v>
      </c>
      <c r="AA244" s="146">
        <f ca="1">IF(OR($B244&lt;=Setup!$E$12,$B244&gt;=Setup!$D$12+1),0,IF($F244&lt;&gt;"Active",0,IF($AE244="Yes",$AB244,((YEAR($AC244)*12)+MONTH($AC244))-((YEAR($AD244)*12)+MONTH($AD244)-1))))</f>
        <v>0</v>
      </c>
      <c r="AB244" s="146">
        <f ca="1">IF(OR($B244&lt;=Setup!$E$12,$B244&gt;=Setup!$D$12+1),0,((YEAR($AC244)*12)+MONTH($AC244))-((YEAR(Setup!$E$12)*12)+MONTH(Setup!$E$12)))</f>
        <v>12</v>
      </c>
      <c r="AC244" s="186">
        <f t="shared" ref="AC244:AC246" ca="1" si="158">DATE(YEAR($B244),MONTH($B244),DAY($B244))</f>
        <v>45351</v>
      </c>
      <c r="AD244" s="144">
        <f ca="1">IF(ISNA(VLOOKUP($C244,EmpAll,COLUMN(Emp!$E$4),0)),$AC244,IF(VLOOKUP($C244,EmpAll,COLUMN(Emp!$E$4),0)&lt;=Setup!$E$12,DATE(YEAR(Setup!$E$12),MONTH(Setup!$E$12)+1,1),VLOOKUP($C244,EmpAll,COLUMN(Emp!$E$4),0)))</f>
        <v>45351</v>
      </c>
      <c r="AE244" s="144" t="str">
        <f ca="1">IF(ISNA(VLOOKUP($C244,EmpAll,COLUMN(Emp!$G$1),0)),"-",IF(VLOOKUP($C244,EmpAll,COLUMN(Emp!$G$1),0)=0,"-",VLOOKUP($C244,EmpAll,COLUMN(Emp!$G$1),0)))</f>
        <v>-</v>
      </c>
      <c r="AF244" s="145">
        <f>IF(A244=PaySlip!$G$3,1,0)</f>
        <v>0</v>
      </c>
      <c r="AG244" s="130" cm="1">
        <f t="array" aca="1" ref="AG244" ca="1">IF(COUNTIFS(OverEmp,$C244,OverMed,"MED",OverDate,"&lt;"&amp;DATE(YEAR($AC244),MONTH($AC244)+1,1),OverEnd,"&gt;="&amp;DATE(YEAR($AC244),MONTH($AC244),1))&gt;0,SUMIFS(OverValue,OverEmp,$C244,OverMed,"MED",OverDate,"&lt;"&amp;DATE(YEAR($AC244),MONTH($AC244)+1,1),OverEnd,"&gt;="&amp;DATE(YEAR($AC244),MONTH($AC244),1)),IF(ISNA(VLOOKUP($C244,EmpAll,COLUMN(Emp!$N$4),0)),0,VLOOKUP($C244,EmpAll,COLUMN(Emp!$N$4),0)))</f>
        <v>0</v>
      </c>
      <c r="AH244" s="146">
        <f ca="1">VLOOKUP($AG244,MedList,COLUMN(Setup!$C$49),1)</f>
        <v>0</v>
      </c>
      <c r="AI244" s="146">
        <f t="shared" ca="1" si="107"/>
        <v>0</v>
      </c>
      <c r="AJ244" s="101" t="str">
        <f ca="1">IF(ISNA(VLOOKUP($C244,EmpAll,COLUMN(Emp!$L$4),0)),"None!",VLOOKUP($C244,EmpAll,COLUMN(Emp!$L$4),0))</f>
        <v>None!</v>
      </c>
      <c r="AK244" s="147">
        <f ca="1">IF(ISNA(VLOOKUP($AJ244,RebateList,4,0)),VLOOKUP("A",RebateList,3,0),VLOOKUP($AJ244,RebateList,4,0))</f>
        <v>17235</v>
      </c>
      <c r="AL244" s="101" t="str">
        <f ca="1">IF(ISNA(VLOOKUP($C244,Employees[],COLUMN(Emp!$M$4),0))=TRUE,"Error!",IF(VLOOKUP($C244,Employees[],COLUMN(Emp!$M$4),0)=0,"Yes",VLOOKUP($C244,Employees[],COLUMN(Emp!$M$4),0)))</f>
        <v>Error!</v>
      </c>
      <c r="AM244" s="148">
        <f t="shared" ca="1" si="108"/>
        <v>0</v>
      </c>
      <c r="AN244" s="148" cm="1">
        <f t="array" aca="1" ref="AN244" ca="1">-IF($F244="Terminated",0,IF($AA244=0,0,IF(ISNA(MATCH(AN$5,PayDedList,0)),0,MIN(IF(COUNTIFS(OverEmp,$C244,OverDeduct,AN$5,OverDate,"&lt;"&amp;DATE(YEAR($AC244),MONTH($AC244)+1,1),OverEnd,"&gt;="&amp;DATE(YEAR($AC244),MONTH($AC244),1))&gt;0,SUMPRODUCT((PayEmp=$C244)*(PayDate&lt;=$AC244)*(OFFSET($N$6,1,MATCH(AN$5,PayDedList,0)-1,PayCount,1)))/$AA244*12*AN$3,IF(OR(AN$1="Fixed",AN$1="Not Used"),SUMPRODUCT((PayEmp=$C244)*(PayDate&lt;=$AC244)*(OFFSET($N$6,1,MATCH(AN$5,PayDedList,0)-1,PayCount,1)))/$AA244*12*AN$3,IF(ISNA(MATCH(AN$1,EarnListItem,0))=FALSE,SUMPRODUCT((PayEmp=$C244)*(PayDate&lt;=$AC244)*(OFFSET($N$6,1,MATCH(AN$5,PayDedList,0)-1,PayCount,1)))/$AA244*12*AN$3,(MIN(((SUMPRODUCT((PayEmp=$C244)*(PayDate&lt;=$AC244)*(ISERROR(SEARCH(PayEarnCode,AN$2)))*(PayEarnType="Monthly")*(PayEarnValues))/$AA244*12)+(SUMPRODUCT((PayEmp=$C244)*(PayDate&lt;=$AC244)*(ISERROR(SEARCH(PayEarnCode,AN$2)))*(PayEarnType="Quarterly")*(PayEarnValues))/MAX(1,ROUNDDOWN($AB244/3,0))*4)+(SUMPRODUCT((PayEmp=$C244)*(PayDate&lt;=$AC244)*(ISERROR(SEARCH(PayEarnCode,AN$2)))*(PayEarnType="Bi-Annual")*(PayEarnValues))/MAX(1,ROUNDDOWN($AB244/6,0))*2)+(SUMPRODUCT((PayEmp=$C244)*(PayDate&lt;=$AC244)*(ISERROR(SEARCH(PayEarnCode,AN$2)))*(PayEarnType="Annual")*(PayEarnValues)))),IF(ISNUMBER(OFFSET($N$3,0,MATCH(AN$5,PayDedList,0)-1,1,1)),OFFSET($N$3,0,MATCH(AN$5,PayDedList,0)-1,1,1),IgnoreMin)))*IF(COUNTIFS(EmpNo,$C244,OFFSET(Emp!$R$4,1,MATCH(AN$5,DedListItem,0)-1,EmpCount,1),"&lt;&gt;")&gt;0,VLOOKUP($C244,EmpAll,COLUMN(Emp!$R$4)+MATCH(AN$5,DedListItem,0)-1,0),OFFSET(Setup!$E$73,MATCH(AN$5,DedListItem,0),0,1,1))*AN$3))),IF(ISNUMBER(AN$4),AN$4,IgnoreMin)))))</f>
        <v>0</v>
      </c>
      <c r="AO244" s="148" cm="1">
        <f t="array" aca="1" ref="AO244" ca="1">-IF($F244="Terminated",0,IF($AA244=0,0,IF(ISNA(MATCH(AO$5,PayDedList,0)),0,MIN(IF(COUNTIFS(OverEmp,$C244,OverDeduct,AO$5,OverDate,"&lt;"&amp;DATE(YEAR($AC244),MONTH($AC244)+1,1),OverEnd,"&gt;="&amp;DATE(YEAR($AC244),MONTH($AC244),1))&gt;0,SUMPRODUCT((PayEmp=$C244)*(PayDate&lt;=$AC244)*(OFFSET($N$6,1,MATCH(AO$5,PayDedList,0)-1,PayCount,1)))/$AA244*12*AO$3,IF(OR(AO$1="Fixed",AO$1="Not Used"),SUMPRODUCT((PayEmp=$C244)*(PayDate&lt;=$AC244)*(OFFSET($N$6,1,MATCH(AO$5,PayDedList,0)-1,PayCount,1)))/$AA244*12*AO$3,IF(ISNA(MATCH(AO$1,EarnListItem,0))=FALSE,SUMPRODUCT((PayEmp=$C244)*(PayDate&lt;=$AC244)*(OFFSET($N$6,1,MATCH(AO$5,PayDedList,0)-1,PayCount,1)))/$AA244*12*AO$3,(MIN(((SUMPRODUCT((PayEmp=$C244)*(PayDate&lt;=$AC244)*(ISERROR(SEARCH(PayEarnCode,AO$2)))*(PayEarnType="Monthly")*(PayEarnValues))/$AA244*12)+(SUMPRODUCT((PayEmp=$C244)*(PayDate&lt;=$AC244)*(ISERROR(SEARCH(PayEarnCode,AO$2)))*(PayEarnType="Quarterly")*(PayEarnValues))/MAX(1,ROUNDDOWN($AB244/3,0))*4)+(SUMPRODUCT((PayEmp=$C244)*(PayDate&lt;=$AC244)*(ISERROR(SEARCH(PayEarnCode,AO$2)))*(PayEarnType="Bi-Annual")*(PayEarnValues))/MAX(1,ROUNDDOWN($AB244/6,0))*2)+(SUMPRODUCT((PayEmp=$C244)*(PayDate&lt;=$AC244)*(ISERROR(SEARCH(PayEarnCode,AO$2)))*(PayEarnType="Annual")*(PayEarnValues)))),IF(ISNUMBER(OFFSET($N$3,0,MATCH(AO$5,PayDedList,0)-1,1,1)),OFFSET($N$3,0,MATCH(AO$5,PayDedList,0)-1,1,1),IgnoreMin)))*IF(COUNTIFS(EmpNo,$C244,OFFSET(Emp!$R$4,1,MATCH(AO$5,DedListItem,0)-1,EmpCount,1),"&lt;&gt;")&gt;0,VLOOKUP($C244,EmpAll,COLUMN(Emp!$R$4)+MATCH(AO$5,DedListItem,0)-1,0),OFFSET(Setup!$E$73,MATCH(AO$5,DedListItem,0),0,1,1))*AO$3))),IF(ISNUMBER(AO$4),AO$4,IgnoreMin)))))</f>
        <v>0</v>
      </c>
      <c r="AP244" s="148" cm="1">
        <f t="array" aca="1" ref="AP244" ca="1">-IF($F244="Terminated",0,IF($AA244=0,0,IF(ISNA(MATCH(AP$5,PayDedList,0)),0,MIN(IF(COUNTIFS(OverEmp,$C244,OverDeduct,AP$5,OverDate,"&lt;"&amp;DATE(YEAR($AC244),MONTH($AC244)+1,1),OverEnd,"&gt;="&amp;DATE(YEAR($AC244),MONTH($AC244),1))&gt;0,SUMPRODUCT((PayEmp=$C244)*(PayDate&lt;=$AC244)*(OFFSET($N$6,1,MATCH(AP$5,PayDedList,0)-1,PayCount,1)))/$AA244*12*AP$3,IF(OR(AP$1="Fixed",AP$1="Not Used"),SUMPRODUCT((PayEmp=$C244)*(PayDate&lt;=$AC244)*(OFFSET($N$6,1,MATCH(AP$5,PayDedList,0)-1,PayCount,1)))/$AA244*12*AP$3,IF(ISNA(MATCH(AP$1,EarnListItem,0))=FALSE,SUMPRODUCT((PayEmp=$C244)*(PayDate&lt;=$AC244)*(OFFSET($N$6,1,MATCH(AP$5,PayDedList,0)-1,PayCount,1)))/$AA244*12*AP$3,(MIN(((SUMPRODUCT((PayEmp=$C244)*(PayDate&lt;=$AC244)*(ISERROR(SEARCH(PayEarnCode,AP$2)))*(PayEarnType="Monthly")*(PayEarnValues))/$AA244*12)+(SUMPRODUCT((PayEmp=$C244)*(PayDate&lt;=$AC244)*(ISERROR(SEARCH(PayEarnCode,AP$2)))*(PayEarnType="Quarterly")*(PayEarnValues))/MAX(1,ROUNDDOWN($AB244/3,0))*4)+(SUMPRODUCT((PayEmp=$C244)*(PayDate&lt;=$AC244)*(ISERROR(SEARCH(PayEarnCode,AP$2)))*(PayEarnType="Bi-Annual")*(PayEarnValues))/MAX(1,ROUNDDOWN($AB244/6,0))*2)+(SUMPRODUCT((PayEmp=$C244)*(PayDate&lt;=$AC244)*(ISERROR(SEARCH(PayEarnCode,AP$2)))*(PayEarnType="Annual")*(PayEarnValues)))),IF(ISNUMBER(OFFSET($N$3,0,MATCH(AP$5,PayDedList,0)-1,1,1)),OFFSET($N$3,0,MATCH(AP$5,PayDedList,0)-1,1,1),IgnoreMin)))*IF(COUNTIFS(EmpNo,$C244,OFFSET(Emp!$R$4,1,MATCH(AP$5,DedListItem,0)-1,EmpCount,1),"&lt;&gt;")&gt;0,VLOOKUP($C244,EmpAll,COLUMN(Emp!$R$4)+MATCH(AP$5,DedListItem,0)-1,0),OFFSET(Setup!$E$73,MATCH(AP$5,DedListItem,0),0,1,1))*AP$3))),IF(ISNUMBER(AP$4),AP$4,IgnoreMin)))))</f>
        <v>0</v>
      </c>
      <c r="AQ244" s="148" cm="1">
        <f t="array" aca="1" ref="AQ244" ca="1">-IF($F244="Terminated",0,IF($AA244=0,0,IF(ISNA(MATCH(AQ$5,PayDedList,0)),0,MIN(IF(COUNTIFS(OverEmp,$C244,OverDeduct,AQ$5,OverDate,"&lt;"&amp;DATE(YEAR($AC244),MONTH($AC244)+1,1),OverEnd,"&gt;="&amp;DATE(YEAR($AC244),MONTH($AC244),1))&gt;0,SUMPRODUCT((PayEmp=$C244)*(PayDate&lt;=$AC244)*(OFFSET($N$6,1,MATCH(AQ$5,PayDedList,0)-1,PayCount,1)))/$AA244*12*AQ$3,IF(OR(AQ$1="Fixed",AQ$1="Not Used"),SUMPRODUCT((PayEmp=$C244)*(PayDate&lt;=$AC244)*(OFFSET($N$6,1,MATCH(AQ$5,PayDedList,0)-1,PayCount,1)))/$AA244*12*AQ$3,IF(ISNA(MATCH(AQ$1,EarnListItem,0))=FALSE,SUMPRODUCT((PayEmp=$C244)*(PayDate&lt;=$AC244)*(OFFSET($N$6,1,MATCH(AQ$5,PayDedList,0)-1,PayCount,1)))/$AA244*12*AQ$3,(MIN(((SUMPRODUCT((PayEmp=$C244)*(PayDate&lt;=$AC244)*(ISERROR(SEARCH(PayEarnCode,AQ$2)))*(PayEarnType="Monthly")*(PayEarnValues))/$AA244*12)+(SUMPRODUCT((PayEmp=$C244)*(PayDate&lt;=$AC244)*(ISERROR(SEARCH(PayEarnCode,AQ$2)))*(PayEarnType="Quarterly")*(PayEarnValues))/MAX(1,ROUNDDOWN($AB244/3,0))*4)+(SUMPRODUCT((PayEmp=$C244)*(PayDate&lt;=$AC244)*(ISERROR(SEARCH(PayEarnCode,AQ$2)))*(PayEarnType="Bi-Annual")*(PayEarnValues))/MAX(1,ROUNDDOWN($AB244/6,0))*2)+(SUMPRODUCT((PayEmp=$C244)*(PayDate&lt;=$AC244)*(ISERROR(SEARCH(PayEarnCode,AQ$2)))*(PayEarnType="Annual")*(PayEarnValues)))),IF(ISNUMBER(OFFSET($N$3,0,MATCH(AQ$5,PayDedList,0)-1,1,1)),OFFSET($N$3,0,MATCH(AQ$5,PayDedList,0)-1,1,1),IgnoreMin)))*IF(COUNTIFS(EmpNo,$C244,OFFSET(Emp!$R$4,1,MATCH(AQ$5,DedListItem,0)-1,EmpCount,1),"&lt;&gt;")&gt;0,VLOOKUP($C244,EmpAll,COLUMN(Emp!$R$4)+MATCH(AQ$5,DedListItem,0)-1,0),OFFSET(Setup!$E$73,MATCH(AQ$5,DedListItem,0),0,1,1))*AQ$3))),IF(ISNUMBER(AQ$4),AQ$4,IgnoreMin)))))</f>
        <v>0</v>
      </c>
      <c r="AR244" s="148">
        <f t="shared" ref="AR244:AR246" ca="1" si="159">$AM244+SUM(OFFSET($AM244,0,1,1,COLUMN($AR$2)-COLUMN($AM$2)-1))</f>
        <v>0</v>
      </c>
      <c r="AS244" s="148">
        <f t="shared" ca="1" si="109"/>
        <v>0</v>
      </c>
      <c r="AT244" s="148" cm="1">
        <f t="array" aca="1" ref="AT244" ca="1">-IF($F244="Terminated",0,IF($AA244=0,0,IF(ISNA(MATCH(AT$5,PayDedList,0)),0,MIN(IF(COUNTIFS(OverEmp,$C244,OverDeduct,AT$5,OverDate,"&lt;"&amp;DATE(YEAR($AC244),MONTH($AC244)+1,1),OverEnd,"&gt;="&amp;DATE(YEAR($AC244),MONTH($AC244),1))&gt;0,SUMPRODUCT((PayEmp=$C244)*(PayDate&lt;=$AC244)*(OFFSET($N$6,1,MATCH(AT$5,PayDedList,0)-1,PayCount,1)))/$AA244*12*AT$3,IF(OR(AT$1="Fixed",AT$1="Not Used"),SUMPRODUCT((PayEmp=$C244)*(PayDate&lt;=$AC244)*(OFFSET($N$6,1,MATCH(AT$5,PayDedList,0)-1,PayCount,1)))/$AA244*12*AT$3,IF(ISNA(MATCH(OFFSET($N$2,0,MATCH(AT$5,PayDedList,0)-1,1,1),EarnListItem,0))=FALSE,SUMPRODUCT((PayEmp=$C244)*(PayDate&lt;=$AC244)*(OFFSET($N$6,1,MATCH(AT$5,PayDedList,0)-1,PayCount,1)))/$AA244*12*AT$3,(MIN(SUMPRODUCT((PayEmp=$C244)*(PayDate&lt;=$AC244)*(ISERROR(SEARCH(PayEarnCode,AT$2)))*(PayEarnType="Monthly")*(PayEarnValues))/$AA244*12,IF(ISNUMBER(OFFSET($N$3,0,MATCH(AT$5,PayDedList,0)-1,1,1)),OFFSET($N$3,0,MATCH(AT$5,PayDedList,0)-1,1,1),IgnoreMin)))*IF(COUNTIFS(EmpNo,$C244,OFFSET(Emp!$R$4,1,MATCH(AT$5,DedListItem,0)-1,EmpCount,1),"&lt;&gt;")&gt;0,VLOOKUP($C244,EmpAll,COLUMN(Emp!$R$4)+MATCH(AT$5,DedListItem,0)-1,0),OFFSET(Setup!$E$73,MATCH(AT$5,DedListItem,0),0,1,1))*AT$3))),IF(ISNUMBER(AT$4),AT$4,IgnoreMin)))))</f>
        <v>0</v>
      </c>
      <c r="AU244" s="148" cm="1">
        <f t="array" aca="1" ref="AU244" ca="1">-IF($F244="Terminated",0,IF($AA244=0,0,IF(ISNA(MATCH(AU$5,PayDedList,0)),0,MIN(IF(COUNTIFS(OverEmp,$C244,OverDeduct,AU$5,OverDate,"&lt;"&amp;DATE(YEAR($AC244),MONTH($AC244)+1,1),OverEnd,"&gt;="&amp;DATE(YEAR($AC244),MONTH($AC244),1))&gt;0,SUMPRODUCT((PayEmp=$C244)*(PayDate&lt;=$AC244)*(OFFSET($N$6,1,MATCH(AU$5,PayDedList,0)-1,PayCount,1)))/$AA244*12*AU$3,IF(OR(AU$1="Fixed",AU$1="Not Used"),SUMPRODUCT((PayEmp=$C244)*(PayDate&lt;=$AC244)*(OFFSET($N$6,1,MATCH(AU$5,PayDedList,0)-1,PayCount,1)))/$AA244*12*AU$3,IF(ISNA(MATCH(OFFSET($N$2,0,MATCH(AU$5,PayDedList,0)-1,1,1),EarnListItem,0))=FALSE,SUMPRODUCT((PayEmp=$C244)*(PayDate&lt;=$AC244)*(OFFSET($N$6,1,MATCH(AU$5,PayDedList,0)-1,PayCount,1)))/$AA244*12*AU$3,(MIN(SUMPRODUCT((PayEmp=$C244)*(PayDate&lt;=$AC244)*(ISERROR(SEARCH(PayEarnCode,AU$2)))*(PayEarnType="Monthly")*(PayEarnValues))/$AA244*12,IF(ISNUMBER(OFFSET($N$3,0,MATCH(AU$5,PayDedList,0)-1,1,1)),OFFSET($N$3,0,MATCH(AU$5,PayDedList,0)-1,1,1),IgnoreMin)))*IF(COUNTIFS(EmpNo,$C244,OFFSET(Emp!$R$4,1,MATCH(AU$5,DedListItem,0)-1,EmpCount,1),"&lt;&gt;")&gt;0,VLOOKUP($C244,EmpAll,COLUMN(Emp!$R$4)+MATCH(AU$5,DedListItem,0)-1,0),OFFSET(Setup!$E$73,MATCH(AU$5,DedListItem,0),0,1,1))*AU$3))),IF(ISNUMBER(AU$4),AU$4,IgnoreMin)))))</f>
        <v>0</v>
      </c>
      <c r="AV244" s="148" cm="1">
        <f t="array" aca="1" ref="AV244" ca="1">-IF($F244="Terminated",0,IF($AA244=0,0,IF(ISNA(MATCH(AV$5,PayDedList,0)),0,MIN(IF(COUNTIFS(OverEmp,$C244,OverDeduct,AV$5,OverDate,"&lt;"&amp;DATE(YEAR($AC244),MONTH($AC244)+1,1),OverEnd,"&gt;="&amp;DATE(YEAR($AC244),MONTH($AC244),1))&gt;0,SUMPRODUCT((PayEmp=$C244)*(PayDate&lt;=$AC244)*(OFFSET($N$6,1,MATCH(AV$5,PayDedList,0)-1,PayCount,1)))/$AA244*12*AV$3,IF(OR(AV$1="Fixed",AV$1="Not Used"),SUMPRODUCT((PayEmp=$C244)*(PayDate&lt;=$AC244)*(OFFSET($N$6,1,MATCH(AV$5,PayDedList,0)-1,PayCount,1)))/$AA244*12*AV$3,IF(ISNA(MATCH(OFFSET($N$2,0,MATCH(AV$5,PayDedList,0)-1,1,1),EarnListItem,0))=FALSE,SUMPRODUCT((PayEmp=$C244)*(PayDate&lt;=$AC244)*(OFFSET($N$6,1,MATCH(AV$5,PayDedList,0)-1,PayCount,1)))/$AA244*12*AV$3,(MIN(SUMPRODUCT((PayEmp=$C244)*(PayDate&lt;=$AC244)*(ISERROR(SEARCH(PayEarnCode,AV$2)))*(PayEarnType="Monthly")*(PayEarnValues))/$AA244*12,IF(ISNUMBER(OFFSET($N$3,0,MATCH(AV$5,PayDedList,0)-1,1,1)),OFFSET($N$3,0,MATCH(AV$5,PayDedList,0)-1,1,1),IgnoreMin)))*IF(COUNTIFS(EmpNo,$C244,OFFSET(Emp!$R$4,1,MATCH(AV$5,DedListItem,0)-1,EmpCount,1),"&lt;&gt;")&gt;0,VLOOKUP($C244,EmpAll,COLUMN(Emp!$R$4)+MATCH(AV$5,DedListItem,0)-1,0),OFFSET(Setup!$E$73,MATCH(AV$5,DedListItem,0),0,1,1))*AV$3))),IF(ISNUMBER(AV$4),AV$4,IgnoreMin)))))</f>
        <v>0</v>
      </c>
      <c r="AW244" s="148" cm="1">
        <f t="array" aca="1" ref="AW244" ca="1">-IF($F244="Terminated",0,IF($AA244=0,0,IF(ISNA(MATCH(AW$5,PayDedList,0)),0,MIN(IF(COUNTIFS(OverEmp,$C244,OverDeduct,AW$5,OverDate,"&lt;"&amp;DATE(YEAR($AC244),MONTH($AC244)+1,1),OverEnd,"&gt;="&amp;DATE(YEAR($AC244),MONTH($AC244),1))&gt;0,SUMPRODUCT((PayEmp=$C244)*(PayDate&lt;=$AC244)*(OFFSET($N$6,1,MATCH(AW$5,PayDedList,0)-1,PayCount,1)))/$AA244*12*AW$3,IF(OR(AW$1="Fixed",AW$1="Not Used"),SUMPRODUCT((PayEmp=$C244)*(PayDate&lt;=$AC244)*(OFFSET($N$6,1,MATCH(AW$5,PayDedList,0)-1,PayCount,1)))/$AA244*12*AW$3,IF(ISNA(MATCH(OFFSET($N$2,0,MATCH(AW$5,PayDedList,0)-1,1,1),EarnListItem,0))=FALSE,SUMPRODUCT((PayEmp=$C244)*(PayDate&lt;=$AC244)*(OFFSET($N$6,1,MATCH(AW$5,PayDedList,0)-1,PayCount,1)))/$AA244*12*AW$3,(MIN(SUMPRODUCT((PayEmp=$C244)*(PayDate&lt;=$AC244)*(ISERROR(SEARCH(PayEarnCode,AW$2)))*(PayEarnType="Monthly")*(PayEarnValues))/$AA244*12,IF(ISNUMBER(OFFSET($N$3,0,MATCH(AW$5,PayDedList,0)-1,1,1)),OFFSET($N$3,0,MATCH(AW$5,PayDedList,0)-1,1,1),IgnoreMin)))*IF(COUNTIFS(EmpNo,$C244,OFFSET(Emp!$R$4,1,MATCH(AW$5,DedListItem,0)-1,EmpCount,1),"&lt;&gt;")&gt;0,VLOOKUP($C244,EmpAll,COLUMN(Emp!$R$4)+MATCH(AW$5,DedListItem,0)-1,0),OFFSET(Setup!$E$73,MATCH(AW$5,DedListItem,0),0,1,1))*AW$3))),IF(ISNUMBER(AW$4),AW$4,IgnoreMin)))))</f>
        <v>0</v>
      </c>
      <c r="AX244" s="148">
        <f t="shared" ref="AX244:AX246" ca="1" si="160">$AS244+SUM(OFFSET($AT244,0,0,1,COLUMN($AX$2)-COLUMN($AT$2)))</f>
        <v>0</v>
      </c>
      <c r="AY244" s="148">
        <f t="shared" ref="AY244:AY246" ca="1" si="161">AR244-AX244</f>
        <v>0</v>
      </c>
      <c r="AZ244" s="148">
        <f ca="1">IF(ISNUMBER($AL244),($AR244*$AL244)-$AI244-$AK244,MAX(0,IF($AL244="B",IF($AR244&lt;Setup!$C$32,($AR244*Setup!$D$32)-$AI244-$AK244,(($AR244-VLOOKUP($AR244,TaxAll2,1,1))*OFFSET(Setup!$D$32,MATCH($AR244,TaxBracket2,1),0,1,1))+OFFSET(Setup!$E$31,MATCH($AR244,TaxBracket2,1),0,1,1)-$AI244-$AK244),IF($AR244&lt;Setup!$C$21,($AR244*Setup!$D$21)-$AI244-$AK244,(($AR244-VLOOKUP($AR244,TaxAll1,1,1))*OFFSET(Setup!$D$21,MATCH($AR244,TaxBracket1,1),0,1,1))+OFFSET(Setup!$E$20,MATCH($AR244,TaxBracket1,1),0,1,1)-$AI244-$AK244))))</f>
        <v>0</v>
      </c>
      <c r="BA244" s="148">
        <f ca="1">IF(ISNUMBER($AL244),($AX244*$AL244)-$AI244-$AK244,MAX(0,IF($AL244="B",IF($AX244&lt;Setup!$C$32,($AX244*Setup!$D$32)-$AI244-$AK244,(($AX244-VLOOKUP($AX244,TaxAll2,1,1))*OFFSET(Setup!$D$32,MATCH($AX244,TaxBracket2,1),0,1,1))+OFFSET(Setup!$E$31,MATCH($AX244,TaxBracket2,1),0,1,1)-$AI244-$AK244),IF($AX244&lt;Setup!$C$21,($AX244*Setup!$D$21)-$AI244-$AK244,(($AX244-VLOOKUP($AX244,TaxAll1,1,1))*OFFSET(Setup!$D$21,MATCH($AX244,TaxBracket1,1),0,1,1))+OFFSET(Setup!$E$20,MATCH($AX244,TaxBracket1,1),0,1,1)-$AI244-$AK244))))</f>
        <v>0</v>
      </c>
      <c r="BB244" s="148">
        <f t="shared" ref="BB244:BB246" ca="1" si="162">AZ244-BA244</f>
        <v>0</v>
      </c>
      <c r="BC244" s="150">
        <f t="shared" ca="1" si="110"/>
        <v>0</v>
      </c>
      <c r="BD244" s="150">
        <f t="shared" ca="1" si="111"/>
        <v>0</v>
      </c>
      <c r="BE244" s="148">
        <f t="shared" ca="1" si="112"/>
        <v>0</v>
      </c>
    </row>
    <row r="245" spans="1:57" ht="16.149999999999999" customHeight="1" x14ac:dyDescent="0.25">
      <c r="A245" s="10" t="str" cm="1">
        <f t="array" ref="A245">IF(ROW($A245)-ROW($A$6)&gt;EmpCount*12,"-",TEXT($B245,"yyyy")&amp;TEXT($B245,"mm")&amp;"-"&amp;$C245)</f>
        <v>-</v>
      </c>
      <c r="B245" s="137" cm="1">
        <f t="array" aca="1" ref="B245" ca="1">IF(ROW($A245)-ROW($A$6)&gt;EmpCount*12,Setup!$D$12,DATE(YEAR(Setup!$F$12),MONTH(Setup!$F$12)+ROUNDDOWN((ROW($A245)-ROW($A$6)-1)/EmpCount,0),IF(Setup!$C$14&gt;DAY(DATE(YEAR(Setup!$F$12),MONTH(Setup!$F$12)+ROUNDDOWN((ROW($A245)-ROW($A$6)-1)/EmpCount,0)+1,0)),DAY(DATE(YEAR(Setup!$F$12),MONTH(Setup!$F$12)+ROUNDDOWN((ROW($A245)-ROW($A$6)-1)/EmpCount,0)+1,0)),Setup!$C$14)))</f>
        <v>45351</v>
      </c>
      <c r="C245" s="101" t="str" cm="1">
        <f t="array" aca="1" ref="C245" ca="1">IF(ROW($A245)-ROW($A$6)&gt;EmpCount*12,"-",OFFSET(Emp!$A$4,ROW($A245)-ROW($A$6)-IF(ROW($A245)-ROW($A$6)&gt;EmpCount,ROUNDDOWN((ROW($A245)-ROW($A$6)-1)/EmpCount,0)*EmpCount,0),0,1,1))</f>
        <v>-</v>
      </c>
      <c r="D245" s="10" t="str">
        <f ca="1">IF(ISNA(VLOOKUP($C245,EmpAll,COLUMN(Emp!$B$4),0)),"-",VLOOKUP($C245,EmpAll,COLUMN(Emp!$B$4),0))</f>
        <v>-</v>
      </c>
      <c r="E245" s="145" t="str">
        <f ca="1">IF(ISNA(VLOOKUP($C245,EmpAll,COLUMN(Emp!$C$4),0)),"-",VLOOKUP($C245,EmpAll,COLUMN(Emp!$C$4),0))</f>
        <v>-</v>
      </c>
      <c r="F245" s="101" t="str">
        <f ca="1">IF(ISNA(VLOOKUP($C245,EmpAll,COLUMN(Emp!$A$4),0)),"-",IF(AND(VLOOKUP($C245,EmpAll,COLUMN(Emp!$E$4),0)&lt;&gt;0,VLOOKUP($C245,EmpAll,COLUMN(Emp!$E$4),0)&gt;=DATE(YEAR($AC245),MONTH($AC245)+1,0)),"Inactive",IF(AND(VLOOKUP($C245,EmpAll,COLUMN(Emp!$F$4),0)&lt;&gt;0,VLOOKUP($C245,EmpAll,COLUMN(Emp!$F$4),0)&lt;=DATE(YEAR($AC245),MONTH($AC245),0)),"Terminated","Active")))</f>
        <v>-</v>
      </c>
      <c r="G245" s="133" cm="1">
        <f t="array" aca="1" ref="G245" ca="1">IF($F245&lt;&gt;"Active",0,IF(COUNTIFS(OverEmp,$C245,OverEarn,G$2,OverDate,"&lt;"&amp;DATE(YEAR($AC245),MONTH($AC245)+1,1),OverEnd,"&gt;="&amp;DATE(YEAR($AC245),MONTH($AC245),1))&gt;0,SUMIFS(OverValue,OverEmp,$C245,OverEarn,G$2,OverDate,"&lt;"&amp;DATE(YEAR($AC245),MONTH($AC245)+1,1),OverEnd,"&gt;="&amp;DATE(YEAR($AC245),MONTH($AC245),1)),IF(AND($AC245&gt;=Setup!$E$10,SUMIFS(EmpIncrease,EmpCode,$C245)&gt;0),SUMIFS(EmpIncrease,EmpCode,$C245),SUMIFS(EmpSalary,EmpCode,$C245))))</f>
        <v>0</v>
      </c>
      <c r="H245" s="133" cm="1">
        <f t="array" aca="1" ref="H245" ca="1">IF($F245&lt;&gt;"Active",0,IF(COUNTIFS(OverEmp,$C245,OverEarn,H$2,OverDate,"&lt;"&amp;DATE(YEAR($AC245),MONTH($AC245)+1,1),OverEnd,"&gt;="&amp;DATE(YEAR($AC245),MONTH($AC245),1))&gt;0,SUMIFS(OverValue,OverEmp,$C245,OverEarn,H$2,OverDate,"&lt;"&amp;DATE(YEAR($AC245),MONTH($AC245)+1,1),OverEnd,"&gt;="&amp;DATE(YEAR($AC245),MONTH($AC245),1)),0))</f>
        <v>0</v>
      </c>
      <c r="I245" s="133" cm="1">
        <f t="array" aca="1" ref="I245" ca="1">IF($F245&lt;&gt;"Active",0,IF(COUNTIFS(OverEmp,$C245,OverEarn,I$2,OverDate,"&lt;"&amp;DATE(YEAR($AC245),MONTH($AC245)+1,1),OverEnd,"&gt;="&amp;DATE(YEAR($AC245),MONTH($AC245),1))&gt;0,SUMIFS(OverValue,OverEmp,$C245,OverEarn,I$2,OverDate,"&lt;"&amp;DATE(YEAR($AC245),MONTH($AC245)+1,1),OverEnd,"&gt;="&amp;DATE(YEAR($AC245),MONTH($AC245),1)),IF(MONTH(B245)=Setup!$C$15,SUMIFS(EmpBonus,EmpCode,$C245),0)))</f>
        <v>0</v>
      </c>
      <c r="J245" s="133" cm="1">
        <f t="array" aca="1" ref="J245" ca="1">IF($F245&lt;&gt;"Active",0,IF(COUNTIFS(OverEmp,$C245,OverEarn,J$2,OverDate,"&lt;"&amp;DATE(YEAR($AC245),MONTH($AC245)+1,1),OverEnd,"&gt;="&amp;DATE(YEAR($AC245),MONTH($AC245),1))&gt;0,SUMIFS(OverValue,OverEmp,$C245,OverEarn,J$2,OverDate,"&lt;"&amp;DATE(YEAR($AC245),MONTH($AC245)+1,1),OverEnd,"&gt;="&amp;DATE(YEAR($AC245),MONTH($AC245),1)),0))</f>
        <v>0</v>
      </c>
      <c r="K245" s="133" cm="1">
        <f t="array" aca="1" ref="K245" ca="1">IF($F245&lt;&gt;"Active",0,IF(COUNTIFS(OverEmp,$C245,OverEarn,K$2,OverDate,"&lt;"&amp;DATE(YEAR($AC245),MONTH($AC245)+1,1),OverEnd,"&gt;="&amp;DATE(YEAR($AC245),MONTH($AC245),1))&gt;0,SUMIFS(OverValue,OverEmp,$C245,OverEarn,K$2,OverDate,"&lt;"&amp;DATE(YEAR($AC245),MONTH($AC245)+1,1),OverEnd,"&gt;="&amp;DATE(YEAR($AC245),MONTH($AC245),1)),0))</f>
        <v>0</v>
      </c>
      <c r="L245" s="185">
        <f t="shared" ca="1" si="152"/>
        <v>0</v>
      </c>
      <c r="M245" s="182" cm="1">
        <f t="array" aca="1" ref="M245" ca="1">IF(COUNTIFS(OverEmp,$C245,OverTax,M$5,OverDate,"&lt;"&amp;DATE(YEAR($AC245),MONTH($AC245)+1,1),OverEnd,"&gt;="&amp;DATE(YEAR($AC245),MONTH($AC245),1))&gt;0,SUMIFS(OverValue,OverEmp,$C245,OverTax,M$5,OverDate,"&lt;"&amp;DATE(YEAR($AC245),MONTH($AC245)+1,1),OverEnd,"&gt;="&amp;DATE(YEAR($AC245),MONTH($AC245),1)),(($BA245/12*$AA245)+(BB245*IF(1-$BC245=0,0,BD245/(1-$BC245))))-IF($F245="Terminated",0,SUMIFS(PayTaxDeduct,PayDate,"&lt;"&amp;$AC245,PayEmp,$C245)))</f>
        <v>0</v>
      </c>
      <c r="N245" s="133" cm="1">
        <f t="array" aca="1" ref="N245" ca="1">IF($F245="Terminated",0,IF($AA245=0,0,IF(ISNA(MATCH(N$5,DedListItem,0)),0,IF(COUNTIFS(OverEmp,$C245,OverDeduct,N$5,OverDate,"&lt;"&amp;DATE(YEAR($AC245),MONTH($AC245)+1,1),OverEnd,"&gt;="&amp;DATE(YEAR($AC245),MONTH($AC245),1))&gt;0,SUMIFS(OverValue,OverEmp,$C245,OverDeduct,N$5,OverDate,"&lt;"&amp;DATE(YEAR($AC245),MONTH($AC245)+1,1),OverEnd,"&gt;="&amp;DATE(YEAR($AC245),MONTH($AC245),1)),IF(OR(N$2="Fixed",N$2="Not Used"),(IF(COUNTIFS(EmpNo,$C245,OFFSET(Emp!$R$4,1,MATCH(N$5,DedListItem,0)-1,EmpCount,1),"&lt;&gt;")&gt;0,VLOOKUP($C245,EmpAll,COLUMN(Emp!$R$4)+MATCH(N$5,DedListItem,0)-1,0),OFFSET(Setup!$E$73,MATCH(N$5,DedListItem,0),0,1,1))*$AA245)-SUMIFS(OFFSET(N$6,1,0,PayCount,1),PayDate,"&lt;"&amp;$AC245,PayEmp,$C245),IF(ISNA(MATCH(N$2,EarnListItem,0))=FALSE,IF(OFFSET(Setup!$G$73,MATCH(N$5,DedListItem,0),0,1,1)="Taxable",SUMPRODUCT((PayEmp=$C245)*(PayDate&lt;=$AC245)*(PayEarnCode=N$2)*(PayEarnTax)*(PayEarnValues)),SUMPRODUCT((PayEmp=$C245)*(PayDate&lt;=$AC245)*(PayEarnCode=N$2)*(PayEarnValues)))*IF(COUNTIFS(EmpNo,$C245,OFFSET(Emp!$R$4,1,MATCH(N$5,DedListItem,0)-1,EmpCount,1),"&lt;&gt;")&gt;0,VLOOKUP($C245,EmpAll,COLUMN(Emp!$R$4)+MATCH(N$5,DedListItem,0)-1,0),OFFSET(Setup!$E$73,MATCH(N$5,DedListItem,0),0,1,1)),(MIN(IF(OFFSET(Setup!$G$73,MATCH(N$5,DedListItem,0),0,1,1)="Taxable",SUMPRODUCT((PayEmp=$C245)*(PayDate&lt;=$AC245)*(ISERROR(SEARCH(PayEarnCode,N$4)))*(PayEarnTax)*(PayEarnValues)),SUMPRODUCT((PayEmp=$C245)*(PayDate&lt;=$AC245)*(ISERROR(SEARCH(PayEarnCode,N$4)))*(PayEarnValues))),IF(ISNUMBER(N$3),N$3/12*$AA245,IgnoreMin)))*IF(COUNTIFS(EmpNo,$C245,OFFSET(Emp!$R$4,1,MATCH(N$5,DedListItem,0)-1,EmpCount,1),"&lt;&gt;")&gt;0,VLOOKUP($C245,EmpAll,COLUMN(Emp!$R$4)+MATCH(N$5,DedListItem,0)-1,0),OFFSET(Setup!$E$73,MATCH(N$5,DedListItem,0),0,1,1)))-SUMIFS(OFFSET(N$6,1,0,PayCount,1),PayDate,"&lt;"&amp;$AC245,PayEmp,$C245))))))</f>
        <v>0</v>
      </c>
      <c r="O245" s="133" cm="1">
        <f t="array" aca="1" ref="O245" ca="1">IF($F245="Terminated",0,IF($AA245=0,0,IF(ISNA(MATCH(O$5,DedListItem,0)),0,IF(COUNTIFS(OverEmp,$C245,OverDeduct,O$5,OverDate,"&lt;"&amp;DATE(YEAR($AC245),MONTH($AC245)+1,1),OverEnd,"&gt;="&amp;DATE(YEAR($AC245),MONTH($AC245),1))&gt;0,SUMIFS(OverValue,OverEmp,$C245,OverDeduct,O$5,OverDate,"&lt;"&amp;DATE(YEAR($AC245),MONTH($AC245)+1,1),OverEnd,"&gt;="&amp;DATE(YEAR($AC245),MONTH($AC245),1)),IF(OR(O$2="Fixed",O$2="Not Used"),(IF(COUNTIFS(EmpNo,$C245,OFFSET(Emp!$R$4,1,MATCH(O$5,DedListItem,0)-1,EmpCount,1),"&lt;&gt;")&gt;0,VLOOKUP($C245,EmpAll,COLUMN(Emp!$R$4)+MATCH(O$5,DedListItem,0)-1,0),OFFSET(Setup!$E$73,MATCH(O$5,DedListItem,0),0,1,1))*$AA245)-SUMIFS(OFFSET(O$6,1,0,PayCount,1),PayDate,"&lt;"&amp;$AC245,PayEmp,$C245),IF(ISNA(MATCH(O$2,EarnListItem,0))=FALSE,IF(OFFSET(Setup!$G$73,MATCH(O$5,DedListItem,0),0,1,1)="Taxable",SUMPRODUCT((PayEmp=$C245)*(PayDate&lt;=$AC245)*(PayEarnCode=O$2)*(PayEarnTax)*(PayEarnValues)),SUMPRODUCT((PayEmp=$C245)*(PayDate&lt;=$AC245)*(PayEarnCode=O$2)*(PayEarnValues)))*IF(COUNTIFS(EmpNo,$C245,OFFSET(Emp!$R$4,1,MATCH(O$5,DedListItem,0)-1,EmpCount,1),"&lt;&gt;")&gt;0,VLOOKUP($C245,EmpAll,COLUMN(Emp!$R$4)+MATCH(O$5,DedListItem,0)-1,0),OFFSET(Setup!$E$73,MATCH(O$5,DedListItem,0),0,1,1)),(MIN(IF(OFFSET(Setup!$G$73,MATCH(O$5,DedListItem,0),0,1,1)="Taxable",SUMPRODUCT((PayEmp=$C245)*(PayDate&lt;=$AC245)*(ISERROR(SEARCH(PayEarnCode,O$4)))*(PayEarnTax)*(PayEarnValues)),SUMPRODUCT((PayEmp=$C245)*(PayDate&lt;=$AC245)*(ISERROR(SEARCH(PayEarnCode,O$4)))*(PayEarnValues))),IF(ISNUMBER(O$3),O$3/12*$AA245,IgnoreMin)))*IF(COUNTIFS(EmpNo,$C245,OFFSET(Emp!$R$4,1,MATCH(O$5,DedListItem,0)-1,EmpCount,1),"&lt;&gt;")&gt;0,VLOOKUP($C245,EmpAll,COLUMN(Emp!$R$4)+MATCH(O$5,DedListItem,0)-1,0),OFFSET(Setup!$E$73,MATCH(O$5,DedListItem,0),0,1,1)))-SUMIFS(OFFSET(O$6,1,0,PayCount,1),PayDate,"&lt;"&amp;$AC245,PayEmp,$C245))))))</f>
        <v>0</v>
      </c>
      <c r="P245" s="133" cm="1">
        <f t="array" aca="1" ref="P245" ca="1">IF($F245="Terminated",0,IF($AA245=0,0,IF(ISNA(MATCH(P$5,DedListItem,0)),0,IF(COUNTIFS(OverEmp,$C245,OverDeduct,P$5,OverDate,"&lt;"&amp;DATE(YEAR($AC245),MONTH($AC245)+1,1),OverEnd,"&gt;="&amp;DATE(YEAR($AC245),MONTH($AC245),1))&gt;0,SUMIFS(OverValue,OverEmp,$C245,OverDeduct,P$5,OverDate,"&lt;"&amp;DATE(YEAR($AC245),MONTH($AC245)+1,1),OverEnd,"&gt;="&amp;DATE(YEAR($AC245),MONTH($AC245),1)),IF(OR(P$2="Fixed",P$2="Not Used"),(IF(COUNTIFS(EmpNo,$C245,OFFSET(Emp!$R$4,1,MATCH(P$5,DedListItem,0)-1,EmpCount,1),"&lt;&gt;")&gt;0,VLOOKUP($C245,EmpAll,COLUMN(Emp!$R$4)+MATCH(P$5,DedListItem,0)-1,0),OFFSET(Setup!$E$73,MATCH(P$5,DedListItem,0),0,1,1))*$AA245)-SUMIFS(OFFSET(P$6,1,0,PayCount,1),PayDate,"&lt;"&amp;$AC245,PayEmp,$C245),IF(ISNA(MATCH(P$2,EarnListItem,0))=FALSE,IF(OFFSET(Setup!$G$73,MATCH(P$5,DedListItem,0),0,1,1)="Taxable",SUMPRODUCT((PayEmp=$C245)*(PayDate&lt;=$AC245)*(PayEarnCode=P$2)*(PayEarnTax)*(PayEarnValues)),SUMPRODUCT((PayEmp=$C245)*(PayDate&lt;=$AC245)*(PayEarnCode=P$2)*(PayEarnValues)))*IF(COUNTIFS(EmpNo,$C245,OFFSET(Emp!$R$4,1,MATCH(P$5,DedListItem,0)-1,EmpCount,1),"&lt;&gt;")&gt;0,VLOOKUP($C245,EmpAll,COLUMN(Emp!$R$4)+MATCH(P$5,DedListItem,0)-1,0),OFFSET(Setup!$E$73,MATCH(P$5,DedListItem,0),0,1,1)),(MIN(IF(OFFSET(Setup!$G$73,MATCH(P$5,DedListItem,0),0,1,1)="Taxable",SUMPRODUCT((PayEmp=$C245)*(PayDate&lt;=$AC245)*(ISERROR(SEARCH(PayEarnCode,P$4)))*(PayEarnTax)*(PayEarnValues)),SUMPRODUCT((PayEmp=$C245)*(PayDate&lt;=$AC245)*(ISERROR(SEARCH(PayEarnCode,P$4)))*(PayEarnValues))),IF(ISNUMBER(P$3),P$3/12*$AA245,IgnoreMin)))*IF(COUNTIFS(EmpNo,$C245,OFFSET(Emp!$R$4,1,MATCH(P$5,DedListItem,0)-1,EmpCount,1),"&lt;&gt;")&gt;0,VLOOKUP($C245,EmpAll,COLUMN(Emp!$R$4)+MATCH(P$5,DedListItem,0)-1,0),OFFSET(Setup!$E$73,MATCH(P$5,DedListItem,0),0,1,1)))-SUMIFS(OFFSET(P$6,1,0,PayCount,1),PayDate,"&lt;"&amp;$AC245,PayEmp,$C245))))))</f>
        <v>0</v>
      </c>
      <c r="Q245" s="133" cm="1">
        <f t="array" aca="1" ref="Q245" ca="1">IF($F245="Terminated",0,IF($AA245=0,0,IF(ISNA(MATCH(Q$5,DedListItem,0)),0,IF(COUNTIFS(OverEmp,$C245,OverDeduct,Q$5,OverDate,"&lt;"&amp;DATE(YEAR($AC245),MONTH($AC245)+1,1),OverEnd,"&gt;="&amp;DATE(YEAR($AC245),MONTH($AC245),1))&gt;0,SUMIFS(OverValue,OverEmp,$C245,OverDeduct,Q$5,OverDate,"&lt;"&amp;DATE(YEAR($AC245),MONTH($AC245)+1,1),OverEnd,"&gt;="&amp;DATE(YEAR($AC245),MONTH($AC245),1)),IF(OR(Q$2="Fixed",Q$2="Not Used"),(IF(COUNTIFS(EmpNo,$C245,OFFSET(Emp!$R$4,1,MATCH(Q$5,DedListItem,0)-1,EmpCount,1),"&lt;&gt;")&gt;0,VLOOKUP($C245,EmpAll,COLUMN(Emp!$R$4)+MATCH(Q$5,DedListItem,0)-1,0),OFFSET(Setup!$E$73,MATCH(Q$5,DedListItem,0),0,1,1))*$AA245)-SUMIFS(OFFSET(Q$6,1,0,PayCount,1),PayDate,"&lt;"&amp;$AC245,PayEmp,$C245),IF(ISNA(MATCH(Q$2,EarnListItem,0))=FALSE,IF(OFFSET(Setup!$G$73,MATCH(Q$5,DedListItem,0),0,1,1)="Taxable",SUMPRODUCT((PayEmp=$C245)*(PayDate&lt;=$AC245)*(PayEarnCode=Q$2)*(PayEarnTax)*(PayEarnValues)),SUMPRODUCT((PayEmp=$C245)*(PayDate&lt;=$AC245)*(PayEarnCode=Q$2)*(PayEarnValues)))*IF(COUNTIFS(EmpNo,$C245,OFFSET(Emp!$R$4,1,MATCH(Q$5,DedListItem,0)-1,EmpCount,1),"&lt;&gt;")&gt;0,VLOOKUP($C245,EmpAll,COLUMN(Emp!$R$4)+MATCH(Q$5,DedListItem,0)-1,0),OFFSET(Setup!$E$73,MATCH(Q$5,DedListItem,0),0,1,1)),(MIN(IF(OFFSET(Setup!$G$73,MATCH(Q$5,DedListItem,0),0,1,1)="Taxable",SUMPRODUCT((PayEmp=$C245)*(PayDate&lt;=$AC245)*(ISERROR(SEARCH(PayEarnCode,Q$4)))*(PayEarnTax)*(PayEarnValues)),SUMPRODUCT((PayEmp=$C245)*(PayDate&lt;=$AC245)*(ISERROR(SEARCH(PayEarnCode,Q$4)))*(PayEarnValues))),IF(ISNUMBER(Q$3),Q$3/12*$AA245,IgnoreMin)))*IF(COUNTIFS(EmpNo,$C245,OFFSET(Emp!$R$4,1,MATCH(Q$5,DedListItem,0)-1,EmpCount,1),"&lt;&gt;")&gt;0,VLOOKUP($C245,EmpAll,COLUMN(Emp!$R$4)+MATCH(Q$5,DedListItem,0)-1,0),OFFSET(Setup!$E$73,MATCH(Q$5,DedListItem,0),0,1,1)))-SUMIFS(OFFSET(Q$6,1,0,PayCount,1),PayDate,"&lt;"&amp;$AC245,PayEmp,$C245))))))</f>
        <v>0</v>
      </c>
      <c r="R245" s="185">
        <f t="shared" ca="1" si="153"/>
        <v>0</v>
      </c>
      <c r="S245" s="139">
        <f t="shared" ca="1" si="154"/>
        <v>0</v>
      </c>
      <c r="T245" s="133" cm="1">
        <f t="array" aca="1" ref="T245" ca="1">IF($F245="Terminated",0,IF($AA245=0,0,IF(ISNA(MATCH(T$5,CompListItem,0)),0,IF(COUNTIFS(OverEmp,$C245,OverComp,T$5,OverDate,"&lt;"&amp;DATE(YEAR($AC245),MONTH($AC245)+1,1),OverEnd,"&gt;="&amp;DATE(YEAR($AC245),MONTH($AC245),1))&gt;0,SUMIFS(OverValue,OverEmp,$C245,OverComp,T$5,OverDate,"&lt;"&amp;DATE(YEAR($AC245),MONTH($AC245)+1,1),OverEnd,"&gt;="&amp;DATE(YEAR($AC245),MONTH($AC245),1)),IF(OR(T$2="Fixed",T$2="Not Used"),(OFFSET(Setup!$E$81,MATCH(T$5,CompListItem,0),0,1,1)*$AA245)-SUMIFS(OFFSET(T$6,1,0,PayCount,1),PayDate,"&lt;"&amp;$AC245,PayEmp,$C245),IF(ISNA(MATCH(T$2,DedListItem,0))=FALSE,(SUMPRODUCT((PayEmp=$C245)*(PayDate&lt;=$AC245)*(PayDedList=T$2)*(PayDedValues))*OFFSET(Setup!$E$81,MATCH(T$5,CompListItem,0),0,1,1))-SUMIFS(OFFSET(T$6,1,0,PayCount,1),PayDate,"&lt;"&amp;$AC245,PayEmp,$C245),(MIN(IF(OFFSET(Setup!$G$81,MATCH(T$5,CompListItem,0),0,1,1)="Taxable",SUMPRODUCT((PayEmp=$C245)*(PayDate&lt;=$AC245)*(ISERROR(SEARCH(PayEarnCode,T$4)))*(PayEarnTax)*(PayEarnValues)),SUMPRODUCT((PayEmp=$C245)*(PayDate&lt;=$AC245)*(ISERROR(SEARCH(PayEarnCode,T$4)))*(PayEarnValues))),IF(ISNUMBER(T$3),T$3/12*$AA245,IgnoreMin)))*OFFSET(Setup!$E$81,MATCH(T$5,CompListItem,0),0,1,1)-SUMIFS(OFFSET(T$6,1,0,PayCount,1),PayDate,"&lt;"&amp;$AC245,PayEmp,$C245)))))))</f>
        <v>0</v>
      </c>
      <c r="U245" s="133" cm="1">
        <f t="array" aca="1" ref="U245" ca="1">IF($F245="Terminated",0,IF($AA245=0,0,IF(ISNA(MATCH(U$5,CompListItem,0)),0,IF(COUNTIFS(OverEmp,$C245,OverComp,U$5,OverDate,"&lt;"&amp;DATE(YEAR($AC245),MONTH($AC245)+1,1),OverEnd,"&gt;="&amp;DATE(YEAR($AC245),MONTH($AC245),1))&gt;0,SUMIFS(OverValue,OverEmp,$C245,OverComp,U$5,OverDate,"&lt;"&amp;DATE(YEAR($AC245),MONTH($AC245)+1,1),OverEnd,"&gt;="&amp;DATE(YEAR($AC245),MONTH($AC245),1)),IF(OR(U$2="Fixed",U$2="Not Used"),(OFFSET(Setup!$E$81,MATCH(U$5,CompListItem,0),0,1,1)*$AA245)-SUMIFS(OFFSET(U$6,1,0,PayCount,1),PayDate,"&lt;"&amp;$AC245,PayEmp,$C245),IF(ISNA(MATCH(U$2,DedListItem,0))=FALSE,(SUMPRODUCT((PayEmp=$C245)*(PayDate&lt;=$AC245)*(PayDedList=U$2)*(PayDedValues))*OFFSET(Setup!$E$81,MATCH(U$5,CompListItem,0),0,1,1))-SUMIFS(OFFSET(U$6,1,0,PayCount,1),PayDate,"&lt;"&amp;$AC245,PayEmp,$C245),(MIN(IF(OFFSET(Setup!$G$81,MATCH(U$5,CompListItem,0),0,1,1)="Taxable",SUMPRODUCT((PayEmp=$C245)*(PayDate&lt;=$AC245)*(ISERROR(SEARCH(PayEarnCode,U$4)))*(PayEarnTax)*(PayEarnValues)),SUMPRODUCT((PayEmp=$C245)*(PayDate&lt;=$AC245)*(ISERROR(SEARCH(PayEarnCode,U$4)))*(PayEarnValues))),IF(ISNUMBER(U$3),U$3/12*$AA245,IgnoreMin)))*OFFSET(Setup!$E$81,MATCH(U$5,CompListItem,0),0,1,1)-SUMIFS(OFFSET(U$6,1,0,PayCount,1),PayDate,"&lt;"&amp;$AC245,PayEmp,$C245)))))))</f>
        <v>0</v>
      </c>
      <c r="V245" s="133" cm="1">
        <f t="array" aca="1" ref="V245" ca="1">IF($F245="Terminated",0,IF($AA245=0,0,IF(ISNA(MATCH(V$5,CompListItem,0)),0,IF(COUNTIFS(OverEmp,$C245,OverComp,V$5,OverDate,"&lt;"&amp;DATE(YEAR($AC245),MONTH($AC245)+1,1),OverEnd,"&gt;="&amp;DATE(YEAR($AC245),MONTH($AC245),1))&gt;0,SUMIFS(OverValue,OverEmp,$C245,OverComp,V$5,OverDate,"&lt;"&amp;DATE(YEAR($AC245),MONTH($AC245)+1,1),OverEnd,"&gt;="&amp;DATE(YEAR($AC245),MONTH($AC245),1)),IF(OR(V$2="Fixed",V$2="Not Used"),(OFFSET(Setup!$E$81,MATCH(V$5,CompListItem,0),0,1,1)*$AA245)-SUMIFS(OFFSET(V$6,1,0,PayCount,1),PayDate,"&lt;"&amp;$AC245,PayEmp,$C245),IF(ISNA(MATCH(V$2,DedListItem,0))=FALSE,(SUMPRODUCT((PayEmp=$C245)*(PayDate&lt;=$AC245)*(PayDedList=V$2)*(PayDedValues))*OFFSET(Setup!$E$81,MATCH(V$5,CompListItem,0),0,1,1))-SUMIFS(OFFSET(V$6,1,0,PayCount,1),PayDate,"&lt;"&amp;$AC245,PayEmp,$C245),(MIN(IF(OFFSET(Setup!$G$81,MATCH(V$5,CompListItem,0),0,1,1)="Taxable",SUMPRODUCT((PayEmp=$C245)*(PayDate&lt;=$AC245)*(ISERROR(SEARCH(PayEarnCode,V$4)))*(PayEarnTax)*(PayEarnValues)),SUMPRODUCT((PayEmp=$C245)*(PayDate&lt;=$AC245)*(ISERROR(SEARCH(PayEarnCode,V$4)))*(PayEarnValues))),IF(ISNUMBER(V$3),V$3/12*$AA245,IgnoreMin)))*OFFSET(Setup!$E$81,MATCH(V$5,CompListItem,0),0,1,1)-SUMIFS(OFFSET(V$6,1,0,PayCount,1),PayDate,"&lt;"&amp;$AC245,PayEmp,$C245)))))))</f>
        <v>0</v>
      </c>
      <c r="W245" s="133" cm="1">
        <f t="array" aca="1" ref="W245" ca="1">IF($F245="Terminated",0,IF($AA245=0,0,IF(ISNA(MATCH(W$5,CompListItem,0)),0,IF(COUNTIFS(OverEmp,$C245,OverComp,W$5,OverDate,"&lt;"&amp;DATE(YEAR($AC245),MONTH($AC245)+1,1),OverEnd,"&gt;="&amp;DATE(YEAR($AC245),MONTH($AC245),1))&gt;0,SUMIFS(OverValue,OverEmp,$C245,OverComp,W$5,OverDate,"&lt;"&amp;DATE(YEAR($AC245),MONTH($AC245)+1,1),OverEnd,"&gt;="&amp;DATE(YEAR($AC245),MONTH($AC245),1)),IF(OR(W$2="Fixed",W$2="Not Used"),(OFFSET(Setup!$E$81,MATCH(W$5,CompListItem,0),0,1,1)*$AA245)-SUMIFS(OFFSET(W$6,1,0,PayCount,1),PayDate,"&lt;"&amp;$AC245,PayEmp,$C245),IF(ISNA(MATCH(W$2,DedListItem,0))=FALSE,(SUMPRODUCT((PayEmp=$C245)*(PayDate&lt;=$AC245)*(PayDedList=W$2)*(PayDedValues))*OFFSET(Setup!$E$81,MATCH(W$5,CompListItem,0),0,1,1))-SUMIFS(OFFSET(W$6,1,0,PayCount,1),PayDate,"&lt;"&amp;$AC245,PayEmp,$C245),(MIN(IF(OFFSET(Setup!$G$81,MATCH(W$5,CompListItem,0),0,1,1)="Taxable",SUMPRODUCT((PayEmp=$C245)*(PayDate&lt;=$AC245)*(ISERROR(SEARCH(PayEarnCode,W$4)))*(PayEarnTax)*(PayEarnValues)),SUMPRODUCT((PayEmp=$C245)*(PayDate&lt;=$AC245)*(ISERROR(SEARCH(PayEarnCode,W$4)))*(PayEarnValues))),IF(ISNUMBER(W$3),W$3/12*$AA245,IgnoreMin)))*OFFSET(Setup!$E$81,MATCH(W$5,CompListItem,0),0,1,1)-SUMIFS(OFFSET(W$6,1,0,PayCount,1),PayDate,"&lt;"&amp;$AC245,PayEmp,$C245)))))))</f>
        <v>0</v>
      </c>
      <c r="X245" s="185">
        <f t="shared" ca="1" si="155"/>
        <v>0</v>
      </c>
      <c r="Y245" s="139">
        <f t="shared" ca="1" si="156"/>
        <v>0</v>
      </c>
      <c r="Z245" s="139">
        <f t="shared" ca="1" si="157"/>
        <v>0</v>
      </c>
      <c r="AA245" s="146">
        <f ca="1">IF(OR($B245&lt;=Setup!$E$12,$B245&gt;=Setup!$D$12+1),0,IF($F245&lt;&gt;"Active",0,IF($AE245="Yes",$AB245,((YEAR($AC245)*12)+MONTH($AC245))-((YEAR($AD245)*12)+MONTH($AD245)-1))))</f>
        <v>0</v>
      </c>
      <c r="AB245" s="146">
        <f ca="1">IF(OR($B245&lt;=Setup!$E$12,$B245&gt;=Setup!$D$12+1),0,((YEAR($AC245)*12)+MONTH($AC245))-((YEAR(Setup!$E$12)*12)+MONTH(Setup!$E$12)))</f>
        <v>12</v>
      </c>
      <c r="AC245" s="186">
        <f t="shared" ca="1" si="158"/>
        <v>45351</v>
      </c>
      <c r="AD245" s="144">
        <f ca="1">IF(ISNA(VLOOKUP($C245,EmpAll,COLUMN(Emp!$E$4),0)),$AC245,IF(VLOOKUP($C245,EmpAll,COLUMN(Emp!$E$4),0)&lt;=Setup!$E$12,DATE(YEAR(Setup!$E$12),MONTH(Setup!$E$12)+1,1),VLOOKUP($C245,EmpAll,COLUMN(Emp!$E$4),0)))</f>
        <v>45351</v>
      </c>
      <c r="AE245" s="144" t="str">
        <f ca="1">IF(ISNA(VLOOKUP($C245,EmpAll,COLUMN(Emp!$G$1),0)),"-",IF(VLOOKUP($C245,EmpAll,COLUMN(Emp!$G$1),0)=0,"-",VLOOKUP($C245,EmpAll,COLUMN(Emp!$G$1),0)))</f>
        <v>-</v>
      </c>
      <c r="AF245" s="145">
        <f>IF(A245=PaySlip!$G$3,1,0)</f>
        <v>0</v>
      </c>
      <c r="AG245" s="130" cm="1">
        <f t="array" aca="1" ref="AG245" ca="1">IF(COUNTIFS(OverEmp,$C245,OverMed,"MED",OverDate,"&lt;"&amp;DATE(YEAR($AC245),MONTH($AC245)+1,1),OverEnd,"&gt;="&amp;DATE(YEAR($AC245),MONTH($AC245),1))&gt;0,SUMIFS(OverValue,OverEmp,$C245,OverMed,"MED",OverDate,"&lt;"&amp;DATE(YEAR($AC245),MONTH($AC245)+1,1),OverEnd,"&gt;="&amp;DATE(YEAR($AC245),MONTH($AC245),1)),IF(ISNA(VLOOKUP($C245,EmpAll,COLUMN(Emp!$N$4),0)),0,VLOOKUP($C245,EmpAll,COLUMN(Emp!$N$4),0)))</f>
        <v>0</v>
      </c>
      <c r="AH245" s="146">
        <f ca="1">VLOOKUP($AG245,MedList,COLUMN(Setup!$C$49),1)</f>
        <v>0</v>
      </c>
      <c r="AI245" s="146">
        <f t="shared" ca="1" si="107"/>
        <v>0</v>
      </c>
      <c r="AJ245" s="101" t="str">
        <f ca="1">IF(ISNA(VLOOKUP($C245,EmpAll,COLUMN(Emp!$L$4),0)),"None!",VLOOKUP($C245,EmpAll,COLUMN(Emp!$L$4),0))</f>
        <v>None!</v>
      </c>
      <c r="AK245" s="147">
        <f ca="1">IF(ISNA(VLOOKUP($AJ245,RebateList,4,0)),VLOOKUP("A",RebateList,3,0),VLOOKUP($AJ245,RebateList,4,0))</f>
        <v>17235</v>
      </c>
      <c r="AL245" s="101" t="str">
        <f ca="1">IF(ISNA(VLOOKUP($C245,Employees[],COLUMN(Emp!$M$4),0))=TRUE,"Error!",IF(VLOOKUP($C245,Employees[],COLUMN(Emp!$M$4),0)=0,"Yes",VLOOKUP($C245,Employees[],COLUMN(Emp!$M$4),0)))</f>
        <v>Error!</v>
      </c>
      <c r="AM245" s="148">
        <f t="shared" ca="1" si="108"/>
        <v>0</v>
      </c>
      <c r="AN245" s="148" cm="1">
        <f t="array" aca="1" ref="AN245" ca="1">-IF($F245="Terminated",0,IF($AA245=0,0,IF(ISNA(MATCH(AN$5,PayDedList,0)),0,MIN(IF(COUNTIFS(OverEmp,$C245,OverDeduct,AN$5,OverDate,"&lt;"&amp;DATE(YEAR($AC245),MONTH($AC245)+1,1),OverEnd,"&gt;="&amp;DATE(YEAR($AC245),MONTH($AC245),1))&gt;0,SUMPRODUCT((PayEmp=$C245)*(PayDate&lt;=$AC245)*(OFFSET($N$6,1,MATCH(AN$5,PayDedList,0)-1,PayCount,1)))/$AA245*12*AN$3,IF(OR(AN$1="Fixed",AN$1="Not Used"),SUMPRODUCT((PayEmp=$C245)*(PayDate&lt;=$AC245)*(OFFSET($N$6,1,MATCH(AN$5,PayDedList,0)-1,PayCount,1)))/$AA245*12*AN$3,IF(ISNA(MATCH(AN$1,EarnListItem,0))=FALSE,SUMPRODUCT((PayEmp=$C245)*(PayDate&lt;=$AC245)*(OFFSET($N$6,1,MATCH(AN$5,PayDedList,0)-1,PayCount,1)))/$AA245*12*AN$3,(MIN(((SUMPRODUCT((PayEmp=$C245)*(PayDate&lt;=$AC245)*(ISERROR(SEARCH(PayEarnCode,AN$2)))*(PayEarnType="Monthly")*(PayEarnValues))/$AA245*12)+(SUMPRODUCT((PayEmp=$C245)*(PayDate&lt;=$AC245)*(ISERROR(SEARCH(PayEarnCode,AN$2)))*(PayEarnType="Quarterly")*(PayEarnValues))/MAX(1,ROUNDDOWN($AB245/3,0))*4)+(SUMPRODUCT((PayEmp=$C245)*(PayDate&lt;=$AC245)*(ISERROR(SEARCH(PayEarnCode,AN$2)))*(PayEarnType="Bi-Annual")*(PayEarnValues))/MAX(1,ROUNDDOWN($AB245/6,0))*2)+(SUMPRODUCT((PayEmp=$C245)*(PayDate&lt;=$AC245)*(ISERROR(SEARCH(PayEarnCode,AN$2)))*(PayEarnType="Annual")*(PayEarnValues)))),IF(ISNUMBER(OFFSET($N$3,0,MATCH(AN$5,PayDedList,0)-1,1,1)),OFFSET($N$3,0,MATCH(AN$5,PayDedList,0)-1,1,1),IgnoreMin)))*IF(COUNTIFS(EmpNo,$C245,OFFSET(Emp!$R$4,1,MATCH(AN$5,DedListItem,0)-1,EmpCount,1),"&lt;&gt;")&gt;0,VLOOKUP($C245,EmpAll,COLUMN(Emp!$R$4)+MATCH(AN$5,DedListItem,0)-1,0),OFFSET(Setup!$E$73,MATCH(AN$5,DedListItem,0),0,1,1))*AN$3))),IF(ISNUMBER(AN$4),AN$4,IgnoreMin)))))</f>
        <v>0</v>
      </c>
      <c r="AO245" s="148" cm="1">
        <f t="array" aca="1" ref="AO245" ca="1">-IF($F245="Terminated",0,IF($AA245=0,0,IF(ISNA(MATCH(AO$5,PayDedList,0)),0,MIN(IF(COUNTIFS(OverEmp,$C245,OverDeduct,AO$5,OverDate,"&lt;"&amp;DATE(YEAR($AC245),MONTH($AC245)+1,1),OverEnd,"&gt;="&amp;DATE(YEAR($AC245),MONTH($AC245),1))&gt;0,SUMPRODUCT((PayEmp=$C245)*(PayDate&lt;=$AC245)*(OFFSET($N$6,1,MATCH(AO$5,PayDedList,0)-1,PayCount,1)))/$AA245*12*AO$3,IF(OR(AO$1="Fixed",AO$1="Not Used"),SUMPRODUCT((PayEmp=$C245)*(PayDate&lt;=$AC245)*(OFFSET($N$6,1,MATCH(AO$5,PayDedList,0)-1,PayCount,1)))/$AA245*12*AO$3,IF(ISNA(MATCH(AO$1,EarnListItem,0))=FALSE,SUMPRODUCT((PayEmp=$C245)*(PayDate&lt;=$AC245)*(OFFSET($N$6,1,MATCH(AO$5,PayDedList,0)-1,PayCount,1)))/$AA245*12*AO$3,(MIN(((SUMPRODUCT((PayEmp=$C245)*(PayDate&lt;=$AC245)*(ISERROR(SEARCH(PayEarnCode,AO$2)))*(PayEarnType="Monthly")*(PayEarnValues))/$AA245*12)+(SUMPRODUCT((PayEmp=$C245)*(PayDate&lt;=$AC245)*(ISERROR(SEARCH(PayEarnCode,AO$2)))*(PayEarnType="Quarterly")*(PayEarnValues))/MAX(1,ROUNDDOWN($AB245/3,0))*4)+(SUMPRODUCT((PayEmp=$C245)*(PayDate&lt;=$AC245)*(ISERROR(SEARCH(PayEarnCode,AO$2)))*(PayEarnType="Bi-Annual")*(PayEarnValues))/MAX(1,ROUNDDOWN($AB245/6,0))*2)+(SUMPRODUCT((PayEmp=$C245)*(PayDate&lt;=$AC245)*(ISERROR(SEARCH(PayEarnCode,AO$2)))*(PayEarnType="Annual")*(PayEarnValues)))),IF(ISNUMBER(OFFSET($N$3,0,MATCH(AO$5,PayDedList,0)-1,1,1)),OFFSET($N$3,0,MATCH(AO$5,PayDedList,0)-1,1,1),IgnoreMin)))*IF(COUNTIFS(EmpNo,$C245,OFFSET(Emp!$R$4,1,MATCH(AO$5,DedListItem,0)-1,EmpCount,1),"&lt;&gt;")&gt;0,VLOOKUP($C245,EmpAll,COLUMN(Emp!$R$4)+MATCH(AO$5,DedListItem,0)-1,0),OFFSET(Setup!$E$73,MATCH(AO$5,DedListItem,0),0,1,1))*AO$3))),IF(ISNUMBER(AO$4),AO$4,IgnoreMin)))))</f>
        <v>0</v>
      </c>
      <c r="AP245" s="148" cm="1">
        <f t="array" aca="1" ref="AP245" ca="1">-IF($F245="Terminated",0,IF($AA245=0,0,IF(ISNA(MATCH(AP$5,PayDedList,0)),0,MIN(IF(COUNTIFS(OverEmp,$C245,OverDeduct,AP$5,OverDate,"&lt;"&amp;DATE(YEAR($AC245),MONTH($AC245)+1,1),OverEnd,"&gt;="&amp;DATE(YEAR($AC245),MONTH($AC245),1))&gt;0,SUMPRODUCT((PayEmp=$C245)*(PayDate&lt;=$AC245)*(OFFSET($N$6,1,MATCH(AP$5,PayDedList,0)-1,PayCount,1)))/$AA245*12*AP$3,IF(OR(AP$1="Fixed",AP$1="Not Used"),SUMPRODUCT((PayEmp=$C245)*(PayDate&lt;=$AC245)*(OFFSET($N$6,1,MATCH(AP$5,PayDedList,0)-1,PayCount,1)))/$AA245*12*AP$3,IF(ISNA(MATCH(AP$1,EarnListItem,0))=FALSE,SUMPRODUCT((PayEmp=$C245)*(PayDate&lt;=$AC245)*(OFFSET($N$6,1,MATCH(AP$5,PayDedList,0)-1,PayCount,1)))/$AA245*12*AP$3,(MIN(((SUMPRODUCT((PayEmp=$C245)*(PayDate&lt;=$AC245)*(ISERROR(SEARCH(PayEarnCode,AP$2)))*(PayEarnType="Monthly")*(PayEarnValues))/$AA245*12)+(SUMPRODUCT((PayEmp=$C245)*(PayDate&lt;=$AC245)*(ISERROR(SEARCH(PayEarnCode,AP$2)))*(PayEarnType="Quarterly")*(PayEarnValues))/MAX(1,ROUNDDOWN($AB245/3,0))*4)+(SUMPRODUCT((PayEmp=$C245)*(PayDate&lt;=$AC245)*(ISERROR(SEARCH(PayEarnCode,AP$2)))*(PayEarnType="Bi-Annual")*(PayEarnValues))/MAX(1,ROUNDDOWN($AB245/6,0))*2)+(SUMPRODUCT((PayEmp=$C245)*(PayDate&lt;=$AC245)*(ISERROR(SEARCH(PayEarnCode,AP$2)))*(PayEarnType="Annual")*(PayEarnValues)))),IF(ISNUMBER(OFFSET($N$3,0,MATCH(AP$5,PayDedList,0)-1,1,1)),OFFSET($N$3,0,MATCH(AP$5,PayDedList,0)-1,1,1),IgnoreMin)))*IF(COUNTIFS(EmpNo,$C245,OFFSET(Emp!$R$4,1,MATCH(AP$5,DedListItem,0)-1,EmpCount,1),"&lt;&gt;")&gt;0,VLOOKUP($C245,EmpAll,COLUMN(Emp!$R$4)+MATCH(AP$5,DedListItem,0)-1,0),OFFSET(Setup!$E$73,MATCH(AP$5,DedListItem,0),0,1,1))*AP$3))),IF(ISNUMBER(AP$4),AP$4,IgnoreMin)))))</f>
        <v>0</v>
      </c>
      <c r="AQ245" s="148" cm="1">
        <f t="array" aca="1" ref="AQ245" ca="1">-IF($F245="Terminated",0,IF($AA245=0,0,IF(ISNA(MATCH(AQ$5,PayDedList,0)),0,MIN(IF(COUNTIFS(OverEmp,$C245,OverDeduct,AQ$5,OverDate,"&lt;"&amp;DATE(YEAR($AC245),MONTH($AC245)+1,1),OverEnd,"&gt;="&amp;DATE(YEAR($AC245),MONTH($AC245),1))&gt;0,SUMPRODUCT((PayEmp=$C245)*(PayDate&lt;=$AC245)*(OFFSET($N$6,1,MATCH(AQ$5,PayDedList,0)-1,PayCount,1)))/$AA245*12*AQ$3,IF(OR(AQ$1="Fixed",AQ$1="Not Used"),SUMPRODUCT((PayEmp=$C245)*(PayDate&lt;=$AC245)*(OFFSET($N$6,1,MATCH(AQ$5,PayDedList,0)-1,PayCount,1)))/$AA245*12*AQ$3,IF(ISNA(MATCH(AQ$1,EarnListItem,0))=FALSE,SUMPRODUCT((PayEmp=$C245)*(PayDate&lt;=$AC245)*(OFFSET($N$6,1,MATCH(AQ$5,PayDedList,0)-1,PayCount,1)))/$AA245*12*AQ$3,(MIN(((SUMPRODUCT((PayEmp=$C245)*(PayDate&lt;=$AC245)*(ISERROR(SEARCH(PayEarnCode,AQ$2)))*(PayEarnType="Monthly")*(PayEarnValues))/$AA245*12)+(SUMPRODUCT((PayEmp=$C245)*(PayDate&lt;=$AC245)*(ISERROR(SEARCH(PayEarnCode,AQ$2)))*(PayEarnType="Quarterly")*(PayEarnValues))/MAX(1,ROUNDDOWN($AB245/3,0))*4)+(SUMPRODUCT((PayEmp=$C245)*(PayDate&lt;=$AC245)*(ISERROR(SEARCH(PayEarnCode,AQ$2)))*(PayEarnType="Bi-Annual")*(PayEarnValues))/MAX(1,ROUNDDOWN($AB245/6,0))*2)+(SUMPRODUCT((PayEmp=$C245)*(PayDate&lt;=$AC245)*(ISERROR(SEARCH(PayEarnCode,AQ$2)))*(PayEarnType="Annual")*(PayEarnValues)))),IF(ISNUMBER(OFFSET($N$3,0,MATCH(AQ$5,PayDedList,0)-1,1,1)),OFFSET($N$3,0,MATCH(AQ$5,PayDedList,0)-1,1,1),IgnoreMin)))*IF(COUNTIFS(EmpNo,$C245,OFFSET(Emp!$R$4,1,MATCH(AQ$5,DedListItem,0)-1,EmpCount,1),"&lt;&gt;")&gt;0,VLOOKUP($C245,EmpAll,COLUMN(Emp!$R$4)+MATCH(AQ$5,DedListItem,0)-1,0),OFFSET(Setup!$E$73,MATCH(AQ$5,DedListItem,0),0,1,1))*AQ$3))),IF(ISNUMBER(AQ$4),AQ$4,IgnoreMin)))))</f>
        <v>0</v>
      </c>
      <c r="AR245" s="148">
        <f t="shared" ca="1" si="159"/>
        <v>0</v>
      </c>
      <c r="AS245" s="148">
        <f t="shared" ca="1" si="109"/>
        <v>0</v>
      </c>
      <c r="AT245" s="148" cm="1">
        <f t="array" aca="1" ref="AT245" ca="1">-IF($F245="Terminated",0,IF($AA245=0,0,IF(ISNA(MATCH(AT$5,PayDedList,0)),0,MIN(IF(COUNTIFS(OverEmp,$C245,OverDeduct,AT$5,OverDate,"&lt;"&amp;DATE(YEAR($AC245),MONTH($AC245)+1,1),OverEnd,"&gt;="&amp;DATE(YEAR($AC245),MONTH($AC245),1))&gt;0,SUMPRODUCT((PayEmp=$C245)*(PayDate&lt;=$AC245)*(OFFSET($N$6,1,MATCH(AT$5,PayDedList,0)-1,PayCount,1)))/$AA245*12*AT$3,IF(OR(AT$1="Fixed",AT$1="Not Used"),SUMPRODUCT((PayEmp=$C245)*(PayDate&lt;=$AC245)*(OFFSET($N$6,1,MATCH(AT$5,PayDedList,0)-1,PayCount,1)))/$AA245*12*AT$3,IF(ISNA(MATCH(OFFSET($N$2,0,MATCH(AT$5,PayDedList,0)-1,1,1),EarnListItem,0))=FALSE,SUMPRODUCT((PayEmp=$C245)*(PayDate&lt;=$AC245)*(OFFSET($N$6,1,MATCH(AT$5,PayDedList,0)-1,PayCount,1)))/$AA245*12*AT$3,(MIN(SUMPRODUCT((PayEmp=$C245)*(PayDate&lt;=$AC245)*(ISERROR(SEARCH(PayEarnCode,AT$2)))*(PayEarnType="Monthly")*(PayEarnValues))/$AA245*12,IF(ISNUMBER(OFFSET($N$3,0,MATCH(AT$5,PayDedList,0)-1,1,1)),OFFSET($N$3,0,MATCH(AT$5,PayDedList,0)-1,1,1),IgnoreMin)))*IF(COUNTIFS(EmpNo,$C245,OFFSET(Emp!$R$4,1,MATCH(AT$5,DedListItem,0)-1,EmpCount,1),"&lt;&gt;")&gt;0,VLOOKUP($C245,EmpAll,COLUMN(Emp!$R$4)+MATCH(AT$5,DedListItem,0)-1,0),OFFSET(Setup!$E$73,MATCH(AT$5,DedListItem,0),0,1,1))*AT$3))),IF(ISNUMBER(AT$4),AT$4,IgnoreMin)))))</f>
        <v>0</v>
      </c>
      <c r="AU245" s="148" cm="1">
        <f t="array" aca="1" ref="AU245" ca="1">-IF($F245="Terminated",0,IF($AA245=0,0,IF(ISNA(MATCH(AU$5,PayDedList,0)),0,MIN(IF(COUNTIFS(OverEmp,$C245,OverDeduct,AU$5,OverDate,"&lt;"&amp;DATE(YEAR($AC245),MONTH($AC245)+1,1),OverEnd,"&gt;="&amp;DATE(YEAR($AC245),MONTH($AC245),1))&gt;0,SUMPRODUCT((PayEmp=$C245)*(PayDate&lt;=$AC245)*(OFFSET($N$6,1,MATCH(AU$5,PayDedList,0)-1,PayCount,1)))/$AA245*12*AU$3,IF(OR(AU$1="Fixed",AU$1="Not Used"),SUMPRODUCT((PayEmp=$C245)*(PayDate&lt;=$AC245)*(OFFSET($N$6,1,MATCH(AU$5,PayDedList,0)-1,PayCount,1)))/$AA245*12*AU$3,IF(ISNA(MATCH(OFFSET($N$2,0,MATCH(AU$5,PayDedList,0)-1,1,1),EarnListItem,0))=FALSE,SUMPRODUCT((PayEmp=$C245)*(PayDate&lt;=$AC245)*(OFFSET($N$6,1,MATCH(AU$5,PayDedList,0)-1,PayCount,1)))/$AA245*12*AU$3,(MIN(SUMPRODUCT((PayEmp=$C245)*(PayDate&lt;=$AC245)*(ISERROR(SEARCH(PayEarnCode,AU$2)))*(PayEarnType="Monthly")*(PayEarnValues))/$AA245*12,IF(ISNUMBER(OFFSET($N$3,0,MATCH(AU$5,PayDedList,0)-1,1,1)),OFFSET($N$3,0,MATCH(AU$5,PayDedList,0)-1,1,1),IgnoreMin)))*IF(COUNTIFS(EmpNo,$C245,OFFSET(Emp!$R$4,1,MATCH(AU$5,DedListItem,0)-1,EmpCount,1),"&lt;&gt;")&gt;0,VLOOKUP($C245,EmpAll,COLUMN(Emp!$R$4)+MATCH(AU$5,DedListItem,0)-1,0),OFFSET(Setup!$E$73,MATCH(AU$5,DedListItem,0),0,1,1))*AU$3))),IF(ISNUMBER(AU$4),AU$4,IgnoreMin)))))</f>
        <v>0</v>
      </c>
      <c r="AV245" s="148" cm="1">
        <f t="array" aca="1" ref="AV245" ca="1">-IF($F245="Terminated",0,IF($AA245=0,0,IF(ISNA(MATCH(AV$5,PayDedList,0)),0,MIN(IF(COUNTIFS(OverEmp,$C245,OverDeduct,AV$5,OverDate,"&lt;"&amp;DATE(YEAR($AC245),MONTH($AC245)+1,1),OverEnd,"&gt;="&amp;DATE(YEAR($AC245),MONTH($AC245),1))&gt;0,SUMPRODUCT((PayEmp=$C245)*(PayDate&lt;=$AC245)*(OFFSET($N$6,1,MATCH(AV$5,PayDedList,0)-1,PayCount,1)))/$AA245*12*AV$3,IF(OR(AV$1="Fixed",AV$1="Not Used"),SUMPRODUCT((PayEmp=$C245)*(PayDate&lt;=$AC245)*(OFFSET($N$6,1,MATCH(AV$5,PayDedList,0)-1,PayCount,1)))/$AA245*12*AV$3,IF(ISNA(MATCH(OFFSET($N$2,0,MATCH(AV$5,PayDedList,0)-1,1,1),EarnListItem,0))=FALSE,SUMPRODUCT((PayEmp=$C245)*(PayDate&lt;=$AC245)*(OFFSET($N$6,1,MATCH(AV$5,PayDedList,0)-1,PayCount,1)))/$AA245*12*AV$3,(MIN(SUMPRODUCT((PayEmp=$C245)*(PayDate&lt;=$AC245)*(ISERROR(SEARCH(PayEarnCode,AV$2)))*(PayEarnType="Monthly")*(PayEarnValues))/$AA245*12,IF(ISNUMBER(OFFSET($N$3,0,MATCH(AV$5,PayDedList,0)-1,1,1)),OFFSET($N$3,0,MATCH(AV$5,PayDedList,0)-1,1,1),IgnoreMin)))*IF(COUNTIFS(EmpNo,$C245,OFFSET(Emp!$R$4,1,MATCH(AV$5,DedListItem,0)-1,EmpCount,1),"&lt;&gt;")&gt;0,VLOOKUP($C245,EmpAll,COLUMN(Emp!$R$4)+MATCH(AV$5,DedListItem,0)-1,0),OFFSET(Setup!$E$73,MATCH(AV$5,DedListItem,0),0,1,1))*AV$3))),IF(ISNUMBER(AV$4),AV$4,IgnoreMin)))))</f>
        <v>0</v>
      </c>
      <c r="AW245" s="148" cm="1">
        <f t="array" aca="1" ref="AW245" ca="1">-IF($F245="Terminated",0,IF($AA245=0,0,IF(ISNA(MATCH(AW$5,PayDedList,0)),0,MIN(IF(COUNTIFS(OverEmp,$C245,OverDeduct,AW$5,OverDate,"&lt;"&amp;DATE(YEAR($AC245),MONTH($AC245)+1,1),OverEnd,"&gt;="&amp;DATE(YEAR($AC245),MONTH($AC245),1))&gt;0,SUMPRODUCT((PayEmp=$C245)*(PayDate&lt;=$AC245)*(OFFSET($N$6,1,MATCH(AW$5,PayDedList,0)-1,PayCount,1)))/$AA245*12*AW$3,IF(OR(AW$1="Fixed",AW$1="Not Used"),SUMPRODUCT((PayEmp=$C245)*(PayDate&lt;=$AC245)*(OFFSET($N$6,1,MATCH(AW$5,PayDedList,0)-1,PayCount,1)))/$AA245*12*AW$3,IF(ISNA(MATCH(OFFSET($N$2,0,MATCH(AW$5,PayDedList,0)-1,1,1),EarnListItem,0))=FALSE,SUMPRODUCT((PayEmp=$C245)*(PayDate&lt;=$AC245)*(OFFSET($N$6,1,MATCH(AW$5,PayDedList,0)-1,PayCount,1)))/$AA245*12*AW$3,(MIN(SUMPRODUCT((PayEmp=$C245)*(PayDate&lt;=$AC245)*(ISERROR(SEARCH(PayEarnCode,AW$2)))*(PayEarnType="Monthly")*(PayEarnValues))/$AA245*12,IF(ISNUMBER(OFFSET($N$3,0,MATCH(AW$5,PayDedList,0)-1,1,1)),OFFSET($N$3,0,MATCH(AW$5,PayDedList,0)-1,1,1),IgnoreMin)))*IF(COUNTIFS(EmpNo,$C245,OFFSET(Emp!$R$4,1,MATCH(AW$5,DedListItem,0)-1,EmpCount,1),"&lt;&gt;")&gt;0,VLOOKUP($C245,EmpAll,COLUMN(Emp!$R$4)+MATCH(AW$5,DedListItem,0)-1,0),OFFSET(Setup!$E$73,MATCH(AW$5,DedListItem,0),0,1,1))*AW$3))),IF(ISNUMBER(AW$4),AW$4,IgnoreMin)))))</f>
        <v>0</v>
      </c>
      <c r="AX245" s="148">
        <f t="shared" ca="1" si="160"/>
        <v>0</v>
      </c>
      <c r="AY245" s="148">
        <f t="shared" ca="1" si="161"/>
        <v>0</v>
      </c>
      <c r="AZ245" s="148">
        <f ca="1">IF(ISNUMBER($AL245),($AR245*$AL245)-$AI245-$AK245,MAX(0,IF($AL245="B",IF($AR245&lt;Setup!$C$32,($AR245*Setup!$D$32)-$AI245-$AK245,(($AR245-VLOOKUP($AR245,TaxAll2,1,1))*OFFSET(Setup!$D$32,MATCH($AR245,TaxBracket2,1),0,1,1))+OFFSET(Setup!$E$31,MATCH($AR245,TaxBracket2,1),0,1,1)-$AI245-$AK245),IF($AR245&lt;Setup!$C$21,($AR245*Setup!$D$21)-$AI245-$AK245,(($AR245-VLOOKUP($AR245,TaxAll1,1,1))*OFFSET(Setup!$D$21,MATCH($AR245,TaxBracket1,1),0,1,1))+OFFSET(Setup!$E$20,MATCH($AR245,TaxBracket1,1),0,1,1)-$AI245-$AK245))))</f>
        <v>0</v>
      </c>
      <c r="BA245" s="148">
        <f ca="1">IF(ISNUMBER($AL245),($AX245*$AL245)-$AI245-$AK245,MAX(0,IF($AL245="B",IF($AX245&lt;Setup!$C$32,($AX245*Setup!$D$32)-$AI245-$AK245,(($AX245-VLOOKUP($AX245,TaxAll2,1,1))*OFFSET(Setup!$D$32,MATCH($AX245,TaxBracket2,1),0,1,1))+OFFSET(Setup!$E$31,MATCH($AX245,TaxBracket2,1),0,1,1)-$AI245-$AK245),IF($AX245&lt;Setup!$C$21,($AX245*Setup!$D$21)-$AI245-$AK245,(($AX245-VLOOKUP($AX245,TaxAll1,1,1))*OFFSET(Setup!$D$21,MATCH($AX245,TaxBracket1,1),0,1,1))+OFFSET(Setup!$E$20,MATCH($AX245,TaxBracket1,1),0,1,1)-$AI245-$AK245))))</f>
        <v>0</v>
      </c>
      <c r="BB245" s="148">
        <f t="shared" ca="1" si="162"/>
        <v>0</v>
      </c>
      <c r="BC245" s="150">
        <f t="shared" ca="1" si="110"/>
        <v>0</v>
      </c>
      <c r="BD245" s="150">
        <f t="shared" ca="1" si="111"/>
        <v>0</v>
      </c>
      <c r="BE245" s="148">
        <f t="shared" ca="1" si="112"/>
        <v>0</v>
      </c>
    </row>
    <row r="246" spans="1:57" ht="16.149999999999999" customHeight="1" x14ac:dyDescent="0.25">
      <c r="A246" s="10" t="str" cm="1">
        <f t="array" ref="A246">IF(ROW($A246)-ROW($A$6)&gt;EmpCount*12,"-",TEXT($B246,"yyyy")&amp;TEXT($B246,"mm")&amp;"-"&amp;$C246)</f>
        <v>-</v>
      </c>
      <c r="B246" s="137" cm="1">
        <f t="array" aca="1" ref="B246" ca="1">IF(ROW($A246)-ROW($A$6)&gt;EmpCount*12,Setup!$D$12,DATE(YEAR(Setup!$F$12),MONTH(Setup!$F$12)+ROUNDDOWN((ROW($A246)-ROW($A$6)-1)/EmpCount,0),IF(Setup!$C$14&gt;DAY(DATE(YEAR(Setup!$F$12),MONTH(Setup!$F$12)+ROUNDDOWN((ROW($A246)-ROW($A$6)-1)/EmpCount,0)+1,0)),DAY(DATE(YEAR(Setup!$F$12),MONTH(Setup!$F$12)+ROUNDDOWN((ROW($A246)-ROW($A$6)-1)/EmpCount,0)+1,0)),Setup!$C$14)))</f>
        <v>45351</v>
      </c>
      <c r="C246" s="101" t="str" cm="1">
        <f t="array" aca="1" ref="C246" ca="1">IF(ROW($A246)-ROW($A$6)&gt;EmpCount*12,"-",OFFSET(Emp!$A$4,ROW($A246)-ROW($A$6)-IF(ROW($A246)-ROW($A$6)&gt;EmpCount,ROUNDDOWN((ROW($A246)-ROW($A$6)-1)/EmpCount,0)*EmpCount,0),0,1,1))</f>
        <v>-</v>
      </c>
      <c r="D246" s="10" t="str">
        <f ca="1">IF(ISNA(VLOOKUP($C246,EmpAll,COLUMN(Emp!$B$4),0)),"-",VLOOKUP($C246,EmpAll,COLUMN(Emp!$B$4),0))</f>
        <v>-</v>
      </c>
      <c r="E246" s="145" t="str">
        <f ca="1">IF(ISNA(VLOOKUP($C246,EmpAll,COLUMN(Emp!$C$4),0)),"-",VLOOKUP($C246,EmpAll,COLUMN(Emp!$C$4),0))</f>
        <v>-</v>
      </c>
      <c r="F246" s="101" t="str">
        <f ca="1">IF(ISNA(VLOOKUP($C246,EmpAll,COLUMN(Emp!$A$4),0)),"-",IF(AND(VLOOKUP($C246,EmpAll,COLUMN(Emp!$E$4),0)&lt;&gt;0,VLOOKUP($C246,EmpAll,COLUMN(Emp!$E$4),0)&gt;=DATE(YEAR($AC246),MONTH($AC246)+1,0)),"Inactive",IF(AND(VLOOKUP($C246,EmpAll,COLUMN(Emp!$F$4),0)&lt;&gt;0,VLOOKUP($C246,EmpAll,COLUMN(Emp!$F$4),0)&lt;=DATE(YEAR($AC246),MONTH($AC246),0)),"Terminated","Active")))</f>
        <v>-</v>
      </c>
      <c r="G246" s="133" cm="1">
        <f t="array" aca="1" ref="G246" ca="1">IF($F246&lt;&gt;"Active",0,IF(COUNTIFS(OverEmp,$C246,OverEarn,G$2,OverDate,"&lt;"&amp;DATE(YEAR($AC246),MONTH($AC246)+1,1),OverEnd,"&gt;="&amp;DATE(YEAR($AC246),MONTH($AC246),1))&gt;0,SUMIFS(OverValue,OverEmp,$C246,OverEarn,G$2,OverDate,"&lt;"&amp;DATE(YEAR($AC246),MONTH($AC246)+1,1),OverEnd,"&gt;="&amp;DATE(YEAR($AC246),MONTH($AC246),1)),IF(AND($AC246&gt;=Setup!$E$10,SUMIFS(EmpIncrease,EmpCode,$C246)&gt;0),SUMIFS(EmpIncrease,EmpCode,$C246),SUMIFS(EmpSalary,EmpCode,$C246))))</f>
        <v>0</v>
      </c>
      <c r="H246" s="133" cm="1">
        <f t="array" aca="1" ref="H246" ca="1">IF($F246&lt;&gt;"Active",0,IF(COUNTIFS(OverEmp,$C246,OverEarn,H$2,OverDate,"&lt;"&amp;DATE(YEAR($AC246),MONTH($AC246)+1,1),OverEnd,"&gt;="&amp;DATE(YEAR($AC246),MONTH($AC246),1))&gt;0,SUMIFS(OverValue,OverEmp,$C246,OverEarn,H$2,OverDate,"&lt;"&amp;DATE(YEAR($AC246),MONTH($AC246)+1,1),OverEnd,"&gt;="&amp;DATE(YEAR($AC246),MONTH($AC246),1)),0))</f>
        <v>0</v>
      </c>
      <c r="I246" s="133" cm="1">
        <f t="array" aca="1" ref="I246" ca="1">IF($F246&lt;&gt;"Active",0,IF(COUNTIFS(OverEmp,$C246,OverEarn,I$2,OverDate,"&lt;"&amp;DATE(YEAR($AC246),MONTH($AC246)+1,1),OverEnd,"&gt;="&amp;DATE(YEAR($AC246),MONTH($AC246),1))&gt;0,SUMIFS(OverValue,OverEmp,$C246,OverEarn,I$2,OverDate,"&lt;"&amp;DATE(YEAR($AC246),MONTH($AC246)+1,1),OverEnd,"&gt;="&amp;DATE(YEAR($AC246),MONTH($AC246),1)),IF(MONTH(B246)=Setup!$C$15,SUMIFS(EmpBonus,EmpCode,$C246),0)))</f>
        <v>0</v>
      </c>
      <c r="J246" s="133" cm="1">
        <f t="array" aca="1" ref="J246" ca="1">IF($F246&lt;&gt;"Active",0,IF(COUNTIFS(OverEmp,$C246,OverEarn,J$2,OverDate,"&lt;"&amp;DATE(YEAR($AC246),MONTH($AC246)+1,1),OverEnd,"&gt;="&amp;DATE(YEAR($AC246),MONTH($AC246),1))&gt;0,SUMIFS(OverValue,OverEmp,$C246,OverEarn,J$2,OverDate,"&lt;"&amp;DATE(YEAR($AC246),MONTH($AC246)+1,1),OverEnd,"&gt;="&amp;DATE(YEAR($AC246),MONTH($AC246),1)),0))</f>
        <v>0</v>
      </c>
      <c r="K246" s="133" cm="1">
        <f t="array" aca="1" ref="K246" ca="1">IF($F246&lt;&gt;"Active",0,IF(COUNTIFS(OverEmp,$C246,OverEarn,K$2,OverDate,"&lt;"&amp;DATE(YEAR($AC246),MONTH($AC246)+1,1),OverEnd,"&gt;="&amp;DATE(YEAR($AC246),MONTH($AC246),1))&gt;0,SUMIFS(OverValue,OverEmp,$C246,OverEarn,K$2,OverDate,"&lt;"&amp;DATE(YEAR($AC246),MONTH($AC246)+1,1),OverEnd,"&gt;="&amp;DATE(YEAR($AC246),MONTH($AC246),1)),0))</f>
        <v>0</v>
      </c>
      <c r="L246" s="185">
        <f t="shared" ca="1" si="152"/>
        <v>0</v>
      </c>
      <c r="M246" s="182" cm="1">
        <f t="array" aca="1" ref="M246" ca="1">IF(COUNTIFS(OverEmp,$C246,OverTax,M$5,OverDate,"&lt;"&amp;DATE(YEAR($AC246),MONTH($AC246)+1,1),OverEnd,"&gt;="&amp;DATE(YEAR($AC246),MONTH($AC246),1))&gt;0,SUMIFS(OverValue,OverEmp,$C246,OverTax,M$5,OverDate,"&lt;"&amp;DATE(YEAR($AC246),MONTH($AC246)+1,1),OverEnd,"&gt;="&amp;DATE(YEAR($AC246),MONTH($AC246),1)),(($BA246/12*$AA246)+(BB246*IF(1-$BC246=0,0,BD246/(1-$BC246))))-IF($F246="Terminated",0,SUMIFS(PayTaxDeduct,PayDate,"&lt;"&amp;$AC246,PayEmp,$C246)))</f>
        <v>0</v>
      </c>
      <c r="N246" s="133" cm="1">
        <f t="array" aca="1" ref="N246" ca="1">IF($F246="Terminated",0,IF($AA246=0,0,IF(ISNA(MATCH(N$5,DedListItem,0)),0,IF(COUNTIFS(OverEmp,$C246,OverDeduct,N$5,OverDate,"&lt;"&amp;DATE(YEAR($AC246),MONTH($AC246)+1,1),OverEnd,"&gt;="&amp;DATE(YEAR($AC246),MONTH($AC246),1))&gt;0,SUMIFS(OverValue,OverEmp,$C246,OverDeduct,N$5,OverDate,"&lt;"&amp;DATE(YEAR($AC246),MONTH($AC246)+1,1),OverEnd,"&gt;="&amp;DATE(YEAR($AC246),MONTH($AC246),1)),IF(OR(N$2="Fixed",N$2="Not Used"),(IF(COUNTIFS(EmpNo,$C246,OFFSET(Emp!$R$4,1,MATCH(N$5,DedListItem,0)-1,EmpCount,1),"&lt;&gt;")&gt;0,VLOOKUP($C246,EmpAll,COLUMN(Emp!$R$4)+MATCH(N$5,DedListItem,0)-1,0),OFFSET(Setup!$E$73,MATCH(N$5,DedListItem,0),0,1,1))*$AA246)-SUMIFS(OFFSET(N$6,1,0,PayCount,1),PayDate,"&lt;"&amp;$AC246,PayEmp,$C246),IF(ISNA(MATCH(N$2,EarnListItem,0))=FALSE,IF(OFFSET(Setup!$G$73,MATCH(N$5,DedListItem,0),0,1,1)="Taxable",SUMPRODUCT((PayEmp=$C246)*(PayDate&lt;=$AC246)*(PayEarnCode=N$2)*(PayEarnTax)*(PayEarnValues)),SUMPRODUCT((PayEmp=$C246)*(PayDate&lt;=$AC246)*(PayEarnCode=N$2)*(PayEarnValues)))*IF(COUNTIFS(EmpNo,$C246,OFFSET(Emp!$R$4,1,MATCH(N$5,DedListItem,0)-1,EmpCount,1),"&lt;&gt;")&gt;0,VLOOKUP($C246,EmpAll,COLUMN(Emp!$R$4)+MATCH(N$5,DedListItem,0)-1,0),OFFSET(Setup!$E$73,MATCH(N$5,DedListItem,0),0,1,1)),(MIN(IF(OFFSET(Setup!$G$73,MATCH(N$5,DedListItem,0),0,1,1)="Taxable",SUMPRODUCT((PayEmp=$C246)*(PayDate&lt;=$AC246)*(ISERROR(SEARCH(PayEarnCode,N$4)))*(PayEarnTax)*(PayEarnValues)),SUMPRODUCT((PayEmp=$C246)*(PayDate&lt;=$AC246)*(ISERROR(SEARCH(PayEarnCode,N$4)))*(PayEarnValues))),IF(ISNUMBER(N$3),N$3/12*$AA246,IgnoreMin)))*IF(COUNTIFS(EmpNo,$C246,OFFSET(Emp!$R$4,1,MATCH(N$5,DedListItem,0)-1,EmpCount,1),"&lt;&gt;")&gt;0,VLOOKUP($C246,EmpAll,COLUMN(Emp!$R$4)+MATCH(N$5,DedListItem,0)-1,0),OFFSET(Setup!$E$73,MATCH(N$5,DedListItem,0),0,1,1)))-SUMIFS(OFFSET(N$6,1,0,PayCount,1),PayDate,"&lt;"&amp;$AC246,PayEmp,$C246))))))</f>
        <v>0</v>
      </c>
      <c r="O246" s="133" cm="1">
        <f t="array" aca="1" ref="O246" ca="1">IF($F246="Terminated",0,IF($AA246=0,0,IF(ISNA(MATCH(O$5,DedListItem,0)),0,IF(COUNTIFS(OverEmp,$C246,OverDeduct,O$5,OverDate,"&lt;"&amp;DATE(YEAR($AC246),MONTH($AC246)+1,1),OverEnd,"&gt;="&amp;DATE(YEAR($AC246),MONTH($AC246),1))&gt;0,SUMIFS(OverValue,OverEmp,$C246,OverDeduct,O$5,OverDate,"&lt;"&amp;DATE(YEAR($AC246),MONTH($AC246)+1,1),OverEnd,"&gt;="&amp;DATE(YEAR($AC246),MONTH($AC246),1)),IF(OR(O$2="Fixed",O$2="Not Used"),(IF(COUNTIFS(EmpNo,$C246,OFFSET(Emp!$R$4,1,MATCH(O$5,DedListItem,0)-1,EmpCount,1),"&lt;&gt;")&gt;0,VLOOKUP($C246,EmpAll,COLUMN(Emp!$R$4)+MATCH(O$5,DedListItem,0)-1,0),OFFSET(Setup!$E$73,MATCH(O$5,DedListItem,0),0,1,1))*$AA246)-SUMIFS(OFFSET(O$6,1,0,PayCount,1),PayDate,"&lt;"&amp;$AC246,PayEmp,$C246),IF(ISNA(MATCH(O$2,EarnListItem,0))=FALSE,IF(OFFSET(Setup!$G$73,MATCH(O$5,DedListItem,0),0,1,1)="Taxable",SUMPRODUCT((PayEmp=$C246)*(PayDate&lt;=$AC246)*(PayEarnCode=O$2)*(PayEarnTax)*(PayEarnValues)),SUMPRODUCT((PayEmp=$C246)*(PayDate&lt;=$AC246)*(PayEarnCode=O$2)*(PayEarnValues)))*IF(COUNTIFS(EmpNo,$C246,OFFSET(Emp!$R$4,1,MATCH(O$5,DedListItem,0)-1,EmpCount,1),"&lt;&gt;")&gt;0,VLOOKUP($C246,EmpAll,COLUMN(Emp!$R$4)+MATCH(O$5,DedListItem,0)-1,0),OFFSET(Setup!$E$73,MATCH(O$5,DedListItem,0),0,1,1)),(MIN(IF(OFFSET(Setup!$G$73,MATCH(O$5,DedListItem,0),0,1,1)="Taxable",SUMPRODUCT((PayEmp=$C246)*(PayDate&lt;=$AC246)*(ISERROR(SEARCH(PayEarnCode,O$4)))*(PayEarnTax)*(PayEarnValues)),SUMPRODUCT((PayEmp=$C246)*(PayDate&lt;=$AC246)*(ISERROR(SEARCH(PayEarnCode,O$4)))*(PayEarnValues))),IF(ISNUMBER(O$3),O$3/12*$AA246,IgnoreMin)))*IF(COUNTIFS(EmpNo,$C246,OFFSET(Emp!$R$4,1,MATCH(O$5,DedListItem,0)-1,EmpCount,1),"&lt;&gt;")&gt;0,VLOOKUP($C246,EmpAll,COLUMN(Emp!$R$4)+MATCH(O$5,DedListItem,0)-1,0),OFFSET(Setup!$E$73,MATCH(O$5,DedListItem,0),0,1,1)))-SUMIFS(OFFSET(O$6,1,0,PayCount,1),PayDate,"&lt;"&amp;$AC246,PayEmp,$C246))))))</f>
        <v>0</v>
      </c>
      <c r="P246" s="133" cm="1">
        <f t="array" aca="1" ref="P246" ca="1">IF($F246="Terminated",0,IF($AA246=0,0,IF(ISNA(MATCH(P$5,DedListItem,0)),0,IF(COUNTIFS(OverEmp,$C246,OverDeduct,P$5,OverDate,"&lt;"&amp;DATE(YEAR($AC246),MONTH($AC246)+1,1),OverEnd,"&gt;="&amp;DATE(YEAR($AC246),MONTH($AC246),1))&gt;0,SUMIFS(OverValue,OverEmp,$C246,OverDeduct,P$5,OverDate,"&lt;"&amp;DATE(YEAR($AC246),MONTH($AC246)+1,1),OverEnd,"&gt;="&amp;DATE(YEAR($AC246),MONTH($AC246),1)),IF(OR(P$2="Fixed",P$2="Not Used"),(IF(COUNTIFS(EmpNo,$C246,OFFSET(Emp!$R$4,1,MATCH(P$5,DedListItem,0)-1,EmpCount,1),"&lt;&gt;")&gt;0,VLOOKUP($C246,EmpAll,COLUMN(Emp!$R$4)+MATCH(P$5,DedListItem,0)-1,0),OFFSET(Setup!$E$73,MATCH(P$5,DedListItem,0),0,1,1))*$AA246)-SUMIFS(OFFSET(P$6,1,0,PayCount,1),PayDate,"&lt;"&amp;$AC246,PayEmp,$C246),IF(ISNA(MATCH(P$2,EarnListItem,0))=FALSE,IF(OFFSET(Setup!$G$73,MATCH(P$5,DedListItem,0),0,1,1)="Taxable",SUMPRODUCT((PayEmp=$C246)*(PayDate&lt;=$AC246)*(PayEarnCode=P$2)*(PayEarnTax)*(PayEarnValues)),SUMPRODUCT((PayEmp=$C246)*(PayDate&lt;=$AC246)*(PayEarnCode=P$2)*(PayEarnValues)))*IF(COUNTIFS(EmpNo,$C246,OFFSET(Emp!$R$4,1,MATCH(P$5,DedListItem,0)-1,EmpCount,1),"&lt;&gt;")&gt;0,VLOOKUP($C246,EmpAll,COLUMN(Emp!$R$4)+MATCH(P$5,DedListItem,0)-1,0),OFFSET(Setup!$E$73,MATCH(P$5,DedListItem,0),0,1,1)),(MIN(IF(OFFSET(Setup!$G$73,MATCH(P$5,DedListItem,0),0,1,1)="Taxable",SUMPRODUCT((PayEmp=$C246)*(PayDate&lt;=$AC246)*(ISERROR(SEARCH(PayEarnCode,P$4)))*(PayEarnTax)*(PayEarnValues)),SUMPRODUCT((PayEmp=$C246)*(PayDate&lt;=$AC246)*(ISERROR(SEARCH(PayEarnCode,P$4)))*(PayEarnValues))),IF(ISNUMBER(P$3),P$3/12*$AA246,IgnoreMin)))*IF(COUNTIFS(EmpNo,$C246,OFFSET(Emp!$R$4,1,MATCH(P$5,DedListItem,0)-1,EmpCount,1),"&lt;&gt;")&gt;0,VLOOKUP($C246,EmpAll,COLUMN(Emp!$R$4)+MATCH(P$5,DedListItem,0)-1,0),OFFSET(Setup!$E$73,MATCH(P$5,DedListItem,0),0,1,1)))-SUMIFS(OFFSET(P$6,1,0,PayCount,1),PayDate,"&lt;"&amp;$AC246,PayEmp,$C246))))))</f>
        <v>0</v>
      </c>
      <c r="Q246" s="133" cm="1">
        <f t="array" aca="1" ref="Q246" ca="1">IF($F246="Terminated",0,IF($AA246=0,0,IF(ISNA(MATCH(Q$5,DedListItem,0)),0,IF(COUNTIFS(OverEmp,$C246,OverDeduct,Q$5,OverDate,"&lt;"&amp;DATE(YEAR($AC246),MONTH($AC246)+1,1),OverEnd,"&gt;="&amp;DATE(YEAR($AC246),MONTH($AC246),1))&gt;0,SUMIFS(OverValue,OverEmp,$C246,OverDeduct,Q$5,OverDate,"&lt;"&amp;DATE(YEAR($AC246),MONTH($AC246)+1,1),OverEnd,"&gt;="&amp;DATE(YEAR($AC246),MONTH($AC246),1)),IF(OR(Q$2="Fixed",Q$2="Not Used"),(IF(COUNTIFS(EmpNo,$C246,OFFSET(Emp!$R$4,1,MATCH(Q$5,DedListItem,0)-1,EmpCount,1),"&lt;&gt;")&gt;0,VLOOKUP($C246,EmpAll,COLUMN(Emp!$R$4)+MATCH(Q$5,DedListItem,0)-1,0),OFFSET(Setup!$E$73,MATCH(Q$5,DedListItem,0),0,1,1))*$AA246)-SUMIFS(OFFSET(Q$6,1,0,PayCount,1),PayDate,"&lt;"&amp;$AC246,PayEmp,$C246),IF(ISNA(MATCH(Q$2,EarnListItem,0))=FALSE,IF(OFFSET(Setup!$G$73,MATCH(Q$5,DedListItem,0),0,1,1)="Taxable",SUMPRODUCT((PayEmp=$C246)*(PayDate&lt;=$AC246)*(PayEarnCode=Q$2)*(PayEarnTax)*(PayEarnValues)),SUMPRODUCT((PayEmp=$C246)*(PayDate&lt;=$AC246)*(PayEarnCode=Q$2)*(PayEarnValues)))*IF(COUNTIFS(EmpNo,$C246,OFFSET(Emp!$R$4,1,MATCH(Q$5,DedListItem,0)-1,EmpCount,1),"&lt;&gt;")&gt;0,VLOOKUP($C246,EmpAll,COLUMN(Emp!$R$4)+MATCH(Q$5,DedListItem,0)-1,0),OFFSET(Setup!$E$73,MATCH(Q$5,DedListItem,0),0,1,1)),(MIN(IF(OFFSET(Setup!$G$73,MATCH(Q$5,DedListItem,0),0,1,1)="Taxable",SUMPRODUCT((PayEmp=$C246)*(PayDate&lt;=$AC246)*(ISERROR(SEARCH(PayEarnCode,Q$4)))*(PayEarnTax)*(PayEarnValues)),SUMPRODUCT((PayEmp=$C246)*(PayDate&lt;=$AC246)*(ISERROR(SEARCH(PayEarnCode,Q$4)))*(PayEarnValues))),IF(ISNUMBER(Q$3),Q$3/12*$AA246,IgnoreMin)))*IF(COUNTIFS(EmpNo,$C246,OFFSET(Emp!$R$4,1,MATCH(Q$5,DedListItem,0)-1,EmpCount,1),"&lt;&gt;")&gt;0,VLOOKUP($C246,EmpAll,COLUMN(Emp!$R$4)+MATCH(Q$5,DedListItem,0)-1,0),OFFSET(Setup!$E$73,MATCH(Q$5,DedListItem,0),0,1,1)))-SUMIFS(OFFSET(Q$6,1,0,PayCount,1),PayDate,"&lt;"&amp;$AC246,PayEmp,$C246))))))</f>
        <v>0</v>
      </c>
      <c r="R246" s="185">
        <f t="shared" ca="1" si="153"/>
        <v>0</v>
      </c>
      <c r="S246" s="139">
        <f t="shared" ca="1" si="154"/>
        <v>0</v>
      </c>
      <c r="T246" s="133" cm="1">
        <f t="array" aca="1" ref="T246" ca="1">IF($F246="Terminated",0,IF($AA246=0,0,IF(ISNA(MATCH(T$5,CompListItem,0)),0,IF(COUNTIFS(OverEmp,$C246,OverComp,T$5,OverDate,"&lt;"&amp;DATE(YEAR($AC246),MONTH($AC246)+1,1),OverEnd,"&gt;="&amp;DATE(YEAR($AC246),MONTH($AC246),1))&gt;0,SUMIFS(OverValue,OverEmp,$C246,OverComp,T$5,OverDate,"&lt;"&amp;DATE(YEAR($AC246),MONTH($AC246)+1,1),OverEnd,"&gt;="&amp;DATE(YEAR($AC246),MONTH($AC246),1)),IF(OR(T$2="Fixed",T$2="Not Used"),(OFFSET(Setup!$E$81,MATCH(T$5,CompListItem,0),0,1,1)*$AA246)-SUMIFS(OFFSET(T$6,1,0,PayCount,1),PayDate,"&lt;"&amp;$AC246,PayEmp,$C246),IF(ISNA(MATCH(T$2,DedListItem,0))=FALSE,(SUMPRODUCT((PayEmp=$C246)*(PayDate&lt;=$AC246)*(PayDedList=T$2)*(PayDedValues))*OFFSET(Setup!$E$81,MATCH(T$5,CompListItem,0),0,1,1))-SUMIFS(OFFSET(T$6,1,0,PayCount,1),PayDate,"&lt;"&amp;$AC246,PayEmp,$C246),(MIN(IF(OFFSET(Setup!$G$81,MATCH(T$5,CompListItem,0),0,1,1)="Taxable",SUMPRODUCT((PayEmp=$C246)*(PayDate&lt;=$AC246)*(ISERROR(SEARCH(PayEarnCode,T$4)))*(PayEarnTax)*(PayEarnValues)),SUMPRODUCT((PayEmp=$C246)*(PayDate&lt;=$AC246)*(ISERROR(SEARCH(PayEarnCode,T$4)))*(PayEarnValues))),IF(ISNUMBER(T$3),T$3/12*$AA246,IgnoreMin)))*OFFSET(Setup!$E$81,MATCH(T$5,CompListItem,0),0,1,1)-SUMIFS(OFFSET(T$6,1,0,PayCount,1),PayDate,"&lt;"&amp;$AC246,PayEmp,$C246)))))))</f>
        <v>0</v>
      </c>
      <c r="U246" s="133" cm="1">
        <f t="array" aca="1" ref="U246" ca="1">IF($F246="Terminated",0,IF($AA246=0,0,IF(ISNA(MATCH(U$5,CompListItem,0)),0,IF(COUNTIFS(OverEmp,$C246,OverComp,U$5,OverDate,"&lt;"&amp;DATE(YEAR($AC246),MONTH($AC246)+1,1),OverEnd,"&gt;="&amp;DATE(YEAR($AC246),MONTH($AC246),1))&gt;0,SUMIFS(OverValue,OverEmp,$C246,OverComp,U$5,OverDate,"&lt;"&amp;DATE(YEAR($AC246),MONTH($AC246)+1,1),OverEnd,"&gt;="&amp;DATE(YEAR($AC246),MONTH($AC246),1)),IF(OR(U$2="Fixed",U$2="Not Used"),(OFFSET(Setup!$E$81,MATCH(U$5,CompListItem,0),0,1,1)*$AA246)-SUMIFS(OFFSET(U$6,1,0,PayCount,1),PayDate,"&lt;"&amp;$AC246,PayEmp,$C246),IF(ISNA(MATCH(U$2,DedListItem,0))=FALSE,(SUMPRODUCT((PayEmp=$C246)*(PayDate&lt;=$AC246)*(PayDedList=U$2)*(PayDedValues))*OFFSET(Setup!$E$81,MATCH(U$5,CompListItem,0),0,1,1))-SUMIFS(OFFSET(U$6,1,0,PayCount,1),PayDate,"&lt;"&amp;$AC246,PayEmp,$C246),(MIN(IF(OFFSET(Setup!$G$81,MATCH(U$5,CompListItem,0),0,1,1)="Taxable",SUMPRODUCT((PayEmp=$C246)*(PayDate&lt;=$AC246)*(ISERROR(SEARCH(PayEarnCode,U$4)))*(PayEarnTax)*(PayEarnValues)),SUMPRODUCT((PayEmp=$C246)*(PayDate&lt;=$AC246)*(ISERROR(SEARCH(PayEarnCode,U$4)))*(PayEarnValues))),IF(ISNUMBER(U$3),U$3/12*$AA246,IgnoreMin)))*OFFSET(Setup!$E$81,MATCH(U$5,CompListItem,0),0,1,1)-SUMIFS(OFFSET(U$6,1,0,PayCount,1),PayDate,"&lt;"&amp;$AC246,PayEmp,$C246)))))))</f>
        <v>0</v>
      </c>
      <c r="V246" s="133" cm="1">
        <f t="array" aca="1" ref="V246" ca="1">IF($F246="Terminated",0,IF($AA246=0,0,IF(ISNA(MATCH(V$5,CompListItem,0)),0,IF(COUNTIFS(OverEmp,$C246,OverComp,V$5,OverDate,"&lt;"&amp;DATE(YEAR($AC246),MONTH($AC246)+1,1),OverEnd,"&gt;="&amp;DATE(YEAR($AC246),MONTH($AC246),1))&gt;0,SUMIFS(OverValue,OverEmp,$C246,OverComp,V$5,OverDate,"&lt;"&amp;DATE(YEAR($AC246),MONTH($AC246)+1,1),OverEnd,"&gt;="&amp;DATE(YEAR($AC246),MONTH($AC246),1)),IF(OR(V$2="Fixed",V$2="Not Used"),(OFFSET(Setup!$E$81,MATCH(V$5,CompListItem,0),0,1,1)*$AA246)-SUMIFS(OFFSET(V$6,1,0,PayCount,1),PayDate,"&lt;"&amp;$AC246,PayEmp,$C246),IF(ISNA(MATCH(V$2,DedListItem,0))=FALSE,(SUMPRODUCT((PayEmp=$C246)*(PayDate&lt;=$AC246)*(PayDedList=V$2)*(PayDedValues))*OFFSET(Setup!$E$81,MATCH(V$5,CompListItem,0),0,1,1))-SUMIFS(OFFSET(V$6,1,0,PayCount,1),PayDate,"&lt;"&amp;$AC246,PayEmp,$C246),(MIN(IF(OFFSET(Setup!$G$81,MATCH(V$5,CompListItem,0),0,1,1)="Taxable",SUMPRODUCT((PayEmp=$C246)*(PayDate&lt;=$AC246)*(ISERROR(SEARCH(PayEarnCode,V$4)))*(PayEarnTax)*(PayEarnValues)),SUMPRODUCT((PayEmp=$C246)*(PayDate&lt;=$AC246)*(ISERROR(SEARCH(PayEarnCode,V$4)))*(PayEarnValues))),IF(ISNUMBER(V$3),V$3/12*$AA246,IgnoreMin)))*OFFSET(Setup!$E$81,MATCH(V$5,CompListItem,0),0,1,1)-SUMIFS(OFFSET(V$6,1,0,PayCount,1),PayDate,"&lt;"&amp;$AC246,PayEmp,$C246)))))))</f>
        <v>0</v>
      </c>
      <c r="W246" s="133" cm="1">
        <f t="array" aca="1" ref="W246" ca="1">IF($F246="Terminated",0,IF($AA246=0,0,IF(ISNA(MATCH(W$5,CompListItem,0)),0,IF(COUNTIFS(OverEmp,$C246,OverComp,W$5,OverDate,"&lt;"&amp;DATE(YEAR($AC246),MONTH($AC246)+1,1),OverEnd,"&gt;="&amp;DATE(YEAR($AC246),MONTH($AC246),1))&gt;0,SUMIFS(OverValue,OverEmp,$C246,OverComp,W$5,OverDate,"&lt;"&amp;DATE(YEAR($AC246),MONTH($AC246)+1,1),OverEnd,"&gt;="&amp;DATE(YEAR($AC246),MONTH($AC246),1)),IF(OR(W$2="Fixed",W$2="Not Used"),(OFFSET(Setup!$E$81,MATCH(W$5,CompListItem,0),0,1,1)*$AA246)-SUMIFS(OFFSET(W$6,1,0,PayCount,1),PayDate,"&lt;"&amp;$AC246,PayEmp,$C246),IF(ISNA(MATCH(W$2,DedListItem,0))=FALSE,(SUMPRODUCT((PayEmp=$C246)*(PayDate&lt;=$AC246)*(PayDedList=W$2)*(PayDedValues))*OFFSET(Setup!$E$81,MATCH(W$5,CompListItem,0),0,1,1))-SUMIFS(OFFSET(W$6,1,0,PayCount,1),PayDate,"&lt;"&amp;$AC246,PayEmp,$C246),(MIN(IF(OFFSET(Setup!$G$81,MATCH(W$5,CompListItem,0),0,1,1)="Taxable",SUMPRODUCT((PayEmp=$C246)*(PayDate&lt;=$AC246)*(ISERROR(SEARCH(PayEarnCode,W$4)))*(PayEarnTax)*(PayEarnValues)),SUMPRODUCT((PayEmp=$C246)*(PayDate&lt;=$AC246)*(ISERROR(SEARCH(PayEarnCode,W$4)))*(PayEarnValues))),IF(ISNUMBER(W$3),W$3/12*$AA246,IgnoreMin)))*OFFSET(Setup!$E$81,MATCH(W$5,CompListItem,0),0,1,1)-SUMIFS(OFFSET(W$6,1,0,PayCount,1),PayDate,"&lt;"&amp;$AC246,PayEmp,$C246)))))))</f>
        <v>0</v>
      </c>
      <c r="X246" s="185">
        <f t="shared" ca="1" si="155"/>
        <v>0</v>
      </c>
      <c r="Y246" s="139">
        <f t="shared" ca="1" si="156"/>
        <v>0</v>
      </c>
      <c r="Z246" s="139">
        <f t="shared" ca="1" si="157"/>
        <v>0</v>
      </c>
      <c r="AA246" s="146">
        <f ca="1">IF(OR($B246&lt;=Setup!$E$12,$B246&gt;=Setup!$D$12+1),0,IF($F246&lt;&gt;"Active",0,IF($AE246="Yes",$AB246,((YEAR($AC246)*12)+MONTH($AC246))-((YEAR($AD246)*12)+MONTH($AD246)-1))))</f>
        <v>0</v>
      </c>
      <c r="AB246" s="146">
        <f ca="1">IF(OR($B246&lt;=Setup!$E$12,$B246&gt;=Setup!$D$12+1),0,((YEAR($AC246)*12)+MONTH($AC246))-((YEAR(Setup!$E$12)*12)+MONTH(Setup!$E$12)))</f>
        <v>12</v>
      </c>
      <c r="AC246" s="186">
        <f t="shared" ca="1" si="158"/>
        <v>45351</v>
      </c>
      <c r="AD246" s="144">
        <f ca="1">IF(ISNA(VLOOKUP($C246,EmpAll,COLUMN(Emp!$E$4),0)),$AC246,IF(VLOOKUP($C246,EmpAll,COLUMN(Emp!$E$4),0)&lt;=Setup!$E$12,DATE(YEAR(Setup!$E$12),MONTH(Setup!$E$12)+1,1),VLOOKUP($C246,EmpAll,COLUMN(Emp!$E$4),0)))</f>
        <v>45351</v>
      </c>
      <c r="AE246" s="144" t="str">
        <f ca="1">IF(ISNA(VLOOKUP($C246,EmpAll,COLUMN(Emp!$G$1),0)),"-",IF(VLOOKUP($C246,EmpAll,COLUMN(Emp!$G$1),0)=0,"-",VLOOKUP($C246,EmpAll,COLUMN(Emp!$G$1),0)))</f>
        <v>-</v>
      </c>
      <c r="AF246" s="145">
        <f>IF(A246=PaySlip!$G$3,1,0)</f>
        <v>0</v>
      </c>
      <c r="AG246" s="130" cm="1">
        <f t="array" aca="1" ref="AG246" ca="1">IF(COUNTIFS(OverEmp,$C246,OverMed,"MED",OverDate,"&lt;"&amp;DATE(YEAR($AC246),MONTH($AC246)+1,1),OverEnd,"&gt;="&amp;DATE(YEAR($AC246),MONTH($AC246),1))&gt;0,SUMIFS(OverValue,OverEmp,$C246,OverMed,"MED",OverDate,"&lt;"&amp;DATE(YEAR($AC246),MONTH($AC246)+1,1),OverEnd,"&gt;="&amp;DATE(YEAR($AC246),MONTH($AC246),1)),IF(ISNA(VLOOKUP($C246,EmpAll,COLUMN(Emp!$N$4),0)),0,VLOOKUP($C246,EmpAll,COLUMN(Emp!$N$4),0)))</f>
        <v>0</v>
      </c>
      <c r="AH246" s="146">
        <f ca="1">VLOOKUP($AG246,MedList,COLUMN(Setup!$C$49),1)</f>
        <v>0</v>
      </c>
      <c r="AI246" s="146">
        <f t="shared" ca="1" si="107"/>
        <v>0</v>
      </c>
      <c r="AJ246" s="101" t="str">
        <f ca="1">IF(ISNA(VLOOKUP($C246,EmpAll,COLUMN(Emp!$L$4),0)),"None!",VLOOKUP($C246,EmpAll,COLUMN(Emp!$L$4),0))</f>
        <v>None!</v>
      </c>
      <c r="AK246" s="147">
        <f ca="1">IF(ISNA(VLOOKUP($AJ246,RebateList,4,0)),VLOOKUP("A",RebateList,3,0),VLOOKUP($AJ246,RebateList,4,0))</f>
        <v>17235</v>
      </c>
      <c r="AL246" s="101" t="str">
        <f ca="1">IF(ISNA(VLOOKUP($C246,Employees[],COLUMN(Emp!$M$4),0))=TRUE,"Error!",IF(VLOOKUP($C246,Employees[],COLUMN(Emp!$M$4),0)=0,"Yes",VLOOKUP($C246,Employees[],COLUMN(Emp!$M$4),0)))</f>
        <v>Error!</v>
      </c>
      <c r="AM246" s="148">
        <f t="shared" ca="1" si="108"/>
        <v>0</v>
      </c>
      <c r="AN246" s="148" cm="1">
        <f t="array" aca="1" ref="AN246" ca="1">-IF($F246="Terminated",0,IF($AA246=0,0,IF(ISNA(MATCH(AN$5,PayDedList,0)),0,MIN(IF(COUNTIFS(OverEmp,$C246,OverDeduct,AN$5,OverDate,"&lt;"&amp;DATE(YEAR($AC246),MONTH($AC246)+1,1),OverEnd,"&gt;="&amp;DATE(YEAR($AC246),MONTH($AC246),1))&gt;0,SUMPRODUCT((PayEmp=$C246)*(PayDate&lt;=$AC246)*(OFFSET($N$6,1,MATCH(AN$5,PayDedList,0)-1,PayCount,1)))/$AA246*12*AN$3,IF(OR(AN$1="Fixed",AN$1="Not Used"),SUMPRODUCT((PayEmp=$C246)*(PayDate&lt;=$AC246)*(OFFSET($N$6,1,MATCH(AN$5,PayDedList,0)-1,PayCount,1)))/$AA246*12*AN$3,IF(ISNA(MATCH(AN$1,EarnListItem,0))=FALSE,SUMPRODUCT((PayEmp=$C246)*(PayDate&lt;=$AC246)*(OFFSET($N$6,1,MATCH(AN$5,PayDedList,0)-1,PayCount,1)))/$AA246*12*AN$3,(MIN(((SUMPRODUCT((PayEmp=$C246)*(PayDate&lt;=$AC246)*(ISERROR(SEARCH(PayEarnCode,AN$2)))*(PayEarnType="Monthly")*(PayEarnValues))/$AA246*12)+(SUMPRODUCT((PayEmp=$C246)*(PayDate&lt;=$AC246)*(ISERROR(SEARCH(PayEarnCode,AN$2)))*(PayEarnType="Quarterly")*(PayEarnValues))/MAX(1,ROUNDDOWN($AB246/3,0))*4)+(SUMPRODUCT((PayEmp=$C246)*(PayDate&lt;=$AC246)*(ISERROR(SEARCH(PayEarnCode,AN$2)))*(PayEarnType="Bi-Annual")*(PayEarnValues))/MAX(1,ROUNDDOWN($AB246/6,0))*2)+(SUMPRODUCT((PayEmp=$C246)*(PayDate&lt;=$AC246)*(ISERROR(SEARCH(PayEarnCode,AN$2)))*(PayEarnType="Annual")*(PayEarnValues)))),IF(ISNUMBER(OFFSET($N$3,0,MATCH(AN$5,PayDedList,0)-1,1,1)),OFFSET($N$3,0,MATCH(AN$5,PayDedList,0)-1,1,1),IgnoreMin)))*IF(COUNTIFS(EmpNo,$C246,OFFSET(Emp!$R$4,1,MATCH(AN$5,DedListItem,0)-1,EmpCount,1),"&lt;&gt;")&gt;0,VLOOKUP($C246,EmpAll,COLUMN(Emp!$R$4)+MATCH(AN$5,DedListItem,0)-1,0),OFFSET(Setup!$E$73,MATCH(AN$5,DedListItem,0),0,1,1))*AN$3))),IF(ISNUMBER(AN$4),AN$4,IgnoreMin)))))</f>
        <v>0</v>
      </c>
      <c r="AO246" s="148" cm="1">
        <f t="array" aca="1" ref="AO246" ca="1">-IF($F246="Terminated",0,IF($AA246=0,0,IF(ISNA(MATCH(AO$5,PayDedList,0)),0,MIN(IF(COUNTIFS(OverEmp,$C246,OverDeduct,AO$5,OverDate,"&lt;"&amp;DATE(YEAR($AC246),MONTH($AC246)+1,1),OverEnd,"&gt;="&amp;DATE(YEAR($AC246),MONTH($AC246),1))&gt;0,SUMPRODUCT((PayEmp=$C246)*(PayDate&lt;=$AC246)*(OFFSET($N$6,1,MATCH(AO$5,PayDedList,0)-1,PayCount,1)))/$AA246*12*AO$3,IF(OR(AO$1="Fixed",AO$1="Not Used"),SUMPRODUCT((PayEmp=$C246)*(PayDate&lt;=$AC246)*(OFFSET($N$6,1,MATCH(AO$5,PayDedList,0)-1,PayCount,1)))/$AA246*12*AO$3,IF(ISNA(MATCH(AO$1,EarnListItem,0))=FALSE,SUMPRODUCT((PayEmp=$C246)*(PayDate&lt;=$AC246)*(OFFSET($N$6,1,MATCH(AO$5,PayDedList,0)-1,PayCount,1)))/$AA246*12*AO$3,(MIN(((SUMPRODUCT((PayEmp=$C246)*(PayDate&lt;=$AC246)*(ISERROR(SEARCH(PayEarnCode,AO$2)))*(PayEarnType="Monthly")*(PayEarnValues))/$AA246*12)+(SUMPRODUCT((PayEmp=$C246)*(PayDate&lt;=$AC246)*(ISERROR(SEARCH(PayEarnCode,AO$2)))*(PayEarnType="Quarterly")*(PayEarnValues))/MAX(1,ROUNDDOWN($AB246/3,0))*4)+(SUMPRODUCT((PayEmp=$C246)*(PayDate&lt;=$AC246)*(ISERROR(SEARCH(PayEarnCode,AO$2)))*(PayEarnType="Bi-Annual")*(PayEarnValues))/MAX(1,ROUNDDOWN($AB246/6,0))*2)+(SUMPRODUCT((PayEmp=$C246)*(PayDate&lt;=$AC246)*(ISERROR(SEARCH(PayEarnCode,AO$2)))*(PayEarnType="Annual")*(PayEarnValues)))),IF(ISNUMBER(OFFSET($N$3,0,MATCH(AO$5,PayDedList,0)-1,1,1)),OFFSET($N$3,0,MATCH(AO$5,PayDedList,0)-1,1,1),IgnoreMin)))*IF(COUNTIFS(EmpNo,$C246,OFFSET(Emp!$R$4,1,MATCH(AO$5,DedListItem,0)-1,EmpCount,1),"&lt;&gt;")&gt;0,VLOOKUP($C246,EmpAll,COLUMN(Emp!$R$4)+MATCH(AO$5,DedListItem,0)-1,0),OFFSET(Setup!$E$73,MATCH(AO$5,DedListItem,0),0,1,1))*AO$3))),IF(ISNUMBER(AO$4),AO$4,IgnoreMin)))))</f>
        <v>0</v>
      </c>
      <c r="AP246" s="148" cm="1">
        <f t="array" aca="1" ref="AP246" ca="1">-IF($F246="Terminated",0,IF($AA246=0,0,IF(ISNA(MATCH(AP$5,PayDedList,0)),0,MIN(IF(COUNTIFS(OverEmp,$C246,OverDeduct,AP$5,OverDate,"&lt;"&amp;DATE(YEAR($AC246),MONTH($AC246)+1,1),OverEnd,"&gt;="&amp;DATE(YEAR($AC246),MONTH($AC246),1))&gt;0,SUMPRODUCT((PayEmp=$C246)*(PayDate&lt;=$AC246)*(OFFSET($N$6,1,MATCH(AP$5,PayDedList,0)-1,PayCount,1)))/$AA246*12*AP$3,IF(OR(AP$1="Fixed",AP$1="Not Used"),SUMPRODUCT((PayEmp=$C246)*(PayDate&lt;=$AC246)*(OFFSET($N$6,1,MATCH(AP$5,PayDedList,0)-1,PayCount,1)))/$AA246*12*AP$3,IF(ISNA(MATCH(AP$1,EarnListItem,0))=FALSE,SUMPRODUCT((PayEmp=$C246)*(PayDate&lt;=$AC246)*(OFFSET($N$6,1,MATCH(AP$5,PayDedList,0)-1,PayCount,1)))/$AA246*12*AP$3,(MIN(((SUMPRODUCT((PayEmp=$C246)*(PayDate&lt;=$AC246)*(ISERROR(SEARCH(PayEarnCode,AP$2)))*(PayEarnType="Monthly")*(PayEarnValues))/$AA246*12)+(SUMPRODUCT((PayEmp=$C246)*(PayDate&lt;=$AC246)*(ISERROR(SEARCH(PayEarnCode,AP$2)))*(PayEarnType="Quarterly")*(PayEarnValues))/MAX(1,ROUNDDOWN($AB246/3,0))*4)+(SUMPRODUCT((PayEmp=$C246)*(PayDate&lt;=$AC246)*(ISERROR(SEARCH(PayEarnCode,AP$2)))*(PayEarnType="Bi-Annual")*(PayEarnValues))/MAX(1,ROUNDDOWN($AB246/6,0))*2)+(SUMPRODUCT((PayEmp=$C246)*(PayDate&lt;=$AC246)*(ISERROR(SEARCH(PayEarnCode,AP$2)))*(PayEarnType="Annual")*(PayEarnValues)))),IF(ISNUMBER(OFFSET($N$3,0,MATCH(AP$5,PayDedList,0)-1,1,1)),OFFSET($N$3,0,MATCH(AP$5,PayDedList,0)-1,1,1),IgnoreMin)))*IF(COUNTIFS(EmpNo,$C246,OFFSET(Emp!$R$4,1,MATCH(AP$5,DedListItem,0)-1,EmpCount,1),"&lt;&gt;")&gt;0,VLOOKUP($C246,EmpAll,COLUMN(Emp!$R$4)+MATCH(AP$5,DedListItem,0)-1,0),OFFSET(Setup!$E$73,MATCH(AP$5,DedListItem,0),0,1,1))*AP$3))),IF(ISNUMBER(AP$4),AP$4,IgnoreMin)))))</f>
        <v>0</v>
      </c>
      <c r="AQ246" s="148" cm="1">
        <f t="array" aca="1" ref="AQ246" ca="1">-IF($F246="Terminated",0,IF($AA246=0,0,IF(ISNA(MATCH(AQ$5,PayDedList,0)),0,MIN(IF(COUNTIFS(OverEmp,$C246,OverDeduct,AQ$5,OverDate,"&lt;"&amp;DATE(YEAR($AC246),MONTH($AC246)+1,1),OverEnd,"&gt;="&amp;DATE(YEAR($AC246),MONTH($AC246),1))&gt;0,SUMPRODUCT((PayEmp=$C246)*(PayDate&lt;=$AC246)*(OFFSET($N$6,1,MATCH(AQ$5,PayDedList,0)-1,PayCount,1)))/$AA246*12*AQ$3,IF(OR(AQ$1="Fixed",AQ$1="Not Used"),SUMPRODUCT((PayEmp=$C246)*(PayDate&lt;=$AC246)*(OFFSET($N$6,1,MATCH(AQ$5,PayDedList,0)-1,PayCount,1)))/$AA246*12*AQ$3,IF(ISNA(MATCH(AQ$1,EarnListItem,0))=FALSE,SUMPRODUCT((PayEmp=$C246)*(PayDate&lt;=$AC246)*(OFFSET($N$6,1,MATCH(AQ$5,PayDedList,0)-1,PayCount,1)))/$AA246*12*AQ$3,(MIN(((SUMPRODUCT((PayEmp=$C246)*(PayDate&lt;=$AC246)*(ISERROR(SEARCH(PayEarnCode,AQ$2)))*(PayEarnType="Monthly")*(PayEarnValues))/$AA246*12)+(SUMPRODUCT((PayEmp=$C246)*(PayDate&lt;=$AC246)*(ISERROR(SEARCH(PayEarnCode,AQ$2)))*(PayEarnType="Quarterly")*(PayEarnValues))/MAX(1,ROUNDDOWN($AB246/3,0))*4)+(SUMPRODUCT((PayEmp=$C246)*(PayDate&lt;=$AC246)*(ISERROR(SEARCH(PayEarnCode,AQ$2)))*(PayEarnType="Bi-Annual")*(PayEarnValues))/MAX(1,ROUNDDOWN($AB246/6,0))*2)+(SUMPRODUCT((PayEmp=$C246)*(PayDate&lt;=$AC246)*(ISERROR(SEARCH(PayEarnCode,AQ$2)))*(PayEarnType="Annual")*(PayEarnValues)))),IF(ISNUMBER(OFFSET($N$3,0,MATCH(AQ$5,PayDedList,0)-1,1,1)),OFFSET($N$3,0,MATCH(AQ$5,PayDedList,0)-1,1,1),IgnoreMin)))*IF(COUNTIFS(EmpNo,$C246,OFFSET(Emp!$R$4,1,MATCH(AQ$5,DedListItem,0)-1,EmpCount,1),"&lt;&gt;")&gt;0,VLOOKUP($C246,EmpAll,COLUMN(Emp!$R$4)+MATCH(AQ$5,DedListItem,0)-1,0),OFFSET(Setup!$E$73,MATCH(AQ$5,DedListItem,0),0,1,1))*AQ$3))),IF(ISNUMBER(AQ$4),AQ$4,IgnoreMin)))))</f>
        <v>0</v>
      </c>
      <c r="AR246" s="148">
        <f t="shared" ca="1" si="159"/>
        <v>0</v>
      </c>
      <c r="AS246" s="148">
        <f t="shared" ca="1" si="109"/>
        <v>0</v>
      </c>
      <c r="AT246" s="148" cm="1">
        <f t="array" aca="1" ref="AT246" ca="1">-IF($F246="Terminated",0,IF($AA246=0,0,IF(ISNA(MATCH(AT$5,PayDedList,0)),0,MIN(IF(COUNTIFS(OverEmp,$C246,OverDeduct,AT$5,OverDate,"&lt;"&amp;DATE(YEAR($AC246),MONTH($AC246)+1,1),OverEnd,"&gt;="&amp;DATE(YEAR($AC246),MONTH($AC246),1))&gt;0,SUMPRODUCT((PayEmp=$C246)*(PayDate&lt;=$AC246)*(OFFSET($N$6,1,MATCH(AT$5,PayDedList,0)-1,PayCount,1)))/$AA246*12*AT$3,IF(OR(AT$1="Fixed",AT$1="Not Used"),SUMPRODUCT((PayEmp=$C246)*(PayDate&lt;=$AC246)*(OFFSET($N$6,1,MATCH(AT$5,PayDedList,0)-1,PayCount,1)))/$AA246*12*AT$3,IF(ISNA(MATCH(OFFSET($N$2,0,MATCH(AT$5,PayDedList,0)-1,1,1),EarnListItem,0))=FALSE,SUMPRODUCT((PayEmp=$C246)*(PayDate&lt;=$AC246)*(OFFSET($N$6,1,MATCH(AT$5,PayDedList,0)-1,PayCount,1)))/$AA246*12*AT$3,(MIN(SUMPRODUCT((PayEmp=$C246)*(PayDate&lt;=$AC246)*(ISERROR(SEARCH(PayEarnCode,AT$2)))*(PayEarnType="Monthly")*(PayEarnValues))/$AA246*12,IF(ISNUMBER(OFFSET($N$3,0,MATCH(AT$5,PayDedList,0)-1,1,1)),OFFSET($N$3,0,MATCH(AT$5,PayDedList,0)-1,1,1),IgnoreMin)))*IF(COUNTIFS(EmpNo,$C246,OFFSET(Emp!$R$4,1,MATCH(AT$5,DedListItem,0)-1,EmpCount,1),"&lt;&gt;")&gt;0,VLOOKUP($C246,EmpAll,COLUMN(Emp!$R$4)+MATCH(AT$5,DedListItem,0)-1,0),OFFSET(Setup!$E$73,MATCH(AT$5,DedListItem,0),0,1,1))*AT$3))),IF(ISNUMBER(AT$4),AT$4,IgnoreMin)))))</f>
        <v>0</v>
      </c>
      <c r="AU246" s="148" cm="1">
        <f t="array" aca="1" ref="AU246" ca="1">-IF($F246="Terminated",0,IF($AA246=0,0,IF(ISNA(MATCH(AU$5,PayDedList,0)),0,MIN(IF(COUNTIFS(OverEmp,$C246,OverDeduct,AU$5,OverDate,"&lt;"&amp;DATE(YEAR($AC246),MONTH($AC246)+1,1),OverEnd,"&gt;="&amp;DATE(YEAR($AC246),MONTH($AC246),1))&gt;0,SUMPRODUCT((PayEmp=$C246)*(PayDate&lt;=$AC246)*(OFFSET($N$6,1,MATCH(AU$5,PayDedList,0)-1,PayCount,1)))/$AA246*12*AU$3,IF(OR(AU$1="Fixed",AU$1="Not Used"),SUMPRODUCT((PayEmp=$C246)*(PayDate&lt;=$AC246)*(OFFSET($N$6,1,MATCH(AU$5,PayDedList,0)-1,PayCount,1)))/$AA246*12*AU$3,IF(ISNA(MATCH(OFFSET($N$2,0,MATCH(AU$5,PayDedList,0)-1,1,1),EarnListItem,0))=FALSE,SUMPRODUCT((PayEmp=$C246)*(PayDate&lt;=$AC246)*(OFFSET($N$6,1,MATCH(AU$5,PayDedList,0)-1,PayCount,1)))/$AA246*12*AU$3,(MIN(SUMPRODUCT((PayEmp=$C246)*(PayDate&lt;=$AC246)*(ISERROR(SEARCH(PayEarnCode,AU$2)))*(PayEarnType="Monthly")*(PayEarnValues))/$AA246*12,IF(ISNUMBER(OFFSET($N$3,0,MATCH(AU$5,PayDedList,0)-1,1,1)),OFFSET($N$3,0,MATCH(AU$5,PayDedList,0)-1,1,1),IgnoreMin)))*IF(COUNTIFS(EmpNo,$C246,OFFSET(Emp!$R$4,1,MATCH(AU$5,DedListItem,0)-1,EmpCount,1),"&lt;&gt;")&gt;0,VLOOKUP($C246,EmpAll,COLUMN(Emp!$R$4)+MATCH(AU$5,DedListItem,0)-1,0),OFFSET(Setup!$E$73,MATCH(AU$5,DedListItem,0),0,1,1))*AU$3))),IF(ISNUMBER(AU$4),AU$4,IgnoreMin)))))</f>
        <v>0</v>
      </c>
      <c r="AV246" s="148" cm="1">
        <f t="array" aca="1" ref="AV246" ca="1">-IF($F246="Terminated",0,IF($AA246=0,0,IF(ISNA(MATCH(AV$5,PayDedList,0)),0,MIN(IF(COUNTIFS(OverEmp,$C246,OverDeduct,AV$5,OverDate,"&lt;"&amp;DATE(YEAR($AC246),MONTH($AC246)+1,1),OverEnd,"&gt;="&amp;DATE(YEAR($AC246),MONTH($AC246),1))&gt;0,SUMPRODUCT((PayEmp=$C246)*(PayDate&lt;=$AC246)*(OFFSET($N$6,1,MATCH(AV$5,PayDedList,0)-1,PayCount,1)))/$AA246*12*AV$3,IF(OR(AV$1="Fixed",AV$1="Not Used"),SUMPRODUCT((PayEmp=$C246)*(PayDate&lt;=$AC246)*(OFFSET($N$6,1,MATCH(AV$5,PayDedList,0)-1,PayCount,1)))/$AA246*12*AV$3,IF(ISNA(MATCH(OFFSET($N$2,0,MATCH(AV$5,PayDedList,0)-1,1,1),EarnListItem,0))=FALSE,SUMPRODUCT((PayEmp=$C246)*(PayDate&lt;=$AC246)*(OFFSET($N$6,1,MATCH(AV$5,PayDedList,0)-1,PayCount,1)))/$AA246*12*AV$3,(MIN(SUMPRODUCT((PayEmp=$C246)*(PayDate&lt;=$AC246)*(ISERROR(SEARCH(PayEarnCode,AV$2)))*(PayEarnType="Monthly")*(PayEarnValues))/$AA246*12,IF(ISNUMBER(OFFSET($N$3,0,MATCH(AV$5,PayDedList,0)-1,1,1)),OFFSET($N$3,0,MATCH(AV$5,PayDedList,0)-1,1,1),IgnoreMin)))*IF(COUNTIFS(EmpNo,$C246,OFFSET(Emp!$R$4,1,MATCH(AV$5,DedListItem,0)-1,EmpCount,1),"&lt;&gt;")&gt;0,VLOOKUP($C246,EmpAll,COLUMN(Emp!$R$4)+MATCH(AV$5,DedListItem,0)-1,0),OFFSET(Setup!$E$73,MATCH(AV$5,DedListItem,0),0,1,1))*AV$3))),IF(ISNUMBER(AV$4),AV$4,IgnoreMin)))))</f>
        <v>0</v>
      </c>
      <c r="AW246" s="148" cm="1">
        <f t="array" aca="1" ref="AW246" ca="1">-IF($F246="Terminated",0,IF($AA246=0,0,IF(ISNA(MATCH(AW$5,PayDedList,0)),0,MIN(IF(COUNTIFS(OverEmp,$C246,OverDeduct,AW$5,OverDate,"&lt;"&amp;DATE(YEAR($AC246),MONTH($AC246)+1,1),OverEnd,"&gt;="&amp;DATE(YEAR($AC246),MONTH($AC246),1))&gt;0,SUMPRODUCT((PayEmp=$C246)*(PayDate&lt;=$AC246)*(OFFSET($N$6,1,MATCH(AW$5,PayDedList,0)-1,PayCount,1)))/$AA246*12*AW$3,IF(OR(AW$1="Fixed",AW$1="Not Used"),SUMPRODUCT((PayEmp=$C246)*(PayDate&lt;=$AC246)*(OFFSET($N$6,1,MATCH(AW$5,PayDedList,0)-1,PayCount,1)))/$AA246*12*AW$3,IF(ISNA(MATCH(OFFSET($N$2,0,MATCH(AW$5,PayDedList,0)-1,1,1),EarnListItem,0))=FALSE,SUMPRODUCT((PayEmp=$C246)*(PayDate&lt;=$AC246)*(OFFSET($N$6,1,MATCH(AW$5,PayDedList,0)-1,PayCount,1)))/$AA246*12*AW$3,(MIN(SUMPRODUCT((PayEmp=$C246)*(PayDate&lt;=$AC246)*(ISERROR(SEARCH(PayEarnCode,AW$2)))*(PayEarnType="Monthly")*(PayEarnValues))/$AA246*12,IF(ISNUMBER(OFFSET($N$3,0,MATCH(AW$5,PayDedList,0)-1,1,1)),OFFSET($N$3,0,MATCH(AW$5,PayDedList,0)-1,1,1),IgnoreMin)))*IF(COUNTIFS(EmpNo,$C246,OFFSET(Emp!$R$4,1,MATCH(AW$5,DedListItem,0)-1,EmpCount,1),"&lt;&gt;")&gt;0,VLOOKUP($C246,EmpAll,COLUMN(Emp!$R$4)+MATCH(AW$5,DedListItem,0)-1,0),OFFSET(Setup!$E$73,MATCH(AW$5,DedListItem,0),0,1,1))*AW$3))),IF(ISNUMBER(AW$4),AW$4,IgnoreMin)))))</f>
        <v>0</v>
      </c>
      <c r="AX246" s="148">
        <f t="shared" ca="1" si="160"/>
        <v>0</v>
      </c>
      <c r="AY246" s="148">
        <f t="shared" ca="1" si="161"/>
        <v>0</v>
      </c>
      <c r="AZ246" s="148">
        <f ca="1">IF(ISNUMBER($AL246),($AR246*$AL246)-$AI246-$AK246,MAX(0,IF($AL246="B",IF($AR246&lt;Setup!$C$32,($AR246*Setup!$D$32)-$AI246-$AK246,(($AR246-VLOOKUP($AR246,TaxAll2,1,1))*OFFSET(Setup!$D$32,MATCH($AR246,TaxBracket2,1),0,1,1))+OFFSET(Setup!$E$31,MATCH($AR246,TaxBracket2,1),0,1,1)-$AI246-$AK246),IF($AR246&lt;Setup!$C$21,($AR246*Setup!$D$21)-$AI246-$AK246,(($AR246-VLOOKUP($AR246,TaxAll1,1,1))*OFFSET(Setup!$D$21,MATCH($AR246,TaxBracket1,1),0,1,1))+OFFSET(Setup!$E$20,MATCH($AR246,TaxBracket1,1),0,1,1)-$AI246-$AK246))))</f>
        <v>0</v>
      </c>
      <c r="BA246" s="148">
        <f ca="1">IF(ISNUMBER($AL246),($AX246*$AL246)-$AI246-$AK246,MAX(0,IF($AL246="B",IF($AX246&lt;Setup!$C$32,($AX246*Setup!$D$32)-$AI246-$AK246,(($AX246-VLOOKUP($AX246,TaxAll2,1,1))*OFFSET(Setup!$D$32,MATCH($AX246,TaxBracket2,1),0,1,1))+OFFSET(Setup!$E$31,MATCH($AX246,TaxBracket2,1),0,1,1)-$AI246-$AK246),IF($AX246&lt;Setup!$C$21,($AX246*Setup!$D$21)-$AI246-$AK246,(($AX246-VLOOKUP($AX246,TaxAll1,1,1))*OFFSET(Setup!$D$21,MATCH($AX246,TaxBracket1,1),0,1,1))+OFFSET(Setup!$E$20,MATCH($AX246,TaxBracket1,1),0,1,1)-$AI246-$AK246))))</f>
        <v>0</v>
      </c>
      <c r="BB246" s="148">
        <f t="shared" ca="1" si="162"/>
        <v>0</v>
      </c>
      <c r="BC246" s="150">
        <f t="shared" ca="1" si="110"/>
        <v>0</v>
      </c>
      <c r="BD246" s="150">
        <f t="shared" ca="1" si="111"/>
        <v>0</v>
      </c>
      <c r="BE246" s="148">
        <f t="shared" ca="1" si="112"/>
        <v>0</v>
      </c>
    </row>
  </sheetData>
  <sheetProtection formatCells="0" formatColumns="0" formatRows="0"/>
  <phoneticPr fontId="2" type="noConversion"/>
  <conditionalFormatting sqref="B4">
    <cfRule type="cellIs" dxfId="249" priority="1" stopIfTrue="1" operator="equal">
      <formula>"add!"</formula>
    </cfRule>
  </conditionalFormatting>
  <printOptions horizontalCentered="1"/>
  <pageMargins left="0.59055118110236227" right="0.59055118110236227" top="0.59055118110236227" bottom="0.59055118110236227" header="0.39370078740157483" footer="0.39370078740157483"/>
  <pageSetup paperSize="9" scale="41" fitToWidth="3" fitToHeight="0" orientation="landscape" r:id="rId1"/>
  <headerFooter alignWithMargins="0">
    <oddFooter>&amp;C&amp;9Page &amp;P of &amp;N</oddFooter>
  </headerFooter>
  <colBreaks count="2" manualBreakCount="2">
    <brk id="12" min="1" max="322" man="1"/>
    <brk id="18" min="1" max="322" man="1"/>
  </colBreaks>
  <drawing r:id="rId2"/>
  <tableParts count="1">
    <tablePart r:id="rId3"/>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pageSetUpPr fitToPage="1"/>
  </sheetPr>
  <dimension ref="A1:L11"/>
  <sheetViews>
    <sheetView zoomScale="95" zoomScaleNormal="95" workbookViewId="0">
      <pane ySplit="4" topLeftCell="A5" activePane="bottomLeft" state="frozen"/>
      <selection pane="bottomLeft" activeCell="A4" sqref="A4"/>
    </sheetView>
  </sheetViews>
  <sheetFormatPr defaultColWidth="10.42578125" defaultRowHeight="16.149999999999999" customHeight="1" x14ac:dyDescent="0.25"/>
  <cols>
    <col min="1" max="1" width="11.7109375" style="199" customWidth="1"/>
    <col min="2" max="5" width="13.7109375" style="135" customWidth="1"/>
    <col min="6" max="7" width="13.7109375" style="200" customWidth="1"/>
    <col min="8" max="8" width="13.7109375" style="111" customWidth="1"/>
    <col min="9" max="9" width="13.7109375" style="191" customWidth="1"/>
    <col min="10" max="10" width="30.7109375" style="197" customWidth="1"/>
    <col min="11" max="11" width="12.7109375" style="137" customWidth="1"/>
    <col min="12" max="12" width="10.42578125" style="198"/>
    <col min="13" max="16384" width="10.42578125" style="2"/>
  </cols>
  <sheetData>
    <row r="1" spans="1:11" s="2" customFormat="1" ht="16.149999999999999" customHeight="1" x14ac:dyDescent="0.25">
      <c r="A1" s="302" t="str">
        <f>Setup!$C$4</f>
        <v>Example (Pty) Limited</v>
      </c>
      <c r="B1" s="3"/>
      <c r="C1" s="3"/>
      <c r="D1" s="3"/>
      <c r="E1" s="3"/>
      <c r="F1" s="3"/>
      <c r="G1" s="3"/>
      <c r="H1" s="190"/>
      <c r="I1" s="191"/>
      <c r="J1" s="9"/>
      <c r="K1" s="137"/>
    </row>
    <row r="2" spans="1:11" s="2" customFormat="1" ht="16.149999999999999" customHeight="1" x14ac:dyDescent="0.25">
      <c r="A2" s="6" t="s">
        <v>94</v>
      </c>
      <c r="B2" s="3"/>
      <c r="C2" s="3"/>
      <c r="D2" s="3"/>
      <c r="E2" s="3"/>
      <c r="F2" s="3"/>
      <c r="G2" s="3"/>
      <c r="H2" s="190"/>
      <c r="I2" s="191"/>
      <c r="J2" s="9"/>
      <c r="K2" s="137"/>
    </row>
    <row r="3" spans="1:11" s="54" customFormat="1" ht="16.149999999999999" customHeight="1" x14ac:dyDescent="0.2">
      <c r="A3" s="7" t="s">
        <v>168</v>
      </c>
      <c r="B3" s="116"/>
      <c r="C3" s="116"/>
      <c r="D3" s="116"/>
      <c r="E3" s="116"/>
      <c r="F3" s="116"/>
      <c r="G3" s="116"/>
      <c r="H3" s="192"/>
      <c r="I3" s="193"/>
      <c r="J3" s="194"/>
      <c r="K3" s="151"/>
    </row>
    <row r="4" spans="1:11" s="127" customFormat="1" ht="27" x14ac:dyDescent="0.25">
      <c r="A4" s="320" t="s">
        <v>95</v>
      </c>
      <c r="B4" s="121" t="s">
        <v>23</v>
      </c>
      <c r="C4" s="121" t="s">
        <v>411</v>
      </c>
      <c r="D4" s="121" t="s">
        <v>115</v>
      </c>
      <c r="E4" s="121" t="s">
        <v>116</v>
      </c>
      <c r="F4" s="121" t="s">
        <v>96</v>
      </c>
      <c r="G4" s="121" t="s">
        <v>117</v>
      </c>
      <c r="H4" s="124" t="s">
        <v>97</v>
      </c>
      <c r="I4" s="195" t="s">
        <v>201</v>
      </c>
      <c r="J4" s="170" t="s">
        <v>5</v>
      </c>
      <c r="K4" s="196" t="s">
        <v>202</v>
      </c>
    </row>
    <row r="5" spans="1:11" ht="16.149999999999999" customHeight="1" x14ac:dyDescent="0.25">
      <c r="A5" s="128">
        <v>45108</v>
      </c>
      <c r="B5" s="128" t="s">
        <v>267</v>
      </c>
      <c r="C5" s="128"/>
      <c r="D5" s="128"/>
      <c r="E5" s="128" t="s">
        <v>259</v>
      </c>
      <c r="F5" s="128"/>
      <c r="G5" s="128"/>
      <c r="H5" s="133">
        <v>3</v>
      </c>
      <c r="I5" s="129">
        <v>45350</v>
      </c>
      <c r="J5" s="197" t="str">
        <f>IF(ISNA(VLOOKUP($B5,EmpAll,COLUMN(Emp!$B$4),0)),"-",VLOOKUP($B5,EmpAll,COLUMN(Emp!$B$4),0))</f>
        <v>Smith F</v>
      </c>
      <c r="K5" s="137">
        <f>IF(ISBLANK(A5),Setup!$D$12,IF(ISBLANK(I5),DATE(YEAR(A5),MONTH(A5)+1,0),DATE(YEAR(I5),MONTH(I5)+1,0)))</f>
        <v>45351</v>
      </c>
    </row>
    <row r="6" spans="1:11" ht="16.149999999999999" customHeight="1" x14ac:dyDescent="0.25">
      <c r="A6" s="128">
        <v>45010</v>
      </c>
      <c r="B6" s="128" t="s">
        <v>269</v>
      </c>
      <c r="C6" s="128" t="s">
        <v>47</v>
      </c>
      <c r="D6" s="128"/>
      <c r="E6" s="128"/>
      <c r="F6" s="128"/>
      <c r="G6" s="128"/>
      <c r="H6" s="133">
        <v>3600</v>
      </c>
      <c r="I6" s="129"/>
      <c r="J6" s="197" t="str">
        <f>IF(ISNA(VLOOKUP($B6,EmpAll,COLUMN(Emp!$B$4),0)),"-",VLOOKUP($B6,EmpAll,COLUMN(Emp!$B$4),0))</f>
        <v>Osborne S</v>
      </c>
      <c r="K6" s="137">
        <f>IF(ISBLANK(A6),Setup!$D$12,IF(ISBLANK(I6),DATE(YEAR(A6),MONTH(A6)+1,0),DATE(YEAR(I6),MONTH(I6)+1,0)))</f>
        <v>45016</v>
      </c>
    </row>
    <row r="7" spans="1:11" ht="16.149999999999999" customHeight="1" x14ac:dyDescent="0.25">
      <c r="A7" s="128">
        <v>45194</v>
      </c>
      <c r="B7" s="128" t="s">
        <v>268</v>
      </c>
      <c r="C7" s="128" t="s">
        <v>54</v>
      </c>
      <c r="D7" s="128"/>
      <c r="E7" s="128"/>
      <c r="F7" s="128"/>
      <c r="G7" s="128"/>
      <c r="H7" s="133">
        <v>10000</v>
      </c>
      <c r="I7" s="129"/>
      <c r="J7" s="197" t="str">
        <f>IF(ISNA(VLOOKUP($B7,EmpAll,COLUMN(Emp!$B$4),0)),"-",VLOOKUP($B7,EmpAll,COLUMN(Emp!$B$4),0))</f>
        <v>Wilson PG</v>
      </c>
      <c r="K7" s="137">
        <f>IF(ISBLANK(A7),Setup!$D$12,IF(ISBLANK(I7),DATE(YEAR(A7),MONTH(A7)+1,0),DATE(YEAR(I7),MONTH(I7)+1,0)))</f>
        <v>45199</v>
      </c>
    </row>
    <row r="8" spans="1:11" ht="16.149999999999999" customHeight="1" x14ac:dyDescent="0.25">
      <c r="A8" s="128">
        <v>45200</v>
      </c>
      <c r="B8" s="128" t="s">
        <v>268</v>
      </c>
      <c r="C8" s="128"/>
      <c r="D8" s="128"/>
      <c r="E8" s="128"/>
      <c r="F8" s="128" t="s">
        <v>400</v>
      </c>
      <c r="G8" s="128"/>
      <c r="H8" s="133">
        <v>2000</v>
      </c>
      <c r="I8" s="129">
        <v>45350</v>
      </c>
      <c r="J8" s="197" t="str">
        <f>IF(ISNA(VLOOKUP($B8,EmpAll,COLUMN(Emp!$B$4),0)),"-",VLOOKUP($B8,EmpAll,COLUMN(Emp!$B$4),0))</f>
        <v>Wilson PG</v>
      </c>
      <c r="K8" s="137">
        <f>IF(ISBLANK(A8),Setup!$D$12,IF(ISBLANK(I8),DATE(YEAR(A8),MONTH(A8)+1,0),DATE(YEAR(I8),MONTH(I8)+1,0)))</f>
        <v>45351</v>
      </c>
    </row>
    <row r="9" spans="1:11" ht="16.149999999999999" customHeight="1" x14ac:dyDescent="0.25">
      <c r="C9" s="128"/>
      <c r="D9" s="128"/>
      <c r="E9" s="128"/>
      <c r="G9" s="128"/>
      <c r="J9" s="197" t="str">
        <f>IF(ISNA(VLOOKUP($B9,EmpAll,COLUMN(Emp!$B$4),0)),"-",VLOOKUP($B9,EmpAll,COLUMN(Emp!$B$4),0))</f>
        <v>-</v>
      </c>
      <c r="K9" s="137">
        <f ca="1">IF(ISBLANK(A9),Setup!$D$12,IF(ISBLANK(I9),DATE(YEAR(A9),MONTH(A9)+1,0),DATE(YEAR(I9),MONTH(I9)+1,0)))</f>
        <v>45351</v>
      </c>
    </row>
    <row r="10" spans="1:11" ht="16.149999999999999" customHeight="1" x14ac:dyDescent="0.25">
      <c r="C10" s="128"/>
      <c r="D10" s="128"/>
      <c r="E10" s="128"/>
      <c r="G10" s="128"/>
      <c r="J10" s="197" t="str">
        <f>IF(ISNA(VLOOKUP($B10,EmpAll,COLUMN(Emp!$B$4),0)),"-",VLOOKUP($B10,EmpAll,COLUMN(Emp!$B$4),0))</f>
        <v>-</v>
      </c>
      <c r="K10" s="137">
        <f ca="1">IF(ISBLANK(A10),Setup!$D$12,IF(ISBLANK(I10),DATE(YEAR(A10),MONTH(A10)+1,0),DATE(YEAR(I10),MONTH(I10)+1,0)))</f>
        <v>45351</v>
      </c>
    </row>
    <row r="11" spans="1:11" ht="16.149999999999999" customHeight="1" x14ac:dyDescent="0.25">
      <c r="C11" s="128"/>
      <c r="D11" s="128"/>
      <c r="E11" s="128"/>
      <c r="G11" s="128"/>
      <c r="J11" s="197" t="str">
        <f>IF(ISNA(VLOOKUP($B11,EmpAll,COLUMN(Emp!$B$4),0)),"-",VLOOKUP($B11,EmpAll,COLUMN(Emp!$B$4),0))</f>
        <v>-</v>
      </c>
      <c r="K11" s="137">
        <f ca="1">IF(ISBLANK(A11),Setup!$D$12,IF(ISBLANK(I11),DATE(YEAR(A11),MONTH(A11)+1,0),DATE(YEAR(I11),MONTH(I11)+1,0)))</f>
        <v>45351</v>
      </c>
    </row>
  </sheetData>
  <sheetProtection formatCells="0" formatColumns="0" formatRows="0"/>
  <dataValidations count="6">
    <dataValidation type="list" allowBlank="1" showInputMessage="1" showErrorMessage="1" errorTitle="Invalid Data" error="Select a valid entry from the list box." sqref="B5:B11" xr:uid="{00000000-0002-0000-0700-000000000000}">
      <formula1>EmpNo</formula1>
    </dataValidation>
    <dataValidation type="list" allowBlank="1" showInputMessage="1" showErrorMessage="1" errorTitle="Invalid Data" error="Select a valid item from the list box." sqref="F5:F11" xr:uid="{00000000-0002-0000-0700-000001000000}">
      <formula1>DedListItem</formula1>
    </dataValidation>
    <dataValidation type="list" allowBlank="1" showInputMessage="1" showErrorMessage="1" errorTitle="Invalid Data" error="Select a valid entry from the list box." sqref="D5:D11" xr:uid="{00000000-0002-0000-0700-000002000000}">
      <formula1>"TAX"</formula1>
    </dataValidation>
    <dataValidation type="list" allowBlank="1" showInputMessage="1" showErrorMessage="1" errorTitle="Invalid Data" error="Select a valid entry from the list box." sqref="E5:E11" xr:uid="{00000000-0002-0000-0700-000003000000}">
      <formula1>"MED"</formula1>
    </dataValidation>
    <dataValidation type="list" allowBlank="1" showInputMessage="1" showErrorMessage="1" errorTitle="Invalid Data" error="Select a valid item from the list box." sqref="G5:G11" xr:uid="{00000000-0002-0000-0700-000004000000}">
      <formula1>CompListItem</formula1>
    </dataValidation>
    <dataValidation type="list" allowBlank="1" showInputMessage="1" showErrorMessage="1" errorTitle="Invalid Data" error="Select a valid entry from the list box." sqref="C5:C11" xr:uid="{3CB47E00-A8B8-4D08-99E2-AC5CD6839D36}">
      <formula1>EarnListItem</formula1>
    </dataValidation>
  </dataValidations>
  <pageMargins left="0.59055118110236227" right="0.59055118110236227" top="0.59055118110236227" bottom="0.59055118110236227" header="0.39370078740157483" footer="0.39370078740157483"/>
  <pageSetup paperSize="9" scale="87" fitToHeight="0" orientation="landscape" r:id="rId1"/>
  <headerFooter alignWithMargins="0">
    <oddFooter>&amp;C&amp;9Page &amp;P of &amp;N</oddFooter>
  </headerFooter>
  <drawing r:id="rId2"/>
  <tableParts count="1">
    <tablePart r:id="rId3"/>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pageSetUpPr fitToPage="1"/>
  </sheetPr>
  <dimension ref="A2:H46"/>
  <sheetViews>
    <sheetView zoomScale="95" zoomScaleNormal="95" zoomScaleSheetLayoutView="100" workbookViewId="0">
      <selection activeCell="G3" sqref="G3"/>
    </sheetView>
  </sheetViews>
  <sheetFormatPr defaultColWidth="9.140625" defaultRowHeight="16.149999999999999" customHeight="1" x14ac:dyDescent="0.25"/>
  <cols>
    <col min="1" max="1" width="10.7109375" style="207" customWidth="1"/>
    <col min="2" max="2" width="19.7109375" style="212" customWidth="1"/>
    <col min="3" max="3" width="10.7109375" style="212" customWidth="1"/>
    <col min="4" max="5" width="16.7109375" style="268" customWidth="1"/>
    <col min="6" max="6" width="13.7109375" style="267" customWidth="1"/>
    <col min="7" max="7" width="16.7109375" style="267" customWidth="1"/>
    <col min="8" max="8" width="3.7109375" style="267" customWidth="1"/>
    <col min="9" max="16384" width="9.140625" style="212"/>
  </cols>
  <sheetData>
    <row r="2" spans="1:8" s="206" customFormat="1" ht="18" customHeight="1" x14ac:dyDescent="0.25">
      <c r="A2" s="201"/>
      <c r="B2" s="304" t="str">
        <f>Setup!$C$4</f>
        <v>Example (Pty) Limited</v>
      </c>
      <c r="C2" s="202"/>
      <c r="D2" s="203"/>
      <c r="E2" s="203"/>
      <c r="F2" s="204"/>
      <c r="G2" s="305" t="s">
        <v>158</v>
      </c>
      <c r="H2" s="205"/>
    </row>
    <row r="3" spans="1:8" ht="16.149999999999999" customHeight="1" x14ac:dyDescent="0.25">
      <c r="B3" s="208" t="str">
        <f>Setup!$C$5</f>
        <v>Building Name, Street Address, Suburb, City, Code</v>
      </c>
      <c r="C3" s="208"/>
      <c r="D3" s="209"/>
      <c r="E3" s="209"/>
      <c r="F3" s="210" t="s">
        <v>155</v>
      </c>
      <c r="G3" s="80" t="s">
        <v>605</v>
      </c>
      <c r="H3" s="211"/>
    </row>
    <row r="4" spans="1:8" ht="16.149999999999999" customHeight="1" x14ac:dyDescent="0.25">
      <c r="B4" s="208" t="str">
        <f>"Registration No: "&amp;Setup!$C$6</f>
        <v>Registration No: 2017 000000 00</v>
      </c>
      <c r="C4" s="208"/>
      <c r="D4" s="209"/>
      <c r="E4" s="209"/>
      <c r="F4" s="210" t="s">
        <v>15</v>
      </c>
      <c r="G4" s="213">
        <f ca="1">IF(ISNA(VLOOKUP($G$3,Payroll[],COLUMN(Payroll!$AC$6),0))=TRUE,"select payslip no!",VLOOKUP($G$3,Payroll[],COLUMN(Payroll!$AC$6),0))</f>
        <v>45347</v>
      </c>
      <c r="H4" s="211"/>
    </row>
    <row r="5" spans="1:8" ht="16.149999999999999" customHeight="1" x14ac:dyDescent="0.25">
      <c r="B5" s="208" t="str">
        <f>"Telephone No: "&amp;Setup!$C$7</f>
        <v>Telephone No: +27 21 999 9999</v>
      </c>
      <c r="C5" s="208"/>
      <c r="D5" s="209"/>
      <c r="E5" s="209"/>
      <c r="F5" s="210" t="s">
        <v>17</v>
      </c>
      <c r="G5" s="214">
        <f ca="1">IF(ISNA(VLOOKUP($G$3,Payroll[],COLUMN(Payroll!$AA$6),0))=TRUE,"-",VLOOKUP($G$3,Payroll[],COLUMN(Payroll!$AA$6),0))</f>
        <v>12</v>
      </c>
      <c r="H5" s="211"/>
    </row>
    <row r="6" spans="1:8" ht="16.149999999999999" customHeight="1" x14ac:dyDescent="0.25">
      <c r="B6" s="208" t="str">
        <f>"E-mail: "&amp;Setup!$C$8</f>
        <v>E-mail: hr@example.com</v>
      </c>
      <c r="C6" s="208"/>
      <c r="D6" s="209"/>
      <c r="E6" s="209"/>
      <c r="F6" s="140" t="s">
        <v>179</v>
      </c>
      <c r="G6" s="147">
        <f ca="1">IF(ISNA(VLOOKUP($G$3,Payroll[],COLUMN(Payroll!$BE$6),0))=TRUE,"-",VLOOKUP($G$3,Payroll[],COLUMN(Payroll!$BE$6),0))</f>
        <v>1980000</v>
      </c>
      <c r="H6" s="211"/>
    </row>
    <row r="7" spans="1:8" ht="16.149999999999999" customHeight="1" x14ac:dyDescent="0.25">
      <c r="B7" s="7" t="s">
        <v>168</v>
      </c>
      <c r="C7" s="208"/>
      <c r="D7" s="209"/>
      <c r="E7" s="209"/>
      <c r="F7" s="215"/>
      <c r="G7" s="210"/>
      <c r="H7" s="211"/>
    </row>
    <row r="8" spans="1:8" s="218" customFormat="1" ht="18" customHeight="1" x14ac:dyDescent="0.25">
      <c r="A8" s="216"/>
      <c r="B8" s="347" t="s">
        <v>156</v>
      </c>
      <c r="C8" s="348"/>
      <c r="D8" s="348"/>
      <c r="E8" s="348"/>
      <c r="F8" s="348"/>
      <c r="G8" s="349"/>
      <c r="H8" s="217"/>
    </row>
    <row r="9" spans="1:8" ht="16.149999999999999" customHeight="1" x14ac:dyDescent="0.25">
      <c r="B9" s="219" t="s">
        <v>5</v>
      </c>
      <c r="C9" s="220" t="str">
        <f ca="1">IF(ISNA(VLOOKUP($C$11,Employees[],COLUMN(Emp!$B$4),0))=TRUE,"invalid employee number!",VLOOKUP($C$11,Employees[],COLUMN(Emp!$B$4),0))</f>
        <v>Taylor AE</v>
      </c>
      <c r="D9" s="221"/>
      <c r="E9" s="221"/>
      <c r="F9" s="222"/>
      <c r="G9" s="223"/>
      <c r="H9" s="211"/>
    </row>
    <row r="10" spans="1:8" ht="16.149999999999999" customHeight="1" x14ac:dyDescent="0.25">
      <c r="B10" s="224" t="s">
        <v>24</v>
      </c>
      <c r="C10" s="225" t="str">
        <f ca="1">IF(ISNA(VLOOKUP($C$11,Employees[],COLUMN(Emp!$K$4),0))=TRUE,"-",VLOOKUP($C$11,Employees[],COLUMN(Emp!$K$4),0))</f>
        <v>Building Name, Street Address, Suburb, City, Code</v>
      </c>
      <c r="D10" s="133"/>
      <c r="E10" s="133"/>
      <c r="F10" s="226"/>
      <c r="G10" s="227"/>
      <c r="H10" s="211"/>
    </row>
    <row r="11" spans="1:8" ht="16.149999999999999" customHeight="1" x14ac:dyDescent="0.25">
      <c r="B11" s="224" t="s">
        <v>23</v>
      </c>
      <c r="C11" s="225" t="str">
        <f ca="1">IF(ISNA(VLOOKUP($G$3,Payroll[],COLUMN(Payroll!$C$6),0))=TRUE,"-",VLOOKUP($G$3,Payroll[],COLUMN(Payroll!$C$6),0))</f>
        <v>EXS001</v>
      </c>
      <c r="D11" s="133"/>
      <c r="E11" s="133"/>
      <c r="F11" s="228" t="s">
        <v>13</v>
      </c>
      <c r="G11" s="229" t="str">
        <f ca="1">IF(ISNA(VLOOKUP($C$11,Employees[],COLUMN(Emp!$I$4),0))=TRUE,"-",TEXT(VLOOKUP($C$11,Employees[],COLUMN(Emp!$I$4),0),"0000000000000"))</f>
        <v>111111 1111 001</v>
      </c>
      <c r="H11" s="211"/>
    </row>
    <row r="12" spans="1:8" ht="16.149999999999999" customHeight="1" x14ac:dyDescent="0.25">
      <c r="B12" s="224" t="s">
        <v>157</v>
      </c>
      <c r="C12" s="350">
        <f ca="1">IF(ISNA(VLOOKUP($C$11,Employees[],COLUMN(Emp!$D$4),0))=TRUE,"-",VLOOKUP($C$11,Employees[],COLUMN(Emp!$D$4),0))</f>
        <v>40603</v>
      </c>
      <c r="D12" s="350"/>
      <c r="E12" s="230"/>
      <c r="F12" s="228" t="s">
        <v>159</v>
      </c>
      <c r="G12" s="229" t="str">
        <f ca="1">IF(ISNA(VLOOKUP($C$11,Employees[],COLUMN(Emp!$J$4),0))=TRUE,"-",VLOOKUP($C$11,Employees[],COLUMN(Emp!$J$4),0))</f>
        <v>000 000 001</v>
      </c>
      <c r="H12" s="211"/>
    </row>
    <row r="13" spans="1:8" ht="16.149999999999999" customHeight="1" x14ac:dyDescent="0.25">
      <c r="B13" s="231" t="s">
        <v>6</v>
      </c>
      <c r="C13" s="232" t="str">
        <f ca="1">IF(ISNA(VLOOKUP($C$11,Employees[],COLUMN(Emp!$H$4),0))=TRUE,"-",VLOOKUP($C$11,Employees[],COLUMN(Emp!$H$4),0))</f>
        <v>CEO</v>
      </c>
      <c r="D13" s="233"/>
      <c r="E13" s="233"/>
      <c r="F13" s="234" t="s">
        <v>122</v>
      </c>
      <c r="G13" s="235" t="str">
        <f ca="1">IF(ISNA(VLOOKUP($C$11,Employees[],COLUMN(Emp!$C$4),0))=TRUE,"-",IF(ISNA(VLOOKUP(VLOOKUP($C$11,Employees[],COLUMN(Emp!$C$4),0),DeptAll,COLUMN(Setup!$B$89),0)),"-",VLOOKUP(VLOOKUP($C$11,Employees[],COLUMN(Emp!$C$4),0),DeptAll,COLUMN(Setup!$B$89),0)))</f>
        <v>Management</v>
      </c>
      <c r="H13" s="211"/>
    </row>
    <row r="14" spans="1:8" ht="16.149999999999999" customHeight="1" x14ac:dyDescent="0.25">
      <c r="B14" s="208"/>
      <c r="C14" s="208"/>
      <c r="D14" s="208"/>
      <c r="E14" s="208"/>
      <c r="F14" s="236"/>
      <c r="G14" s="237"/>
      <c r="H14" s="211"/>
    </row>
    <row r="15" spans="1:8" s="216" customFormat="1" ht="18" customHeight="1" x14ac:dyDescent="0.25">
      <c r="B15" s="238" t="str">
        <f ca="1">"Monthly Pay for "&amp;TEXT($G$4,"mmmm yyyy")</f>
        <v>Monthly Pay for February 2024</v>
      </c>
      <c r="C15" s="238"/>
      <c r="D15" s="239"/>
      <c r="E15" s="238" t="s">
        <v>160</v>
      </c>
      <c r="F15" s="238"/>
      <c r="G15" s="240"/>
      <c r="H15" s="241"/>
    </row>
    <row r="16" spans="1:8" s="248" customFormat="1" ht="16.149999999999999" customHeight="1" x14ac:dyDescent="0.2">
      <c r="A16" s="242"/>
      <c r="B16" s="243" t="s">
        <v>7</v>
      </c>
      <c r="C16" s="244"/>
      <c r="D16" s="245"/>
      <c r="E16" s="243" t="s">
        <v>7</v>
      </c>
      <c r="F16" s="222"/>
      <c r="G16" s="246"/>
      <c r="H16" s="247"/>
    </row>
    <row r="17" spans="1:8" ht="16.149999999999999" customHeight="1" x14ac:dyDescent="0.25">
      <c r="A17" s="207" t="str">
        <f t="array" aca="1" ref="A17" ca="1">IF(ISERROR(INDEX(SlipEarn,SMALL(IF(SlipEarnValue&lt;&gt;0,ROW(SlipEarnValue)-ROW(Setup!$B$119)),ROW(1:1)),1))=TRUE,"-",INDEX(SlipEarn,SMALL(IF(SlipEarnValue&lt;&gt;0,ROW(SlipEarnValue)-ROW(Setup!$B$119)),ROW(1:1)),1))</f>
        <v>A</v>
      </c>
      <c r="B17" s="249" t="str">
        <f ca="1">IF(ISNA(VLOOKUP($A17,EarnListAll,COLUMN(Setup!$B$64),0)),"",VLOOKUP($A17,EarnListAll,COLUMN(Setup!$B$64),0))</f>
        <v>Basic Salary</v>
      </c>
      <c r="C17" s="250"/>
      <c r="D17" s="251" cm="1">
        <f t="array" aca="1" ref="D17" ca="1">IF(ISNA(MATCH($A17,PayEarnCode,0)),"",SUMIFS(OFFSET(Payroll!$G$6,1,MATCH($A17,PayEarnCode,0)-1,PayCount,1),PayEmp,$C$11,PayDate,$G$4))</f>
        <v>165000</v>
      </c>
      <c r="E17" s="249" t="str">
        <f ca="1">IF(ISNA(VLOOKUP($A17,EarnListAll,COLUMN(Setup!$B$64),0)),"",VLOOKUP($A17,EarnListAll,COLUMN(Setup!$B$64),0))</f>
        <v>Basic Salary</v>
      </c>
      <c r="F17" s="252"/>
      <c r="G17" s="227" cm="1">
        <f t="array" aca="1" ref="G17" ca="1">IF(ISNA(MATCH($A17,PayEarnCode,0)),"",SUMIFS(OFFSET(Payroll!$G$6,1,MATCH($A17,PayEarnCode,0)-1,PayCount,1),PayEmp,$C$11,PayDate,"&lt;="&amp;$G$4))</f>
        <v>1830000</v>
      </c>
      <c r="H17" s="211"/>
    </row>
    <row r="18" spans="1:8" ht="16.149999999999999" customHeight="1" x14ac:dyDescent="0.25">
      <c r="A18" s="207" t="str">
        <f t="array" aca="1" ref="A18" ca="1">IF(ISERROR(INDEX(SlipEarn,SMALL(IF(SlipEarnValue&lt;&gt;0,ROW(SlipEarnValue)-ROW(Setup!$B$119)),ROW(2:2)),1))=TRUE,"-",INDEX(SlipEarn,SMALL(IF(SlipEarnValue&lt;&gt;0,ROW(SlipEarnValue)-ROW(Setup!$B$119)),ROW(2:2)),1))</f>
        <v>C</v>
      </c>
      <c r="B18" s="249" t="str">
        <f ca="1">IF(ISNA(VLOOKUP($A18,EarnListAll,COLUMN(Setup!$B$64),0)),"",VLOOKUP($A18,EarnListAll,COLUMN(Setup!$B$64),0))</f>
        <v>Annual Bonus</v>
      </c>
      <c r="C18" s="208"/>
      <c r="D18" s="251" cm="1">
        <f t="array" aca="1" ref="D18" ca="1">IF(ISNA(MATCH($A18,PayEarnCode,0)),"",SUMIFS(OFFSET(Payroll!$G$6,1,MATCH($A18,PayEarnCode,0)-1,PayCount,1),PayEmp,$C$11,PayDate,$G$4))</f>
        <v>0</v>
      </c>
      <c r="E18" s="249" t="str">
        <f ca="1">IF(ISNA(VLOOKUP($A18,EarnListAll,COLUMN(Setup!$B$64),0)),"",VLOOKUP($A18,EarnListAll,COLUMN(Setup!$B$64),0))</f>
        <v>Annual Bonus</v>
      </c>
      <c r="F18" s="252"/>
      <c r="G18" s="227" cm="1">
        <f t="array" aca="1" ref="G18" ca="1">IF(ISNA(MATCH($A18,PayEarnCode,0)),"",SUMIFS(OFFSET(Payroll!$G$6,1,MATCH($A18,PayEarnCode,0)-1,PayCount,1),PayEmp,$C$11,PayDate,"&lt;="&amp;$G$4))</f>
        <v>150000</v>
      </c>
      <c r="H18" s="211"/>
    </row>
    <row r="19" spans="1:8" ht="16.149999999999999" customHeight="1" x14ac:dyDescent="0.25">
      <c r="A19" s="207" t="str">
        <f t="array" aca="1" ref="A19" ca="1">IF(ISERROR(INDEX(SlipEarn,SMALL(IF(SlipEarnValue&lt;&gt;0,ROW(SlipEarnValue)-ROW(Setup!$B$119)),ROW(3:3)),1))=TRUE,"-",INDEX(SlipEarn,SMALL(IF(SlipEarnValue&lt;&gt;0,ROW(SlipEarnValue)-ROW(Setup!$B$119)),ROW(3:3)),1))</f>
        <v>-</v>
      </c>
      <c r="B19" s="249" t="str">
        <f ca="1">IF(ISNA(VLOOKUP($A19,EarnListAll,COLUMN(Setup!$B$64),0)),"",VLOOKUP($A19,EarnListAll,COLUMN(Setup!$B$64),0))</f>
        <v/>
      </c>
      <c r="C19" s="208"/>
      <c r="D19" s="251" t="str" cm="1">
        <f t="array" aca="1" ref="D19" ca="1">IF(ISNA(MATCH($A19,PayEarnCode,0)),"",SUMIFS(OFFSET(Payroll!$G$6,1,MATCH($A19,PayEarnCode,0)-1,PayCount,1),PayEmp,$C$11,PayDate,$G$4))</f>
        <v/>
      </c>
      <c r="E19" s="249" t="str">
        <f ca="1">IF(ISNA(VLOOKUP($A19,EarnListAll,COLUMN(Setup!$B$64),0)),"",VLOOKUP($A19,EarnListAll,COLUMN(Setup!$B$64),0))</f>
        <v/>
      </c>
      <c r="F19" s="252"/>
      <c r="G19" s="227" t="str" cm="1">
        <f t="array" aca="1" ref="G19" ca="1">IF(ISNA(MATCH($A19,PayEarnCode,0)),"",SUMIFS(OFFSET(Payroll!$G$6,1,MATCH($A19,PayEarnCode,0)-1,PayCount,1),PayEmp,$C$11,PayDate,"&lt;="&amp;$G$4))</f>
        <v/>
      </c>
      <c r="H19" s="211"/>
    </row>
    <row r="20" spans="1:8" ht="16.149999999999999" customHeight="1" x14ac:dyDescent="0.25">
      <c r="A20" s="207" t="str">
        <f t="array" aca="1" ref="A20" ca="1">IF(ISERROR(INDEX(SlipEarn,SMALL(IF(SlipEarnValue&lt;&gt;0,ROW(SlipEarnValue)-ROW(Setup!$B$119)),ROW(4:4)),1))=TRUE,"-",INDEX(SlipEarn,SMALL(IF(SlipEarnValue&lt;&gt;0,ROW(SlipEarnValue)-ROW(Setup!$B$119)),ROW(4:4)),1))</f>
        <v>-</v>
      </c>
      <c r="B20" s="249" t="str">
        <f ca="1">IF(ISNA(VLOOKUP($A20,EarnListAll,COLUMN(Setup!$B$64),0)),"",VLOOKUP($A20,EarnListAll,COLUMN(Setup!$B$64),0))</f>
        <v/>
      </c>
      <c r="C20" s="208"/>
      <c r="D20" s="251" t="str" cm="1">
        <f t="array" aca="1" ref="D20" ca="1">IF(ISNA(MATCH($A20,PayEarnCode,0)),"",SUMIFS(OFFSET(Payroll!$G$6,1,MATCH($A20,PayEarnCode,0)-1,PayCount,1),PayEmp,$C$11,PayDate,$G$4))</f>
        <v/>
      </c>
      <c r="E20" s="249" t="str">
        <f ca="1">IF(ISNA(VLOOKUP($A20,EarnListAll,COLUMN(Setup!$B$64),0)),"",VLOOKUP($A20,EarnListAll,COLUMN(Setup!$B$64),0))</f>
        <v/>
      </c>
      <c r="F20" s="252"/>
      <c r="G20" s="227" t="str" cm="1">
        <f t="array" aca="1" ref="G20" ca="1">IF(ISNA(MATCH($A20,PayEarnCode,0)),"",SUMIFS(OFFSET(Payroll!$G$6,1,MATCH($A20,PayEarnCode,0)-1,PayCount,1),PayEmp,$C$11,PayDate,"&lt;="&amp;$G$4))</f>
        <v/>
      </c>
      <c r="H20" s="211"/>
    </row>
    <row r="21" spans="1:8" ht="16.149999999999999" customHeight="1" x14ac:dyDescent="0.25">
      <c r="A21" s="207" t="str">
        <f t="array" aca="1" ref="A21" ca="1">IF(ISERROR(INDEX(SlipEarn,SMALL(IF(SlipEarnValue&lt;&gt;0,ROW(SlipEarnValue)-ROW(Setup!$B$119)),ROW(5:5)),1))=TRUE,"-",INDEX(SlipEarn,SMALL(IF(SlipEarnValue&lt;&gt;0,ROW(SlipEarnValue)-ROW(Setup!$B$119)),ROW(5:5)),1))</f>
        <v>-</v>
      </c>
      <c r="B21" s="249" t="str">
        <f ca="1">IF(ISNA(VLOOKUP($A21,EarnListAll,COLUMN(Setup!$B$64),0)),"",VLOOKUP($A21,EarnListAll,COLUMN(Setup!$B$64),0))</f>
        <v/>
      </c>
      <c r="C21" s="208"/>
      <c r="D21" s="251" t="str" cm="1">
        <f t="array" aca="1" ref="D21" ca="1">IF(ISNA(MATCH($A21,PayEarnCode,0)),"",SUMIFS(OFFSET(Payroll!$G$6,1,MATCH($A21,PayEarnCode,0)-1,PayCount,1),PayEmp,$C$11,PayDate,$G$4))</f>
        <v/>
      </c>
      <c r="E21" s="249" t="str">
        <f ca="1">IF(ISNA(VLOOKUP($A21,EarnListAll,COLUMN(Setup!$B$64),0)),"",VLOOKUP($A21,EarnListAll,COLUMN(Setup!$B$64),0))</f>
        <v/>
      </c>
      <c r="F21" s="252"/>
      <c r="G21" s="227" t="str" cm="1">
        <f t="array" aca="1" ref="G21" ca="1">IF(ISNA(MATCH($A21,PayEarnCode,0)),"",SUMIFS(OFFSET(Payroll!$G$6,1,MATCH($A21,PayEarnCode,0)-1,PayCount,1),PayEmp,$C$11,PayDate,"&lt;="&amp;$G$4))</f>
        <v/>
      </c>
      <c r="H21" s="211"/>
    </row>
    <row r="22" spans="1:8" ht="16.149999999999999" customHeight="1" x14ac:dyDescent="0.25">
      <c r="A22" s="207" t="str">
        <f t="array" aca="1" ref="A22" ca="1">IF(ISERROR(INDEX(SlipEarn,SMALL(IF(SlipEarnValue&lt;&gt;0,ROW(SlipEarnValue)-ROW(Setup!$B$119)),ROW(6:6)),1))=TRUE,"-",INDEX(SlipEarn,SMALL(IF(SlipEarnValue&lt;&gt;0,ROW(SlipEarnValue)-ROW(Setup!$B$119)),ROW(6:6)),1))</f>
        <v>-</v>
      </c>
      <c r="B22" s="249" t="str">
        <f ca="1">IF(ISNA(VLOOKUP($A22,EarnListAll,COLUMN(Setup!$B$64),0)),"",VLOOKUP($A22,EarnListAll,COLUMN(Setup!$B$64),0))</f>
        <v/>
      </c>
      <c r="C22" s="208"/>
      <c r="D22" s="251" t="str" cm="1">
        <f t="array" aca="1" ref="D22" ca="1">IF(ISNA(MATCH($A22,PayEarnCode,0)),"",SUMIFS(OFFSET(Payroll!$G$6,1,MATCH($A22,PayEarnCode,0)-1,PayCount,1),PayEmp,$C$11,PayDate,$G$4))</f>
        <v/>
      </c>
      <c r="E22" s="249" t="str">
        <f ca="1">IF(ISNA(VLOOKUP($A22,EarnListAll,COLUMN(Setup!$B$64),0)),"",VLOOKUP($A22,EarnListAll,COLUMN(Setup!$B$64),0))</f>
        <v/>
      </c>
      <c r="F22" s="252"/>
      <c r="G22" s="227" t="str" cm="1">
        <f t="array" aca="1" ref="G22" ca="1">IF(ISNA(MATCH($A22,PayEarnCode,0)),"",SUMIFS(OFFSET(Payroll!$G$6,1,MATCH($A22,PayEarnCode,0)-1,PayCount,1),PayEmp,$C$11,PayDate,"&lt;="&amp;$G$4))</f>
        <v/>
      </c>
      <c r="H22" s="211"/>
    </row>
    <row r="23" spans="1:8" s="248" customFormat="1" ht="16.149999999999999" customHeight="1" x14ac:dyDescent="0.25">
      <c r="A23" s="207" t="str">
        <f t="array" aca="1" ref="A23" ca="1">IF(ISERROR(INDEX(SlipEarn,SMALL(IF(SlipEarnValue&lt;&gt;0,ROW(SlipEarnValue)-ROW(Setup!$B$119)),ROW(7:7)),1))=TRUE,"-",INDEX(SlipEarn,SMALL(IF(SlipEarnValue&lt;&gt;0,ROW(SlipEarnValue)-ROW(Setup!$B$119)),ROW(7:7)),1))</f>
        <v>-</v>
      </c>
      <c r="B23" s="249" t="str">
        <f ca="1">IF(ISNA(VLOOKUP($A23,EarnListAll,COLUMN(Setup!$B$64),0)),"",VLOOKUP($A23,EarnListAll,COLUMN(Setup!$B$64),0))</f>
        <v/>
      </c>
      <c r="C23" s="250"/>
      <c r="D23" s="251" t="str" cm="1">
        <f t="array" aca="1" ref="D23" ca="1">IF(ISNA(MATCH($A23,PayEarnCode,0)),"",SUMIFS(OFFSET(Payroll!$G$6,1,MATCH($A23,PayEarnCode,0)-1,PayCount,1),PayEmp,$C$11,PayDate,$G$4))</f>
        <v/>
      </c>
      <c r="E23" s="249" t="str">
        <f ca="1">IF(ISNA(VLOOKUP($A23,EarnListAll,COLUMN(Setup!$B$64),0)),"",VLOOKUP($A23,EarnListAll,COLUMN(Setup!$B$64),0))</f>
        <v/>
      </c>
      <c r="F23" s="252"/>
      <c r="G23" s="227" t="str" cm="1">
        <f t="array" aca="1" ref="G23" ca="1">IF(ISNA(MATCH($A23,PayEarnCode,0)),"",SUMIFS(OFFSET(Payroll!$G$6,1,MATCH($A23,PayEarnCode,0)-1,PayCount,1),PayEmp,$C$11,PayDate,"&lt;="&amp;$G$4))</f>
        <v/>
      </c>
      <c r="H23" s="247"/>
    </row>
    <row r="24" spans="1:8" ht="16.149999999999999" customHeight="1" x14ac:dyDescent="0.25">
      <c r="A24" s="207" t="str">
        <f t="array" aca="1" ref="A24" ca="1">IF(ISERROR(INDEX(SlipEarn,SMALL(IF(SlipEarnValue&lt;&gt;0,ROW(SlipEarnValue)-ROW(Setup!$B$119)),ROW(8:8)),1))=TRUE,"-",INDEX(SlipEarn,SMALL(IF(SlipEarnValue&lt;&gt;0,ROW(SlipEarnValue)-ROW(Setup!$B$119)),ROW(8:8)),1))</f>
        <v>-</v>
      </c>
      <c r="B24" s="249" t="str">
        <f ca="1">IF(ISNA(VLOOKUP($A24,EarnListAll,COLUMN(Setup!$B$64),0)),"",VLOOKUP($A24,EarnListAll,COLUMN(Setup!$B$64),0))</f>
        <v/>
      </c>
      <c r="C24" s="208"/>
      <c r="D24" s="251" t="str" cm="1">
        <f t="array" aca="1" ref="D24" ca="1">IF(ISNA(MATCH($A24,PayEarnCode,0)),"",SUMIFS(OFFSET(Payroll!$G$6,1,MATCH($A24,PayEarnCode,0)-1,PayCount,1),PayEmp,$C$11,PayDate,$G$4))</f>
        <v/>
      </c>
      <c r="E24" s="249" t="str">
        <f ca="1">IF(ISNA(VLOOKUP($A24,EarnListAll,COLUMN(Setup!$B$64),0)),"",VLOOKUP($A24,EarnListAll,COLUMN(Setup!$B$64),0))</f>
        <v/>
      </c>
      <c r="F24" s="252"/>
      <c r="G24" s="227" t="str" cm="1">
        <f t="array" aca="1" ref="G24" ca="1">IF(ISNA(MATCH($A24,PayEarnCode,0)),"",SUMIFS(OFFSET(Payroll!$G$6,1,MATCH($A24,PayEarnCode,0)-1,PayCount,1),PayEmp,$C$11,PayDate,"&lt;="&amp;$G$4))</f>
        <v/>
      </c>
      <c r="H24" s="211"/>
    </row>
    <row r="25" spans="1:8" ht="16.149999999999999" customHeight="1" x14ac:dyDescent="0.25">
      <c r="A25" s="207" t="str">
        <f t="array" ref="A25">IF(ISERROR(INDEX(SlipEarn,SMALL(IF(SlipEarnValue&lt;&gt;0,ROW(SlipEarnValue)-ROW(Setup!$B$119)),ROW(#REF!)),1))=TRUE,"-",INDEX(SlipEarn,SMALL(IF(SlipEarnValue&lt;&gt;0,ROW(SlipEarnValue)-ROW(Setup!$B$119)),ROW(#REF!)),1))</f>
        <v>-</v>
      </c>
      <c r="B25" s="249" t="str">
        <f ca="1">IF(ISNA(VLOOKUP($A25,EarnListAll,COLUMN(Setup!$B$64),0)),"",VLOOKUP($A25,EarnListAll,COLUMN(Setup!$B$64),0))</f>
        <v/>
      </c>
      <c r="C25" s="208"/>
      <c r="D25" s="251" t="str" cm="1">
        <f t="array" aca="1" ref="D25" ca="1">IF(ISNA(MATCH($A25,PayEarnCode,0)),"",SUMIFS(OFFSET(Payroll!$G$6,1,MATCH($A25,PayEarnCode,0)-1,PayCount,1),PayEmp,$C$11,PayDate,$G$4))</f>
        <v/>
      </c>
      <c r="E25" s="249" t="str">
        <f ca="1">IF(ISNA(VLOOKUP($A25,EarnListAll,COLUMN(Setup!$B$64),0)),"",VLOOKUP($A25,EarnListAll,COLUMN(Setup!$B$64),0))</f>
        <v/>
      </c>
      <c r="F25" s="252"/>
      <c r="G25" s="227" t="str" cm="1">
        <f t="array" aca="1" ref="G25" ca="1">IF(ISNA(MATCH($A25,PayEarnCode,0)),"",SUMIFS(OFFSET(Payroll!$G$6,1,MATCH($A25,PayEarnCode,0)-1,PayCount,1),PayEmp,$C$11,PayDate,"&lt;="&amp;$G$4))</f>
        <v/>
      </c>
      <c r="H25" s="211"/>
    </row>
    <row r="26" spans="1:8" ht="16.149999999999999" customHeight="1" x14ac:dyDescent="0.25">
      <c r="A26" s="207" t="str">
        <f t="array" aca="1" ref="A26" ca="1">IF(ISERROR(INDEX(SlipEarn,SMALL(IF(SlipEarnValue&lt;&gt;0,ROW(SlipEarnValue)-ROW(Setup!$B$119)),ROW(9:9)),1))=TRUE,"-",INDEX(SlipEarn,SMALL(IF(SlipEarnValue&lt;&gt;0,ROW(SlipEarnValue)-ROW(Setup!$B$119)),ROW(9:9)),1))</f>
        <v>-</v>
      </c>
      <c r="B26" s="249" t="str">
        <f ca="1">IF(ISNA(VLOOKUP($A26,EarnListAll,COLUMN(Setup!$B$64),0)),"",VLOOKUP($A26,EarnListAll,COLUMN(Setup!$B$64),0))</f>
        <v/>
      </c>
      <c r="C26" s="253"/>
      <c r="D26" s="251" t="str" cm="1">
        <f t="array" aca="1" ref="D26" ca="1">IF(ISNA(MATCH($A26,PayEarnCode,0)),"",SUMIFS(OFFSET(Payroll!$G$6,1,MATCH($A26,PayEarnCode,0)-1,PayCount,1),PayEmp,$C$11,PayDate,$G$4))</f>
        <v/>
      </c>
      <c r="E26" s="249" t="str">
        <f ca="1">IF(ISNA(VLOOKUP($A26,EarnListAll,COLUMN(Setup!$B$64),0)),"",VLOOKUP($A26,EarnListAll,COLUMN(Setup!$B$64),0))</f>
        <v/>
      </c>
      <c r="F26" s="252"/>
      <c r="G26" s="227" t="str" cm="1">
        <f t="array" aca="1" ref="G26" ca="1">IF(ISNA(MATCH($A26,PayEarnCode,0)),"",SUMIFS(OFFSET(Payroll!$G$6,1,MATCH($A26,PayEarnCode,0)-1,PayCount,1),PayEmp,$C$11,PayDate,"&lt;="&amp;$G$4))</f>
        <v/>
      </c>
      <c r="H26" s="211"/>
    </row>
    <row r="27" spans="1:8" s="248" customFormat="1" ht="16.149999999999999" customHeight="1" x14ac:dyDescent="0.2">
      <c r="A27" s="242"/>
      <c r="B27" s="254" t="s">
        <v>9</v>
      </c>
      <c r="C27" s="255"/>
      <c r="D27" s="256">
        <f ca="1">SUM(D16:D26)</f>
        <v>165000</v>
      </c>
      <c r="E27" s="254" t="s">
        <v>9</v>
      </c>
      <c r="F27" s="257"/>
      <c r="G27" s="258">
        <f ca="1">SUM(G16:G26)</f>
        <v>1980000</v>
      </c>
      <c r="H27" s="247"/>
    </row>
    <row r="28" spans="1:8" s="248" customFormat="1" ht="16.149999999999999" customHeight="1" x14ac:dyDescent="0.2">
      <c r="A28" s="242"/>
      <c r="B28" s="243" t="s">
        <v>8</v>
      </c>
      <c r="C28" s="244"/>
      <c r="D28" s="245"/>
      <c r="E28" s="222" t="s">
        <v>8</v>
      </c>
      <c r="F28" s="222"/>
      <c r="G28" s="246"/>
      <c r="H28" s="247"/>
    </row>
    <row r="29" spans="1:8" ht="16.149999999999999" customHeight="1" x14ac:dyDescent="0.25">
      <c r="A29" s="207" t="str">
        <f t="array" aca="1" ref="A29" ca="1">IF(ISERROR(INDEX(SlipDeduct,SMALL(IF(SlipDeductValue&lt;&gt;0,ROW(SlipDeductValue)-ROW(Setup!$D$119)),ROW(1:1)),1))=TRUE,"-",INDEX(SlipDeduct,SMALL(IF(SlipDeductValue&lt;&gt;0,ROW(SlipDeductValue)-ROW(Setup!$D$119)),ROW(1:1)),1))</f>
        <v>TAX</v>
      </c>
      <c r="B29" s="249" t="str">
        <f ca="1">IF($A29=Payroll!$M$5,"Income Tax",IF(ISNA(VLOOKUP($A29,DedListAll,COLUMN(Setup!$B$73),0)),"",VLOOKUP($A29,DedListAll,COLUMN(Setup!$B$73),0)))</f>
        <v>Income Tax</v>
      </c>
      <c r="C29" s="208"/>
      <c r="D29" s="251" cm="1">
        <f t="array" aca="1" ref="D29" ca="1">IF(ISNA(MATCH($A29,PayDedListAll,0)),"",SUMIFS(OFFSET(Payroll!$M$6,1,MATCH($A29,PayDedListAll,0)-1,PayCount,1),PayEmp,$C$11,PayDate,$G$4))</f>
        <v>51805.128787878901</v>
      </c>
      <c r="E29" s="252" t="str">
        <f ca="1">IF($A29=Payroll!$M$5,"Income Tax",IF(ISNA(VLOOKUP($A29,DedListAll,COLUMN(Setup!$B$73),0)),"",VLOOKUP($A29,DedListAll,COLUMN(Setup!$B$73),0)))</f>
        <v>Income Tax</v>
      </c>
      <c r="F29" s="252"/>
      <c r="G29" s="251" cm="1">
        <f t="array" aca="1" ref="G29" ca="1">IF(ISNA(MATCH($A29,PayDedListAll,0)),"",SUMIFS(OFFSET(Payroll!$M$6,1,MATCH($A29,PayDedListAll,0)-1,PayCount,1),PayEmp,$C$11,PayDate,"&lt;="&amp;$G$4))</f>
        <v>616187</v>
      </c>
      <c r="H29" s="211"/>
    </row>
    <row r="30" spans="1:8" ht="16.149999999999999" customHeight="1" x14ac:dyDescent="0.25">
      <c r="A30" s="207" t="str">
        <f t="array" aca="1" ref="A30" ca="1">IF(ISERROR(INDEX(SlipDeduct,SMALL(IF(SlipDeductValue&lt;&gt;0,ROW(SlipDeductValue)-ROW(Setup!$D$119)),ROW(2:2)),1))=TRUE,"-",INDEX(SlipDeduct,SMALL(IF(SlipDeductValue&lt;&gt;0,ROW(SlipDeductValue)-ROW(Setup!$D$119)),ROW(2:2)),1))</f>
        <v>UIF</v>
      </c>
      <c r="B30" s="249" t="str">
        <f ca="1">IF($A30=Payroll!$M$5,"Income Tax",IF(ISNA(VLOOKUP($A30,DedListAll,COLUMN(Setup!$B$73),0)),"",VLOOKUP($A30,DedListAll,COLUMN(Setup!$B$73),0)))</f>
        <v>Unemployment Insurance</v>
      </c>
      <c r="C30" s="208"/>
      <c r="D30" s="251" cm="1">
        <f t="array" aca="1" ref="D30" ca="1">IF(ISNA(MATCH($A30,PayDedListAll,0)),"",SUMIFS(OFFSET(Payroll!$M$6,1,MATCH($A30,PayDedListAll,0)-1,PayCount,1),PayEmp,$C$11,PayDate,$G$4))</f>
        <v>177.12000000000012</v>
      </c>
      <c r="E30" s="252" t="str">
        <f ca="1">IF($A30=Payroll!$M$5,"Income Tax",IF(ISNA(VLOOKUP($A30,DedListAll,COLUMN(Setup!$B$73),0)),"",VLOOKUP($A30,DedListAll,COLUMN(Setup!$B$73),0)))</f>
        <v>Unemployment Insurance</v>
      </c>
      <c r="F30" s="252"/>
      <c r="G30" s="251" cm="1">
        <f t="array" aca="1" ref="G30" ca="1">IF(ISNA(MATCH($A30,PayDedListAll,0)),"",SUMIFS(OFFSET(Payroll!$M$6,1,MATCH($A30,PayDedListAll,0)-1,PayCount,1),PayEmp,$C$11,PayDate,"&lt;="&amp;$G$4))</f>
        <v>2125.44</v>
      </c>
      <c r="H30" s="211"/>
    </row>
    <row r="31" spans="1:8" ht="16.149999999999999" customHeight="1" x14ac:dyDescent="0.25">
      <c r="A31" s="207" t="str">
        <f t="array" aca="1" ref="A31" ca="1">IF(ISERROR(INDEX(SlipDeduct,SMALL(IF(SlipDeductValue&lt;&gt;0,ROW(SlipDeductValue)-ROW(Setup!$D$119)),ROW(3:3)),1))=TRUE,"-",INDEX(SlipDeduct,SMALL(IF(SlipDeductValue&lt;&gt;0,ROW(SlipDeductValue)-ROW(Setup!$D$119)),ROW(3:3)),1))</f>
        <v>PENS</v>
      </c>
      <c r="B31" s="249" t="str">
        <f ca="1">IF($A31=Payroll!$M$5,"Income Tax",IF(ISNA(VLOOKUP($A31,DedListAll,COLUMN(Setup!$B$73),0)),"",VLOOKUP($A31,DedListAll,COLUMN(Setup!$B$73),0)))</f>
        <v>Pension Fund</v>
      </c>
      <c r="C31" s="208"/>
      <c r="D31" s="251" cm="1">
        <f t="array" aca="1" ref="D31" ca="1">IF(ISNA(MATCH($A31,PayDedListAll,0)),"",SUMIFS(OFFSET(Payroll!$M$6,1,MATCH($A31,PayDedListAll,0)-1,PayCount,1),PayEmp,$C$11,PayDate,$G$4))</f>
        <v>12375</v>
      </c>
      <c r="E31" s="252" t="str">
        <f ca="1">IF($A31=Payroll!$M$5,"Income Tax",IF(ISNA(VLOOKUP($A31,DedListAll,COLUMN(Setup!$B$73),0)),"",VLOOKUP($A31,DedListAll,COLUMN(Setup!$B$73),0)))</f>
        <v>Pension Fund</v>
      </c>
      <c r="F31" s="252"/>
      <c r="G31" s="251" cm="1">
        <f t="array" aca="1" ref="G31" ca="1">IF(ISNA(MATCH($A31,PayDedListAll,0)),"",SUMIFS(OFFSET(Payroll!$M$6,1,MATCH($A31,PayDedListAll,0)-1,PayCount,1),PayEmp,$C$11,PayDate,"&lt;="&amp;$G$4))</f>
        <v>148500</v>
      </c>
      <c r="H31" s="211"/>
    </row>
    <row r="32" spans="1:8" ht="16.149999999999999" customHeight="1" x14ac:dyDescent="0.25">
      <c r="A32" s="207" t="str">
        <f t="array" aca="1" ref="A32" ca="1">IF(ISERROR(INDEX(SlipDeduct,SMALL(IF(SlipDeductValue&lt;&gt;0,ROW(SlipDeductValue)-ROW(Setup!$D$119)),ROW(4:4)),1))=TRUE,"-",INDEX(SlipDeduct,SMALL(IF(SlipDeductValue&lt;&gt;0,ROW(SlipDeductValue)-ROW(Setup!$D$119)),ROW(4:4)),1))</f>
        <v>-</v>
      </c>
      <c r="B32" s="249" t="str">
        <f ca="1">IF($A32=Payroll!$M$5,"Income Tax",IF(ISNA(VLOOKUP($A32,DedListAll,COLUMN(Setup!$B$73),0)),"",VLOOKUP($A32,DedListAll,COLUMN(Setup!$B$73),0)))</f>
        <v/>
      </c>
      <c r="C32" s="208"/>
      <c r="D32" s="251" t="str" cm="1">
        <f t="array" aca="1" ref="D32" ca="1">IF(ISNA(MATCH($A32,PayDedListAll,0)),"",SUMIFS(OFFSET(Payroll!$M$6,1,MATCH($A32,PayDedListAll,0)-1,PayCount,1),PayEmp,$C$11,PayDate,$G$4))</f>
        <v/>
      </c>
      <c r="E32" s="252" t="str">
        <f ca="1">IF($A32=Payroll!$M$5,"Income Tax",IF(ISNA(VLOOKUP($A32,DedListAll,COLUMN(Setup!$B$73),0)),"",VLOOKUP($A32,DedListAll,COLUMN(Setup!$B$73),0)))</f>
        <v/>
      </c>
      <c r="F32" s="252"/>
      <c r="G32" s="251" t="str" cm="1">
        <f t="array" aca="1" ref="G32" ca="1">IF(ISNA(MATCH($A32,PayDedListAll,0)),"",SUMIFS(OFFSET(Payroll!$M$6,1,MATCH($A32,PayDedListAll,0)-1,PayCount,1),PayEmp,$C$11,PayDate,"&lt;="&amp;$G$4))</f>
        <v/>
      </c>
      <c r="H32" s="211"/>
    </row>
    <row r="33" spans="1:8" ht="16.149999999999999" customHeight="1" x14ac:dyDescent="0.25">
      <c r="A33" s="207" t="str">
        <f t="array" aca="1" ref="A33" ca="1">IF(ISERROR(INDEX(SlipDeduct,SMALL(IF(SlipDeductValue&lt;&gt;0,ROW(SlipDeductValue)-ROW(Setup!$D$119)),ROW(5:5)),1))=TRUE,"-",INDEX(SlipDeduct,SMALL(IF(SlipDeductValue&lt;&gt;0,ROW(SlipDeductValue)-ROW(Setup!$D$119)),ROW(5:5)),1))</f>
        <v>-</v>
      </c>
      <c r="B33" s="249" t="str">
        <f ca="1">IF($A33=Payroll!$M$5,"Income Tax",IF(ISNA(VLOOKUP($A33,DedListAll,COLUMN(Setup!$B$73),0)),"",VLOOKUP($A33,DedListAll,COLUMN(Setup!$B$73),0)))</f>
        <v/>
      </c>
      <c r="C33" s="208"/>
      <c r="D33" s="251" t="str" cm="1">
        <f t="array" aca="1" ref="D33" ca="1">IF(ISNA(MATCH($A33,PayDedListAll,0)),"",SUMIFS(OFFSET(Payroll!$M$6,1,MATCH($A33,PayDedListAll,0)-1,PayCount,1),PayEmp,$C$11,PayDate,$G$4))</f>
        <v/>
      </c>
      <c r="E33" s="252" t="str">
        <f ca="1">IF($A33=Payroll!$M$5,"Income Tax",IF(ISNA(VLOOKUP($A33,DedListAll,COLUMN(Setup!$B$73),0)),"",VLOOKUP($A33,DedListAll,COLUMN(Setup!$B$73),0)))</f>
        <v/>
      </c>
      <c r="F33" s="252"/>
      <c r="G33" s="251" t="str" cm="1">
        <f t="array" aca="1" ref="G33" ca="1">IF(ISNA(MATCH($A33,PayDedListAll,0)),"",SUMIFS(OFFSET(Payroll!$M$6,1,MATCH($A33,PayDedListAll,0)-1,PayCount,1),PayEmp,$C$11,PayDate,"&lt;="&amp;$G$4))</f>
        <v/>
      </c>
      <c r="H33" s="211"/>
    </row>
    <row r="34" spans="1:8" ht="16.149999999999999" customHeight="1" x14ac:dyDescent="0.25">
      <c r="A34" s="207" t="str">
        <f t="array" aca="1" ref="A34" ca="1">IF(ISERROR(INDEX(SlipDeduct,SMALL(IF(SlipDeductValue&lt;&gt;0,ROW(SlipDeductValue)-ROW(Setup!$D$119)),ROW(6:6)),1))=TRUE,"-",INDEX(SlipDeduct,SMALL(IF(SlipDeductValue&lt;&gt;0,ROW(SlipDeductValue)-ROW(Setup!$D$119)),ROW(6:6)),1))</f>
        <v>-</v>
      </c>
      <c r="B34" s="249" t="str">
        <f ca="1">IF($A34=Payroll!$M$5,"Income Tax",IF(ISNA(VLOOKUP($A34,DedListAll,COLUMN(Setup!$B$73),0)),"",VLOOKUP($A34,DedListAll,COLUMN(Setup!$B$73),0)))</f>
        <v/>
      </c>
      <c r="C34" s="208"/>
      <c r="D34" s="251" t="str" cm="1">
        <f t="array" aca="1" ref="D34" ca="1">IF(ISNA(MATCH($A34,PayDedListAll,0)),"",SUMIFS(OFFSET(Payroll!$M$6,1,MATCH($A34,PayDedListAll,0)-1,PayCount,1),PayEmp,$C$11,PayDate,$G$4))</f>
        <v/>
      </c>
      <c r="E34" s="252" t="str">
        <f ca="1">IF($A34=Payroll!$M$5,"Income Tax",IF(ISNA(VLOOKUP($A34,DedListAll,COLUMN(Setup!$B$73),0)),"",VLOOKUP($A34,DedListAll,COLUMN(Setup!$B$73),0)))</f>
        <v/>
      </c>
      <c r="F34" s="252"/>
      <c r="G34" s="251" t="str" cm="1">
        <f t="array" aca="1" ref="G34" ca="1">IF(ISNA(MATCH($A34,PayDedListAll,0)),"",SUMIFS(OFFSET(Payroll!$M$6,1,MATCH($A34,PayDedListAll,0)-1,PayCount,1),PayEmp,$C$11,PayDate,"&lt;="&amp;$G$4))</f>
        <v/>
      </c>
      <c r="H34" s="211"/>
    </row>
    <row r="35" spans="1:8" ht="16.149999999999999" customHeight="1" x14ac:dyDescent="0.25">
      <c r="A35" s="207" t="str">
        <f t="array" aca="1" ref="A35" ca="1">IF(ISERROR(INDEX(SlipDeduct,SMALL(IF(SlipDeductValue&lt;&gt;0,ROW(SlipDeductValue)-ROW(Setup!$D$119)),ROW(7:7)),1))=TRUE,"-",INDEX(SlipDeduct,SMALL(IF(SlipDeductValue&lt;&gt;0,ROW(SlipDeductValue)-ROW(Setup!$D$119)),ROW(7:7)),1))</f>
        <v>-</v>
      </c>
      <c r="B35" s="249" t="str">
        <f ca="1">IF($A35=Payroll!$M$5,"Income Tax",IF(ISNA(VLOOKUP($A35,DedListAll,COLUMN(Setup!$B$73),0)),"",VLOOKUP($A35,DedListAll,COLUMN(Setup!$B$73),0)))</f>
        <v/>
      </c>
      <c r="C35" s="208"/>
      <c r="D35" s="251" t="str" cm="1">
        <f t="array" aca="1" ref="D35" ca="1">IF(ISNA(MATCH($A35,PayDedListAll,0)),"",SUMIFS(OFFSET(Payroll!$M$6,1,MATCH($A35,PayDedListAll,0)-1,PayCount,1),PayEmp,$C$11,PayDate,$G$4))</f>
        <v/>
      </c>
      <c r="E35" s="252" t="str">
        <f ca="1">IF($A35=Payroll!$M$5,"Income Tax",IF(ISNA(VLOOKUP($A35,DedListAll,COLUMN(Setup!$B$73),0)),"",VLOOKUP($A35,DedListAll,COLUMN(Setup!$B$73),0)))</f>
        <v/>
      </c>
      <c r="F35" s="252"/>
      <c r="G35" s="251" t="str" cm="1">
        <f t="array" aca="1" ref="G35" ca="1">IF(ISNA(MATCH($A35,PayDedListAll,0)),"",SUMIFS(OFFSET(Payroll!$M$6,1,MATCH($A35,PayDedListAll,0)-1,PayCount,1),PayEmp,$C$11,PayDate,"&lt;="&amp;$G$4))</f>
        <v/>
      </c>
      <c r="H35" s="211"/>
    </row>
    <row r="36" spans="1:8" ht="16.149999999999999" customHeight="1" x14ac:dyDescent="0.25">
      <c r="A36" s="207" t="str">
        <f t="array" aca="1" ref="A36" ca="1">IF(ISERROR(INDEX(SlipDeduct,SMALL(IF(SlipDeductValue&lt;&gt;0,ROW(SlipDeductValue)-ROW(Setup!$D$119)),ROW(8:8)),1))=TRUE,"-",INDEX(SlipDeduct,SMALL(IF(SlipDeductValue&lt;&gt;0,ROW(SlipDeductValue)-ROW(Setup!$D$119)),ROW(8:8)),1))</f>
        <v>-</v>
      </c>
      <c r="B36" s="249" t="str">
        <f ca="1">IF($A36=Payroll!$M$5,"Income Tax",IF(ISNA(VLOOKUP($A36,DedListAll,COLUMN(Setup!$B$73),0)),"",VLOOKUP($A36,DedListAll,COLUMN(Setup!$B$73),0)))</f>
        <v/>
      </c>
      <c r="C36" s="208"/>
      <c r="D36" s="251" t="str" cm="1">
        <f t="array" aca="1" ref="D36" ca="1">IF(ISNA(MATCH($A36,PayDedListAll,0)),"",SUMIFS(OFFSET(Payroll!$M$6,1,MATCH($A36,PayDedListAll,0)-1,PayCount,1),PayEmp,$C$11,PayDate,$G$4))</f>
        <v/>
      </c>
      <c r="E36" s="252" t="str">
        <f ca="1">IF($A36=Payroll!$M$5,"Income Tax",IF(ISNA(VLOOKUP($A36,DedListAll,COLUMN(Setup!$B$73),0)),"",VLOOKUP($A36,DedListAll,COLUMN(Setup!$B$73),0)))</f>
        <v/>
      </c>
      <c r="F36" s="252"/>
      <c r="G36" s="251" t="str" cm="1">
        <f t="array" aca="1" ref="G36" ca="1">IF(ISNA(MATCH($A36,PayDedListAll,0)),"",SUMIFS(OFFSET(Payroll!$M$6,1,MATCH($A36,PayDedListAll,0)-1,PayCount,1),PayEmp,$C$11,PayDate,"&lt;="&amp;$G$4))</f>
        <v/>
      </c>
      <c r="H36" s="211"/>
    </row>
    <row r="37" spans="1:8" ht="16.149999999999999" customHeight="1" x14ac:dyDescent="0.25">
      <c r="A37" s="207" t="str">
        <f t="array" aca="1" ref="A37" ca="1">IF(ISERROR(INDEX(SlipDeduct,SMALL(IF(SlipDeductValue&lt;&gt;0,ROW(SlipDeductValue)-ROW(Setup!$D$119)),ROW(9:9)),1))=TRUE,"-",INDEX(SlipDeduct,SMALL(IF(SlipDeductValue&lt;&gt;0,ROW(SlipDeductValue)-ROW(Setup!$D$119)),ROW(9:9)),1))</f>
        <v>-</v>
      </c>
      <c r="B37" s="249" t="str">
        <f ca="1">IF($A37=Payroll!$M$5,"Income Tax",IF(ISNA(VLOOKUP($A37,DedListAll,COLUMN(Setup!$B$73),0)),"",VLOOKUP($A37,DedListAll,COLUMN(Setup!$B$73),0)))</f>
        <v/>
      </c>
      <c r="C37" s="208"/>
      <c r="D37" s="251" t="str" cm="1">
        <f t="array" aca="1" ref="D37" ca="1">IF(ISNA(MATCH($A37,PayDedListAll,0)),"",SUMIFS(OFFSET(Payroll!$M$6,1,MATCH($A37,PayDedListAll,0)-1,PayCount,1),PayEmp,$C$11,PayDate,$G$4))</f>
        <v/>
      </c>
      <c r="E37" s="252" t="str">
        <f ca="1">IF($A37=Payroll!$M$5,"Income Tax",IF(ISNA(VLOOKUP($A37,DedListAll,COLUMN(Setup!$B$73),0)),"",VLOOKUP($A37,DedListAll,COLUMN(Setup!$B$73),0)))</f>
        <v/>
      </c>
      <c r="F37" s="252"/>
      <c r="G37" s="251" t="str" cm="1">
        <f t="array" aca="1" ref="G37" ca="1">IF(ISNA(MATCH($A37,PayDedListAll,0)),"",SUMIFS(OFFSET(Payroll!$M$6,1,MATCH($A37,PayDedListAll,0)-1,PayCount,1),PayEmp,$C$11,PayDate,"&lt;="&amp;$G$4))</f>
        <v/>
      </c>
      <c r="H37" s="211"/>
    </row>
    <row r="38" spans="1:8" ht="16.149999999999999" customHeight="1" x14ac:dyDescent="0.25">
      <c r="A38" s="207" t="str">
        <f t="array" aca="1" ref="A38" ca="1">IF(ISERROR(INDEX(SlipDeduct,SMALL(IF(SlipDeductValue&lt;&gt;0,ROW(SlipDeductValue)-ROW(Setup!$D$119)),ROW(10:10)),1))=TRUE,"-",INDEX(SlipDeduct,SMALL(IF(SlipDeductValue&lt;&gt;0,ROW(SlipDeductValue)-ROW(Setup!$D$119)),ROW(10:10)),1))</f>
        <v>-</v>
      </c>
      <c r="B38" s="249" t="str">
        <f ca="1">IF($A38=Payroll!$M$5,"Income Tax",IF(ISNA(VLOOKUP($A38,DedListAll,COLUMN(Setup!$B$73),0)),"",VLOOKUP($A38,DedListAll,COLUMN(Setup!$B$73),0)))</f>
        <v/>
      </c>
      <c r="C38" s="208"/>
      <c r="D38" s="251" t="str" cm="1">
        <f t="array" aca="1" ref="D38" ca="1">IF(ISNA(MATCH($A38,PayDedListAll,0)),"",SUMIFS(OFFSET(Payroll!$M$6,1,MATCH($A38,PayDedListAll,0)-1,PayCount,1),PayEmp,$C$11,PayDate,$G$4))</f>
        <v/>
      </c>
      <c r="E38" s="252" t="str">
        <f ca="1">IF($A38=Payroll!$M$5,"Income Tax",IF(ISNA(VLOOKUP($A38,DedListAll,COLUMN(Setup!$B$73),0)),"",VLOOKUP($A38,DedListAll,COLUMN(Setup!$B$73),0)))</f>
        <v/>
      </c>
      <c r="F38" s="252"/>
      <c r="G38" s="251" t="str" cm="1">
        <f t="array" aca="1" ref="G38" ca="1">IF(ISNA(MATCH($A38,PayDedListAll,0)),"",SUMIFS(OFFSET(Payroll!$M$6,1,MATCH($A38,PayDedListAll,0)-1,PayCount,1),PayEmp,$C$11,PayDate,"&lt;="&amp;$G$4))</f>
        <v/>
      </c>
      <c r="H38" s="211"/>
    </row>
    <row r="39" spans="1:8" s="248" customFormat="1" ht="16.149999999999999" customHeight="1" x14ac:dyDescent="0.2">
      <c r="A39" s="242"/>
      <c r="B39" s="254" t="s">
        <v>9</v>
      </c>
      <c r="C39" s="255"/>
      <c r="D39" s="256">
        <f ca="1">SUM(D28:D38)</f>
        <v>64357.248787878903</v>
      </c>
      <c r="E39" s="257" t="s">
        <v>9</v>
      </c>
      <c r="F39" s="257"/>
      <c r="G39" s="258">
        <f ca="1">SUM(G28:G38)</f>
        <v>766812.44</v>
      </c>
      <c r="H39" s="247"/>
    </row>
    <row r="40" spans="1:8" ht="16.149999999999999" customHeight="1" thickBot="1" x14ac:dyDescent="0.3">
      <c r="B40" s="215"/>
      <c r="C40" s="208"/>
      <c r="D40" s="259"/>
      <c r="E40" s="209"/>
      <c r="F40" s="215"/>
      <c r="G40" s="215"/>
      <c r="H40" s="211"/>
    </row>
    <row r="41" spans="1:8" s="248" customFormat="1" ht="16.149999999999999" customHeight="1" thickBot="1" x14ac:dyDescent="0.25">
      <c r="A41" s="242"/>
      <c r="B41" s="226" t="str">
        <f ca="1">"Net Pay For "&amp;TEXT($G$4,"mmmm yyyy")</f>
        <v>Net Pay For February 2024</v>
      </c>
      <c r="C41" s="250"/>
      <c r="D41" s="260">
        <f ca="1">D27-D39</f>
        <v>100642.7512121211</v>
      </c>
      <c r="E41" s="226" t="s">
        <v>161</v>
      </c>
      <c r="F41" s="226"/>
      <c r="G41" s="261">
        <f ca="1">G27-G39</f>
        <v>1213187.56</v>
      </c>
      <c r="H41" s="247"/>
    </row>
    <row r="42" spans="1:8" ht="16.149999999999999" customHeight="1" x14ac:dyDescent="0.25">
      <c r="B42" s="215"/>
      <c r="C42" s="208"/>
      <c r="D42" s="209"/>
      <c r="E42" s="209"/>
      <c r="F42" s="215"/>
      <c r="G42" s="215"/>
      <c r="H42" s="211"/>
    </row>
    <row r="43" spans="1:8" ht="16.149999999999999" customHeight="1" x14ac:dyDescent="0.25">
      <c r="B43" s="215" t="s">
        <v>165</v>
      </c>
      <c r="C43" s="208"/>
      <c r="D43" s="209" cm="1">
        <f t="array" aca="1" ref="D43" ca="1">SUMIFS(OFFSET(Payroll!$X$6,1,0,PayCount,1),PayEmp,$C$11,PayDate,$G$4)</f>
        <v>1827.1200000000001</v>
      </c>
      <c r="E43" s="208"/>
      <c r="F43" s="262" t="s">
        <v>200</v>
      </c>
      <c r="G43" s="185">
        <f ca="1">IF(ISNA(VLOOKUP($G$3,Payroll[],COLUMN(Payroll!$AI$6),0))=TRUE,"-",VLOOKUP($G$3,Payroll[],COLUMN(Payroll!$AI$6),0))</f>
        <v>17592</v>
      </c>
      <c r="H43" s="211"/>
    </row>
    <row r="44" spans="1:8" ht="16.149999999999999" customHeight="1" x14ac:dyDescent="0.25">
      <c r="B44" s="215" t="s">
        <v>162</v>
      </c>
      <c r="C44" s="208"/>
      <c r="D44" s="209" cm="1">
        <f t="array" aca="1" ref="D44" ca="1">SUMIFS(OFFSET(Payroll!$X$6,1,0,PayCount,1),PayEmp,$C$11,PayDate,"&lt;="&amp;$G$4)</f>
        <v>21925.439999999995</v>
      </c>
      <c r="E44" s="209"/>
      <c r="F44" s="263"/>
      <c r="G44" s="210"/>
      <c r="H44" s="211"/>
    </row>
    <row r="45" spans="1:8" s="268" customFormat="1" ht="16.149999999999999" customHeight="1" x14ac:dyDescent="0.25">
      <c r="A45" s="207"/>
      <c r="B45" s="264"/>
      <c r="C45" s="208"/>
      <c r="D45" s="185"/>
      <c r="E45" s="265"/>
      <c r="F45" s="266"/>
      <c r="G45" s="266"/>
      <c r="H45" s="267"/>
    </row>
    <row r="46" spans="1:8" s="268" customFormat="1" ht="16.149999999999999" customHeight="1" x14ac:dyDescent="0.25">
      <c r="A46" s="207"/>
      <c r="B46" s="212"/>
      <c r="C46" s="212"/>
      <c r="F46" s="267"/>
      <c r="G46" s="267"/>
      <c r="H46" s="267"/>
    </row>
  </sheetData>
  <mergeCells count="2">
    <mergeCell ref="B8:G8"/>
    <mergeCell ref="C12:D12"/>
  </mergeCells>
  <conditionalFormatting sqref="F43:G43">
    <cfRule type="expression" dxfId="120" priority="2">
      <formula>$G$43=0</formula>
    </cfRule>
  </conditionalFormatting>
  <conditionalFormatting sqref="F44:G44">
    <cfRule type="expression" dxfId="119" priority="1">
      <formula>$G$44="-"</formula>
    </cfRule>
  </conditionalFormatting>
  <dataValidations count="1">
    <dataValidation type="list" allowBlank="1" showInputMessage="1" showErrorMessage="1" errorTitle="Invalid Data" error="Select a valid item from the list box." sqref="G3" xr:uid="{00000000-0002-0000-0800-000000000000}">
      <formula1>PayID</formula1>
    </dataValidation>
  </dataValidations>
  <pageMargins left="0.59055118110236227" right="0.59055118110236227" top="0.59055118110236227" bottom="0.59055118110236227" header="0.39370078740157483" footer="0.39370078740157483"/>
  <pageSetup paperSize="9" scale="97" orientation="portrait"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Y17"/>
  <sheetViews>
    <sheetView zoomScale="95" zoomScaleNormal="95" workbookViewId="0">
      <pane xSplit="1" ySplit="5" topLeftCell="B6" activePane="bottomRight" state="frozen"/>
      <selection pane="topRight" activeCell="B1" sqref="B1"/>
      <selection pane="bottomLeft" activeCell="A6" sqref="A6"/>
      <selection pane="bottomRight" activeCell="A5" sqref="A5"/>
    </sheetView>
  </sheetViews>
  <sheetFormatPr defaultColWidth="9.140625" defaultRowHeight="16.149999999999999" customHeight="1" x14ac:dyDescent="0.25"/>
  <cols>
    <col min="1" max="1" width="14.7109375" style="286" customWidth="1"/>
    <col min="2" max="8" width="14.7109375" style="133" customWidth="1"/>
    <col min="9" max="18" width="14.7109375" style="2" customWidth="1"/>
    <col min="19" max="25" width="14.7109375" style="111" customWidth="1"/>
    <col min="26" max="16384" width="9.140625" style="2"/>
  </cols>
  <sheetData>
    <row r="1" spans="1:25" ht="16.149999999999999" customHeight="1" x14ac:dyDescent="0.25">
      <c r="A1" s="302" t="str">
        <f>Setup!$C$4</f>
        <v>Example (Pty) Limited</v>
      </c>
      <c r="C1" s="269" t="str">
        <f>IF(ISBLANK($D$2),"*",$D$2)</f>
        <v>*</v>
      </c>
      <c r="D1" s="270" t="s">
        <v>122</v>
      </c>
      <c r="E1" s="270" t="s">
        <v>123</v>
      </c>
    </row>
    <row r="2" spans="1:25" ht="16.149999999999999" customHeight="1" x14ac:dyDescent="0.25">
      <c r="A2" s="271" t="s">
        <v>121</v>
      </c>
      <c r="B2" s="272"/>
      <c r="C2" s="269" t="str">
        <f>IF(ISBLANK($E$2),"*",$E$2)</f>
        <v>*</v>
      </c>
      <c r="D2" s="80"/>
      <c r="E2" s="80"/>
      <c r="F2" s="273" t="str">
        <f>IF(ISBLANK($E$2),"All Employees",IF(ISNA(VLOOKUP($E$2,EmpAll,COLUMN(Emp!$B$4),0)),"Error!",VLOOKUP($E$2,EmpAll,COLUMN(Emp!$B$4),0)))</f>
        <v>All Employees</v>
      </c>
    </row>
    <row r="3" spans="1:25" s="275" customFormat="1" ht="16.149999999999999" customHeight="1" x14ac:dyDescent="0.2">
      <c r="A3" s="7" t="s">
        <v>168</v>
      </c>
      <c r="B3" s="274" cm="1">
        <f t="array" aca="1" ref="B3" ca="1">SUBTOTAL(109,OFFSET(B$5,1,0,SumCount,1))</f>
        <v>4760050</v>
      </c>
      <c r="C3" s="274" cm="1">
        <f t="array" aca="1" ref="C3" ca="1">SUBTOTAL(109,OFFSET(C$5,1,0,SumCount,1))</f>
        <v>3600</v>
      </c>
      <c r="D3" s="274" cm="1">
        <f t="array" aca="1" ref="D3" ca="1">SUBTOTAL(109,OFFSET(D$5,1,0,SumCount,1))</f>
        <v>362000</v>
      </c>
      <c r="E3" s="274" cm="1">
        <f t="array" aca="1" ref="E3" ca="1">SUBTOTAL(109,OFFSET(E$5,1,0,SumCount,1))</f>
        <v>10000</v>
      </c>
      <c r="F3" s="274" cm="1">
        <f t="array" aca="1" ref="F3" ca="1">SUBTOTAL(109,OFFSET(F$5,1,0,SumCount,1))</f>
        <v>0</v>
      </c>
      <c r="G3" s="274" cm="1">
        <f t="array" aca="1" ref="G3" ca="1">SUBTOTAL(109,OFFSET(G$5,1,0,SumCount,1))</f>
        <v>5135650</v>
      </c>
      <c r="H3" s="274" cm="1">
        <f t="array" aca="1" ref="H3" ca="1">SUBTOTAL(109,OFFSET(H$5,1,0,SumCount,1))</f>
        <v>1234908.0000000002</v>
      </c>
      <c r="I3" s="274" cm="1">
        <f t="array" aca="1" ref="I3" ca="1">SUBTOTAL(109,OFFSET(I$5,1,0,SumCount,1))</f>
        <v>18582.320000000003</v>
      </c>
      <c r="J3" s="274" cm="1">
        <f t="array" aca="1" ref="J3" ca="1">SUBTOTAL(109,OFFSET(J$5,1,0,SumCount,1))</f>
        <v>148500</v>
      </c>
      <c r="K3" s="274" cm="1">
        <f t="array" aca="1" ref="K3" ca="1">SUBTOTAL(109,OFFSET(K$5,1,0,SumCount,1))</f>
        <v>16000</v>
      </c>
      <c r="L3" s="274" cm="1">
        <f t="array" aca="1" ref="L3" ca="1">SUBTOTAL(109,OFFSET(L$5,1,0,SumCount,1))</f>
        <v>0</v>
      </c>
      <c r="M3" s="274" cm="1">
        <f t="array" aca="1" ref="M3" ca="1">SUBTOTAL(109,OFFSET(M$5,1,0,SumCount,1))</f>
        <v>1417990.3199999998</v>
      </c>
      <c r="N3" s="274" cm="1">
        <f t="array" aca="1" ref="N3" ca="1">SUBTOTAL(109,OFFSET(N$5,1,0,SumCount,1))</f>
        <v>3717659.68</v>
      </c>
      <c r="O3" s="274" cm="1">
        <f t="array" aca="1" ref="O3" ca="1">SUBTOTAL(109,OFFSET(O$5,1,0,SumCount,1))</f>
        <v>18582.320000000003</v>
      </c>
      <c r="P3" s="274" cm="1">
        <f t="array" aca="1" ref="P3" ca="1">SUBTOTAL(109,OFFSET(P$5,1,0,SumCount,1))</f>
        <v>51256.5</v>
      </c>
      <c r="Q3" s="274" cm="1">
        <f t="array" aca="1" ref="Q3" ca="1">SUBTOTAL(109,OFFSET(Q$5,1,0,SumCount,1))</f>
        <v>0</v>
      </c>
      <c r="R3" s="274" cm="1">
        <f t="array" aca="1" ref="R3" ca="1">SUBTOTAL(109,OFFSET(R$5,1,0,SumCount,1))</f>
        <v>0</v>
      </c>
      <c r="S3" s="274" cm="1">
        <f t="array" aca="1" ref="S3" ca="1">SUBTOTAL(109,OFFSET(S$5,1,0,SumCount,1))</f>
        <v>69838.820000000007</v>
      </c>
      <c r="T3" s="274" cm="1">
        <f t="array" aca="1" ref="T3" ca="1">SUBTOTAL(109,OFFSET(T$5,1,0,SumCount,1))</f>
        <v>1487829.14</v>
      </c>
      <c r="U3" s="274" cm="1">
        <f t="array" aca="1" ref="U3" ca="1">SUBTOTAL(109,OFFSET(U$5,1,0,SumCount,1))</f>
        <v>5205488.82</v>
      </c>
    </row>
    <row r="4" spans="1:25" s="276" customFormat="1" ht="16.149999999999999" customHeight="1" x14ac:dyDescent="0.2">
      <c r="B4" s="277" t="str">
        <f ca="1">IF(COLUMN(B$1)-COLUMN($B$1)+1&lt;=EarnListCount,OFFSET(Setup!$E$64,COLUMN(B$1)-COLUMN($B$1)+1,0,1,1),"Not Used")</f>
        <v>Basic</v>
      </c>
      <c r="C4" s="277" t="str">
        <f ca="1">IF(COLUMN(C$1)-COLUMN($B$1)+1&lt;=EarnListCount,OFFSET(Setup!$E$64,COLUMN(C$1)-COLUMN($B$1)+1,0,1,1),"Not Used")</f>
        <v>Leave</v>
      </c>
      <c r="D4" s="277" t="str">
        <f ca="1">IF(COLUMN(D$1)-COLUMN($B$1)+1&lt;=EarnListCount,OFFSET(Setup!$E$64,COLUMN(D$1)-COLUMN($B$1)+1,0,1,1),"Not Used")</f>
        <v>Bonus</v>
      </c>
      <c r="E4" s="277" t="str">
        <f ca="1">IF(COLUMN(E$1)-COLUMN($B$1)+1&lt;=EarnListCount,OFFSET(Setup!$E$64,COLUMN(E$1)-COLUMN($B$1)+1,0,1,1),"Not Used")</f>
        <v>Loan</v>
      </c>
      <c r="F4" s="277" t="str">
        <f ca="1">IF(COLUMN(F$1)-COLUMN($B$1)+1&lt;=EarnListCount,OFFSET(Setup!$E$64,COLUMN(F$1)-COLUMN($B$1)+1,0,1,1),"Not Used")</f>
        <v>Not Used</v>
      </c>
      <c r="G4" s="277" t="s">
        <v>9</v>
      </c>
      <c r="H4" s="277" t="s">
        <v>113</v>
      </c>
      <c r="I4" s="276" t="str">
        <f ca="1">IF(COLUMN(I$1)-COLUMN($I$1)+1&gt;DedListCount,"Not Used",OFFSET(Setup!$A$73,COLUMN(I$1)-COLUMN($I$1)+1,0,1,1))</f>
        <v>UIF</v>
      </c>
      <c r="J4" s="276" t="str">
        <f ca="1">IF(COLUMN(J$1)-COLUMN($I$1)+1&gt;DedListCount,"Not Used",OFFSET(Setup!$A$73,COLUMN(J$1)-COLUMN($I$1)+1,0,1,1))</f>
        <v>PENS</v>
      </c>
      <c r="K4" s="276" t="str">
        <f ca="1">IF(COLUMN(K$1)-COLUMN($I$1)+1&gt;DedListCount,"Not Used",OFFSET(Setup!$A$73,COLUMN(K$1)-COLUMN($I$1)+1,0,1,1))</f>
        <v>LOAN</v>
      </c>
      <c r="L4" s="276" t="str">
        <f ca="1">IF(COLUMN(L$1)-COLUMN($I$1)+1&gt;DedListCount,"Not Used",OFFSET(Setup!$A$73,COLUMN(L$1)-COLUMN($I$1)+1,0,1,1))</f>
        <v>DED4</v>
      </c>
      <c r="M4" s="278" t="s">
        <v>9</v>
      </c>
      <c r="N4" s="278" t="s">
        <v>34</v>
      </c>
      <c r="O4" s="278" t="str">
        <f ca="1">IF(COLUMN(O$1)-COLUMN($O$1)+1&gt;CompListCount,"Not Used",OFFSET(Setup!$A$81,COLUMN(O$1)-COLUMN($O$1)+1,0,1,1))</f>
        <v>UIF</v>
      </c>
      <c r="P4" s="278" t="str">
        <f ca="1">IF(COLUMN(P$1)-COLUMN($O$1)+1&gt;CompListCount,"Not Used",OFFSET(Setup!$A$81,COLUMN(P$1)-COLUMN($O$1)+1,0,1,1))</f>
        <v>SDL</v>
      </c>
      <c r="Q4" s="278" t="str">
        <f ca="1">IF(COLUMN(Q$1)-COLUMN($O$1)+1&gt;CompListCount,"Not Used",OFFSET(Setup!$A$81,COLUMN(Q$1)-COLUMN($O$1)+1,0,1,1))</f>
        <v>CO3</v>
      </c>
      <c r="R4" s="278" t="str">
        <f ca="1">IF(COLUMN(R$1)-COLUMN($O$1)+1&gt;CompListCount,"Not Used",OFFSET(Setup!$A$81,COLUMN(R$1)-COLUMN($O$1)+1,0,1,1))</f>
        <v>CO4</v>
      </c>
      <c r="S4" s="278" t="s">
        <v>9</v>
      </c>
      <c r="T4" s="278" t="s">
        <v>9</v>
      </c>
      <c r="U4" s="278" t="s">
        <v>9</v>
      </c>
      <c r="V4" s="279" t="s">
        <v>14</v>
      </c>
      <c r="W4" s="279"/>
      <c r="X4" s="279"/>
      <c r="Y4" s="277"/>
    </row>
    <row r="5" spans="1:25" s="284" customFormat="1" ht="25.5" x14ac:dyDescent="0.25">
      <c r="A5" s="280" t="s">
        <v>3</v>
      </c>
      <c r="B5" s="281" t="s">
        <v>68</v>
      </c>
      <c r="C5" s="282" t="s">
        <v>69</v>
      </c>
      <c r="D5" s="282" t="s">
        <v>70</v>
      </c>
      <c r="E5" s="282" t="s">
        <v>71</v>
      </c>
      <c r="F5" s="282" t="s">
        <v>72</v>
      </c>
      <c r="G5" s="281" t="s">
        <v>30</v>
      </c>
      <c r="H5" s="281" t="s">
        <v>11</v>
      </c>
      <c r="I5" s="281" t="s">
        <v>66</v>
      </c>
      <c r="J5" s="282" t="s">
        <v>74</v>
      </c>
      <c r="K5" s="282" t="s">
        <v>75</v>
      </c>
      <c r="L5" s="282" t="s">
        <v>76</v>
      </c>
      <c r="M5" s="281" t="s">
        <v>29</v>
      </c>
      <c r="N5" s="281" t="s">
        <v>16</v>
      </c>
      <c r="O5" s="281" t="s">
        <v>78</v>
      </c>
      <c r="P5" s="282" t="s">
        <v>79</v>
      </c>
      <c r="Q5" s="282" t="s">
        <v>108</v>
      </c>
      <c r="R5" s="282" t="s">
        <v>109</v>
      </c>
      <c r="S5" s="281" t="s">
        <v>80</v>
      </c>
      <c r="T5" s="281" t="s">
        <v>81</v>
      </c>
      <c r="U5" s="281" t="s">
        <v>114</v>
      </c>
      <c r="V5" s="282" t="s">
        <v>128</v>
      </c>
      <c r="W5" s="282" t="s">
        <v>129</v>
      </c>
      <c r="X5" s="282" t="s">
        <v>130</v>
      </c>
      <c r="Y5" s="283"/>
    </row>
    <row r="6" spans="1:25" ht="16.149999999999999" customHeight="1" x14ac:dyDescent="0.25">
      <c r="A6" s="285">
        <f ca="1">DATE(YEAR(A7),MONTH(A7),0)</f>
        <v>45016</v>
      </c>
      <c r="B6" s="133" cm="1">
        <f t="array" aca="1" ref="B6" ca="1">IF(OR(ISBLANK(B$4),B$4="Not Used"),0,SUMIFS(OFFSET(Payroll!$G$6,1,COLUMN(B$1)-COLUMN($B$1),PayCount,1),PayDate,"&gt;="&amp;DATE(YEAR($A6),MONTH($A6),1),PayDate,"&lt;"&amp;DATE(YEAR($A6),MONTH($A6)+1,1),PayDept,$C$1,PayEmp,$C$2))</f>
        <v>387000</v>
      </c>
      <c r="C6" s="133" cm="1">
        <f t="array" aca="1" ref="C6" ca="1">IF(OR(ISBLANK(C$4),C$4="Not Used"),0,SUMIFS(OFFSET(Payroll!$G$6,1,COLUMN(C$1)-COLUMN($B$1),PayCount,1),PayDate,"&gt;="&amp;DATE(YEAR($A6),MONTH($A6),1),PayDate,"&lt;"&amp;DATE(YEAR($A6),MONTH($A6)+1,1),PayDept,$C$1,PayEmp,$C$2))</f>
        <v>3600</v>
      </c>
      <c r="D6" s="133" cm="1">
        <f t="array" aca="1" ref="D6" ca="1">IF(OR(ISBLANK(D$4),D$4="Not Used"),0,SUMIFS(OFFSET(Payroll!$G$6,1,COLUMN(D$1)-COLUMN($B$1),PayCount,1),PayDate,"&gt;="&amp;DATE(YEAR($A6),MONTH($A6),1),PayDate,"&lt;"&amp;DATE(YEAR($A6),MONTH($A6)+1,1),PayDept,$C$1,PayEmp,$C$2))</f>
        <v>0</v>
      </c>
      <c r="E6" s="133" cm="1">
        <f t="array" aca="1" ref="E6" ca="1">IF(OR(ISBLANK(E$4),E$4="Not Used"),0,SUMIFS(OFFSET(Payroll!$G$6,1,COLUMN(E$1)-COLUMN($B$1),PayCount,1),PayDate,"&gt;="&amp;DATE(YEAR($A6),MONTH($A6),1),PayDate,"&lt;"&amp;DATE(YEAR($A6),MONTH($A6)+1,1),PayDept,$C$1,PayEmp,$C$2))</f>
        <v>0</v>
      </c>
      <c r="F6" s="133" cm="1">
        <f t="array" aca="1" ref="F6" ca="1">IF(OR(ISBLANK(F$4),F$4="Not Used"),0,SUMIFS(OFFSET(Payroll!$G$6,1,COLUMN(F$1)-COLUMN($B$1),PayCount,1),PayDate,"&gt;="&amp;DATE(YEAR($A6),MONTH($A6),1),PayDate,"&lt;"&amp;DATE(YEAR($A6),MONTH($A6)+1,1),PayDept,$C$1,PayEmp,$C$2))</f>
        <v>0</v>
      </c>
      <c r="G6" s="133">
        <f t="shared" ref="G6:G17" ca="1" si="0">SUM(OFFSET($B6,0,0,1,COLUMN(G$1)-COLUMN($B$1)))</f>
        <v>390600</v>
      </c>
      <c r="H6" s="133">
        <f t="shared" ref="H6:H17" ca="1" si="1">SUMIFS(PayTaxDeduct,PayDate,"&gt;="&amp;DATE(YEAR($A6),MONTH($A6),1),PayDate,"&lt;"&amp;DATE(YEAR($A6),MONTH($A6)+1,1),PayDept,$C$1,PayEmp,$C$2)</f>
        <v>90756</v>
      </c>
      <c r="I6" s="133" cm="1">
        <f t="array" aca="1" ref="I6" ca="1">IF(OR(ISBLANK(I$4),I$4="Not Used"),0,SUMIFS(OFFSET(Payroll!$N$6,1,COLUMN(I$1)-COLUMN($I$1),PayCount,1),PayDate,"&gt;="&amp;DATE(YEAR($A6),MONTH($A6),1),PayDate,"&lt;"&amp;DATE(YEAR($A6),MONTH($A6)+1,1),PayDept,$C$1,PayEmp,$C$2))</f>
        <v>1478.48</v>
      </c>
      <c r="J6" s="133" cm="1">
        <f t="array" aca="1" ref="J6" ca="1">IF(OR(ISBLANK(J$4),J$4="Not Used"),0,SUMIFS(OFFSET(Payroll!$N$6,1,COLUMN(J$1)-COLUMN($I$1),PayCount,1),PayDate,"&gt;="&amp;DATE(YEAR($A6),MONTH($A6),1),PayDate,"&lt;"&amp;DATE(YEAR($A6),MONTH($A6)+1,1),PayDept,$C$1,PayEmp,$C$2))</f>
        <v>11250</v>
      </c>
      <c r="K6" s="133" cm="1">
        <f t="array" aca="1" ref="K6" ca="1">IF(OR(ISBLANK(K$4),K$4="Not Used"),0,SUMIFS(OFFSET(Payroll!$N$6,1,COLUMN(K$1)-COLUMN($I$1),PayCount,1),PayDate,"&gt;="&amp;DATE(YEAR($A6),MONTH($A6),1),PayDate,"&lt;"&amp;DATE(YEAR($A6),MONTH($A6)+1,1),PayDept,$C$1,PayEmp,$C$2))</f>
        <v>500</v>
      </c>
      <c r="L6" s="133" cm="1">
        <f t="array" aca="1" ref="L6" ca="1">IF(OR(ISBLANK(L$4),L$4="Not Used"),0,SUMIFS(OFFSET(Payroll!$N$6,1,COLUMN(L$1)-COLUMN($I$1),PayCount,1),PayDate,"&gt;="&amp;DATE(YEAR($A6),MONTH($A6),1),PayDate,"&lt;"&amp;DATE(YEAR($A6),MONTH($A6)+1,1),PayDept,$C$1,PayEmp,$C$2))</f>
        <v>0</v>
      </c>
      <c r="M6" s="133">
        <f t="shared" ref="M6:M17" ca="1" si="2">SUM(OFFSET($H6,0,0,1,COLUMN(M$1)-COLUMN($H$1)))</f>
        <v>103984.48</v>
      </c>
      <c r="N6" s="133">
        <f t="shared" ref="N6:N17" ca="1" si="3">SUM(G6,-M6)</f>
        <v>286615.52</v>
      </c>
      <c r="O6" s="133" cm="1">
        <f t="array" aca="1" ref="O6" ca="1">IF(OR(ISBLANK(O$4),O$4="Not Used"),0,SUMIFS(OFFSET(Payroll!$T$6,1,COLUMN(O$1)-COLUMN($O$1),PayCount,1),PayDate,"&gt;="&amp;DATE(YEAR($A6),MONTH($A6),1),PayDate,"&lt;"&amp;DATE(YEAR($A6),MONTH($A6)+1,1),PayDept,$C$1,PayEmp,$C$2))</f>
        <v>1478.48</v>
      </c>
      <c r="P6" s="133" cm="1">
        <f t="array" aca="1" ref="P6" ca="1">IF(OR(ISBLANK(P$4),P$4="Not Used"),0,SUMIFS(OFFSET(Payroll!$T$6,1,COLUMN(P$1)-COLUMN($O$1),PayCount,1),PayDate,"&gt;="&amp;DATE(YEAR($A6),MONTH($A6),1),PayDate,"&lt;"&amp;DATE(YEAR($A6),MONTH($A6)+1,1),PayDept,$C$1,PayEmp,$C$2))</f>
        <v>3906</v>
      </c>
      <c r="Q6" s="133" cm="1">
        <f t="array" aca="1" ref="Q6" ca="1">IF(OR(ISBLANK(Q$4),Q$4="Not Used"),0,SUMIFS(OFFSET(Payroll!$T$6,1,COLUMN(Q$1)-COLUMN($O$1),PayCount,1),PayDate,"&gt;="&amp;DATE(YEAR($A6),MONTH($A6),1),PayDate,"&lt;"&amp;DATE(YEAR($A6),MONTH($A6)+1,1),PayDept,$C$1,PayEmp,$C$2))</f>
        <v>0</v>
      </c>
      <c r="R6" s="133" cm="1">
        <f t="array" aca="1" ref="R6" ca="1">IF(OR(ISBLANK(R$4),R$4="Not Used"),0,SUMIFS(OFFSET(Payroll!$T$6,1,COLUMN(R$1)-COLUMN($O$1),PayCount,1),PayDate,"&gt;="&amp;DATE(YEAR($A6),MONTH($A6),1),PayDate,"&lt;"&amp;DATE(YEAR($A6),MONTH($A6)+1,1),PayDept,$C$1,PayEmp,$C$2))</f>
        <v>0</v>
      </c>
      <c r="S6" s="133">
        <f t="shared" ref="S6:S17" ca="1" si="4">SUM(OFFSET($O6,0,0,1,COLUMN(S$1)-COLUMN($O$1)))</f>
        <v>5384.48</v>
      </c>
      <c r="T6" s="133">
        <f t="shared" ref="T6:T17" ca="1" si="5">M6+S6</f>
        <v>109368.95999999999</v>
      </c>
      <c r="U6" s="133">
        <f t="shared" ref="U6:U17" ca="1" si="6">G6+S6</f>
        <v>395984.48</v>
      </c>
      <c r="V6" s="133">
        <f t="shared" ref="V6:X17" ca="1" si="7">IF(ISBLANK(V$4),0,SUMIFS(OFFSET($H6,0,0,1,COLUMN($U$1)-COLUMN($H$1)),OFFSET($H$4,0,0,1,COLUMN($U$1)-COLUMN($H$1)),V$4))</f>
        <v>2956.96</v>
      </c>
      <c r="W6" s="133">
        <f t="shared" ca="1" si="7"/>
        <v>0</v>
      </c>
      <c r="X6" s="133">
        <f t="shared" ca="1" si="7"/>
        <v>0</v>
      </c>
    </row>
    <row r="7" spans="1:25" ht="16.149999999999999" customHeight="1" x14ac:dyDescent="0.25">
      <c r="A7" s="285">
        <f ca="1">DATE(YEAR(A8),MONTH(A8),0)</f>
        <v>45046</v>
      </c>
      <c r="B7" s="133" cm="1">
        <f t="array" aca="1" ref="B7" ca="1">IF(OR(ISBLANK(B$4),B$4="Not Used"),0,SUMIFS(OFFSET(Payroll!$G$6,1,COLUMN(B$1)-COLUMN($B$1),PayCount,1),PayDate,"&gt;="&amp;DATE(YEAR($A7),MONTH($A7),1),PayDate,"&lt;"&amp;DATE(YEAR($A7),MONTH($A7)+1,1),PayDept,$C$1,PayEmp,$C$2))</f>
        <v>387000</v>
      </c>
      <c r="C7" s="133" cm="1">
        <f t="array" aca="1" ref="C7" ca="1">IF(OR(ISBLANK(C$4),C$4="Not Used"),0,SUMIFS(OFFSET(Payroll!$G$6,1,COLUMN(C$1)-COLUMN($B$1),PayCount,1),PayDate,"&gt;="&amp;DATE(YEAR($A7),MONTH($A7),1),PayDate,"&lt;"&amp;DATE(YEAR($A7),MONTH($A7)+1,1),PayDept,$C$1,PayEmp,$C$2))</f>
        <v>0</v>
      </c>
      <c r="D7" s="133" cm="1">
        <f t="array" aca="1" ref="D7" ca="1">IF(OR(ISBLANK(D$4),D$4="Not Used"),0,SUMIFS(OFFSET(Payroll!$G$6,1,COLUMN(D$1)-COLUMN($B$1),PayCount,1),PayDate,"&gt;="&amp;DATE(YEAR($A7),MONTH($A7),1),PayDate,"&lt;"&amp;DATE(YEAR($A7),MONTH($A7)+1,1),PayDept,$C$1,PayEmp,$C$2))</f>
        <v>0</v>
      </c>
      <c r="E7" s="133" cm="1">
        <f t="array" aca="1" ref="E7" ca="1">IF(OR(ISBLANK(E$4),E$4="Not Used"),0,SUMIFS(OFFSET(Payroll!$G$6,1,COLUMN(E$1)-COLUMN($B$1),PayCount,1),PayDate,"&gt;="&amp;DATE(YEAR($A7),MONTH($A7),1),PayDate,"&lt;"&amp;DATE(YEAR($A7),MONTH($A7)+1,1),PayDept,$C$1,PayEmp,$C$2))</f>
        <v>0</v>
      </c>
      <c r="F7" s="133" cm="1">
        <f t="array" aca="1" ref="F7" ca="1">IF(OR(ISBLANK(F$4),F$4="Not Used"),0,SUMIFS(OFFSET(Payroll!$G$6,1,COLUMN(F$1)-COLUMN($B$1),PayCount,1),PayDate,"&gt;="&amp;DATE(YEAR($A7),MONTH($A7),1),PayDate,"&lt;"&amp;DATE(YEAR($A7),MONTH($A7)+1,1),PayDept,$C$1,PayEmp,$C$2))</f>
        <v>0</v>
      </c>
      <c r="G7" s="133">
        <f t="shared" ca="1" si="0"/>
        <v>387000</v>
      </c>
      <c r="H7" s="133">
        <f t="shared" ca="1" si="1"/>
        <v>90108</v>
      </c>
      <c r="I7" s="133" cm="1">
        <f t="array" aca="1" ref="I7" ca="1">IF(OR(ISBLANK(I$4),I$4="Not Used"),0,SUMIFS(OFFSET(Payroll!$N$6,1,COLUMN(I$1)-COLUMN($I$1),PayCount,1),PayDate,"&gt;="&amp;DATE(YEAR($A7),MONTH($A7),1),PayDate,"&lt;"&amp;DATE(YEAR($A7),MONTH($A7)+1,1),PayDept,$C$1,PayEmp,$C$2))</f>
        <v>1460.24</v>
      </c>
      <c r="J7" s="133" cm="1">
        <f t="array" aca="1" ref="J7" ca="1">IF(OR(ISBLANK(J$4),J$4="Not Used"),0,SUMIFS(OFFSET(Payroll!$N$6,1,COLUMN(J$1)-COLUMN($I$1),PayCount,1),PayDate,"&gt;="&amp;DATE(YEAR($A7),MONTH($A7),1),PayDate,"&lt;"&amp;DATE(YEAR($A7),MONTH($A7)+1,1),PayDept,$C$1,PayEmp,$C$2))</f>
        <v>11250</v>
      </c>
      <c r="K7" s="133" cm="1">
        <f t="array" aca="1" ref="K7" ca="1">IF(OR(ISBLANK(K$4),K$4="Not Used"),0,SUMIFS(OFFSET(Payroll!$N$6,1,COLUMN(K$1)-COLUMN($I$1),PayCount,1),PayDate,"&gt;="&amp;DATE(YEAR($A7),MONTH($A7),1),PayDate,"&lt;"&amp;DATE(YEAR($A7),MONTH($A7)+1,1),PayDept,$C$1,PayEmp,$C$2))</f>
        <v>500</v>
      </c>
      <c r="L7" s="133" cm="1">
        <f t="array" aca="1" ref="L7" ca="1">IF(OR(ISBLANK(L$4),L$4="Not Used"),0,SUMIFS(OFFSET(Payroll!$N$6,1,COLUMN(L$1)-COLUMN($I$1),PayCount,1),PayDate,"&gt;="&amp;DATE(YEAR($A7),MONTH($A7),1),PayDate,"&lt;"&amp;DATE(YEAR($A7),MONTH($A7)+1,1),PayDept,$C$1,PayEmp,$C$2))</f>
        <v>0</v>
      </c>
      <c r="M7" s="133">
        <f t="shared" ca="1" si="2"/>
        <v>103318.24</v>
      </c>
      <c r="N7" s="133">
        <f t="shared" ca="1" si="3"/>
        <v>283681.76</v>
      </c>
      <c r="O7" s="133" cm="1">
        <f t="array" aca="1" ref="O7" ca="1">IF(OR(ISBLANK(O$4),O$4="Not Used"),0,SUMIFS(OFFSET(Payroll!$T$6,1,COLUMN(O$1)-COLUMN($O$1),PayCount,1),PayDate,"&gt;="&amp;DATE(YEAR($A7),MONTH($A7),1),PayDate,"&lt;"&amp;DATE(YEAR($A7),MONTH($A7)+1,1),PayDept,$C$1,PayEmp,$C$2))</f>
        <v>1460.24</v>
      </c>
      <c r="P7" s="133" cm="1">
        <f t="array" aca="1" ref="P7" ca="1">IF(OR(ISBLANK(P$4),P$4="Not Used"),0,SUMIFS(OFFSET(Payroll!$T$6,1,COLUMN(P$1)-COLUMN($O$1),PayCount,1),PayDate,"&gt;="&amp;DATE(YEAR($A7),MONTH($A7),1),PayDate,"&lt;"&amp;DATE(YEAR($A7),MONTH($A7)+1,1),PayDept,$C$1,PayEmp,$C$2))</f>
        <v>3870</v>
      </c>
      <c r="Q7" s="133" cm="1">
        <f t="array" aca="1" ref="Q7" ca="1">IF(OR(ISBLANK(Q$4),Q$4="Not Used"),0,SUMIFS(OFFSET(Payroll!$T$6,1,COLUMN(Q$1)-COLUMN($O$1),PayCount,1),PayDate,"&gt;="&amp;DATE(YEAR($A7),MONTH($A7),1),PayDate,"&lt;"&amp;DATE(YEAR($A7),MONTH($A7)+1,1),PayDept,$C$1,PayEmp,$C$2))</f>
        <v>0</v>
      </c>
      <c r="R7" s="133" cm="1">
        <f t="array" aca="1" ref="R7" ca="1">IF(OR(ISBLANK(R$4),R$4="Not Used"),0,SUMIFS(OFFSET(Payroll!$T$6,1,COLUMN(R$1)-COLUMN($O$1),PayCount,1),PayDate,"&gt;="&amp;DATE(YEAR($A7),MONTH($A7),1),PayDate,"&lt;"&amp;DATE(YEAR($A7),MONTH($A7)+1,1),PayDept,$C$1,PayEmp,$C$2))</f>
        <v>0</v>
      </c>
      <c r="S7" s="133">
        <f t="shared" ca="1" si="4"/>
        <v>5330.24</v>
      </c>
      <c r="T7" s="133">
        <f t="shared" ca="1" si="5"/>
        <v>108648.48000000001</v>
      </c>
      <c r="U7" s="133">
        <f t="shared" ca="1" si="6"/>
        <v>392330.23999999999</v>
      </c>
      <c r="V7" s="133">
        <f t="shared" ca="1" si="7"/>
        <v>2920.48</v>
      </c>
      <c r="W7" s="133">
        <f t="shared" ca="1" si="7"/>
        <v>0</v>
      </c>
      <c r="X7" s="133">
        <f t="shared" ca="1" si="7"/>
        <v>0</v>
      </c>
    </row>
    <row r="8" spans="1:25" ht="16.149999999999999" customHeight="1" x14ac:dyDescent="0.25">
      <c r="A8" s="285">
        <f ca="1">DATE(YEAR(A9),MONTH(A9),0)</f>
        <v>45077</v>
      </c>
      <c r="B8" s="133" cm="1">
        <f t="array" aca="1" ref="B8" ca="1">IF(OR(ISBLANK(B$4),B$4="Not Used"),0,SUMIFS(OFFSET(Payroll!$G$6,1,COLUMN(B$1)-COLUMN($B$1),PayCount,1),PayDate,"&gt;="&amp;DATE(YEAR($A8),MONTH($A8),1),PayDate,"&lt;"&amp;DATE(YEAR($A8),MONTH($A8)+1,1),PayDept,$C$1,PayEmp,$C$2))</f>
        <v>387000</v>
      </c>
      <c r="C8" s="133" cm="1">
        <f t="array" aca="1" ref="C8" ca="1">IF(OR(ISBLANK(C$4),C$4="Not Used"),0,SUMIFS(OFFSET(Payroll!$G$6,1,COLUMN(C$1)-COLUMN($B$1),PayCount,1),PayDate,"&gt;="&amp;DATE(YEAR($A8),MONTH($A8),1),PayDate,"&lt;"&amp;DATE(YEAR($A8),MONTH($A8)+1,1),PayDept,$C$1,PayEmp,$C$2))</f>
        <v>0</v>
      </c>
      <c r="D8" s="133" cm="1">
        <f t="array" aca="1" ref="D8" ca="1">IF(OR(ISBLANK(D$4),D$4="Not Used"),0,SUMIFS(OFFSET(Payroll!$G$6,1,COLUMN(D$1)-COLUMN($B$1),PayCount,1),PayDate,"&gt;="&amp;DATE(YEAR($A8),MONTH($A8),1),PayDate,"&lt;"&amp;DATE(YEAR($A8),MONTH($A8)+1,1),PayDept,$C$1,PayEmp,$C$2))</f>
        <v>0</v>
      </c>
      <c r="E8" s="133" cm="1">
        <f t="array" aca="1" ref="E8" ca="1">IF(OR(ISBLANK(E$4),E$4="Not Used"),0,SUMIFS(OFFSET(Payroll!$G$6,1,COLUMN(E$1)-COLUMN($B$1),PayCount,1),PayDate,"&gt;="&amp;DATE(YEAR($A8),MONTH($A8),1),PayDate,"&lt;"&amp;DATE(YEAR($A8),MONTH($A8)+1,1),PayDept,$C$1,PayEmp,$C$2))</f>
        <v>0</v>
      </c>
      <c r="F8" s="133" cm="1">
        <f t="array" aca="1" ref="F8" ca="1">IF(OR(ISBLANK(F$4),F$4="Not Used"),0,SUMIFS(OFFSET(Payroll!$G$6,1,COLUMN(F$1)-COLUMN($B$1),PayCount,1),PayDate,"&gt;="&amp;DATE(YEAR($A8),MONTH($A8),1),PayDate,"&lt;"&amp;DATE(YEAR($A8),MONTH($A8)+1,1),PayDept,$C$1,PayEmp,$C$2))</f>
        <v>0</v>
      </c>
      <c r="G8" s="133">
        <f t="shared" ca="1" si="0"/>
        <v>387000</v>
      </c>
      <c r="H8" s="133">
        <f t="shared" ca="1" si="1"/>
        <v>90107.999999999985</v>
      </c>
      <c r="I8" s="133" cm="1">
        <f t="array" aca="1" ref="I8" ca="1">IF(OR(ISBLANK(I$4),I$4="Not Used"),0,SUMIFS(OFFSET(Payroll!$N$6,1,COLUMN(I$1)-COLUMN($I$1),PayCount,1),PayDate,"&gt;="&amp;DATE(YEAR($A8),MONTH($A8),1),PayDate,"&lt;"&amp;DATE(YEAR($A8),MONTH($A8)+1,1),PayDept,$C$1,PayEmp,$C$2))</f>
        <v>1451.3600000000001</v>
      </c>
      <c r="J8" s="133" cm="1">
        <f t="array" aca="1" ref="J8" ca="1">IF(OR(ISBLANK(J$4),J$4="Not Used"),0,SUMIFS(OFFSET(Payroll!$N$6,1,COLUMN(J$1)-COLUMN($I$1),PayCount,1),PayDate,"&gt;="&amp;DATE(YEAR($A8),MONTH($A8),1),PayDate,"&lt;"&amp;DATE(YEAR($A8),MONTH($A8)+1,1),PayDept,$C$1,PayEmp,$C$2))</f>
        <v>11250</v>
      </c>
      <c r="K8" s="133" cm="1">
        <f t="array" aca="1" ref="K8" ca="1">IF(OR(ISBLANK(K$4),K$4="Not Used"),0,SUMIFS(OFFSET(Payroll!$N$6,1,COLUMN(K$1)-COLUMN($I$1),PayCount,1),PayDate,"&gt;="&amp;DATE(YEAR($A8),MONTH($A8),1),PayDate,"&lt;"&amp;DATE(YEAR($A8),MONTH($A8)+1,1),PayDept,$C$1,PayEmp,$C$2))</f>
        <v>500</v>
      </c>
      <c r="L8" s="133" cm="1">
        <f t="array" aca="1" ref="L8" ca="1">IF(OR(ISBLANK(L$4),L$4="Not Used"),0,SUMIFS(OFFSET(Payroll!$N$6,1,COLUMN(L$1)-COLUMN($I$1),PayCount,1),PayDate,"&gt;="&amp;DATE(YEAR($A8),MONTH($A8),1),PayDate,"&lt;"&amp;DATE(YEAR($A8),MONTH($A8)+1,1),PayDept,$C$1,PayEmp,$C$2))</f>
        <v>0</v>
      </c>
      <c r="M8" s="133">
        <f t="shared" ca="1" si="2"/>
        <v>103309.35999999999</v>
      </c>
      <c r="N8" s="133">
        <f t="shared" ca="1" si="3"/>
        <v>283690.64</v>
      </c>
      <c r="O8" s="133" cm="1">
        <f t="array" aca="1" ref="O8" ca="1">IF(OR(ISBLANK(O$4),O$4="Not Used"),0,SUMIFS(OFFSET(Payroll!$T$6,1,COLUMN(O$1)-COLUMN($O$1),PayCount,1),PayDate,"&gt;="&amp;DATE(YEAR($A8),MONTH($A8),1),PayDate,"&lt;"&amp;DATE(YEAR($A8),MONTH($A8)+1,1),PayDept,$C$1,PayEmp,$C$2))</f>
        <v>1451.3600000000001</v>
      </c>
      <c r="P8" s="133" cm="1">
        <f t="array" aca="1" ref="P8" ca="1">IF(OR(ISBLANK(P$4),P$4="Not Used"),0,SUMIFS(OFFSET(Payroll!$T$6,1,COLUMN(P$1)-COLUMN($O$1),PayCount,1),PayDate,"&gt;="&amp;DATE(YEAR($A8),MONTH($A8),1),PayDate,"&lt;"&amp;DATE(YEAR($A8),MONTH($A8)+1,1),PayDept,$C$1,PayEmp,$C$2))</f>
        <v>3870</v>
      </c>
      <c r="Q8" s="133" cm="1">
        <f t="array" aca="1" ref="Q8" ca="1">IF(OR(ISBLANK(Q$4),Q$4="Not Used"),0,SUMIFS(OFFSET(Payroll!$T$6,1,COLUMN(Q$1)-COLUMN($O$1),PayCount,1),PayDate,"&gt;="&amp;DATE(YEAR($A8),MONTH($A8),1),PayDate,"&lt;"&amp;DATE(YEAR($A8),MONTH($A8)+1,1),PayDept,$C$1,PayEmp,$C$2))</f>
        <v>0</v>
      </c>
      <c r="R8" s="133" cm="1">
        <f t="array" aca="1" ref="R8" ca="1">IF(OR(ISBLANK(R$4),R$4="Not Used"),0,SUMIFS(OFFSET(Payroll!$T$6,1,COLUMN(R$1)-COLUMN($O$1),PayCount,1),PayDate,"&gt;="&amp;DATE(YEAR($A8),MONTH($A8),1),PayDate,"&lt;"&amp;DATE(YEAR($A8),MONTH($A8)+1,1),PayDept,$C$1,PayEmp,$C$2))</f>
        <v>0</v>
      </c>
      <c r="S8" s="133">
        <f t="shared" ca="1" si="4"/>
        <v>5321.3600000000006</v>
      </c>
      <c r="T8" s="133">
        <f t="shared" ca="1" si="5"/>
        <v>108630.71999999999</v>
      </c>
      <c r="U8" s="133">
        <f t="shared" ca="1" si="6"/>
        <v>392321.36</v>
      </c>
      <c r="V8" s="133">
        <f t="shared" ca="1" si="7"/>
        <v>2902.7200000000003</v>
      </c>
      <c r="W8" s="133">
        <f t="shared" ca="1" si="7"/>
        <v>0</v>
      </c>
      <c r="X8" s="133">
        <f t="shared" ca="1" si="7"/>
        <v>0</v>
      </c>
    </row>
    <row r="9" spans="1:25" ht="16.149999999999999" customHeight="1" x14ac:dyDescent="0.25">
      <c r="A9" s="285">
        <f ca="1">DATE(YEAR(A10),MONTH(A10),0)</f>
        <v>45107</v>
      </c>
      <c r="B9" s="133" cm="1">
        <f t="array" aca="1" ref="B9" ca="1">IF(OR(ISBLANK(B$4),B$4="Not Used"),0,SUMIFS(OFFSET(Payroll!$G$6,1,COLUMN(B$1)-COLUMN($B$1),PayCount,1),PayDate,"&gt;="&amp;DATE(YEAR($A9),MONTH($A9),1),PayDate,"&lt;"&amp;DATE(YEAR($A9),MONTH($A9)+1,1),PayDept,$C$1,PayEmp,$C$2))</f>
        <v>391150</v>
      </c>
      <c r="C9" s="133" cm="1">
        <f t="array" aca="1" ref="C9" ca="1">IF(OR(ISBLANK(C$4),C$4="Not Used"),0,SUMIFS(OFFSET(Payroll!$G$6,1,COLUMN(C$1)-COLUMN($B$1),PayCount,1),PayDate,"&gt;="&amp;DATE(YEAR($A9),MONTH($A9),1),PayDate,"&lt;"&amp;DATE(YEAR($A9),MONTH($A9)+1,1),PayDept,$C$1,PayEmp,$C$2))</f>
        <v>0</v>
      </c>
      <c r="D9" s="133" cm="1">
        <f t="array" aca="1" ref="D9" ca="1">IF(OR(ISBLANK(D$4),D$4="Not Used"),0,SUMIFS(OFFSET(Payroll!$G$6,1,COLUMN(D$1)-COLUMN($B$1),PayCount,1),PayDate,"&gt;="&amp;DATE(YEAR($A9),MONTH($A9),1),PayDate,"&lt;"&amp;DATE(YEAR($A9),MONTH($A9)+1,1),PayDept,$C$1,PayEmp,$C$2))</f>
        <v>0</v>
      </c>
      <c r="E9" s="133" cm="1">
        <f t="array" aca="1" ref="E9" ca="1">IF(OR(ISBLANK(E$4),E$4="Not Used"),0,SUMIFS(OFFSET(Payroll!$G$6,1,COLUMN(E$1)-COLUMN($B$1),PayCount,1),PayDate,"&gt;="&amp;DATE(YEAR($A9),MONTH($A9),1),PayDate,"&lt;"&amp;DATE(YEAR($A9),MONTH($A9)+1,1),PayDept,$C$1,PayEmp,$C$2))</f>
        <v>0</v>
      </c>
      <c r="F9" s="133" cm="1">
        <f t="array" aca="1" ref="F9" ca="1">IF(OR(ISBLANK(F$4),F$4="Not Used"),0,SUMIFS(OFFSET(Payroll!$G$6,1,COLUMN(F$1)-COLUMN($B$1),PayCount,1),PayDate,"&gt;="&amp;DATE(YEAR($A9),MONTH($A9),1),PayDate,"&lt;"&amp;DATE(YEAR($A9),MONTH($A9)+1,1),PayDept,$C$1,PayEmp,$C$2))</f>
        <v>0</v>
      </c>
      <c r="G9" s="133">
        <f t="shared" ca="1" si="0"/>
        <v>391150</v>
      </c>
      <c r="H9" s="133">
        <f t="shared" ca="1" si="1"/>
        <v>91187.000000000015</v>
      </c>
      <c r="I9" s="133" cm="1">
        <f t="array" aca="1" ref="I9" ca="1">IF(OR(ISBLANK(I$4),I$4="Not Used"),0,SUMIFS(OFFSET(Payroll!$N$6,1,COLUMN(I$1)-COLUMN($I$1),PayCount,1),PayDate,"&gt;="&amp;DATE(YEAR($A9),MONTH($A9),1),PayDate,"&lt;"&amp;DATE(YEAR($A9),MONTH($A9)+1,1),PayDept,$C$1,PayEmp,$C$2))</f>
        <v>1451.3600000000001</v>
      </c>
      <c r="J9" s="133" cm="1">
        <f t="array" aca="1" ref="J9" ca="1">IF(OR(ISBLANK(J$4),J$4="Not Used"),0,SUMIFS(OFFSET(Payroll!$N$6,1,COLUMN(J$1)-COLUMN($I$1),PayCount,1),PayDate,"&gt;="&amp;DATE(YEAR($A9),MONTH($A9),1),PayDate,"&lt;"&amp;DATE(YEAR($A9),MONTH($A9)+1,1),PayDept,$C$1,PayEmp,$C$2))</f>
        <v>11250</v>
      </c>
      <c r="K9" s="133" cm="1">
        <f t="array" aca="1" ref="K9" ca="1">IF(OR(ISBLANK(K$4),K$4="Not Used"),0,SUMIFS(OFFSET(Payroll!$N$6,1,COLUMN(K$1)-COLUMN($I$1),PayCount,1),PayDate,"&gt;="&amp;DATE(YEAR($A9),MONTH($A9),1),PayDate,"&lt;"&amp;DATE(YEAR($A9),MONTH($A9)+1,1),PayDept,$C$1,PayEmp,$C$2))</f>
        <v>500</v>
      </c>
      <c r="L9" s="133" cm="1">
        <f t="array" aca="1" ref="L9" ca="1">IF(OR(ISBLANK(L$4),L$4="Not Used"),0,SUMIFS(OFFSET(Payroll!$N$6,1,COLUMN(L$1)-COLUMN($I$1),PayCount,1),PayDate,"&gt;="&amp;DATE(YEAR($A9),MONTH($A9),1),PayDate,"&lt;"&amp;DATE(YEAR($A9),MONTH($A9)+1,1),PayDept,$C$1,PayEmp,$C$2))</f>
        <v>0</v>
      </c>
      <c r="M9" s="133">
        <f t="shared" ca="1" si="2"/>
        <v>104388.36000000002</v>
      </c>
      <c r="N9" s="133">
        <f t="shared" ca="1" si="3"/>
        <v>286761.64</v>
      </c>
      <c r="O9" s="133" cm="1">
        <f t="array" aca="1" ref="O9" ca="1">IF(OR(ISBLANK(O$4),O$4="Not Used"),0,SUMIFS(OFFSET(Payroll!$T$6,1,COLUMN(O$1)-COLUMN($O$1),PayCount,1),PayDate,"&gt;="&amp;DATE(YEAR($A9),MONTH($A9),1),PayDate,"&lt;"&amp;DATE(YEAR($A9),MONTH($A9)+1,1),PayDept,$C$1,PayEmp,$C$2))</f>
        <v>1451.3600000000001</v>
      </c>
      <c r="P9" s="133" cm="1">
        <f t="array" aca="1" ref="P9" ca="1">IF(OR(ISBLANK(P$4),P$4="Not Used"),0,SUMIFS(OFFSET(Payroll!$T$6,1,COLUMN(P$1)-COLUMN($O$1),PayCount,1),PayDate,"&gt;="&amp;DATE(YEAR($A9),MONTH($A9),1),PayDate,"&lt;"&amp;DATE(YEAR($A9),MONTH($A9)+1,1),PayDept,$C$1,PayEmp,$C$2))</f>
        <v>3911.5</v>
      </c>
      <c r="Q9" s="133" cm="1">
        <f t="array" aca="1" ref="Q9" ca="1">IF(OR(ISBLANK(Q$4),Q$4="Not Used"),0,SUMIFS(OFFSET(Payroll!$T$6,1,COLUMN(Q$1)-COLUMN($O$1),PayCount,1),PayDate,"&gt;="&amp;DATE(YEAR($A9),MONTH($A9),1),PayDate,"&lt;"&amp;DATE(YEAR($A9),MONTH($A9)+1,1),PayDept,$C$1,PayEmp,$C$2))</f>
        <v>0</v>
      </c>
      <c r="R9" s="133" cm="1">
        <f t="array" aca="1" ref="R9" ca="1">IF(OR(ISBLANK(R$4),R$4="Not Used"),0,SUMIFS(OFFSET(Payroll!$T$6,1,COLUMN(R$1)-COLUMN($O$1),PayCount,1),PayDate,"&gt;="&amp;DATE(YEAR($A9),MONTH($A9),1),PayDate,"&lt;"&amp;DATE(YEAR($A9),MONTH($A9)+1,1),PayDept,$C$1,PayEmp,$C$2))</f>
        <v>0</v>
      </c>
      <c r="S9" s="133">
        <f t="shared" ca="1" si="4"/>
        <v>5362.8600000000006</v>
      </c>
      <c r="T9" s="133">
        <f t="shared" ca="1" si="5"/>
        <v>109751.22000000002</v>
      </c>
      <c r="U9" s="133">
        <f t="shared" ca="1" si="6"/>
        <v>396512.86</v>
      </c>
      <c r="V9" s="133">
        <f t="shared" ca="1" si="7"/>
        <v>2902.7200000000003</v>
      </c>
      <c r="W9" s="133">
        <f t="shared" ca="1" si="7"/>
        <v>0</v>
      </c>
      <c r="X9" s="133">
        <f t="shared" ca="1" si="7"/>
        <v>0</v>
      </c>
    </row>
    <row r="10" spans="1:25" ht="16.149999999999999" customHeight="1" x14ac:dyDescent="0.25">
      <c r="A10" s="285">
        <f t="shared" ref="A10:A15" ca="1" si="8">DATE(YEAR(A11),MONTH(A11),0)</f>
        <v>45138</v>
      </c>
      <c r="B10" s="133" cm="1">
        <f t="array" aca="1" ref="B10" ca="1">IF(OR(ISBLANK(B$4),B$4="Not Used"),0,SUMIFS(OFFSET(Payroll!$G$6,1,COLUMN(B$1)-COLUMN($B$1),PayCount,1),PayDate,"&gt;="&amp;DATE(YEAR($A10),MONTH($A10),1),PayDate,"&lt;"&amp;DATE(YEAR($A10),MONTH($A10)+1,1),PayDept,$C$1,PayEmp,$C$2))</f>
        <v>391150</v>
      </c>
      <c r="C10" s="133" cm="1">
        <f t="array" aca="1" ref="C10" ca="1">IF(OR(ISBLANK(C$4),C$4="Not Used"),0,SUMIFS(OFFSET(Payroll!$G$6,1,COLUMN(C$1)-COLUMN($B$1),PayCount,1),PayDate,"&gt;="&amp;DATE(YEAR($A10),MONTH($A10),1),PayDate,"&lt;"&amp;DATE(YEAR($A10),MONTH($A10)+1,1),PayDept,$C$1,PayEmp,$C$2))</f>
        <v>0</v>
      </c>
      <c r="D10" s="133" cm="1">
        <f t="array" aca="1" ref="D10" ca="1">IF(OR(ISBLANK(D$4),D$4="Not Used"),0,SUMIFS(OFFSET(Payroll!$G$6,1,COLUMN(D$1)-COLUMN($B$1),PayCount,1),PayDate,"&gt;="&amp;DATE(YEAR($A10),MONTH($A10),1),PayDate,"&lt;"&amp;DATE(YEAR($A10),MONTH($A10)+1,1),PayDept,$C$1,PayEmp,$C$2))</f>
        <v>0</v>
      </c>
      <c r="E10" s="133" cm="1">
        <f t="array" aca="1" ref="E10" ca="1">IF(OR(ISBLANK(E$4),E$4="Not Used"),0,SUMIFS(OFFSET(Payroll!$G$6,1,COLUMN(E$1)-COLUMN($B$1),PayCount,1),PayDate,"&gt;="&amp;DATE(YEAR($A10),MONTH($A10),1),PayDate,"&lt;"&amp;DATE(YEAR($A10),MONTH($A10)+1,1),PayDept,$C$1,PayEmp,$C$2))</f>
        <v>0</v>
      </c>
      <c r="F10" s="133" cm="1">
        <f t="array" aca="1" ref="F10" ca="1">IF(OR(ISBLANK(F$4),F$4="Not Used"),0,SUMIFS(OFFSET(Payroll!$G$6,1,COLUMN(F$1)-COLUMN($B$1),PayCount,1),PayDate,"&gt;="&amp;DATE(YEAR($A10),MONTH($A10),1),PayDate,"&lt;"&amp;DATE(YEAR($A10),MONTH($A10)+1,1),PayDept,$C$1,PayEmp,$C$2))</f>
        <v>0</v>
      </c>
      <c r="G10" s="133">
        <f t="shared" ca="1" si="0"/>
        <v>391150</v>
      </c>
      <c r="H10" s="133">
        <f t="shared" ca="1" si="1"/>
        <v>90367.000000000015</v>
      </c>
      <c r="I10" s="133" cm="1">
        <f t="array" aca="1" ref="I10" ca="1">IF(OR(ISBLANK(I$4),I$4="Not Used"),0,SUMIFS(OFFSET(Payroll!$N$6,1,COLUMN(I$1)-COLUMN($I$1),PayCount,1),PayDate,"&gt;="&amp;DATE(YEAR($A10),MONTH($A10),1),PayDate,"&lt;"&amp;DATE(YEAR($A10),MONTH($A10)+1,1),PayDept,$C$1,PayEmp,$C$2))</f>
        <v>1451.3600000000001</v>
      </c>
      <c r="J10" s="133" cm="1">
        <f t="array" aca="1" ref="J10" ca="1">IF(OR(ISBLANK(J$4),J$4="Not Used"),0,SUMIFS(OFFSET(Payroll!$N$6,1,COLUMN(J$1)-COLUMN($I$1),PayCount,1),PayDate,"&gt;="&amp;DATE(YEAR($A10),MONTH($A10),1),PayDate,"&lt;"&amp;DATE(YEAR($A10),MONTH($A10)+1,1),PayDept,$C$1,PayEmp,$C$2))</f>
        <v>11250</v>
      </c>
      <c r="K10" s="133" cm="1">
        <f t="array" aca="1" ref="K10" ca="1">IF(OR(ISBLANK(K$4),K$4="Not Used"),0,SUMIFS(OFFSET(Payroll!$N$6,1,COLUMN(K$1)-COLUMN($I$1),PayCount,1),PayDate,"&gt;="&amp;DATE(YEAR($A10),MONTH($A10),1),PayDate,"&lt;"&amp;DATE(YEAR($A10),MONTH($A10)+1,1),PayDept,$C$1,PayEmp,$C$2))</f>
        <v>500</v>
      </c>
      <c r="L10" s="133" cm="1">
        <f t="array" aca="1" ref="L10" ca="1">IF(OR(ISBLANK(L$4),L$4="Not Used"),0,SUMIFS(OFFSET(Payroll!$N$6,1,COLUMN(L$1)-COLUMN($I$1),PayCount,1),PayDate,"&gt;="&amp;DATE(YEAR($A10),MONTH($A10),1),PayDate,"&lt;"&amp;DATE(YEAR($A10),MONTH($A10)+1,1),PayDept,$C$1,PayEmp,$C$2))</f>
        <v>0</v>
      </c>
      <c r="M10" s="133">
        <f t="shared" ca="1" si="2"/>
        <v>103568.36000000002</v>
      </c>
      <c r="N10" s="133">
        <f t="shared" ca="1" si="3"/>
        <v>287581.64</v>
      </c>
      <c r="O10" s="133" cm="1">
        <f t="array" aca="1" ref="O10" ca="1">IF(OR(ISBLANK(O$4),O$4="Not Used"),0,SUMIFS(OFFSET(Payroll!$T$6,1,COLUMN(O$1)-COLUMN($O$1),PayCount,1),PayDate,"&gt;="&amp;DATE(YEAR($A10),MONTH($A10),1),PayDate,"&lt;"&amp;DATE(YEAR($A10),MONTH($A10)+1,1),PayDept,$C$1,PayEmp,$C$2))</f>
        <v>1451.3600000000001</v>
      </c>
      <c r="P10" s="133" cm="1">
        <f t="array" aca="1" ref="P10" ca="1">IF(OR(ISBLANK(P$4),P$4="Not Used"),0,SUMIFS(OFFSET(Payroll!$T$6,1,COLUMN(P$1)-COLUMN($O$1),PayCount,1),PayDate,"&gt;="&amp;DATE(YEAR($A10),MONTH($A10),1),PayDate,"&lt;"&amp;DATE(YEAR($A10),MONTH($A10)+1,1),PayDept,$C$1,PayEmp,$C$2))</f>
        <v>3911.5</v>
      </c>
      <c r="Q10" s="133" cm="1">
        <f t="array" aca="1" ref="Q10" ca="1">IF(OR(ISBLANK(Q$4),Q$4="Not Used"),0,SUMIFS(OFFSET(Payroll!$T$6,1,COLUMN(Q$1)-COLUMN($O$1),PayCount,1),PayDate,"&gt;="&amp;DATE(YEAR($A10),MONTH($A10),1),PayDate,"&lt;"&amp;DATE(YEAR($A10),MONTH($A10)+1,1),PayDept,$C$1,PayEmp,$C$2))</f>
        <v>0</v>
      </c>
      <c r="R10" s="133" cm="1">
        <f t="array" aca="1" ref="R10" ca="1">IF(OR(ISBLANK(R$4),R$4="Not Used"),0,SUMIFS(OFFSET(Payroll!$T$6,1,COLUMN(R$1)-COLUMN($O$1),PayCount,1),PayDate,"&gt;="&amp;DATE(YEAR($A10),MONTH($A10),1),PayDate,"&lt;"&amp;DATE(YEAR($A10),MONTH($A10)+1,1),PayDept,$C$1,PayEmp,$C$2))</f>
        <v>0</v>
      </c>
      <c r="S10" s="133">
        <f t="shared" ca="1" si="4"/>
        <v>5362.8600000000006</v>
      </c>
      <c r="T10" s="133">
        <f t="shared" ca="1" si="5"/>
        <v>108931.22000000002</v>
      </c>
      <c r="U10" s="133">
        <f t="shared" ca="1" si="6"/>
        <v>396512.86</v>
      </c>
      <c r="V10" s="133">
        <f t="shared" ca="1" si="7"/>
        <v>2902.7200000000003</v>
      </c>
      <c r="W10" s="133">
        <f t="shared" ca="1" si="7"/>
        <v>0</v>
      </c>
      <c r="X10" s="133">
        <f t="shared" ca="1" si="7"/>
        <v>0</v>
      </c>
    </row>
    <row r="11" spans="1:25" ht="16.149999999999999" customHeight="1" x14ac:dyDescent="0.25">
      <c r="A11" s="285">
        <f t="shared" ca="1" si="8"/>
        <v>45169</v>
      </c>
      <c r="B11" s="133" cm="1">
        <f t="array" aca="1" ref="B11" ca="1">IF(OR(ISBLANK(B$4),B$4="Not Used"),0,SUMIFS(OFFSET(Payroll!$G$6,1,COLUMN(B$1)-COLUMN($B$1),PayCount,1),PayDate,"&gt;="&amp;DATE(YEAR($A11),MONTH($A11),1),PayDate,"&lt;"&amp;DATE(YEAR($A11),MONTH($A11)+1,1),PayDept,$C$1,PayEmp,$C$2))</f>
        <v>391150</v>
      </c>
      <c r="C11" s="133" cm="1">
        <f t="array" aca="1" ref="C11" ca="1">IF(OR(ISBLANK(C$4),C$4="Not Used"),0,SUMIFS(OFFSET(Payroll!$G$6,1,COLUMN(C$1)-COLUMN($B$1),PayCount,1),PayDate,"&gt;="&amp;DATE(YEAR($A11),MONTH($A11),1),PayDate,"&lt;"&amp;DATE(YEAR($A11),MONTH($A11)+1,1),PayDept,$C$1,PayEmp,$C$2))</f>
        <v>0</v>
      </c>
      <c r="D11" s="133" cm="1">
        <f t="array" aca="1" ref="D11" ca="1">IF(OR(ISBLANK(D$4),D$4="Not Used"),0,SUMIFS(OFFSET(Payroll!$G$6,1,COLUMN(D$1)-COLUMN($B$1),PayCount,1),PayDate,"&gt;="&amp;DATE(YEAR($A11),MONTH($A11),1),PayDate,"&lt;"&amp;DATE(YEAR($A11),MONTH($A11)+1,1),PayDept,$C$1,PayEmp,$C$2))</f>
        <v>0</v>
      </c>
      <c r="E11" s="133" cm="1">
        <f t="array" aca="1" ref="E11" ca="1">IF(OR(ISBLANK(E$4),E$4="Not Used"),0,SUMIFS(OFFSET(Payroll!$G$6,1,COLUMN(E$1)-COLUMN($B$1),PayCount,1),PayDate,"&gt;="&amp;DATE(YEAR($A11),MONTH($A11),1),PayDate,"&lt;"&amp;DATE(YEAR($A11),MONTH($A11)+1,1),PayDept,$C$1,PayEmp,$C$2))</f>
        <v>0</v>
      </c>
      <c r="F11" s="133" cm="1">
        <f t="array" aca="1" ref="F11" ca="1">IF(OR(ISBLANK(F$4),F$4="Not Used"),0,SUMIFS(OFFSET(Payroll!$G$6,1,COLUMN(F$1)-COLUMN($B$1),PayCount,1),PayDate,"&gt;="&amp;DATE(YEAR($A11),MONTH($A11),1),PayDate,"&lt;"&amp;DATE(YEAR($A11),MONTH($A11)+1,1),PayDept,$C$1,PayEmp,$C$2))</f>
        <v>0</v>
      </c>
      <c r="G11" s="133">
        <f t="shared" ca="1" si="0"/>
        <v>391150</v>
      </c>
      <c r="H11" s="133">
        <f t="shared" ca="1" si="1"/>
        <v>91022.999999999956</v>
      </c>
      <c r="I11" s="133" cm="1">
        <f t="array" aca="1" ref="I11" ca="1">IF(OR(ISBLANK(I$4),I$4="Not Used"),0,SUMIFS(OFFSET(Payroll!$N$6,1,COLUMN(I$1)-COLUMN($I$1),PayCount,1),PayDate,"&gt;="&amp;DATE(YEAR($A11),MONTH($A11),1),PayDate,"&lt;"&amp;DATE(YEAR($A11),MONTH($A11)+1,1),PayDept,$C$1,PayEmp,$C$2))</f>
        <v>1451.3600000000001</v>
      </c>
      <c r="J11" s="133" cm="1">
        <f t="array" aca="1" ref="J11" ca="1">IF(OR(ISBLANK(J$4),J$4="Not Used"),0,SUMIFS(OFFSET(Payroll!$N$6,1,COLUMN(J$1)-COLUMN($I$1),PayCount,1),PayDate,"&gt;="&amp;DATE(YEAR($A11),MONTH($A11),1),PayDate,"&lt;"&amp;DATE(YEAR($A11),MONTH($A11)+1,1),PayDept,$C$1,PayEmp,$C$2))</f>
        <v>11250</v>
      </c>
      <c r="K11" s="133" cm="1">
        <f t="array" aca="1" ref="K11" ca="1">IF(OR(ISBLANK(K$4),K$4="Not Used"),0,SUMIFS(OFFSET(Payroll!$N$6,1,COLUMN(K$1)-COLUMN($I$1),PayCount,1),PayDate,"&gt;="&amp;DATE(YEAR($A11),MONTH($A11),1),PayDate,"&lt;"&amp;DATE(YEAR($A11),MONTH($A11)+1,1),PayDept,$C$1,PayEmp,$C$2))</f>
        <v>500</v>
      </c>
      <c r="L11" s="133" cm="1">
        <f t="array" aca="1" ref="L11" ca="1">IF(OR(ISBLANK(L$4),L$4="Not Used"),0,SUMIFS(OFFSET(Payroll!$N$6,1,COLUMN(L$1)-COLUMN($I$1),PayCount,1),PayDate,"&gt;="&amp;DATE(YEAR($A11),MONTH($A11),1),PayDate,"&lt;"&amp;DATE(YEAR($A11),MONTH($A11)+1,1),PayDept,$C$1,PayEmp,$C$2))</f>
        <v>0</v>
      </c>
      <c r="M11" s="133">
        <f t="shared" ca="1" si="2"/>
        <v>104224.35999999996</v>
      </c>
      <c r="N11" s="133">
        <f t="shared" ca="1" si="3"/>
        <v>286925.64</v>
      </c>
      <c r="O11" s="133" cm="1">
        <f t="array" aca="1" ref="O11" ca="1">IF(OR(ISBLANK(O$4),O$4="Not Used"),0,SUMIFS(OFFSET(Payroll!$T$6,1,COLUMN(O$1)-COLUMN($O$1),PayCount,1),PayDate,"&gt;="&amp;DATE(YEAR($A11),MONTH($A11),1),PayDate,"&lt;"&amp;DATE(YEAR($A11),MONTH($A11)+1,1),PayDept,$C$1,PayEmp,$C$2))</f>
        <v>1451.3600000000001</v>
      </c>
      <c r="P11" s="133" cm="1">
        <f t="array" aca="1" ref="P11" ca="1">IF(OR(ISBLANK(P$4),P$4="Not Used"),0,SUMIFS(OFFSET(Payroll!$T$6,1,COLUMN(P$1)-COLUMN($O$1),PayCount,1),PayDate,"&gt;="&amp;DATE(YEAR($A11),MONTH($A11),1),PayDate,"&lt;"&amp;DATE(YEAR($A11),MONTH($A11)+1,1),PayDept,$C$1,PayEmp,$C$2))</f>
        <v>3911.5</v>
      </c>
      <c r="Q11" s="133" cm="1">
        <f t="array" aca="1" ref="Q11" ca="1">IF(OR(ISBLANK(Q$4),Q$4="Not Used"),0,SUMIFS(OFFSET(Payroll!$T$6,1,COLUMN(Q$1)-COLUMN($O$1),PayCount,1),PayDate,"&gt;="&amp;DATE(YEAR($A11),MONTH($A11),1),PayDate,"&lt;"&amp;DATE(YEAR($A11),MONTH($A11)+1,1),PayDept,$C$1,PayEmp,$C$2))</f>
        <v>0</v>
      </c>
      <c r="R11" s="133" cm="1">
        <f t="array" aca="1" ref="R11" ca="1">IF(OR(ISBLANK(R$4),R$4="Not Used"),0,SUMIFS(OFFSET(Payroll!$T$6,1,COLUMN(R$1)-COLUMN($O$1),PayCount,1),PayDate,"&gt;="&amp;DATE(YEAR($A11),MONTH($A11),1),PayDate,"&lt;"&amp;DATE(YEAR($A11),MONTH($A11)+1,1),PayDept,$C$1,PayEmp,$C$2))</f>
        <v>0</v>
      </c>
      <c r="S11" s="133">
        <f t="shared" ca="1" si="4"/>
        <v>5362.8600000000006</v>
      </c>
      <c r="T11" s="133">
        <f t="shared" ca="1" si="5"/>
        <v>109587.21999999996</v>
      </c>
      <c r="U11" s="133">
        <f t="shared" ca="1" si="6"/>
        <v>396512.86</v>
      </c>
      <c r="V11" s="133">
        <f t="shared" ca="1" si="7"/>
        <v>2902.7200000000003</v>
      </c>
      <c r="W11" s="133">
        <f t="shared" ca="1" si="7"/>
        <v>0</v>
      </c>
      <c r="X11" s="133">
        <f t="shared" ca="1" si="7"/>
        <v>0</v>
      </c>
    </row>
    <row r="12" spans="1:25" ht="16.149999999999999" customHeight="1" x14ac:dyDescent="0.25">
      <c r="A12" s="285">
        <f t="shared" ca="1" si="8"/>
        <v>45199</v>
      </c>
      <c r="B12" s="133" cm="1">
        <f t="array" aca="1" ref="B12" ca="1">IF(OR(ISBLANK(B$4),B$4="Not Used"),0,SUMIFS(OFFSET(Payroll!$G$6,1,COLUMN(B$1)-COLUMN($B$1),PayCount,1),PayDate,"&gt;="&amp;DATE(YEAR($A12),MONTH($A12),1),PayDate,"&lt;"&amp;DATE(YEAR($A12),MONTH($A12)+1,1),PayDept,$C$1,PayEmp,$C$2))</f>
        <v>391150</v>
      </c>
      <c r="C12" s="133" cm="1">
        <f t="array" aca="1" ref="C12" ca="1">IF(OR(ISBLANK(C$4),C$4="Not Used"),0,SUMIFS(OFFSET(Payroll!$G$6,1,COLUMN(C$1)-COLUMN($B$1),PayCount,1),PayDate,"&gt;="&amp;DATE(YEAR($A12),MONTH($A12),1),PayDate,"&lt;"&amp;DATE(YEAR($A12),MONTH($A12)+1,1),PayDept,$C$1,PayEmp,$C$2))</f>
        <v>0</v>
      </c>
      <c r="D12" s="133" cm="1">
        <f t="array" aca="1" ref="D12" ca="1">IF(OR(ISBLANK(D$4),D$4="Not Used"),0,SUMIFS(OFFSET(Payroll!$G$6,1,COLUMN(D$1)-COLUMN($B$1),PayCount,1),PayDate,"&gt;="&amp;DATE(YEAR($A12),MONTH($A12),1),PayDate,"&lt;"&amp;DATE(YEAR($A12),MONTH($A12)+1,1),PayDept,$C$1,PayEmp,$C$2))</f>
        <v>0</v>
      </c>
      <c r="E12" s="133" cm="1">
        <f t="array" aca="1" ref="E12" ca="1">IF(OR(ISBLANK(E$4),E$4="Not Used"),0,SUMIFS(OFFSET(Payroll!$G$6,1,COLUMN(E$1)-COLUMN($B$1),PayCount,1),PayDate,"&gt;="&amp;DATE(YEAR($A12),MONTH($A12),1),PayDate,"&lt;"&amp;DATE(YEAR($A12),MONTH($A12)+1,1),PayDept,$C$1,PayEmp,$C$2))</f>
        <v>10000</v>
      </c>
      <c r="F12" s="133" cm="1">
        <f t="array" aca="1" ref="F12" ca="1">IF(OR(ISBLANK(F$4),F$4="Not Used"),0,SUMIFS(OFFSET(Payroll!$G$6,1,COLUMN(F$1)-COLUMN($B$1),PayCount,1),PayDate,"&gt;="&amp;DATE(YEAR($A12),MONTH($A12),1),PayDate,"&lt;"&amp;DATE(YEAR($A12),MONTH($A12)+1,1),PayDept,$C$1,PayEmp,$C$2))</f>
        <v>0</v>
      </c>
      <c r="G12" s="133">
        <f t="shared" ca="1" si="0"/>
        <v>401150</v>
      </c>
      <c r="H12" s="133">
        <f t="shared" ca="1" si="1"/>
        <v>91023.000000000073</v>
      </c>
      <c r="I12" s="133" cm="1">
        <f t="array" aca="1" ref="I12" ca="1">IF(OR(ISBLANK(I$4),I$4="Not Used"),0,SUMIFS(OFFSET(Payroll!$N$6,1,COLUMN(I$1)-COLUMN($I$1),PayCount,1),PayDate,"&gt;="&amp;DATE(YEAR($A12),MONTH($A12),1),PayDate,"&lt;"&amp;DATE(YEAR($A12),MONTH($A12)+1,1),PayDept,$C$1,PayEmp,$C$2))</f>
        <v>1451.3599999999997</v>
      </c>
      <c r="J12" s="133" cm="1">
        <f t="array" aca="1" ref="J12" ca="1">IF(OR(ISBLANK(J$4),J$4="Not Used"),0,SUMIFS(OFFSET(Payroll!$N$6,1,COLUMN(J$1)-COLUMN($I$1),PayCount,1),PayDate,"&gt;="&amp;DATE(YEAR($A12),MONTH($A12),1),PayDate,"&lt;"&amp;DATE(YEAR($A12),MONTH($A12)+1,1),PayDept,$C$1,PayEmp,$C$2))</f>
        <v>11250</v>
      </c>
      <c r="K12" s="133" cm="1">
        <f t="array" aca="1" ref="K12" ca="1">IF(OR(ISBLANK(K$4),K$4="Not Used"),0,SUMIFS(OFFSET(Payroll!$N$6,1,COLUMN(K$1)-COLUMN($I$1),PayCount,1),PayDate,"&gt;="&amp;DATE(YEAR($A12),MONTH($A12),1),PayDate,"&lt;"&amp;DATE(YEAR($A12),MONTH($A12)+1,1),PayDept,$C$1,PayEmp,$C$2))</f>
        <v>500</v>
      </c>
      <c r="L12" s="133" cm="1">
        <f t="array" aca="1" ref="L12" ca="1">IF(OR(ISBLANK(L$4),L$4="Not Used"),0,SUMIFS(OFFSET(Payroll!$N$6,1,COLUMN(L$1)-COLUMN($I$1),PayCount,1),PayDate,"&gt;="&amp;DATE(YEAR($A12),MONTH($A12),1),PayDate,"&lt;"&amp;DATE(YEAR($A12),MONTH($A12)+1,1),PayDept,$C$1,PayEmp,$C$2))</f>
        <v>0</v>
      </c>
      <c r="M12" s="133">
        <f t="shared" ca="1" si="2"/>
        <v>104224.36000000007</v>
      </c>
      <c r="N12" s="133">
        <f t="shared" ca="1" si="3"/>
        <v>296925.6399999999</v>
      </c>
      <c r="O12" s="133" cm="1">
        <f t="array" aca="1" ref="O12" ca="1">IF(OR(ISBLANK(O$4),O$4="Not Used"),0,SUMIFS(OFFSET(Payroll!$T$6,1,COLUMN(O$1)-COLUMN($O$1),PayCount,1),PayDate,"&gt;="&amp;DATE(YEAR($A12),MONTH($A12),1),PayDate,"&lt;"&amp;DATE(YEAR($A12),MONTH($A12)+1,1),PayDept,$C$1,PayEmp,$C$2))</f>
        <v>1451.3599999999997</v>
      </c>
      <c r="P12" s="133" cm="1">
        <f t="array" aca="1" ref="P12" ca="1">IF(OR(ISBLANK(P$4),P$4="Not Used"),0,SUMIFS(OFFSET(Payroll!$T$6,1,COLUMN(P$1)-COLUMN($O$1),PayCount,1),PayDate,"&gt;="&amp;DATE(YEAR($A12),MONTH($A12),1),PayDate,"&lt;"&amp;DATE(YEAR($A12),MONTH($A12)+1,1),PayDept,$C$1,PayEmp,$C$2))</f>
        <v>3911.5</v>
      </c>
      <c r="Q12" s="133" cm="1">
        <f t="array" aca="1" ref="Q12" ca="1">IF(OR(ISBLANK(Q$4),Q$4="Not Used"),0,SUMIFS(OFFSET(Payroll!$T$6,1,COLUMN(Q$1)-COLUMN($O$1),PayCount,1),PayDate,"&gt;="&amp;DATE(YEAR($A12),MONTH($A12),1),PayDate,"&lt;"&amp;DATE(YEAR($A12),MONTH($A12)+1,1),PayDept,$C$1,PayEmp,$C$2))</f>
        <v>0</v>
      </c>
      <c r="R12" s="133" cm="1">
        <f t="array" aca="1" ref="R12" ca="1">IF(OR(ISBLANK(R$4),R$4="Not Used"),0,SUMIFS(OFFSET(Payroll!$T$6,1,COLUMN(R$1)-COLUMN($O$1),PayCount,1),PayDate,"&gt;="&amp;DATE(YEAR($A12),MONTH($A12),1),PayDate,"&lt;"&amp;DATE(YEAR($A12),MONTH($A12)+1,1),PayDept,$C$1,PayEmp,$C$2))</f>
        <v>0</v>
      </c>
      <c r="S12" s="133">
        <f t="shared" ca="1" si="4"/>
        <v>5362.86</v>
      </c>
      <c r="T12" s="133">
        <f t="shared" ca="1" si="5"/>
        <v>109587.22000000007</v>
      </c>
      <c r="U12" s="133">
        <f t="shared" ca="1" si="6"/>
        <v>406512.86</v>
      </c>
      <c r="V12" s="133">
        <f t="shared" ca="1" si="7"/>
        <v>2902.7199999999993</v>
      </c>
      <c r="W12" s="133">
        <f t="shared" ca="1" si="7"/>
        <v>0</v>
      </c>
      <c r="X12" s="133">
        <f t="shared" ca="1" si="7"/>
        <v>0</v>
      </c>
    </row>
    <row r="13" spans="1:25" ht="16.149999999999999" customHeight="1" x14ac:dyDescent="0.25">
      <c r="A13" s="285">
        <f t="shared" ca="1" si="8"/>
        <v>45230</v>
      </c>
      <c r="B13" s="133" cm="1">
        <f t="array" aca="1" ref="B13" ca="1">IF(OR(ISBLANK(B$4),B$4="Not Used"),0,SUMIFS(OFFSET(Payroll!$G$6,1,COLUMN(B$1)-COLUMN($B$1),PayCount,1),PayDate,"&gt;="&amp;DATE(YEAR($A13),MONTH($A13),1),PayDate,"&lt;"&amp;DATE(YEAR($A13),MONTH($A13)+1,1),PayDept,$C$1,PayEmp,$C$2))</f>
        <v>391150</v>
      </c>
      <c r="C13" s="133" cm="1">
        <f t="array" aca="1" ref="C13" ca="1">IF(OR(ISBLANK(C$4),C$4="Not Used"),0,SUMIFS(OFFSET(Payroll!$G$6,1,COLUMN(C$1)-COLUMN($B$1),PayCount,1),PayDate,"&gt;="&amp;DATE(YEAR($A13),MONTH($A13),1),PayDate,"&lt;"&amp;DATE(YEAR($A13),MONTH($A13)+1,1),PayDept,$C$1,PayEmp,$C$2))</f>
        <v>0</v>
      </c>
      <c r="D13" s="133" cm="1">
        <f t="array" aca="1" ref="D13" ca="1">IF(OR(ISBLANK(D$4),D$4="Not Used"),0,SUMIFS(OFFSET(Payroll!$G$6,1,COLUMN(D$1)-COLUMN($B$1),PayCount,1),PayDate,"&gt;="&amp;DATE(YEAR($A13),MONTH($A13),1),PayDate,"&lt;"&amp;DATE(YEAR($A13),MONTH($A13)+1,1),PayDept,$C$1,PayEmp,$C$2))</f>
        <v>0</v>
      </c>
      <c r="E13" s="133" cm="1">
        <f t="array" aca="1" ref="E13" ca="1">IF(OR(ISBLANK(E$4),E$4="Not Used"),0,SUMIFS(OFFSET(Payroll!$G$6,1,COLUMN(E$1)-COLUMN($B$1),PayCount,1),PayDate,"&gt;="&amp;DATE(YEAR($A13),MONTH($A13),1),PayDate,"&lt;"&amp;DATE(YEAR($A13),MONTH($A13)+1,1),PayDept,$C$1,PayEmp,$C$2))</f>
        <v>0</v>
      </c>
      <c r="F13" s="133" cm="1">
        <f t="array" aca="1" ref="F13" ca="1">IF(OR(ISBLANK(F$4),F$4="Not Used"),0,SUMIFS(OFFSET(Payroll!$G$6,1,COLUMN(F$1)-COLUMN($B$1),PayCount,1),PayDate,"&gt;="&amp;DATE(YEAR($A13),MONTH($A13),1),PayDate,"&lt;"&amp;DATE(YEAR($A13),MONTH($A13)+1,1),PayDept,$C$1,PayEmp,$C$2))</f>
        <v>0</v>
      </c>
      <c r="G13" s="133">
        <f t="shared" ca="1" si="0"/>
        <v>391150</v>
      </c>
      <c r="H13" s="133">
        <f t="shared" ca="1" si="1"/>
        <v>91022.999999999956</v>
      </c>
      <c r="I13" s="133" cm="1">
        <f t="array" aca="1" ref="I13" ca="1">IF(OR(ISBLANK(I$4),I$4="Not Used"),0,SUMIFS(OFFSET(Payroll!$N$6,1,COLUMN(I$1)-COLUMN($I$1),PayCount,1),PayDate,"&gt;="&amp;DATE(YEAR($A13),MONTH($A13),1),PayDate,"&lt;"&amp;DATE(YEAR($A13),MONTH($A13)+1,1),PayDept,$C$1,PayEmp,$C$2))</f>
        <v>1451.3600000000001</v>
      </c>
      <c r="J13" s="133" cm="1">
        <f t="array" aca="1" ref="J13" ca="1">IF(OR(ISBLANK(J$4),J$4="Not Used"),0,SUMIFS(OFFSET(Payroll!$N$6,1,COLUMN(J$1)-COLUMN($I$1),PayCount,1),PayDate,"&gt;="&amp;DATE(YEAR($A13),MONTH($A13),1),PayDate,"&lt;"&amp;DATE(YEAR($A13),MONTH($A13)+1,1),PayDept,$C$1,PayEmp,$C$2))</f>
        <v>11250</v>
      </c>
      <c r="K13" s="133" cm="1">
        <f t="array" aca="1" ref="K13" ca="1">IF(OR(ISBLANK(K$4),K$4="Not Used"),0,SUMIFS(OFFSET(Payroll!$N$6,1,COLUMN(K$1)-COLUMN($I$1),PayCount,1),PayDate,"&gt;="&amp;DATE(YEAR($A13),MONTH($A13),1),PayDate,"&lt;"&amp;DATE(YEAR($A13),MONTH($A13)+1,1),PayDept,$C$1,PayEmp,$C$2))</f>
        <v>2500</v>
      </c>
      <c r="L13" s="133" cm="1">
        <f t="array" aca="1" ref="L13" ca="1">IF(OR(ISBLANK(L$4),L$4="Not Used"),0,SUMIFS(OFFSET(Payroll!$N$6,1,COLUMN(L$1)-COLUMN($I$1),PayCount,1),PayDate,"&gt;="&amp;DATE(YEAR($A13),MONTH($A13),1),PayDate,"&lt;"&amp;DATE(YEAR($A13),MONTH($A13)+1,1),PayDept,$C$1,PayEmp,$C$2))</f>
        <v>0</v>
      </c>
      <c r="M13" s="133">
        <f t="shared" ca="1" si="2"/>
        <v>106224.35999999996</v>
      </c>
      <c r="N13" s="133">
        <f t="shared" ca="1" si="3"/>
        <v>284925.64</v>
      </c>
      <c r="O13" s="133" cm="1">
        <f t="array" aca="1" ref="O13" ca="1">IF(OR(ISBLANK(O$4),O$4="Not Used"),0,SUMIFS(OFFSET(Payroll!$T$6,1,COLUMN(O$1)-COLUMN($O$1),PayCount,1),PayDate,"&gt;="&amp;DATE(YEAR($A13),MONTH($A13),1),PayDate,"&lt;"&amp;DATE(YEAR($A13),MONTH($A13)+1,1),PayDept,$C$1,PayEmp,$C$2))</f>
        <v>1451.3600000000001</v>
      </c>
      <c r="P13" s="133" cm="1">
        <f t="array" aca="1" ref="P13" ca="1">IF(OR(ISBLANK(P$4),P$4="Not Used"),0,SUMIFS(OFFSET(Payroll!$T$6,1,COLUMN(P$1)-COLUMN($O$1),PayCount,1),PayDate,"&gt;="&amp;DATE(YEAR($A13),MONTH($A13),1),PayDate,"&lt;"&amp;DATE(YEAR($A13),MONTH($A13)+1,1),PayDept,$C$1,PayEmp,$C$2))</f>
        <v>3911.5</v>
      </c>
      <c r="Q13" s="133" cm="1">
        <f t="array" aca="1" ref="Q13" ca="1">IF(OR(ISBLANK(Q$4),Q$4="Not Used"),0,SUMIFS(OFFSET(Payroll!$T$6,1,COLUMN(Q$1)-COLUMN($O$1),PayCount,1),PayDate,"&gt;="&amp;DATE(YEAR($A13),MONTH($A13),1),PayDate,"&lt;"&amp;DATE(YEAR($A13),MONTH($A13)+1,1),PayDept,$C$1,PayEmp,$C$2))</f>
        <v>0</v>
      </c>
      <c r="R13" s="133" cm="1">
        <f t="array" aca="1" ref="R13" ca="1">IF(OR(ISBLANK(R$4),R$4="Not Used"),0,SUMIFS(OFFSET(Payroll!$T$6,1,COLUMN(R$1)-COLUMN($O$1),PayCount,1),PayDate,"&gt;="&amp;DATE(YEAR($A13),MONTH($A13),1),PayDate,"&lt;"&amp;DATE(YEAR($A13),MONTH($A13)+1,1),PayDept,$C$1,PayEmp,$C$2))</f>
        <v>0</v>
      </c>
      <c r="S13" s="133">
        <f t="shared" ca="1" si="4"/>
        <v>5362.8600000000006</v>
      </c>
      <c r="T13" s="133">
        <f t="shared" ca="1" si="5"/>
        <v>111587.21999999996</v>
      </c>
      <c r="U13" s="133">
        <f t="shared" ca="1" si="6"/>
        <v>396512.86</v>
      </c>
      <c r="V13" s="133">
        <f t="shared" ca="1" si="7"/>
        <v>2902.7200000000003</v>
      </c>
      <c r="W13" s="133">
        <f t="shared" ca="1" si="7"/>
        <v>0</v>
      </c>
      <c r="X13" s="133">
        <f t="shared" ca="1" si="7"/>
        <v>0</v>
      </c>
    </row>
    <row r="14" spans="1:25" ht="16.149999999999999" customHeight="1" x14ac:dyDescent="0.25">
      <c r="A14" s="285">
        <f t="shared" ca="1" si="8"/>
        <v>45260</v>
      </c>
      <c r="B14" s="133" cm="1">
        <f t="array" aca="1" ref="B14" ca="1">IF(OR(ISBLANK(B$4),B$4="Not Used"),0,SUMIFS(OFFSET(Payroll!$G$6,1,COLUMN(B$1)-COLUMN($B$1),PayCount,1),PayDate,"&gt;="&amp;DATE(YEAR($A14),MONTH($A14),1),PayDate,"&lt;"&amp;DATE(YEAR($A14),MONTH($A14)+1,1),PayDept,$C$1,PayEmp,$C$2))</f>
        <v>391150</v>
      </c>
      <c r="C14" s="133" cm="1">
        <f t="array" aca="1" ref="C14" ca="1">IF(OR(ISBLANK(C$4),C$4="Not Used"),0,SUMIFS(OFFSET(Payroll!$G$6,1,COLUMN(C$1)-COLUMN($B$1),PayCount,1),PayDate,"&gt;="&amp;DATE(YEAR($A14),MONTH($A14),1),PayDate,"&lt;"&amp;DATE(YEAR($A14),MONTH($A14)+1,1),PayDept,$C$1,PayEmp,$C$2))</f>
        <v>0</v>
      </c>
      <c r="D14" s="133" cm="1">
        <f t="array" aca="1" ref="D14" ca="1">IF(OR(ISBLANK(D$4),D$4="Not Used"),0,SUMIFS(OFFSET(Payroll!$G$6,1,COLUMN(D$1)-COLUMN($B$1),PayCount,1),PayDate,"&gt;="&amp;DATE(YEAR($A14),MONTH($A14),1),PayDate,"&lt;"&amp;DATE(YEAR($A14),MONTH($A14)+1,1),PayDept,$C$1,PayEmp,$C$2))</f>
        <v>0</v>
      </c>
      <c r="E14" s="133" cm="1">
        <f t="array" aca="1" ref="E14" ca="1">IF(OR(ISBLANK(E$4),E$4="Not Used"),0,SUMIFS(OFFSET(Payroll!$G$6,1,COLUMN(E$1)-COLUMN($B$1),PayCount,1),PayDate,"&gt;="&amp;DATE(YEAR($A14),MONTH($A14),1),PayDate,"&lt;"&amp;DATE(YEAR($A14),MONTH($A14)+1,1),PayDept,$C$1,PayEmp,$C$2))</f>
        <v>0</v>
      </c>
      <c r="F14" s="133" cm="1">
        <f t="array" aca="1" ref="F14" ca="1">IF(OR(ISBLANK(F$4),F$4="Not Used"),0,SUMIFS(OFFSET(Payroll!$G$6,1,COLUMN(F$1)-COLUMN($B$1),PayCount,1),PayDate,"&gt;="&amp;DATE(YEAR($A14),MONTH($A14),1),PayDate,"&lt;"&amp;DATE(YEAR($A14),MONTH($A14)+1,1),PayDept,$C$1,PayEmp,$C$2))</f>
        <v>0</v>
      </c>
      <c r="G14" s="133">
        <f t="shared" ca="1" si="0"/>
        <v>391150</v>
      </c>
      <c r="H14" s="133">
        <f t="shared" ca="1" si="1"/>
        <v>91022.999999999971</v>
      </c>
      <c r="I14" s="133" cm="1">
        <f t="array" aca="1" ref="I14" ca="1">IF(OR(ISBLANK(I$4),I$4="Not Used"),0,SUMIFS(OFFSET(Payroll!$N$6,1,COLUMN(I$1)-COLUMN($I$1),PayCount,1),PayDate,"&gt;="&amp;DATE(YEAR($A14),MONTH($A14),1),PayDate,"&lt;"&amp;DATE(YEAR($A14),MONTH($A14)+1,1),PayDept,$C$1,PayEmp,$C$2))</f>
        <v>1451.3599999999997</v>
      </c>
      <c r="J14" s="133" cm="1">
        <f t="array" aca="1" ref="J14" ca="1">IF(OR(ISBLANK(J$4),J$4="Not Used"),0,SUMIFS(OFFSET(Payroll!$N$6,1,COLUMN(J$1)-COLUMN($I$1),PayCount,1),PayDate,"&gt;="&amp;DATE(YEAR($A14),MONTH($A14),1),PayDate,"&lt;"&amp;DATE(YEAR($A14),MONTH($A14)+1,1),PayDept,$C$1,PayEmp,$C$2))</f>
        <v>11250</v>
      </c>
      <c r="K14" s="133" cm="1">
        <f t="array" aca="1" ref="K14" ca="1">IF(OR(ISBLANK(K$4),K$4="Not Used"),0,SUMIFS(OFFSET(Payroll!$N$6,1,COLUMN(K$1)-COLUMN($I$1),PayCount,1),PayDate,"&gt;="&amp;DATE(YEAR($A14),MONTH($A14),1),PayDate,"&lt;"&amp;DATE(YEAR($A14),MONTH($A14)+1,1),PayDept,$C$1,PayEmp,$C$2))</f>
        <v>2500</v>
      </c>
      <c r="L14" s="133" cm="1">
        <f t="array" aca="1" ref="L14" ca="1">IF(OR(ISBLANK(L$4),L$4="Not Used"),0,SUMIFS(OFFSET(Payroll!$N$6,1,COLUMN(L$1)-COLUMN($I$1),PayCount,1),PayDate,"&gt;="&amp;DATE(YEAR($A14),MONTH($A14),1),PayDate,"&lt;"&amp;DATE(YEAR($A14),MONTH($A14)+1,1),PayDept,$C$1,PayEmp,$C$2))</f>
        <v>0</v>
      </c>
      <c r="M14" s="133">
        <f t="shared" ca="1" si="2"/>
        <v>106224.35999999997</v>
      </c>
      <c r="N14" s="133">
        <f t="shared" ca="1" si="3"/>
        <v>284925.64</v>
      </c>
      <c r="O14" s="133" cm="1">
        <f t="array" aca="1" ref="O14" ca="1">IF(OR(ISBLANK(O$4),O$4="Not Used"),0,SUMIFS(OFFSET(Payroll!$T$6,1,COLUMN(O$1)-COLUMN($O$1),PayCount,1),PayDate,"&gt;="&amp;DATE(YEAR($A14),MONTH($A14),1),PayDate,"&lt;"&amp;DATE(YEAR($A14),MONTH($A14)+1,1),PayDept,$C$1,PayEmp,$C$2))</f>
        <v>1451.3599999999997</v>
      </c>
      <c r="P14" s="133" cm="1">
        <f t="array" aca="1" ref="P14" ca="1">IF(OR(ISBLANK(P$4),P$4="Not Used"),0,SUMIFS(OFFSET(Payroll!$T$6,1,COLUMN(P$1)-COLUMN($O$1),PayCount,1),PayDate,"&gt;="&amp;DATE(YEAR($A14),MONTH($A14),1),PayDate,"&lt;"&amp;DATE(YEAR($A14),MONTH($A14)+1,1),PayDept,$C$1,PayEmp,$C$2))</f>
        <v>3911.5</v>
      </c>
      <c r="Q14" s="133" cm="1">
        <f t="array" aca="1" ref="Q14" ca="1">IF(OR(ISBLANK(Q$4),Q$4="Not Used"),0,SUMIFS(OFFSET(Payroll!$T$6,1,COLUMN(Q$1)-COLUMN($O$1),PayCount,1),PayDate,"&gt;="&amp;DATE(YEAR($A14),MONTH($A14),1),PayDate,"&lt;"&amp;DATE(YEAR($A14),MONTH($A14)+1,1),PayDept,$C$1,PayEmp,$C$2))</f>
        <v>0</v>
      </c>
      <c r="R14" s="133" cm="1">
        <f t="array" aca="1" ref="R14" ca="1">IF(OR(ISBLANK(R$4),R$4="Not Used"),0,SUMIFS(OFFSET(Payroll!$T$6,1,COLUMN(R$1)-COLUMN($O$1),PayCount,1),PayDate,"&gt;="&amp;DATE(YEAR($A14),MONTH($A14),1),PayDate,"&lt;"&amp;DATE(YEAR($A14),MONTH($A14)+1,1),PayDept,$C$1,PayEmp,$C$2))</f>
        <v>0</v>
      </c>
      <c r="S14" s="133">
        <f t="shared" ca="1" si="4"/>
        <v>5362.86</v>
      </c>
      <c r="T14" s="133">
        <f t="shared" ca="1" si="5"/>
        <v>111587.21999999997</v>
      </c>
      <c r="U14" s="133">
        <f t="shared" ca="1" si="6"/>
        <v>396512.86</v>
      </c>
      <c r="V14" s="133">
        <f t="shared" ca="1" si="7"/>
        <v>2902.7199999999993</v>
      </c>
      <c r="W14" s="133">
        <f t="shared" ca="1" si="7"/>
        <v>0</v>
      </c>
      <c r="X14" s="133">
        <f t="shared" ca="1" si="7"/>
        <v>0</v>
      </c>
    </row>
    <row r="15" spans="1:25" ht="16.149999999999999" customHeight="1" x14ac:dyDescent="0.25">
      <c r="A15" s="285">
        <f t="shared" ca="1" si="8"/>
        <v>45291</v>
      </c>
      <c r="B15" s="133" cm="1">
        <f t="array" aca="1" ref="B15" ca="1">IF(OR(ISBLANK(B$4),B$4="Not Used"),0,SUMIFS(OFFSET(Payroll!$G$6,1,COLUMN(B$1)-COLUMN($B$1),PayCount,1),PayDate,"&gt;="&amp;DATE(YEAR($A15),MONTH($A15),1),PayDate,"&lt;"&amp;DATE(YEAR($A15),MONTH($A15)+1,1),PayDept,$C$1,PayEmp,$C$2))</f>
        <v>391150</v>
      </c>
      <c r="C15" s="133" cm="1">
        <f t="array" aca="1" ref="C15" ca="1">IF(OR(ISBLANK(C$4),C$4="Not Used"),0,SUMIFS(OFFSET(Payroll!$G$6,1,COLUMN(C$1)-COLUMN($B$1),PayCount,1),PayDate,"&gt;="&amp;DATE(YEAR($A15),MONTH($A15),1),PayDate,"&lt;"&amp;DATE(YEAR($A15),MONTH($A15)+1,1),PayDept,$C$1,PayEmp,$C$2))</f>
        <v>0</v>
      </c>
      <c r="D15" s="133" cm="1">
        <f t="array" aca="1" ref="D15" ca="1">IF(OR(ISBLANK(D$4),D$4="Not Used"),0,SUMIFS(OFFSET(Payroll!$G$6,1,COLUMN(D$1)-COLUMN($B$1),PayCount,1),PayDate,"&gt;="&amp;DATE(YEAR($A15),MONTH($A15),1),PayDate,"&lt;"&amp;DATE(YEAR($A15),MONTH($A15)+1,1),PayDept,$C$1,PayEmp,$C$2))</f>
        <v>362000</v>
      </c>
      <c r="E15" s="133" cm="1">
        <f t="array" aca="1" ref="E15" ca="1">IF(OR(ISBLANK(E$4),E$4="Not Used"),0,SUMIFS(OFFSET(Payroll!$G$6,1,COLUMN(E$1)-COLUMN($B$1),PayCount,1),PayDate,"&gt;="&amp;DATE(YEAR($A15),MONTH($A15),1),PayDate,"&lt;"&amp;DATE(YEAR($A15),MONTH($A15)+1,1),PayDept,$C$1,PayEmp,$C$2))</f>
        <v>0</v>
      </c>
      <c r="F15" s="133" cm="1">
        <f t="array" aca="1" ref="F15" ca="1">IF(OR(ISBLANK(F$4),F$4="Not Used"),0,SUMIFS(OFFSET(Payroll!$G$6,1,COLUMN(F$1)-COLUMN($B$1),PayCount,1),PayDate,"&gt;="&amp;DATE(YEAR($A15),MONTH($A15),1),PayDate,"&lt;"&amp;DATE(YEAR($A15),MONTH($A15)+1,1),PayDept,$C$1,PayEmp,$C$2))</f>
        <v>0</v>
      </c>
      <c r="G15" s="133">
        <f t="shared" ca="1" si="0"/>
        <v>753150</v>
      </c>
      <c r="H15" s="133">
        <f t="shared" ca="1" si="1"/>
        <v>210964.5000000002</v>
      </c>
      <c r="I15" s="133" cm="1">
        <f t="array" aca="1" ref="I15" ca="1">IF(OR(ISBLANK(I$4),I$4="Not Used"),0,SUMIFS(OFFSET(Payroll!$N$6,1,COLUMN(I$1)-COLUMN($I$1),PayCount,1),PayDate,"&gt;="&amp;DATE(YEAR($A15),MONTH($A15),1),PayDate,"&lt;"&amp;DATE(YEAR($A15),MONTH($A15)+1,1),PayDept,$C$1,PayEmp,$C$2))</f>
        <v>2371.36</v>
      </c>
      <c r="J15" s="133" cm="1">
        <f t="array" aca="1" ref="J15" ca="1">IF(OR(ISBLANK(J$4),J$4="Not Used"),0,SUMIFS(OFFSET(Payroll!$N$6,1,COLUMN(J$1)-COLUMN($I$1),PayCount,1),PayDate,"&gt;="&amp;DATE(YEAR($A15),MONTH($A15),1),PayDate,"&lt;"&amp;DATE(YEAR($A15),MONTH($A15)+1,1),PayDept,$C$1,PayEmp,$C$2))</f>
        <v>22500</v>
      </c>
      <c r="K15" s="133" cm="1">
        <f t="array" aca="1" ref="K15" ca="1">IF(OR(ISBLANK(K$4),K$4="Not Used"),0,SUMIFS(OFFSET(Payroll!$N$6,1,COLUMN(K$1)-COLUMN($I$1),PayCount,1),PayDate,"&gt;="&amp;DATE(YEAR($A15),MONTH($A15),1),PayDate,"&lt;"&amp;DATE(YEAR($A15),MONTH($A15)+1,1),PayDept,$C$1,PayEmp,$C$2))</f>
        <v>2500</v>
      </c>
      <c r="L15" s="133" cm="1">
        <f t="array" aca="1" ref="L15" ca="1">IF(OR(ISBLANK(L$4),L$4="Not Used"),0,SUMIFS(OFFSET(Payroll!$N$6,1,COLUMN(L$1)-COLUMN($I$1),PayCount,1),PayDate,"&gt;="&amp;DATE(YEAR($A15),MONTH($A15),1),PayDate,"&lt;"&amp;DATE(YEAR($A15),MONTH($A15)+1,1),PayDept,$C$1,PayEmp,$C$2))</f>
        <v>0</v>
      </c>
      <c r="M15" s="133">
        <f t="shared" ca="1" si="2"/>
        <v>238335.86000000019</v>
      </c>
      <c r="N15" s="133">
        <f t="shared" ca="1" si="3"/>
        <v>514814.13999999978</v>
      </c>
      <c r="O15" s="133" cm="1">
        <f t="array" aca="1" ref="O15" ca="1">IF(OR(ISBLANK(O$4),O$4="Not Used"),0,SUMIFS(OFFSET(Payroll!$T$6,1,COLUMN(O$1)-COLUMN($O$1),PayCount,1),PayDate,"&gt;="&amp;DATE(YEAR($A15),MONTH($A15),1),PayDate,"&lt;"&amp;DATE(YEAR($A15),MONTH($A15)+1,1),PayDept,$C$1,PayEmp,$C$2))</f>
        <v>2371.36</v>
      </c>
      <c r="P15" s="133" cm="1">
        <f t="array" aca="1" ref="P15" ca="1">IF(OR(ISBLANK(P$4),P$4="Not Used"),0,SUMIFS(OFFSET(Payroll!$T$6,1,COLUMN(P$1)-COLUMN($O$1),PayCount,1),PayDate,"&gt;="&amp;DATE(YEAR($A15),MONTH($A15),1),PayDate,"&lt;"&amp;DATE(YEAR($A15),MONTH($A15)+1,1),PayDept,$C$1,PayEmp,$C$2))</f>
        <v>7531.5</v>
      </c>
      <c r="Q15" s="133" cm="1">
        <f t="array" aca="1" ref="Q15" ca="1">IF(OR(ISBLANK(Q$4),Q$4="Not Used"),0,SUMIFS(OFFSET(Payroll!$T$6,1,COLUMN(Q$1)-COLUMN($O$1),PayCount,1),PayDate,"&gt;="&amp;DATE(YEAR($A15),MONTH($A15),1),PayDate,"&lt;"&amp;DATE(YEAR($A15),MONTH($A15)+1,1),PayDept,$C$1,PayEmp,$C$2))</f>
        <v>0</v>
      </c>
      <c r="R15" s="133" cm="1">
        <f t="array" aca="1" ref="R15" ca="1">IF(OR(ISBLANK(R$4),R$4="Not Used"),0,SUMIFS(OFFSET(Payroll!$T$6,1,COLUMN(R$1)-COLUMN($O$1),PayCount,1),PayDate,"&gt;="&amp;DATE(YEAR($A15),MONTH($A15),1),PayDate,"&lt;"&amp;DATE(YEAR($A15),MONTH($A15)+1,1),PayDept,$C$1,PayEmp,$C$2))</f>
        <v>0</v>
      </c>
      <c r="S15" s="133">
        <f t="shared" ca="1" si="4"/>
        <v>9902.86</v>
      </c>
      <c r="T15" s="133">
        <f t="shared" ca="1" si="5"/>
        <v>248238.7200000002</v>
      </c>
      <c r="U15" s="133">
        <f t="shared" ca="1" si="6"/>
        <v>763052.86</v>
      </c>
      <c r="V15" s="133">
        <f t="shared" ca="1" si="7"/>
        <v>4742.72</v>
      </c>
      <c r="W15" s="133">
        <f t="shared" ca="1" si="7"/>
        <v>0</v>
      </c>
      <c r="X15" s="133">
        <f t="shared" ca="1" si="7"/>
        <v>0</v>
      </c>
    </row>
    <row r="16" spans="1:25" ht="16.149999999999999" customHeight="1" x14ac:dyDescent="0.25">
      <c r="A16" s="285">
        <f ca="1">DATE(YEAR(A17),MONTH(A17),0)</f>
        <v>45322</v>
      </c>
      <c r="B16" s="133" cm="1">
        <f t="array" aca="1" ref="B16" ca="1">IF(OR(ISBLANK(B$4),B$4="Not Used"),0,SUMIFS(OFFSET(Payroll!$G$6,1,COLUMN(B$1)-COLUMN($B$1),PayCount,1),PayDate,"&gt;="&amp;DATE(YEAR($A16),MONTH($A16),1),PayDate,"&lt;"&amp;DATE(YEAR($A16),MONTH($A16)+1,1),PayDept,$C$1,PayEmp,$C$2))</f>
        <v>430500</v>
      </c>
      <c r="C16" s="133" cm="1">
        <f t="array" aca="1" ref="C16" ca="1">IF(OR(ISBLANK(C$4),C$4="Not Used"),0,SUMIFS(OFFSET(Payroll!$G$6,1,COLUMN(C$1)-COLUMN($B$1),PayCount,1),PayDate,"&gt;="&amp;DATE(YEAR($A16),MONTH($A16),1),PayDate,"&lt;"&amp;DATE(YEAR($A16),MONTH($A16)+1,1),PayDept,$C$1,PayEmp,$C$2))</f>
        <v>0</v>
      </c>
      <c r="D16" s="133" cm="1">
        <f t="array" aca="1" ref="D16" ca="1">IF(OR(ISBLANK(D$4),D$4="Not Used"),0,SUMIFS(OFFSET(Payroll!$G$6,1,COLUMN(D$1)-COLUMN($B$1),PayCount,1),PayDate,"&gt;="&amp;DATE(YEAR($A16),MONTH($A16),1),PayDate,"&lt;"&amp;DATE(YEAR($A16),MONTH($A16)+1,1),PayDept,$C$1,PayEmp,$C$2))</f>
        <v>0</v>
      </c>
      <c r="E16" s="133" cm="1">
        <f t="array" aca="1" ref="E16" ca="1">IF(OR(ISBLANK(E$4),E$4="Not Used"),0,SUMIFS(OFFSET(Payroll!$G$6,1,COLUMN(E$1)-COLUMN($B$1),PayCount,1),PayDate,"&gt;="&amp;DATE(YEAR($A16),MONTH($A16),1),PayDate,"&lt;"&amp;DATE(YEAR($A16),MONTH($A16)+1,1),PayDept,$C$1,PayEmp,$C$2))</f>
        <v>0</v>
      </c>
      <c r="F16" s="133" cm="1">
        <f t="array" aca="1" ref="F16" ca="1">IF(OR(ISBLANK(F$4),F$4="Not Used"),0,SUMIFS(OFFSET(Payroll!$G$6,1,COLUMN(F$1)-COLUMN($B$1),PayCount,1),PayDate,"&gt;="&amp;DATE(YEAR($A16),MONTH($A16),1),PayDate,"&lt;"&amp;DATE(YEAR($A16),MONTH($A16)+1,1),PayDept,$C$1,PayEmp,$C$2))</f>
        <v>0</v>
      </c>
      <c r="G16" s="133">
        <f t="shared" ca="1" si="0"/>
        <v>430500</v>
      </c>
      <c r="H16" s="133">
        <f t="shared" ca="1" si="1"/>
        <v>103448.45454545419</v>
      </c>
      <c r="I16" s="133" cm="1">
        <f t="array" aca="1" ref="I16" ca="1">IF(OR(ISBLANK(I$4),I$4="Not Used"),0,SUMIFS(OFFSET(Payroll!$N$6,1,COLUMN(I$1)-COLUMN($I$1),PayCount,1),PayDate,"&gt;="&amp;DATE(YEAR($A16),MONTH($A16),1),PayDate,"&lt;"&amp;DATE(YEAR($A16),MONTH($A16)+1,1),PayDept,$C$1,PayEmp,$C$2))</f>
        <v>1556.36</v>
      </c>
      <c r="J16" s="133" cm="1">
        <f t="array" aca="1" ref="J16" ca="1">IF(OR(ISBLANK(J$4),J$4="Not Used"),0,SUMIFS(OFFSET(Payroll!$N$6,1,COLUMN(J$1)-COLUMN($I$1),PayCount,1),PayDate,"&gt;="&amp;DATE(YEAR($A16),MONTH($A16),1),PayDate,"&lt;"&amp;DATE(YEAR($A16),MONTH($A16)+1,1),PayDept,$C$1,PayEmp,$C$2))</f>
        <v>12375</v>
      </c>
      <c r="K16" s="133" cm="1">
        <f t="array" aca="1" ref="K16" ca="1">IF(OR(ISBLANK(K$4),K$4="Not Used"),0,SUMIFS(OFFSET(Payroll!$N$6,1,COLUMN(K$1)-COLUMN($I$1),PayCount,1),PayDate,"&gt;="&amp;DATE(YEAR($A16),MONTH($A16),1),PayDate,"&lt;"&amp;DATE(YEAR($A16),MONTH($A16)+1,1),PayDept,$C$1,PayEmp,$C$2))</f>
        <v>2500</v>
      </c>
      <c r="L16" s="133" cm="1">
        <f t="array" aca="1" ref="L16" ca="1">IF(OR(ISBLANK(L$4),L$4="Not Used"),0,SUMIFS(OFFSET(Payroll!$N$6,1,COLUMN(L$1)-COLUMN($I$1),PayCount,1),PayDate,"&gt;="&amp;DATE(YEAR($A16),MONTH($A16),1),PayDate,"&lt;"&amp;DATE(YEAR($A16),MONTH($A16)+1,1),PayDept,$C$1,PayEmp,$C$2))</f>
        <v>0</v>
      </c>
      <c r="M16" s="133">
        <f t="shared" ca="1" si="2"/>
        <v>119879.8145454542</v>
      </c>
      <c r="N16" s="133">
        <f t="shared" ca="1" si="3"/>
        <v>310620.18545454578</v>
      </c>
      <c r="O16" s="133" cm="1">
        <f t="array" aca="1" ref="O16" ca="1">IF(OR(ISBLANK(O$4),O$4="Not Used"),0,SUMIFS(OFFSET(Payroll!$T$6,1,COLUMN(O$1)-COLUMN($O$1),PayCount,1),PayDate,"&gt;="&amp;DATE(YEAR($A16),MONTH($A16),1),PayDate,"&lt;"&amp;DATE(YEAR($A16),MONTH($A16)+1,1),PayDept,$C$1,PayEmp,$C$2))</f>
        <v>1556.36</v>
      </c>
      <c r="P16" s="133" cm="1">
        <f t="array" aca="1" ref="P16" ca="1">IF(OR(ISBLANK(P$4),P$4="Not Used"),0,SUMIFS(OFFSET(Payroll!$T$6,1,COLUMN(P$1)-COLUMN($O$1),PayCount,1),PayDate,"&gt;="&amp;DATE(YEAR($A16),MONTH($A16),1),PayDate,"&lt;"&amp;DATE(YEAR($A16),MONTH($A16)+1,1),PayDept,$C$1,PayEmp,$C$2))</f>
        <v>4305</v>
      </c>
      <c r="Q16" s="133" cm="1">
        <f t="array" aca="1" ref="Q16" ca="1">IF(OR(ISBLANK(Q$4),Q$4="Not Used"),0,SUMIFS(OFFSET(Payroll!$T$6,1,COLUMN(Q$1)-COLUMN($O$1),PayCount,1),PayDate,"&gt;="&amp;DATE(YEAR($A16),MONTH($A16),1),PayDate,"&lt;"&amp;DATE(YEAR($A16),MONTH($A16)+1,1),PayDept,$C$1,PayEmp,$C$2))</f>
        <v>0</v>
      </c>
      <c r="R16" s="133" cm="1">
        <f t="array" aca="1" ref="R16" ca="1">IF(OR(ISBLANK(R$4),R$4="Not Used"),0,SUMIFS(OFFSET(Payroll!$T$6,1,COLUMN(R$1)-COLUMN($O$1),PayCount,1),PayDate,"&gt;="&amp;DATE(YEAR($A16),MONTH($A16),1),PayDate,"&lt;"&amp;DATE(YEAR($A16),MONTH($A16)+1,1),PayDept,$C$1,PayEmp,$C$2))</f>
        <v>0</v>
      </c>
      <c r="S16" s="133">
        <f t="shared" ca="1" si="4"/>
        <v>5861.36</v>
      </c>
      <c r="T16" s="133">
        <f t="shared" ca="1" si="5"/>
        <v>125741.1745454542</v>
      </c>
      <c r="U16" s="133">
        <f t="shared" ca="1" si="6"/>
        <v>436361.36</v>
      </c>
      <c r="V16" s="133">
        <f t="shared" ca="1" si="7"/>
        <v>3112.72</v>
      </c>
      <c r="W16" s="133">
        <f t="shared" ca="1" si="7"/>
        <v>0</v>
      </c>
      <c r="X16" s="133">
        <f t="shared" ca="1" si="7"/>
        <v>0</v>
      </c>
    </row>
    <row r="17" spans="1:24" ht="16.149999999999999" customHeight="1" x14ac:dyDescent="0.25">
      <c r="A17" s="285">
        <f ca="1">Setup!$D$12</f>
        <v>45351</v>
      </c>
      <c r="B17" s="133" cm="1">
        <f t="array" aca="1" ref="B17" ca="1">IF(OR(ISBLANK(B$4),B$4="Not Used"),0,SUMIFS(OFFSET(Payroll!$G$6,1,COLUMN(B$1)-COLUMN($B$1),PayCount,1),PayDate,"&gt;="&amp;DATE(YEAR($A17),MONTH($A17),1),PayDate,"&lt;"&amp;DATE(YEAR($A17),MONTH($A17)+1,1),PayDept,$C$1,PayEmp,$C$2))</f>
        <v>430500</v>
      </c>
      <c r="C17" s="133" cm="1">
        <f t="array" aca="1" ref="C17" ca="1">IF(OR(ISBLANK(C$4),C$4="Not Used"),0,SUMIFS(OFFSET(Payroll!$G$6,1,COLUMN(C$1)-COLUMN($B$1),PayCount,1),PayDate,"&gt;="&amp;DATE(YEAR($A17),MONTH($A17),1),PayDate,"&lt;"&amp;DATE(YEAR($A17),MONTH($A17)+1,1),PayDept,$C$1,PayEmp,$C$2))</f>
        <v>0</v>
      </c>
      <c r="D17" s="133" cm="1">
        <f t="array" aca="1" ref="D17" ca="1">IF(OR(ISBLANK(D$4),D$4="Not Used"),0,SUMIFS(OFFSET(Payroll!$G$6,1,COLUMN(D$1)-COLUMN($B$1),PayCount,1),PayDate,"&gt;="&amp;DATE(YEAR($A17),MONTH($A17),1),PayDate,"&lt;"&amp;DATE(YEAR($A17),MONTH($A17)+1,1),PayDept,$C$1,PayEmp,$C$2))</f>
        <v>0</v>
      </c>
      <c r="E17" s="133" cm="1">
        <f t="array" aca="1" ref="E17" ca="1">IF(OR(ISBLANK(E$4),E$4="Not Used"),0,SUMIFS(OFFSET(Payroll!$G$6,1,COLUMN(E$1)-COLUMN($B$1),PayCount,1),PayDate,"&gt;="&amp;DATE(YEAR($A17),MONTH($A17),1),PayDate,"&lt;"&amp;DATE(YEAR($A17),MONTH($A17)+1,1),PayDept,$C$1,PayEmp,$C$2))</f>
        <v>0</v>
      </c>
      <c r="F17" s="133" cm="1">
        <f t="array" aca="1" ref="F17" ca="1">IF(OR(ISBLANK(F$4),F$4="Not Used"),0,SUMIFS(OFFSET(Payroll!$G$6,1,COLUMN(F$1)-COLUMN($B$1),PayCount,1),PayDate,"&gt;="&amp;DATE(YEAR($A17),MONTH($A17),1),PayDate,"&lt;"&amp;DATE(YEAR($A17),MONTH($A17)+1,1),PayDept,$C$1,PayEmp,$C$2))</f>
        <v>0</v>
      </c>
      <c r="G17" s="133">
        <f t="shared" ca="1" si="0"/>
        <v>430500</v>
      </c>
      <c r="H17" s="133">
        <f t="shared" ca="1" si="1"/>
        <v>103877.0454545456</v>
      </c>
      <c r="I17" s="133" cm="1">
        <f t="array" aca="1" ref="I17" ca="1">IF(OR(ISBLANK(I$4),I$4="Not Used"),0,SUMIFS(OFFSET(Payroll!$N$6,1,COLUMN(I$1)-COLUMN($I$1),PayCount,1),PayDate,"&gt;="&amp;DATE(YEAR($A17),MONTH($A17),1),PayDate,"&lt;"&amp;DATE(YEAR($A17),MONTH($A17)+1,1),PayDept,$C$1,PayEmp,$C$2))</f>
        <v>1556.3600000000001</v>
      </c>
      <c r="J17" s="133" cm="1">
        <f t="array" aca="1" ref="J17" ca="1">IF(OR(ISBLANK(J$4),J$4="Not Used"),0,SUMIFS(OFFSET(Payroll!$N$6,1,COLUMN(J$1)-COLUMN($I$1),PayCount,1),PayDate,"&gt;="&amp;DATE(YEAR($A17),MONTH($A17),1),PayDate,"&lt;"&amp;DATE(YEAR($A17),MONTH($A17)+1,1),PayDept,$C$1,PayEmp,$C$2))</f>
        <v>12375</v>
      </c>
      <c r="K17" s="133" cm="1">
        <f t="array" aca="1" ref="K17" ca="1">IF(OR(ISBLANK(K$4),K$4="Not Used"),0,SUMIFS(OFFSET(Payroll!$N$6,1,COLUMN(K$1)-COLUMN($I$1),PayCount,1),PayDate,"&gt;="&amp;DATE(YEAR($A17),MONTH($A17),1),PayDate,"&lt;"&amp;DATE(YEAR($A17),MONTH($A17)+1,1),PayDept,$C$1,PayEmp,$C$2))</f>
        <v>2500</v>
      </c>
      <c r="L17" s="133" cm="1">
        <f t="array" aca="1" ref="L17" ca="1">IF(OR(ISBLANK(L$4),L$4="Not Used"),0,SUMIFS(OFFSET(Payroll!$N$6,1,COLUMN(L$1)-COLUMN($I$1),PayCount,1),PayDate,"&gt;="&amp;DATE(YEAR($A17),MONTH($A17),1),PayDate,"&lt;"&amp;DATE(YEAR($A17),MONTH($A17)+1,1),PayDept,$C$1,PayEmp,$C$2))</f>
        <v>0</v>
      </c>
      <c r="M17" s="133">
        <f t="shared" ca="1" si="2"/>
        <v>120308.4054545456</v>
      </c>
      <c r="N17" s="133">
        <f t="shared" ca="1" si="3"/>
        <v>310191.59454545437</v>
      </c>
      <c r="O17" s="133" cm="1">
        <f t="array" aca="1" ref="O17" ca="1">IF(OR(ISBLANK(O$4),O$4="Not Used"),0,SUMIFS(OFFSET(Payroll!$T$6,1,COLUMN(O$1)-COLUMN($O$1),PayCount,1),PayDate,"&gt;="&amp;DATE(YEAR($A17),MONTH($A17),1),PayDate,"&lt;"&amp;DATE(YEAR($A17),MONTH($A17)+1,1),PayDept,$C$1,PayEmp,$C$2))</f>
        <v>1556.3600000000001</v>
      </c>
      <c r="P17" s="133" cm="1">
        <f t="array" aca="1" ref="P17" ca="1">IF(OR(ISBLANK(P$4),P$4="Not Used"),0,SUMIFS(OFFSET(Payroll!$T$6,1,COLUMN(P$1)-COLUMN($O$1),PayCount,1),PayDate,"&gt;="&amp;DATE(YEAR($A17),MONTH($A17),1),PayDate,"&lt;"&amp;DATE(YEAR($A17),MONTH($A17)+1,1),PayDept,$C$1,PayEmp,$C$2))</f>
        <v>4305</v>
      </c>
      <c r="Q17" s="133" cm="1">
        <f t="array" aca="1" ref="Q17" ca="1">IF(OR(ISBLANK(Q$4),Q$4="Not Used"),0,SUMIFS(OFFSET(Payroll!$T$6,1,COLUMN(Q$1)-COLUMN($O$1),PayCount,1),PayDate,"&gt;="&amp;DATE(YEAR($A17),MONTH($A17),1),PayDate,"&lt;"&amp;DATE(YEAR($A17),MONTH($A17)+1,1),PayDept,$C$1,PayEmp,$C$2))</f>
        <v>0</v>
      </c>
      <c r="R17" s="133" cm="1">
        <f t="array" aca="1" ref="R17" ca="1">IF(OR(ISBLANK(R$4),R$4="Not Used"),0,SUMIFS(OFFSET(Payroll!$T$6,1,COLUMN(R$1)-COLUMN($O$1),PayCount,1),PayDate,"&gt;="&amp;DATE(YEAR($A17),MONTH($A17),1),PayDate,"&lt;"&amp;DATE(YEAR($A17),MONTH($A17)+1,1),PayDept,$C$1,PayEmp,$C$2))</f>
        <v>0</v>
      </c>
      <c r="S17" s="133">
        <f t="shared" ca="1" si="4"/>
        <v>5861.3600000000006</v>
      </c>
      <c r="T17" s="133">
        <f t="shared" ca="1" si="5"/>
        <v>126169.7654545456</v>
      </c>
      <c r="U17" s="133">
        <f t="shared" ca="1" si="6"/>
        <v>436361.36</v>
      </c>
      <c r="V17" s="133">
        <f t="shared" ca="1" si="7"/>
        <v>3112.7200000000003</v>
      </c>
      <c r="W17" s="133">
        <f t="shared" ca="1" si="7"/>
        <v>0</v>
      </c>
      <c r="X17" s="133">
        <f t="shared" ca="1" si="7"/>
        <v>0</v>
      </c>
    </row>
  </sheetData>
  <sheetProtection formatCells="0" formatColumns="0" formatRows="0"/>
  <dataValidations count="2">
    <dataValidation type="list" allowBlank="1" showInputMessage="1" showErrorMessage="1" errorTitle="Invalid Data" error="Select a valid item from the list box." sqref="D2" xr:uid="{00000000-0002-0000-0900-000000000000}">
      <formula1>DeptListItem</formula1>
    </dataValidation>
    <dataValidation type="list" allowBlank="1" showInputMessage="1" showErrorMessage="1" errorTitle="Invalid Data" error="Select a valid item from the list box." sqref="E2" xr:uid="{00000000-0002-0000-0900-000001000000}">
      <formula1>EmpCode</formula1>
    </dataValidation>
  </dataValidations>
  <pageMargins left="0.59055118110236227" right="0.59055118110236227" top="0.59055118110236227" bottom="0.59055118110236227" header="0.39370078740157483" footer="0.39370078740157483"/>
  <pageSetup paperSize="9" fitToWidth="4" orientation="landscape" r:id="rId1"/>
  <headerFooter alignWithMargins="0">
    <oddFooter>&amp;C&amp;9Page &amp;P of &amp;N</oddFooter>
  </headerFooter>
  <colBreaks count="3" manualBreakCount="3">
    <brk id="7" min="1" max="16" man="1"/>
    <brk id="14" min="1" max="16" man="1"/>
    <brk id="21" min="1" max="16" man="1"/>
  </colBreaks>
  <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50</vt:i4>
      </vt:variant>
    </vt:vector>
  </HeadingPairs>
  <TitlesOfParts>
    <vt:vector size="51" baseType="lpstr">
      <vt:lpstr>Info</vt:lpstr>
      <vt:lpstr>CompListCount</vt:lpstr>
      <vt:lpstr>DedListCount</vt:lpstr>
      <vt:lpstr>DeptCount</vt:lpstr>
      <vt:lpstr>EarnListCount</vt:lpstr>
      <vt:lpstr>EmpAll</vt:lpstr>
      <vt:lpstr>EmpBonus</vt:lpstr>
      <vt:lpstr>EmpCode</vt:lpstr>
      <vt:lpstr>EmpIncrease</vt:lpstr>
      <vt:lpstr>EmpNo</vt:lpstr>
      <vt:lpstr>EmpSalary</vt:lpstr>
      <vt:lpstr>MonthMeasure</vt:lpstr>
      <vt:lpstr>MonthMeasureList</vt:lpstr>
      <vt:lpstr>OverComp</vt:lpstr>
      <vt:lpstr>OverDate</vt:lpstr>
      <vt:lpstr>OverDeduct</vt:lpstr>
      <vt:lpstr>OverEarn</vt:lpstr>
      <vt:lpstr>OverEmp</vt:lpstr>
      <vt:lpstr>OverEnd</vt:lpstr>
      <vt:lpstr>OverMed</vt:lpstr>
      <vt:lpstr>OverTax</vt:lpstr>
      <vt:lpstr>OverValue</vt:lpstr>
      <vt:lpstr>PayDate</vt:lpstr>
      <vt:lpstr>PayDept</vt:lpstr>
      <vt:lpstr>PayEarnValues</vt:lpstr>
      <vt:lpstr>PayEmp</vt:lpstr>
      <vt:lpstr>PayID</vt:lpstr>
      <vt:lpstr>PayMedDeduct</vt:lpstr>
      <vt:lpstr>PayPeriod</vt:lpstr>
      <vt:lpstr>PayTaxDeduct</vt:lpstr>
      <vt:lpstr>Payroll!Print_Area</vt:lpstr>
      <vt:lpstr>PaySlip!Print_Area</vt:lpstr>
      <vt:lpstr>Summary!Print_Area</vt:lpstr>
      <vt:lpstr>Emp!Print_Titles</vt:lpstr>
      <vt:lpstr>Instructions!Print_Titles</vt:lpstr>
      <vt:lpstr>MonthEmp!Print_Titles</vt:lpstr>
      <vt:lpstr>Override!Print_Titles</vt:lpstr>
      <vt:lpstr>Payroll!Print_Titles</vt:lpstr>
      <vt:lpstr>Setup!Print_Titles</vt:lpstr>
      <vt:lpstr>Summary!Print_Titles</vt:lpstr>
      <vt:lpstr>SlipDeduct</vt:lpstr>
      <vt:lpstr>SlipDeductValue</vt:lpstr>
      <vt:lpstr>SlipEarn</vt:lpstr>
      <vt:lpstr>SlipEarnValue</vt:lpstr>
      <vt:lpstr>SumMonths</vt:lpstr>
      <vt:lpstr>TaxAll1</vt:lpstr>
      <vt:lpstr>TaxAll2</vt:lpstr>
      <vt:lpstr>TaxBracket1</vt:lpstr>
      <vt:lpstr>TaxBracket2</vt:lpstr>
      <vt:lpstr>TaxRate1</vt:lpstr>
      <vt:lpstr>TaxRate2</vt:lpstr>
    </vt:vector>
  </TitlesOfParts>
  <Company>Excel Skills International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Basic Monthly Salary Template - Excel Skills</dc:title>
  <dc:subject>Excel Payroll</dc:subject>
  <dc:creator>Excel Skills International</dc:creator>
  <cp:keywords>salary, payslip, sheet, template, slip, payroll, monthly, sars</cp:keywords>
  <cp:lastModifiedBy>cloudconvert_17</cp:lastModifiedBy>
  <cp:lastPrinted>2020-09-29T10:13:03Z</cp:lastPrinted>
  <dcterms:created xsi:type="dcterms:W3CDTF">2009-12-01T12:45:32Z</dcterms:created>
  <dcterms:modified xsi:type="dcterms:W3CDTF">2024-01-30T15:32:14Z</dcterms:modified>
  <cp:category>Excel 2007+</cp:category>
  <cp:contentStatus>Version 1.0</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cb3d1b56-ef5d-404c-b288-138240678199</vt:lpwstr>
  </property>
</Properties>
</file>